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wmf" ContentType="image/x-wmf"/>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externalLinks/externalLink5.xml" ContentType="application/vnd.openxmlformats-officedocument.spreadsheetml.externalLink+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externalLinks/externalLink3.xml" ContentType="application/vnd.openxmlformats-officedocument.spreadsheetml.externalLink+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externalLinks/externalLink6.xml" ContentType="application/vnd.openxmlformats-officedocument.spreadsheetml.externalLink+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12.xml" ContentType="application/vnd.openxmlformats-officedocument.drawing+xml"/>
  <Override PartName="/xl/drawings/drawing21.xml" ContentType="application/vnd.openxmlformats-officedocument.drawing+xml"/>
  <Default Extension="gif" ContentType="image/gif"/>
  <Override PartName="/xl/drawings/drawing30.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filterPrivacy="1" saveExternalLinkValues="0" codeName="ThisWorkbook" defaultThemeVersion="124226"/>
  <bookViews>
    <workbookView showSheetTabs="0" xWindow="0" yWindow="0" windowWidth="20160" windowHeight="8685" tabRatio="266" firstSheet="29" activeTab="20"/>
  </bookViews>
  <sheets>
    <sheet name="Print EPLUS" sheetId="30" r:id="rId1"/>
    <sheet name="ECAL" sheetId="29" state="veryHidden" r:id="rId2"/>
    <sheet name="EPLUS" sheetId="28" r:id="rId3"/>
    <sheet name="PRJA" sheetId="27" r:id="rId4"/>
    <sheet name="JACA" sheetId="26" state="veryHidden" r:id="rId5"/>
    <sheet name="Jeevan Arogya" sheetId="25" r:id="rId6"/>
    <sheet name="Anmol Jeevan" sheetId="21" r:id="rId7"/>
    <sheet name="AMULYA JEEVAN" sheetId="20" r:id="rId8"/>
    <sheet name="JEEVAN RAKSHAK" sheetId="19" r:id="rId9"/>
    <sheet name="LP ENDOWMENT" sheetId="16" r:id="rId10"/>
    <sheet name="PRAGATHI" sheetId="7" r:id="rId11"/>
    <sheet name="JEEVAN LABH" sheetId="12" r:id="rId12"/>
    <sheet name="SINGLE PREMIUM ENDOWMENT" sheetId="23" r:id="rId13"/>
    <sheet name="NEW BIMA BACHAT" sheetId="22" r:id="rId14"/>
    <sheet name="NEW JEEVAN ANAND" sheetId="13" r:id="rId15"/>
    <sheet name="NEW ENDOWMENT" sheetId="14" r:id="rId16"/>
    <sheet name="NEW MONEY 25Yrs" sheetId="18" r:id="rId17"/>
    <sheet name="NEW MONEY 20Yrs " sheetId="17" r:id="rId18"/>
    <sheet name="JEEVAN TARUN" sheetId="9" r:id="rId19"/>
    <sheet name="CHILDRENS MONEY" sheetId="15" r:id="rId20"/>
    <sheet name="JEEVAN LAKSHYA" sheetId="8" r:id="rId21"/>
    <sheet name="N.J.NIDHI" sheetId="11" r:id="rId22"/>
    <sheet name="NEW JEEVAN NIDHI" sheetId="10" r:id="rId23"/>
    <sheet name="AADHAR STUMBH" sheetId="93" r:id="rId24"/>
    <sheet name="AADHAR SHILA" sheetId="94" r:id="rId25"/>
    <sheet name="MAT" sheetId="4" state="veryHidden" r:id="rId26"/>
    <sheet name="DAT" sheetId="3" state="veryHidden" r:id="rId27"/>
    <sheet name="PM" sheetId="2" state="veryHidden" r:id="rId28"/>
    <sheet name="Main" sheetId="1" r:id="rId29"/>
    <sheet name="VASANTHAM HOME" sheetId="24" r:id="rId30"/>
    <sheet name="CIBR" sheetId="89" r:id="rId31"/>
    <sheet name="UMANG" sheetId="105" r:id="rId32"/>
    <sheet name="PrintU" sheetId="106" r:id="rId33"/>
    <sheet name="JU" sheetId="107" r:id="rId34"/>
    <sheet name="PRJU" sheetId="108" r:id="rId35"/>
  </sheets>
  <externalReferences>
    <externalReference r:id="rId36"/>
    <externalReference r:id="rId37"/>
    <externalReference r:id="rId38"/>
    <externalReference r:id="rId39"/>
    <externalReference r:id="rId40"/>
    <externalReference r:id="rId41"/>
  </externalReferences>
  <definedNames>
    <definedName name="__xlnm.Print_Area" localSheetId="24">#REF!</definedName>
    <definedName name="__xlnm.Print_Area" localSheetId="23">#REF!</definedName>
    <definedName name="__xlnm.Print_Area" localSheetId="7">#REF!</definedName>
    <definedName name="__xlnm.Print_Area" localSheetId="6">#REF!</definedName>
    <definedName name="__xlnm.Print_Area" localSheetId="19">#REF!</definedName>
    <definedName name="__xlnm.Print_Area" localSheetId="30">#REF!</definedName>
    <definedName name="__xlnm.Print_Area" localSheetId="26">#REF!</definedName>
    <definedName name="__xlnm.Print_Area" localSheetId="1">#REF!</definedName>
    <definedName name="__xlnm.Print_Area" localSheetId="2">#REF!</definedName>
    <definedName name="__xlnm.Print_Area" localSheetId="4">#REF!</definedName>
    <definedName name="__xlnm.Print_Area" localSheetId="5">#REF!</definedName>
    <definedName name="__xlnm.Print_Area" localSheetId="11">#REF!</definedName>
    <definedName name="__xlnm.Print_Area" localSheetId="20">#REF!</definedName>
    <definedName name="__xlnm.Print_Area" localSheetId="8">#REF!</definedName>
    <definedName name="__xlnm.Print_Area" localSheetId="18">#REF!</definedName>
    <definedName name="__xlnm.Print_Area" localSheetId="33">#REF!</definedName>
    <definedName name="__xlnm.Print_Area" localSheetId="9">#REF!</definedName>
    <definedName name="__xlnm.Print_Area" localSheetId="21">#REF!</definedName>
    <definedName name="__xlnm.Print_Area" localSheetId="13">#REF!</definedName>
    <definedName name="__xlnm.Print_Area" localSheetId="15">#REF!</definedName>
    <definedName name="__xlnm.Print_Area" localSheetId="14">#REF!</definedName>
    <definedName name="__xlnm.Print_Area" localSheetId="22">#REF!</definedName>
    <definedName name="__xlnm.Print_Area" localSheetId="17">#REF!</definedName>
    <definedName name="__xlnm.Print_Area" localSheetId="16">#REF!</definedName>
    <definedName name="__xlnm.Print_Area" localSheetId="27">#REF!</definedName>
    <definedName name="__xlnm.Print_Area" localSheetId="10">#REF!</definedName>
    <definedName name="__xlnm.Print_Area" localSheetId="0">#REF!</definedName>
    <definedName name="__xlnm.Print_Area" localSheetId="32">#REF!</definedName>
    <definedName name="__xlnm.Print_Area" localSheetId="3">#REF!</definedName>
    <definedName name="__xlnm.Print_Area" localSheetId="34">#REF!</definedName>
    <definedName name="__xlnm.Print_Area" localSheetId="12">#REF!</definedName>
    <definedName name="__xlnm.Print_Area" localSheetId="31">#REF!</definedName>
    <definedName name="__xlnm.Print_Area">#REF!</definedName>
    <definedName name="_2.TERM" localSheetId="24">#REF!</definedName>
    <definedName name="_2.TERM" localSheetId="23">#REF!</definedName>
    <definedName name="_2.TERM" localSheetId="7">#REF!</definedName>
    <definedName name="_2.TERM" localSheetId="6">#REF!</definedName>
    <definedName name="_2.TERM" localSheetId="19">#REF!</definedName>
    <definedName name="_2.TERM" localSheetId="30">#REF!</definedName>
    <definedName name="_2.TERM" localSheetId="26">#REF!</definedName>
    <definedName name="_2.TERM" localSheetId="1">#REF!</definedName>
    <definedName name="_2.TERM" localSheetId="2">#REF!</definedName>
    <definedName name="_2.TERM" localSheetId="4">#REF!</definedName>
    <definedName name="_2.TERM" localSheetId="5">#REF!</definedName>
    <definedName name="_2.TERM" localSheetId="11">#REF!</definedName>
    <definedName name="_2.TERM" localSheetId="20">#REF!</definedName>
    <definedName name="_2.TERM" localSheetId="8">#REF!</definedName>
    <definedName name="_2.TERM" localSheetId="18">#REF!</definedName>
    <definedName name="_2.TERM" localSheetId="33">#REF!</definedName>
    <definedName name="_2.TERM" localSheetId="9">#REF!</definedName>
    <definedName name="_2.TERM" localSheetId="21">#REF!</definedName>
    <definedName name="_2.TERM" localSheetId="13">#REF!</definedName>
    <definedName name="_2.TERM" localSheetId="15">#REF!</definedName>
    <definedName name="_2.TERM" localSheetId="14">#REF!</definedName>
    <definedName name="_2.TERM" localSheetId="22">#REF!</definedName>
    <definedName name="_2.TERM" localSheetId="17">#REF!</definedName>
    <definedName name="_2.TERM" localSheetId="16">#REF!</definedName>
    <definedName name="_2.TERM" localSheetId="27">#REF!</definedName>
    <definedName name="_2.TERM" localSheetId="10">#REF!</definedName>
    <definedName name="_2.TERM" localSheetId="0">#REF!</definedName>
    <definedName name="_2.TERM" localSheetId="32">#REF!</definedName>
    <definedName name="_2.TERM" localSheetId="3">#REF!</definedName>
    <definedName name="_2.TERM" localSheetId="34">#REF!</definedName>
    <definedName name="_2.TERM" localSheetId="12">#REF!</definedName>
    <definedName name="_2.TERM" localSheetId="31">#REF!</definedName>
    <definedName name="_2.TERM">#REF!</definedName>
    <definedName name="Age" localSheetId="30">'[1]look Data'!$B$170:$B$269</definedName>
    <definedName name="Age" localSheetId="26">'[2]look Data'!$B$170:$B$269</definedName>
    <definedName name="Age" localSheetId="27">'[2]look Data'!$B$170:$B$269</definedName>
    <definedName name="Age">'[2]look Data'!$B$170:$B$269</definedName>
    <definedName name="Age_List" localSheetId="33">#REF!</definedName>
    <definedName name="Age_List" localSheetId="32">#REF!</definedName>
    <definedName name="Age_List" localSheetId="34">#REF!</definedName>
    <definedName name="Age_List" localSheetId="31">#REF!</definedName>
    <definedName name="Age_List">ECAL!$L$4:$L$63</definedName>
    <definedName name="asd" localSheetId="24">#REF!</definedName>
    <definedName name="asd" localSheetId="23">#REF!</definedName>
    <definedName name="asd" localSheetId="7">#REF!</definedName>
    <definedName name="asd" localSheetId="6">#REF!</definedName>
    <definedName name="asd" localSheetId="19">#REF!</definedName>
    <definedName name="asd" localSheetId="30">#REF!</definedName>
    <definedName name="asd" localSheetId="1">#REF!</definedName>
    <definedName name="asd" localSheetId="2">#REF!</definedName>
    <definedName name="asd" localSheetId="4">#REF!</definedName>
    <definedName name="asd" localSheetId="5">#REF!</definedName>
    <definedName name="asd" localSheetId="11">#REF!</definedName>
    <definedName name="asd" localSheetId="20">#REF!</definedName>
    <definedName name="asd" localSheetId="8">#REF!</definedName>
    <definedName name="asd" localSheetId="18">#REF!</definedName>
    <definedName name="asd" localSheetId="33">#REF!</definedName>
    <definedName name="asd" localSheetId="9">#REF!</definedName>
    <definedName name="asd" localSheetId="21">#REF!</definedName>
    <definedName name="asd" localSheetId="13">#REF!</definedName>
    <definedName name="asd" localSheetId="15">#REF!</definedName>
    <definedName name="asd" localSheetId="14">#REF!</definedName>
    <definedName name="asd" localSheetId="22">#REF!</definedName>
    <definedName name="asd" localSheetId="17">#REF!</definedName>
    <definedName name="asd" localSheetId="16">#REF!</definedName>
    <definedName name="asd" localSheetId="10">#REF!</definedName>
    <definedName name="asd" localSheetId="0">#REF!</definedName>
    <definedName name="asd" localSheetId="32">#REF!</definedName>
    <definedName name="asd" localSheetId="3">#REF!</definedName>
    <definedName name="asd" localSheetId="34">#REF!</definedName>
    <definedName name="asd" localSheetId="12">#REF!</definedName>
    <definedName name="asd" localSheetId="31">#REF!</definedName>
    <definedName name="asd">#REF!</definedName>
    <definedName name="BD" localSheetId="24">[3]BD!#REF!</definedName>
    <definedName name="BD" localSheetId="23">[3]BD!#REF!</definedName>
    <definedName name="BD" localSheetId="33">[3]BD!#REF!</definedName>
    <definedName name="BD" localSheetId="32">[3]BD!#REF!</definedName>
    <definedName name="BD" localSheetId="34">[3]BD!#REF!</definedName>
    <definedName name="BD" localSheetId="31">[3]BD!#REF!</definedName>
    <definedName name="BD">[3]BD!#REF!</definedName>
    <definedName name="BDD" localSheetId="24">[3]BD!#REF!</definedName>
    <definedName name="BDD" localSheetId="23">[3]BD!#REF!</definedName>
    <definedName name="BDD" localSheetId="33">[3]BD!#REF!</definedName>
    <definedName name="BDD" localSheetId="32">[3]BD!#REF!</definedName>
    <definedName name="BDD" localSheetId="34">[3]BD!#REF!</definedName>
    <definedName name="BDD" localSheetId="31">[3]BD!#REF!</definedName>
    <definedName name="BDD">[3]BD!#REF!</definedName>
    <definedName name="BDDD" localSheetId="24">[3]BD!#REF!</definedName>
    <definedName name="BDDD" localSheetId="23">[3]BD!#REF!</definedName>
    <definedName name="BDDD" localSheetId="33">[3]BD!#REF!</definedName>
    <definedName name="BDDD" localSheetId="32">[3]BD!#REF!</definedName>
    <definedName name="BDDD" localSheetId="34">[3]BD!#REF!</definedName>
    <definedName name="BDDD" localSheetId="31">[3]BD!#REF!</definedName>
    <definedName name="BDDD">[3]BD!#REF!</definedName>
    <definedName name="BIMADIAMOND" localSheetId="24">#REF!</definedName>
    <definedName name="BIMADIAMOND" localSheetId="23">#REF!</definedName>
    <definedName name="BIMADIAMOND" localSheetId="33">#REF!</definedName>
    <definedName name="BIMADIAMOND" localSheetId="32">#REF!</definedName>
    <definedName name="BIMADIAMOND" localSheetId="34">#REF!</definedName>
    <definedName name="BIMADIAMOND" localSheetId="31">#REF!</definedName>
    <definedName name="BIMADIAMOND">#REF!</definedName>
    <definedName name="Bonus_814" localSheetId="24">#REF!</definedName>
    <definedName name="Bonus_814" localSheetId="23">#REF!</definedName>
    <definedName name="Bonus_814" localSheetId="33">[4]BD!#REF!</definedName>
    <definedName name="Bonus_814" localSheetId="32">#REF!</definedName>
    <definedName name="Bonus_814" localSheetId="34">[4]BD!#REF!</definedName>
    <definedName name="Bonus_814" localSheetId="31">#REF!</definedName>
    <definedName name="Bonus_814">#REF!</definedName>
    <definedName name="Bonus_815" localSheetId="24">#REF!</definedName>
    <definedName name="Bonus_815" localSheetId="23">#REF!</definedName>
    <definedName name="Bonus_815" localSheetId="33">[4]BD!#REF!</definedName>
    <definedName name="Bonus_815" localSheetId="32">#REF!</definedName>
    <definedName name="Bonus_815" localSheetId="34">[4]BD!#REF!</definedName>
    <definedName name="Bonus_815" localSheetId="31">#REF!</definedName>
    <definedName name="Bonus_815">#REF!</definedName>
    <definedName name="CHILD" localSheetId="24">#REF!</definedName>
    <definedName name="CHILD" localSheetId="23">#REF!</definedName>
    <definedName name="CHILD" localSheetId="33">'[5]Kar Print'!#REF!</definedName>
    <definedName name="CHILD" localSheetId="32">'[6]Kar Print'!#REF!</definedName>
    <definedName name="CHILD" localSheetId="34">'[5]Kar Print'!#REF!</definedName>
    <definedName name="CHILD" localSheetId="31">'[5]Kar Print'!#REF!</definedName>
    <definedName name="CHILD">#REF!</definedName>
    <definedName name="CIII" localSheetId="24">#REF!</definedName>
    <definedName name="CIII" localSheetId="23">#REF!</definedName>
    <definedName name="CIII" localSheetId="33">#REF!</definedName>
    <definedName name="CIII" localSheetId="32">#REF!</definedName>
    <definedName name="CIII" localSheetId="34">#REF!</definedName>
    <definedName name="CIII" localSheetId="31">#REF!</definedName>
    <definedName name="CIII">#REF!</definedName>
    <definedName name="CL_1_E_815" localSheetId="24">#REF!</definedName>
    <definedName name="CL_1_E_815" localSheetId="23">#REF!</definedName>
    <definedName name="CL_1_E_815" localSheetId="33">[4]BD!#REF!</definedName>
    <definedName name="CL_1_E_815" localSheetId="32">#REF!</definedName>
    <definedName name="CL_1_E_815" localSheetId="34">[4]BD!#REF!</definedName>
    <definedName name="CL_1_E_815" localSheetId="31">#REF!</definedName>
    <definedName name="CL_1_E_815">#REF!</definedName>
    <definedName name="CL_1_E_827" localSheetId="24">#REF!</definedName>
    <definedName name="CL_1_E_827" localSheetId="23">#REF!</definedName>
    <definedName name="CL_1_E_827" localSheetId="33">[4]BD!#REF!</definedName>
    <definedName name="CL_1_E_827" localSheetId="32">#REF!</definedName>
    <definedName name="CL_1_E_827" localSheetId="34">[4]BD!#REF!</definedName>
    <definedName name="CL_1_E_827" localSheetId="31">#REF!</definedName>
    <definedName name="CL_1_E_827">#REF!</definedName>
    <definedName name="CL_1_E_833" localSheetId="24">#REF!</definedName>
    <definedName name="CL_1_E_833" localSheetId="23">#REF!</definedName>
    <definedName name="CL_1_E_833" localSheetId="33">[4]BD!#REF!</definedName>
    <definedName name="CL_1_E_833" localSheetId="32">#REF!</definedName>
    <definedName name="CL_1_E_833" localSheetId="34">[4]BD!#REF!</definedName>
    <definedName name="CL_1_E_833" localSheetId="31">#REF!</definedName>
    <definedName name="CL_1_E_833">#REF!</definedName>
    <definedName name="Cl_1_Ext_814" localSheetId="24">#REF!</definedName>
    <definedName name="Cl_1_Ext_814" localSheetId="23">#REF!</definedName>
    <definedName name="Cl_1_Ext_814" localSheetId="33">[4]BD!#REF!</definedName>
    <definedName name="Cl_1_Ext_814" localSheetId="32">#REF!</definedName>
    <definedName name="Cl_1_Ext_814" localSheetId="34">[4]BD!#REF!</definedName>
    <definedName name="Cl_1_Ext_814" localSheetId="31">#REF!</definedName>
    <definedName name="Cl_1_Ext_814">#REF!</definedName>
    <definedName name="FOM" localSheetId="24">#REF!</definedName>
    <definedName name="FOM" localSheetId="23">#REF!</definedName>
    <definedName name="FOM" localSheetId="33">'[5]Kar Print'!#REF!</definedName>
    <definedName name="FOM" localSheetId="32">'[6]Kar Print'!#REF!</definedName>
    <definedName name="FOM" localSheetId="34">'[5]Kar Print'!#REF!</definedName>
    <definedName name="FOM" localSheetId="31">'[5]Kar Print'!#REF!</definedName>
    <definedName name="FOM">#REF!</definedName>
    <definedName name="FPI" localSheetId="33">'[5]Kar Print'!$AJ$4:$AN$68</definedName>
    <definedName name="FPI" localSheetId="32">'[6]Kar Print'!$AJ$4:$AN$68</definedName>
    <definedName name="FPI" localSheetId="34">'[5]Kar Print'!$AJ$4:$AN$68</definedName>
    <definedName name="FPI" localSheetId="31">'[5]Kar Print'!$AJ$4:$AN$68</definedName>
    <definedName name="FPI">#REF!</definedName>
    <definedName name="GSV_814" localSheetId="24">#REF!</definedName>
    <definedName name="GSV_814" localSheetId="23">#REF!</definedName>
    <definedName name="GSV_814" localSheetId="33">[4]BD!#REF!</definedName>
    <definedName name="GSV_814" localSheetId="32">#REF!</definedName>
    <definedName name="GSV_814" localSheetId="34">[4]BD!#REF!</definedName>
    <definedName name="GSV_814" localSheetId="31">#REF!</definedName>
    <definedName name="GSV_814">#REF!</definedName>
    <definedName name="GSV_B_814" localSheetId="24">#REF!</definedName>
    <definedName name="GSV_B_814" localSheetId="23">#REF!</definedName>
    <definedName name="GSV_B_814" localSheetId="33">[4]BD!#REF!</definedName>
    <definedName name="GSV_B_814" localSheetId="32">#REF!</definedName>
    <definedName name="GSV_B_814" localSheetId="34">[4]BD!#REF!</definedName>
    <definedName name="GSV_B_814" localSheetId="31">#REF!</definedName>
    <definedName name="GSV_B_814">#REF!</definedName>
    <definedName name="js" localSheetId="24">#REF!</definedName>
    <definedName name="js" localSheetId="23">#REF!</definedName>
    <definedName name="js" localSheetId="7">#REF!</definedName>
    <definedName name="js" localSheetId="6">#REF!</definedName>
    <definedName name="js" localSheetId="19">#REF!</definedName>
    <definedName name="js" localSheetId="30">#REF!</definedName>
    <definedName name="js" localSheetId="1">#REF!</definedName>
    <definedName name="js" localSheetId="2">#REF!</definedName>
    <definedName name="js" localSheetId="4">#REF!</definedName>
    <definedName name="js" localSheetId="5">#REF!</definedName>
    <definedName name="js" localSheetId="11">#REF!</definedName>
    <definedName name="js" localSheetId="20">#REF!</definedName>
    <definedName name="js" localSheetId="8">#REF!</definedName>
    <definedName name="js" localSheetId="18">#REF!</definedName>
    <definedName name="js" localSheetId="33">#REF!</definedName>
    <definedName name="js" localSheetId="9">#REF!</definedName>
    <definedName name="js" localSheetId="21">#REF!</definedName>
    <definedName name="js" localSheetId="13">#REF!</definedName>
    <definedName name="js" localSheetId="15">#REF!</definedName>
    <definedName name="js" localSheetId="14">#REF!</definedName>
    <definedName name="js" localSheetId="22">#REF!</definedName>
    <definedName name="js" localSheetId="17">#REF!</definedName>
    <definedName name="js" localSheetId="16">#REF!</definedName>
    <definedName name="js" localSheetId="10">#REF!</definedName>
    <definedName name="js" localSheetId="0">#REF!</definedName>
    <definedName name="js" localSheetId="32">#REF!</definedName>
    <definedName name="js" localSheetId="3">#REF!</definedName>
    <definedName name="js" localSheetId="34">#REF!</definedName>
    <definedName name="js" localSheetId="12">#REF!</definedName>
    <definedName name="js" localSheetId="31">#REF!</definedName>
    <definedName name="js">#REF!</definedName>
    <definedName name="LA_RATE" localSheetId="30">[1]Lists!$G$1:$G$20</definedName>
    <definedName name="LA_RATE" localSheetId="26">[2]Lists!$G$1:$G$20</definedName>
    <definedName name="LA_RATE" localSheetId="27">[2]Lists!$G$1:$G$20</definedName>
    <definedName name="LA_RATE">[2]Lists!$G$1:$G$20</definedName>
    <definedName name="List_age1" localSheetId="33">#REF!</definedName>
    <definedName name="List_age1" localSheetId="32">#REF!</definedName>
    <definedName name="List_age1" localSheetId="34">#REF!</definedName>
    <definedName name="List_age1" localSheetId="31">#REF!</definedName>
    <definedName name="List_age1">ECAL!$L$4:$L$63</definedName>
    <definedName name="List_fund" localSheetId="33">#REF!</definedName>
    <definedName name="List_fund" localSheetId="32">#REF!</definedName>
    <definedName name="List_fund" localSheetId="34">#REF!</definedName>
    <definedName name="List_fund" localSheetId="31">#REF!</definedName>
    <definedName name="List_fund">ECAL!$AE$3:$AE$6</definedName>
    <definedName name="list_yesno" localSheetId="33">#REF!</definedName>
    <definedName name="list_yesno" localSheetId="32">#REF!</definedName>
    <definedName name="list_yesno" localSheetId="34">#REF!</definedName>
    <definedName name="list_yesno" localSheetId="31">#REF!</definedName>
    <definedName name="list_yesno">ECAL!$A$19:$A$20</definedName>
    <definedName name="Loan_Amount" localSheetId="24">#REF!</definedName>
    <definedName name="Loan_Amount" localSheetId="23">#REF!</definedName>
    <definedName name="Loan_Amount" localSheetId="33">[4]BD!#REF!</definedName>
    <definedName name="Loan_Amount" localSheetId="32">#REF!</definedName>
    <definedName name="Loan_Amount" localSheetId="34">[4]BD!#REF!</definedName>
    <definedName name="Loan_Amount" localSheetId="31">#REF!</definedName>
    <definedName name="Loan_Amount">#REF!</definedName>
    <definedName name="Loan_Percentage" localSheetId="24">#REF!</definedName>
    <definedName name="Loan_Percentage" localSheetId="23">#REF!</definedName>
    <definedName name="Loan_Percentage" localSheetId="33">[4]BD!#REF!</definedName>
    <definedName name="Loan_Percentage" localSheetId="32">#REF!</definedName>
    <definedName name="Loan_Percentage" localSheetId="34">[4]BD!#REF!</definedName>
    <definedName name="Loan_Percentage" localSheetId="31">#REF!</definedName>
    <definedName name="Loan_Percentage">#REF!</definedName>
    <definedName name="Mode" localSheetId="30">[1]Lists!$C$2:$C$6</definedName>
    <definedName name="Mode" localSheetId="26">[2]Lists!$C$2:$C$6</definedName>
    <definedName name="Mode" localSheetId="1">ECAL!$A$13:$A$17</definedName>
    <definedName name="Mode" localSheetId="27">[2]Lists!$C$2:$C$6</definedName>
    <definedName name="Mode" localSheetId="0">ECAL!$A$13:$A$17</definedName>
    <definedName name="Mode">[2]Lists!$C$2:$C$6</definedName>
    <definedName name="Mode_list" localSheetId="33">#REF!</definedName>
    <definedName name="Mode_list" localSheetId="32">#REF!</definedName>
    <definedName name="Mode_list" localSheetId="34">#REF!</definedName>
    <definedName name="Mode_list" localSheetId="31">#REF!</definedName>
    <definedName name="Mode_list">ECAL!$A$13:$A$17</definedName>
    <definedName name="MOM" localSheetId="24">#REF!</definedName>
    <definedName name="MOM" localSheetId="23">#REF!</definedName>
    <definedName name="MOM" localSheetId="33">'[5]Kar Print'!#REF!</definedName>
    <definedName name="MOM" localSheetId="32">'[6]Kar Print'!#REF!</definedName>
    <definedName name="MOM" localSheetId="34">'[5]Kar Print'!#REF!</definedName>
    <definedName name="MOM" localSheetId="31">'[5]Kar Print'!#REF!</definedName>
    <definedName name="MOM">#REF!</definedName>
    <definedName name="MPI" localSheetId="33">'[5]Kar Print'!$AC$4:$AH$68</definedName>
    <definedName name="MPI" localSheetId="32">'[6]Kar Print'!$AC$4:$AH$68</definedName>
    <definedName name="MPI" localSheetId="34">'[5]Kar Print'!$AC$4:$AH$68</definedName>
    <definedName name="MPI" localSheetId="31">'[5]Kar Print'!$AC$4:$AH$68</definedName>
    <definedName name="MPI">#REF!</definedName>
    <definedName name="Non_Medical" localSheetId="24">#REF!</definedName>
    <definedName name="Non_Medical" localSheetId="23">#REF!</definedName>
    <definedName name="Non_Medical" localSheetId="33">[4]BD!#REF!</definedName>
    <definedName name="Non_Medical" localSheetId="32">#REF!</definedName>
    <definedName name="Non_Medical" localSheetId="34">[4]BD!#REF!</definedName>
    <definedName name="Non_Medical" localSheetId="31">#REF!</definedName>
    <definedName name="Non_Medical">#REF!</definedName>
    <definedName name="Plan1" localSheetId="30">[1]Lists!$A$6:$A$20</definedName>
    <definedName name="Plan1" localSheetId="26">[2]Lists!$A$6:$A$20</definedName>
    <definedName name="Plan1" localSheetId="27">[2]Lists!$A$6:$A$20</definedName>
    <definedName name="Plan1">[2]Lists!$A$6:$A$20</definedName>
    <definedName name="PREM" localSheetId="24">#REF!</definedName>
    <definedName name="PREM" localSheetId="23">#REF!</definedName>
    <definedName name="PREM" localSheetId="7">#REF!</definedName>
    <definedName name="PREM" localSheetId="6">#REF!</definedName>
    <definedName name="PREM" localSheetId="19">#REF!</definedName>
    <definedName name="PREM" localSheetId="30">#REF!</definedName>
    <definedName name="PREM" localSheetId="1">#REF!</definedName>
    <definedName name="PREM" localSheetId="2">#REF!</definedName>
    <definedName name="PREM" localSheetId="4">#REF!</definedName>
    <definedName name="PREM" localSheetId="5">#REF!</definedName>
    <definedName name="PREM" localSheetId="11">#REF!</definedName>
    <definedName name="PREM" localSheetId="20">#REF!</definedName>
    <definedName name="PREM" localSheetId="8">#REF!</definedName>
    <definedName name="PREM" localSheetId="18">#REF!</definedName>
    <definedName name="PREM" localSheetId="33">#REF!</definedName>
    <definedName name="PREM" localSheetId="9">#REF!</definedName>
    <definedName name="PREM" localSheetId="21">#REF!</definedName>
    <definedName name="PREM" localSheetId="13">#REF!</definedName>
    <definedName name="PREM" localSheetId="15">#REF!</definedName>
    <definedName name="PREM" localSheetId="14">#REF!</definedName>
    <definedName name="PREM" localSheetId="22">#REF!</definedName>
    <definedName name="PREM" localSheetId="17">#REF!</definedName>
    <definedName name="PREM" localSheetId="16">#REF!</definedName>
    <definedName name="PREM" localSheetId="10">#REF!</definedName>
    <definedName name="PREM" localSheetId="0">#REF!</definedName>
    <definedName name="PREM" localSheetId="32">#REF!</definedName>
    <definedName name="PREM" localSheetId="3">#REF!</definedName>
    <definedName name="PREM" localSheetId="34">#REF!</definedName>
    <definedName name="PREM" localSheetId="12">#REF!</definedName>
    <definedName name="PREM" localSheetId="31">#REF!</definedName>
    <definedName name="PREM">#REF!</definedName>
    <definedName name="Print" localSheetId="24">#REF!</definedName>
    <definedName name="Print" localSheetId="23">#REF!</definedName>
    <definedName name="Print" localSheetId="33">#REF!</definedName>
    <definedName name="Print" localSheetId="32">#REF!</definedName>
    <definedName name="Print" localSheetId="34">#REF!</definedName>
    <definedName name="Print" localSheetId="31">#REF!</definedName>
    <definedName name="Print">#REF!</definedName>
    <definedName name="_xlnm.Print_Area" localSheetId="24">'AADHAR SHILA'!$B$1:$N$57</definedName>
    <definedName name="_xlnm.Print_Area" localSheetId="23">'AADHAR STUMBH'!$B$1:$N$57</definedName>
    <definedName name="_xlnm.Print_Area" localSheetId="7">'AMULYA JEEVAN'!$B$1:$L$62</definedName>
    <definedName name="_xlnm.Print_Area" localSheetId="6">'Anmol Jeevan'!$B$1:$L$57</definedName>
    <definedName name="_xlnm.Print_Area" localSheetId="19">'CHILDRENS MONEY'!$B$1:$M$59</definedName>
    <definedName name="_xlnm.Print_Area" localSheetId="30">CIBR!$B$1:$M$61</definedName>
    <definedName name="_xlnm.Print_Area" localSheetId="11">'JEEVAN LABH'!$A$1:$L$60</definedName>
    <definedName name="_xlnm.Print_Area" localSheetId="20">'JEEVAN LAKSHYA'!$B$1:$M$108</definedName>
    <definedName name="_xlnm.Print_Area" localSheetId="8">'JEEVAN RAKSHAK'!$B$1:$N$55</definedName>
    <definedName name="_xlnm.Print_Area" localSheetId="18">'JEEVAN TARUN'!$B$1:$M$60</definedName>
    <definedName name="_xlnm.Print_Area" localSheetId="9">'LP ENDOWMENT'!$A$1:$L$55</definedName>
    <definedName name="_xlnm.Print_Area" localSheetId="21">N.J.NIDHI!$B$1:$M$63</definedName>
    <definedName name="_xlnm.Print_Area" localSheetId="13">'NEW BIMA BACHAT'!$A$1:$M$54</definedName>
    <definedName name="_xlnm.Print_Area" localSheetId="15">'NEW ENDOWMENT'!$B$1:$M$66</definedName>
    <definedName name="_xlnm.Print_Area" localSheetId="14">'NEW JEEVAN ANAND'!$B$1:$M$65</definedName>
    <definedName name="_xlnm.Print_Area" localSheetId="22">'NEW JEEVAN NIDHI'!$B$1:$M$63</definedName>
    <definedName name="_xlnm.Print_Area" localSheetId="17">'NEW MONEY 20Yrs '!$A$1:$N$64</definedName>
    <definedName name="_xlnm.Print_Area" localSheetId="16">'NEW MONEY 25Yrs'!$B$1:$N$66</definedName>
    <definedName name="_xlnm.Print_Area" localSheetId="10">PRAGATHI!$A$1:$L$59</definedName>
    <definedName name="_xlnm.Print_Area" localSheetId="0">'Print EPLUS'!$B$1:$R$57</definedName>
    <definedName name="_xlnm.Print_Area" localSheetId="32">PrintU!$B$1:$M$181</definedName>
    <definedName name="_xlnm.Print_Area" localSheetId="3">PRJA!$A$1:$K$192</definedName>
    <definedName name="_xlnm.Print_Area" localSheetId="34">PRJU!$A$1:$K$60</definedName>
    <definedName name="_xlnm.Print_Area" localSheetId="12">'SINGLE PREMIUM ENDOWMENT'!$B$1:$M$62</definedName>
    <definedName name="PWB_832" localSheetId="24">#REF!</definedName>
    <definedName name="PWB_832" localSheetId="23">#REF!</definedName>
    <definedName name="PWB_832" localSheetId="33">[4]BD!#REF!</definedName>
    <definedName name="PWB_832" localSheetId="32">#REF!</definedName>
    <definedName name="PWB_832" localSheetId="34">[4]BD!#REF!</definedName>
    <definedName name="PWB_832" localSheetId="31">#REF!</definedName>
    <definedName name="PWB_832">#REF!</definedName>
    <definedName name="RE" localSheetId="24">#REF!</definedName>
    <definedName name="RE" localSheetId="23">#REF!</definedName>
    <definedName name="RE" localSheetId="7">#REF!</definedName>
    <definedName name="RE" localSheetId="6">#REF!</definedName>
    <definedName name="RE" localSheetId="19">#REF!</definedName>
    <definedName name="RE" localSheetId="30">#REF!</definedName>
    <definedName name="RE" localSheetId="1">#REF!</definedName>
    <definedName name="RE" localSheetId="2">#REF!</definedName>
    <definedName name="RE" localSheetId="4">#REF!</definedName>
    <definedName name="RE" localSheetId="5">#REF!</definedName>
    <definedName name="RE" localSheetId="11">#REF!</definedName>
    <definedName name="RE" localSheetId="20">#REF!</definedName>
    <definedName name="RE" localSheetId="8">#REF!</definedName>
    <definedName name="RE" localSheetId="18">#REF!</definedName>
    <definedName name="RE" localSheetId="33">#REF!</definedName>
    <definedName name="RE" localSheetId="9">#REF!</definedName>
    <definedName name="RE" localSheetId="21">#REF!</definedName>
    <definedName name="RE" localSheetId="13">#REF!</definedName>
    <definedName name="RE" localSheetId="15">#REF!</definedName>
    <definedName name="RE" localSheetId="14">#REF!</definedName>
    <definedName name="RE" localSheetId="22">#REF!</definedName>
    <definedName name="RE" localSheetId="17">#REF!</definedName>
    <definedName name="RE" localSheetId="16">#REF!</definedName>
    <definedName name="RE" localSheetId="10">#REF!</definedName>
    <definedName name="RE" localSheetId="0">#REF!</definedName>
    <definedName name="RE" localSheetId="32">#REF!</definedName>
    <definedName name="RE" localSheetId="3">#REF!</definedName>
    <definedName name="RE" localSheetId="34">#REF!</definedName>
    <definedName name="RE" localSheetId="12">#REF!</definedName>
    <definedName name="RE" localSheetId="31">#REF!</definedName>
    <definedName name="RE">#REF!</definedName>
    <definedName name="Salute" localSheetId="30">[1]Lists!$E$2:$E$9</definedName>
    <definedName name="Salute" localSheetId="26">[2]Lists!$E$2:$E$9</definedName>
    <definedName name="Salute" localSheetId="27">[2]Lists!$E$2:$E$9</definedName>
    <definedName name="Salute">[2]Lists!$E$2:$E$9</definedName>
    <definedName name="SReports" localSheetId="24">#REF!</definedName>
    <definedName name="SReports" localSheetId="23">#REF!</definedName>
    <definedName name="SReports" localSheetId="33">[4]BD!#REF!</definedName>
    <definedName name="SReports" localSheetId="32">#REF!</definedName>
    <definedName name="SReports" localSheetId="34">[4]BD!#REF!</definedName>
    <definedName name="SReports" localSheetId="31">#REF!</definedName>
    <definedName name="SReports">#REF!</definedName>
    <definedName name="SSV_A1" localSheetId="24">#REF!</definedName>
    <definedName name="SSV_A1" localSheetId="23">#REF!</definedName>
    <definedName name="SSV_A1" localSheetId="33">[4]BD!#REF!</definedName>
    <definedName name="SSV_A1" localSheetId="32">#REF!</definedName>
    <definedName name="SSV_A1" localSheetId="34">[4]BD!#REF!</definedName>
    <definedName name="SSV_A1" localSheetId="31">#REF!</definedName>
    <definedName name="SSV_A1">#REF!</definedName>
    <definedName name="Surrender_Amt" localSheetId="24">#REF!</definedName>
    <definedName name="Surrender_Amt" localSheetId="23">#REF!</definedName>
    <definedName name="Surrender_Amt" localSheetId="33">[4]BD!#REF!</definedName>
    <definedName name="Surrender_Amt" localSheetId="32">#REF!</definedName>
    <definedName name="Surrender_Amt" localSheetId="34">[4]BD!#REF!</definedName>
    <definedName name="Surrender_Amt" localSheetId="31">#REF!</definedName>
    <definedName name="Surrender_Amt">#REF!</definedName>
    <definedName name="tarun_option" localSheetId="30">[1]Lists!$C$11:$C$14</definedName>
    <definedName name="tarun_option" localSheetId="26">[2]Lists!$C$11:$C$14</definedName>
    <definedName name="tarun_option" localSheetId="27">[2]Lists!$C$11:$C$14</definedName>
    <definedName name="tarun_option">[2]Lists!$C$11:$C$14</definedName>
    <definedName name="Ter_List" localSheetId="33">#REF!</definedName>
    <definedName name="Ter_List" localSheetId="32">#REF!</definedName>
    <definedName name="Ter_List" localSheetId="34">#REF!</definedName>
    <definedName name="Ter_List" localSheetId="31">#REF!</definedName>
    <definedName name="Ter_List">ECAL!$G$4:$G$63</definedName>
    <definedName name="Term" localSheetId="30">'[1]look Data'!$E$170:$E$269</definedName>
    <definedName name="Term" localSheetId="26">'[2]look Data'!$E$170:$E$269</definedName>
    <definedName name="Term" localSheetId="27">'[2]look Data'!$E$170:$E$269</definedName>
    <definedName name="Term">'[2]look Data'!$E$170:$E$269</definedName>
    <definedName name="Term_List" localSheetId="33">#REF!</definedName>
    <definedName name="Term_List" localSheetId="32">#REF!</definedName>
    <definedName name="Term_List" localSheetId="34">#REF!</definedName>
    <definedName name="Term_List" localSheetId="31">#REF!</definedName>
    <definedName name="Term_List">ECAL!$G$4:$G$63</definedName>
    <definedName name="TP_814" localSheetId="24">#REF!</definedName>
    <definedName name="TP_814" localSheetId="23">#REF!</definedName>
    <definedName name="TP_814" localSheetId="33">[4]BD!#REF!</definedName>
    <definedName name="TP_814" localSheetId="32">#REF!</definedName>
    <definedName name="TP_814" localSheetId="34">[4]BD!#REF!</definedName>
    <definedName name="TP_814" localSheetId="31">#REF!</definedName>
    <definedName name="TP_814">#REF!</definedName>
    <definedName name="TP_815" localSheetId="24">#REF!</definedName>
    <definedName name="TP_815" localSheetId="23">#REF!</definedName>
    <definedName name="TP_815" localSheetId="33">[4]BD!#REF!</definedName>
    <definedName name="TP_815" localSheetId="32">#REF!</definedName>
    <definedName name="TP_815" localSheetId="34">[4]BD!#REF!</definedName>
    <definedName name="TP_815" localSheetId="31">#REF!</definedName>
    <definedName name="TP_815">#REF!</definedName>
    <definedName name="TP_816" localSheetId="24">#REF!</definedName>
    <definedName name="TP_816" localSheetId="23">#REF!</definedName>
    <definedName name="TP_816" localSheetId="33">[4]BD!#REF!</definedName>
    <definedName name="TP_816" localSheetId="32">#REF!</definedName>
    <definedName name="TP_816" localSheetId="34">[4]BD!#REF!</definedName>
    <definedName name="TP_816" localSheetId="31">#REF!</definedName>
    <definedName name="TP_816">#REF!</definedName>
    <definedName name="TP_820" localSheetId="24">#REF!</definedName>
    <definedName name="TP_820" localSheetId="23">#REF!</definedName>
    <definedName name="TP_820" localSheetId="33">[4]BD!#REF!</definedName>
    <definedName name="TP_820" localSheetId="32">#REF!</definedName>
    <definedName name="TP_820" localSheetId="34">[4]BD!#REF!</definedName>
    <definedName name="TP_820" localSheetId="31">#REF!</definedName>
    <definedName name="TP_820">#REF!</definedName>
    <definedName name="TP_821" localSheetId="24">#REF!</definedName>
    <definedName name="TP_821" localSheetId="23">#REF!</definedName>
    <definedName name="TP_821" localSheetId="33">[4]BD!#REF!</definedName>
    <definedName name="TP_821" localSheetId="32">#REF!</definedName>
    <definedName name="TP_821" localSheetId="34">[4]BD!#REF!</definedName>
    <definedName name="TP_821" localSheetId="31">#REF!</definedName>
    <definedName name="TP_821">#REF!</definedName>
    <definedName name="TP_822" localSheetId="24">#REF!</definedName>
    <definedName name="TP_822" localSheetId="23">#REF!</definedName>
    <definedName name="TP_822" localSheetId="33">[4]BD!#REF!</definedName>
    <definedName name="TP_822" localSheetId="32">#REF!</definedName>
    <definedName name="TP_822" localSheetId="34">[4]BD!#REF!</definedName>
    <definedName name="TP_822" localSheetId="31">#REF!</definedName>
    <definedName name="TP_822">#REF!</definedName>
    <definedName name="TP_823" localSheetId="24">#REF!</definedName>
    <definedName name="TP_823" localSheetId="23">#REF!</definedName>
    <definedName name="TP_823" localSheetId="33">[4]BD!#REF!</definedName>
    <definedName name="TP_823" localSheetId="32">#REF!</definedName>
    <definedName name="TP_823" localSheetId="34">[4]BD!#REF!</definedName>
    <definedName name="TP_823" localSheetId="31">#REF!</definedName>
    <definedName name="TP_823">#REF!</definedName>
    <definedName name="TP_827" localSheetId="24">#REF!</definedName>
    <definedName name="TP_827" localSheetId="23">#REF!</definedName>
    <definedName name="TP_827" localSheetId="33">[4]BD!#REF!</definedName>
    <definedName name="TP_827" localSheetId="32">#REF!</definedName>
    <definedName name="TP_827" localSheetId="34">[4]BD!#REF!</definedName>
    <definedName name="TP_827" localSheetId="31">#REF!</definedName>
    <definedName name="TP_827">#REF!</definedName>
    <definedName name="TP_832" localSheetId="24">#REF!</definedName>
    <definedName name="TP_832" localSheetId="23">#REF!</definedName>
    <definedName name="TP_832" localSheetId="33">[4]BD!#REF!</definedName>
    <definedName name="TP_832" localSheetId="32">#REF!</definedName>
    <definedName name="TP_832" localSheetId="34">[4]BD!#REF!</definedName>
    <definedName name="TP_832" localSheetId="31">#REF!</definedName>
    <definedName name="TP_832">#REF!</definedName>
    <definedName name="TP_833" localSheetId="24">#REF!</definedName>
    <definedName name="TP_833" localSheetId="23">#REF!</definedName>
    <definedName name="TP_833" localSheetId="33">[4]BD!#REF!</definedName>
    <definedName name="TP_833" localSheetId="32">#REF!</definedName>
    <definedName name="TP_833" localSheetId="34">[4]BD!#REF!</definedName>
    <definedName name="TP_833" localSheetId="31">#REF!</definedName>
    <definedName name="TP_833">#REF!</definedName>
    <definedName name="TR__CL_1_E_833" localSheetId="24">#REF!</definedName>
    <definedName name="TR__CL_1_E_833" localSheetId="23">#REF!</definedName>
    <definedName name="TR__CL_1_E_833" localSheetId="33">[4]BD!#REF!</definedName>
    <definedName name="TR__CL_1_E_833" localSheetId="32">#REF!</definedName>
    <definedName name="TR__CL_1_E_833" localSheetId="34">[4]BD!#REF!</definedName>
    <definedName name="TR__CL_1_E_833" localSheetId="31">#REF!</definedName>
    <definedName name="TR__CL_1_E_833">#REF!</definedName>
    <definedName name="TR_814_815_904" localSheetId="24">#REF!</definedName>
    <definedName name="TR_814_815_904" localSheetId="23">#REF!</definedName>
    <definedName name="TR_814_815_904" localSheetId="33">[4]BD!#REF!</definedName>
    <definedName name="TR_814_815_904" localSheetId="32">#REF!</definedName>
    <definedName name="TR_814_815_904" localSheetId="34">[4]BD!#REF!</definedName>
    <definedName name="TR_814_815_904" localSheetId="31">#REF!</definedName>
    <definedName name="TR_814_815_904">#REF!</definedName>
    <definedName name="TR_833" localSheetId="24">#REF!</definedName>
    <definedName name="TR_833" localSheetId="23">#REF!</definedName>
    <definedName name="TR_833" localSheetId="33">[4]BD!#REF!</definedName>
    <definedName name="TR_833" localSheetId="32">#REF!</definedName>
    <definedName name="TR_833" localSheetId="34">[4]BD!#REF!</definedName>
    <definedName name="TR_833" localSheetId="31">#REF!</definedName>
    <definedName name="TR_833">#REF!</definedName>
    <definedName name="xl" localSheetId="33">#REF!</definedName>
    <definedName name="xl" localSheetId="34">#REF!</definedName>
    <definedName name="xl">#REF!</definedName>
    <definedName name="YesNo" localSheetId="30">[1]Lists!$A$2:$A$3</definedName>
    <definedName name="YesNo" localSheetId="26">[2]Lists!$A$2:$A$3</definedName>
    <definedName name="YesNo" localSheetId="27">[2]Lists!$A$2:$A$3</definedName>
    <definedName name="YesNo">[2]Lists!$A$2:$A$3</definedName>
    <definedName name="Z_C2E806C3_B4A7_424D_905C_7D5C14397515__wvu_PrintArea" localSheetId="24">#REF!</definedName>
    <definedName name="Z_C2E806C3_B4A7_424D_905C_7D5C14397515__wvu_PrintArea" localSheetId="23">#REF!</definedName>
    <definedName name="Z_C2E806C3_B4A7_424D_905C_7D5C14397515__wvu_PrintArea" localSheetId="7">#REF!</definedName>
    <definedName name="Z_C2E806C3_B4A7_424D_905C_7D5C14397515__wvu_PrintArea" localSheetId="6">#REF!</definedName>
    <definedName name="Z_C2E806C3_B4A7_424D_905C_7D5C14397515__wvu_PrintArea" localSheetId="19">#REF!</definedName>
    <definedName name="Z_C2E806C3_B4A7_424D_905C_7D5C14397515__wvu_PrintArea" localSheetId="30">#REF!</definedName>
    <definedName name="Z_C2E806C3_B4A7_424D_905C_7D5C14397515__wvu_PrintArea" localSheetId="1">#REF!</definedName>
    <definedName name="Z_C2E806C3_B4A7_424D_905C_7D5C14397515__wvu_PrintArea" localSheetId="2">#REF!</definedName>
    <definedName name="Z_C2E806C3_B4A7_424D_905C_7D5C14397515__wvu_PrintArea" localSheetId="4">#REF!</definedName>
    <definedName name="Z_C2E806C3_B4A7_424D_905C_7D5C14397515__wvu_PrintArea" localSheetId="5">#REF!</definedName>
    <definedName name="Z_C2E806C3_B4A7_424D_905C_7D5C14397515__wvu_PrintArea" localSheetId="11">#REF!</definedName>
    <definedName name="Z_C2E806C3_B4A7_424D_905C_7D5C14397515__wvu_PrintArea" localSheetId="20">#REF!</definedName>
    <definedName name="Z_C2E806C3_B4A7_424D_905C_7D5C14397515__wvu_PrintArea" localSheetId="8">#REF!</definedName>
    <definedName name="Z_C2E806C3_B4A7_424D_905C_7D5C14397515__wvu_PrintArea" localSheetId="18">#REF!</definedName>
    <definedName name="Z_C2E806C3_B4A7_424D_905C_7D5C14397515__wvu_PrintArea" localSheetId="33">#REF!</definedName>
    <definedName name="Z_C2E806C3_B4A7_424D_905C_7D5C14397515__wvu_PrintArea" localSheetId="9">#REF!</definedName>
    <definedName name="Z_C2E806C3_B4A7_424D_905C_7D5C14397515__wvu_PrintArea" localSheetId="21">#REF!</definedName>
    <definedName name="Z_C2E806C3_B4A7_424D_905C_7D5C14397515__wvu_PrintArea" localSheetId="13">#REF!</definedName>
    <definedName name="Z_C2E806C3_B4A7_424D_905C_7D5C14397515__wvu_PrintArea" localSheetId="15">#REF!</definedName>
    <definedName name="Z_C2E806C3_B4A7_424D_905C_7D5C14397515__wvu_PrintArea" localSheetId="14">#REF!</definedName>
    <definedName name="Z_C2E806C3_B4A7_424D_905C_7D5C14397515__wvu_PrintArea" localSheetId="22">#REF!</definedName>
    <definedName name="Z_C2E806C3_B4A7_424D_905C_7D5C14397515__wvu_PrintArea" localSheetId="17">#REF!</definedName>
    <definedName name="Z_C2E806C3_B4A7_424D_905C_7D5C14397515__wvu_PrintArea" localSheetId="16">#REF!</definedName>
    <definedName name="Z_C2E806C3_B4A7_424D_905C_7D5C14397515__wvu_PrintArea" localSheetId="10">#REF!</definedName>
    <definedName name="Z_C2E806C3_B4A7_424D_905C_7D5C14397515__wvu_PrintArea" localSheetId="0">#REF!</definedName>
    <definedName name="Z_C2E806C3_B4A7_424D_905C_7D5C14397515__wvu_PrintArea" localSheetId="32">#REF!</definedName>
    <definedName name="Z_C2E806C3_B4A7_424D_905C_7D5C14397515__wvu_PrintArea" localSheetId="3">#REF!</definedName>
    <definedName name="Z_C2E806C3_B4A7_424D_905C_7D5C14397515__wvu_PrintArea" localSheetId="34">#REF!</definedName>
    <definedName name="Z_C2E806C3_B4A7_424D_905C_7D5C14397515__wvu_PrintArea" localSheetId="12">#REF!</definedName>
    <definedName name="Z_C2E806C3_B4A7_424D_905C_7D5C14397515__wvu_PrintArea" localSheetId="31">#REF!</definedName>
    <definedName name="Z_C2E806C3_B4A7_424D_905C_7D5C14397515__wvu_PrintArea">#REF!</definedName>
    <definedName name="Z_C2E806C3_B4A7_424D_905C_7D5C14397515__wvu_Rows" localSheetId="24">#REF!</definedName>
    <definedName name="Z_C2E806C3_B4A7_424D_905C_7D5C14397515__wvu_Rows" localSheetId="23">#REF!</definedName>
    <definedName name="Z_C2E806C3_B4A7_424D_905C_7D5C14397515__wvu_Rows" localSheetId="7">#REF!</definedName>
    <definedName name="Z_C2E806C3_B4A7_424D_905C_7D5C14397515__wvu_Rows" localSheetId="6">#REF!</definedName>
    <definedName name="Z_C2E806C3_B4A7_424D_905C_7D5C14397515__wvu_Rows" localSheetId="19">#REF!</definedName>
    <definedName name="Z_C2E806C3_B4A7_424D_905C_7D5C14397515__wvu_Rows" localSheetId="30">#REF!</definedName>
    <definedName name="Z_C2E806C3_B4A7_424D_905C_7D5C14397515__wvu_Rows" localSheetId="1">#REF!</definedName>
    <definedName name="Z_C2E806C3_B4A7_424D_905C_7D5C14397515__wvu_Rows" localSheetId="2">#REF!</definedName>
    <definedName name="Z_C2E806C3_B4A7_424D_905C_7D5C14397515__wvu_Rows" localSheetId="4">#REF!</definedName>
    <definedName name="Z_C2E806C3_B4A7_424D_905C_7D5C14397515__wvu_Rows" localSheetId="5">#REF!</definedName>
    <definedName name="Z_C2E806C3_B4A7_424D_905C_7D5C14397515__wvu_Rows" localSheetId="11">#REF!</definedName>
    <definedName name="Z_C2E806C3_B4A7_424D_905C_7D5C14397515__wvu_Rows" localSheetId="20">#REF!</definedName>
    <definedName name="Z_C2E806C3_B4A7_424D_905C_7D5C14397515__wvu_Rows" localSheetId="8">#REF!</definedName>
    <definedName name="Z_C2E806C3_B4A7_424D_905C_7D5C14397515__wvu_Rows" localSheetId="18">#REF!</definedName>
    <definedName name="Z_C2E806C3_B4A7_424D_905C_7D5C14397515__wvu_Rows" localSheetId="33">#REF!</definedName>
    <definedName name="Z_C2E806C3_B4A7_424D_905C_7D5C14397515__wvu_Rows" localSheetId="9">#REF!</definedName>
    <definedName name="Z_C2E806C3_B4A7_424D_905C_7D5C14397515__wvu_Rows" localSheetId="21">#REF!</definedName>
    <definedName name="Z_C2E806C3_B4A7_424D_905C_7D5C14397515__wvu_Rows" localSheetId="13">#REF!</definedName>
    <definedName name="Z_C2E806C3_B4A7_424D_905C_7D5C14397515__wvu_Rows" localSheetId="15">#REF!</definedName>
    <definedName name="Z_C2E806C3_B4A7_424D_905C_7D5C14397515__wvu_Rows" localSheetId="14">#REF!</definedName>
    <definedName name="Z_C2E806C3_B4A7_424D_905C_7D5C14397515__wvu_Rows" localSheetId="22">#REF!</definedName>
    <definedName name="Z_C2E806C3_B4A7_424D_905C_7D5C14397515__wvu_Rows" localSheetId="17">#REF!</definedName>
    <definedName name="Z_C2E806C3_B4A7_424D_905C_7D5C14397515__wvu_Rows" localSheetId="16">#REF!</definedName>
    <definedName name="Z_C2E806C3_B4A7_424D_905C_7D5C14397515__wvu_Rows" localSheetId="10">#REF!</definedName>
    <definedName name="Z_C2E806C3_B4A7_424D_905C_7D5C14397515__wvu_Rows" localSheetId="0">#REF!</definedName>
    <definedName name="Z_C2E806C3_B4A7_424D_905C_7D5C14397515__wvu_Rows" localSheetId="32">#REF!</definedName>
    <definedName name="Z_C2E806C3_B4A7_424D_905C_7D5C14397515__wvu_Rows" localSheetId="3">#REF!</definedName>
    <definedName name="Z_C2E806C3_B4A7_424D_905C_7D5C14397515__wvu_Rows" localSheetId="34">#REF!</definedName>
    <definedName name="Z_C2E806C3_B4A7_424D_905C_7D5C14397515__wvu_Rows" localSheetId="12">#REF!</definedName>
    <definedName name="Z_C2E806C3_B4A7_424D_905C_7D5C14397515__wvu_Rows" localSheetId="31">#REF!</definedName>
    <definedName name="Z_C2E806C3_B4A7_424D_905C_7D5C14397515__wvu_Rows">#REF!</definedName>
  </definedNames>
  <calcPr calcId="124519"/>
</workbook>
</file>

<file path=xl/calcChain.xml><?xml version="1.0" encoding="utf-8"?>
<calcChain xmlns="http://schemas.openxmlformats.org/spreadsheetml/2006/main">
  <c r="G53" i="108"/>
  <c r="G54"/>
  <c r="G55"/>
  <c r="G56"/>
  <c r="G57"/>
  <c r="G58"/>
  <c r="G52"/>
  <c r="J3" l="1"/>
  <c r="J9"/>
  <c r="J10"/>
  <c r="B11"/>
  <c r="J11"/>
  <c r="B26"/>
  <c r="C26"/>
  <c r="C27" s="1"/>
  <c r="C28" s="1"/>
  <c r="C29" s="1"/>
  <c r="C30" s="1"/>
  <c r="C31" s="1"/>
  <c r="C32" s="1"/>
  <c r="C33" s="1"/>
  <c r="C34" s="1"/>
  <c r="C35" s="1"/>
  <c r="C36" s="1"/>
  <c r="C37" s="1"/>
  <c r="C38" s="1"/>
  <c r="C39" s="1"/>
  <c r="C40" s="1"/>
  <c r="C41" s="1"/>
  <c r="C42" s="1"/>
  <c r="C43" s="1"/>
  <c r="C44" s="1"/>
  <c r="C45" s="1"/>
  <c r="C46" s="1"/>
  <c r="C47" s="1"/>
  <c r="C48" s="1"/>
  <c r="C49" s="1"/>
  <c r="H26"/>
  <c r="B27"/>
  <c r="B28"/>
  <c r="B29"/>
  <c r="B30"/>
  <c r="B31"/>
  <c r="B32"/>
  <c r="B33"/>
  <c r="B34"/>
  <c r="B35"/>
  <c r="B36"/>
  <c r="B37"/>
  <c r="B38"/>
  <c r="B39"/>
  <c r="B40"/>
  <c r="B41"/>
  <c r="B42"/>
  <c r="B43"/>
  <c r="B44"/>
  <c r="B45"/>
  <c r="B46"/>
  <c r="B47"/>
  <c r="B48"/>
  <c r="B49"/>
  <c r="P57"/>
  <c r="D6" i="107"/>
  <c r="H17" i="108" s="1"/>
  <c r="AB7" i="107"/>
  <c r="AC7" s="1"/>
  <c r="AF7"/>
  <c r="AG7"/>
  <c r="AH7"/>
  <c r="AJ9"/>
  <c r="AN9"/>
  <c r="AI10"/>
  <c r="AE16" s="1"/>
  <c r="AJ10"/>
  <c r="AN10"/>
  <c r="H11"/>
  <c r="AJ11"/>
  <c r="AN11"/>
  <c r="H12"/>
  <c r="AJ12"/>
  <c r="AN12"/>
  <c r="K13"/>
  <c r="AJ13"/>
  <c r="AN13"/>
  <c r="AJ14"/>
  <c r="AN14"/>
  <c r="AJ15"/>
  <c r="AN15"/>
  <c r="AJ16"/>
  <c r="AN16"/>
  <c r="AJ17"/>
  <c r="AN17"/>
  <c r="AJ18"/>
  <c r="AN18"/>
  <c r="AI19"/>
  <c r="AI20" s="1"/>
  <c r="AJ19"/>
  <c r="AN19"/>
  <c r="AJ20"/>
  <c r="AN20"/>
  <c r="AI21"/>
  <c r="AJ21"/>
  <c r="AN21"/>
  <c r="AF22"/>
  <c r="AI22"/>
  <c r="AJ22"/>
  <c r="AN22"/>
  <c r="AI23"/>
  <c r="AJ23"/>
  <c r="AN23"/>
  <c r="AI24"/>
  <c r="AJ24"/>
  <c r="AN24"/>
  <c r="AI25"/>
  <c r="AI26" s="1"/>
  <c r="AJ25"/>
  <c r="AN25"/>
  <c r="AJ26"/>
  <c r="AN26"/>
  <c r="AI27"/>
  <c r="AJ27"/>
  <c r="AN27"/>
  <c r="AF28"/>
  <c r="AF26" s="1"/>
  <c r="AI28"/>
  <c r="AJ28"/>
  <c r="AN28"/>
  <c r="AI29"/>
  <c r="AI30" s="1"/>
  <c r="AJ29"/>
  <c r="AN29"/>
  <c r="AJ30"/>
  <c r="AN30"/>
  <c r="AI31"/>
  <c r="AJ31"/>
  <c r="AN31"/>
  <c r="AI32"/>
  <c r="AI33"/>
  <c r="AF34"/>
  <c r="P53" i="108" s="1"/>
  <c r="AK34" i="107"/>
  <c r="AJ39"/>
  <c r="AJ41"/>
  <c r="AK35" l="1"/>
  <c r="AL36" s="1"/>
  <c r="AN38"/>
  <c r="AN36"/>
  <c r="C53" i="108"/>
  <c r="C54"/>
  <c r="C55"/>
  <c r="AL38" i="107"/>
  <c r="AL39" s="1"/>
  <c r="AK43" s="1"/>
  <c r="AL37"/>
  <c r="AI7"/>
  <c r="AE18" s="1"/>
  <c r="P52" i="108"/>
  <c r="E53"/>
  <c r="P55"/>
  <c r="P54"/>
  <c r="E54"/>
  <c r="B54"/>
  <c r="P51"/>
  <c r="AF12" i="107"/>
  <c r="AE13"/>
  <c r="AL41"/>
  <c r="AK36"/>
  <c r="AM36"/>
  <c r="AK37"/>
  <c r="AM37"/>
  <c r="AK38"/>
  <c r="AM38"/>
  <c r="I15"/>
  <c r="I16"/>
  <c r="I17"/>
  <c r="AN37" l="1"/>
  <c r="AN39"/>
  <c r="AK45" s="1"/>
  <c r="E55" i="108"/>
  <c r="AM39" i="107"/>
  <c r="AK44" s="1"/>
  <c r="AK39"/>
  <c r="AK42" s="1"/>
  <c r="AK41" s="1"/>
  <c r="AG41" s="1"/>
  <c r="AH41" s="1"/>
  <c r="N10" s="1"/>
  <c r="P50" i="108"/>
  <c r="A51" s="1"/>
  <c r="E52"/>
  <c r="AF13" i="107"/>
  <c r="AF14" s="1"/>
  <c r="AH15"/>
  <c r="AE15"/>
  <c r="AE17" s="1"/>
  <c r="P56" i="108" l="1"/>
  <c r="P58" s="1"/>
  <c r="B57" s="1"/>
  <c r="E19" i="107"/>
  <c r="H15" i="108" s="1"/>
  <c r="D26"/>
  <c r="AH13" i="107"/>
  <c r="AE19"/>
  <c r="AE20" s="1"/>
  <c r="AQ14"/>
  <c r="E31" i="108" s="1"/>
  <c r="AQ15" i="107"/>
  <c r="E32" i="108" s="1"/>
  <c r="AQ16" i="107"/>
  <c r="E33" i="108" s="1"/>
  <c r="AQ20" i="107"/>
  <c r="E37" i="108" s="1"/>
  <c r="AQ21" i="107"/>
  <c r="E38" i="108" s="1"/>
  <c r="AQ26" i="107"/>
  <c r="E43" i="108" s="1"/>
  <c r="AQ27" i="107"/>
  <c r="E44" i="108" s="1"/>
  <c r="AQ9" i="107"/>
  <c r="E26" i="108" s="1"/>
  <c r="AQ10" i="107"/>
  <c r="E27" i="108" s="1"/>
  <c r="AQ11" i="107"/>
  <c r="E28" i="108" s="1"/>
  <c r="AI12" i="107"/>
  <c r="AI13" s="1"/>
  <c r="AQ17"/>
  <c r="E34" i="108" s="1"/>
  <c r="AQ18" i="107"/>
  <c r="E35" i="108" s="1"/>
  <c r="AQ22" i="107"/>
  <c r="E39" i="108" s="1"/>
  <c r="AQ23" i="107"/>
  <c r="E40" i="108" s="1"/>
  <c r="AQ24" i="107"/>
  <c r="E41" i="108" s="1"/>
  <c r="AQ25" i="107"/>
  <c r="E42" i="108" s="1"/>
  <c r="AQ30" i="107"/>
  <c r="E47" i="108" s="1"/>
  <c r="AQ12" i="107"/>
  <c r="E29" i="108" s="1"/>
  <c r="AQ13" i="107"/>
  <c r="E30" i="108" s="1"/>
  <c r="AQ19" i="107"/>
  <c r="E36" i="108" s="1"/>
  <c r="AQ28" i="107"/>
  <c r="E45" i="108" s="1"/>
  <c r="AQ29" i="107"/>
  <c r="E46" i="108" s="1"/>
  <c r="AQ31" i="107"/>
  <c r="E49" i="108" l="1"/>
  <c r="E48"/>
  <c r="AR9" i="107"/>
  <c r="F26" i="108" s="1"/>
  <c r="AR10" i="107"/>
  <c r="F27" i="108" s="1"/>
  <c r="AR11" i="107"/>
  <c r="F28" i="108" s="1"/>
  <c r="AR12" i="107"/>
  <c r="F29" i="108" s="1"/>
  <c r="AR13" i="107"/>
  <c r="F30" i="108" s="1"/>
  <c r="AI14" i="107"/>
  <c r="AR17"/>
  <c r="F34" i="108" s="1"/>
  <c r="AR18" i="107"/>
  <c r="F35" i="108" s="1"/>
  <c r="AR19" i="107"/>
  <c r="F36" i="108" s="1"/>
  <c r="AR22" i="107"/>
  <c r="F39" i="108" s="1"/>
  <c r="AR23" i="107"/>
  <c r="F40" i="108" s="1"/>
  <c r="AR24" i="107"/>
  <c r="F41" i="108" s="1"/>
  <c r="AR25" i="107"/>
  <c r="F42" i="108" s="1"/>
  <c r="AR28" i="107"/>
  <c r="F45" i="108" s="1"/>
  <c r="AR29" i="107"/>
  <c r="F46" i="108" s="1"/>
  <c r="AR30" i="107"/>
  <c r="F47" i="108" s="1"/>
  <c r="AR31" i="107"/>
  <c r="AR14"/>
  <c r="F31" i="108" s="1"/>
  <c r="AR16" i="107"/>
  <c r="F33" i="108" s="1"/>
  <c r="AR20" i="107"/>
  <c r="F37" i="108" s="1"/>
  <c r="AR27" i="107"/>
  <c r="F44" i="108" s="1"/>
  <c r="AR15" i="107"/>
  <c r="F32" i="108" s="1"/>
  <c r="AR21" i="107"/>
  <c r="F38" i="108" s="1"/>
  <c r="AR26" i="107"/>
  <c r="F43" i="108" s="1"/>
  <c r="AM9" i="107"/>
  <c r="AO9" s="1"/>
  <c r="G26" i="108" s="1"/>
  <c r="AM14" i="107"/>
  <c r="AO14" s="1"/>
  <c r="AM15"/>
  <c r="AO15" s="1"/>
  <c r="AM16"/>
  <c r="AO16" s="1"/>
  <c r="AM20"/>
  <c r="AO20" s="1"/>
  <c r="AM21"/>
  <c r="AO21" s="1"/>
  <c r="AM26"/>
  <c r="AO26" s="1"/>
  <c r="AM27"/>
  <c r="AO27" s="1"/>
  <c r="AM10"/>
  <c r="AO10" s="1"/>
  <c r="AM11"/>
  <c r="AO11" s="1"/>
  <c r="AM12"/>
  <c r="AO12" s="1"/>
  <c r="AM13"/>
  <c r="AO13" s="1"/>
  <c r="AM19"/>
  <c r="AO19" s="1"/>
  <c r="AM28"/>
  <c r="AO28" s="1"/>
  <c r="AM29"/>
  <c r="AO29" s="1"/>
  <c r="AM30"/>
  <c r="AO30" s="1"/>
  <c r="AM31"/>
  <c r="AO31" s="1"/>
  <c r="AM17"/>
  <c r="AO17" s="1"/>
  <c r="AM18"/>
  <c r="AO18" s="1"/>
  <c r="AM22"/>
  <c r="AO22" s="1"/>
  <c r="AM23"/>
  <c r="AO23" s="1"/>
  <c r="AM24"/>
  <c r="AO24" s="1"/>
  <c r="AM25"/>
  <c r="AO25" s="1"/>
  <c r="AP24" l="1"/>
  <c r="H41" i="108" s="1"/>
  <c r="G41"/>
  <c r="AP22" i="107"/>
  <c r="H39" i="108" s="1"/>
  <c r="G39"/>
  <c r="AP17" i="107"/>
  <c r="H34" i="108" s="1"/>
  <c r="G34"/>
  <c r="AP30" i="107"/>
  <c r="H47" i="108" s="1"/>
  <c r="G47"/>
  <c r="AP28" i="107"/>
  <c r="H45" i="108" s="1"/>
  <c r="G45"/>
  <c r="AP13" i="107"/>
  <c r="H30" i="108" s="1"/>
  <c r="G30"/>
  <c r="AP11" i="107"/>
  <c r="H28" i="108" s="1"/>
  <c r="G28"/>
  <c r="AP27" i="107"/>
  <c r="H44" i="108" s="1"/>
  <c r="G44"/>
  <c r="AP21" i="107"/>
  <c r="H38" i="108" s="1"/>
  <c r="G38"/>
  <c r="AP16" i="107"/>
  <c r="H33" i="108" s="1"/>
  <c r="G33"/>
  <c r="AP14" i="107"/>
  <c r="H31" i="108" s="1"/>
  <c r="G31"/>
  <c r="AP25" i="107"/>
  <c r="H42" i="108" s="1"/>
  <c r="G42"/>
  <c r="AP23" i="107"/>
  <c r="H40" i="108" s="1"/>
  <c r="G40"/>
  <c r="AP18" i="107"/>
  <c r="H35" i="108" s="1"/>
  <c r="G35"/>
  <c r="AP31" i="107"/>
  <c r="G49" i="108"/>
  <c r="G48"/>
  <c r="AP29" i="107"/>
  <c r="H46" i="108" s="1"/>
  <c r="G46"/>
  <c r="AP19" i="107"/>
  <c r="H36" i="108" s="1"/>
  <c r="G36"/>
  <c r="AP12" i="107"/>
  <c r="H29" i="108" s="1"/>
  <c r="G29"/>
  <c r="AP10" i="107"/>
  <c r="H27" i="108" s="1"/>
  <c r="G27"/>
  <c r="AP26" i="107"/>
  <c r="H43" i="108" s="1"/>
  <c r="G43"/>
  <c r="AP20" i="107"/>
  <c r="H37" i="108" s="1"/>
  <c r="G37"/>
  <c r="AP15" i="107"/>
  <c r="H32" i="108" s="1"/>
  <c r="G32"/>
  <c r="F48"/>
  <c r="F49"/>
  <c r="D11" i="1"/>
  <c r="H48" i="108" l="1"/>
  <c r="H49"/>
  <c r="AL23" i="1" l="1"/>
  <c r="AL22"/>
  <c r="AB21"/>
  <c r="A67" i="27" l="1"/>
  <c r="D13" i="106" l="1"/>
  <c r="BK97" i="105" l="1"/>
  <c r="BK92"/>
  <c r="BK88"/>
  <c r="J60" i="106" l="1"/>
  <c r="J61"/>
  <c r="J62"/>
  <c r="J63"/>
  <c r="J64"/>
  <c r="J65"/>
  <c r="J59"/>
  <c r="C49"/>
  <c r="C50"/>
  <c r="C51"/>
  <c r="C52"/>
  <c r="C53"/>
  <c r="C54"/>
  <c r="C48"/>
  <c r="K3"/>
  <c r="J15"/>
  <c r="J16"/>
  <c r="J17"/>
  <c r="J18"/>
  <c r="J19"/>
  <c r="L19"/>
  <c r="D20"/>
  <c r="P21"/>
  <c r="H32"/>
  <c r="H34"/>
  <c r="O34"/>
  <c r="H35"/>
  <c r="O35"/>
  <c r="H37"/>
  <c r="H40"/>
  <c r="H42"/>
  <c r="L53"/>
  <c r="D67"/>
  <c r="A68"/>
  <c r="C87" s="1"/>
  <c r="L87"/>
  <c r="L91"/>
  <c r="L96"/>
  <c r="C114"/>
  <c r="D119"/>
  <c r="C121"/>
  <c r="C129"/>
  <c r="C137"/>
  <c r="C145"/>
  <c r="C153"/>
  <c r="C160"/>
  <c r="C164"/>
  <c r="C168"/>
  <c r="C172"/>
  <c r="C176"/>
  <c r="AF2" i="105"/>
  <c r="AG2"/>
  <c r="AH2"/>
  <c r="AI2"/>
  <c r="AK2"/>
  <c r="AL2"/>
  <c r="AM2"/>
  <c r="AN2"/>
  <c r="AF3"/>
  <c r="AG3"/>
  <c r="AH3"/>
  <c r="AI3"/>
  <c r="AK3"/>
  <c r="AL3"/>
  <c r="AM3"/>
  <c r="AN3"/>
  <c r="AF4"/>
  <c r="AG4"/>
  <c r="AH4"/>
  <c r="AI4"/>
  <c r="AK4"/>
  <c r="AL4"/>
  <c r="AM4"/>
  <c r="AN4"/>
  <c r="AF5"/>
  <c r="AG5"/>
  <c r="AH5"/>
  <c r="AI5"/>
  <c r="AK5"/>
  <c r="AL5"/>
  <c r="AM5"/>
  <c r="AN5"/>
  <c r="AF6"/>
  <c r="AG6"/>
  <c r="AH6"/>
  <c r="AI6"/>
  <c r="AK6"/>
  <c r="AL6"/>
  <c r="AM6"/>
  <c r="AN6"/>
  <c r="U7"/>
  <c r="V7"/>
  <c r="W7"/>
  <c r="X7"/>
  <c r="AA7"/>
  <c r="AB7"/>
  <c r="AC7"/>
  <c r="AD7"/>
  <c r="AF7"/>
  <c r="AG7"/>
  <c r="AH7"/>
  <c r="AI7"/>
  <c r="AK7"/>
  <c r="AL7"/>
  <c r="AM7"/>
  <c r="AN7"/>
  <c r="AO7"/>
  <c r="BE7"/>
  <c r="CG73" s="1"/>
  <c r="CH73" s="1"/>
  <c r="CN73" s="1"/>
  <c r="CO73" s="1"/>
  <c r="BE9"/>
  <c r="BE10"/>
  <c r="BO74" s="1"/>
  <c r="BE11"/>
  <c r="D12"/>
  <c r="BE12"/>
  <c r="BO76" s="1"/>
  <c r="H13"/>
  <c r="BE13"/>
  <c r="H14"/>
  <c r="BE14"/>
  <c r="BO78" s="1"/>
  <c r="K15"/>
  <c r="P22" i="106" s="1"/>
  <c r="D22" s="1"/>
  <c r="BE15" i="105"/>
  <c r="BE16"/>
  <c r="BO80" s="1"/>
  <c r="BE17"/>
  <c r="BE18"/>
  <c r="BE19"/>
  <c r="BE20"/>
  <c r="BE21"/>
  <c r="BE22"/>
  <c r="BO86" s="1"/>
  <c r="BE23"/>
  <c r="BE24"/>
  <c r="BO88" s="1"/>
  <c r="BE25"/>
  <c r="BE26"/>
  <c r="BE27"/>
  <c r="BE28"/>
  <c r="BE29"/>
  <c r="BE30"/>
  <c r="BE31"/>
  <c r="BE32"/>
  <c r="BE33"/>
  <c r="BE34"/>
  <c r="BE35"/>
  <c r="BE36"/>
  <c r="BO100" s="1"/>
  <c r="BE37"/>
  <c r="BE38"/>
  <c r="AJ50"/>
  <c r="AK50"/>
  <c r="AL50"/>
  <c r="AK51"/>
  <c r="AL51"/>
  <c r="Z52"/>
  <c r="AH52"/>
  <c r="AL52"/>
  <c r="Z53"/>
  <c r="AC53"/>
  <c r="Z54"/>
  <c r="AP64"/>
  <c r="AQ64" s="1"/>
  <c r="AP65"/>
  <c r="AP66"/>
  <c r="AQ66"/>
  <c r="AR66"/>
  <c r="AS66"/>
  <c r="AP67"/>
  <c r="AQ67" s="1"/>
  <c r="AR67"/>
  <c r="AV67" s="1"/>
  <c r="AP68"/>
  <c r="AQ68" s="1"/>
  <c r="C69"/>
  <c r="J69"/>
  <c r="K69"/>
  <c r="L69"/>
  <c r="M69"/>
  <c r="P69" s="1"/>
  <c r="R69" s="1"/>
  <c r="Q69"/>
  <c r="Y69"/>
  <c r="AE69"/>
  <c r="AG69" s="1"/>
  <c r="AF69"/>
  <c r="AP69"/>
  <c r="BA69"/>
  <c r="BF69" s="1"/>
  <c r="CI70"/>
  <c r="CI88" s="1"/>
  <c r="CE72"/>
  <c r="CE73" s="1"/>
  <c r="CK73" s="1"/>
  <c r="CF73"/>
  <c r="BK74"/>
  <c r="BP74"/>
  <c r="CC74"/>
  <c r="BO75"/>
  <c r="BP75"/>
  <c r="CC75"/>
  <c r="CI75"/>
  <c r="BP76"/>
  <c r="CC76"/>
  <c r="CI76"/>
  <c r="BO77"/>
  <c r="BP77"/>
  <c r="CC77"/>
  <c r="BP78"/>
  <c r="CC78"/>
  <c r="BO79"/>
  <c r="BP79"/>
  <c r="CC79"/>
  <c r="BP80"/>
  <c r="CC80"/>
  <c r="BO81"/>
  <c r="BP81"/>
  <c r="CC81"/>
  <c r="BH82"/>
  <c r="BV82" s="1"/>
  <c r="BO82"/>
  <c r="BP82"/>
  <c r="BQ82"/>
  <c r="CE82" s="1"/>
  <c r="CC82"/>
  <c r="CI82"/>
  <c r="BO83"/>
  <c r="BP83"/>
  <c r="CC83"/>
  <c r="BO84"/>
  <c r="BP84"/>
  <c r="CC84"/>
  <c r="BO85"/>
  <c r="BP85"/>
  <c r="CC85"/>
  <c r="BP86"/>
  <c r="CC86"/>
  <c r="BO87"/>
  <c r="BP87"/>
  <c r="CC87"/>
  <c r="CF87"/>
  <c r="BM88"/>
  <c r="BP88"/>
  <c r="BQ88"/>
  <c r="CE88" s="1"/>
  <c r="CC88"/>
  <c r="BK89"/>
  <c r="L88" i="106" s="1"/>
  <c r="BM89" i="105"/>
  <c r="BO89"/>
  <c r="BP89"/>
  <c r="CC89"/>
  <c r="CI89"/>
  <c r="BK90"/>
  <c r="L89" i="106" s="1"/>
  <c r="BM90" i="105"/>
  <c r="BO90"/>
  <c r="BP90"/>
  <c r="CC90"/>
  <c r="BK91"/>
  <c r="L90" i="106" s="1"/>
  <c r="BM91" i="105"/>
  <c r="BO91"/>
  <c r="BP91"/>
  <c r="BQ91"/>
  <c r="CC91"/>
  <c r="CI91"/>
  <c r="BM92"/>
  <c r="BO92"/>
  <c r="BP92"/>
  <c r="CC92"/>
  <c r="BK93"/>
  <c r="L92" i="106" s="1"/>
  <c r="BM93" i="105"/>
  <c r="BO93"/>
  <c r="BP93"/>
  <c r="CC93"/>
  <c r="BK94"/>
  <c r="L93" i="106" s="1"/>
  <c r="BM94" i="105"/>
  <c r="BO94"/>
  <c r="BP94"/>
  <c r="BQ94"/>
  <c r="CE94" s="1"/>
  <c r="CC94"/>
  <c r="BK95"/>
  <c r="L94" i="106" s="1"/>
  <c r="BM95" i="105"/>
  <c r="BO95"/>
  <c r="BP95"/>
  <c r="CC95"/>
  <c r="BK96"/>
  <c r="L95" i="106" s="1"/>
  <c r="BM96" i="105"/>
  <c r="BO96"/>
  <c r="BP96"/>
  <c r="CC96"/>
  <c r="BM97"/>
  <c r="BO97"/>
  <c r="BP97"/>
  <c r="BQ97"/>
  <c r="CE97" s="1"/>
  <c r="CC97"/>
  <c r="CI97"/>
  <c r="BK98"/>
  <c r="L97" i="106" s="1"/>
  <c r="BM98" i="105"/>
  <c r="BO98"/>
  <c r="BP98"/>
  <c r="BQ98"/>
  <c r="CE98" s="1"/>
  <c r="CC98"/>
  <c r="CI98"/>
  <c r="BK99"/>
  <c r="L98" i="106" s="1"/>
  <c r="BM99" i="105"/>
  <c r="BO99"/>
  <c r="BP99"/>
  <c r="BQ99"/>
  <c r="CE99" s="1"/>
  <c r="CC99"/>
  <c r="CI99"/>
  <c r="BK100"/>
  <c r="L99" i="106" s="1"/>
  <c r="BM100" i="105"/>
  <c r="BP100"/>
  <c r="BQ100"/>
  <c r="CE100" s="1"/>
  <c r="CC100"/>
  <c r="BH101"/>
  <c r="BV101" s="1"/>
  <c r="BK101"/>
  <c r="L100" i="106" s="1"/>
  <c r="BM101" i="105"/>
  <c r="BO101"/>
  <c r="BP101"/>
  <c r="BQ101"/>
  <c r="CE101" s="1"/>
  <c r="CC101"/>
  <c r="CI101"/>
  <c r="BM102"/>
  <c r="BO102"/>
  <c r="BP102"/>
  <c r="CC102"/>
  <c r="CC103"/>
  <c r="CE103"/>
  <c r="CI103"/>
  <c r="BK103" s="1"/>
  <c r="BL103" s="1"/>
  <c r="CK103"/>
  <c r="CC104"/>
  <c r="CE104"/>
  <c r="CI104"/>
  <c r="CK104"/>
  <c r="BH105"/>
  <c r="BV105" s="1"/>
  <c r="BW105" s="1"/>
  <c r="CC105"/>
  <c r="CE105"/>
  <c r="CK105"/>
  <c r="CC106"/>
  <c r="CE106"/>
  <c r="CK106"/>
  <c r="CC107"/>
  <c r="CE107"/>
  <c r="CK107"/>
  <c r="CC108"/>
  <c r="CE108"/>
  <c r="CK108"/>
  <c r="CC109"/>
  <c r="CE109"/>
  <c r="CK109"/>
  <c r="CC110"/>
  <c r="CE110"/>
  <c r="CK110"/>
  <c r="CC111"/>
  <c r="CE111"/>
  <c r="CI111"/>
  <c r="CK111"/>
  <c r="BH112"/>
  <c r="BV112" s="1"/>
  <c r="BW112" s="1"/>
  <c r="CC112"/>
  <c r="CE112"/>
  <c r="CK112"/>
  <c r="CC113"/>
  <c r="CE113"/>
  <c r="CI113"/>
  <c r="CK113"/>
  <c r="BH114"/>
  <c r="BV114" s="1"/>
  <c r="BW114" s="1"/>
  <c r="CC114"/>
  <c r="CE114"/>
  <c r="CK114"/>
  <c r="CC115"/>
  <c r="CE115"/>
  <c r="CI115"/>
  <c r="CK115"/>
  <c r="BH116"/>
  <c r="BV116" s="1"/>
  <c r="BW116" s="1"/>
  <c r="CC116"/>
  <c r="CE116"/>
  <c r="CK116"/>
  <c r="CC117"/>
  <c r="CE117"/>
  <c r="CI117"/>
  <c r="CK117"/>
  <c r="BH118"/>
  <c r="BV118" s="1"/>
  <c r="BW118" s="1"/>
  <c r="CC118"/>
  <c r="CE118"/>
  <c r="CK118"/>
  <c r="CC119"/>
  <c r="CE119"/>
  <c r="CI119"/>
  <c r="CK119"/>
  <c r="BH120"/>
  <c r="BV120" s="1"/>
  <c r="BW120" s="1"/>
  <c r="CC120"/>
  <c r="CE120"/>
  <c r="CK120"/>
  <c r="CC121"/>
  <c r="CE121"/>
  <c r="CI121"/>
  <c r="CK121"/>
  <c r="BH122"/>
  <c r="BV122" s="1"/>
  <c r="BW122" s="1"/>
  <c r="CC122"/>
  <c r="CE122"/>
  <c r="CK122"/>
  <c r="CC123"/>
  <c r="CE123"/>
  <c r="CI123"/>
  <c r="CK123"/>
  <c r="BH124"/>
  <c r="BV124" s="1"/>
  <c r="BW124" s="1"/>
  <c r="CC124"/>
  <c r="CE124"/>
  <c r="CK124"/>
  <c r="CC125"/>
  <c r="CE125"/>
  <c r="CI125"/>
  <c r="CK125"/>
  <c r="BH126"/>
  <c r="BV126" s="1"/>
  <c r="BW126" s="1"/>
  <c r="CC126"/>
  <c r="CE126"/>
  <c r="CK126"/>
  <c r="CC127"/>
  <c r="CE127"/>
  <c r="CI127"/>
  <c r="CK127"/>
  <c r="BH128"/>
  <c r="BV128" s="1"/>
  <c r="BW128" s="1"/>
  <c r="CC128"/>
  <c r="CE128"/>
  <c r="CK128"/>
  <c r="CC129"/>
  <c r="CE129"/>
  <c r="CI129"/>
  <c r="CK129"/>
  <c r="BH130"/>
  <c r="BV130" s="1"/>
  <c r="BW130" s="1"/>
  <c r="CC130"/>
  <c r="CE130"/>
  <c r="CK130"/>
  <c r="CC131"/>
  <c r="CE131"/>
  <c r="CI131"/>
  <c r="CK131"/>
  <c r="BH132"/>
  <c r="BV132" s="1"/>
  <c r="BW132" s="1"/>
  <c r="CC132"/>
  <c r="CE132"/>
  <c r="CK132"/>
  <c r="CC133"/>
  <c r="CE133"/>
  <c r="CI133"/>
  <c r="CK133"/>
  <c r="BH134"/>
  <c r="BV134" s="1"/>
  <c r="BW134" s="1"/>
  <c r="CC134"/>
  <c r="CE134"/>
  <c r="CK134"/>
  <c r="CC135"/>
  <c r="CE135"/>
  <c r="CI135"/>
  <c r="CK135"/>
  <c r="BH136"/>
  <c r="BV136" s="1"/>
  <c r="BW136" s="1"/>
  <c r="CC136"/>
  <c r="CE136"/>
  <c r="CK136"/>
  <c r="CC137"/>
  <c r="CE137"/>
  <c r="CI137"/>
  <c r="CK137"/>
  <c r="BH138"/>
  <c r="BV138" s="1"/>
  <c r="BW138" s="1"/>
  <c r="CC138"/>
  <c r="CE138"/>
  <c r="CK138"/>
  <c r="CC139"/>
  <c r="CE139"/>
  <c r="CI139"/>
  <c r="CK139"/>
  <c r="BH140"/>
  <c r="BV140" s="1"/>
  <c r="BW140" s="1"/>
  <c r="CC140"/>
  <c r="CE140"/>
  <c r="CK140"/>
  <c r="CC141"/>
  <c r="CE141"/>
  <c r="CI141"/>
  <c r="CK141"/>
  <c r="BH142"/>
  <c r="BV142" s="1"/>
  <c r="BW142" s="1"/>
  <c r="CC142"/>
  <c r="CE142"/>
  <c r="CK142"/>
  <c r="CC143"/>
  <c r="CE143"/>
  <c r="CI143"/>
  <c r="CK143"/>
  <c r="BH144"/>
  <c r="BV144" s="1"/>
  <c r="BW144" s="1"/>
  <c r="CC144"/>
  <c r="CE144"/>
  <c r="CK144"/>
  <c r="CC145"/>
  <c r="CE145"/>
  <c r="CI145"/>
  <c r="CK145"/>
  <c r="BH146"/>
  <c r="BV146" s="1"/>
  <c r="BW146" s="1"/>
  <c r="CC146"/>
  <c r="CE146"/>
  <c r="CK146"/>
  <c r="CC147"/>
  <c r="CE147"/>
  <c r="CI147"/>
  <c r="CK147"/>
  <c r="BH148"/>
  <c r="BV148" s="1"/>
  <c r="BW148" s="1"/>
  <c r="CC148"/>
  <c r="CE148"/>
  <c r="CK148"/>
  <c r="CC149"/>
  <c r="CE149"/>
  <c r="CI149"/>
  <c r="CK149"/>
  <c r="BH150"/>
  <c r="BV150" s="1"/>
  <c r="BW150" s="1"/>
  <c r="CC150"/>
  <c r="CE150"/>
  <c r="CK150"/>
  <c r="CC151"/>
  <c r="CE151"/>
  <c r="CI151"/>
  <c r="CK151"/>
  <c r="BH152"/>
  <c r="BV152" s="1"/>
  <c r="BW152" s="1"/>
  <c r="CC152"/>
  <c r="CE152"/>
  <c r="CK152"/>
  <c r="CC153"/>
  <c r="CE153"/>
  <c r="CI153"/>
  <c r="CK153"/>
  <c r="BH154"/>
  <c r="BV154" s="1"/>
  <c r="BW154" s="1"/>
  <c r="CC154"/>
  <c r="CE154"/>
  <c r="CK154"/>
  <c r="CC155"/>
  <c r="CE155"/>
  <c r="CI155"/>
  <c r="CK155"/>
  <c r="BH156"/>
  <c r="BV156" s="1"/>
  <c r="BW156" s="1"/>
  <c r="CC156"/>
  <c r="CE156"/>
  <c r="CK156"/>
  <c r="CC157"/>
  <c r="CE157"/>
  <c r="CI157"/>
  <c r="CK157"/>
  <c r="BH158"/>
  <c r="BV158" s="1"/>
  <c r="BW158" s="1"/>
  <c r="CC158"/>
  <c r="CE158"/>
  <c r="CK158"/>
  <c r="CC159"/>
  <c r="CE159"/>
  <c r="CI159"/>
  <c r="CK159"/>
  <c r="BH160"/>
  <c r="BV160" s="1"/>
  <c r="BW160" s="1"/>
  <c r="CC160"/>
  <c r="CE160"/>
  <c r="CK160"/>
  <c r="CC161"/>
  <c r="CE161"/>
  <c r="CI161"/>
  <c r="CK161"/>
  <c r="BH162"/>
  <c r="BV162" s="1"/>
  <c r="BW162" s="1"/>
  <c r="CC162"/>
  <c r="CE162"/>
  <c r="CK162"/>
  <c r="CC163"/>
  <c r="CE163"/>
  <c r="CI163"/>
  <c r="CK163"/>
  <c r="BH164"/>
  <c r="BV164" s="1"/>
  <c r="BW164" s="1"/>
  <c r="CC164"/>
  <c r="CE164"/>
  <c r="CK164"/>
  <c r="CC165"/>
  <c r="CE165"/>
  <c r="CI165"/>
  <c r="CK165"/>
  <c r="BH166"/>
  <c r="BV166" s="1"/>
  <c r="BW166" s="1"/>
  <c r="CC166"/>
  <c r="CE166"/>
  <c r="CK166"/>
  <c r="CC167"/>
  <c r="CE167"/>
  <c r="CI167"/>
  <c r="CK167"/>
  <c r="BH168"/>
  <c r="BV168" s="1"/>
  <c r="BW168" s="1"/>
  <c r="CC168"/>
  <c r="CE168"/>
  <c r="CK168"/>
  <c r="CC169"/>
  <c r="CE169"/>
  <c r="CI169"/>
  <c r="CK169"/>
  <c r="BH170"/>
  <c r="BV170" s="1"/>
  <c r="BW170" s="1"/>
  <c r="CC170"/>
  <c r="CE170"/>
  <c r="CK170"/>
  <c r="CC171"/>
  <c r="CE171"/>
  <c r="CI171"/>
  <c r="CK171"/>
  <c r="BH172"/>
  <c r="BV172" s="1"/>
  <c r="BW172" s="1"/>
  <c r="CC172"/>
  <c r="CE172"/>
  <c r="CK172"/>
  <c r="CC173"/>
  <c r="CK173"/>
  <c r="CD175"/>
  <c r="BH178"/>
  <c r="BT74" s="1"/>
  <c r="BH182"/>
  <c r="BT78" s="1"/>
  <c r="BH186"/>
  <c r="BT82" s="1"/>
  <c r="AG188"/>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AG189"/>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H189"/>
  <c r="BT85" s="1"/>
  <c r="AG190"/>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H190"/>
  <c r="BT86" s="1"/>
  <c r="AG19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AG192"/>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AG193"/>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H193"/>
  <c r="BT89" s="1"/>
  <c r="AG194"/>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H194"/>
  <c r="BT90" s="1"/>
  <c r="AG195"/>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AG196"/>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AG197"/>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H197"/>
  <c r="BT93" s="1"/>
  <c r="AG198"/>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H198"/>
  <c r="BT94" s="1"/>
  <c r="AG199"/>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AG200"/>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AG20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H201"/>
  <c r="BT97" s="1"/>
  <c r="AG202"/>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H202"/>
  <c r="BT98" s="1"/>
  <c r="AG203"/>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AG204"/>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AG205"/>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H205"/>
  <c r="BT101" s="1"/>
  <c r="AG206"/>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H206"/>
  <c r="BT102" s="1"/>
  <c r="AG207"/>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AG208"/>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H208" s="1"/>
  <c r="BT104" s="1"/>
  <c r="AG209"/>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AG210"/>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AG21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H211" s="1"/>
  <c r="BT107" s="1"/>
  <c r="AG212"/>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AG213"/>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H213" s="1"/>
  <c r="BT109" s="1"/>
  <c r="AG214"/>
  <c r="AH214" s="1"/>
  <c r="AI214"/>
  <c r="AJ214" s="1"/>
  <c r="AK214" s="1"/>
  <c r="AL214" s="1"/>
  <c r="AM214" s="1"/>
  <c r="AN214" s="1"/>
  <c r="AO214" s="1"/>
  <c r="AP214" s="1"/>
  <c r="AQ214" s="1"/>
  <c r="AR214" s="1"/>
  <c r="AS214" s="1"/>
  <c r="AT214" s="1"/>
  <c r="AU214" s="1"/>
  <c r="AV214" s="1"/>
  <c r="AW214" s="1"/>
  <c r="AX214" s="1"/>
  <c r="AY214" s="1"/>
  <c r="AZ214" s="1"/>
  <c r="BA214" s="1"/>
  <c r="BB214" s="1"/>
  <c r="BC214" s="1"/>
  <c r="BD214" s="1"/>
  <c r="BE214" s="1"/>
  <c r="BH214" s="1"/>
  <c r="BT110" s="1"/>
  <c r="AG215"/>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AG216"/>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H216" s="1"/>
  <c r="BT112" s="1"/>
  <c r="AG217"/>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AG218"/>
  <c r="AH218" s="1"/>
  <c r="AI218"/>
  <c r="AJ218" s="1"/>
  <c r="AK218" s="1"/>
  <c r="AL218" s="1"/>
  <c r="AM218" s="1"/>
  <c r="AN218" s="1"/>
  <c r="AO218" s="1"/>
  <c r="AP218" s="1"/>
  <c r="AQ218" s="1"/>
  <c r="AR218" s="1"/>
  <c r="AS218" s="1"/>
  <c r="AT218" s="1"/>
  <c r="AU218" s="1"/>
  <c r="AV218" s="1"/>
  <c r="AW218" s="1"/>
  <c r="AX218" s="1"/>
  <c r="AY218" s="1"/>
  <c r="AZ218" s="1"/>
  <c r="BA218" s="1"/>
  <c r="BB218" s="1"/>
  <c r="BC218" s="1"/>
  <c r="BD218" s="1"/>
  <c r="BE218" s="1"/>
  <c r="AG219"/>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H219" s="1"/>
  <c r="BT115" s="1"/>
  <c r="AG220"/>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AG22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H221" s="1"/>
  <c r="BT117" s="1"/>
  <c r="AG222"/>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H222" s="1"/>
  <c r="BT118" s="1"/>
  <c r="AG223"/>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AG224"/>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H224" s="1"/>
  <c r="BT120" s="1"/>
  <c r="AG225"/>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AG226"/>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AG227"/>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H227" s="1"/>
  <c r="BT123" s="1"/>
  <c r="AG228"/>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AG229"/>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H229" s="1"/>
  <c r="BT125" s="1"/>
  <c r="AG230"/>
  <c r="AH230" s="1"/>
  <c r="AI230"/>
  <c r="AJ230" s="1"/>
  <c r="AK230" s="1"/>
  <c r="AL230" s="1"/>
  <c r="AM230" s="1"/>
  <c r="AN230" s="1"/>
  <c r="AO230" s="1"/>
  <c r="AP230" s="1"/>
  <c r="AQ230" s="1"/>
  <c r="AR230" s="1"/>
  <c r="AS230" s="1"/>
  <c r="AT230" s="1"/>
  <c r="AU230" s="1"/>
  <c r="AV230" s="1"/>
  <c r="AW230" s="1"/>
  <c r="AX230" s="1"/>
  <c r="AY230" s="1"/>
  <c r="AZ230" s="1"/>
  <c r="BA230" s="1"/>
  <c r="BB230" s="1"/>
  <c r="BC230" s="1"/>
  <c r="BD230" s="1"/>
  <c r="BE230" s="1"/>
  <c r="BH230" s="1"/>
  <c r="BT126" s="1"/>
  <c r="AG23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AG232"/>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H232" s="1"/>
  <c r="BT128" s="1"/>
  <c r="AG233"/>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AG234"/>
  <c r="AH234" s="1"/>
  <c r="AI234"/>
  <c r="AJ234" s="1"/>
  <c r="AK234" s="1"/>
  <c r="AL234" s="1"/>
  <c r="AM234" s="1"/>
  <c r="AN234" s="1"/>
  <c r="AO234" s="1"/>
  <c r="AP234" s="1"/>
  <c r="AQ234" s="1"/>
  <c r="AR234" s="1"/>
  <c r="AS234" s="1"/>
  <c r="AT234" s="1"/>
  <c r="AU234" s="1"/>
  <c r="AV234" s="1"/>
  <c r="AW234" s="1"/>
  <c r="AX234" s="1"/>
  <c r="AY234" s="1"/>
  <c r="AZ234" s="1"/>
  <c r="BA234" s="1"/>
  <c r="BB234" s="1"/>
  <c r="BC234" s="1"/>
  <c r="BD234" s="1"/>
  <c r="BE234" s="1"/>
  <c r="AG235"/>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H235" s="1"/>
  <c r="BT131" s="1"/>
  <c r="AG236"/>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AG237"/>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H237" s="1"/>
  <c r="BT133" s="1"/>
  <c r="AG238"/>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H238" s="1"/>
  <c r="BT134" s="1"/>
  <c r="AG239"/>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AG240"/>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H240" s="1"/>
  <c r="BT136" s="1"/>
  <c r="AG24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AG242"/>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AG243"/>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H243" s="1"/>
  <c r="BT139" s="1"/>
  <c r="AG244"/>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AG245"/>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H245" s="1"/>
  <c r="BT141" s="1"/>
  <c r="AG246"/>
  <c r="AH246" s="1"/>
  <c r="AI246"/>
  <c r="AJ246" s="1"/>
  <c r="AK246" s="1"/>
  <c r="AL246" s="1"/>
  <c r="AM246" s="1"/>
  <c r="AN246" s="1"/>
  <c r="AO246" s="1"/>
  <c r="AP246" s="1"/>
  <c r="AQ246" s="1"/>
  <c r="AR246" s="1"/>
  <c r="AS246" s="1"/>
  <c r="AT246" s="1"/>
  <c r="AU246" s="1"/>
  <c r="AV246" s="1"/>
  <c r="AW246" s="1"/>
  <c r="AX246" s="1"/>
  <c r="AY246" s="1"/>
  <c r="AZ246" s="1"/>
  <c r="BA246" s="1"/>
  <c r="BB246" s="1"/>
  <c r="BC246" s="1"/>
  <c r="BD246" s="1"/>
  <c r="BE246" s="1"/>
  <c r="BH246" s="1"/>
  <c r="BT142" s="1"/>
  <c r="AG247"/>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AG248"/>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H248" s="1"/>
  <c r="BT144" s="1"/>
  <c r="AH249"/>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AI250"/>
  <c r="AJ250"/>
  <c r="AK250" s="1"/>
  <c r="AL250" s="1"/>
  <c r="AM250" s="1"/>
  <c r="AN250" s="1"/>
  <c r="AO250" s="1"/>
  <c r="AP250" s="1"/>
  <c r="AQ250" s="1"/>
  <c r="AR250" s="1"/>
  <c r="AS250" s="1"/>
  <c r="AT250" s="1"/>
  <c r="AU250" s="1"/>
  <c r="AV250" s="1"/>
  <c r="AW250" s="1"/>
  <c r="AX250" s="1"/>
  <c r="AY250" s="1"/>
  <c r="AZ250" s="1"/>
  <c r="BA250" s="1"/>
  <c r="BB250" s="1"/>
  <c r="BC250" s="1"/>
  <c r="BD250" s="1"/>
  <c r="BE250" s="1"/>
  <c r="AJ251"/>
  <c r="AK251" s="1"/>
  <c r="AL251" s="1"/>
  <c r="AM251" s="1"/>
  <c r="AN251" s="1"/>
  <c r="AO251" s="1"/>
  <c r="AP251" s="1"/>
  <c r="AQ251" s="1"/>
  <c r="AR251" s="1"/>
  <c r="AS251" s="1"/>
  <c r="AT251" s="1"/>
  <c r="AU251" s="1"/>
  <c r="AV251" s="1"/>
  <c r="AW251" s="1"/>
  <c r="AX251" s="1"/>
  <c r="AY251" s="1"/>
  <c r="AZ251" s="1"/>
  <c r="BA251" s="1"/>
  <c r="BB251" s="1"/>
  <c r="BC251" s="1"/>
  <c r="BD251" s="1"/>
  <c r="BE251" s="1"/>
  <c r="AK252"/>
  <c r="AL252" s="1"/>
  <c r="AM252" s="1"/>
  <c r="AN252" s="1"/>
  <c r="AO252" s="1"/>
  <c r="AP252" s="1"/>
  <c r="AQ252" s="1"/>
  <c r="AR252" s="1"/>
  <c r="AS252" s="1"/>
  <c r="AT252" s="1"/>
  <c r="AU252" s="1"/>
  <c r="AV252" s="1"/>
  <c r="AW252" s="1"/>
  <c r="AX252" s="1"/>
  <c r="AY252" s="1"/>
  <c r="AZ252" s="1"/>
  <c r="BA252" s="1"/>
  <c r="BB252" s="1"/>
  <c r="BC252" s="1"/>
  <c r="BD252" s="1"/>
  <c r="BE252" s="1"/>
  <c r="BH252" s="1"/>
  <c r="BT148" s="1"/>
  <c r="AL253"/>
  <c r="AM253" s="1"/>
  <c r="AN253" s="1"/>
  <c r="AO253" s="1"/>
  <c r="AP253" s="1"/>
  <c r="AQ253" s="1"/>
  <c r="AR253" s="1"/>
  <c r="AS253" s="1"/>
  <c r="AT253" s="1"/>
  <c r="AU253" s="1"/>
  <c r="AV253" s="1"/>
  <c r="AW253" s="1"/>
  <c r="AX253" s="1"/>
  <c r="AY253" s="1"/>
  <c r="AZ253" s="1"/>
  <c r="BA253" s="1"/>
  <c r="BB253" s="1"/>
  <c r="BC253" s="1"/>
  <c r="BD253" s="1"/>
  <c r="BE253" s="1"/>
  <c r="AM254"/>
  <c r="AN254" s="1"/>
  <c r="AO254" s="1"/>
  <c r="AP254" s="1"/>
  <c r="AQ254" s="1"/>
  <c r="AR254" s="1"/>
  <c r="AS254" s="1"/>
  <c r="AT254" s="1"/>
  <c r="AU254" s="1"/>
  <c r="AV254" s="1"/>
  <c r="AW254" s="1"/>
  <c r="AX254" s="1"/>
  <c r="AY254" s="1"/>
  <c r="AZ254" s="1"/>
  <c r="BA254" s="1"/>
  <c r="BB254" s="1"/>
  <c r="BC254" s="1"/>
  <c r="BD254" s="1"/>
  <c r="BE254" s="1"/>
  <c r="AN255"/>
  <c r="AO255"/>
  <c r="AP255" s="1"/>
  <c r="AQ255" s="1"/>
  <c r="AR255" s="1"/>
  <c r="AS255" s="1"/>
  <c r="AT255" s="1"/>
  <c r="AU255" s="1"/>
  <c r="AV255" s="1"/>
  <c r="AW255" s="1"/>
  <c r="AX255" s="1"/>
  <c r="AY255" s="1"/>
  <c r="AZ255" s="1"/>
  <c r="BA255" s="1"/>
  <c r="BB255" s="1"/>
  <c r="BC255" s="1"/>
  <c r="BD255" s="1"/>
  <c r="BE255" s="1"/>
  <c r="AO256"/>
  <c r="AP256" s="1"/>
  <c r="AQ256" s="1"/>
  <c r="AR256" s="1"/>
  <c r="AS256" s="1"/>
  <c r="AT256" s="1"/>
  <c r="AU256" s="1"/>
  <c r="AV256" s="1"/>
  <c r="AW256" s="1"/>
  <c r="AX256" s="1"/>
  <c r="AY256" s="1"/>
  <c r="AZ256" s="1"/>
  <c r="BA256" s="1"/>
  <c r="BB256" s="1"/>
  <c r="BC256" s="1"/>
  <c r="BD256" s="1"/>
  <c r="BE256" s="1"/>
  <c r="AP257"/>
  <c r="AQ257" s="1"/>
  <c r="AR257" s="1"/>
  <c r="AS257" s="1"/>
  <c r="AT257" s="1"/>
  <c r="AU257" s="1"/>
  <c r="AV257" s="1"/>
  <c r="AW257" s="1"/>
  <c r="AX257" s="1"/>
  <c r="AY257" s="1"/>
  <c r="AZ257" s="1"/>
  <c r="BA257" s="1"/>
  <c r="BB257" s="1"/>
  <c r="BC257" s="1"/>
  <c r="BD257" s="1"/>
  <c r="BE257" s="1"/>
  <c r="BH257" s="1"/>
  <c r="BT153" s="1"/>
  <c r="AQ258"/>
  <c r="AR258" s="1"/>
  <c r="AS258" s="1"/>
  <c r="AT258" s="1"/>
  <c r="AU258" s="1"/>
  <c r="AV258" s="1"/>
  <c r="AW258" s="1"/>
  <c r="AX258" s="1"/>
  <c r="AY258" s="1"/>
  <c r="AZ258" s="1"/>
  <c r="BA258" s="1"/>
  <c r="BB258" s="1"/>
  <c r="BC258" s="1"/>
  <c r="BD258" s="1"/>
  <c r="BE258" s="1"/>
  <c r="BH258" s="1"/>
  <c r="BT154" s="1"/>
  <c r="AR259"/>
  <c r="AS259"/>
  <c r="AT259" s="1"/>
  <c r="AU259" s="1"/>
  <c r="AV259" s="1"/>
  <c r="AW259" s="1"/>
  <c r="AX259" s="1"/>
  <c r="AY259" s="1"/>
  <c r="AZ259" s="1"/>
  <c r="BA259" s="1"/>
  <c r="BB259" s="1"/>
  <c r="BC259" s="1"/>
  <c r="BD259" s="1"/>
  <c r="BE259" s="1"/>
  <c r="BH259" s="1"/>
  <c r="BT155" s="1"/>
  <c r="AS260"/>
  <c r="AT260" s="1"/>
  <c r="AU260" s="1"/>
  <c r="AV260" s="1"/>
  <c r="AW260" s="1"/>
  <c r="AX260" s="1"/>
  <c r="AY260" s="1"/>
  <c r="AZ260" s="1"/>
  <c r="BA260" s="1"/>
  <c r="BB260" s="1"/>
  <c r="BC260" s="1"/>
  <c r="BD260" s="1"/>
  <c r="BE260" s="1"/>
  <c r="AT261"/>
  <c r="AU261" s="1"/>
  <c r="AV261" s="1"/>
  <c r="AW261" s="1"/>
  <c r="AX261" s="1"/>
  <c r="AY261" s="1"/>
  <c r="AZ261" s="1"/>
  <c r="BA261" s="1"/>
  <c r="BB261" s="1"/>
  <c r="BC261" s="1"/>
  <c r="BD261" s="1"/>
  <c r="BE261" s="1"/>
  <c r="AU262"/>
  <c r="AV262"/>
  <c r="AW262" s="1"/>
  <c r="AX262" s="1"/>
  <c r="AY262" s="1"/>
  <c r="AZ262" s="1"/>
  <c r="BA262" s="1"/>
  <c r="BB262" s="1"/>
  <c r="BC262" s="1"/>
  <c r="BD262" s="1"/>
  <c r="BE262" s="1"/>
  <c r="AV263"/>
  <c r="AW263" s="1"/>
  <c r="AX263" s="1"/>
  <c r="AY263" s="1"/>
  <c r="AZ263" s="1"/>
  <c r="BA263" s="1"/>
  <c r="BB263" s="1"/>
  <c r="BC263" s="1"/>
  <c r="BD263" s="1"/>
  <c r="BE263" s="1"/>
  <c r="AW264"/>
  <c r="AX264" s="1"/>
  <c r="AY264"/>
  <c r="AZ264" s="1"/>
  <c r="BA264" s="1"/>
  <c r="BB264" s="1"/>
  <c r="BC264" s="1"/>
  <c r="BD264" s="1"/>
  <c r="BE264" s="1"/>
  <c r="AX265"/>
  <c r="AY265" s="1"/>
  <c r="AZ265" s="1"/>
  <c r="BA265" s="1"/>
  <c r="BB265" s="1"/>
  <c r="BC265" s="1"/>
  <c r="BD265" s="1"/>
  <c r="BE265" s="1"/>
  <c r="BH265" s="1"/>
  <c r="BT161" s="1"/>
  <c r="AY266"/>
  <c r="AZ266"/>
  <c r="BA266" s="1"/>
  <c r="BB266" s="1"/>
  <c r="BC266" s="1"/>
  <c r="BD266" s="1"/>
  <c r="BE266" s="1"/>
  <c r="BH266" s="1"/>
  <c r="BT162" s="1"/>
  <c r="AZ267"/>
  <c r="BA267" s="1"/>
  <c r="BB267" s="1"/>
  <c r="BC267" s="1"/>
  <c r="BD267" s="1"/>
  <c r="BE267" s="1"/>
  <c r="BA268"/>
  <c r="BB268" s="1"/>
  <c r="BC268" s="1"/>
  <c r="BD268" s="1"/>
  <c r="BE268" s="1"/>
  <c r="BH268" s="1"/>
  <c r="BT164" s="1"/>
  <c r="BB269"/>
  <c r="BC269" s="1"/>
  <c r="BD269" s="1"/>
  <c r="BE269" s="1"/>
  <c r="BH269" s="1"/>
  <c r="BT165" s="1"/>
  <c r="BC270"/>
  <c r="BD270"/>
  <c r="BE270" s="1"/>
  <c r="BD271"/>
  <c r="BH272"/>
  <c r="BT168" s="1"/>
  <c r="BH274"/>
  <c r="BT170" s="1"/>
  <c r="BH276"/>
  <c r="BT172" s="1"/>
  <c r="AH69" l="1"/>
  <c r="BQ102"/>
  <c r="CE102" s="1"/>
  <c r="CJ101"/>
  <c r="CL101" s="1"/>
  <c r="CJ99"/>
  <c r="CL99" s="1"/>
  <c r="CJ98"/>
  <c r="CL98" s="1"/>
  <c r="CJ97"/>
  <c r="CL97" s="1"/>
  <c r="BQ95"/>
  <c r="CE95" s="1"/>
  <c r="BQ89"/>
  <c r="BQ81"/>
  <c r="BQ80"/>
  <c r="BJ102"/>
  <c r="BK102"/>
  <c r="L101" i="106" s="1"/>
  <c r="BJ107" i="105"/>
  <c r="BJ111"/>
  <c r="BJ115"/>
  <c r="BJ119"/>
  <c r="BJ123"/>
  <c r="BJ127"/>
  <c r="BJ131"/>
  <c r="BJ135"/>
  <c r="BJ139"/>
  <c r="BJ143"/>
  <c r="BJ147"/>
  <c r="BJ151"/>
  <c r="BJ155"/>
  <c r="BJ159"/>
  <c r="BJ163"/>
  <c r="BJ167"/>
  <c r="BJ171"/>
  <c r="BJ122"/>
  <c r="BJ146"/>
  <c r="BJ158"/>
  <c r="BJ170"/>
  <c r="BJ104"/>
  <c r="BJ108"/>
  <c r="BJ112"/>
  <c r="BJ116"/>
  <c r="BJ120"/>
  <c r="BJ124"/>
  <c r="BJ128"/>
  <c r="BJ132"/>
  <c r="BJ136"/>
  <c r="BJ140"/>
  <c r="BJ144"/>
  <c r="BJ148"/>
  <c r="BJ152"/>
  <c r="BJ156"/>
  <c r="BJ160"/>
  <c r="BJ164"/>
  <c r="BJ168"/>
  <c r="BJ172"/>
  <c r="BJ126"/>
  <c r="BJ138"/>
  <c r="BJ150"/>
  <c r="BJ166"/>
  <c r="BJ105"/>
  <c r="BJ109"/>
  <c r="BJ113"/>
  <c r="BJ117"/>
  <c r="BJ121"/>
  <c r="BJ125"/>
  <c r="BJ129"/>
  <c r="BJ133"/>
  <c r="BJ137"/>
  <c r="BJ141"/>
  <c r="BJ145"/>
  <c r="BJ149"/>
  <c r="BJ153"/>
  <c r="BJ157"/>
  <c r="BJ161"/>
  <c r="BJ165"/>
  <c r="BJ169"/>
  <c r="BJ103"/>
  <c r="BJ106"/>
  <c r="BJ110"/>
  <c r="BJ114"/>
  <c r="BJ118"/>
  <c r="BJ130"/>
  <c r="BJ134"/>
  <c r="BJ142"/>
  <c r="BJ154"/>
  <c r="BJ162"/>
  <c r="AR64"/>
  <c r="BQ96"/>
  <c r="CE96" s="1"/>
  <c r="BQ92"/>
  <c r="CE92" s="1"/>
  <c r="CJ91"/>
  <c r="CL91" s="1"/>
  <c r="BQ90"/>
  <c r="BR90" s="1"/>
  <c r="BS90" s="1"/>
  <c r="BQ87"/>
  <c r="BQ85"/>
  <c r="BR85" s="1"/>
  <c r="BS85" s="1"/>
  <c r="BQ84"/>
  <c r="BQ83"/>
  <c r="BQ79"/>
  <c r="CE79" s="1"/>
  <c r="CG79" s="1"/>
  <c r="BQ77"/>
  <c r="AR68"/>
  <c r="AU68" s="1"/>
  <c r="BQ93"/>
  <c r="CE93" s="1"/>
  <c r="CJ89"/>
  <c r="CL89" s="1"/>
  <c r="BQ86"/>
  <c r="CE86" s="1"/>
  <c r="BQ78"/>
  <c r="CE78" s="1"/>
  <c r="BQ76"/>
  <c r="BQ75"/>
  <c r="BQ74"/>
  <c r="CJ88"/>
  <c r="CL88" s="1"/>
  <c r="C106" i="106"/>
  <c r="BR79" i="105"/>
  <c r="BS79" s="1"/>
  <c r="BH275"/>
  <c r="BT171" s="1"/>
  <c r="BH273"/>
  <c r="BT169" s="1"/>
  <c r="BH271"/>
  <c r="BT167" s="1"/>
  <c r="BH270"/>
  <c r="BT166" s="1"/>
  <c r="BH267"/>
  <c r="BT163" s="1"/>
  <c r="BH264"/>
  <c r="BT160" s="1"/>
  <c r="BH263"/>
  <c r="BT159" s="1"/>
  <c r="BH262"/>
  <c r="BT158" s="1"/>
  <c r="BH261"/>
  <c r="BT157" s="1"/>
  <c r="BH260"/>
  <c r="BT156" s="1"/>
  <c r="BH256"/>
  <c r="BT152" s="1"/>
  <c r="BH255"/>
  <c r="BT151" s="1"/>
  <c r="BH254"/>
  <c r="BT150" s="1"/>
  <c r="BH253"/>
  <c r="BT149" s="1"/>
  <c r="BH251"/>
  <c r="BT147" s="1"/>
  <c r="BH250"/>
  <c r="BT146" s="1"/>
  <c r="BH249"/>
  <c r="BT145" s="1"/>
  <c r="BH247"/>
  <c r="BT143" s="1"/>
  <c r="BH244"/>
  <c r="BT140" s="1"/>
  <c r="BH242"/>
  <c r="BT138" s="1"/>
  <c r="BH241"/>
  <c r="BT137" s="1"/>
  <c r="BH239"/>
  <c r="BT135" s="1"/>
  <c r="BH236"/>
  <c r="BT132" s="1"/>
  <c r="BH234"/>
  <c r="BT130" s="1"/>
  <c r="BH233"/>
  <c r="BT129" s="1"/>
  <c r="BH231"/>
  <c r="BT127" s="1"/>
  <c r="BH228"/>
  <c r="BT124" s="1"/>
  <c r="BH226"/>
  <c r="BT122" s="1"/>
  <c r="BH225"/>
  <c r="BT121" s="1"/>
  <c r="BH223"/>
  <c r="BT119" s="1"/>
  <c r="BH220"/>
  <c r="BT116" s="1"/>
  <c r="BH218"/>
  <c r="BT114" s="1"/>
  <c r="BH217"/>
  <c r="BT113" s="1"/>
  <c r="BH215"/>
  <c r="BT111" s="1"/>
  <c r="BH212"/>
  <c r="BT108" s="1"/>
  <c r="BH210"/>
  <c r="BT106" s="1"/>
  <c r="BH209"/>
  <c r="BT105" s="1"/>
  <c r="BH207"/>
  <c r="BT103" s="1"/>
  <c r="BH204"/>
  <c r="BT100" s="1"/>
  <c r="BH203"/>
  <c r="BT99" s="1"/>
  <c r="BH200"/>
  <c r="BT96" s="1"/>
  <c r="BH199"/>
  <c r="BT95" s="1"/>
  <c r="BH196"/>
  <c r="BT92" s="1"/>
  <c r="BH195"/>
  <c r="BT91" s="1"/>
  <c r="BH192"/>
  <c r="BT88" s="1"/>
  <c r="BH191"/>
  <c r="BT87" s="1"/>
  <c r="BH188"/>
  <c r="BT84" s="1"/>
  <c r="BH187"/>
  <c r="BT83" s="1"/>
  <c r="BH184"/>
  <c r="BT80" s="1"/>
  <c r="BH180"/>
  <c r="BT76" s="1"/>
  <c r="CI173"/>
  <c r="BH109"/>
  <c r="BV109" s="1"/>
  <c r="BW109" s="1"/>
  <c r="CI108"/>
  <c r="CI107"/>
  <c r="BK107" s="1"/>
  <c r="BH103"/>
  <c r="BV103" s="1"/>
  <c r="BW103" s="1"/>
  <c r="CI96"/>
  <c r="CJ96" s="1"/>
  <c r="CL96" s="1"/>
  <c r="CI95"/>
  <c r="CJ95" s="1"/>
  <c r="CL95" s="1"/>
  <c r="CI94"/>
  <c r="CJ94" s="1"/>
  <c r="CL94" s="1"/>
  <c r="CI90"/>
  <c r="CJ90" s="1"/>
  <c r="CL90" s="1"/>
  <c r="BH86"/>
  <c r="BV86" s="1"/>
  <c r="D173" i="106"/>
  <c r="D169"/>
  <c r="D165"/>
  <c r="D161"/>
  <c r="D157"/>
  <c r="D150"/>
  <c r="D142"/>
  <c r="D134"/>
  <c r="D126"/>
  <c r="D111"/>
  <c r="D103"/>
  <c r="C98"/>
  <c r="C95"/>
  <c r="C88"/>
  <c r="H176"/>
  <c r="J176"/>
  <c r="K172"/>
  <c r="K168"/>
  <c r="K164"/>
  <c r="K160"/>
  <c r="BW82" i="105"/>
  <c r="BR74"/>
  <c r="BS74" s="1"/>
  <c r="CF173"/>
  <c r="K153" i="106"/>
  <c r="E153"/>
  <c r="K145"/>
  <c r="E145"/>
  <c r="K137"/>
  <c r="E137"/>
  <c r="K129"/>
  <c r="E129"/>
  <c r="K121"/>
  <c r="E121"/>
  <c r="K114"/>
  <c r="E114"/>
  <c r="K106"/>
  <c r="E106"/>
  <c r="D72"/>
  <c r="C73"/>
  <c r="C77"/>
  <c r="C81"/>
  <c r="C85"/>
  <c r="C89"/>
  <c r="C93"/>
  <c r="C96"/>
  <c r="C97"/>
  <c r="C99"/>
  <c r="C101"/>
  <c r="D102"/>
  <c r="C103"/>
  <c r="D104"/>
  <c r="C105"/>
  <c r="D106"/>
  <c r="C107"/>
  <c r="D108"/>
  <c r="C109"/>
  <c r="D110"/>
  <c r="C111"/>
  <c r="D112"/>
  <c r="C113"/>
  <c r="D114"/>
  <c r="C115"/>
  <c r="D116"/>
  <c r="D121"/>
  <c r="C122"/>
  <c r="D123"/>
  <c r="C124"/>
  <c r="D125"/>
  <c r="C126"/>
  <c r="D127"/>
  <c r="C128"/>
  <c r="D129"/>
  <c r="C130"/>
  <c r="D131"/>
  <c r="C132"/>
  <c r="D133"/>
  <c r="C134"/>
  <c r="D135"/>
  <c r="C136"/>
  <c r="D137"/>
  <c r="C138"/>
  <c r="D139"/>
  <c r="C140"/>
  <c r="D141"/>
  <c r="C142"/>
  <c r="D143"/>
  <c r="C144"/>
  <c r="D145"/>
  <c r="C146"/>
  <c r="D147"/>
  <c r="C148"/>
  <c r="D149"/>
  <c r="C150"/>
  <c r="D151"/>
  <c r="C152"/>
  <c r="D153"/>
  <c r="C154"/>
  <c r="D155"/>
  <c r="C156"/>
  <c r="C75"/>
  <c r="C83"/>
  <c r="C100"/>
  <c r="C104"/>
  <c r="D105"/>
  <c r="C108"/>
  <c r="D109"/>
  <c r="C112"/>
  <c r="D113"/>
  <c r="C116"/>
  <c r="C123"/>
  <c r="D124"/>
  <c r="C127"/>
  <c r="D128"/>
  <c r="C131"/>
  <c r="D132"/>
  <c r="C135"/>
  <c r="D136"/>
  <c r="C139"/>
  <c r="D140"/>
  <c r="C143"/>
  <c r="D144"/>
  <c r="C147"/>
  <c r="D148"/>
  <c r="C151"/>
  <c r="D152"/>
  <c r="C155"/>
  <c r="D156"/>
  <c r="C157"/>
  <c r="D158"/>
  <c r="C159"/>
  <c r="D160"/>
  <c r="C161"/>
  <c r="D162"/>
  <c r="C163"/>
  <c r="D164"/>
  <c r="C165"/>
  <c r="D166"/>
  <c r="C167"/>
  <c r="D168"/>
  <c r="C169"/>
  <c r="D170"/>
  <c r="C171"/>
  <c r="D172"/>
  <c r="C173"/>
  <c r="D174"/>
  <c r="C175"/>
  <c r="K175" s="1"/>
  <c r="D176"/>
  <c r="CI73" i="105"/>
  <c r="CI80"/>
  <c r="CI84"/>
  <c r="CJ84" s="1"/>
  <c r="CL84" s="1"/>
  <c r="CI100"/>
  <c r="CJ100" s="1"/>
  <c r="CL100" s="1"/>
  <c r="CI102"/>
  <c r="CJ102" s="1"/>
  <c r="CL102" s="1"/>
  <c r="CI105"/>
  <c r="BK105" s="1"/>
  <c r="BL105" s="1"/>
  <c r="L104" i="106" s="1"/>
  <c r="CI106" i="105"/>
  <c r="CJ106" s="1"/>
  <c r="CL106" s="1"/>
  <c r="CI109"/>
  <c r="BK109" s="1"/>
  <c r="BL109" s="1"/>
  <c r="L108" i="106" s="1"/>
  <c r="CI110" i="105"/>
  <c r="BK110" s="1"/>
  <c r="CI112"/>
  <c r="BK112" s="1"/>
  <c r="BL112" s="1"/>
  <c r="CI114"/>
  <c r="BK114" s="1"/>
  <c r="BL114" s="1"/>
  <c r="L113" i="106" s="1"/>
  <c r="CI116" i="105"/>
  <c r="BK116" s="1"/>
  <c r="BL116" s="1"/>
  <c r="CI118"/>
  <c r="BK118" s="1"/>
  <c r="BL118" s="1"/>
  <c r="L121" i="106" s="1"/>
  <c r="CI120" i="105"/>
  <c r="BK120" s="1"/>
  <c r="BL120" s="1"/>
  <c r="CI122"/>
  <c r="BK122" s="1"/>
  <c r="BL122" s="1"/>
  <c r="CI124"/>
  <c r="BK124" s="1"/>
  <c r="BL124" s="1"/>
  <c r="CI126"/>
  <c r="BK126" s="1"/>
  <c r="BL126" s="1"/>
  <c r="CI128"/>
  <c r="BK128" s="1"/>
  <c r="CI130"/>
  <c r="BK130" s="1"/>
  <c r="BL130" s="1"/>
  <c r="CI132"/>
  <c r="BK132" s="1"/>
  <c r="BL132" s="1"/>
  <c r="CI134"/>
  <c r="CF134" s="1"/>
  <c r="CG134" s="1"/>
  <c r="CH134" s="1"/>
  <c r="CN134" s="1"/>
  <c r="CO134" s="1"/>
  <c r="H137" i="106" s="1"/>
  <c r="CI136" i="105"/>
  <c r="BK136" s="1"/>
  <c r="BL136" s="1"/>
  <c r="CI138"/>
  <c r="CF138" s="1"/>
  <c r="CG138" s="1"/>
  <c r="CH138" s="1"/>
  <c r="CN138" s="1"/>
  <c r="CI140"/>
  <c r="BK140" s="1"/>
  <c r="BL140" s="1"/>
  <c r="CI142"/>
  <c r="CF142" s="1"/>
  <c r="CG142" s="1"/>
  <c r="CH142" s="1"/>
  <c r="CN142" s="1"/>
  <c r="CO142" s="1"/>
  <c r="H145" i="106" s="1"/>
  <c r="CI144" i="105"/>
  <c r="BK144" s="1"/>
  <c r="CI146"/>
  <c r="CF146" s="1"/>
  <c r="CG146" s="1"/>
  <c r="CH146" s="1"/>
  <c r="CN146" s="1"/>
  <c r="CI148"/>
  <c r="BK148" s="1"/>
  <c r="BL148" s="1"/>
  <c r="CI150"/>
  <c r="BK150" s="1"/>
  <c r="BL150" s="1"/>
  <c r="CI152"/>
  <c r="BK152" s="1"/>
  <c r="BL152" s="1"/>
  <c r="CI154"/>
  <c r="BK154" s="1"/>
  <c r="BL154" s="1"/>
  <c r="CI156"/>
  <c r="BK156" s="1"/>
  <c r="BL156" s="1"/>
  <c r="CI158"/>
  <c r="BK158" s="1"/>
  <c r="BL158" s="1"/>
  <c r="CI160"/>
  <c r="BK160" s="1"/>
  <c r="BL160" s="1"/>
  <c r="CI162"/>
  <c r="BK162" s="1"/>
  <c r="BL162" s="1"/>
  <c r="CI164"/>
  <c r="BK164" s="1"/>
  <c r="BL164" s="1"/>
  <c r="CI166"/>
  <c r="BK166" s="1"/>
  <c r="BL166" s="1"/>
  <c r="CI168"/>
  <c r="BK168" s="1"/>
  <c r="BL168" s="1"/>
  <c r="CI170"/>
  <c r="BK170" s="1"/>
  <c r="BL170" s="1"/>
  <c r="CI172"/>
  <c r="BK172" s="1"/>
  <c r="BL173" s="1"/>
  <c r="K52" i="106"/>
  <c r="BH78" i="105"/>
  <c r="BV78" s="1"/>
  <c r="BH89"/>
  <c r="BV89" s="1"/>
  <c r="BW89" s="1"/>
  <c r="BH90"/>
  <c r="BV90" s="1"/>
  <c r="BH91"/>
  <c r="BV91" s="1"/>
  <c r="BW91" s="1"/>
  <c r="BH92"/>
  <c r="BV92" s="1"/>
  <c r="BW92" s="1"/>
  <c r="BH93"/>
  <c r="BV93" s="1"/>
  <c r="BW93" s="1"/>
  <c r="BH94"/>
  <c r="BV94" s="1"/>
  <c r="BW94" s="1"/>
  <c r="BH95"/>
  <c r="BV95" s="1"/>
  <c r="BW95" s="1"/>
  <c r="BH96"/>
  <c r="BV96" s="1"/>
  <c r="BW96" s="1"/>
  <c r="BH97"/>
  <c r="BV97" s="1"/>
  <c r="BW97" s="1"/>
  <c r="BH98"/>
  <c r="BV98" s="1"/>
  <c r="BW98" s="1"/>
  <c r="BH99"/>
  <c r="BV99" s="1"/>
  <c r="BW99" s="1"/>
  <c r="BH100"/>
  <c r="BV100" s="1"/>
  <c r="BW100" s="1"/>
  <c r="BH102"/>
  <c r="BV102" s="1"/>
  <c r="BH107"/>
  <c r="BV107" s="1"/>
  <c r="BW107" s="1"/>
  <c r="BH111"/>
  <c r="BV111" s="1"/>
  <c r="BW111" s="1"/>
  <c r="BH113"/>
  <c r="BV113" s="1"/>
  <c r="BW113" s="1"/>
  <c r="BH115"/>
  <c r="BV115" s="1"/>
  <c r="BW115" s="1"/>
  <c r="BH117"/>
  <c r="BV117" s="1"/>
  <c r="BW117" s="1"/>
  <c r="BH119"/>
  <c r="BV119" s="1"/>
  <c r="BW119" s="1"/>
  <c r="BH121"/>
  <c r="BV121" s="1"/>
  <c r="BW121" s="1"/>
  <c r="BH123"/>
  <c r="BV123" s="1"/>
  <c r="BW123" s="1"/>
  <c r="BH125"/>
  <c r="BV125" s="1"/>
  <c r="BW125" s="1"/>
  <c r="BH127"/>
  <c r="BV127" s="1"/>
  <c r="BW127" s="1"/>
  <c r="BH129"/>
  <c r="BV129" s="1"/>
  <c r="BW129" s="1"/>
  <c r="BH131"/>
  <c r="BV131" s="1"/>
  <c r="BW131" s="1"/>
  <c r="BH133"/>
  <c r="BV133" s="1"/>
  <c r="BW133" s="1"/>
  <c r="BH135"/>
  <c r="BV135" s="1"/>
  <c r="BW135" s="1"/>
  <c r="BH137"/>
  <c r="BV137" s="1"/>
  <c r="BW137" s="1"/>
  <c r="BH139"/>
  <c r="BV139" s="1"/>
  <c r="BW139" s="1"/>
  <c r="BH141"/>
  <c r="BV141" s="1"/>
  <c r="BW141" s="1"/>
  <c r="BH143"/>
  <c r="BV143" s="1"/>
  <c r="BW143" s="1"/>
  <c r="BH145"/>
  <c r="BV145" s="1"/>
  <c r="BW145" s="1"/>
  <c r="BH147"/>
  <c r="BV147" s="1"/>
  <c r="BW147" s="1"/>
  <c r="BH149"/>
  <c r="BV149" s="1"/>
  <c r="BW149" s="1"/>
  <c r="BH151"/>
  <c r="BV151" s="1"/>
  <c r="BW151" s="1"/>
  <c r="BH153"/>
  <c r="BV153" s="1"/>
  <c r="BW153" s="1"/>
  <c r="BH155"/>
  <c r="BV155" s="1"/>
  <c r="BW155" s="1"/>
  <c r="BH157"/>
  <c r="BV157" s="1"/>
  <c r="BW157" s="1"/>
  <c r="BH159"/>
  <c r="BV159" s="1"/>
  <c r="BW159" s="1"/>
  <c r="BH161"/>
  <c r="BV161" s="1"/>
  <c r="BW161" s="1"/>
  <c r="BH163"/>
  <c r="BV163" s="1"/>
  <c r="BW163" s="1"/>
  <c r="BH165"/>
  <c r="BV165" s="1"/>
  <c r="BW165" s="1"/>
  <c r="BH167"/>
  <c r="BV167" s="1"/>
  <c r="BW167" s="1"/>
  <c r="BH169"/>
  <c r="BV169" s="1"/>
  <c r="BW169" s="1"/>
  <c r="BH171"/>
  <c r="BV171" s="1"/>
  <c r="BW171" s="1"/>
  <c r="BH177"/>
  <c r="BH179"/>
  <c r="BT75" s="1"/>
  <c r="BH181"/>
  <c r="BT77" s="1"/>
  <c r="BH183"/>
  <c r="BT79" s="1"/>
  <c r="BH185"/>
  <c r="BT81" s="1"/>
  <c r="E176" i="106"/>
  <c r="D175"/>
  <c r="C174"/>
  <c r="E172"/>
  <c r="D171"/>
  <c r="C170"/>
  <c r="E168"/>
  <c r="D167"/>
  <c r="C166"/>
  <c r="E164"/>
  <c r="D163"/>
  <c r="C162"/>
  <c r="E160"/>
  <c r="D159"/>
  <c r="C158"/>
  <c r="D154"/>
  <c r="C149"/>
  <c r="D146"/>
  <c r="C141"/>
  <c r="D138"/>
  <c r="C133"/>
  <c r="D130"/>
  <c r="C125"/>
  <c r="D122"/>
  <c r="D115"/>
  <c r="C110"/>
  <c r="D107"/>
  <c r="C102"/>
  <c r="D101"/>
  <c r="C79"/>
  <c r="BW101" i="105"/>
  <c r="BR87"/>
  <c r="BS87" s="1"/>
  <c r="CE85"/>
  <c r="CG85" s="1"/>
  <c r="CG74"/>
  <c r="CJ154"/>
  <c r="CL154" s="1"/>
  <c r="CF152"/>
  <c r="CG152" s="1"/>
  <c r="CH152" s="1"/>
  <c r="CN152" s="1"/>
  <c r="CO152" s="1"/>
  <c r="H155" i="106" s="1"/>
  <c r="CF150" i="105"/>
  <c r="CG150" s="1"/>
  <c r="CH150" s="1"/>
  <c r="CN150" s="1"/>
  <c r="CO150" s="1"/>
  <c r="H153" i="106" s="1"/>
  <c r="CF116" i="105"/>
  <c r="CG116" s="1"/>
  <c r="CH116" s="1"/>
  <c r="CN116" s="1"/>
  <c r="CJ114"/>
  <c r="CL114" s="1"/>
  <c r="CF112"/>
  <c r="CG112" s="1"/>
  <c r="CH112" s="1"/>
  <c r="CN112" s="1"/>
  <c r="CI93"/>
  <c r="CJ93" s="1"/>
  <c r="CL93" s="1"/>
  <c r="CI92"/>
  <c r="CJ92" s="1"/>
  <c r="CL92" s="1"/>
  <c r="CI87"/>
  <c r="CJ87" s="1"/>
  <c r="CL87" s="1"/>
  <c r="CI86"/>
  <c r="CJ86" s="1"/>
  <c r="CL86" s="1"/>
  <c r="CI85"/>
  <c r="CI83"/>
  <c r="CJ83" s="1"/>
  <c r="CL83" s="1"/>
  <c r="CI81"/>
  <c r="CI79"/>
  <c r="CI78"/>
  <c r="CI77"/>
  <c r="CJ77" s="1"/>
  <c r="CL77" s="1"/>
  <c r="CI74"/>
  <c r="BR102"/>
  <c r="BS102" s="1"/>
  <c r="BR100"/>
  <c r="BS100" s="1"/>
  <c r="BW102"/>
  <c r="BW86"/>
  <c r="BW78"/>
  <c r="BR98"/>
  <c r="BS98" s="1"/>
  <c r="BR95"/>
  <c r="BS95" s="1"/>
  <c r="BR93"/>
  <c r="BS93" s="1"/>
  <c r="CE91"/>
  <c r="CE90"/>
  <c r="BW90"/>
  <c r="CE89"/>
  <c r="CE87"/>
  <c r="CG87" s="1"/>
  <c r="BR83"/>
  <c r="BS83" s="1"/>
  <c r="BR81"/>
  <c r="BS81" s="1"/>
  <c r="CF172"/>
  <c r="CF170"/>
  <c r="CF168"/>
  <c r="CJ166"/>
  <c r="CL166" s="1"/>
  <c r="CF164"/>
  <c r="CG164" s="1"/>
  <c r="CH164" s="1"/>
  <c r="CN164" s="1"/>
  <c r="CF162"/>
  <c r="CG162" s="1"/>
  <c r="CH162" s="1"/>
  <c r="CN162" s="1"/>
  <c r="CF160"/>
  <c r="CG160" s="1"/>
  <c r="CH160" s="1"/>
  <c r="CN160" s="1"/>
  <c r="CO160" s="1"/>
  <c r="CJ158"/>
  <c r="CL158" s="1"/>
  <c r="CF156"/>
  <c r="CG156" s="1"/>
  <c r="CH156" s="1"/>
  <c r="CN156" s="1"/>
  <c r="CF148"/>
  <c r="BK146"/>
  <c r="BL146" s="1"/>
  <c r="CJ146"/>
  <c r="CL146" s="1"/>
  <c r="CF144"/>
  <c r="BK142"/>
  <c r="BL142" s="1"/>
  <c r="L145" i="106" s="1"/>
  <c r="CJ142" i="105"/>
  <c r="CL142" s="1"/>
  <c r="CF140"/>
  <c r="BK138"/>
  <c r="BL138" s="1"/>
  <c r="CJ138"/>
  <c r="CL138" s="1"/>
  <c r="CF136"/>
  <c r="BK134"/>
  <c r="BL134" s="1"/>
  <c r="L137" i="106" s="1"/>
  <c r="CJ134" i="105"/>
  <c r="CL134" s="1"/>
  <c r="CF132"/>
  <c r="CJ130"/>
  <c r="CL130" s="1"/>
  <c r="CJ128"/>
  <c r="CL128" s="1"/>
  <c r="CF126"/>
  <c r="CJ124"/>
  <c r="CL124" s="1"/>
  <c r="CJ122"/>
  <c r="CL122" s="1"/>
  <c r="CJ120"/>
  <c r="CL120" s="1"/>
  <c r="CF118"/>
  <c r="AJ7"/>
  <c r="AI54" s="1"/>
  <c r="AE7"/>
  <c r="AH54" s="1"/>
  <c r="AI52" s="1"/>
  <c r="AA6"/>
  <c r="AJ6"/>
  <c r="AI55" s="1"/>
  <c r="AE6"/>
  <c r="AH55" s="1"/>
  <c r="AI51" s="1"/>
  <c r="AJ5"/>
  <c r="AI56" s="1"/>
  <c r="AE5"/>
  <c r="AH56" s="1"/>
  <c r="AJ4"/>
  <c r="AI57" s="1"/>
  <c r="AE4"/>
  <c r="AH57" s="1"/>
  <c r="AI49" s="1"/>
  <c r="AJ3"/>
  <c r="AI58" s="1"/>
  <c r="AE3"/>
  <c r="AH58" s="1"/>
  <c r="AJ2"/>
  <c r="AI59" s="1"/>
  <c r="AE2"/>
  <c r="AH59" s="1"/>
  <c r="AI47" s="1"/>
  <c r="CF109"/>
  <c r="CG109" s="1"/>
  <c r="CH109" s="1"/>
  <c r="CN109" s="1"/>
  <c r="BL107"/>
  <c r="L106" i="106" s="1"/>
  <c r="CF105" i="105"/>
  <c r="CF103"/>
  <c r="CG103" s="1"/>
  <c r="CH103" s="1"/>
  <c r="CN103" s="1"/>
  <c r="F176" i="106"/>
  <c r="K176"/>
  <c r="C94"/>
  <c r="C92"/>
  <c r="C91"/>
  <c r="C90"/>
  <c r="D86"/>
  <c r="D84"/>
  <c r="D82"/>
  <c r="D80"/>
  <c r="D78"/>
  <c r="D76"/>
  <c r="D74"/>
  <c r="BR101" i="105"/>
  <c r="BS101" s="1"/>
  <c r="BR99"/>
  <c r="BS99" s="1"/>
  <c r="BR97"/>
  <c r="BS97" s="1"/>
  <c r="BR96"/>
  <c r="BS96" s="1"/>
  <c r="BR94"/>
  <c r="BS94" s="1"/>
  <c r="BR92"/>
  <c r="BS92" s="1"/>
  <c r="BR91"/>
  <c r="BS91" s="1"/>
  <c r="BR89"/>
  <c r="BS89" s="1"/>
  <c r="BR88"/>
  <c r="BS88" s="1"/>
  <c r="BR86"/>
  <c r="BS86" s="1"/>
  <c r="CE83"/>
  <c r="CG83" s="1"/>
  <c r="BR82"/>
  <c r="BS82" s="1"/>
  <c r="CE81"/>
  <c r="CG81" s="1"/>
  <c r="BR77"/>
  <c r="BS77" s="1"/>
  <c r="CE77"/>
  <c r="CG77" s="1"/>
  <c r="BR78"/>
  <c r="BS78" s="1"/>
  <c r="AT67"/>
  <c r="L176" i="106"/>
  <c r="L167"/>
  <c r="L153"/>
  <c r="L129"/>
  <c r="C72"/>
  <c r="D73"/>
  <c r="C74"/>
  <c r="D75"/>
  <c r="C76"/>
  <c r="D77"/>
  <c r="C78"/>
  <c r="D79"/>
  <c r="C80"/>
  <c r="D81"/>
  <c r="C82"/>
  <c r="D83"/>
  <c r="C84"/>
  <c r="D85"/>
  <c r="C86"/>
  <c r="D87"/>
  <c r="D88"/>
  <c r="D89"/>
  <c r="D90"/>
  <c r="D91"/>
  <c r="D92"/>
  <c r="D93"/>
  <c r="D94"/>
  <c r="D95"/>
  <c r="D96"/>
  <c r="D97"/>
  <c r="D98"/>
  <c r="D99"/>
  <c r="D100"/>
  <c r="D21"/>
  <c r="BK173" i="105"/>
  <c r="CJ173"/>
  <c r="CL173" s="1"/>
  <c r="CE175"/>
  <c r="L54" i="106" s="1"/>
  <c r="CF106" i="105"/>
  <c r="CG106" s="1"/>
  <c r="CH106" s="1"/>
  <c r="CN106" s="1"/>
  <c r="AQ65"/>
  <c r="AR65"/>
  <c r="CG172"/>
  <c r="CF171"/>
  <c r="CG171" s="1"/>
  <c r="CH171" s="1"/>
  <c r="CN171" s="1"/>
  <c r="CO171" s="1"/>
  <c r="CJ171"/>
  <c r="CL171" s="1"/>
  <c r="BK171"/>
  <c r="BL171" s="1"/>
  <c r="CG170"/>
  <c r="CH170" s="1"/>
  <c r="CN170" s="1"/>
  <c r="CF169"/>
  <c r="CG169" s="1"/>
  <c r="CH169" s="1"/>
  <c r="CN169" s="1"/>
  <c r="CJ169"/>
  <c r="CL169" s="1"/>
  <c r="BK169"/>
  <c r="BL169" s="1"/>
  <c r="L172" i="106" s="1"/>
  <c r="CG168" i="105"/>
  <c r="CH168" s="1"/>
  <c r="CN168" s="1"/>
  <c r="CO168" s="1"/>
  <c r="CF167"/>
  <c r="CG167" s="1"/>
  <c r="CH167" s="1"/>
  <c r="CN167" s="1"/>
  <c r="CJ167"/>
  <c r="CL167" s="1"/>
  <c r="BK167"/>
  <c r="BL167" s="1"/>
  <c r="CF165"/>
  <c r="CG165" s="1"/>
  <c r="CH165" s="1"/>
  <c r="CN165" s="1"/>
  <c r="CO165" s="1"/>
  <c r="H168" i="106" s="1"/>
  <c r="CJ165" i="105"/>
  <c r="CL165" s="1"/>
  <c r="BK165"/>
  <c r="BL165" s="1"/>
  <c r="L168" i="106" s="1"/>
  <c r="CF163" i="105"/>
  <c r="CG163" s="1"/>
  <c r="CH163" s="1"/>
  <c r="CN163" s="1"/>
  <c r="CO163" s="1"/>
  <c r="CJ163"/>
  <c r="CL163" s="1"/>
  <c r="BK163"/>
  <c r="BL163" s="1"/>
  <c r="CF161"/>
  <c r="CG161" s="1"/>
  <c r="CH161" s="1"/>
  <c r="CN161" s="1"/>
  <c r="CJ161"/>
  <c r="CL161" s="1"/>
  <c r="BK161"/>
  <c r="BL161" s="1"/>
  <c r="L164" i="106" s="1"/>
  <c r="CF159" i="105"/>
  <c r="CG159" s="1"/>
  <c r="CH159" s="1"/>
  <c r="CN159" s="1"/>
  <c r="CJ159"/>
  <c r="CL159" s="1"/>
  <c r="BK159"/>
  <c r="BL159" s="1"/>
  <c r="L162" i="106" s="1"/>
  <c r="CF157" i="105"/>
  <c r="CG157" s="1"/>
  <c r="CH157" s="1"/>
  <c r="CN157" s="1"/>
  <c r="CO157" s="1"/>
  <c r="H160" i="106" s="1"/>
  <c r="CJ157" i="105"/>
  <c r="CL157" s="1"/>
  <c r="BK157"/>
  <c r="BL157" s="1"/>
  <c r="L160" i="106" s="1"/>
  <c r="CF155" i="105"/>
  <c r="CG155" s="1"/>
  <c r="CH155" s="1"/>
  <c r="CN155" s="1"/>
  <c r="CO155" s="1"/>
  <c r="CJ155"/>
  <c r="CL155" s="1"/>
  <c r="BK155"/>
  <c r="BL155" s="1"/>
  <c r="CF153"/>
  <c r="CG153" s="1"/>
  <c r="CH153" s="1"/>
  <c r="CN153" s="1"/>
  <c r="CJ153"/>
  <c r="CL153" s="1"/>
  <c r="BK153"/>
  <c r="BL153" s="1"/>
  <c r="L156" i="106" s="1"/>
  <c r="CF151" i="105"/>
  <c r="CG151" s="1"/>
  <c r="CH151" s="1"/>
  <c r="CN151" s="1"/>
  <c r="CJ151"/>
  <c r="CL151" s="1"/>
  <c r="BK151"/>
  <c r="BL151" s="1"/>
  <c r="L154" i="106" s="1"/>
  <c r="CF149" i="105"/>
  <c r="CG149" s="1"/>
  <c r="CH149" s="1"/>
  <c r="CN149" s="1"/>
  <c r="CO149" s="1"/>
  <c r="CJ149"/>
  <c r="CL149" s="1"/>
  <c r="BK149"/>
  <c r="BL149" s="1"/>
  <c r="L152" i="106" s="1"/>
  <c r="CG148" i="105"/>
  <c r="CH148" s="1"/>
  <c r="CN148" s="1"/>
  <c r="CF147"/>
  <c r="CG147" s="1"/>
  <c r="CH147" s="1"/>
  <c r="CN147" s="1"/>
  <c r="CO147" s="1"/>
  <c r="CJ147"/>
  <c r="CL147" s="1"/>
  <c r="BK147"/>
  <c r="BL147" s="1"/>
  <c r="CF145"/>
  <c r="CG145" s="1"/>
  <c r="CH145" s="1"/>
  <c r="CN145" s="1"/>
  <c r="CJ145"/>
  <c r="CL145" s="1"/>
  <c r="BK145"/>
  <c r="BL145" s="1"/>
  <c r="CG144"/>
  <c r="CH144" s="1"/>
  <c r="CN144" s="1"/>
  <c r="CO144" s="1"/>
  <c r="CF143"/>
  <c r="CG143" s="1"/>
  <c r="CH143" s="1"/>
  <c r="CN143" s="1"/>
  <c r="CJ143"/>
  <c r="CL143" s="1"/>
  <c r="BK143"/>
  <c r="BL143" s="1"/>
  <c r="CF141"/>
  <c r="CG141" s="1"/>
  <c r="CH141" s="1"/>
  <c r="CN141" s="1"/>
  <c r="CO141" s="1"/>
  <c r="CJ141"/>
  <c r="CL141" s="1"/>
  <c r="BK141"/>
  <c r="BL141" s="1"/>
  <c r="CG140"/>
  <c r="CH140" s="1"/>
  <c r="CN140" s="1"/>
  <c r="CF139"/>
  <c r="CG139" s="1"/>
  <c r="CH139" s="1"/>
  <c r="CN139" s="1"/>
  <c r="CO139" s="1"/>
  <c r="CJ139"/>
  <c r="CL139" s="1"/>
  <c r="BK139"/>
  <c r="BL139" s="1"/>
  <c r="CF137"/>
  <c r="CG137" s="1"/>
  <c r="CH137" s="1"/>
  <c r="CN137" s="1"/>
  <c r="CJ137"/>
  <c r="CL137" s="1"/>
  <c r="BK137"/>
  <c r="BL137" s="1"/>
  <c r="CG136"/>
  <c r="CH136" s="1"/>
  <c r="CN136" s="1"/>
  <c r="CO136" s="1"/>
  <c r="CF135"/>
  <c r="CG135" s="1"/>
  <c r="CH135" s="1"/>
  <c r="CN135" s="1"/>
  <c r="CJ135"/>
  <c r="CL135" s="1"/>
  <c r="BK135"/>
  <c r="BL135" s="1"/>
  <c r="CF133"/>
  <c r="CG133" s="1"/>
  <c r="CH133" s="1"/>
  <c r="CN133" s="1"/>
  <c r="CO133" s="1"/>
  <c r="CJ133"/>
  <c r="CL133" s="1"/>
  <c r="BK133"/>
  <c r="BL133" s="1"/>
  <c r="CG132"/>
  <c r="CH132" s="1"/>
  <c r="CN132" s="1"/>
  <c r="CF131"/>
  <c r="CG131" s="1"/>
  <c r="CH131" s="1"/>
  <c r="CN131" s="1"/>
  <c r="CO131" s="1"/>
  <c r="CJ131"/>
  <c r="CL131" s="1"/>
  <c r="BK131"/>
  <c r="BL131" s="1"/>
  <c r="CF129"/>
  <c r="CG129" s="1"/>
  <c r="CH129" s="1"/>
  <c r="CN129" s="1"/>
  <c r="CJ129"/>
  <c r="CL129" s="1"/>
  <c r="BK129"/>
  <c r="BL129" s="1"/>
  <c r="L132" i="106" s="1"/>
  <c r="CF127" i="105"/>
  <c r="CG127" s="1"/>
  <c r="CH127" s="1"/>
  <c r="CN127" s="1"/>
  <c r="CJ127"/>
  <c r="CL127" s="1"/>
  <c r="BK127"/>
  <c r="BL127" s="1"/>
  <c r="L130" i="106" s="1"/>
  <c r="CG126" i="105"/>
  <c r="CH126" s="1"/>
  <c r="CN126" s="1"/>
  <c r="CO126" s="1"/>
  <c r="H129" i="106" s="1"/>
  <c r="CF125" i="105"/>
  <c r="CG125" s="1"/>
  <c r="CH125" s="1"/>
  <c r="CN125" s="1"/>
  <c r="CO125" s="1"/>
  <c r="H128" i="106" s="1"/>
  <c r="CJ125" i="105"/>
  <c r="CL125" s="1"/>
  <c r="BK125"/>
  <c r="BL125" s="1"/>
  <c r="L128" i="106" s="1"/>
  <c r="CF123" i="105"/>
  <c r="CG123" s="1"/>
  <c r="CH123" s="1"/>
  <c r="CN123" s="1"/>
  <c r="CJ123"/>
  <c r="CL123" s="1"/>
  <c r="BK123"/>
  <c r="BL123" s="1"/>
  <c r="L126" i="106" s="1"/>
  <c r="CF121" i="105"/>
  <c r="CG121" s="1"/>
  <c r="CH121" s="1"/>
  <c r="CN121" s="1"/>
  <c r="CJ121"/>
  <c r="CL121" s="1"/>
  <c r="BK121"/>
  <c r="BL121" s="1"/>
  <c r="L124" i="106" s="1"/>
  <c r="CF119" i="105"/>
  <c r="CG119" s="1"/>
  <c r="CH119" s="1"/>
  <c r="CN119" s="1"/>
  <c r="CO119" s="1"/>
  <c r="H122" i="106" s="1"/>
  <c r="CJ119" i="105"/>
  <c r="CL119" s="1"/>
  <c r="BK119"/>
  <c r="BL119" s="1"/>
  <c r="L122" i="106" s="1"/>
  <c r="CG118" i="105"/>
  <c r="CH118" s="1"/>
  <c r="CN118" s="1"/>
  <c r="CF117"/>
  <c r="CG117" s="1"/>
  <c r="CH117" s="1"/>
  <c r="CN117" s="1"/>
  <c r="CJ117"/>
  <c r="CL117" s="1"/>
  <c r="BK117"/>
  <c r="BL117" s="1"/>
  <c r="L116" i="106" s="1"/>
  <c r="CF115" i="105"/>
  <c r="CG115" s="1"/>
  <c r="CH115" s="1"/>
  <c r="CN115" s="1"/>
  <c r="CJ115"/>
  <c r="CL115" s="1"/>
  <c r="BK115"/>
  <c r="BL115" s="1"/>
  <c r="L114" i="106" s="1"/>
  <c r="CF113" i="105"/>
  <c r="CG113" s="1"/>
  <c r="CH113" s="1"/>
  <c r="CN113" s="1"/>
  <c r="CJ113"/>
  <c r="CL113" s="1"/>
  <c r="BK113"/>
  <c r="BL113" s="1"/>
  <c r="BK111"/>
  <c r="BL111" s="1"/>
  <c r="CF111"/>
  <c r="CG111" s="1"/>
  <c r="CH111" s="1"/>
  <c r="CN111" s="1"/>
  <c r="CJ111"/>
  <c r="CL111" s="1"/>
  <c r="CF110"/>
  <c r="CG110" s="1"/>
  <c r="CH110" s="1"/>
  <c r="CN110" s="1"/>
  <c r="BK106"/>
  <c r="BL106" s="1"/>
  <c r="L105" i="106" s="1"/>
  <c r="CK74" i="105"/>
  <c r="CK76"/>
  <c r="CK78"/>
  <c r="CK80"/>
  <c r="CK82"/>
  <c r="CK84"/>
  <c r="CK86"/>
  <c r="CK87"/>
  <c r="CK75"/>
  <c r="CJ78"/>
  <c r="CL78" s="1"/>
  <c r="CK79"/>
  <c r="CJ82"/>
  <c r="CL82" s="1"/>
  <c r="CK83"/>
  <c r="CJ76"/>
  <c r="CL76" s="1"/>
  <c r="CK77"/>
  <c r="CJ80"/>
  <c r="CL80" s="1"/>
  <c r="CK81"/>
  <c r="CK85"/>
  <c r="CK88"/>
  <c r="CK89"/>
  <c r="CK90"/>
  <c r="CK91"/>
  <c r="CK92"/>
  <c r="CK93"/>
  <c r="CK94"/>
  <c r="CK95"/>
  <c r="CK96"/>
  <c r="CK97"/>
  <c r="CK98"/>
  <c r="CK99"/>
  <c r="CK100"/>
  <c r="CK101"/>
  <c r="CK102"/>
  <c r="CJ103"/>
  <c r="CL103" s="1"/>
  <c r="AA65"/>
  <c r="AA69"/>
  <c r="AC69"/>
  <c r="AB69"/>
  <c r="AD69"/>
  <c r="M9"/>
  <c r="AP7"/>
  <c r="AR7"/>
  <c r="AU7"/>
  <c r="AW7"/>
  <c r="AQ7"/>
  <c r="AV7"/>
  <c r="AS7"/>
  <c r="AP6" s="1"/>
  <c r="AD54" s="1"/>
  <c r="AD53" s="1"/>
  <c r="AX7"/>
  <c r="AU6" s="1"/>
  <c r="AE54" s="1"/>
  <c r="AE53" s="1"/>
  <c r="CF108"/>
  <c r="CG108" s="1"/>
  <c r="CH108" s="1"/>
  <c r="CN108" s="1"/>
  <c r="CJ108"/>
  <c r="CL108" s="1"/>
  <c r="BK108"/>
  <c r="BL108" s="1"/>
  <c r="L107" i="106" s="1"/>
  <c r="CG105" i="105"/>
  <c r="CH105" s="1"/>
  <c r="CN105" s="1"/>
  <c r="CF104"/>
  <c r="CG104" s="1"/>
  <c r="CH104" s="1"/>
  <c r="CN104" s="1"/>
  <c r="CJ104"/>
  <c r="CL104" s="1"/>
  <c r="BK104"/>
  <c r="BL104" s="1"/>
  <c r="CF102"/>
  <c r="CG102" s="1"/>
  <c r="CF101"/>
  <c r="CG101" s="1"/>
  <c r="CF100"/>
  <c r="CG100" s="1"/>
  <c r="CF99"/>
  <c r="CG99" s="1"/>
  <c r="CF98"/>
  <c r="CG98" s="1"/>
  <c r="CF97"/>
  <c r="CG97" s="1"/>
  <c r="CF96"/>
  <c r="CG96" s="1"/>
  <c r="CF95"/>
  <c r="CG95" s="1"/>
  <c r="CF94"/>
  <c r="CG94" s="1"/>
  <c r="CF93"/>
  <c r="CG93" s="1"/>
  <c r="CF92"/>
  <c r="CG92" s="1"/>
  <c r="CF91"/>
  <c r="CG91" s="1"/>
  <c r="CF90"/>
  <c r="CF89"/>
  <c r="CF88"/>
  <c r="CG88" s="1"/>
  <c r="BR84"/>
  <c r="BS84" s="1"/>
  <c r="CE84"/>
  <c r="CG84" s="1"/>
  <c r="BR80"/>
  <c r="BS80" s="1"/>
  <c r="CE80"/>
  <c r="CG80" s="1"/>
  <c r="CJ79"/>
  <c r="CL79" s="1"/>
  <c r="BR76"/>
  <c r="BS76" s="1"/>
  <c r="CE76"/>
  <c r="CG76" s="1"/>
  <c r="CJ75"/>
  <c r="CL75" s="1"/>
  <c r="AT66"/>
  <c r="AV66"/>
  <c r="AU66"/>
  <c r="AT64"/>
  <c r="AV64"/>
  <c r="BH73"/>
  <c r="BH75"/>
  <c r="BV75" s="1"/>
  <c r="BW75" s="1"/>
  <c r="BH77"/>
  <c r="BV77" s="1"/>
  <c r="BW77" s="1"/>
  <c r="BH79"/>
  <c r="BV79" s="1"/>
  <c r="BW79" s="1"/>
  <c r="BH81"/>
  <c r="BV81" s="1"/>
  <c r="BW81" s="1"/>
  <c r="BH83"/>
  <c r="BV83" s="1"/>
  <c r="BW83" s="1"/>
  <c r="BH85"/>
  <c r="BV85" s="1"/>
  <c r="BW85" s="1"/>
  <c r="BH87"/>
  <c r="BV87" s="1"/>
  <c r="BW87" s="1"/>
  <c r="BH88"/>
  <c r="BV88" s="1"/>
  <c r="BW88" s="1"/>
  <c r="BH74"/>
  <c r="BV74" s="1"/>
  <c r="BW74" s="1"/>
  <c r="BH76"/>
  <c r="BV76" s="1"/>
  <c r="BW76" s="1"/>
  <c r="BH80"/>
  <c r="BV80" s="1"/>
  <c r="BW80" s="1"/>
  <c r="BH84"/>
  <c r="BV84" s="1"/>
  <c r="BW84" s="1"/>
  <c r="BH104"/>
  <c r="BV104" s="1"/>
  <c r="BW104" s="1"/>
  <c r="BH106"/>
  <c r="BV106" s="1"/>
  <c r="BW106" s="1"/>
  <c r="BH108"/>
  <c r="BV108" s="1"/>
  <c r="BW108" s="1"/>
  <c r="BH110"/>
  <c r="BV110" s="1"/>
  <c r="BW110" s="1"/>
  <c r="CG86"/>
  <c r="CJ85"/>
  <c r="CL85" s="1"/>
  <c r="CG82"/>
  <c r="CJ81"/>
  <c r="CL81" s="1"/>
  <c r="CG78"/>
  <c r="BR75"/>
  <c r="BS75" s="1"/>
  <c r="CE75"/>
  <c r="CG75" s="1"/>
  <c r="CJ74"/>
  <c r="CL74" s="1"/>
  <c r="AQ69"/>
  <c r="AR69"/>
  <c r="AI69"/>
  <c r="AK69"/>
  <c r="AJ69"/>
  <c r="AI48"/>
  <c r="AI50"/>
  <c r="CJ73"/>
  <c r="CL73" s="1"/>
  <c r="AT68"/>
  <c r="AV68"/>
  <c r="AS67"/>
  <c r="AU67"/>
  <c r="AS64"/>
  <c r="AU64"/>
  <c r="AS68" l="1"/>
  <c r="L159" i="106"/>
  <c r="L143"/>
  <c r="L125"/>
  <c r="CJ107" i="105"/>
  <c r="CL107" s="1"/>
  <c r="CJ110"/>
  <c r="CL110" s="1"/>
  <c r="BL110"/>
  <c r="L109" i="106" s="1"/>
  <c r="H139"/>
  <c r="H147"/>
  <c r="L174"/>
  <c r="H174"/>
  <c r="CF107" i="105"/>
  <c r="CG107" s="1"/>
  <c r="CH107" s="1"/>
  <c r="CN107" s="1"/>
  <c r="CJ118"/>
  <c r="CL118" s="1"/>
  <c r="CF122"/>
  <c r="CG122" s="1"/>
  <c r="CH122" s="1"/>
  <c r="CN122" s="1"/>
  <c r="CO122" s="1"/>
  <c r="H125" i="106" s="1"/>
  <c r="CJ126" i="105"/>
  <c r="CL126" s="1"/>
  <c r="CF130"/>
  <c r="CG130" s="1"/>
  <c r="CH130" s="1"/>
  <c r="CN130" s="1"/>
  <c r="CF158"/>
  <c r="CG158" s="1"/>
  <c r="CH158" s="1"/>
  <c r="CN158" s="1"/>
  <c r="CO158" s="1"/>
  <c r="CJ162"/>
  <c r="CL162" s="1"/>
  <c r="CF166"/>
  <c r="CG166" s="1"/>
  <c r="CH166" s="1"/>
  <c r="CN166" s="1"/>
  <c r="CO166" s="1"/>
  <c r="CJ170"/>
  <c r="CL170" s="1"/>
  <c r="CF114"/>
  <c r="CG114" s="1"/>
  <c r="CH114" s="1"/>
  <c r="CN114" s="1"/>
  <c r="F113" i="106" s="1"/>
  <c r="CJ150" i="105"/>
  <c r="CL150" s="1"/>
  <c r="CF154"/>
  <c r="CG154" s="1"/>
  <c r="CH154" s="1"/>
  <c r="CN154" s="1"/>
  <c r="CO154" s="1"/>
  <c r="H157" i="106" s="1"/>
  <c r="L171"/>
  <c r="L163"/>
  <c r="L155"/>
  <c r="L151"/>
  <c r="L139"/>
  <c r="L135"/>
  <c r="CG89" i="105"/>
  <c r="L133" i="106"/>
  <c r="L141"/>
  <c r="L149"/>
  <c r="F175"/>
  <c r="J175"/>
  <c r="L173"/>
  <c r="L169"/>
  <c r="L165"/>
  <c r="L161"/>
  <c r="L157"/>
  <c r="L127"/>
  <c r="L123"/>
  <c r="L103"/>
  <c r="L158"/>
  <c r="H158"/>
  <c r="L166"/>
  <c r="H166"/>
  <c r="H169"/>
  <c r="H171"/>
  <c r="H161"/>
  <c r="H163"/>
  <c r="L115"/>
  <c r="L111"/>
  <c r="E102"/>
  <c r="K110"/>
  <c r="E110"/>
  <c r="K162"/>
  <c r="E162"/>
  <c r="K170"/>
  <c r="E170"/>
  <c r="K116"/>
  <c r="E116"/>
  <c r="K112"/>
  <c r="E112"/>
  <c r="K108"/>
  <c r="E108"/>
  <c r="K104"/>
  <c r="E104"/>
  <c r="K156"/>
  <c r="E156"/>
  <c r="K154"/>
  <c r="E154"/>
  <c r="K152"/>
  <c r="E152"/>
  <c r="K150"/>
  <c r="E150"/>
  <c r="K148"/>
  <c r="E148"/>
  <c r="K146"/>
  <c r="E146"/>
  <c r="K144"/>
  <c r="E144"/>
  <c r="K142"/>
  <c r="E142"/>
  <c r="K140"/>
  <c r="E140"/>
  <c r="K138"/>
  <c r="E138"/>
  <c r="K136"/>
  <c r="E136"/>
  <c r="K134"/>
  <c r="E134"/>
  <c r="K132"/>
  <c r="E132"/>
  <c r="K130"/>
  <c r="E130"/>
  <c r="K128"/>
  <c r="E128"/>
  <c r="K126"/>
  <c r="E126"/>
  <c r="K124"/>
  <c r="E124"/>
  <c r="K122"/>
  <c r="E122"/>
  <c r="L110"/>
  <c r="L112"/>
  <c r="L134"/>
  <c r="H134"/>
  <c r="L136"/>
  <c r="H136"/>
  <c r="L138"/>
  <c r="L140"/>
  <c r="L142"/>
  <c r="H142"/>
  <c r="L144"/>
  <c r="H144"/>
  <c r="L146"/>
  <c r="L148"/>
  <c r="L150"/>
  <c r="H150"/>
  <c r="H152"/>
  <c r="L170"/>
  <c r="CJ105" i="105"/>
  <c r="CL105" s="1"/>
  <c r="CJ109"/>
  <c r="CL109" s="1"/>
  <c r="CF120"/>
  <c r="CG120" s="1"/>
  <c r="CH120" s="1"/>
  <c r="CN120" s="1"/>
  <c r="CO120" s="1"/>
  <c r="H123" i="106" s="1"/>
  <c r="CF124" i="105"/>
  <c r="CG124" s="1"/>
  <c r="CH124" s="1"/>
  <c r="CN124" s="1"/>
  <c r="F127" i="106" s="1"/>
  <c r="CF128" i="105"/>
  <c r="CJ132"/>
  <c r="CL132" s="1"/>
  <c r="CJ136"/>
  <c r="CL136" s="1"/>
  <c r="CJ140"/>
  <c r="CL140" s="1"/>
  <c r="CJ144"/>
  <c r="CL144" s="1"/>
  <c r="CJ148"/>
  <c r="CL148" s="1"/>
  <c r="CJ156"/>
  <c r="CL156" s="1"/>
  <c r="CJ160"/>
  <c r="CL160" s="1"/>
  <c r="CJ164"/>
  <c r="CL164" s="1"/>
  <c r="CJ168"/>
  <c r="CL168" s="1"/>
  <c r="CJ172"/>
  <c r="CL172" s="1"/>
  <c r="CJ112"/>
  <c r="CL112" s="1"/>
  <c r="CJ116"/>
  <c r="CL116" s="1"/>
  <c r="CJ152"/>
  <c r="CL152" s="1"/>
  <c r="K125" i="106"/>
  <c r="E125"/>
  <c r="K133"/>
  <c r="E133"/>
  <c r="K141"/>
  <c r="E141"/>
  <c r="K149"/>
  <c r="E149"/>
  <c r="K158"/>
  <c r="E158"/>
  <c r="K166"/>
  <c r="E166"/>
  <c r="K174"/>
  <c r="E174"/>
  <c r="L102"/>
  <c r="H175"/>
  <c r="E175"/>
  <c r="K173"/>
  <c r="E173"/>
  <c r="K171"/>
  <c r="E171"/>
  <c r="K169"/>
  <c r="E169"/>
  <c r="K167"/>
  <c r="E167"/>
  <c r="K165"/>
  <c r="E165"/>
  <c r="K163"/>
  <c r="E163"/>
  <c r="K161"/>
  <c r="E161"/>
  <c r="K159"/>
  <c r="E159"/>
  <c r="K157"/>
  <c r="E157"/>
  <c r="K155"/>
  <c r="E155"/>
  <c r="K151"/>
  <c r="E151"/>
  <c r="K147"/>
  <c r="E147"/>
  <c r="K143"/>
  <c r="E143"/>
  <c r="K139"/>
  <c r="E139"/>
  <c r="K135"/>
  <c r="E135"/>
  <c r="K131"/>
  <c r="E131"/>
  <c r="K127"/>
  <c r="E127"/>
  <c r="K123"/>
  <c r="E123"/>
  <c r="K115"/>
  <c r="E115"/>
  <c r="K113"/>
  <c r="E113"/>
  <c r="K111"/>
  <c r="E111"/>
  <c r="K109"/>
  <c r="E109"/>
  <c r="K107"/>
  <c r="E107"/>
  <c r="K105"/>
  <c r="E105"/>
  <c r="K103"/>
  <c r="E103"/>
  <c r="CG90" i="105"/>
  <c r="F136" i="106"/>
  <c r="F144"/>
  <c r="F152"/>
  <c r="F160"/>
  <c r="F168"/>
  <c r="F137"/>
  <c r="F139"/>
  <c r="F145"/>
  <c r="F147"/>
  <c r="F153"/>
  <c r="F155"/>
  <c r="F161"/>
  <c r="F163"/>
  <c r="F169"/>
  <c r="F174"/>
  <c r="F123"/>
  <c r="F125"/>
  <c r="F129"/>
  <c r="F128"/>
  <c r="CO104" i="105"/>
  <c r="H103" i="106" s="1"/>
  <c r="F103"/>
  <c r="CO108" i="105"/>
  <c r="H107" i="106" s="1"/>
  <c r="F107"/>
  <c r="CO109" i="105"/>
  <c r="H108" i="106" s="1"/>
  <c r="F108"/>
  <c r="CO103" i="105"/>
  <c r="H102" i="106" s="1"/>
  <c r="F102"/>
  <c r="CO106" i="105"/>
  <c r="H105" i="106" s="1"/>
  <c r="F105"/>
  <c r="CO113" i="105"/>
  <c r="H112" i="106" s="1"/>
  <c r="F112"/>
  <c r="CO115" i="105"/>
  <c r="H114" i="106" s="1"/>
  <c r="F114"/>
  <c r="CO116" i="105"/>
  <c r="H115" i="106" s="1"/>
  <c r="F115"/>
  <c r="CO118" i="105"/>
  <c r="H121" i="106" s="1"/>
  <c r="F121"/>
  <c r="CO121" i="105"/>
  <c r="H124" i="106" s="1"/>
  <c r="F124"/>
  <c r="CO123" i="105"/>
  <c r="H126" i="106" s="1"/>
  <c r="F126"/>
  <c r="CO127" i="105"/>
  <c r="H130" i="106" s="1"/>
  <c r="F130"/>
  <c r="CO129" i="105"/>
  <c r="H132" i="106" s="1"/>
  <c r="F132"/>
  <c r="CO130" i="105"/>
  <c r="H133" i="106" s="1"/>
  <c r="F133"/>
  <c r="CO132" i="105"/>
  <c r="H135" i="106" s="1"/>
  <c r="F135"/>
  <c r="CO135" i="105"/>
  <c r="H138" i="106" s="1"/>
  <c r="F138"/>
  <c r="CO137" i="105"/>
  <c r="H140" i="106" s="1"/>
  <c r="F140"/>
  <c r="CO138" i="105"/>
  <c r="H141" i="106" s="1"/>
  <c r="F141"/>
  <c r="CO140" i="105"/>
  <c r="H143" i="106" s="1"/>
  <c r="F143"/>
  <c r="CO143" i="105"/>
  <c r="H146" i="106" s="1"/>
  <c r="F146"/>
  <c r="CO145" i="105"/>
  <c r="H148" i="106" s="1"/>
  <c r="F148"/>
  <c r="CO146" i="105"/>
  <c r="H149" i="106" s="1"/>
  <c r="F149"/>
  <c r="CO148" i="105"/>
  <c r="H151" i="106" s="1"/>
  <c r="F151"/>
  <c r="CO151" i="105"/>
  <c r="H154" i="106" s="1"/>
  <c r="F154"/>
  <c r="CO153" i="105"/>
  <c r="H156" i="106" s="1"/>
  <c r="F156"/>
  <c r="F157"/>
  <c r="CO156" i="105"/>
  <c r="H159" i="106" s="1"/>
  <c r="F159"/>
  <c r="CO159" i="105"/>
  <c r="H162" i="106" s="1"/>
  <c r="F162"/>
  <c r="CO161" i="105"/>
  <c r="H164" i="106" s="1"/>
  <c r="F164"/>
  <c r="CO162" i="105"/>
  <c r="H165" i="106" s="1"/>
  <c r="F165"/>
  <c r="CO164" i="105"/>
  <c r="H167" i="106" s="1"/>
  <c r="F167"/>
  <c r="CO167" i="105"/>
  <c r="H170" i="106" s="1"/>
  <c r="F170"/>
  <c r="CO169" i="105"/>
  <c r="H172" i="106" s="1"/>
  <c r="F172"/>
  <c r="CO170" i="105"/>
  <c r="H173" i="106" s="1"/>
  <c r="F173"/>
  <c r="CO110" i="105"/>
  <c r="H109" i="106" s="1"/>
  <c r="F109"/>
  <c r="CO105" i="105"/>
  <c r="H104" i="106" s="1"/>
  <c r="F104"/>
  <c r="AL69" i="105"/>
  <c r="AW64" s="1"/>
  <c r="BG64" s="1"/>
  <c r="F72" i="106"/>
  <c r="H72"/>
  <c r="CO111" i="105"/>
  <c r="H110" i="106" s="1"/>
  <c r="F110"/>
  <c r="CO112" i="105"/>
  <c r="H111" i="106" s="1"/>
  <c r="F111"/>
  <c r="CO114" i="105"/>
  <c r="H113" i="106" s="1"/>
  <c r="CO117" i="105"/>
  <c r="H116" i="106" s="1"/>
  <c r="F116"/>
  <c r="CO107" i="105"/>
  <c r="H106" i="106" s="1"/>
  <c r="F106"/>
  <c r="F122"/>
  <c r="F134"/>
  <c r="F142"/>
  <c r="F150"/>
  <c r="F158"/>
  <c r="F166"/>
  <c r="F171"/>
  <c r="AS69" i="105"/>
  <c r="AU69"/>
  <c r="AV69"/>
  <c r="AT69"/>
  <c r="AM69"/>
  <c r="CG173"/>
  <c r="CH172"/>
  <c r="AS65"/>
  <c r="AU65"/>
  <c r="AV65"/>
  <c r="AT65"/>
  <c r="AO69"/>
  <c r="AN69"/>
  <c r="BU74"/>
  <c r="BX74" s="1"/>
  <c r="BY74" s="1"/>
  <c r="BZ74" s="1"/>
  <c r="CA74"/>
  <c r="CB74" s="1"/>
  <c r="CH74" s="1"/>
  <c r="CN74" s="1"/>
  <c r="CO74" s="1"/>
  <c r="H73" i="106" s="1"/>
  <c r="CE74" i="105"/>
  <c r="CA75"/>
  <c r="CB75" s="1"/>
  <c r="CH75" s="1"/>
  <c r="CN75" s="1"/>
  <c r="CO75" s="1"/>
  <c r="H74" i="106" s="1"/>
  <c r="BU77" i="105"/>
  <c r="BX77" s="1"/>
  <c r="BY77" s="1"/>
  <c r="BI77" s="1"/>
  <c r="J77" i="106" s="1"/>
  <c r="CA77" i="105"/>
  <c r="CB77" s="1"/>
  <c r="CH77" s="1"/>
  <c r="CN77" s="1"/>
  <c r="CO77" s="1"/>
  <c r="H76" i="106" s="1"/>
  <c r="BU79" i="105"/>
  <c r="BX79" s="1"/>
  <c r="BY79" s="1"/>
  <c r="BI79" s="1"/>
  <c r="J79" i="106" s="1"/>
  <c r="CA79" i="105"/>
  <c r="CB79" s="1"/>
  <c r="CH79" s="1"/>
  <c r="CN79" s="1"/>
  <c r="CO79" s="1"/>
  <c r="H78" i="106" s="1"/>
  <c r="BU81" i="105"/>
  <c r="BX81" s="1"/>
  <c r="BY81" s="1"/>
  <c r="BI81" s="1"/>
  <c r="J81" i="106" s="1"/>
  <c r="CA81" i="105"/>
  <c r="CB81" s="1"/>
  <c r="CH81" s="1"/>
  <c r="CN81" s="1"/>
  <c r="CO81" s="1"/>
  <c r="H80" i="106" s="1"/>
  <c r="BU83" i="105"/>
  <c r="BX83" s="1"/>
  <c r="BY83" s="1"/>
  <c r="BI83" s="1"/>
  <c r="J83" i="106" s="1"/>
  <c r="CA83" i="105"/>
  <c r="CB83" s="1"/>
  <c r="CH83" s="1"/>
  <c r="CN83" s="1"/>
  <c r="CO83" s="1"/>
  <c r="H82" i="106" s="1"/>
  <c r="BU85" i="105"/>
  <c r="BX85" s="1"/>
  <c r="BY85" s="1"/>
  <c r="BI85" s="1"/>
  <c r="J85" i="106" s="1"/>
  <c r="CA85" i="105"/>
  <c r="CB85" s="1"/>
  <c r="CH85" s="1"/>
  <c r="CN85" s="1"/>
  <c r="CO85" s="1"/>
  <c r="H84" i="106" s="1"/>
  <c r="BU87" i="105"/>
  <c r="BX87" s="1"/>
  <c r="BY87" s="1"/>
  <c r="BI87" s="1"/>
  <c r="J87" i="106" s="1"/>
  <c r="CA87" i="105"/>
  <c r="CB87" s="1"/>
  <c r="CH87" s="1"/>
  <c r="CN87" s="1"/>
  <c r="CO87" s="1"/>
  <c r="H86" i="106" s="1"/>
  <c r="CA76" i="105"/>
  <c r="CB76" s="1"/>
  <c r="CH76" s="1"/>
  <c r="CN76" s="1"/>
  <c r="BU78"/>
  <c r="BX78" s="1"/>
  <c r="BY78" s="1"/>
  <c r="CA80"/>
  <c r="CB80" s="1"/>
  <c r="CH80" s="1"/>
  <c r="CN80" s="1"/>
  <c r="BU82"/>
  <c r="BX82" s="1"/>
  <c r="BY82" s="1"/>
  <c r="CA84"/>
  <c r="CB84" s="1"/>
  <c r="CH84" s="1"/>
  <c r="CN84" s="1"/>
  <c r="BU86"/>
  <c r="BX86" s="1"/>
  <c r="BY86" s="1"/>
  <c r="BU104"/>
  <c r="BX104" s="1"/>
  <c r="BY104" s="1"/>
  <c r="BI104" s="1"/>
  <c r="J104" i="106" s="1"/>
  <c r="BU106" i="105"/>
  <c r="BX106" s="1"/>
  <c r="BY106" s="1"/>
  <c r="BI106" s="1"/>
  <c r="J106" i="106" s="1"/>
  <c r="BU108" i="105"/>
  <c r="BX108" s="1"/>
  <c r="BY108" s="1"/>
  <c r="BI108" s="1"/>
  <c r="J108" i="106" s="1"/>
  <c r="BU110" i="105"/>
  <c r="BX110" s="1"/>
  <c r="BY110" s="1"/>
  <c r="BI110" s="1"/>
  <c r="J110" i="106" s="1"/>
  <c r="BU75" i="105"/>
  <c r="BX75" s="1"/>
  <c r="BY75" s="1"/>
  <c r="BI75" s="1"/>
  <c r="J75" i="106" s="1"/>
  <c r="CA86" i="105"/>
  <c r="CB86" s="1"/>
  <c r="CH86" s="1"/>
  <c r="CN86" s="1"/>
  <c r="BU88"/>
  <c r="BX88" s="1"/>
  <c r="BY88" s="1"/>
  <c r="BU89"/>
  <c r="BX89" s="1"/>
  <c r="BY89" s="1"/>
  <c r="BU90"/>
  <c r="BX90" s="1"/>
  <c r="BY90" s="1"/>
  <c r="BU91"/>
  <c r="BX91" s="1"/>
  <c r="BY91" s="1"/>
  <c r="BU92"/>
  <c r="BX92" s="1"/>
  <c r="BY92" s="1"/>
  <c r="BU93"/>
  <c r="BX93" s="1"/>
  <c r="BY93" s="1"/>
  <c r="BU94"/>
  <c r="BX94" s="1"/>
  <c r="BY94" s="1"/>
  <c r="BU95"/>
  <c r="BX95" s="1"/>
  <c r="BY95" s="1"/>
  <c r="BU96"/>
  <c r="BX96" s="1"/>
  <c r="BY96" s="1"/>
  <c r="BU97"/>
  <c r="BX97" s="1"/>
  <c r="BY97" s="1"/>
  <c r="BU98"/>
  <c r="BX98" s="1"/>
  <c r="BY98" s="1"/>
  <c r="BU99"/>
  <c r="BX99" s="1"/>
  <c r="BY99" s="1"/>
  <c r="BU100"/>
  <c r="BX100" s="1"/>
  <c r="BY100" s="1"/>
  <c r="BU101"/>
  <c r="BX101" s="1"/>
  <c r="BY101" s="1"/>
  <c r="BU102"/>
  <c r="BX102" s="1"/>
  <c r="BU103"/>
  <c r="BX103" s="1"/>
  <c r="BY103" s="1"/>
  <c r="BI103" s="1"/>
  <c r="J103" i="106" s="1"/>
  <c r="BU107" i="105"/>
  <c r="BX107" s="1"/>
  <c r="BY107" s="1"/>
  <c r="BI107" s="1"/>
  <c r="J107" i="106" s="1"/>
  <c r="BU111" i="105"/>
  <c r="BX111" s="1"/>
  <c r="BY111" s="1"/>
  <c r="BI111" s="1"/>
  <c r="J111" i="106" s="1"/>
  <c r="BU113" i="105"/>
  <c r="BX113" s="1"/>
  <c r="BY113" s="1"/>
  <c r="BI113" s="1"/>
  <c r="J113" i="106" s="1"/>
  <c r="BU115" i="105"/>
  <c r="BX115" s="1"/>
  <c r="BY115" s="1"/>
  <c r="BI115" s="1"/>
  <c r="J115" i="106" s="1"/>
  <c r="BU117" i="105"/>
  <c r="BX117" s="1"/>
  <c r="BY117" s="1"/>
  <c r="BI117" s="1"/>
  <c r="J121" i="106" s="1"/>
  <c r="BU119" i="105"/>
  <c r="BX119" s="1"/>
  <c r="BY119" s="1"/>
  <c r="BI119" s="1"/>
  <c r="J123" i="106" s="1"/>
  <c r="BU121" i="105"/>
  <c r="BX121" s="1"/>
  <c r="BY121" s="1"/>
  <c r="BI121" s="1"/>
  <c r="J125" i="106" s="1"/>
  <c r="BU123" i="105"/>
  <c r="BX123" s="1"/>
  <c r="BY123" s="1"/>
  <c r="BI123" s="1"/>
  <c r="J127" i="106" s="1"/>
  <c r="BU125" i="105"/>
  <c r="BX125" s="1"/>
  <c r="BY125" s="1"/>
  <c r="BI125" s="1"/>
  <c r="J129" i="106" s="1"/>
  <c r="BU127" i="105"/>
  <c r="BX127" s="1"/>
  <c r="BY127" s="1"/>
  <c r="BI127" s="1"/>
  <c r="J131" i="106" s="1"/>
  <c r="BU129" i="105"/>
  <c r="BX129" s="1"/>
  <c r="BY129" s="1"/>
  <c r="BI129" s="1"/>
  <c r="J133" i="106" s="1"/>
  <c r="BU131" i="105"/>
  <c r="BX131" s="1"/>
  <c r="BY131" s="1"/>
  <c r="BI131" s="1"/>
  <c r="J135" i="106" s="1"/>
  <c r="BU133" i="105"/>
  <c r="BX133" s="1"/>
  <c r="BY133" s="1"/>
  <c r="BI133" s="1"/>
  <c r="J137" i="106" s="1"/>
  <c r="BU135" i="105"/>
  <c r="BX135" s="1"/>
  <c r="BY135" s="1"/>
  <c r="BI135" s="1"/>
  <c r="J139" i="106" s="1"/>
  <c r="BU137" i="105"/>
  <c r="BX137" s="1"/>
  <c r="BY137" s="1"/>
  <c r="BI137" s="1"/>
  <c r="J141" i="106" s="1"/>
  <c r="BU139" i="105"/>
  <c r="BX139" s="1"/>
  <c r="BY139" s="1"/>
  <c r="BI139" s="1"/>
  <c r="J143" i="106" s="1"/>
  <c r="BU141" i="105"/>
  <c r="BX141" s="1"/>
  <c r="BY141" s="1"/>
  <c r="BI141" s="1"/>
  <c r="J145" i="106" s="1"/>
  <c r="BU143" i="105"/>
  <c r="BX143" s="1"/>
  <c r="BY143" s="1"/>
  <c r="BI143" s="1"/>
  <c r="J147" i="106" s="1"/>
  <c r="BU145" i="105"/>
  <c r="BX145" s="1"/>
  <c r="BY145" s="1"/>
  <c r="BI145" s="1"/>
  <c r="J149" i="106" s="1"/>
  <c r="BU147" i="105"/>
  <c r="BX147" s="1"/>
  <c r="BY147" s="1"/>
  <c r="BI147" s="1"/>
  <c r="J151" i="106" s="1"/>
  <c r="BU149" i="105"/>
  <c r="BX149" s="1"/>
  <c r="BY149" s="1"/>
  <c r="BI149" s="1"/>
  <c r="J153" i="106" s="1"/>
  <c r="BU151" i="105"/>
  <c r="BX151" s="1"/>
  <c r="BY151" s="1"/>
  <c r="BI151" s="1"/>
  <c r="J155" i="106" s="1"/>
  <c r="BU153" i="105"/>
  <c r="BX153" s="1"/>
  <c r="BY153" s="1"/>
  <c r="BI153" s="1"/>
  <c r="J157" i="106" s="1"/>
  <c r="BU155" i="105"/>
  <c r="BX155" s="1"/>
  <c r="BY155" s="1"/>
  <c r="BI155" s="1"/>
  <c r="J159" i="106" s="1"/>
  <c r="BU157" i="105"/>
  <c r="BX157" s="1"/>
  <c r="BY157" s="1"/>
  <c r="BI157" s="1"/>
  <c r="J161" i="106" s="1"/>
  <c r="BU159" i="105"/>
  <c r="BX159" s="1"/>
  <c r="BY159" s="1"/>
  <c r="BI159" s="1"/>
  <c r="J163" i="106" s="1"/>
  <c r="BU161" i="105"/>
  <c r="BX161" s="1"/>
  <c r="BY161" s="1"/>
  <c r="BI161" s="1"/>
  <c r="J165" i="106" s="1"/>
  <c r="BU163" i="105"/>
  <c r="BX163" s="1"/>
  <c r="BY163" s="1"/>
  <c r="BI163" s="1"/>
  <c r="J167" i="106" s="1"/>
  <c r="BU165" i="105"/>
  <c r="BX165" s="1"/>
  <c r="BY165" s="1"/>
  <c r="BI165" s="1"/>
  <c r="J169" i="106" s="1"/>
  <c r="BU167" i="105"/>
  <c r="BX167" s="1"/>
  <c r="BY167" s="1"/>
  <c r="BI167" s="1"/>
  <c r="J171" i="106" s="1"/>
  <c r="BU169" i="105"/>
  <c r="BX169" s="1"/>
  <c r="BY169" s="1"/>
  <c r="BI169" s="1"/>
  <c r="J173" i="106" s="1"/>
  <c r="BU171" i="105"/>
  <c r="BX171" s="1"/>
  <c r="BY171" s="1"/>
  <c r="CA89"/>
  <c r="CB89" s="1"/>
  <c r="CH89" s="1"/>
  <c r="CN89" s="1"/>
  <c r="CA91"/>
  <c r="CB91" s="1"/>
  <c r="CH91" s="1"/>
  <c r="CN91" s="1"/>
  <c r="CA93"/>
  <c r="CB93" s="1"/>
  <c r="CH93" s="1"/>
  <c r="CN93" s="1"/>
  <c r="CA95"/>
  <c r="CB95" s="1"/>
  <c r="CH95" s="1"/>
  <c r="CN95" s="1"/>
  <c r="CA97"/>
  <c r="CB97" s="1"/>
  <c r="CH97" s="1"/>
  <c r="CN97" s="1"/>
  <c r="CA99"/>
  <c r="CB99" s="1"/>
  <c r="CH99" s="1"/>
  <c r="CN99" s="1"/>
  <c r="CA101"/>
  <c r="CB101" s="1"/>
  <c r="CH101" s="1"/>
  <c r="CN101" s="1"/>
  <c r="CA102"/>
  <c r="CB102" s="1"/>
  <c r="CH102" s="1"/>
  <c r="CN102" s="1"/>
  <c r="BU105"/>
  <c r="BX105" s="1"/>
  <c r="BY105" s="1"/>
  <c r="BI105" s="1"/>
  <c r="J105" i="106" s="1"/>
  <c r="BU76" i="105"/>
  <c r="BX76" s="1"/>
  <c r="BY76" s="1"/>
  <c r="CA78"/>
  <c r="CB78" s="1"/>
  <c r="CH78" s="1"/>
  <c r="CN78" s="1"/>
  <c r="BU80"/>
  <c r="BX80" s="1"/>
  <c r="BY80" s="1"/>
  <c r="CA82"/>
  <c r="CB82" s="1"/>
  <c r="CH82" s="1"/>
  <c r="CN82" s="1"/>
  <c r="BU84"/>
  <c r="BX84" s="1"/>
  <c r="BY84" s="1"/>
  <c r="CA88"/>
  <c r="CB88" s="1"/>
  <c r="CH88" s="1"/>
  <c r="CN88" s="1"/>
  <c r="CA90"/>
  <c r="CB90" s="1"/>
  <c r="CH90" s="1"/>
  <c r="CN90" s="1"/>
  <c r="CA92"/>
  <c r="CB92" s="1"/>
  <c r="CH92" s="1"/>
  <c r="CN92" s="1"/>
  <c r="CA94"/>
  <c r="CB94" s="1"/>
  <c r="CH94" s="1"/>
  <c r="CN94" s="1"/>
  <c r="CA96"/>
  <c r="CB96" s="1"/>
  <c r="CH96" s="1"/>
  <c r="CN96" s="1"/>
  <c r="CA98"/>
  <c r="CB98" s="1"/>
  <c r="CH98" s="1"/>
  <c r="CN98" s="1"/>
  <c r="CA100"/>
  <c r="CB100" s="1"/>
  <c r="CH100" s="1"/>
  <c r="CN100" s="1"/>
  <c r="BU109"/>
  <c r="BX109" s="1"/>
  <c r="BY109" s="1"/>
  <c r="BI109" s="1"/>
  <c r="J109" i="106" s="1"/>
  <c r="BU112" i="105"/>
  <c r="BX112" s="1"/>
  <c r="BY112" s="1"/>
  <c r="BI112" s="1"/>
  <c r="J112" i="106" s="1"/>
  <c r="BU114" i="105"/>
  <c r="BX114" s="1"/>
  <c r="BY114" s="1"/>
  <c r="BI114" s="1"/>
  <c r="J114" i="106" s="1"/>
  <c r="BU116" i="105"/>
  <c r="BX116" s="1"/>
  <c r="BY116" s="1"/>
  <c r="BI116" s="1"/>
  <c r="J116" i="106" s="1"/>
  <c r="BU118" i="105"/>
  <c r="BX118" s="1"/>
  <c r="BY118" s="1"/>
  <c r="BI118" s="1"/>
  <c r="J122" i="106" s="1"/>
  <c r="BU120" i="105"/>
  <c r="BX120" s="1"/>
  <c r="BY120" s="1"/>
  <c r="BI120" s="1"/>
  <c r="J124" i="106" s="1"/>
  <c r="BU122" i="105"/>
  <c r="BX122" s="1"/>
  <c r="BY122" s="1"/>
  <c r="BI122" s="1"/>
  <c r="J126" i="106" s="1"/>
  <c r="BU124" i="105"/>
  <c r="BX124" s="1"/>
  <c r="BY124" s="1"/>
  <c r="BI124" s="1"/>
  <c r="J128" i="106" s="1"/>
  <c r="BU126" i="105"/>
  <c r="BX126" s="1"/>
  <c r="BY126" s="1"/>
  <c r="BI126" s="1"/>
  <c r="J130" i="106" s="1"/>
  <c r="BU128" i="105"/>
  <c r="BX128" s="1"/>
  <c r="BY128" s="1"/>
  <c r="BI128" s="1"/>
  <c r="J132" i="106" s="1"/>
  <c r="BU130" i="105"/>
  <c r="BX130" s="1"/>
  <c r="BY130" s="1"/>
  <c r="BI130" s="1"/>
  <c r="J134" i="106" s="1"/>
  <c r="BU132" i="105"/>
  <c r="BX132" s="1"/>
  <c r="BY132" s="1"/>
  <c r="BI132" s="1"/>
  <c r="J136" i="106" s="1"/>
  <c r="BU134" i="105"/>
  <c r="BX134" s="1"/>
  <c r="BY134" s="1"/>
  <c r="BI134" s="1"/>
  <c r="J138" i="106" s="1"/>
  <c r="BU136" i="105"/>
  <c r="BX136" s="1"/>
  <c r="BY136" s="1"/>
  <c r="BI136" s="1"/>
  <c r="J140" i="106" s="1"/>
  <c r="BU138" i="105"/>
  <c r="BX138" s="1"/>
  <c r="BY138" s="1"/>
  <c r="BI138" s="1"/>
  <c r="J142" i="106" s="1"/>
  <c r="BU140" i="105"/>
  <c r="BX140" s="1"/>
  <c r="BY140" s="1"/>
  <c r="BI140" s="1"/>
  <c r="J144" i="106" s="1"/>
  <c r="BU142" i="105"/>
  <c r="BX142" s="1"/>
  <c r="BY142" s="1"/>
  <c r="BI142" s="1"/>
  <c r="J146" i="106" s="1"/>
  <c r="BU144" i="105"/>
  <c r="BX144" s="1"/>
  <c r="BY144" s="1"/>
  <c r="BI144" s="1"/>
  <c r="J148" i="106" s="1"/>
  <c r="BU146" i="105"/>
  <c r="BX146" s="1"/>
  <c r="BY146" s="1"/>
  <c r="BI146" s="1"/>
  <c r="J150" i="106" s="1"/>
  <c r="BU148" i="105"/>
  <c r="BX148" s="1"/>
  <c r="BY148" s="1"/>
  <c r="BI148" s="1"/>
  <c r="J152" i="106" s="1"/>
  <c r="BU150" i="105"/>
  <c r="BX150" s="1"/>
  <c r="BY150" s="1"/>
  <c r="BI150" s="1"/>
  <c r="J154" i="106" s="1"/>
  <c r="BU152" i="105"/>
  <c r="BX152" s="1"/>
  <c r="BY152" s="1"/>
  <c r="BI152" s="1"/>
  <c r="J156" i="106" s="1"/>
  <c r="BU154" i="105"/>
  <c r="BX154" s="1"/>
  <c r="BY154" s="1"/>
  <c r="BI154" s="1"/>
  <c r="J158" i="106" s="1"/>
  <c r="BU156" i="105"/>
  <c r="BX156" s="1"/>
  <c r="BY156" s="1"/>
  <c r="BI156" s="1"/>
  <c r="J160" i="106" s="1"/>
  <c r="BU158" i="105"/>
  <c r="BX158" s="1"/>
  <c r="BY158" s="1"/>
  <c r="BI158" s="1"/>
  <c r="J162" i="106" s="1"/>
  <c r="BU160" i="105"/>
  <c r="BX160" s="1"/>
  <c r="BY160" s="1"/>
  <c r="BI160" s="1"/>
  <c r="J164" i="106" s="1"/>
  <c r="BU162" i="105"/>
  <c r="BX162" s="1"/>
  <c r="BY162" s="1"/>
  <c r="BI162" s="1"/>
  <c r="J166" i="106" s="1"/>
  <c r="BU164" i="105"/>
  <c r="BX164" s="1"/>
  <c r="BY164" s="1"/>
  <c r="BI164" s="1"/>
  <c r="J168" i="106" s="1"/>
  <c r="BU166" i="105"/>
  <c r="BX166" s="1"/>
  <c r="BY166" s="1"/>
  <c r="BI166" s="1"/>
  <c r="J170" i="106" s="1"/>
  <c r="BU168" i="105"/>
  <c r="BX168" s="1"/>
  <c r="BY168" s="1"/>
  <c r="BI168" s="1"/>
  <c r="J172" i="106" s="1"/>
  <c r="BU170" i="105"/>
  <c r="BX170" s="1"/>
  <c r="BY170" s="1"/>
  <c r="BI170" s="1"/>
  <c r="J174" i="106" s="1"/>
  <c r="BU172" i="105"/>
  <c r="BX172" s="1"/>
  <c r="BY172" s="1"/>
  <c r="CO124" l="1"/>
  <c r="H127" i="106" s="1"/>
  <c r="BI101" i="105"/>
  <c r="J101" i="106" s="1"/>
  <c r="BI99" i="105"/>
  <c r="J99" i="106" s="1"/>
  <c r="BI97" i="105"/>
  <c r="J97" i="106" s="1"/>
  <c r="BI95" i="105"/>
  <c r="J95" i="106" s="1"/>
  <c r="BI93" i="105"/>
  <c r="J93" i="106" s="1"/>
  <c r="BI91" i="105"/>
  <c r="J91" i="106" s="1"/>
  <c r="BI89" i="105"/>
  <c r="J89" i="106" s="1"/>
  <c r="BY102" i="105"/>
  <c r="BI102"/>
  <c r="BI100"/>
  <c r="J100" i="106" s="1"/>
  <c r="BI96" i="105"/>
  <c r="J96" i="106" s="1"/>
  <c r="BI94" i="105"/>
  <c r="J94" i="106" s="1"/>
  <c r="BI92" i="105"/>
  <c r="J92" i="106" s="1"/>
  <c r="BI90" i="105"/>
  <c r="J90" i="106" s="1"/>
  <c r="BI88" i="105"/>
  <c r="J88" i="106" s="1"/>
  <c r="BI98" i="105"/>
  <c r="J98" i="106" s="1"/>
  <c r="BZ84" i="105"/>
  <c r="BJ84" s="1"/>
  <c r="K84" i="106" s="1"/>
  <c r="BI84" i="105"/>
  <c r="J84" i="106" s="1"/>
  <c r="BZ80" i="105"/>
  <c r="BJ80" s="1"/>
  <c r="K80" i="106" s="1"/>
  <c r="BI80" i="105"/>
  <c r="J80" i="106" s="1"/>
  <c r="BZ76" i="105"/>
  <c r="BJ76" s="1"/>
  <c r="K76" i="106" s="1"/>
  <c r="BI76" i="105"/>
  <c r="J76" i="106" s="1"/>
  <c r="BZ171" i="105"/>
  <c r="BI171"/>
  <c r="BZ86"/>
  <c r="BJ86" s="1"/>
  <c r="K86" i="106" s="1"/>
  <c r="BI86" i="105"/>
  <c r="J86" i="106" s="1"/>
  <c r="BZ82" i="105"/>
  <c r="BJ82" s="1"/>
  <c r="K82" i="106" s="1"/>
  <c r="BI82" i="105"/>
  <c r="J82" i="106" s="1"/>
  <c r="BZ78" i="105"/>
  <c r="BJ78" s="1"/>
  <c r="K78" i="106" s="1"/>
  <c r="BI78" i="105"/>
  <c r="J78" i="106" s="1"/>
  <c r="BZ172" i="105"/>
  <c r="BI172"/>
  <c r="CF175"/>
  <c r="L55" i="106" s="1"/>
  <c r="L56" s="1"/>
  <c r="CG128" i="105"/>
  <c r="CH128" s="1"/>
  <c r="CN128" s="1"/>
  <c r="AW68"/>
  <c r="BG68" s="1"/>
  <c r="AZ69"/>
  <c r="BE69" s="1"/>
  <c r="AW65"/>
  <c r="BG65" s="1"/>
  <c r="AW67"/>
  <c r="BG67" s="1"/>
  <c r="F80" i="106"/>
  <c r="F76"/>
  <c r="F84"/>
  <c r="F73"/>
  <c r="BZ168" i="105"/>
  <c r="BZ164"/>
  <c r="BZ160"/>
  <c r="BZ156"/>
  <c r="BZ152"/>
  <c r="BZ148"/>
  <c r="BZ144"/>
  <c r="BZ140"/>
  <c r="BZ136"/>
  <c r="BZ132"/>
  <c r="BZ128"/>
  <c r="BZ124"/>
  <c r="BZ120"/>
  <c r="BZ116"/>
  <c r="BZ112"/>
  <c r="CO100"/>
  <c r="H99" i="106" s="1"/>
  <c r="F99"/>
  <c r="CO96" i="105"/>
  <c r="H95" i="106" s="1"/>
  <c r="F95"/>
  <c r="CO92" i="105"/>
  <c r="H91" i="106" s="1"/>
  <c r="F91"/>
  <c r="CO88" i="105"/>
  <c r="H87" i="106" s="1"/>
  <c r="F87"/>
  <c r="CO82" i="105"/>
  <c r="H81" i="106" s="1"/>
  <c r="F81"/>
  <c r="CO78" i="105"/>
  <c r="H77" i="106" s="1"/>
  <c r="F77"/>
  <c r="BZ105" i="105"/>
  <c r="CO101"/>
  <c r="H100" i="106" s="1"/>
  <c r="F100"/>
  <c r="CO97" i="105"/>
  <c r="H96" i="106" s="1"/>
  <c r="F96"/>
  <c r="CO93" i="105"/>
  <c r="H92" i="106" s="1"/>
  <c r="F92"/>
  <c r="CO89" i="105"/>
  <c r="H88" i="106" s="1"/>
  <c r="F88"/>
  <c r="BZ169" i="105"/>
  <c r="BZ165"/>
  <c r="BZ161"/>
  <c r="BZ157"/>
  <c r="BZ153"/>
  <c r="BZ149"/>
  <c r="BZ145"/>
  <c r="BZ141"/>
  <c r="BZ137"/>
  <c r="BZ133"/>
  <c r="BZ129"/>
  <c r="BZ125"/>
  <c r="BZ121"/>
  <c r="BZ117"/>
  <c r="BZ113"/>
  <c r="BZ107"/>
  <c r="BZ102"/>
  <c r="K102" i="106" s="1"/>
  <c r="BZ100" i="105"/>
  <c r="BJ100" s="1"/>
  <c r="K100" i="106" s="1"/>
  <c r="BZ98" i="105"/>
  <c r="BZ96"/>
  <c r="BJ96" s="1"/>
  <c r="K96" i="106" s="1"/>
  <c r="BZ94" i="105"/>
  <c r="BJ94" s="1"/>
  <c r="K94" i="106" s="1"/>
  <c r="BZ92" i="105"/>
  <c r="BJ92" s="1"/>
  <c r="BZ90"/>
  <c r="BJ90" s="1"/>
  <c r="K90" i="106" s="1"/>
  <c r="BZ88" i="105"/>
  <c r="BZ75"/>
  <c r="BJ75" s="1"/>
  <c r="K75" i="106" s="1"/>
  <c r="BZ108" i="105"/>
  <c r="BZ104"/>
  <c r="CO84"/>
  <c r="H83" i="106" s="1"/>
  <c r="F83"/>
  <c r="CO80" i="105"/>
  <c r="H79" i="106" s="1"/>
  <c r="F79"/>
  <c r="CO76" i="105"/>
  <c r="H75" i="106" s="1"/>
  <c r="F75"/>
  <c r="BZ87" i="105"/>
  <c r="BJ87" s="1"/>
  <c r="BZ85"/>
  <c r="BJ85" s="1"/>
  <c r="K85" i="106" s="1"/>
  <c r="BZ83" i="105"/>
  <c r="BJ83" s="1"/>
  <c r="K83" i="106" s="1"/>
  <c r="BZ81" i="105"/>
  <c r="BJ81" s="1"/>
  <c r="K81" i="106" s="1"/>
  <c r="BZ79" i="105"/>
  <c r="BJ79" s="1"/>
  <c r="K79" i="106" s="1"/>
  <c r="BZ77" i="105"/>
  <c r="BJ77" s="1"/>
  <c r="K77" i="106" s="1"/>
  <c r="BZ170" i="105"/>
  <c r="BZ166"/>
  <c r="BZ162"/>
  <c r="BZ158"/>
  <c r="BZ154"/>
  <c r="BZ150"/>
  <c r="BZ146"/>
  <c r="BZ142"/>
  <c r="BZ138"/>
  <c r="BZ134"/>
  <c r="BZ130"/>
  <c r="BZ126"/>
  <c r="BZ122"/>
  <c r="BZ118"/>
  <c r="BZ114"/>
  <c r="BZ109"/>
  <c r="CO98"/>
  <c r="H97" i="106" s="1"/>
  <c r="F97"/>
  <c r="CO94" i="105"/>
  <c r="H93" i="106" s="1"/>
  <c r="F93"/>
  <c r="CO90" i="105"/>
  <c r="H89" i="106" s="1"/>
  <c r="F89"/>
  <c r="CO102" i="105"/>
  <c r="H101" i="106" s="1"/>
  <c r="F101"/>
  <c r="CO99" i="105"/>
  <c r="H98" i="106" s="1"/>
  <c r="F98"/>
  <c r="CO95" i="105"/>
  <c r="H94" i="106" s="1"/>
  <c r="F94"/>
  <c r="CO91" i="105"/>
  <c r="H90" i="106" s="1"/>
  <c r="F90"/>
  <c r="BZ167" i="105"/>
  <c r="BZ163"/>
  <c r="BZ159"/>
  <c r="BZ155"/>
  <c r="BZ151"/>
  <c r="BZ147"/>
  <c r="BZ143"/>
  <c r="BZ139"/>
  <c r="BZ135"/>
  <c r="BZ131"/>
  <c r="BZ127"/>
  <c r="BZ123"/>
  <c r="BZ119"/>
  <c r="BZ115"/>
  <c r="BZ111"/>
  <c r="BZ103"/>
  <c r="BZ101"/>
  <c r="BJ101" s="1"/>
  <c r="K101" i="106" s="1"/>
  <c r="BZ99" i="105"/>
  <c r="BJ99" s="1"/>
  <c r="K99" i="106" s="1"/>
  <c r="BZ97" i="105"/>
  <c r="BJ97" s="1"/>
  <c r="BZ95"/>
  <c r="BJ95" s="1"/>
  <c r="K95" i="106" s="1"/>
  <c r="BZ93" i="105"/>
  <c r="BZ91"/>
  <c r="BJ91" s="1"/>
  <c r="K91" i="106" s="1"/>
  <c r="BZ89" i="105"/>
  <c r="BJ89" s="1"/>
  <c r="K89" i="106" s="1"/>
  <c r="CO86" i="105"/>
  <c r="H85" i="106" s="1"/>
  <c r="F85"/>
  <c r="BZ110" i="105"/>
  <c r="BZ106"/>
  <c r="AW66"/>
  <c r="BG66" s="1"/>
  <c r="AW69"/>
  <c r="BG69" s="1"/>
  <c r="F74" i="106"/>
  <c r="F78"/>
  <c r="F82"/>
  <c r="F86"/>
  <c r="CD74" i="105"/>
  <c r="CD79"/>
  <c r="CD83"/>
  <c r="CD87"/>
  <c r="CD77"/>
  <c r="CD81"/>
  <c r="CD85"/>
  <c r="CD75"/>
  <c r="CD102"/>
  <c r="CD101"/>
  <c r="CD100"/>
  <c r="CD99"/>
  <c r="CD98"/>
  <c r="CD97"/>
  <c r="CD96"/>
  <c r="CD95"/>
  <c r="CD94"/>
  <c r="CD93"/>
  <c r="CD92"/>
  <c r="CD91"/>
  <c r="CD90"/>
  <c r="CD89"/>
  <c r="CD88"/>
  <c r="CD86"/>
  <c r="CD78"/>
  <c r="CD84"/>
  <c r="CD80"/>
  <c r="CD76"/>
  <c r="CD82"/>
  <c r="F21"/>
  <c r="AY69"/>
  <c r="CN172"/>
  <c r="CH173"/>
  <c r="CN173" s="1"/>
  <c r="CO173" s="1"/>
  <c r="BB69"/>
  <c r="L24" i="106" s="1"/>
  <c r="L7" s="1"/>
  <c r="AX69" i="105"/>
  <c r="BJ93" l="1"/>
  <c r="K93" i="106" s="1"/>
  <c r="BJ88" i="105"/>
  <c r="K88" i="106" s="1"/>
  <c r="J102"/>
  <c r="BJ98" i="105"/>
  <c r="K98" i="106" s="1"/>
  <c r="CO128" i="105"/>
  <c r="H131" i="106" s="1"/>
  <c r="F131"/>
  <c r="BL76" i="105"/>
  <c r="E75" i="106" s="1"/>
  <c r="BL78" i="105"/>
  <c r="E77" i="106" s="1"/>
  <c r="BL80" i="105"/>
  <c r="E79" i="106" s="1"/>
  <c r="BL82" i="105"/>
  <c r="E81" i="106" s="1"/>
  <c r="BL84" i="105"/>
  <c r="E83" i="106" s="1"/>
  <c r="BL86" i="105"/>
  <c r="E85" i="106" s="1"/>
  <c r="BL88" i="105"/>
  <c r="E87" i="106" s="1"/>
  <c r="BL90" i="105"/>
  <c r="E89" i="106" s="1"/>
  <c r="BL92" i="105"/>
  <c r="E91" i="106" s="1"/>
  <c r="BL94" i="105"/>
  <c r="E93" i="106" s="1"/>
  <c r="BL77" i="105"/>
  <c r="E76" i="106" s="1"/>
  <c r="BL81" i="105"/>
  <c r="E80" i="106" s="1"/>
  <c r="BL85" i="105"/>
  <c r="E84" i="106" s="1"/>
  <c r="BL89" i="105"/>
  <c r="E88" i="106" s="1"/>
  <c r="BL93" i="105"/>
  <c r="E92" i="106" s="1"/>
  <c r="BL96" i="105"/>
  <c r="E95" i="106" s="1"/>
  <c r="BL98" i="105"/>
  <c r="E97" i="106" s="1"/>
  <c r="BL100" i="105"/>
  <c r="E99" i="106" s="1"/>
  <c r="BL102" i="105"/>
  <c r="E101" i="106" s="1"/>
  <c r="BL75" i="105"/>
  <c r="E74" i="106" s="1"/>
  <c r="BL79" i="105"/>
  <c r="E78" i="106" s="1"/>
  <c r="BL83" i="105"/>
  <c r="E82" i="106" s="1"/>
  <c r="BL87" i="105"/>
  <c r="E86" i="106" s="1"/>
  <c r="BL91" i="105"/>
  <c r="BL95"/>
  <c r="E94" i="106" s="1"/>
  <c r="BL97" i="105"/>
  <c r="E96" i="106" s="1"/>
  <c r="BL99" i="105"/>
  <c r="E98" i="106" s="1"/>
  <c r="BL101" i="105"/>
  <c r="E100" i="106" s="1"/>
  <c r="BL74" i="105"/>
  <c r="K97" i="106"/>
  <c r="K92"/>
  <c r="E90"/>
  <c r="K87"/>
  <c r="J21" i="105"/>
  <c r="H21" s="1"/>
  <c r="L28" i="106"/>
  <c r="F18" i="105"/>
  <c r="E73" i="106"/>
  <c r="BD69" i="105"/>
  <c r="F20"/>
  <c r="BC69"/>
  <c r="F19"/>
  <c r="BL73"/>
  <c r="E72" i="106" s="1"/>
  <c r="J18" i="105"/>
  <c r="BH69"/>
  <c r="CO172"/>
  <c r="CN72"/>
  <c r="BL144" s="1"/>
  <c r="L147" i="106" s="1"/>
  <c r="H18" i="105" l="1"/>
  <c r="BL172"/>
  <c r="L175" i="106" s="1"/>
  <c r="BL128" i="105"/>
  <c r="L131" i="106" s="1"/>
  <c r="L45"/>
  <c r="J19" i="105"/>
  <c r="H19" s="1"/>
  <c r="L25" i="106"/>
  <c r="J20" i="105"/>
  <c r="H20" s="1"/>
  <c r="L27" i="106"/>
  <c r="L47" l="1"/>
  <c r="L49" s="1"/>
  <c r="BK360" i="2" l="1"/>
  <c r="B356"/>
  <c r="AQ421"/>
  <c r="M7" i="3" l="1"/>
  <c r="AR13" l="1"/>
  <c r="AR12"/>
  <c r="AL5" i="1" l="1"/>
  <c r="G6"/>
  <c r="M6" l="1"/>
  <c r="N23" l="1"/>
  <c r="K46" i="94" l="1"/>
  <c r="J55"/>
  <c r="J54"/>
  <c r="J53"/>
  <c r="J52"/>
  <c r="J51"/>
  <c r="J50"/>
  <c r="J49"/>
  <c r="K44"/>
  <c r="M9"/>
  <c r="F51" s="1"/>
  <c r="C9"/>
  <c r="M8"/>
  <c r="M7"/>
  <c r="M2"/>
  <c r="K46" i="93"/>
  <c r="J55"/>
  <c r="J54"/>
  <c r="J53"/>
  <c r="J52"/>
  <c r="J51"/>
  <c r="J50"/>
  <c r="J49"/>
  <c r="K44"/>
  <c r="M9"/>
  <c r="F51" s="1"/>
  <c r="C9"/>
  <c r="M8"/>
  <c r="M7"/>
  <c r="M2"/>
  <c r="D50" i="94" l="1"/>
  <c r="D27"/>
  <c r="D35"/>
  <c r="F50"/>
  <c r="D31"/>
  <c r="D40"/>
  <c r="D44"/>
  <c r="D29"/>
  <c r="D33"/>
  <c r="D37"/>
  <c r="D41"/>
  <c r="D45"/>
  <c r="D29" i="93"/>
  <c r="D33"/>
  <c r="D37"/>
  <c r="D41"/>
  <c r="D44"/>
  <c r="D45"/>
  <c r="D50"/>
  <c r="D27"/>
  <c r="D31"/>
  <c r="D35"/>
  <c r="D40"/>
  <c r="F50"/>
  <c r="C27" i="94"/>
  <c r="C31" s="1"/>
  <c r="D28"/>
  <c r="D30"/>
  <c r="D32"/>
  <c r="D34"/>
  <c r="D36"/>
  <c r="D38"/>
  <c r="D39"/>
  <c r="D42"/>
  <c r="D43"/>
  <c r="C44"/>
  <c r="C45"/>
  <c r="D46"/>
  <c r="C27" i="93"/>
  <c r="C46" s="1"/>
  <c r="D28"/>
  <c r="D30"/>
  <c r="C31"/>
  <c r="D32"/>
  <c r="D34"/>
  <c r="C35"/>
  <c r="D36"/>
  <c r="D38"/>
  <c r="D39"/>
  <c r="C40"/>
  <c r="D42"/>
  <c r="D43"/>
  <c r="C44"/>
  <c r="D46"/>
  <c r="K23" i="1"/>
  <c r="I13"/>
  <c r="AB22"/>
  <c r="F80" i="3"/>
  <c r="G80" s="1"/>
  <c r="F81"/>
  <c r="G81" s="1"/>
  <c r="L22"/>
  <c r="L21"/>
  <c r="AI22" i="1" s="1"/>
  <c r="AR22" i="3"/>
  <c r="AX22" s="1"/>
  <c r="S22"/>
  <c r="O22"/>
  <c r="M22"/>
  <c r="AR21"/>
  <c r="AX21" s="1"/>
  <c r="S21"/>
  <c r="O21"/>
  <c r="M21"/>
  <c r="C45" i="93" l="1"/>
  <c r="C41"/>
  <c r="C37"/>
  <c r="C33"/>
  <c r="C29"/>
  <c r="C29" i="94"/>
  <c r="P21" i="3"/>
  <c r="AJ22" i="1"/>
  <c r="P22" i="3"/>
  <c r="AJ23" i="1"/>
  <c r="AA22" i="3"/>
  <c r="AI23" i="1"/>
  <c r="AH22"/>
  <c r="AC21"/>
  <c r="AH23"/>
  <c r="AC22"/>
  <c r="C43" i="93"/>
  <c r="C46" i="94"/>
  <c r="C43"/>
  <c r="C40"/>
  <c r="C309" i="4"/>
  <c r="B309"/>
  <c r="C41" i="94"/>
  <c r="C37"/>
  <c r="C35"/>
  <c r="C33"/>
  <c r="C42"/>
  <c r="C39"/>
  <c r="C38"/>
  <c r="C36"/>
  <c r="C34"/>
  <c r="C32"/>
  <c r="C30"/>
  <c r="C28"/>
  <c r="C42" i="93"/>
  <c r="C39"/>
  <c r="C38"/>
  <c r="C36"/>
  <c r="C34"/>
  <c r="C32"/>
  <c r="C30"/>
  <c r="C28"/>
  <c r="AA21" i="3"/>
  <c r="T80"/>
  <c r="R80"/>
  <c r="S80"/>
  <c r="Q80"/>
  <c r="T81"/>
  <c r="R81"/>
  <c r="S81"/>
  <c r="Q81"/>
  <c r="K81"/>
  <c r="K80"/>
  <c r="R22"/>
  <c r="T22" s="1"/>
  <c r="R21"/>
  <c r="T21" s="1"/>
  <c r="U334" i="4" l="1"/>
  <c r="U336"/>
  <c r="U338"/>
  <c r="U340"/>
  <c r="U342"/>
  <c r="U344"/>
  <c r="U346"/>
  <c r="U348"/>
  <c r="U350"/>
  <c r="U333"/>
  <c r="U335"/>
  <c r="U337"/>
  <c r="U339"/>
  <c r="U341"/>
  <c r="U343"/>
  <c r="U345"/>
  <c r="U347"/>
  <c r="U349"/>
  <c r="U351"/>
  <c r="U332"/>
  <c r="K336"/>
  <c r="K334"/>
  <c r="K332"/>
  <c r="L332" s="1"/>
  <c r="U310"/>
  <c r="U312"/>
  <c r="U314"/>
  <c r="U316"/>
  <c r="U318"/>
  <c r="U320"/>
  <c r="U322"/>
  <c r="U324"/>
  <c r="U326"/>
  <c r="U308"/>
  <c r="R314"/>
  <c r="R316"/>
  <c r="R318"/>
  <c r="R320"/>
  <c r="R322"/>
  <c r="R324"/>
  <c r="R326"/>
  <c r="K308"/>
  <c r="L308" s="1"/>
  <c r="K310"/>
  <c r="K312"/>
  <c r="K314"/>
  <c r="K316"/>
  <c r="K318"/>
  <c r="K320"/>
  <c r="K322"/>
  <c r="K324"/>
  <c r="K326"/>
  <c r="K309"/>
  <c r="K335"/>
  <c r="U309"/>
  <c r="U313"/>
  <c r="U317"/>
  <c r="U321"/>
  <c r="U325"/>
  <c r="R313"/>
  <c r="R317"/>
  <c r="R321"/>
  <c r="R325"/>
  <c r="K313"/>
  <c r="K317"/>
  <c r="K321"/>
  <c r="K325"/>
  <c r="R351"/>
  <c r="K351"/>
  <c r="R350"/>
  <c r="K350"/>
  <c r="R349"/>
  <c r="K349"/>
  <c r="R348"/>
  <c r="K348"/>
  <c r="R347"/>
  <c r="K347"/>
  <c r="R346"/>
  <c r="K346"/>
  <c r="R345"/>
  <c r="K345"/>
  <c r="R344"/>
  <c r="K344"/>
  <c r="R343"/>
  <c r="K343"/>
  <c r="R342"/>
  <c r="K342"/>
  <c r="R341"/>
  <c r="K341"/>
  <c r="R340"/>
  <c r="K340"/>
  <c r="R339"/>
  <c r="K339"/>
  <c r="R338"/>
  <c r="K338"/>
  <c r="R337"/>
  <c r="K337"/>
  <c r="K333"/>
  <c r="U311"/>
  <c r="U315"/>
  <c r="U319"/>
  <c r="U323"/>
  <c r="U327"/>
  <c r="R315"/>
  <c r="R319"/>
  <c r="R323"/>
  <c r="R307" s="1"/>
  <c r="C312" s="1"/>
  <c r="R327"/>
  <c r="K311"/>
  <c r="K315"/>
  <c r="K319"/>
  <c r="K323"/>
  <c r="K327"/>
  <c r="C14" i="1"/>
  <c r="L23"/>
  <c r="F53" i="93" l="1"/>
  <c r="M40" s="1"/>
  <c r="F53" i="94"/>
  <c r="M40" s="1"/>
  <c r="F52" i="93"/>
  <c r="F52" i="94"/>
  <c r="R331" i="4"/>
  <c r="C335" s="1"/>
  <c r="R19" i="1" l="1"/>
  <c r="Q25" i="25" l="1"/>
  <c r="BI17" i="1" l="1"/>
  <c r="BI16"/>
  <c r="BI15"/>
  <c r="BI14"/>
  <c r="BI13"/>
  <c r="BI12"/>
  <c r="BI11"/>
  <c r="BI10"/>
  <c r="BI9"/>
  <c r="BI8"/>
  <c r="BI7"/>
  <c r="BI6"/>
  <c r="BH5"/>
  <c r="K10" l="1"/>
  <c r="X9" l="1"/>
  <c r="W62" i="3" l="1"/>
  <c r="W61" l="1"/>
  <c r="V62" s="1"/>
  <c r="F64"/>
  <c r="G64" s="1"/>
  <c r="F65"/>
  <c r="G65" s="1"/>
  <c r="F66"/>
  <c r="G66" s="1"/>
  <c r="F67"/>
  <c r="G67" s="1"/>
  <c r="F68"/>
  <c r="G68" s="1"/>
  <c r="F69"/>
  <c r="G69" s="1"/>
  <c r="F70"/>
  <c r="F71"/>
  <c r="F72"/>
  <c r="G72" s="1"/>
  <c r="F73"/>
  <c r="F74"/>
  <c r="F75"/>
  <c r="G75" s="1"/>
  <c r="F76"/>
  <c r="F77"/>
  <c r="G77" s="1"/>
  <c r="F78"/>
  <c r="G78" s="1"/>
  <c r="F63"/>
  <c r="G63" s="1"/>
  <c r="CX14" i="2" l="1"/>
  <c r="AH476" l="1"/>
  <c r="AI483"/>
  <c r="AJ483" s="1"/>
  <c r="AI478"/>
  <c r="AJ478" s="1"/>
  <c r="AI477"/>
  <c r="AJ477" s="1"/>
  <c r="AN443"/>
  <c r="AK443"/>
  <c r="AL443"/>
  <c r="L12" i="3"/>
  <c r="K70" s="1"/>
  <c r="L10"/>
  <c r="K68" s="1"/>
  <c r="BD445" i="2" l="1"/>
  <c r="BD485"/>
  <c r="AM443"/>
  <c r="A557"/>
  <c r="A558" s="1"/>
  <c r="A559" l="1"/>
  <c r="Y490"/>
  <c r="Y489"/>
  <c r="T489"/>
  <c r="BA454" l="1"/>
  <c r="AJ481"/>
  <c r="A560"/>
  <c r="AI481"/>
  <c r="AJ482"/>
  <c r="AJ476" s="1"/>
  <c r="AI482"/>
  <c r="AI476" s="1"/>
  <c r="K21" i="1"/>
  <c r="A561" i="2" l="1"/>
  <c r="AG16" i="3"/>
  <c r="A562" i="2" l="1"/>
  <c r="G27" i="89"/>
  <c r="J7"/>
  <c r="A15"/>
  <c r="K15"/>
  <c r="H29" l="1"/>
  <c r="J29"/>
  <c r="H47"/>
  <c r="D562" i="2"/>
  <c r="C562"/>
  <c r="A563"/>
  <c r="G28" i="89"/>
  <c r="G60"/>
  <c r="G58"/>
  <c r="G56"/>
  <c r="G54"/>
  <c r="G52"/>
  <c r="G50"/>
  <c r="G48"/>
  <c r="G46"/>
  <c r="G44"/>
  <c r="G42"/>
  <c r="G40"/>
  <c r="G38"/>
  <c r="G36"/>
  <c r="G34"/>
  <c r="G32"/>
  <c r="G30"/>
  <c r="H28"/>
  <c r="H60"/>
  <c r="H58"/>
  <c r="H56"/>
  <c r="H54"/>
  <c r="H52"/>
  <c r="H50"/>
  <c r="H48"/>
  <c r="H46"/>
  <c r="H44"/>
  <c r="H42"/>
  <c r="H40"/>
  <c r="H38"/>
  <c r="H36"/>
  <c r="H34"/>
  <c r="H32"/>
  <c r="H30"/>
  <c r="G61"/>
  <c r="G59"/>
  <c r="G57"/>
  <c r="G55"/>
  <c r="G53"/>
  <c r="G51"/>
  <c r="G49"/>
  <c r="G47"/>
  <c r="G45"/>
  <c r="G43"/>
  <c r="G41"/>
  <c r="G39"/>
  <c r="G37"/>
  <c r="G35"/>
  <c r="G33"/>
  <c r="G31"/>
  <c r="G29"/>
  <c r="H27"/>
  <c r="H61"/>
  <c r="H59"/>
  <c r="H57"/>
  <c r="H55"/>
  <c r="H53"/>
  <c r="H51"/>
  <c r="H49"/>
  <c r="H45"/>
  <c r="H43"/>
  <c r="H41"/>
  <c r="H39"/>
  <c r="H37"/>
  <c r="H35"/>
  <c r="H33"/>
  <c r="H31"/>
  <c r="C53"/>
  <c r="C52"/>
  <c r="C51"/>
  <c r="C50"/>
  <c r="C49"/>
  <c r="C48"/>
  <c r="C47"/>
  <c r="F20"/>
  <c r="D563" i="2" l="1"/>
  <c r="C563"/>
  <c r="C10" i="89"/>
  <c r="J5"/>
  <c r="J6"/>
  <c r="J2" l="1"/>
  <c r="C30"/>
  <c r="C31" s="1"/>
  <c r="C32" s="1"/>
  <c r="C33" s="1"/>
  <c r="C34" s="1"/>
  <c r="C35" s="1"/>
  <c r="C36" s="1"/>
  <c r="C37" s="1"/>
  <c r="C38" s="1"/>
  <c r="C39" s="1"/>
  <c r="C40" s="1"/>
  <c r="C41" s="1"/>
  <c r="C42" s="1"/>
  <c r="C43" s="1"/>
  <c r="A438" i="2" l="1"/>
  <c r="A439" s="1"/>
  <c r="E563" s="1"/>
  <c r="AH472" s="1"/>
  <c r="AL472" l="1"/>
  <c r="AQ472" s="1"/>
  <c r="AK472"/>
  <c r="AP472" s="1"/>
  <c r="AM472"/>
  <c r="AR472" s="1"/>
  <c r="AJ472"/>
  <c r="AO472" s="1"/>
  <c r="E562"/>
  <c r="AH471" s="1"/>
  <c r="Q493"/>
  <c r="R494"/>
  <c r="Q494"/>
  <c r="AX480" l="1"/>
  <c r="AX476"/>
  <c r="AW480"/>
  <c r="BD480" s="1"/>
  <c r="I61" i="89" s="1"/>
  <c r="AW477" i="2"/>
  <c r="AX479"/>
  <c r="AX478"/>
  <c r="AW478"/>
  <c r="AX477"/>
  <c r="AW476"/>
  <c r="AW479"/>
  <c r="AK471"/>
  <c r="AP471" s="1"/>
  <c r="AM471"/>
  <c r="AR471" s="1"/>
  <c r="AL471"/>
  <c r="AQ471" s="1"/>
  <c r="AJ471"/>
  <c r="AO471" s="1"/>
  <c r="BD479" l="1"/>
  <c r="I60" i="89" s="1"/>
  <c r="BD477" i="2"/>
  <c r="I58" i="89" s="1"/>
  <c r="BD476" i="2"/>
  <c r="I57" i="89" s="1"/>
  <c r="BD478" i="2"/>
  <c r="I59" i="89" s="1"/>
  <c r="AX474" i="2"/>
  <c r="AX472"/>
  <c r="AW473"/>
  <c r="AW475"/>
  <c r="AX473"/>
  <c r="AW472"/>
  <c r="BD472" s="1"/>
  <c r="I53" i="89" s="1"/>
  <c r="AW471" i="2"/>
  <c r="AX475"/>
  <c r="AX471"/>
  <c r="AW474"/>
  <c r="BD471" l="1"/>
  <c r="I52" i="89" s="1"/>
  <c r="BD473" i="2"/>
  <c r="I54" i="89" s="1"/>
  <c r="BD474" i="2"/>
  <c r="I55" i="89" s="1"/>
  <c r="BD475" i="2"/>
  <c r="I56" i="89" s="1"/>
  <c r="AF354" i="2" l="1"/>
  <c r="AI354" s="1"/>
  <c r="AJ354" l="1"/>
  <c r="AH354"/>
  <c r="AG354"/>
  <c r="BK358" l="1"/>
  <c r="BO358" l="1"/>
  <c r="AJ440" s="1"/>
  <c r="BL358"/>
  <c r="AG440" s="1"/>
  <c r="BM358"/>
  <c r="AH440" s="1"/>
  <c r="BN358"/>
  <c r="AI440" s="1"/>
  <c r="B10" i="4" l="1"/>
  <c r="B11" l="1"/>
  <c r="E11" s="1"/>
  <c r="B12"/>
  <c r="AN12" l="1"/>
  <c r="AP12"/>
  <c r="AR12"/>
  <c r="AT12"/>
  <c r="AV12"/>
  <c r="AX12"/>
  <c r="AZ12"/>
  <c r="BB12"/>
  <c r="BD12"/>
  <c r="BF12"/>
  <c r="BH12"/>
  <c r="BJ12"/>
  <c r="BL12"/>
  <c r="BN12"/>
  <c r="BP12"/>
  <c r="BR12"/>
  <c r="BT12"/>
  <c r="AO12"/>
  <c r="AQ12"/>
  <c r="AS12"/>
  <c r="AU12"/>
  <c r="AW12"/>
  <c r="AY12"/>
  <c r="BA12"/>
  <c r="BC12"/>
  <c r="BE12"/>
  <c r="BG12"/>
  <c r="BI12"/>
  <c r="BK12"/>
  <c r="BM12"/>
  <c r="BO12"/>
  <c r="BQ12"/>
  <c r="BS12"/>
  <c r="AM12"/>
  <c r="C11"/>
  <c r="DE12"/>
  <c r="DC12"/>
  <c r="DA12"/>
  <c r="CY12"/>
  <c r="CW12"/>
  <c r="CU12"/>
  <c r="CS12"/>
  <c r="CQ12"/>
  <c r="CO12"/>
  <c r="CM12"/>
  <c r="CK12"/>
  <c r="CI12"/>
  <c r="CG12"/>
  <c r="CE12"/>
  <c r="CC12"/>
  <c r="CA12"/>
  <c r="BY12"/>
  <c r="AI12"/>
  <c r="AG12"/>
  <c r="AE12"/>
  <c r="AC12"/>
  <c r="AA12"/>
  <c r="Y12"/>
  <c r="W12"/>
  <c r="U12"/>
  <c r="S12"/>
  <c r="Q12"/>
  <c r="O12"/>
  <c r="M12"/>
  <c r="K12"/>
  <c r="I12"/>
  <c r="G12"/>
  <c r="E12"/>
  <c r="DE11"/>
  <c r="DC11"/>
  <c r="DA11"/>
  <c r="CY11"/>
  <c r="CW11"/>
  <c r="CU11"/>
  <c r="CS11"/>
  <c r="CQ11"/>
  <c r="CO11"/>
  <c r="CM11"/>
  <c r="CK11"/>
  <c r="CI11"/>
  <c r="CG11"/>
  <c r="CE11"/>
  <c r="CC11"/>
  <c r="CA11"/>
  <c r="BY11"/>
  <c r="AI11"/>
  <c r="AG11"/>
  <c r="AE11"/>
  <c r="AC11"/>
  <c r="AA11"/>
  <c r="Y11"/>
  <c r="W11"/>
  <c r="U11"/>
  <c r="S11"/>
  <c r="Q11"/>
  <c r="O11"/>
  <c r="M11"/>
  <c r="K11"/>
  <c r="I11"/>
  <c r="G11"/>
  <c r="C12"/>
  <c r="AO11"/>
  <c r="AQ11"/>
  <c r="AS11"/>
  <c r="AU11"/>
  <c r="AW11"/>
  <c r="AY11"/>
  <c r="BA11"/>
  <c r="BC11"/>
  <c r="BE11"/>
  <c r="BG11"/>
  <c r="BI11"/>
  <c r="BK11"/>
  <c r="BM11"/>
  <c r="BO11"/>
  <c r="BQ11"/>
  <c r="BS11"/>
  <c r="AM11"/>
  <c r="AN11"/>
  <c r="AP11"/>
  <c r="AR11"/>
  <c r="AT11"/>
  <c r="AV11"/>
  <c r="AX11"/>
  <c r="AZ11"/>
  <c r="BB11"/>
  <c r="BD11"/>
  <c r="BF11"/>
  <c r="BH11"/>
  <c r="BJ11"/>
  <c r="BL11"/>
  <c r="BN11"/>
  <c r="BP11"/>
  <c r="BR11"/>
  <c r="BT11"/>
  <c r="DD12"/>
  <c r="DB12"/>
  <c r="CZ12"/>
  <c r="CX12"/>
  <c r="CV12"/>
  <c r="CT12"/>
  <c r="CR12"/>
  <c r="CP12"/>
  <c r="CN12"/>
  <c r="CL12"/>
  <c r="CJ12"/>
  <c r="CH12"/>
  <c r="CF12"/>
  <c r="CD12"/>
  <c r="CB12"/>
  <c r="BZ12"/>
  <c r="BX12"/>
  <c r="AH12"/>
  <c r="AF12"/>
  <c r="AD12"/>
  <c r="AB12"/>
  <c r="Z12"/>
  <c r="X12"/>
  <c r="V12"/>
  <c r="T12"/>
  <c r="R12"/>
  <c r="P12"/>
  <c r="N12"/>
  <c r="L12"/>
  <c r="J12"/>
  <c r="H12"/>
  <c r="F12"/>
  <c r="D12"/>
  <c r="DD11"/>
  <c r="DB11"/>
  <c r="CZ11"/>
  <c r="CX11"/>
  <c r="CV11"/>
  <c r="CT11"/>
  <c r="CR11"/>
  <c r="CP11"/>
  <c r="CN11"/>
  <c r="CL11"/>
  <c r="CJ11"/>
  <c r="CH11"/>
  <c r="CF11"/>
  <c r="CD11"/>
  <c r="CB11"/>
  <c r="BZ11"/>
  <c r="BX11"/>
  <c r="AH11"/>
  <c r="AF11"/>
  <c r="AD11"/>
  <c r="AB11"/>
  <c r="Z11"/>
  <c r="X11"/>
  <c r="V11"/>
  <c r="T11"/>
  <c r="R11"/>
  <c r="P11"/>
  <c r="N11"/>
  <c r="L11"/>
  <c r="J11"/>
  <c r="H11"/>
  <c r="F11"/>
  <c r="D11"/>
  <c r="AN10" l="1"/>
  <c r="AP10"/>
  <c r="AR10"/>
  <c r="AT10"/>
  <c r="AV10"/>
  <c r="AX10"/>
  <c r="AZ10"/>
  <c r="BB10"/>
  <c r="BD10"/>
  <c r="BF10"/>
  <c r="BH10"/>
  <c r="BJ10"/>
  <c r="BL10"/>
  <c r="BN10"/>
  <c r="BP10"/>
  <c r="BR10"/>
  <c r="BT10"/>
  <c r="E10"/>
  <c r="G10"/>
  <c r="I10"/>
  <c r="K10"/>
  <c r="M10"/>
  <c r="O10"/>
  <c r="Q10"/>
  <c r="S10"/>
  <c r="U10"/>
  <c r="W10"/>
  <c r="Y10"/>
  <c r="AA10"/>
  <c r="AC10"/>
  <c r="AE10"/>
  <c r="AG10"/>
  <c r="AI10"/>
  <c r="BY10"/>
  <c r="CA10"/>
  <c r="CC10"/>
  <c r="CE10"/>
  <c r="CG10"/>
  <c r="CI10"/>
  <c r="CK10"/>
  <c r="CM10"/>
  <c r="CO10"/>
  <c r="CQ10"/>
  <c r="CS10"/>
  <c r="CU10"/>
  <c r="AO10"/>
  <c r="AQ10"/>
  <c r="AS10"/>
  <c r="AU10"/>
  <c r="AW10"/>
  <c r="AY10"/>
  <c r="BA10"/>
  <c r="BC10"/>
  <c r="BE10"/>
  <c r="BG10"/>
  <c r="BI10"/>
  <c r="BK10"/>
  <c r="BM10"/>
  <c r="BO10"/>
  <c r="BQ10"/>
  <c r="BS10"/>
  <c r="AM10"/>
  <c r="D10"/>
  <c r="F10"/>
  <c r="H10"/>
  <c r="J10"/>
  <c r="L10"/>
  <c r="N10"/>
  <c r="P10"/>
  <c r="R10"/>
  <c r="T10"/>
  <c r="V10"/>
  <c r="X10"/>
  <c r="Z10"/>
  <c r="AB10"/>
  <c r="AD10"/>
  <c r="AF10"/>
  <c r="AH10"/>
  <c r="BX10"/>
  <c r="BZ10"/>
  <c r="CB10"/>
  <c r="CD10"/>
  <c r="CF10"/>
  <c r="CH10"/>
  <c r="CJ10"/>
  <c r="CL10"/>
  <c r="CN10"/>
  <c r="CP10"/>
  <c r="CR10"/>
  <c r="CT10"/>
  <c r="CW10"/>
  <c r="CY10"/>
  <c r="DA10"/>
  <c r="DC10"/>
  <c r="DE10"/>
  <c r="CV10"/>
  <c r="CX10"/>
  <c r="CZ10"/>
  <c r="DB10"/>
  <c r="DD10"/>
  <c r="C10"/>
  <c r="A151" i="2" l="1"/>
  <c r="A152"/>
  <c r="A149"/>
  <c r="A150"/>
  <c r="B13" l="1"/>
  <c r="AP421" l="1"/>
  <c r="AM421" l="1"/>
  <c r="G22" i="28" l="1"/>
  <c r="N52" i="30" l="1"/>
  <c r="N53"/>
  <c r="N54"/>
  <c r="N55"/>
  <c r="N56"/>
  <c r="N57"/>
  <c r="N51"/>
  <c r="O2" l="1"/>
  <c r="N6"/>
  <c r="N7"/>
  <c r="C8"/>
  <c r="N8"/>
  <c r="D12"/>
  <c r="D15"/>
  <c r="D23"/>
  <c r="Q26"/>
  <c r="F2" i="29"/>
  <c r="T6" s="1"/>
  <c r="T7"/>
  <c r="T8"/>
  <c r="B9"/>
  <c r="K71" s="1"/>
  <c r="B10"/>
  <c r="T10"/>
  <c r="Z10"/>
  <c r="T11"/>
  <c r="Z11"/>
  <c r="Z12" s="1"/>
  <c r="Z13" s="1"/>
  <c r="Z14" s="1"/>
  <c r="Z15" s="1"/>
  <c r="Z16" s="1"/>
  <c r="Z17" s="1"/>
  <c r="Z18" s="1"/>
  <c r="Z19" s="1"/>
  <c r="Z20" s="1"/>
  <c r="Z21" s="1"/>
  <c r="Z22" s="1"/>
  <c r="Z23" s="1"/>
  <c r="Z24" s="1"/>
  <c r="Z25" s="1"/>
  <c r="Z26" s="1"/>
  <c r="Z27" s="1"/>
  <c r="Z28" s="1"/>
  <c r="B12"/>
  <c r="D12" s="1"/>
  <c r="L71" s="1"/>
  <c r="L87" s="1"/>
  <c r="C12"/>
  <c r="T12"/>
  <c r="T13"/>
  <c r="T14"/>
  <c r="AD14"/>
  <c r="T15"/>
  <c r="Y15"/>
  <c r="Y16" s="1"/>
  <c r="AD16" s="1"/>
  <c r="AD15"/>
  <c r="T16"/>
  <c r="T17"/>
  <c r="Y17"/>
  <c r="Y18" s="1"/>
  <c r="AD18" s="1"/>
  <c r="T18"/>
  <c r="T19"/>
  <c r="Y19"/>
  <c r="AD19" s="1"/>
  <c r="T20"/>
  <c r="T21"/>
  <c r="C22"/>
  <c r="T22"/>
  <c r="C23"/>
  <c r="C21" s="1"/>
  <c r="T23"/>
  <c r="C24"/>
  <c r="T24"/>
  <c r="T25"/>
  <c r="T26"/>
  <c r="B27"/>
  <c r="D49" i="30" s="1"/>
  <c r="T27" i="29"/>
  <c r="B28"/>
  <c r="H28" i="30" s="1"/>
  <c r="T28" i="29"/>
  <c r="D29"/>
  <c r="D30" s="1"/>
  <c r="T29"/>
  <c r="B30"/>
  <c r="B31" s="1"/>
  <c r="B32" s="1"/>
  <c r="B33" s="1"/>
  <c r="B34" s="1"/>
  <c r="B35" s="1"/>
  <c r="B36" s="1"/>
  <c r="B37" s="1"/>
  <c r="B38" s="1"/>
  <c r="B39" s="1"/>
  <c r="B40" s="1"/>
  <c r="B41" s="1"/>
  <c r="B42" s="1"/>
  <c r="B43" s="1"/>
  <c r="B44" s="1"/>
  <c r="B45" s="1"/>
  <c r="B46" s="1"/>
  <c r="B47" s="1"/>
  <c r="B48" s="1"/>
  <c r="B49" s="1"/>
  <c r="B50" s="1"/>
  <c r="T30"/>
  <c r="T31"/>
  <c r="T32"/>
  <c r="T33"/>
  <c r="T34"/>
  <c r="T35"/>
  <c r="T36"/>
  <c r="T37"/>
  <c r="T38"/>
  <c r="T39"/>
  <c r="T40"/>
  <c r="T41"/>
  <c r="T42"/>
  <c r="T43"/>
  <c r="T44"/>
  <c r="T45"/>
  <c r="T46"/>
  <c r="T47"/>
  <c r="T48"/>
  <c r="T49"/>
  <c r="T50"/>
  <c r="T51"/>
  <c r="T52"/>
  <c r="T53"/>
  <c r="T54"/>
  <c r="T55"/>
  <c r="T56"/>
  <c r="T57"/>
  <c r="T58"/>
  <c r="T59"/>
  <c r="T60"/>
  <c r="T61"/>
  <c r="T62"/>
  <c r="T63"/>
  <c r="D71"/>
  <c r="O71"/>
  <c r="D76"/>
  <c r="D77" s="1"/>
  <c r="J76"/>
  <c r="X77"/>
  <c r="D78"/>
  <c r="J78"/>
  <c r="X78"/>
  <c r="J80"/>
  <c r="J81"/>
  <c r="J83"/>
  <c r="B84"/>
  <c r="J86"/>
  <c r="J89"/>
  <c r="C4" i="28"/>
  <c r="K4" i="29" s="1"/>
  <c r="D4" i="28"/>
  <c r="E4"/>
  <c r="G4" i="29" s="1"/>
  <c r="H4" s="1"/>
  <c r="F4" i="28"/>
  <c r="G4"/>
  <c r="H4"/>
  <c r="I4"/>
  <c r="J4"/>
  <c r="K4"/>
  <c r="L4"/>
  <c r="M4"/>
  <c r="N4"/>
  <c r="O4"/>
  <c r="P4"/>
  <c r="Q4"/>
  <c r="R4"/>
  <c r="U4"/>
  <c r="AC4"/>
  <c r="AG22"/>
  <c r="AH75" i="29" l="1"/>
  <c r="W75" s="1"/>
  <c r="AH77"/>
  <c r="W77" s="1"/>
  <c r="AH78"/>
  <c r="W78" s="1"/>
  <c r="AH83"/>
  <c r="AL83" s="1"/>
  <c r="AH86"/>
  <c r="AL86" s="1"/>
  <c r="AH79"/>
  <c r="AL79" s="1"/>
  <c r="AH81"/>
  <c r="AL81" s="1"/>
  <c r="AH82"/>
  <c r="AH84"/>
  <c r="AL84" s="1"/>
  <c r="AH87"/>
  <c r="W87" s="1"/>
  <c r="AH89"/>
  <c r="W89" s="1"/>
  <c r="AH85"/>
  <c r="AH88"/>
  <c r="AL88" s="1"/>
  <c r="AH90"/>
  <c r="AL90" s="1"/>
  <c r="AH80"/>
  <c r="T5"/>
  <c r="Y20"/>
  <c r="C3"/>
  <c r="AD17"/>
  <c r="T9"/>
  <c r="AH72"/>
  <c r="AL72" s="1"/>
  <c r="AH74"/>
  <c r="AH73"/>
  <c r="AH71"/>
  <c r="AL71" s="1"/>
  <c r="D72"/>
  <c r="D73" s="1"/>
  <c r="S75" s="1"/>
  <c r="E28" i="30"/>
  <c r="AL89" i="29"/>
  <c r="AL78"/>
  <c r="W71"/>
  <c r="AL87"/>
  <c r="W79"/>
  <c r="AL77"/>
  <c r="W72"/>
  <c r="W82"/>
  <c r="AL82"/>
  <c r="AL74"/>
  <c r="W74"/>
  <c r="W85"/>
  <c r="AL85"/>
  <c r="W80"/>
  <c r="AL80"/>
  <c r="AL75"/>
  <c r="AL73"/>
  <c r="W73"/>
  <c r="J71"/>
  <c r="J72"/>
  <c r="K72" s="1"/>
  <c r="O72"/>
  <c r="J73"/>
  <c r="O73"/>
  <c r="J74"/>
  <c r="O74"/>
  <c r="O75" s="1"/>
  <c r="O76" s="1"/>
  <c r="O77" s="1"/>
  <c r="O78" s="1"/>
  <c r="O79" s="1"/>
  <c r="O80" s="1"/>
  <c r="O81" s="1"/>
  <c r="O82" s="1"/>
  <c r="O83" s="1"/>
  <c r="O84" s="1"/>
  <c r="O85" s="1"/>
  <c r="O86" s="1"/>
  <c r="O87" s="1"/>
  <c r="O88" s="1"/>
  <c r="O89" s="1"/>
  <c r="O90" s="1"/>
  <c r="J75"/>
  <c r="X76"/>
  <c r="J77"/>
  <c r="L78"/>
  <c r="J79"/>
  <c r="S79"/>
  <c r="X80"/>
  <c r="X81"/>
  <c r="J82"/>
  <c r="J84"/>
  <c r="J85"/>
  <c r="S86"/>
  <c r="J87"/>
  <c r="J88"/>
  <c r="L89"/>
  <c r="S89"/>
  <c r="J90"/>
  <c r="L90"/>
  <c r="S90"/>
  <c r="A25" i="30"/>
  <c r="D28"/>
  <c r="N5" i="29"/>
  <c r="X79"/>
  <c r="K5"/>
  <c r="L4"/>
  <c r="M4" s="1"/>
  <c r="W90"/>
  <c r="W88"/>
  <c r="W86"/>
  <c r="S76"/>
  <c r="S78"/>
  <c r="S82"/>
  <c r="S72"/>
  <c r="V9"/>
  <c r="V10"/>
  <c r="E12"/>
  <c r="V12"/>
  <c r="V14"/>
  <c r="V15"/>
  <c r="V17"/>
  <c r="V19"/>
  <c r="V8"/>
  <c r="M71" s="1"/>
  <c r="N71" s="1"/>
  <c r="P71" s="1"/>
  <c r="Q71" s="1"/>
  <c r="C11"/>
  <c r="V13"/>
  <c r="V16"/>
  <c r="V18"/>
  <c r="V20"/>
  <c r="V21"/>
  <c r="V22"/>
  <c r="V23"/>
  <c r="V24"/>
  <c r="M87" s="1"/>
  <c r="N87" s="1"/>
  <c r="V26"/>
  <c r="V27"/>
  <c r="V25"/>
  <c r="L72"/>
  <c r="L73"/>
  <c r="L74"/>
  <c r="L79"/>
  <c r="L81"/>
  <c r="L83"/>
  <c r="L84"/>
  <c r="L86"/>
  <c r="V11"/>
  <c r="F4"/>
  <c r="F5" s="1"/>
  <c r="L88"/>
  <c r="S87"/>
  <c r="L85"/>
  <c r="W84"/>
  <c r="W83"/>
  <c r="L82"/>
  <c r="W81"/>
  <c r="S81"/>
  <c r="L80"/>
  <c r="L77"/>
  <c r="L76"/>
  <c r="L75"/>
  <c r="AH76"/>
  <c r="B4" i="27"/>
  <c r="B5"/>
  <c r="B6"/>
  <c r="B7"/>
  <c r="B8"/>
  <c r="B9"/>
  <c r="B3"/>
  <c r="K73" i="29" l="1"/>
  <c r="K74"/>
  <c r="K75" s="1"/>
  <c r="K76" s="1"/>
  <c r="K77" s="1"/>
  <c r="K78" s="1"/>
  <c r="K79" s="1"/>
  <c r="K80" s="1"/>
  <c r="K81" s="1"/>
  <c r="K82" s="1"/>
  <c r="K83" s="1"/>
  <c r="K84" s="1"/>
  <c r="K85" s="1"/>
  <c r="K86" s="1"/>
  <c r="K87" s="1"/>
  <c r="K88" s="1"/>
  <c r="K89" s="1"/>
  <c r="K90" s="1"/>
  <c r="AD20"/>
  <c r="X82" s="1"/>
  <c r="Y21"/>
  <c r="D74"/>
  <c r="AG24" i="28"/>
  <c r="S18" s="1"/>
  <c r="S83" i="29"/>
  <c r="S84"/>
  <c r="S71"/>
  <c r="U71" s="1"/>
  <c r="S85"/>
  <c r="S80"/>
  <c r="S77"/>
  <c r="F28" i="30"/>
  <c r="G28" s="1"/>
  <c r="I28" s="1"/>
  <c r="J28" s="1"/>
  <c r="N9"/>
  <c r="S73" i="29"/>
  <c r="S74"/>
  <c r="S88"/>
  <c r="M89"/>
  <c r="N89" s="1"/>
  <c r="P89" s="1"/>
  <c r="M90"/>
  <c r="N90" s="1"/>
  <c r="P90" s="1"/>
  <c r="M78"/>
  <c r="N78" s="1"/>
  <c r="P78" s="1"/>
  <c r="P87"/>
  <c r="N6"/>
  <c r="U2"/>
  <c r="U5" s="1"/>
  <c r="C29" i="30"/>
  <c r="E29"/>
  <c r="F29" s="1"/>
  <c r="G29" s="1"/>
  <c r="H29"/>
  <c r="H30" s="1"/>
  <c r="H31" s="1"/>
  <c r="H32" s="1"/>
  <c r="H33" s="1"/>
  <c r="H34" s="1"/>
  <c r="H35" s="1"/>
  <c r="H36" s="1"/>
  <c r="H37" s="1"/>
  <c r="H38" s="1"/>
  <c r="H39" s="1"/>
  <c r="H40" s="1"/>
  <c r="H41" s="1"/>
  <c r="H42" s="1"/>
  <c r="H43" s="1"/>
  <c r="H44" s="1"/>
  <c r="H45" s="1"/>
  <c r="H46" s="1"/>
  <c r="H47" s="1"/>
  <c r="Q29"/>
  <c r="C31"/>
  <c r="E31"/>
  <c r="F31" s="1"/>
  <c r="G31" s="1"/>
  <c r="Q31"/>
  <c r="C33"/>
  <c r="E33"/>
  <c r="F33" s="1"/>
  <c r="G33" s="1"/>
  <c r="C35"/>
  <c r="E35"/>
  <c r="F35" s="1"/>
  <c r="G35" s="1"/>
  <c r="Q35"/>
  <c r="C37"/>
  <c r="E37"/>
  <c r="F37" s="1"/>
  <c r="G37" s="1"/>
  <c r="Q37"/>
  <c r="C39"/>
  <c r="E39"/>
  <c r="F39" s="1"/>
  <c r="G39" s="1"/>
  <c r="Q39"/>
  <c r="C41"/>
  <c r="E41"/>
  <c r="F41" s="1"/>
  <c r="G41" s="1"/>
  <c r="Q41"/>
  <c r="C43"/>
  <c r="E43"/>
  <c r="F43" s="1"/>
  <c r="G43" s="1"/>
  <c r="D29"/>
  <c r="D30" s="1"/>
  <c r="D31" s="1"/>
  <c r="D32" s="1"/>
  <c r="D33" s="1"/>
  <c r="D34" s="1"/>
  <c r="D35" s="1"/>
  <c r="D36" s="1"/>
  <c r="D37" s="1"/>
  <c r="D38" s="1"/>
  <c r="D39" s="1"/>
  <c r="D40" s="1"/>
  <c r="D41" s="1"/>
  <c r="D42" s="1"/>
  <c r="D43" s="1"/>
  <c r="D44" s="1"/>
  <c r="D45" s="1"/>
  <c r="D46" s="1"/>
  <c r="D47" s="1"/>
  <c r="E30"/>
  <c r="F30" s="1"/>
  <c r="G30" s="1"/>
  <c r="Q30"/>
  <c r="C32"/>
  <c r="E34"/>
  <c r="F34" s="1"/>
  <c r="G34" s="1"/>
  <c r="Q34"/>
  <c r="C36"/>
  <c r="E38"/>
  <c r="F38" s="1"/>
  <c r="G38" s="1"/>
  <c r="Q38"/>
  <c r="C40"/>
  <c r="E42"/>
  <c r="F42" s="1"/>
  <c r="G42" s="1"/>
  <c r="Q42"/>
  <c r="Q43"/>
  <c r="C45"/>
  <c r="E45"/>
  <c r="F45" s="1"/>
  <c r="G45" s="1"/>
  <c r="Q45"/>
  <c r="Q46"/>
  <c r="Q47"/>
  <c r="C28"/>
  <c r="Q28"/>
  <c r="C30"/>
  <c r="E32"/>
  <c r="F32" s="1"/>
  <c r="G32" s="1"/>
  <c r="Q32"/>
  <c r="C34"/>
  <c r="E36"/>
  <c r="F36" s="1"/>
  <c r="G36" s="1"/>
  <c r="Q36"/>
  <c r="C38"/>
  <c r="E40"/>
  <c r="F40" s="1"/>
  <c r="G40" s="1"/>
  <c r="Q40"/>
  <c r="C42"/>
  <c r="C44"/>
  <c r="E44"/>
  <c r="F44" s="1"/>
  <c r="G44" s="1"/>
  <c r="Q44"/>
  <c r="C46"/>
  <c r="E47"/>
  <c r="F47" s="1"/>
  <c r="G47" s="1"/>
  <c r="I47" s="1"/>
  <c r="E46"/>
  <c r="F46" s="1"/>
  <c r="C47"/>
  <c r="Z71" i="29"/>
  <c r="M76"/>
  <c r="N76" s="1"/>
  <c r="P76" s="1"/>
  <c r="M82"/>
  <c r="N82" s="1"/>
  <c r="P82" s="1"/>
  <c r="M88"/>
  <c r="N88" s="1"/>
  <c r="P88" s="1"/>
  <c r="G5"/>
  <c r="H5" s="1"/>
  <c r="F6"/>
  <c r="M86"/>
  <c r="N86" s="1"/>
  <c r="P86" s="1"/>
  <c r="M83"/>
  <c r="N83" s="1"/>
  <c r="P83" s="1"/>
  <c r="M79"/>
  <c r="N79" s="1"/>
  <c r="P79" s="1"/>
  <c r="M73"/>
  <c r="N73" s="1"/>
  <c r="P73" s="1"/>
  <c r="W76"/>
  <c r="AL76"/>
  <c r="Q33" i="30" s="1"/>
  <c r="M75" i="29"/>
  <c r="N75" s="1"/>
  <c r="P75" s="1"/>
  <c r="M77"/>
  <c r="N77" s="1"/>
  <c r="P77" s="1"/>
  <c r="M80"/>
  <c r="N80" s="1"/>
  <c r="P80" s="1"/>
  <c r="M85"/>
  <c r="N85" s="1"/>
  <c r="P85" s="1"/>
  <c r="M84"/>
  <c r="N84" s="1"/>
  <c r="P84" s="1"/>
  <c r="M81"/>
  <c r="N81" s="1"/>
  <c r="P81" s="1"/>
  <c r="M74"/>
  <c r="N74" s="1"/>
  <c r="P74" s="1"/>
  <c r="M72"/>
  <c r="N72" s="1"/>
  <c r="P72" s="1"/>
  <c r="Q72" s="1"/>
  <c r="L5"/>
  <c r="M5" s="1"/>
  <c r="K6"/>
  <c r="Q23" i="25"/>
  <c r="Q24"/>
  <c r="Q26"/>
  <c r="Q27"/>
  <c r="AD21" i="29" l="1"/>
  <c r="X83" s="1"/>
  <c r="Y22"/>
  <c r="V71"/>
  <c r="G46" i="30"/>
  <c r="I46" s="1"/>
  <c r="I32"/>
  <c r="I44"/>
  <c r="I40"/>
  <c r="I36"/>
  <c r="I29"/>
  <c r="J29" s="1"/>
  <c r="I42"/>
  <c r="I34"/>
  <c r="I37"/>
  <c r="I45"/>
  <c r="I41"/>
  <c r="I33"/>
  <c r="I39"/>
  <c r="I31"/>
  <c r="I38"/>
  <c r="I30"/>
  <c r="J30" s="1"/>
  <c r="J31" s="1"/>
  <c r="J32" s="1"/>
  <c r="J33" s="1"/>
  <c r="J34" s="1"/>
  <c r="N7" i="29"/>
  <c r="U6"/>
  <c r="I43" i="30"/>
  <c r="I35"/>
  <c r="Z72" i="29"/>
  <c r="Q73"/>
  <c r="Q74" s="1"/>
  <c r="L6"/>
  <c r="M6" s="1"/>
  <c r="K7"/>
  <c r="U72"/>
  <c r="G6"/>
  <c r="H6" s="1"/>
  <c r="F7"/>
  <c r="K31" i="27"/>
  <c r="K33" s="1"/>
  <c r="A39"/>
  <c r="B39"/>
  <c r="A42"/>
  <c r="J43"/>
  <c r="J44" s="1"/>
  <c r="C62"/>
  <c r="D62"/>
  <c r="C63"/>
  <c r="I68"/>
  <c r="C72"/>
  <c r="D72"/>
  <c r="E72"/>
  <c r="F72"/>
  <c r="G72"/>
  <c r="H72"/>
  <c r="I72"/>
  <c r="J72"/>
  <c r="A74"/>
  <c r="B74"/>
  <c r="D83"/>
  <c r="A85"/>
  <c r="B85"/>
  <c r="F85"/>
  <c r="G85"/>
  <c r="H85"/>
  <c r="J85"/>
  <c r="A86"/>
  <c r="C86"/>
  <c r="D86"/>
  <c r="E86"/>
  <c r="F86"/>
  <c r="G86"/>
  <c r="H86"/>
  <c r="I86"/>
  <c r="J86"/>
  <c r="K86"/>
  <c r="A87"/>
  <c r="C87"/>
  <c r="D87"/>
  <c r="E87"/>
  <c r="F87"/>
  <c r="G87"/>
  <c r="H87"/>
  <c r="I87"/>
  <c r="J87"/>
  <c r="A88"/>
  <c r="C88"/>
  <c r="D88"/>
  <c r="E88"/>
  <c r="F88"/>
  <c r="G88"/>
  <c r="H88"/>
  <c r="I88"/>
  <c r="J88"/>
  <c r="A89"/>
  <c r="C89"/>
  <c r="D89"/>
  <c r="E89"/>
  <c r="F89"/>
  <c r="G89"/>
  <c r="H89"/>
  <c r="I89"/>
  <c r="J89"/>
  <c r="K89"/>
  <c r="A90"/>
  <c r="C90"/>
  <c r="D90"/>
  <c r="E90"/>
  <c r="F90"/>
  <c r="G90"/>
  <c r="H90"/>
  <c r="I90"/>
  <c r="J90"/>
  <c r="K90"/>
  <c r="A91"/>
  <c r="C91"/>
  <c r="D91"/>
  <c r="E91"/>
  <c r="F91"/>
  <c r="G91"/>
  <c r="H91"/>
  <c r="I91"/>
  <c r="J91"/>
  <c r="K91"/>
  <c r="A92"/>
  <c r="C92"/>
  <c r="D92"/>
  <c r="E92"/>
  <c r="F92"/>
  <c r="G92"/>
  <c r="H92"/>
  <c r="I92"/>
  <c r="J92"/>
  <c r="K92"/>
  <c r="A101"/>
  <c r="C101"/>
  <c r="A103"/>
  <c r="C103"/>
  <c r="D103"/>
  <c r="E103"/>
  <c r="F103"/>
  <c r="G103"/>
  <c r="H103"/>
  <c r="I103"/>
  <c r="J103"/>
  <c r="D105"/>
  <c r="A107"/>
  <c r="B107"/>
  <c r="F107"/>
  <c r="G107"/>
  <c r="H107"/>
  <c r="J107"/>
  <c r="A108"/>
  <c r="C108"/>
  <c r="D108"/>
  <c r="E108"/>
  <c r="F108"/>
  <c r="G108"/>
  <c r="H108"/>
  <c r="I108"/>
  <c r="J108"/>
  <c r="K108"/>
  <c r="A109"/>
  <c r="C109"/>
  <c r="D109"/>
  <c r="E109"/>
  <c r="F109"/>
  <c r="G109"/>
  <c r="H109"/>
  <c r="I109"/>
  <c r="J109"/>
  <c r="A110"/>
  <c r="C110"/>
  <c r="D110"/>
  <c r="E110"/>
  <c r="F110"/>
  <c r="G110"/>
  <c r="H110"/>
  <c r="I110"/>
  <c r="J110"/>
  <c r="A111"/>
  <c r="C111"/>
  <c r="D111"/>
  <c r="E111"/>
  <c r="F111"/>
  <c r="G111"/>
  <c r="H111"/>
  <c r="I111"/>
  <c r="J111"/>
  <c r="K111"/>
  <c r="A112"/>
  <c r="C112"/>
  <c r="D112"/>
  <c r="E112"/>
  <c r="F112"/>
  <c r="G112"/>
  <c r="H112"/>
  <c r="I112"/>
  <c r="J112"/>
  <c r="K112"/>
  <c r="A113"/>
  <c r="C113"/>
  <c r="D113"/>
  <c r="E113"/>
  <c r="F113"/>
  <c r="G113"/>
  <c r="H113"/>
  <c r="I113"/>
  <c r="J113"/>
  <c r="K113"/>
  <c r="A114"/>
  <c r="C114"/>
  <c r="D114"/>
  <c r="E114"/>
  <c r="F114"/>
  <c r="G114"/>
  <c r="H114"/>
  <c r="I114"/>
  <c r="J114"/>
  <c r="K114"/>
  <c r="D116"/>
  <c r="A118"/>
  <c r="B118"/>
  <c r="F118"/>
  <c r="G118"/>
  <c r="H118"/>
  <c r="J118"/>
  <c r="A119"/>
  <c r="C119"/>
  <c r="D119"/>
  <c r="E119"/>
  <c r="F119"/>
  <c r="G119"/>
  <c r="H119"/>
  <c r="I119"/>
  <c r="J119"/>
  <c r="K119"/>
  <c r="A120"/>
  <c r="C120"/>
  <c r="D120"/>
  <c r="E120"/>
  <c r="F120"/>
  <c r="G120"/>
  <c r="H120"/>
  <c r="I120"/>
  <c r="J120"/>
  <c r="A121"/>
  <c r="C121"/>
  <c r="D121"/>
  <c r="E121"/>
  <c r="F121"/>
  <c r="G121"/>
  <c r="H121"/>
  <c r="I121"/>
  <c r="J121"/>
  <c r="A122"/>
  <c r="C122"/>
  <c r="D122"/>
  <c r="E122"/>
  <c r="F122"/>
  <c r="G122"/>
  <c r="H122"/>
  <c r="I122"/>
  <c r="J122"/>
  <c r="K122"/>
  <c r="A123"/>
  <c r="C123"/>
  <c r="D123"/>
  <c r="E123"/>
  <c r="F123"/>
  <c r="G123"/>
  <c r="H123"/>
  <c r="I123"/>
  <c r="J123"/>
  <c r="K123"/>
  <c r="A124"/>
  <c r="C124"/>
  <c r="D124"/>
  <c r="E124"/>
  <c r="F124"/>
  <c r="G124"/>
  <c r="H124"/>
  <c r="I124"/>
  <c r="J124"/>
  <c r="K124"/>
  <c r="A125"/>
  <c r="C125"/>
  <c r="D125"/>
  <c r="E125"/>
  <c r="F125"/>
  <c r="G125"/>
  <c r="H125"/>
  <c r="I125"/>
  <c r="J125"/>
  <c r="K125"/>
  <c r="D127"/>
  <c r="A129"/>
  <c r="B129"/>
  <c r="F129"/>
  <c r="G129"/>
  <c r="H129"/>
  <c r="J129"/>
  <c r="A130"/>
  <c r="C130"/>
  <c r="D130"/>
  <c r="E130"/>
  <c r="F130"/>
  <c r="G130"/>
  <c r="H130"/>
  <c r="I130"/>
  <c r="J130"/>
  <c r="K130"/>
  <c r="A131"/>
  <c r="C131"/>
  <c r="D131"/>
  <c r="E131"/>
  <c r="F131"/>
  <c r="G131"/>
  <c r="H131"/>
  <c r="I131"/>
  <c r="J131"/>
  <c r="A132"/>
  <c r="C132"/>
  <c r="D132"/>
  <c r="E132"/>
  <c r="F132"/>
  <c r="G132"/>
  <c r="H132"/>
  <c r="I132"/>
  <c r="J132"/>
  <c r="A133"/>
  <c r="C133"/>
  <c r="D133"/>
  <c r="E133"/>
  <c r="F133"/>
  <c r="G133"/>
  <c r="H133"/>
  <c r="I133"/>
  <c r="J133"/>
  <c r="K133"/>
  <c r="A134"/>
  <c r="C134"/>
  <c r="D134"/>
  <c r="E134"/>
  <c r="F134"/>
  <c r="G134"/>
  <c r="H134"/>
  <c r="I134"/>
  <c r="J134"/>
  <c r="K134"/>
  <c r="A135"/>
  <c r="C135"/>
  <c r="D135"/>
  <c r="E135"/>
  <c r="F135"/>
  <c r="G135"/>
  <c r="H135"/>
  <c r="I135"/>
  <c r="J135"/>
  <c r="K135"/>
  <c r="A136"/>
  <c r="C136"/>
  <c r="D136"/>
  <c r="E136"/>
  <c r="F136"/>
  <c r="G136"/>
  <c r="H136"/>
  <c r="I136"/>
  <c r="J136"/>
  <c r="K136"/>
  <c r="A141"/>
  <c r="C141"/>
  <c r="A143"/>
  <c r="C143"/>
  <c r="D143"/>
  <c r="E143"/>
  <c r="F143"/>
  <c r="G143"/>
  <c r="H143"/>
  <c r="I143"/>
  <c r="J143"/>
  <c r="D145"/>
  <c r="A147"/>
  <c r="B147"/>
  <c r="F147"/>
  <c r="G147"/>
  <c r="H147"/>
  <c r="J147"/>
  <c r="A148"/>
  <c r="C148"/>
  <c r="D148"/>
  <c r="E148"/>
  <c r="F148"/>
  <c r="G148"/>
  <c r="H148"/>
  <c r="I148"/>
  <c r="J148"/>
  <c r="K148"/>
  <c r="A149"/>
  <c r="C149"/>
  <c r="D149"/>
  <c r="E149"/>
  <c r="F149"/>
  <c r="G149"/>
  <c r="H149"/>
  <c r="I149"/>
  <c r="J149"/>
  <c r="A150"/>
  <c r="C150"/>
  <c r="D150"/>
  <c r="E150"/>
  <c r="F150"/>
  <c r="G150"/>
  <c r="H150"/>
  <c r="I150"/>
  <c r="J150"/>
  <c r="A151"/>
  <c r="C151"/>
  <c r="D151"/>
  <c r="E151"/>
  <c r="F151"/>
  <c r="G151"/>
  <c r="H151"/>
  <c r="I151"/>
  <c r="J151"/>
  <c r="K151"/>
  <c r="A152"/>
  <c r="C152"/>
  <c r="D152"/>
  <c r="E152"/>
  <c r="F152"/>
  <c r="G152"/>
  <c r="H152"/>
  <c r="I152"/>
  <c r="J152"/>
  <c r="K152"/>
  <c r="A153"/>
  <c r="C153"/>
  <c r="D153"/>
  <c r="E153"/>
  <c r="F153"/>
  <c r="G153"/>
  <c r="H153"/>
  <c r="I153"/>
  <c r="J153"/>
  <c r="K153"/>
  <c r="A154"/>
  <c r="C154"/>
  <c r="D154"/>
  <c r="E154"/>
  <c r="F154"/>
  <c r="G154"/>
  <c r="H154"/>
  <c r="I154"/>
  <c r="J154"/>
  <c r="K154"/>
  <c r="D157"/>
  <c r="A159"/>
  <c r="B159"/>
  <c r="F159"/>
  <c r="G159"/>
  <c r="H159"/>
  <c r="J159"/>
  <c r="A160"/>
  <c r="C160"/>
  <c r="D160"/>
  <c r="E160"/>
  <c r="F160"/>
  <c r="G160"/>
  <c r="H160"/>
  <c r="I160"/>
  <c r="J160"/>
  <c r="K160"/>
  <c r="A161"/>
  <c r="C161"/>
  <c r="D161"/>
  <c r="E161"/>
  <c r="F161"/>
  <c r="G161"/>
  <c r="H161"/>
  <c r="I161"/>
  <c r="J161"/>
  <c r="A162"/>
  <c r="C162"/>
  <c r="D162"/>
  <c r="E162"/>
  <c r="F162"/>
  <c r="G162"/>
  <c r="H162"/>
  <c r="I162"/>
  <c r="J162"/>
  <c r="A163"/>
  <c r="C163"/>
  <c r="D163"/>
  <c r="E163"/>
  <c r="F163"/>
  <c r="G163"/>
  <c r="H163"/>
  <c r="I163"/>
  <c r="J163"/>
  <c r="K163"/>
  <c r="A164"/>
  <c r="C164"/>
  <c r="D164"/>
  <c r="E164"/>
  <c r="F164"/>
  <c r="G164"/>
  <c r="H164"/>
  <c r="I164"/>
  <c r="J164"/>
  <c r="K164"/>
  <c r="A165"/>
  <c r="C165"/>
  <c r="D165"/>
  <c r="E165"/>
  <c r="F165"/>
  <c r="G165"/>
  <c r="H165"/>
  <c r="I165"/>
  <c r="J165"/>
  <c r="K165"/>
  <c r="A166"/>
  <c r="C166"/>
  <c r="D166"/>
  <c r="E166"/>
  <c r="F166"/>
  <c r="G166"/>
  <c r="H166"/>
  <c r="I166"/>
  <c r="J166"/>
  <c r="K166"/>
  <c r="D170"/>
  <c r="A172"/>
  <c r="B172"/>
  <c r="F172"/>
  <c r="G172"/>
  <c r="H172"/>
  <c r="J172"/>
  <c r="A173"/>
  <c r="C173"/>
  <c r="D173"/>
  <c r="E173"/>
  <c r="F173"/>
  <c r="G173"/>
  <c r="H173"/>
  <c r="I173"/>
  <c r="J173"/>
  <c r="K173"/>
  <c r="A174"/>
  <c r="C174"/>
  <c r="D174"/>
  <c r="E174"/>
  <c r="F174"/>
  <c r="G174"/>
  <c r="H174"/>
  <c r="I174"/>
  <c r="J174"/>
  <c r="A175"/>
  <c r="C175"/>
  <c r="D175"/>
  <c r="E175"/>
  <c r="F175"/>
  <c r="G175"/>
  <c r="H175"/>
  <c r="I175"/>
  <c r="J175"/>
  <c r="A176"/>
  <c r="C176"/>
  <c r="D176"/>
  <c r="E176"/>
  <c r="F176"/>
  <c r="G176"/>
  <c r="H176"/>
  <c r="I176"/>
  <c r="J176"/>
  <c r="K176"/>
  <c r="A177"/>
  <c r="C177"/>
  <c r="D177"/>
  <c r="E177"/>
  <c r="F177"/>
  <c r="G177"/>
  <c r="H177"/>
  <c r="I177"/>
  <c r="J177"/>
  <c r="K177"/>
  <c r="A178"/>
  <c r="C178"/>
  <c r="D178"/>
  <c r="E178"/>
  <c r="F178"/>
  <c r="G178"/>
  <c r="H178"/>
  <c r="I178"/>
  <c r="J178"/>
  <c r="K178"/>
  <c r="A179"/>
  <c r="C179"/>
  <c r="D179"/>
  <c r="E179"/>
  <c r="F179"/>
  <c r="G179"/>
  <c r="H179"/>
  <c r="I179"/>
  <c r="J179"/>
  <c r="K179"/>
  <c r="D182"/>
  <c r="A184"/>
  <c r="B184"/>
  <c r="F184"/>
  <c r="G184"/>
  <c r="H184"/>
  <c r="J184"/>
  <c r="A185"/>
  <c r="C185"/>
  <c r="D185"/>
  <c r="E185"/>
  <c r="F185"/>
  <c r="G185"/>
  <c r="H185"/>
  <c r="I185"/>
  <c r="J185"/>
  <c r="K185"/>
  <c r="A186"/>
  <c r="C186"/>
  <c r="D186"/>
  <c r="E186"/>
  <c r="F186"/>
  <c r="G186"/>
  <c r="H186"/>
  <c r="I186"/>
  <c r="J186"/>
  <c r="A187"/>
  <c r="C187"/>
  <c r="D187"/>
  <c r="E187"/>
  <c r="F187"/>
  <c r="G187"/>
  <c r="H187"/>
  <c r="I187"/>
  <c r="J187"/>
  <c r="A188"/>
  <c r="C188"/>
  <c r="D188"/>
  <c r="E188"/>
  <c r="F188"/>
  <c r="G188"/>
  <c r="H188"/>
  <c r="I188"/>
  <c r="J188"/>
  <c r="K188"/>
  <c r="A189"/>
  <c r="C189"/>
  <c r="D189"/>
  <c r="E189"/>
  <c r="F189"/>
  <c r="G189"/>
  <c r="H189"/>
  <c r="I189"/>
  <c r="J189"/>
  <c r="K189"/>
  <c r="A190"/>
  <c r="C190"/>
  <c r="D190"/>
  <c r="E190"/>
  <c r="F190"/>
  <c r="G190"/>
  <c r="H190"/>
  <c r="I190"/>
  <c r="J190"/>
  <c r="K190"/>
  <c r="A191"/>
  <c r="C191"/>
  <c r="D191"/>
  <c r="E191"/>
  <c r="F191"/>
  <c r="G191"/>
  <c r="H191"/>
  <c r="I191"/>
  <c r="J191"/>
  <c r="K191"/>
  <c r="K2" i="26"/>
  <c r="B3" s="1"/>
  <c r="B4"/>
  <c r="C4"/>
  <c r="D4"/>
  <c r="E4"/>
  <c r="F4"/>
  <c r="G4"/>
  <c r="H4"/>
  <c r="I4"/>
  <c r="J4"/>
  <c r="B6"/>
  <c r="G74" i="27" s="1"/>
  <c r="C6" i="26"/>
  <c r="C13" s="1"/>
  <c r="D6"/>
  <c r="E6"/>
  <c r="E13" s="1"/>
  <c r="F6"/>
  <c r="G6"/>
  <c r="G13" s="1"/>
  <c r="H6"/>
  <c r="I6"/>
  <c r="I13" s="1"/>
  <c r="I17" s="1"/>
  <c r="J6"/>
  <c r="B7"/>
  <c r="B13" s="1"/>
  <c r="B14" s="1"/>
  <c r="C7"/>
  <c r="D7"/>
  <c r="E7"/>
  <c r="F7"/>
  <c r="G7"/>
  <c r="H7"/>
  <c r="I7"/>
  <c r="J7"/>
  <c r="B8"/>
  <c r="C8"/>
  <c r="D8"/>
  <c r="E8"/>
  <c r="F8"/>
  <c r="G8"/>
  <c r="H8"/>
  <c r="I8"/>
  <c r="J8"/>
  <c r="B9"/>
  <c r="D9"/>
  <c r="F9"/>
  <c r="H9"/>
  <c r="J9"/>
  <c r="B10"/>
  <c r="C10"/>
  <c r="C19" s="1"/>
  <c r="C20" s="1"/>
  <c r="B11"/>
  <c r="C11"/>
  <c r="B12"/>
  <c r="C12"/>
  <c r="D13"/>
  <c r="D17" s="1"/>
  <c r="F13"/>
  <c r="F17" s="1"/>
  <c r="H13"/>
  <c r="H17" s="1"/>
  <c r="J13"/>
  <c r="J14" s="1"/>
  <c r="J15" s="1"/>
  <c r="J16" s="1"/>
  <c r="B19"/>
  <c r="B20" s="1"/>
  <c r="E22"/>
  <c r="B24"/>
  <c r="L30" s="1"/>
  <c r="B55" s="1"/>
  <c r="C81" i="27" s="1"/>
  <c r="J50" s="1"/>
  <c r="D24" i="26"/>
  <c r="D43" s="1"/>
  <c r="F24"/>
  <c r="T30" s="1"/>
  <c r="H24"/>
  <c r="J24"/>
  <c r="AA37" s="1"/>
  <c r="AB30"/>
  <c r="J30" s="1"/>
  <c r="AA33"/>
  <c r="S37"/>
  <c r="B38"/>
  <c r="C38"/>
  <c r="D38"/>
  <c r="E38"/>
  <c r="F38"/>
  <c r="G38"/>
  <c r="H38"/>
  <c r="I38"/>
  <c r="J38"/>
  <c r="S38"/>
  <c r="B39"/>
  <c r="C39"/>
  <c r="D39"/>
  <c r="E39"/>
  <c r="F39"/>
  <c r="G39"/>
  <c r="H39"/>
  <c r="I39"/>
  <c r="J39"/>
  <c r="S39"/>
  <c r="B42"/>
  <c r="C42"/>
  <c r="D42"/>
  <c r="E42"/>
  <c r="F42"/>
  <c r="G42"/>
  <c r="H42"/>
  <c r="I42"/>
  <c r="J42"/>
  <c r="H43"/>
  <c r="B63"/>
  <c r="C63"/>
  <c r="D63"/>
  <c r="E63"/>
  <c r="F63"/>
  <c r="G63"/>
  <c r="H63"/>
  <c r="I63"/>
  <c r="J63"/>
  <c r="Q7" i="25"/>
  <c r="Q21"/>
  <c r="Q22"/>
  <c r="Q28"/>
  <c r="AA35" i="26" l="1"/>
  <c r="M1" i="25"/>
  <c r="AD22" i="29"/>
  <c r="X84" s="1"/>
  <c r="Y23"/>
  <c r="F30" i="26"/>
  <c r="T41"/>
  <c r="F55"/>
  <c r="J55"/>
  <c r="J43"/>
  <c r="F43"/>
  <c r="B43"/>
  <c r="K79" i="27" s="1"/>
  <c r="AB41" i="26"/>
  <c r="AA39"/>
  <c r="K39"/>
  <c r="AA38"/>
  <c r="K38"/>
  <c r="K37"/>
  <c r="S35"/>
  <c r="S33"/>
  <c r="K33"/>
  <c r="K35"/>
  <c r="K38" i="27"/>
  <c r="J35" i="30"/>
  <c r="J36" s="1"/>
  <c r="J37" s="1"/>
  <c r="V72" i="29"/>
  <c r="N8"/>
  <c r="U7"/>
  <c r="J38" i="30"/>
  <c r="J39" s="1"/>
  <c r="J40" s="1"/>
  <c r="J41" s="1"/>
  <c r="J42" s="1"/>
  <c r="J43" s="1"/>
  <c r="J44" s="1"/>
  <c r="J45" s="1"/>
  <c r="J46" s="1"/>
  <c r="J47" s="1"/>
  <c r="G7" i="29"/>
  <c r="H7" s="1"/>
  <c r="F8"/>
  <c r="L7"/>
  <c r="M7" s="1"/>
  <c r="K8"/>
  <c r="Z74"/>
  <c r="U74"/>
  <c r="Z73"/>
  <c r="U73"/>
  <c r="Q75"/>
  <c r="C76" i="27"/>
  <c r="C77" s="1"/>
  <c r="B30" i="26"/>
  <c r="C78" i="27" s="1"/>
  <c r="L41" i="26"/>
  <c r="W31"/>
  <c r="W32"/>
  <c r="W33"/>
  <c r="W34"/>
  <c r="W35"/>
  <c r="W36"/>
  <c r="O31"/>
  <c r="O32"/>
  <c r="O33"/>
  <c r="O34"/>
  <c r="O35"/>
  <c r="O36"/>
  <c r="I9"/>
  <c r="I24"/>
  <c r="G9"/>
  <c r="G24"/>
  <c r="E9"/>
  <c r="E24"/>
  <c r="C9"/>
  <c r="C24"/>
  <c r="M33" s="1"/>
  <c r="AB54"/>
  <c r="T54"/>
  <c r="J45"/>
  <c r="F45"/>
  <c r="B45"/>
  <c r="C80" i="27" s="1"/>
  <c r="W39" i="26"/>
  <c r="O39"/>
  <c r="W38"/>
  <c r="O38"/>
  <c r="W37"/>
  <c r="O37"/>
  <c r="X30"/>
  <c r="P30"/>
  <c r="AA31"/>
  <c r="AB31" s="1"/>
  <c r="AA32"/>
  <c r="AA34"/>
  <c r="AA36"/>
  <c r="S31"/>
  <c r="T31" s="1"/>
  <c r="S32"/>
  <c r="S34"/>
  <c r="S36"/>
  <c r="K31"/>
  <c r="L31" s="1"/>
  <c r="K32"/>
  <c r="K34"/>
  <c r="K36"/>
  <c r="J17"/>
  <c r="J18" s="1"/>
  <c r="J21" s="1"/>
  <c r="D75" i="27"/>
  <c r="C75"/>
  <c r="G75"/>
  <c r="E75"/>
  <c r="I75"/>
  <c r="J75"/>
  <c r="H75"/>
  <c r="F75"/>
  <c r="C14" i="26"/>
  <c r="C15" s="1"/>
  <c r="C16" s="1"/>
  <c r="E14"/>
  <c r="E15" s="1"/>
  <c r="E16" s="1"/>
  <c r="G14"/>
  <c r="G15" s="1"/>
  <c r="G16" s="1"/>
  <c r="I14"/>
  <c r="I15" s="1"/>
  <c r="I16" s="1"/>
  <c r="I18" s="1"/>
  <c r="I21" s="1"/>
  <c r="D14"/>
  <c r="D15" s="1"/>
  <c r="D16" s="1"/>
  <c r="D18" s="1"/>
  <c r="D21" s="1"/>
  <c r="H14"/>
  <c r="H15" s="1"/>
  <c r="H16" s="1"/>
  <c r="H18" s="1"/>
  <c r="H21" s="1"/>
  <c r="G17"/>
  <c r="E17"/>
  <c r="C17"/>
  <c r="F14"/>
  <c r="F15" s="1"/>
  <c r="F16" s="1"/>
  <c r="F18" s="1"/>
  <c r="F21" s="1"/>
  <c r="Y31"/>
  <c r="Y33"/>
  <c r="Y35"/>
  <c r="U31"/>
  <c r="U33"/>
  <c r="U35"/>
  <c r="Q31"/>
  <c r="Q33"/>
  <c r="Q35"/>
  <c r="M31"/>
  <c r="B15"/>
  <c r="B16" s="1"/>
  <c r="B17"/>
  <c r="J85" i="8"/>
  <c r="F81"/>
  <c r="C9"/>
  <c r="AD23" i="29" l="1"/>
  <c r="X85" s="1"/>
  <c r="Y24"/>
  <c r="V73"/>
  <c r="U8"/>
  <c r="V74" s="1"/>
  <c r="N9"/>
  <c r="Z75"/>
  <c r="U75"/>
  <c r="Q76"/>
  <c r="L8"/>
  <c r="M8" s="1"/>
  <c r="K9"/>
  <c r="G8"/>
  <c r="H8" s="1"/>
  <c r="F9"/>
  <c r="M35" i="26"/>
  <c r="C18"/>
  <c r="C21" s="1"/>
  <c r="D76" i="27"/>
  <c r="D77" s="1"/>
  <c r="B56" i="26"/>
  <c r="D81" i="27" s="1"/>
  <c r="L42" i="26"/>
  <c r="L55" s="1"/>
  <c r="D79" i="27" s="1"/>
  <c r="B46" i="26"/>
  <c r="D80" i="27" s="1"/>
  <c r="B31" i="26"/>
  <c r="D78" i="27" s="1"/>
  <c r="L32" i="26"/>
  <c r="E76" i="27" s="1"/>
  <c r="E77" s="1"/>
  <c r="F46" i="26"/>
  <c r="T42"/>
  <c r="F56"/>
  <c r="T32"/>
  <c r="F31"/>
  <c r="AB42"/>
  <c r="J46"/>
  <c r="J56"/>
  <c r="J31"/>
  <c r="AB32"/>
  <c r="E18"/>
  <c r="E21" s="1"/>
  <c r="D45"/>
  <c r="D30"/>
  <c r="P31"/>
  <c r="P41"/>
  <c r="P54" s="1"/>
  <c r="D55"/>
  <c r="N30"/>
  <c r="M37"/>
  <c r="M38"/>
  <c r="M39"/>
  <c r="M34"/>
  <c r="C43"/>
  <c r="M32"/>
  <c r="M36"/>
  <c r="R30"/>
  <c r="Q37"/>
  <c r="Q38"/>
  <c r="Q39"/>
  <c r="Q32"/>
  <c r="Q36"/>
  <c r="E43"/>
  <c r="Q34"/>
  <c r="V30"/>
  <c r="V31" s="1"/>
  <c r="U37"/>
  <c r="U38"/>
  <c r="U39"/>
  <c r="U34"/>
  <c r="G43"/>
  <c r="U32"/>
  <c r="U36"/>
  <c r="Z30"/>
  <c r="Z31" s="1"/>
  <c r="Y37"/>
  <c r="Y38"/>
  <c r="Y39"/>
  <c r="Y32"/>
  <c r="Y36"/>
  <c r="I43"/>
  <c r="Y34"/>
  <c r="M42"/>
  <c r="M55" s="1"/>
  <c r="L54"/>
  <c r="C79" i="27" s="1"/>
  <c r="N31" i="26"/>
  <c r="N32" s="1"/>
  <c r="G18"/>
  <c r="G21" s="1"/>
  <c r="H30"/>
  <c r="H45"/>
  <c r="X31"/>
  <c r="X41"/>
  <c r="X54" s="1"/>
  <c r="H55"/>
  <c r="F32"/>
  <c r="T33"/>
  <c r="T43"/>
  <c r="F47"/>
  <c r="F57"/>
  <c r="B18"/>
  <c r="B21" s="1"/>
  <c r="B32"/>
  <c r="E78" i="27" s="1"/>
  <c r="L43" i="26"/>
  <c r="B57"/>
  <c r="E81" i="27" s="1"/>
  <c r="J32" i="26"/>
  <c r="AB33"/>
  <c r="AB43"/>
  <c r="J47"/>
  <c r="J57"/>
  <c r="AD24" i="29" l="1"/>
  <c r="X86" s="1"/>
  <c r="Y25"/>
  <c r="B47" i="26"/>
  <c r="E80" i="27" s="1"/>
  <c r="L33" i="26"/>
  <c r="F76" i="27" s="1"/>
  <c r="F77" s="1"/>
  <c r="N10" i="29"/>
  <c r="U9"/>
  <c r="V75" s="1"/>
  <c r="G9"/>
  <c r="H9" s="1"/>
  <c r="F10"/>
  <c r="K10"/>
  <c r="L9"/>
  <c r="M9" s="1"/>
  <c r="Z76"/>
  <c r="U76"/>
  <c r="Q77"/>
  <c r="N42" i="26"/>
  <c r="C56"/>
  <c r="C31"/>
  <c r="Z32"/>
  <c r="I46"/>
  <c r="I31"/>
  <c r="Z42"/>
  <c r="Z55" s="1"/>
  <c r="I56"/>
  <c r="V32"/>
  <c r="G47" s="1"/>
  <c r="G46"/>
  <c r="G31"/>
  <c r="V42"/>
  <c r="G56"/>
  <c r="B22"/>
  <c r="B23" s="1"/>
  <c r="F67" i="27" s="1"/>
  <c r="C46" i="26"/>
  <c r="H56"/>
  <c r="X42"/>
  <c r="H31"/>
  <c r="X32"/>
  <c r="H46"/>
  <c r="P42"/>
  <c r="P55" s="1"/>
  <c r="D31"/>
  <c r="D56"/>
  <c r="P32"/>
  <c r="D46"/>
  <c r="AB55"/>
  <c r="AC42"/>
  <c r="AC55" s="1"/>
  <c r="T55"/>
  <c r="U42"/>
  <c r="U55" s="1"/>
  <c r="I30"/>
  <c r="Z41"/>
  <c r="Z54" s="1"/>
  <c r="I55"/>
  <c r="I45"/>
  <c r="G30"/>
  <c r="V41"/>
  <c r="V54" s="1"/>
  <c r="G55"/>
  <c r="G45"/>
  <c r="E30"/>
  <c r="R41"/>
  <c r="R54" s="1"/>
  <c r="E55"/>
  <c r="E45"/>
  <c r="C30"/>
  <c r="N41"/>
  <c r="N54" s="1"/>
  <c r="C55"/>
  <c r="C45"/>
  <c r="R31"/>
  <c r="AB34"/>
  <c r="J33"/>
  <c r="J48"/>
  <c r="J58"/>
  <c r="AB44"/>
  <c r="AB57" s="1"/>
  <c r="L56"/>
  <c r="E79" i="27" s="1"/>
  <c r="M43" i="26"/>
  <c r="AA42"/>
  <c r="T34"/>
  <c r="F33"/>
  <c r="F48"/>
  <c r="F58"/>
  <c r="T44"/>
  <c r="T57" s="1"/>
  <c r="W42"/>
  <c r="V55"/>
  <c r="C47"/>
  <c r="C57"/>
  <c r="C32"/>
  <c r="N33"/>
  <c r="N43"/>
  <c r="N56" s="1"/>
  <c r="AB56"/>
  <c r="AC43"/>
  <c r="L34"/>
  <c r="G76" i="27" s="1"/>
  <c r="G77" s="1"/>
  <c r="B48" i="26"/>
  <c r="F80" i="27" s="1"/>
  <c r="L44" i="26"/>
  <c r="L57" s="1"/>
  <c r="F79" i="27" s="1"/>
  <c r="I32" i="26"/>
  <c r="Z33"/>
  <c r="I47"/>
  <c r="I57"/>
  <c r="Z43"/>
  <c r="Z56" s="1"/>
  <c r="T56"/>
  <c r="U43"/>
  <c r="G32"/>
  <c r="V33"/>
  <c r="N55"/>
  <c r="AD25" i="29" l="1"/>
  <c r="X87" s="1"/>
  <c r="Y26"/>
  <c r="Q42" i="26"/>
  <c r="Q55" s="1"/>
  <c r="B58"/>
  <c r="F81" i="27" s="1"/>
  <c r="B33" i="26"/>
  <c r="F78" i="27" s="1"/>
  <c r="N11" i="29"/>
  <c r="U10"/>
  <c r="V76" s="1"/>
  <c r="Z77"/>
  <c r="Q78"/>
  <c r="U77"/>
  <c r="G10"/>
  <c r="H10" s="1"/>
  <c r="F11"/>
  <c r="K11"/>
  <c r="L10"/>
  <c r="M10" s="1"/>
  <c r="O42" i="26"/>
  <c r="E31"/>
  <c r="R42"/>
  <c r="E56"/>
  <c r="R32"/>
  <c r="E46"/>
  <c r="P43"/>
  <c r="P56" s="1"/>
  <c r="D47"/>
  <c r="D32"/>
  <c r="P33"/>
  <c r="D57"/>
  <c r="V43"/>
  <c r="V56" s="1"/>
  <c r="G57"/>
  <c r="H32"/>
  <c r="X33"/>
  <c r="H57"/>
  <c r="X43"/>
  <c r="X56" s="1"/>
  <c r="H47"/>
  <c r="Y42"/>
  <c r="X55"/>
  <c r="O43"/>
  <c r="O55"/>
  <c r="G33"/>
  <c r="V34"/>
  <c r="V44"/>
  <c r="V57" s="1"/>
  <c r="G48"/>
  <c r="G58"/>
  <c r="B34"/>
  <c r="G78" i="27" s="1"/>
  <c r="L35" i="26"/>
  <c r="H76" i="27" s="1"/>
  <c r="H77" s="1"/>
  <c r="L45" i="26"/>
  <c r="L58" s="1"/>
  <c r="G79" i="27" s="1"/>
  <c r="B49" i="26"/>
  <c r="G80" i="27" s="1"/>
  <c r="B59" i="26"/>
  <c r="G81" i="27" s="1"/>
  <c r="AC44" i="26"/>
  <c r="AC56"/>
  <c r="W55"/>
  <c r="F34"/>
  <c r="T35"/>
  <c r="T45"/>
  <c r="T58" s="1"/>
  <c r="F49"/>
  <c r="F59"/>
  <c r="AA43"/>
  <c r="AA55"/>
  <c r="M44"/>
  <c r="M56"/>
  <c r="U44"/>
  <c r="U56"/>
  <c r="I33"/>
  <c r="Z34"/>
  <c r="Z44"/>
  <c r="Z57" s="1"/>
  <c r="I48"/>
  <c r="I58"/>
  <c r="C33"/>
  <c r="N34"/>
  <c r="N44"/>
  <c r="N57" s="1"/>
  <c r="C48"/>
  <c r="C58"/>
  <c r="J34"/>
  <c r="AB35"/>
  <c r="AB45"/>
  <c r="AB58" s="1"/>
  <c r="J49"/>
  <c r="J59"/>
  <c r="AD26" i="29" l="1"/>
  <c r="X88" s="1"/>
  <c r="Y27"/>
  <c r="N12"/>
  <c r="U11"/>
  <c r="V77" s="1"/>
  <c r="L11"/>
  <c r="M11" s="1"/>
  <c r="K12"/>
  <c r="F12"/>
  <c r="G11"/>
  <c r="H11" s="1"/>
  <c r="Z78"/>
  <c r="U78"/>
  <c r="V78" s="1"/>
  <c r="Q79"/>
  <c r="P34" i="26"/>
  <c r="D33"/>
  <c r="P44"/>
  <c r="P57" s="1"/>
  <c r="D48"/>
  <c r="D58"/>
  <c r="W43"/>
  <c r="W56" s="1"/>
  <c r="Y43"/>
  <c r="Y55"/>
  <c r="H48"/>
  <c r="H33"/>
  <c r="X34"/>
  <c r="H58"/>
  <c r="X44"/>
  <c r="X57" s="1"/>
  <c r="R33"/>
  <c r="E57"/>
  <c r="E32"/>
  <c r="E47"/>
  <c r="R43"/>
  <c r="R56" s="1"/>
  <c r="R55"/>
  <c r="S42"/>
  <c r="Q43"/>
  <c r="J35"/>
  <c r="J50"/>
  <c r="J60"/>
  <c r="AB36"/>
  <c r="AB46"/>
  <c r="AB59" s="1"/>
  <c r="I34"/>
  <c r="Z35"/>
  <c r="Z45"/>
  <c r="Z58" s="1"/>
  <c r="I49"/>
  <c r="I59"/>
  <c r="M45"/>
  <c r="M57"/>
  <c r="AA44"/>
  <c r="AA56"/>
  <c r="F35"/>
  <c r="F50"/>
  <c r="F60"/>
  <c r="T36"/>
  <c r="T46"/>
  <c r="T59" s="1"/>
  <c r="V45"/>
  <c r="V58" s="1"/>
  <c r="G49"/>
  <c r="G34"/>
  <c r="G59"/>
  <c r="V35"/>
  <c r="N45"/>
  <c r="N58" s="1"/>
  <c r="C49"/>
  <c r="C59"/>
  <c r="C34"/>
  <c r="N35"/>
  <c r="U45"/>
  <c r="U57"/>
  <c r="W44"/>
  <c r="AC45"/>
  <c r="AC57"/>
  <c r="B35"/>
  <c r="H78" i="27" s="1"/>
  <c r="B50" i="26"/>
  <c r="H80" i="27" s="1"/>
  <c r="B60" i="26"/>
  <c r="H81" i="27" s="1"/>
  <c r="L36" i="26"/>
  <c r="I76" i="27" s="1"/>
  <c r="I77" s="1"/>
  <c r="L46" i="26"/>
  <c r="L59" s="1"/>
  <c r="H79" i="27" s="1"/>
  <c r="O44" i="26"/>
  <c r="O56"/>
  <c r="I49" i="21"/>
  <c r="I50"/>
  <c r="I51"/>
  <c r="I52"/>
  <c r="I53"/>
  <c r="I54"/>
  <c r="I53" i="20"/>
  <c r="I54"/>
  <c r="I55"/>
  <c r="I56"/>
  <c r="I57"/>
  <c r="I58"/>
  <c r="J48" i="19"/>
  <c r="J49"/>
  <c r="J50"/>
  <c r="J51"/>
  <c r="J52"/>
  <c r="J53"/>
  <c r="Y28" i="29" l="1"/>
  <c r="AD28" s="1"/>
  <c r="X90" s="1"/>
  <c r="AD27"/>
  <c r="X89" s="1"/>
  <c r="U12"/>
  <c r="N13"/>
  <c r="L12"/>
  <c r="M12" s="1"/>
  <c r="K13"/>
  <c r="Z79"/>
  <c r="U79"/>
  <c r="V79" s="1"/>
  <c r="Q80"/>
  <c r="G12"/>
  <c r="H12" s="1"/>
  <c r="F13"/>
  <c r="S55" i="26"/>
  <c r="S43"/>
  <c r="R34"/>
  <c r="E48"/>
  <c r="E33"/>
  <c r="R44"/>
  <c r="R57" s="1"/>
  <c r="E58"/>
  <c r="Q56"/>
  <c r="Q44"/>
  <c r="H34"/>
  <c r="H49"/>
  <c r="H59"/>
  <c r="X45"/>
  <c r="X58" s="1"/>
  <c r="X35"/>
  <c r="Y56"/>
  <c r="Y44"/>
  <c r="P45"/>
  <c r="P58" s="1"/>
  <c r="P35"/>
  <c r="D34"/>
  <c r="D49"/>
  <c r="D59"/>
  <c r="AC46"/>
  <c r="AC58"/>
  <c r="W45"/>
  <c r="W57"/>
  <c r="C35"/>
  <c r="N46"/>
  <c r="N59" s="1"/>
  <c r="N36"/>
  <c r="C50"/>
  <c r="C60"/>
  <c r="AA45"/>
  <c r="AA57"/>
  <c r="M46"/>
  <c r="M58"/>
  <c r="I35"/>
  <c r="Z46"/>
  <c r="Z59" s="1"/>
  <c r="I50"/>
  <c r="Z36"/>
  <c r="I60"/>
  <c r="AB37"/>
  <c r="AB47"/>
  <c r="AB60" s="1"/>
  <c r="J36"/>
  <c r="J51"/>
  <c r="J61"/>
  <c r="O45"/>
  <c r="O57"/>
  <c r="L37"/>
  <c r="J76" i="27" s="1"/>
  <c r="J77" s="1"/>
  <c r="L47" i="26"/>
  <c r="L60" s="1"/>
  <c r="I79" i="27" s="1"/>
  <c r="B36" i="26"/>
  <c r="I78" i="27" s="1"/>
  <c r="B51" i="26"/>
  <c r="I80" i="27" s="1"/>
  <c r="B61" i="26"/>
  <c r="I81" i="27" s="1"/>
  <c r="U46" i="26"/>
  <c r="U58"/>
  <c r="G35"/>
  <c r="V46"/>
  <c r="V59" s="1"/>
  <c r="V36"/>
  <c r="G50"/>
  <c r="G60"/>
  <c r="T37"/>
  <c r="T47"/>
  <c r="T60" s="1"/>
  <c r="F36"/>
  <c r="F51"/>
  <c r="F61"/>
  <c r="I47" i="16"/>
  <c r="I48"/>
  <c r="I49"/>
  <c r="I50"/>
  <c r="I51"/>
  <c r="I52"/>
  <c r="I51" i="7"/>
  <c r="I52"/>
  <c r="I53"/>
  <c r="I54"/>
  <c r="I55"/>
  <c r="I56"/>
  <c r="I52" i="12"/>
  <c r="I53"/>
  <c r="I54"/>
  <c r="I55"/>
  <c r="I56"/>
  <c r="I57"/>
  <c r="J48" i="23"/>
  <c r="J49"/>
  <c r="J50"/>
  <c r="J51"/>
  <c r="J52"/>
  <c r="J53"/>
  <c r="I46" i="22"/>
  <c r="I47"/>
  <c r="I48"/>
  <c r="I49"/>
  <c r="I50"/>
  <c r="I51"/>
  <c r="J58" i="13"/>
  <c r="J59"/>
  <c r="J60"/>
  <c r="J61"/>
  <c r="J62"/>
  <c r="J63"/>
  <c r="J57" i="14"/>
  <c r="J58"/>
  <c r="J59"/>
  <c r="J60"/>
  <c r="J61"/>
  <c r="J62"/>
  <c r="J58" i="18"/>
  <c r="J59"/>
  <c r="J60"/>
  <c r="J61"/>
  <c r="J62"/>
  <c r="J63"/>
  <c r="J56" i="17"/>
  <c r="J57"/>
  <c r="J58"/>
  <c r="J59"/>
  <c r="J60"/>
  <c r="J61"/>
  <c r="I51" i="9"/>
  <c r="I52"/>
  <c r="I53"/>
  <c r="I54"/>
  <c r="I55"/>
  <c r="I56"/>
  <c r="I46" i="15"/>
  <c r="I47"/>
  <c r="I48"/>
  <c r="I49"/>
  <c r="I50"/>
  <c r="I51"/>
  <c r="C63" i="8"/>
  <c r="C64"/>
  <c r="C65"/>
  <c r="C66"/>
  <c r="C67"/>
  <c r="C68"/>
  <c r="J48"/>
  <c r="J49"/>
  <c r="J50"/>
  <c r="J51"/>
  <c r="J52"/>
  <c r="J53"/>
  <c r="J55" i="11"/>
  <c r="J56"/>
  <c r="J57"/>
  <c r="J58"/>
  <c r="J59"/>
  <c r="J60"/>
  <c r="N14" i="29" l="1"/>
  <c r="U13"/>
  <c r="G13"/>
  <c r="H13" s="1"/>
  <c r="F14"/>
  <c r="Z80"/>
  <c r="U80"/>
  <c r="V80" s="1"/>
  <c r="Q81"/>
  <c r="L13"/>
  <c r="M13" s="1"/>
  <c r="K14"/>
  <c r="D50" i="26"/>
  <c r="D60"/>
  <c r="P46"/>
  <c r="P59" s="1"/>
  <c r="D35"/>
  <c r="P36"/>
  <c r="Y45"/>
  <c r="Y57"/>
  <c r="H50"/>
  <c r="H35"/>
  <c r="X46"/>
  <c r="X59" s="1"/>
  <c r="H60"/>
  <c r="X36"/>
  <c r="S56"/>
  <c r="S44"/>
  <c r="Q45"/>
  <c r="Q57"/>
  <c r="E34"/>
  <c r="R45"/>
  <c r="R58" s="1"/>
  <c r="E59"/>
  <c r="R35"/>
  <c r="E49"/>
  <c r="F37"/>
  <c r="F40" s="1"/>
  <c r="T48"/>
  <c r="T61" s="1"/>
  <c r="F52"/>
  <c r="F53" s="1"/>
  <c r="F62"/>
  <c r="F64" s="1"/>
  <c r="T38"/>
  <c r="U47"/>
  <c r="U59"/>
  <c r="B37"/>
  <c r="L48"/>
  <c r="L61" s="1"/>
  <c r="J79" i="27" s="1"/>
  <c r="B52" i="26"/>
  <c r="B62"/>
  <c r="L38"/>
  <c r="O46"/>
  <c r="O58"/>
  <c r="I36"/>
  <c r="Z37"/>
  <c r="Z47"/>
  <c r="Z60" s="1"/>
  <c r="I51"/>
  <c r="I61"/>
  <c r="C36"/>
  <c r="N37"/>
  <c r="N47"/>
  <c r="N60" s="1"/>
  <c r="C51"/>
  <c r="C61"/>
  <c r="W46"/>
  <c r="W58"/>
  <c r="AC47"/>
  <c r="AC59"/>
  <c r="G36"/>
  <c r="V37"/>
  <c r="V47"/>
  <c r="V60" s="1"/>
  <c r="G51"/>
  <c r="G61"/>
  <c r="J37"/>
  <c r="J40" s="1"/>
  <c r="AB48"/>
  <c r="AB61" s="1"/>
  <c r="J52"/>
  <c r="J53" s="1"/>
  <c r="J62"/>
  <c r="J64" s="1"/>
  <c r="AB38"/>
  <c r="M47"/>
  <c r="M59"/>
  <c r="AA46"/>
  <c r="AA58"/>
  <c r="I48" i="21"/>
  <c r="I52" i="20"/>
  <c r="J47" i="19"/>
  <c r="I46" i="16"/>
  <c r="I50" i="7"/>
  <c r="I51" i="12"/>
  <c r="J47" i="23"/>
  <c r="I45" i="22"/>
  <c r="J57" i="13"/>
  <c r="J56" i="14"/>
  <c r="J57" i="18"/>
  <c r="J55" i="17"/>
  <c r="I50" i="9"/>
  <c r="I45" i="15"/>
  <c r="C62" i="8"/>
  <c r="J47"/>
  <c r="J54" i="11"/>
  <c r="J54" i="10"/>
  <c r="J55"/>
  <c r="J56"/>
  <c r="J57"/>
  <c r="J58"/>
  <c r="J59"/>
  <c r="J60"/>
  <c r="U14" i="29" l="1"/>
  <c r="N15"/>
  <c r="K15"/>
  <c r="L14"/>
  <c r="M14" s="1"/>
  <c r="Z81"/>
  <c r="U81"/>
  <c r="V81" s="1"/>
  <c r="Q82"/>
  <c r="G14"/>
  <c r="H14" s="1"/>
  <c r="F15"/>
  <c r="B53" i="26"/>
  <c r="K80" i="27" s="1"/>
  <c r="J45" s="1"/>
  <c r="J80"/>
  <c r="B40" i="26"/>
  <c r="K78" i="27" s="1"/>
  <c r="J78"/>
  <c r="E35" i="26"/>
  <c r="E50"/>
  <c r="E60"/>
  <c r="R46"/>
  <c r="R59" s="1"/>
  <c r="R36"/>
  <c r="S57"/>
  <c r="S45"/>
  <c r="X47"/>
  <c r="X60" s="1"/>
  <c r="H51"/>
  <c r="X37"/>
  <c r="H36"/>
  <c r="H61"/>
  <c r="Y58"/>
  <c r="Y46"/>
  <c r="B64"/>
  <c r="K81" i="27" s="1"/>
  <c r="J81"/>
  <c r="Q58" i="26"/>
  <c r="Q46"/>
  <c r="P37"/>
  <c r="D36"/>
  <c r="D61"/>
  <c r="P47"/>
  <c r="P60" s="1"/>
  <c r="D51"/>
  <c r="AB39"/>
  <c r="AB50" s="1"/>
  <c r="AB63" s="1"/>
  <c r="AB49"/>
  <c r="AB62" s="1"/>
  <c r="G37"/>
  <c r="G40" s="1"/>
  <c r="V38"/>
  <c r="V48"/>
  <c r="V61" s="1"/>
  <c r="G52"/>
  <c r="G53" s="1"/>
  <c r="G62"/>
  <c r="G64" s="1"/>
  <c r="L39"/>
  <c r="L50" s="1"/>
  <c r="L63" s="1"/>
  <c r="L49"/>
  <c r="L62" s="1"/>
  <c r="U48"/>
  <c r="U60"/>
  <c r="T39"/>
  <c r="T50" s="1"/>
  <c r="T63" s="1"/>
  <c r="T49"/>
  <c r="T62" s="1"/>
  <c r="AA47"/>
  <c r="AA59"/>
  <c r="M48"/>
  <c r="M60"/>
  <c r="AC48"/>
  <c r="AC60"/>
  <c r="W47"/>
  <c r="W59"/>
  <c r="C37"/>
  <c r="C40" s="1"/>
  <c r="N38"/>
  <c r="N48"/>
  <c r="N61" s="1"/>
  <c r="C52"/>
  <c r="C53" s="1"/>
  <c r="C62"/>
  <c r="C64" s="1"/>
  <c r="I37"/>
  <c r="I40" s="1"/>
  <c r="Z38"/>
  <c r="Z48"/>
  <c r="Z61" s="1"/>
  <c r="I52"/>
  <c r="I53" s="1"/>
  <c r="I62"/>
  <c r="I64" s="1"/>
  <c r="O47"/>
  <c r="O59"/>
  <c r="H29" i="10"/>
  <c r="H29" i="11"/>
  <c r="N16" i="29" l="1"/>
  <c r="U15"/>
  <c r="L15"/>
  <c r="M15" s="1"/>
  <c r="K16"/>
  <c r="G15"/>
  <c r="H15" s="1"/>
  <c r="F16"/>
  <c r="Z82"/>
  <c r="U82"/>
  <c r="V82" s="1"/>
  <c r="Q83"/>
  <c r="Q59" i="26"/>
  <c r="Q47"/>
  <c r="Y59"/>
  <c r="Y47"/>
  <c r="H37"/>
  <c r="H40" s="1"/>
  <c r="H52"/>
  <c r="H53" s="1"/>
  <c r="X38"/>
  <c r="X48"/>
  <c r="X61" s="1"/>
  <c r="H62"/>
  <c r="H64" s="1"/>
  <c r="D37"/>
  <c r="D40" s="1"/>
  <c r="D52"/>
  <c r="D53" s="1"/>
  <c r="P38"/>
  <c r="P48"/>
  <c r="P61" s="1"/>
  <c r="D62"/>
  <c r="D64" s="1"/>
  <c r="S58"/>
  <c r="S46"/>
  <c r="R37"/>
  <c r="E51"/>
  <c r="E36"/>
  <c r="R47"/>
  <c r="R60" s="1"/>
  <c r="E61"/>
  <c r="O48"/>
  <c r="O60"/>
  <c r="Z39"/>
  <c r="Z50" s="1"/>
  <c r="Z63" s="1"/>
  <c r="Z49"/>
  <c r="Z62" s="1"/>
  <c r="W48"/>
  <c r="W60"/>
  <c r="AC49"/>
  <c r="AC61"/>
  <c r="M49"/>
  <c r="M61"/>
  <c r="AA48"/>
  <c r="AA60"/>
  <c r="U49"/>
  <c r="U61"/>
  <c r="V39"/>
  <c r="V50" s="1"/>
  <c r="V63" s="1"/>
  <c r="V49"/>
  <c r="V62" s="1"/>
  <c r="N39"/>
  <c r="N50" s="1"/>
  <c r="N63" s="1"/>
  <c r="N49"/>
  <c r="N62" s="1"/>
  <c r="C10" i="11"/>
  <c r="L10"/>
  <c r="L8"/>
  <c r="C8" i="10"/>
  <c r="L8"/>
  <c r="L6"/>
  <c r="K42" i="8"/>
  <c r="K40"/>
  <c r="C28"/>
  <c r="L10"/>
  <c r="J10"/>
  <c r="J9"/>
  <c r="A10"/>
  <c r="J6"/>
  <c r="U16" i="29" l="1"/>
  <c r="N17"/>
  <c r="Z83"/>
  <c r="U83"/>
  <c r="V83" s="1"/>
  <c r="Q84"/>
  <c r="G16"/>
  <c r="H16" s="1"/>
  <c r="F17"/>
  <c r="L16"/>
  <c r="M16" s="1"/>
  <c r="K17"/>
  <c r="R38" i="26"/>
  <c r="E52"/>
  <c r="E53" s="1"/>
  <c r="E37"/>
  <c r="E40" s="1"/>
  <c r="R48"/>
  <c r="R61" s="1"/>
  <c r="E62"/>
  <c r="E64" s="1"/>
  <c r="X49"/>
  <c r="X62" s="1"/>
  <c r="X39"/>
  <c r="X50" s="1"/>
  <c r="X63" s="1"/>
  <c r="S59"/>
  <c r="S47"/>
  <c r="P49"/>
  <c r="P62" s="1"/>
  <c r="P39"/>
  <c r="P50" s="1"/>
  <c r="P63" s="1"/>
  <c r="Y60"/>
  <c r="Y48"/>
  <c r="Q60"/>
  <c r="Q48"/>
  <c r="U50"/>
  <c r="U63" s="1"/>
  <c r="U62"/>
  <c r="AA49"/>
  <c r="AA61"/>
  <c r="M50"/>
  <c r="M63" s="1"/>
  <c r="M62"/>
  <c r="AC50"/>
  <c r="AC63" s="1"/>
  <c r="AC62"/>
  <c r="W49"/>
  <c r="W61"/>
  <c r="O49"/>
  <c r="O61"/>
  <c r="F54" i="9"/>
  <c r="F52"/>
  <c r="C27"/>
  <c r="F16"/>
  <c r="J8"/>
  <c r="C9"/>
  <c r="J9"/>
  <c r="A8"/>
  <c r="A7"/>
  <c r="E48" s="1"/>
  <c r="A6"/>
  <c r="J6"/>
  <c r="U17" i="29" l="1"/>
  <c r="N18"/>
  <c r="L17"/>
  <c r="M17" s="1"/>
  <c r="K18"/>
  <c r="G17"/>
  <c r="H17" s="1"/>
  <c r="F18"/>
  <c r="Z84"/>
  <c r="U84"/>
  <c r="V84" s="1"/>
  <c r="Q85"/>
  <c r="Q49" i="26"/>
  <c r="Q61"/>
  <c r="Y49"/>
  <c r="Y61"/>
  <c r="S48"/>
  <c r="S60"/>
  <c r="R39"/>
  <c r="R50" s="1"/>
  <c r="R63" s="1"/>
  <c r="R49"/>
  <c r="R62" s="1"/>
  <c r="O50"/>
  <c r="O63" s="1"/>
  <c r="O62"/>
  <c r="W50"/>
  <c r="W63" s="1"/>
  <c r="W62"/>
  <c r="AA50"/>
  <c r="AA63" s="1"/>
  <c r="AA62"/>
  <c r="E49" i="9"/>
  <c r="E51"/>
  <c r="E50"/>
  <c r="J55" i="15"/>
  <c r="J53"/>
  <c r="I54"/>
  <c r="E56"/>
  <c r="E55"/>
  <c r="E54"/>
  <c r="C27"/>
  <c r="C10"/>
  <c r="J10"/>
  <c r="J9"/>
  <c r="A9"/>
  <c r="A8"/>
  <c r="J7"/>
  <c r="F49" i="16"/>
  <c r="F47"/>
  <c r="O23"/>
  <c r="N19" i="29" l="1"/>
  <c r="U18"/>
  <c r="Z85"/>
  <c r="U85"/>
  <c r="V85" s="1"/>
  <c r="Q86"/>
  <c r="G18"/>
  <c r="H18" s="1"/>
  <c r="F19"/>
  <c r="L18"/>
  <c r="M18" s="1"/>
  <c r="K19"/>
  <c r="S49" i="26"/>
  <c r="S61"/>
  <c r="Y50"/>
  <c r="Y63" s="1"/>
  <c r="Y62"/>
  <c r="Q50"/>
  <c r="Q63" s="1"/>
  <c r="Q62"/>
  <c r="E51" i="15"/>
  <c r="B10" i="16"/>
  <c r="J13"/>
  <c r="I13"/>
  <c r="J12"/>
  <c r="J11"/>
  <c r="J10"/>
  <c r="J9"/>
  <c r="U19" i="29" l="1"/>
  <c r="N20"/>
  <c r="L19"/>
  <c r="M19" s="1"/>
  <c r="K20"/>
  <c r="G19"/>
  <c r="H19" s="1"/>
  <c r="F20"/>
  <c r="Z86"/>
  <c r="U86"/>
  <c r="V86" s="1"/>
  <c r="Q87"/>
  <c r="S62" i="26"/>
  <c r="S50"/>
  <c r="S63" s="1"/>
  <c r="K44" i="19"/>
  <c r="K42"/>
  <c r="C9"/>
  <c r="M9"/>
  <c r="M8"/>
  <c r="M7"/>
  <c r="C11" i="20"/>
  <c r="K12"/>
  <c r="K11"/>
  <c r="K10"/>
  <c r="C11" i="21"/>
  <c r="K10"/>
  <c r="K9"/>
  <c r="K8"/>
  <c r="N21" i="29" l="1"/>
  <c r="U20"/>
  <c r="Z87"/>
  <c r="U87"/>
  <c r="V87" s="1"/>
  <c r="Q88"/>
  <c r="Q89" s="1"/>
  <c r="G20"/>
  <c r="H20" s="1"/>
  <c r="F21"/>
  <c r="L20"/>
  <c r="M20" s="1"/>
  <c r="K21"/>
  <c r="K49" i="18"/>
  <c r="K46"/>
  <c r="C11"/>
  <c r="L8"/>
  <c r="J8"/>
  <c r="L7"/>
  <c r="L5"/>
  <c r="K49" i="17"/>
  <c r="K46"/>
  <c r="C13"/>
  <c r="L10"/>
  <c r="J10"/>
  <c r="L9"/>
  <c r="L7"/>
  <c r="Z89" i="29" l="1"/>
  <c r="U89"/>
  <c r="V89" s="1"/>
  <c r="Q90"/>
  <c r="U21"/>
  <c r="N22"/>
  <c r="K22"/>
  <c r="L21"/>
  <c r="M21" s="1"/>
  <c r="G21"/>
  <c r="H21" s="1"/>
  <c r="F22"/>
  <c r="Z88"/>
  <c r="U88"/>
  <c r="V88" s="1"/>
  <c r="C10" i="23"/>
  <c r="L9"/>
  <c r="L8"/>
  <c r="L7"/>
  <c r="Z90" i="29" l="1"/>
  <c r="U90"/>
  <c r="V90" s="1"/>
  <c r="U22"/>
  <c r="N23"/>
  <c r="K23"/>
  <c r="L22"/>
  <c r="M22" s="1"/>
  <c r="G22"/>
  <c r="H22" s="1"/>
  <c r="F23"/>
  <c r="C10" i="22"/>
  <c r="K11"/>
  <c r="K10"/>
  <c r="K9"/>
  <c r="G37" l="1"/>
  <c r="U23" i="29"/>
  <c r="N24"/>
  <c r="K24"/>
  <c r="L23"/>
  <c r="M23" s="1"/>
  <c r="G23"/>
  <c r="H23" s="1"/>
  <c r="F24"/>
  <c r="K46" i="13"/>
  <c r="K44"/>
  <c r="J11"/>
  <c r="L11"/>
  <c r="L10"/>
  <c r="L9"/>
  <c r="L8"/>
  <c r="C10"/>
  <c r="N25" i="29" l="1"/>
  <c r="U24"/>
  <c r="G24"/>
  <c r="H24" s="1"/>
  <c r="F25"/>
  <c r="L24"/>
  <c r="M24" s="1"/>
  <c r="K25"/>
  <c r="K51" i="14"/>
  <c r="K48"/>
  <c r="C9"/>
  <c r="L10"/>
  <c r="J10"/>
  <c r="L9"/>
  <c r="L8"/>
  <c r="L7"/>
  <c r="U25" i="29" l="1"/>
  <c r="N26"/>
  <c r="L25"/>
  <c r="M25" s="1"/>
  <c r="K26"/>
  <c r="G25"/>
  <c r="H25" s="1"/>
  <c r="F26"/>
  <c r="G52" i="12"/>
  <c r="B10"/>
  <c r="J13"/>
  <c r="I13"/>
  <c r="J12"/>
  <c r="J10"/>
  <c r="J9"/>
  <c r="U26" i="29" l="1"/>
  <c r="N27"/>
  <c r="G26"/>
  <c r="H26" s="1"/>
  <c r="F27"/>
  <c r="K27"/>
  <c r="L26"/>
  <c r="M26" s="1"/>
  <c r="G51" i="7"/>
  <c r="B10"/>
  <c r="J11"/>
  <c r="J10"/>
  <c r="J9"/>
  <c r="U27" i="29" l="1"/>
  <c r="N28"/>
  <c r="G27"/>
  <c r="H27" s="1"/>
  <c r="F28"/>
  <c r="K28"/>
  <c r="L27"/>
  <c r="M27" s="1"/>
  <c r="N29" l="1"/>
  <c r="U28"/>
  <c r="G28"/>
  <c r="H28" s="1"/>
  <c r="F29"/>
  <c r="L28"/>
  <c r="M28" s="1"/>
  <c r="K29"/>
  <c r="K2" i="23"/>
  <c r="C33"/>
  <c r="D34"/>
  <c r="L38"/>
  <c r="D44"/>
  <c r="K2" i="22"/>
  <c r="C28"/>
  <c r="D29"/>
  <c r="D34"/>
  <c r="D40"/>
  <c r="G41"/>
  <c r="K2" i="21"/>
  <c r="D32"/>
  <c r="C28"/>
  <c r="D28"/>
  <c r="D48"/>
  <c r="D50"/>
  <c r="D52"/>
  <c r="K3" i="20"/>
  <c r="C25"/>
  <c r="C41" s="1"/>
  <c r="M2" i="19"/>
  <c r="C25"/>
  <c r="D26"/>
  <c r="F49"/>
  <c r="L2" i="18"/>
  <c r="F59"/>
  <c r="C21"/>
  <c r="D31"/>
  <c r="D32"/>
  <c r="D33"/>
  <c r="D34"/>
  <c r="D35"/>
  <c r="D36"/>
  <c r="D37"/>
  <c r="D38"/>
  <c r="D39"/>
  <c r="D40"/>
  <c r="D41"/>
  <c r="D42"/>
  <c r="D43"/>
  <c r="D44"/>
  <c r="D45"/>
  <c r="D46"/>
  <c r="D47"/>
  <c r="D48"/>
  <c r="D49"/>
  <c r="D50"/>
  <c r="D51"/>
  <c r="D52"/>
  <c r="D53"/>
  <c r="D54"/>
  <c r="D55"/>
  <c r="H59"/>
  <c r="L2" i="17"/>
  <c r="J48"/>
  <c r="C33"/>
  <c r="C35" s="1"/>
  <c r="D33"/>
  <c r="D34"/>
  <c r="D35"/>
  <c r="D36"/>
  <c r="D37"/>
  <c r="D38"/>
  <c r="D39"/>
  <c r="D40"/>
  <c r="D41"/>
  <c r="D42"/>
  <c r="D43"/>
  <c r="D44"/>
  <c r="D45"/>
  <c r="D46"/>
  <c r="D47"/>
  <c r="D48"/>
  <c r="D49"/>
  <c r="D50"/>
  <c r="D51"/>
  <c r="D52"/>
  <c r="F56"/>
  <c r="H56"/>
  <c r="J2" i="16"/>
  <c r="C25"/>
  <c r="B22"/>
  <c r="B25"/>
  <c r="B26" s="1"/>
  <c r="O27"/>
  <c r="O28"/>
  <c r="O29"/>
  <c r="O30" s="1"/>
  <c r="O31" s="1"/>
  <c r="O32" s="1"/>
  <c r="O33" s="1"/>
  <c r="O34" s="1"/>
  <c r="E48"/>
  <c r="E49"/>
  <c r="J3" i="15"/>
  <c r="J5"/>
  <c r="J6"/>
  <c r="C28"/>
  <c r="D34" i="16" l="1"/>
  <c r="O35"/>
  <c r="U29" i="29"/>
  <c r="N30"/>
  <c r="L29"/>
  <c r="M29" s="1"/>
  <c r="K30"/>
  <c r="G29"/>
  <c r="H29" s="1"/>
  <c r="F30"/>
  <c r="D40" i="21"/>
  <c r="C33" i="20"/>
  <c r="F60"/>
  <c r="C49"/>
  <c r="C55" i="23"/>
  <c r="D40"/>
  <c r="C29" i="20"/>
  <c r="C48" i="17"/>
  <c r="C45"/>
  <c r="J51" i="18"/>
  <c r="J41"/>
  <c r="C45" i="20"/>
  <c r="C37"/>
  <c r="D42" i="22"/>
  <c r="G39"/>
  <c r="D38"/>
  <c r="E56" i="23"/>
  <c r="D37"/>
  <c r="C57"/>
  <c r="E54"/>
  <c r="E52"/>
  <c r="E50"/>
  <c r="E48"/>
  <c r="D46"/>
  <c r="D42"/>
  <c r="D38"/>
  <c r="D37" i="19"/>
  <c r="D44" i="21"/>
  <c r="D36"/>
  <c r="C41" i="17"/>
  <c r="J46" i="18"/>
  <c r="I23"/>
  <c r="D44" i="19"/>
  <c r="D32"/>
  <c r="D46" i="21"/>
  <c r="D42"/>
  <c r="D38"/>
  <c r="C47" i="22"/>
  <c r="E41"/>
  <c r="E39"/>
  <c r="E37"/>
  <c r="E36"/>
  <c r="E35"/>
  <c r="D33"/>
  <c r="D32"/>
  <c r="E31"/>
  <c r="E30"/>
  <c r="E29"/>
  <c r="D28"/>
  <c r="D35" i="23"/>
  <c r="F59" i="20"/>
  <c r="C58"/>
  <c r="F57"/>
  <c r="C56"/>
  <c r="F55"/>
  <c r="C54"/>
  <c r="F53"/>
  <c r="C51"/>
  <c r="C47"/>
  <c r="C43"/>
  <c r="C39"/>
  <c r="C35"/>
  <c r="C31"/>
  <c r="C27"/>
  <c r="D54" i="15"/>
  <c r="I53"/>
  <c r="C50"/>
  <c r="C48"/>
  <c r="C46"/>
  <c r="D43"/>
  <c r="C36"/>
  <c r="B33" i="16"/>
  <c r="B31"/>
  <c r="B29"/>
  <c r="B27"/>
  <c r="D60" i="20"/>
  <c r="D59"/>
  <c r="D57"/>
  <c r="D55"/>
  <c r="D53"/>
  <c r="C52"/>
  <c r="C50"/>
  <c r="C48"/>
  <c r="C46"/>
  <c r="C44"/>
  <c r="C42"/>
  <c r="C40"/>
  <c r="C38"/>
  <c r="C36"/>
  <c r="C34"/>
  <c r="C32"/>
  <c r="C30"/>
  <c r="C28"/>
  <c r="C26"/>
  <c r="C31" i="19"/>
  <c r="C43"/>
  <c r="C48" i="16"/>
  <c r="D51" i="15"/>
  <c r="D49"/>
  <c r="D47"/>
  <c r="D45"/>
  <c r="D41"/>
  <c r="C32"/>
  <c r="C29"/>
  <c r="C31" i="18"/>
  <c r="C33" s="1"/>
  <c r="C60" i="20"/>
  <c r="C59"/>
  <c r="F58"/>
  <c r="D58"/>
  <c r="C57"/>
  <c r="F56"/>
  <c r="D56"/>
  <c r="C55"/>
  <c r="F54"/>
  <c r="D54"/>
  <c r="C53"/>
  <c r="D29" i="21"/>
  <c r="D31"/>
  <c r="D33"/>
  <c r="D35"/>
  <c r="F36"/>
  <c r="F37"/>
  <c r="F38"/>
  <c r="F39"/>
  <c r="F40"/>
  <c r="F41"/>
  <c r="F42"/>
  <c r="F43"/>
  <c r="F44"/>
  <c r="F45"/>
  <c r="F46"/>
  <c r="F47"/>
  <c r="F48"/>
  <c r="C49"/>
  <c r="F50"/>
  <c r="C51"/>
  <c r="F52"/>
  <c r="C39" i="23"/>
  <c r="C41"/>
  <c r="D44" i="15"/>
  <c r="D42"/>
  <c r="D40"/>
  <c r="C38"/>
  <c r="C34"/>
  <c r="C30"/>
  <c r="C26" i="16"/>
  <c r="C37" i="17"/>
  <c r="J36" i="18"/>
  <c r="D41" i="19"/>
  <c r="C40"/>
  <c r="D36"/>
  <c r="C35"/>
  <c r="D28"/>
  <c r="D25" i="20"/>
  <c r="F25"/>
  <c r="D26"/>
  <c r="F26"/>
  <c r="D27"/>
  <c r="F27"/>
  <c r="D28"/>
  <c r="F28"/>
  <c r="D29"/>
  <c r="F29"/>
  <c r="D30"/>
  <c r="F30"/>
  <c r="D31"/>
  <c r="F31"/>
  <c r="D32"/>
  <c r="F32"/>
  <c r="D33"/>
  <c r="F33"/>
  <c r="D34"/>
  <c r="F34"/>
  <c r="D35"/>
  <c r="F35"/>
  <c r="D36"/>
  <c r="F36"/>
  <c r="D37"/>
  <c r="F37"/>
  <c r="D38"/>
  <c r="F38"/>
  <c r="D39"/>
  <c r="F39"/>
  <c r="D40"/>
  <c r="F40"/>
  <c r="D41"/>
  <c r="F41"/>
  <c r="D42"/>
  <c r="F42"/>
  <c r="D43"/>
  <c r="F43"/>
  <c r="D44"/>
  <c r="F44"/>
  <c r="D45"/>
  <c r="F45"/>
  <c r="D46"/>
  <c r="F46"/>
  <c r="D47"/>
  <c r="F47"/>
  <c r="D48"/>
  <c r="F48"/>
  <c r="D49"/>
  <c r="F49"/>
  <c r="D50"/>
  <c r="F50"/>
  <c r="D51"/>
  <c r="F51"/>
  <c r="D52"/>
  <c r="F52"/>
  <c r="D47" i="21"/>
  <c r="D45"/>
  <c r="D43"/>
  <c r="D41"/>
  <c r="D39"/>
  <c r="D37"/>
  <c r="D34"/>
  <c r="D30"/>
  <c r="G31" i="22"/>
  <c r="F32"/>
  <c r="J8" i="15"/>
  <c r="D27"/>
  <c r="D28"/>
  <c r="D29"/>
  <c r="D30"/>
  <c r="D31"/>
  <c r="D32"/>
  <c r="D33"/>
  <c r="D34"/>
  <c r="D35"/>
  <c r="D36"/>
  <c r="D37"/>
  <c r="D38"/>
  <c r="D39"/>
  <c r="D56"/>
  <c r="D55"/>
  <c r="C51"/>
  <c r="D50"/>
  <c r="C49"/>
  <c r="D48"/>
  <c r="C47"/>
  <c r="D46"/>
  <c r="C45"/>
  <c r="C44"/>
  <c r="C43"/>
  <c r="C42"/>
  <c r="C41"/>
  <c r="C40"/>
  <c r="C39"/>
  <c r="C37"/>
  <c r="C35"/>
  <c r="C33"/>
  <c r="C31"/>
  <c r="B21" i="16"/>
  <c r="C52" i="17"/>
  <c r="C51"/>
  <c r="C50"/>
  <c r="C43"/>
  <c r="C39"/>
  <c r="C23"/>
  <c r="I25"/>
  <c r="C42" i="18"/>
  <c r="D48" i="19"/>
  <c r="C42"/>
  <c r="D39"/>
  <c r="C38"/>
  <c r="D34"/>
  <c r="C33"/>
  <c r="D30"/>
  <c r="C29"/>
  <c r="C27"/>
  <c r="C34" i="17"/>
  <c r="C36"/>
  <c r="C38"/>
  <c r="C40"/>
  <c r="C42"/>
  <c r="C44"/>
  <c r="C46"/>
  <c r="C47"/>
  <c r="C49"/>
  <c r="D25" i="19"/>
  <c r="C26"/>
  <c r="D27"/>
  <c r="C28"/>
  <c r="D29"/>
  <c r="C30"/>
  <c r="D31"/>
  <c r="C32"/>
  <c r="D33"/>
  <c r="C34"/>
  <c r="D35"/>
  <c r="C36"/>
  <c r="C37"/>
  <c r="D38"/>
  <c r="C39"/>
  <c r="D40"/>
  <c r="C41"/>
  <c r="D42"/>
  <c r="D43"/>
  <c r="C44"/>
  <c r="F48"/>
  <c r="B35" i="16"/>
  <c r="B34"/>
  <c r="B32"/>
  <c r="B30"/>
  <c r="B28"/>
  <c r="F28" i="21"/>
  <c r="F29"/>
  <c r="F30"/>
  <c r="F31"/>
  <c r="F32"/>
  <c r="F33"/>
  <c r="F34"/>
  <c r="F35"/>
  <c r="F28" i="22"/>
  <c r="G34"/>
  <c r="E57" i="23"/>
  <c r="C56"/>
  <c r="E55"/>
  <c r="C54"/>
  <c r="D53"/>
  <c r="C52"/>
  <c r="D51"/>
  <c r="C50"/>
  <c r="D49"/>
  <c r="C48"/>
  <c r="D47"/>
  <c r="D45"/>
  <c r="D43"/>
  <c r="E41"/>
  <c r="E39"/>
  <c r="L37"/>
  <c r="D36"/>
  <c r="D33"/>
  <c r="C34"/>
  <c r="E34"/>
  <c r="C35"/>
  <c r="E35"/>
  <c r="C36"/>
  <c r="E36"/>
  <c r="C37"/>
  <c r="E37"/>
  <c r="J37"/>
  <c r="C38"/>
  <c r="E38"/>
  <c r="D39"/>
  <c r="C40"/>
  <c r="E40"/>
  <c r="D41"/>
  <c r="C42"/>
  <c r="E42"/>
  <c r="C43"/>
  <c r="E43"/>
  <c r="C44"/>
  <c r="E44"/>
  <c r="C45"/>
  <c r="E45"/>
  <c r="C46"/>
  <c r="E46"/>
  <c r="C47"/>
  <c r="E47"/>
  <c r="D48"/>
  <c r="C49"/>
  <c r="E49"/>
  <c r="D50"/>
  <c r="C51"/>
  <c r="E51"/>
  <c r="D52"/>
  <c r="C53"/>
  <c r="E53"/>
  <c r="D54"/>
  <c r="D55"/>
  <c r="D56"/>
  <c r="D57"/>
  <c r="C29" i="22"/>
  <c r="C30"/>
  <c r="C31"/>
  <c r="C35"/>
  <c r="C36"/>
  <c r="C37"/>
  <c r="C39"/>
  <c r="C41"/>
  <c r="E47"/>
  <c r="G42"/>
  <c r="E42"/>
  <c r="C42"/>
  <c r="D41"/>
  <c r="G40"/>
  <c r="E40"/>
  <c r="C40"/>
  <c r="D39"/>
  <c r="G38"/>
  <c r="E38"/>
  <c r="C38"/>
  <c r="D37"/>
  <c r="D36"/>
  <c r="D35"/>
  <c r="E34"/>
  <c r="C34"/>
  <c r="E33"/>
  <c r="C33"/>
  <c r="E32"/>
  <c r="C32"/>
  <c r="F31"/>
  <c r="D31"/>
  <c r="F30"/>
  <c r="D30"/>
  <c r="F29"/>
  <c r="C52" i="21"/>
  <c r="F51"/>
  <c r="D51"/>
  <c r="C50"/>
  <c r="F49"/>
  <c r="D49"/>
  <c r="C48"/>
  <c r="C47"/>
  <c r="C46"/>
  <c r="C45"/>
  <c r="C44"/>
  <c r="C43"/>
  <c r="C42"/>
  <c r="C41"/>
  <c r="C40"/>
  <c r="C39"/>
  <c r="C38"/>
  <c r="C37"/>
  <c r="C36"/>
  <c r="C35"/>
  <c r="C34"/>
  <c r="C33"/>
  <c r="C32"/>
  <c r="C31"/>
  <c r="C30"/>
  <c r="C29"/>
  <c r="J43" i="17"/>
  <c r="J38"/>
  <c r="C35" i="16"/>
  <c r="C34"/>
  <c r="C33"/>
  <c r="C32"/>
  <c r="C31"/>
  <c r="C30"/>
  <c r="C29"/>
  <c r="C28"/>
  <c r="C27"/>
  <c r="D35" l="1"/>
  <c r="O36"/>
  <c r="U30" i="29"/>
  <c r="N31"/>
  <c r="G30"/>
  <c r="H30" s="1"/>
  <c r="F31"/>
  <c r="K31"/>
  <c r="L30"/>
  <c r="M30" s="1"/>
  <c r="C34" i="18"/>
  <c r="C49"/>
  <c r="C41"/>
  <c r="C54"/>
  <c r="C37"/>
  <c r="C45"/>
  <c r="C52"/>
  <c r="C39"/>
  <c r="C44"/>
  <c r="C35"/>
  <c r="C48"/>
  <c r="C51"/>
  <c r="C36"/>
  <c r="C38"/>
  <c r="C43"/>
  <c r="C47"/>
  <c r="C50"/>
  <c r="C53"/>
  <c r="C55"/>
  <c r="C46"/>
  <c r="C40"/>
  <c r="C32"/>
  <c r="D36" i="16" l="1"/>
  <c r="O37"/>
  <c r="B36"/>
  <c r="C36"/>
  <c r="N32" i="29"/>
  <c r="U31"/>
  <c r="G31"/>
  <c r="H31" s="1"/>
  <c r="F32"/>
  <c r="K32"/>
  <c r="L31"/>
  <c r="M31" s="1"/>
  <c r="D37" i="16" l="1"/>
  <c r="O38"/>
  <c r="C37"/>
  <c r="B37"/>
  <c r="U32" i="29"/>
  <c r="N33"/>
  <c r="F33"/>
  <c r="G32"/>
  <c r="H32" s="1"/>
  <c r="L32"/>
  <c r="M32" s="1"/>
  <c r="K33"/>
  <c r="D38" i="16" l="1"/>
  <c r="B38"/>
  <c r="C38"/>
  <c r="O39"/>
  <c r="U33" i="29"/>
  <c r="N34"/>
  <c r="L33"/>
  <c r="M33" s="1"/>
  <c r="K34"/>
  <c r="F34"/>
  <c r="G33"/>
  <c r="H33" s="1"/>
  <c r="D39" i="16" l="1"/>
  <c r="C39"/>
  <c r="B39"/>
  <c r="O40"/>
  <c r="U34" i="29"/>
  <c r="N35"/>
  <c r="L34"/>
  <c r="M34" s="1"/>
  <c r="K35"/>
  <c r="F35"/>
  <c r="G34"/>
  <c r="H34" s="1"/>
  <c r="D40" i="16" l="1"/>
  <c r="C40"/>
  <c r="B40"/>
  <c r="O41"/>
  <c r="U35" i="29"/>
  <c r="N36"/>
  <c r="L35"/>
  <c r="M35" s="1"/>
  <c r="K36"/>
  <c r="F36"/>
  <c r="G35"/>
  <c r="H35" s="1"/>
  <c r="D41" i="16" l="1"/>
  <c r="B41"/>
  <c r="O42"/>
  <c r="C41"/>
  <c r="U36" i="29"/>
  <c r="N37"/>
  <c r="L36"/>
  <c r="M36" s="1"/>
  <c r="K37"/>
  <c r="F37"/>
  <c r="G36"/>
  <c r="H36" s="1"/>
  <c r="D42" i="16" l="1"/>
  <c r="C42"/>
  <c r="O43"/>
  <c r="B42"/>
  <c r="U37" i="29"/>
  <c r="N38"/>
  <c r="L37"/>
  <c r="M37" s="1"/>
  <c r="K38"/>
  <c r="F38"/>
  <c r="G37"/>
  <c r="H37" s="1"/>
  <c r="L37" i="14"/>
  <c r="L2"/>
  <c r="D43" i="16" l="1"/>
  <c r="B43"/>
  <c r="O44"/>
  <c r="C43"/>
  <c r="U38" i="29"/>
  <c r="N39"/>
  <c r="L38"/>
  <c r="M38" s="1"/>
  <c r="K39"/>
  <c r="F39"/>
  <c r="G38"/>
  <c r="H38" s="1"/>
  <c r="J35" i="14"/>
  <c r="D55"/>
  <c r="C29"/>
  <c r="C34" s="1"/>
  <c r="D30"/>
  <c r="D34"/>
  <c r="D36"/>
  <c r="C54"/>
  <c r="D63"/>
  <c r="D62"/>
  <c r="D61"/>
  <c r="D60"/>
  <c r="D59"/>
  <c r="D58"/>
  <c r="D57"/>
  <c r="D56"/>
  <c r="C55"/>
  <c r="D54"/>
  <c r="D52"/>
  <c r="D51"/>
  <c r="C50"/>
  <c r="D49"/>
  <c r="D48"/>
  <c r="D47"/>
  <c r="D44"/>
  <c r="D43"/>
  <c r="D41"/>
  <c r="D40"/>
  <c r="D39"/>
  <c r="C62"/>
  <c r="C60"/>
  <c r="C58"/>
  <c r="C56"/>
  <c r="D53"/>
  <c r="C52"/>
  <c r="D50"/>
  <c r="D46"/>
  <c r="D45"/>
  <c r="D38"/>
  <c r="D37"/>
  <c r="D35"/>
  <c r="D33"/>
  <c r="D31"/>
  <c r="D29"/>
  <c r="C63"/>
  <c r="D32"/>
  <c r="L35"/>
  <c r="D42"/>
  <c r="C57"/>
  <c r="C59"/>
  <c r="C61"/>
  <c r="D44" i="16" l="1"/>
  <c r="B44"/>
  <c r="O45"/>
  <c r="C44"/>
  <c r="C40" i="14"/>
  <c r="U39" i="29"/>
  <c r="N40"/>
  <c r="L39"/>
  <c r="M39" s="1"/>
  <c r="K40"/>
  <c r="F40"/>
  <c r="G39"/>
  <c r="H39" s="1"/>
  <c r="C51" i="14"/>
  <c r="C53"/>
  <c r="C41"/>
  <c r="C39"/>
  <c r="C38"/>
  <c r="C37"/>
  <c r="C35"/>
  <c r="C30"/>
  <c r="C47"/>
  <c r="C31"/>
  <c r="C32"/>
  <c r="C36"/>
  <c r="C43"/>
  <c r="C44"/>
  <c r="C49"/>
  <c r="C42"/>
  <c r="C45"/>
  <c r="C46"/>
  <c r="C48"/>
  <c r="C33"/>
  <c r="L2" i="13"/>
  <c r="C19"/>
  <c r="C28"/>
  <c r="D28"/>
  <c r="J2" i="12"/>
  <c r="B26"/>
  <c r="B44" s="1"/>
  <c r="E54"/>
  <c r="B23"/>
  <c r="O28"/>
  <c r="O29"/>
  <c r="O30" s="1"/>
  <c r="O31" s="1"/>
  <c r="O32" s="1"/>
  <c r="O33" s="1"/>
  <c r="O34" s="1"/>
  <c r="C41"/>
  <c r="O48"/>
  <c r="O49"/>
  <c r="O50" s="1"/>
  <c r="L2" i="11"/>
  <c r="C25"/>
  <c r="K41"/>
  <c r="L2" i="10"/>
  <c r="C25"/>
  <c r="K41"/>
  <c r="J2" i="9"/>
  <c r="J4"/>
  <c r="J5"/>
  <c r="J7"/>
  <c r="D27"/>
  <c r="C49"/>
  <c r="K3" i="8"/>
  <c r="C32"/>
  <c r="D35"/>
  <c r="D77"/>
  <c r="H77"/>
  <c r="D78"/>
  <c r="H78"/>
  <c r="D79"/>
  <c r="H79"/>
  <c r="D80"/>
  <c r="H80"/>
  <c r="E83"/>
  <c r="E88"/>
  <c r="H89"/>
  <c r="E92"/>
  <c r="H93"/>
  <c r="E96"/>
  <c r="H97"/>
  <c r="E100"/>
  <c r="H101"/>
  <c r="J2" i="7"/>
  <c r="B26"/>
  <c r="E53"/>
  <c r="C27"/>
  <c r="O28"/>
  <c r="O29" s="1"/>
  <c r="O30" s="1"/>
  <c r="O31" s="1"/>
  <c r="O32" s="1"/>
  <c r="O33" s="1"/>
  <c r="O34" s="1"/>
  <c r="O35" s="1"/>
  <c r="O36" s="1"/>
  <c r="O37" s="1"/>
  <c r="O38" s="1"/>
  <c r="O39" s="1"/>
  <c r="O40" s="1"/>
  <c r="O41" s="1"/>
  <c r="O42" s="1"/>
  <c r="C34" i="12" l="1"/>
  <c r="O35"/>
  <c r="O36" s="1"/>
  <c r="D45" i="16"/>
  <c r="C45"/>
  <c r="B45"/>
  <c r="B31" i="12"/>
  <c r="B29"/>
  <c r="B27"/>
  <c r="U40" i="29"/>
  <c r="N41"/>
  <c r="L40"/>
  <c r="M40" s="1"/>
  <c r="K41"/>
  <c r="F41"/>
  <c r="G40"/>
  <c r="H40" s="1"/>
  <c r="E102" i="8"/>
  <c r="H99"/>
  <c r="E98"/>
  <c r="H95"/>
  <c r="E94"/>
  <c r="H91"/>
  <c r="E90"/>
  <c r="H87"/>
  <c r="E86"/>
  <c r="E85"/>
  <c r="C52"/>
  <c r="C50"/>
  <c r="C48"/>
  <c r="H102"/>
  <c r="E101"/>
  <c r="H100"/>
  <c r="E99"/>
  <c r="H98"/>
  <c r="E97"/>
  <c r="H96"/>
  <c r="E95"/>
  <c r="H94"/>
  <c r="E93"/>
  <c r="H92"/>
  <c r="E91"/>
  <c r="H90"/>
  <c r="E89"/>
  <c r="H88"/>
  <c r="E87"/>
  <c r="H86"/>
  <c r="E84"/>
  <c r="E82"/>
  <c r="I102"/>
  <c r="D102"/>
  <c r="I101"/>
  <c r="D101"/>
  <c r="I100"/>
  <c r="D100"/>
  <c r="I99"/>
  <c r="D99"/>
  <c r="I98"/>
  <c r="D98"/>
  <c r="I97"/>
  <c r="D97"/>
  <c r="I96"/>
  <c r="D96"/>
  <c r="I95"/>
  <c r="D95"/>
  <c r="I94"/>
  <c r="D94"/>
  <c r="I93"/>
  <c r="D93"/>
  <c r="I92"/>
  <c r="D92"/>
  <c r="I91"/>
  <c r="D91"/>
  <c r="I90"/>
  <c r="D90"/>
  <c r="I89"/>
  <c r="D89"/>
  <c r="I88"/>
  <c r="D88"/>
  <c r="I87"/>
  <c r="D87"/>
  <c r="I86"/>
  <c r="D86"/>
  <c r="H85"/>
  <c r="H84"/>
  <c r="H83"/>
  <c r="H82"/>
  <c r="H81"/>
  <c r="D81"/>
  <c r="C44"/>
  <c r="C40"/>
  <c r="C41" i="7"/>
  <c r="D46" i="9"/>
  <c r="D34"/>
  <c r="C35" i="7"/>
  <c r="D38" i="9"/>
  <c r="D30"/>
  <c r="C53" i="12"/>
  <c r="D53" i="13"/>
  <c r="C39" i="7"/>
  <c r="C31"/>
  <c r="D51" i="9"/>
  <c r="C48"/>
  <c r="D36"/>
  <c r="D32"/>
  <c r="D28"/>
  <c r="D85" i="8"/>
  <c r="D84"/>
  <c r="D83"/>
  <c r="D82"/>
  <c r="D51"/>
  <c r="D49"/>
  <c r="D47"/>
  <c r="C46"/>
  <c r="D41"/>
  <c r="C38"/>
  <c r="D33"/>
  <c r="C50" i="9"/>
  <c r="D47"/>
  <c r="C45"/>
  <c r="D44"/>
  <c r="D43"/>
  <c r="D42"/>
  <c r="D41"/>
  <c r="D40"/>
  <c r="D39"/>
  <c r="D37"/>
  <c r="D35"/>
  <c r="D33"/>
  <c r="D31"/>
  <c r="D29"/>
  <c r="E52" i="7"/>
  <c r="C37"/>
  <c r="C33"/>
  <c r="C29"/>
  <c r="C26"/>
  <c r="C45" i="8"/>
  <c r="C43"/>
  <c r="D42"/>
  <c r="C39"/>
  <c r="D37"/>
  <c r="D36"/>
  <c r="D34"/>
  <c r="D31"/>
  <c r="J7"/>
  <c r="A9"/>
  <c r="D28"/>
  <c r="C29"/>
  <c r="D30"/>
  <c r="C31"/>
  <c r="D32"/>
  <c r="D29"/>
  <c r="C30"/>
  <c r="K30"/>
  <c r="C33"/>
  <c r="C34"/>
  <c r="C35"/>
  <c r="C36"/>
  <c r="C37"/>
  <c r="D38"/>
  <c r="D39"/>
  <c r="D40"/>
  <c r="C41"/>
  <c r="C42"/>
  <c r="D43"/>
  <c r="D44"/>
  <c r="D45"/>
  <c r="D46"/>
  <c r="C47"/>
  <c r="D48"/>
  <c r="C49"/>
  <c r="D50"/>
  <c r="C51"/>
  <c r="D52"/>
  <c r="A11" i="9"/>
  <c r="F19" s="1"/>
  <c r="B45" i="12"/>
  <c r="C46"/>
  <c r="B47"/>
  <c r="C43" i="13"/>
  <c r="C47"/>
  <c r="D54"/>
  <c r="B27" i="7"/>
  <c r="B29"/>
  <c r="B33"/>
  <c r="B35"/>
  <c r="B37"/>
  <c r="B39"/>
  <c r="B28"/>
  <c r="B31"/>
  <c r="C52"/>
  <c r="B42"/>
  <c r="C40"/>
  <c r="B40"/>
  <c r="C38"/>
  <c r="B38"/>
  <c r="C36"/>
  <c r="B36"/>
  <c r="C34"/>
  <c r="B34"/>
  <c r="C32"/>
  <c r="B32"/>
  <c r="C30"/>
  <c r="B30"/>
  <c r="C28"/>
  <c r="C51" i="9"/>
  <c r="D50"/>
  <c r="D49"/>
  <c r="D48"/>
  <c r="C47"/>
  <c r="C46"/>
  <c r="D45"/>
  <c r="C44"/>
  <c r="C43"/>
  <c r="C42"/>
  <c r="C41"/>
  <c r="C40"/>
  <c r="C39"/>
  <c r="C38"/>
  <c r="C37"/>
  <c r="C36"/>
  <c r="C35"/>
  <c r="C34"/>
  <c r="C33"/>
  <c r="C32"/>
  <c r="C31"/>
  <c r="C30"/>
  <c r="C29"/>
  <c r="C28"/>
  <c r="K42" i="11"/>
  <c r="C27" i="12"/>
  <c r="C35"/>
  <c r="B41"/>
  <c r="B42"/>
  <c r="C43"/>
  <c r="C26"/>
  <c r="C42"/>
  <c r="B43"/>
  <c r="C44"/>
  <c r="C45"/>
  <c r="B46"/>
  <c r="C47"/>
  <c r="E53"/>
  <c r="C61" i="13"/>
  <c r="C59"/>
  <c r="C57"/>
  <c r="D48"/>
  <c r="D44"/>
  <c r="C42"/>
  <c r="L32"/>
  <c r="K53"/>
  <c r="C29"/>
  <c r="J30"/>
  <c r="K51" s="1"/>
  <c r="C35"/>
  <c r="C38"/>
  <c r="C39"/>
  <c r="D40"/>
  <c r="D41"/>
  <c r="C46"/>
  <c r="C49"/>
  <c r="D50"/>
  <c r="C53"/>
  <c r="C54"/>
  <c r="D55"/>
  <c r="C56"/>
  <c r="D57"/>
  <c r="D58"/>
  <c r="D59"/>
  <c r="D60"/>
  <c r="D61"/>
  <c r="D62"/>
  <c r="D30"/>
  <c r="D45"/>
  <c r="C51"/>
  <c r="C52"/>
  <c r="C55"/>
  <c r="D56"/>
  <c r="C58"/>
  <c r="C60"/>
  <c r="C62"/>
  <c r="B32" i="12"/>
  <c r="B30"/>
  <c r="B28"/>
  <c r="D37" i="13"/>
  <c r="C36"/>
  <c r="D34"/>
  <c r="D33"/>
  <c r="D32"/>
  <c r="C31"/>
  <c r="D29"/>
  <c r="C30"/>
  <c r="L30"/>
  <c r="D31"/>
  <c r="C32"/>
  <c r="C33"/>
  <c r="C34"/>
  <c r="D35"/>
  <c r="D36"/>
  <c r="C37"/>
  <c r="D38"/>
  <c r="D39"/>
  <c r="C40"/>
  <c r="C41"/>
  <c r="D42"/>
  <c r="D43"/>
  <c r="C44"/>
  <c r="C45"/>
  <c r="D46"/>
  <c r="D47"/>
  <c r="C48"/>
  <c r="D49"/>
  <c r="C50"/>
  <c r="D51"/>
  <c r="D52"/>
  <c r="B50" i="12"/>
  <c r="B49"/>
  <c r="B48"/>
  <c r="C50"/>
  <c r="C49"/>
  <c r="C48"/>
  <c r="B36"/>
  <c r="B35"/>
  <c r="B34"/>
  <c r="B33"/>
  <c r="C33"/>
  <c r="C32"/>
  <c r="C31"/>
  <c r="C30"/>
  <c r="C29"/>
  <c r="C28"/>
  <c r="K42" i="10"/>
  <c r="C42" i="7"/>
  <c r="B41"/>
  <c r="O43"/>
  <c r="K18" i="1"/>
  <c r="U18"/>
  <c r="R18"/>
  <c r="K11"/>
  <c r="U19"/>
  <c r="C36" i="12" l="1"/>
  <c r="O37"/>
  <c r="U41" i="29"/>
  <c r="N42"/>
  <c r="L41"/>
  <c r="M41" s="1"/>
  <c r="K42"/>
  <c r="F42"/>
  <c r="G41"/>
  <c r="H41" s="1"/>
  <c r="J8" i="8"/>
  <c r="B43" i="7"/>
  <c r="O44"/>
  <c r="C43"/>
  <c r="I14" i="1"/>
  <c r="O38" i="12" l="1"/>
  <c r="C37"/>
  <c r="B37"/>
  <c r="U42" i="29"/>
  <c r="N43"/>
  <c r="L42"/>
  <c r="M42" s="1"/>
  <c r="K43"/>
  <c r="F43"/>
  <c r="G42"/>
  <c r="H42" s="1"/>
  <c r="C44" i="7"/>
  <c r="B44"/>
  <c r="O45"/>
  <c r="AF6" i="1"/>
  <c r="M11" s="1"/>
  <c r="O39" i="12" l="1"/>
  <c r="C38"/>
  <c r="B38"/>
  <c r="U43" i="29"/>
  <c r="N44"/>
  <c r="L43"/>
  <c r="M43" s="1"/>
  <c r="K44"/>
  <c r="F44"/>
  <c r="G43"/>
  <c r="H43" s="1"/>
  <c r="C45" i="7"/>
  <c r="B45"/>
  <c r="AF5" i="1"/>
  <c r="I11"/>
  <c r="O40" i="12" l="1"/>
  <c r="B39"/>
  <c r="C39"/>
  <c r="U44" i="29"/>
  <c r="N45"/>
  <c r="L44"/>
  <c r="M44" s="1"/>
  <c r="K45"/>
  <c r="F45"/>
  <c r="G44"/>
  <c r="H44" s="1"/>
  <c r="M12" i="1"/>
  <c r="K12"/>
  <c r="I12"/>
  <c r="I10"/>
  <c r="C40" i="12" l="1"/>
  <c r="B40"/>
  <c r="U45" i="29"/>
  <c r="N46"/>
  <c r="L45"/>
  <c r="M45" s="1"/>
  <c r="K46"/>
  <c r="G45"/>
  <c r="H45" s="1"/>
  <c r="F46"/>
  <c r="L3" i="3"/>
  <c r="U46" i="29" l="1"/>
  <c r="N47"/>
  <c r="G46"/>
  <c r="H46" s="1"/>
  <c r="F47"/>
  <c r="K47"/>
  <c r="L46"/>
  <c r="M46" s="1"/>
  <c r="X8" i="1"/>
  <c r="U47" i="29" l="1"/>
  <c r="N48"/>
  <c r="G47"/>
  <c r="H47" s="1"/>
  <c r="F48"/>
  <c r="K48"/>
  <c r="L47"/>
  <c r="M47" s="1"/>
  <c r="N21" i="1"/>
  <c r="N20"/>
  <c r="N19"/>
  <c r="N18"/>
  <c r="N17"/>
  <c r="L22"/>
  <c r="L21"/>
  <c r="L20"/>
  <c r="L19"/>
  <c r="L18"/>
  <c r="L17"/>
  <c r="K22"/>
  <c r="K20"/>
  <c r="K19"/>
  <c r="K17"/>
  <c r="U48" i="29" l="1"/>
  <c r="N49"/>
  <c r="G48"/>
  <c r="H48" s="1"/>
  <c r="F49"/>
  <c r="K49"/>
  <c r="L48"/>
  <c r="M48" s="1"/>
  <c r="U17" i="1"/>
  <c r="R12"/>
  <c r="R11"/>
  <c r="R10"/>
  <c r="U49" i="29" l="1"/>
  <c r="N50"/>
  <c r="G49"/>
  <c r="H49" s="1"/>
  <c r="F50"/>
  <c r="K50"/>
  <c r="L49"/>
  <c r="M49" s="1"/>
  <c r="AX13" i="3"/>
  <c r="AX12"/>
  <c r="N51" i="29" l="1"/>
  <c r="U50"/>
  <c r="G50"/>
  <c r="H50" s="1"/>
  <c r="F51"/>
  <c r="L50"/>
  <c r="M50" s="1"/>
  <c r="K51"/>
  <c r="BW167" i="2"/>
  <c r="U51" i="29" l="1"/>
  <c r="N52"/>
  <c r="L51"/>
  <c r="M51" s="1"/>
  <c r="K52"/>
  <c r="G51"/>
  <c r="H51" s="1"/>
  <c r="F52"/>
  <c r="CL194" i="4"/>
  <c r="AL194"/>
  <c r="AL190"/>
  <c r="CG165"/>
  <c r="CH162"/>
  <c r="AL160"/>
  <c r="BM139"/>
  <c r="N53" i="29" l="1"/>
  <c r="U52"/>
  <c r="G52"/>
  <c r="H52" s="1"/>
  <c r="F53"/>
  <c r="L52"/>
  <c r="M52" s="1"/>
  <c r="K53"/>
  <c r="CI194" i="4"/>
  <c r="BO199"/>
  <c r="AZ217"/>
  <c r="BA219"/>
  <c r="BB215"/>
  <c r="AZ215"/>
  <c r="U53" i="29" l="1"/>
  <c r="N54"/>
  <c r="L53"/>
  <c r="M53" s="1"/>
  <c r="K54"/>
  <c r="G53"/>
  <c r="H53" s="1"/>
  <c r="F54"/>
  <c r="AE130" i="4"/>
  <c r="AE131"/>
  <c r="B13"/>
  <c r="B14"/>
  <c r="N55" i="29" l="1"/>
  <c r="U54"/>
  <c r="G54"/>
  <c r="H54" s="1"/>
  <c r="F55"/>
  <c r="L54"/>
  <c r="M54" s="1"/>
  <c r="K55"/>
  <c r="BN74" i="2"/>
  <c r="AI129"/>
  <c r="BQ170"/>
  <c r="BQ169"/>
  <c r="BQ168"/>
  <c r="BP167"/>
  <c r="BQ157"/>
  <c r="BQ156"/>
  <c r="BK154"/>
  <c r="BD154"/>
  <c r="AY154"/>
  <c r="AQ154"/>
  <c r="AL154"/>
  <c r="AD174"/>
  <c r="AG154"/>
  <c r="AC156"/>
  <c r="X154"/>
  <c r="R154"/>
  <c r="DI15" l="1"/>
  <c r="U55" i="29"/>
  <c r="N56"/>
  <c r="L55"/>
  <c r="M55" s="1"/>
  <c r="K56"/>
  <c r="G55"/>
  <c r="H55" s="1"/>
  <c r="F56"/>
  <c r="B1" i="2"/>
  <c r="AR15" i="3"/>
  <c r="AR16"/>
  <c r="AR17"/>
  <c r="AR18"/>
  <c r="AR19"/>
  <c r="AR20"/>
  <c r="AR14"/>
  <c r="AR6"/>
  <c r="AR7"/>
  <c r="AR8"/>
  <c r="AR9"/>
  <c r="AR10"/>
  <c r="AR11"/>
  <c r="AR5"/>
  <c r="AG18"/>
  <c r="AI18" s="1"/>
  <c r="AI16"/>
  <c r="AG19"/>
  <c r="AI19" s="1"/>
  <c r="AG17"/>
  <c r="AI17" s="1"/>
  <c r="AG15"/>
  <c r="AI15" s="1"/>
  <c r="AG11"/>
  <c r="AI11" s="1"/>
  <c r="AG10"/>
  <c r="AI10" s="1"/>
  <c r="AG6"/>
  <c r="AI6" s="1"/>
  <c r="AG5"/>
  <c r="AI5" s="1"/>
  <c r="EG14" i="2" l="1"/>
  <c r="EI14"/>
  <c r="EH14"/>
  <c r="EF14"/>
  <c r="BM223"/>
  <c r="BO223"/>
  <c r="BQ223"/>
  <c r="BS223"/>
  <c r="BU223"/>
  <c r="BL223"/>
  <c r="AZ223"/>
  <c r="BB223"/>
  <c r="BD223"/>
  <c r="BF223"/>
  <c r="BH223"/>
  <c r="BN223"/>
  <c r="BP223"/>
  <c r="BR223"/>
  <c r="E22" i="3" s="1"/>
  <c r="B332" i="4" s="1"/>
  <c r="C332" s="1"/>
  <c r="BT223" i="2"/>
  <c r="BV223"/>
  <c r="AY223"/>
  <c r="BA223"/>
  <c r="BC223"/>
  <c r="BE223"/>
  <c r="BG223"/>
  <c r="AX223"/>
  <c r="CR286"/>
  <c r="CT286"/>
  <c r="CV286"/>
  <c r="CX286"/>
  <c r="CZ286"/>
  <c r="DB286"/>
  <c r="DD286"/>
  <c r="DF286"/>
  <c r="DH286"/>
  <c r="DJ286"/>
  <c r="DL286"/>
  <c r="DN286"/>
  <c r="DP286"/>
  <c r="DR286"/>
  <c r="DT286"/>
  <c r="CQ286"/>
  <c r="EB238"/>
  <c r="ED238"/>
  <c r="EF238"/>
  <c r="EH238"/>
  <c r="CQ238"/>
  <c r="CS238"/>
  <c r="CU238"/>
  <c r="CW238"/>
  <c r="CY238"/>
  <c r="DA238"/>
  <c r="DC238"/>
  <c r="DE238"/>
  <c r="DG238"/>
  <c r="DI238"/>
  <c r="DK238"/>
  <c r="DM238"/>
  <c r="DO238"/>
  <c r="DQ238"/>
  <c r="DS238"/>
  <c r="CP238"/>
  <c r="DJ181"/>
  <c r="DL181"/>
  <c r="DN181"/>
  <c r="DP181"/>
  <c r="DR181"/>
  <c r="DT181"/>
  <c r="DV181"/>
  <c r="DX181"/>
  <c r="DZ181"/>
  <c r="EB181"/>
  <c r="ED181"/>
  <c r="EF181"/>
  <c r="EH181"/>
  <c r="EJ181"/>
  <c r="CQ166"/>
  <c r="CS166"/>
  <c r="CU166"/>
  <c r="CW166"/>
  <c r="CY166"/>
  <c r="DA166"/>
  <c r="DC166"/>
  <c r="DE166"/>
  <c r="DV129"/>
  <c r="DX129"/>
  <c r="DZ129"/>
  <c r="EB129"/>
  <c r="ED129"/>
  <c r="EF129"/>
  <c r="EH129"/>
  <c r="EJ129"/>
  <c r="EL129"/>
  <c r="EN129"/>
  <c r="DU129"/>
  <c r="DJ129"/>
  <c r="DL129"/>
  <c r="DN129"/>
  <c r="DP129"/>
  <c r="DR129"/>
  <c r="CS129"/>
  <c r="CU129"/>
  <c r="CW129"/>
  <c r="CY129"/>
  <c r="DA129"/>
  <c r="DC129"/>
  <c r="CR129"/>
  <c r="DT76"/>
  <c r="DV76"/>
  <c r="DX76"/>
  <c r="CS286"/>
  <c r="CU286"/>
  <c r="CW286"/>
  <c r="CY286"/>
  <c r="DA286"/>
  <c r="DC286"/>
  <c r="DE286"/>
  <c r="DG286"/>
  <c r="DI286"/>
  <c r="DK286"/>
  <c r="DM286"/>
  <c r="DO286"/>
  <c r="DQ286"/>
  <c r="DS286"/>
  <c r="DU286"/>
  <c r="EA238"/>
  <c r="EC238"/>
  <c r="EE238"/>
  <c r="EG238"/>
  <c r="DZ238"/>
  <c r="CR238"/>
  <c r="CT238"/>
  <c r="CV238"/>
  <c r="CX238"/>
  <c r="CZ238"/>
  <c r="DB238"/>
  <c r="DD238"/>
  <c r="DF238"/>
  <c r="DH238"/>
  <c r="DJ238"/>
  <c r="DL238"/>
  <c r="DN238"/>
  <c r="DP238"/>
  <c r="DR238"/>
  <c r="DT238"/>
  <c r="DI181"/>
  <c r="DK181"/>
  <c r="DM181"/>
  <c r="DO181"/>
  <c r="DQ181"/>
  <c r="DS181"/>
  <c r="DU181"/>
  <c r="DW181"/>
  <c r="DY181"/>
  <c r="EA181"/>
  <c r="EC181"/>
  <c r="EE181"/>
  <c r="EG181"/>
  <c r="EI181"/>
  <c r="DH181"/>
  <c r="CR166"/>
  <c r="CT166"/>
  <c r="CV166"/>
  <c r="CX166"/>
  <c r="CZ166"/>
  <c r="DB166"/>
  <c r="DD166"/>
  <c r="CP166"/>
  <c r="DW129"/>
  <c r="DY129"/>
  <c r="EA129"/>
  <c r="EC129"/>
  <c r="EE129"/>
  <c r="EG129"/>
  <c r="EI129"/>
  <c r="EK129"/>
  <c r="EM129"/>
  <c r="EO129"/>
  <c r="DI129"/>
  <c r="DK129"/>
  <c r="DM129"/>
  <c r="DO129"/>
  <c r="DQ129"/>
  <c r="DH129"/>
  <c r="CT129"/>
  <c r="CV129"/>
  <c r="CX129"/>
  <c r="CZ129"/>
  <c r="DB129"/>
  <c r="DD129"/>
  <c r="DS76"/>
  <c r="DU76"/>
  <c r="DW76"/>
  <c r="DZ76"/>
  <c r="EB76"/>
  <c r="ED76"/>
  <c r="EF76"/>
  <c r="EH76"/>
  <c r="EJ76"/>
  <c r="EL76"/>
  <c r="CS76"/>
  <c r="CU76"/>
  <c r="CW76"/>
  <c r="CY76"/>
  <c r="DA76"/>
  <c r="DC76"/>
  <c r="DE76"/>
  <c r="DG76"/>
  <c r="DI76"/>
  <c r="DK76"/>
  <c r="DM76"/>
  <c r="DO76"/>
  <c r="EA15"/>
  <c r="DZ15"/>
  <c r="DW15"/>
  <c r="DL15"/>
  <c r="DG16"/>
  <c r="E76" i="3" s="1"/>
  <c r="H76" s="1"/>
  <c r="J76" s="1"/>
  <c r="CZ15" i="2"/>
  <c r="CY15"/>
  <c r="CR16"/>
  <c r="E68" i="3" s="1"/>
  <c r="DY76" i="2"/>
  <c r="EA76"/>
  <c r="EC76"/>
  <c r="EE76"/>
  <c r="EG76"/>
  <c r="EI76"/>
  <c r="EK76"/>
  <c r="DR76"/>
  <c r="CT76"/>
  <c r="CV76"/>
  <c r="CX76"/>
  <c r="CZ76"/>
  <c r="DB76"/>
  <c r="DD76"/>
  <c r="DF76"/>
  <c r="DH76"/>
  <c r="DJ76"/>
  <c r="DL76"/>
  <c r="DN76"/>
  <c r="CR76"/>
  <c r="EB15"/>
  <c r="DZ14" s="1"/>
  <c r="DV15"/>
  <c r="DU15"/>
  <c r="DK15"/>
  <c r="DJ15"/>
  <c r="DD16"/>
  <c r="E74" i="3" s="1"/>
  <c r="H74" s="1"/>
  <c r="J74" s="1"/>
  <c r="DA15" i="2"/>
  <c r="CY14" s="1"/>
  <c r="E65" i="3" s="1"/>
  <c r="H65" s="1"/>
  <c r="J65" s="1"/>
  <c r="CU16" i="2"/>
  <c r="E69" i="3" s="1"/>
  <c r="H69" s="1"/>
  <c r="J69" s="1"/>
  <c r="DI14" i="2"/>
  <c r="E77" i="3" s="1"/>
  <c r="H77" s="1"/>
  <c r="J77" s="1"/>
  <c r="B501" i="2"/>
  <c r="B503"/>
  <c r="B505"/>
  <c r="B504"/>
  <c r="B500"/>
  <c r="B502"/>
  <c r="B506"/>
  <c r="U493"/>
  <c r="U491"/>
  <c r="AG462" s="1"/>
  <c r="J491"/>
  <c r="AG456" s="1"/>
  <c r="F491"/>
  <c r="AG450" s="1"/>
  <c r="B491"/>
  <c r="AG445" s="1"/>
  <c r="H446"/>
  <c r="D446"/>
  <c r="G446"/>
  <c r="G444" s="1"/>
  <c r="C446"/>
  <c r="C444" s="1"/>
  <c r="N57" i="29"/>
  <c r="U56"/>
  <c r="G56"/>
  <c r="H56" s="1"/>
  <c r="F57"/>
  <c r="L56"/>
  <c r="M56" s="1"/>
  <c r="K57"/>
  <c r="S6" i="3"/>
  <c r="S7"/>
  <c r="S8"/>
  <c r="S9"/>
  <c r="S10"/>
  <c r="S11"/>
  <c r="S12"/>
  <c r="S13"/>
  <c r="S14"/>
  <c r="S15"/>
  <c r="S16"/>
  <c r="S17"/>
  <c r="S18"/>
  <c r="S19"/>
  <c r="S20"/>
  <c r="S5"/>
  <c r="N15"/>
  <c r="O8"/>
  <c r="O18"/>
  <c r="AE19" i="1" s="1"/>
  <c r="O16" i="3"/>
  <c r="AE17" i="1" s="1"/>
  <c r="O20" i="3"/>
  <c r="R20" s="1"/>
  <c r="O19"/>
  <c r="R19" s="1"/>
  <c r="O17"/>
  <c r="R17" s="1"/>
  <c r="O15"/>
  <c r="R15" s="1"/>
  <c r="O14"/>
  <c r="R14" s="1"/>
  <c r="O13"/>
  <c r="O12"/>
  <c r="O11"/>
  <c r="R11" s="1"/>
  <c r="O10"/>
  <c r="R10" s="1"/>
  <c r="O9"/>
  <c r="R9" s="1"/>
  <c r="O7"/>
  <c r="O6"/>
  <c r="R6" s="1"/>
  <c r="O5"/>
  <c r="R5" s="1"/>
  <c r="E21" l="1"/>
  <c r="B310" i="4" s="1"/>
  <c r="C310" s="1"/>
  <c r="S320" s="1"/>
  <c r="T320" s="1"/>
  <c r="S333"/>
  <c r="T333" s="1"/>
  <c r="S337"/>
  <c r="T337" s="1"/>
  <c r="S341"/>
  <c r="T341" s="1"/>
  <c r="S345"/>
  <c r="T345" s="1"/>
  <c r="S349"/>
  <c r="T349" s="1"/>
  <c r="S334"/>
  <c r="T334" s="1"/>
  <c r="S342"/>
  <c r="T342" s="1"/>
  <c r="S350"/>
  <c r="T350" s="1"/>
  <c r="S336"/>
  <c r="T336" s="1"/>
  <c r="S344"/>
  <c r="T344" s="1"/>
  <c r="S332"/>
  <c r="T332" s="1"/>
  <c r="S335"/>
  <c r="T335" s="1"/>
  <c r="S339"/>
  <c r="T339" s="1"/>
  <c r="S343"/>
  <c r="T343" s="1"/>
  <c r="S347"/>
  <c r="T347" s="1"/>
  <c r="S351"/>
  <c r="T351" s="1"/>
  <c r="S338"/>
  <c r="T338" s="1"/>
  <c r="S346"/>
  <c r="T346" s="1"/>
  <c r="V332"/>
  <c r="S340"/>
  <c r="T340" s="1"/>
  <c r="S348"/>
  <c r="T348" s="1"/>
  <c r="S316"/>
  <c r="T316" s="1"/>
  <c r="S321"/>
  <c r="T321" s="1"/>
  <c r="E80" i="3"/>
  <c r="E81"/>
  <c r="AF22"/>
  <c r="AC22"/>
  <c r="AE22"/>
  <c r="AD22"/>
  <c r="DU14" i="2"/>
  <c r="DX14" s="1"/>
  <c r="E73" i="3" s="1"/>
  <c r="H73" s="1"/>
  <c r="J73" s="1"/>
  <c r="AE21"/>
  <c r="AP21" s="1"/>
  <c r="AV21" s="1"/>
  <c r="H12" i="93" s="1"/>
  <c r="H68" i="3"/>
  <c r="J68" s="1"/>
  <c r="AD68"/>
  <c r="AC68"/>
  <c r="AB68"/>
  <c r="AA68"/>
  <c r="B561" i="2"/>
  <c r="AG470" s="1"/>
  <c r="D502"/>
  <c r="F502"/>
  <c r="H502"/>
  <c r="J502"/>
  <c r="L502"/>
  <c r="N502"/>
  <c r="P502"/>
  <c r="R502"/>
  <c r="T502"/>
  <c r="V502"/>
  <c r="X502"/>
  <c r="Z502"/>
  <c r="E502"/>
  <c r="G502"/>
  <c r="I502"/>
  <c r="K502"/>
  <c r="M502"/>
  <c r="O502"/>
  <c r="Q502"/>
  <c r="S502"/>
  <c r="U502"/>
  <c r="W502"/>
  <c r="Y502"/>
  <c r="AA502"/>
  <c r="AC502"/>
  <c r="AE502"/>
  <c r="AG502"/>
  <c r="AK502"/>
  <c r="AM502"/>
  <c r="AO502"/>
  <c r="AQ502"/>
  <c r="AS502"/>
  <c r="AU502"/>
  <c r="AW502"/>
  <c r="AY502"/>
  <c r="BA502"/>
  <c r="BC502"/>
  <c r="BE502"/>
  <c r="BG502"/>
  <c r="BI502"/>
  <c r="BK502"/>
  <c r="BM502"/>
  <c r="AB502"/>
  <c r="AD502"/>
  <c r="AF502"/>
  <c r="AJ502"/>
  <c r="D561" s="1"/>
  <c r="AL502"/>
  <c r="AN502"/>
  <c r="AP502"/>
  <c r="AR502"/>
  <c r="AT502"/>
  <c r="AV502"/>
  <c r="AX502"/>
  <c r="AZ502"/>
  <c r="BB502"/>
  <c r="BD502"/>
  <c r="BF502"/>
  <c r="BH502"/>
  <c r="BJ502"/>
  <c r="BL502"/>
  <c r="BN502"/>
  <c r="C502"/>
  <c r="C561" s="1"/>
  <c r="E561" s="1"/>
  <c r="AH470" s="1"/>
  <c r="B559"/>
  <c r="AG468" s="1"/>
  <c r="D504"/>
  <c r="F504"/>
  <c r="H504"/>
  <c r="J504"/>
  <c r="L504"/>
  <c r="N504"/>
  <c r="P504"/>
  <c r="R504"/>
  <c r="T504"/>
  <c r="V504"/>
  <c r="X504"/>
  <c r="Z504"/>
  <c r="AB504"/>
  <c r="AD504"/>
  <c r="AF504"/>
  <c r="AJ504"/>
  <c r="AL504"/>
  <c r="AN504"/>
  <c r="AP504"/>
  <c r="AR504"/>
  <c r="AT504"/>
  <c r="AV504"/>
  <c r="AX504"/>
  <c r="AZ504"/>
  <c r="BB504"/>
  <c r="BD504"/>
  <c r="BF504"/>
  <c r="BH504"/>
  <c r="BJ504"/>
  <c r="BL504"/>
  <c r="BN504"/>
  <c r="E504"/>
  <c r="G504"/>
  <c r="I504"/>
  <c r="K504"/>
  <c r="M504"/>
  <c r="O504"/>
  <c r="Q504"/>
  <c r="S504"/>
  <c r="U504"/>
  <c r="W504"/>
  <c r="Y504"/>
  <c r="AA504"/>
  <c r="AC504"/>
  <c r="AE504"/>
  <c r="AG504"/>
  <c r="AK504"/>
  <c r="AM504"/>
  <c r="AO504"/>
  <c r="AQ504"/>
  <c r="AS504"/>
  <c r="AU504"/>
  <c r="AW504"/>
  <c r="AY504"/>
  <c r="BA504"/>
  <c r="BC504"/>
  <c r="BE504"/>
  <c r="BG504"/>
  <c r="BI504"/>
  <c r="BK504"/>
  <c r="BM504"/>
  <c r="C504"/>
  <c r="B560"/>
  <c r="AG469" s="1"/>
  <c r="E503"/>
  <c r="G503"/>
  <c r="I503"/>
  <c r="K503"/>
  <c r="M503"/>
  <c r="O503"/>
  <c r="Q503"/>
  <c r="S503"/>
  <c r="U503"/>
  <c r="W503"/>
  <c r="Y503"/>
  <c r="AA503"/>
  <c r="AC503"/>
  <c r="AE503"/>
  <c r="AG503"/>
  <c r="AK503"/>
  <c r="AM503"/>
  <c r="AO503"/>
  <c r="D560" s="1"/>
  <c r="AQ503"/>
  <c r="AS503"/>
  <c r="AU503"/>
  <c r="AW503"/>
  <c r="AY503"/>
  <c r="BA503"/>
  <c r="BC503"/>
  <c r="BE503"/>
  <c r="BG503"/>
  <c r="BI503"/>
  <c r="BK503"/>
  <c r="BM503"/>
  <c r="D503"/>
  <c r="F503"/>
  <c r="H503"/>
  <c r="C560" s="1"/>
  <c r="E560" s="1"/>
  <c r="AH469" s="1"/>
  <c r="J503"/>
  <c r="L503"/>
  <c r="N503"/>
  <c r="P503"/>
  <c r="R503"/>
  <c r="T503"/>
  <c r="V503"/>
  <c r="X503"/>
  <c r="Z503"/>
  <c r="AB503"/>
  <c r="AD503"/>
  <c r="AF503"/>
  <c r="AJ503"/>
  <c r="AL503"/>
  <c r="AN503"/>
  <c r="AP503"/>
  <c r="AR503"/>
  <c r="AT503"/>
  <c r="AV503"/>
  <c r="AX503"/>
  <c r="AZ503"/>
  <c r="BB503"/>
  <c r="BD503"/>
  <c r="BF503"/>
  <c r="BH503"/>
  <c r="BJ503"/>
  <c r="BL503"/>
  <c r="BN503"/>
  <c r="C503"/>
  <c r="B557"/>
  <c r="AG466" s="1"/>
  <c r="E506"/>
  <c r="G506"/>
  <c r="I506"/>
  <c r="K506"/>
  <c r="M506"/>
  <c r="O506"/>
  <c r="Q506"/>
  <c r="S506"/>
  <c r="U506"/>
  <c r="W506"/>
  <c r="Y506"/>
  <c r="AA506"/>
  <c r="AC506"/>
  <c r="AE506"/>
  <c r="AG506"/>
  <c r="AK506"/>
  <c r="AM506"/>
  <c r="AO506"/>
  <c r="AQ506"/>
  <c r="AS506"/>
  <c r="AU506"/>
  <c r="AW506"/>
  <c r="AY506"/>
  <c r="BA506"/>
  <c r="BC506"/>
  <c r="BE506"/>
  <c r="BG506"/>
  <c r="BI506"/>
  <c r="BK506"/>
  <c r="BM506"/>
  <c r="D506"/>
  <c r="F506"/>
  <c r="H506"/>
  <c r="J506"/>
  <c r="L506"/>
  <c r="N506"/>
  <c r="P506"/>
  <c r="R506"/>
  <c r="T506"/>
  <c r="V506"/>
  <c r="X506"/>
  <c r="Z506"/>
  <c r="AB506"/>
  <c r="AD506"/>
  <c r="AF506"/>
  <c r="AJ506"/>
  <c r="AL506"/>
  <c r="AN506"/>
  <c r="AP506"/>
  <c r="AR506"/>
  <c r="AT506"/>
  <c r="AV506"/>
  <c r="AX506"/>
  <c r="AZ506"/>
  <c r="BB506"/>
  <c r="BD506"/>
  <c r="BF506"/>
  <c r="BH506"/>
  <c r="BJ506"/>
  <c r="BL506"/>
  <c r="BN506"/>
  <c r="C506"/>
  <c r="B563"/>
  <c r="AG472" s="1"/>
  <c r="E500"/>
  <c r="G500"/>
  <c r="I500"/>
  <c r="K500"/>
  <c r="M500"/>
  <c r="O500"/>
  <c r="Q500"/>
  <c r="S500"/>
  <c r="U500"/>
  <c r="W500"/>
  <c r="Y500"/>
  <c r="AA500"/>
  <c r="AC500"/>
  <c r="AE500"/>
  <c r="AG500"/>
  <c r="AK500"/>
  <c r="AM500"/>
  <c r="AO500"/>
  <c r="AQ500"/>
  <c r="AS500"/>
  <c r="AU500"/>
  <c r="AW500"/>
  <c r="AY500"/>
  <c r="BA500"/>
  <c r="BC500"/>
  <c r="BE500"/>
  <c r="BG500"/>
  <c r="BI500"/>
  <c r="BK500"/>
  <c r="BM500"/>
  <c r="D500"/>
  <c r="F500"/>
  <c r="H500"/>
  <c r="J500"/>
  <c r="L500"/>
  <c r="N500"/>
  <c r="P500"/>
  <c r="R500"/>
  <c r="T500"/>
  <c r="V500"/>
  <c r="X500"/>
  <c r="Z500"/>
  <c r="AB500"/>
  <c r="AD500"/>
  <c r="AF500"/>
  <c r="AJ500"/>
  <c r="AL500"/>
  <c r="AN500"/>
  <c r="AP500"/>
  <c r="AR500"/>
  <c r="AT500"/>
  <c r="AV500"/>
  <c r="AX500"/>
  <c r="AZ500"/>
  <c r="BB500"/>
  <c r="BD500"/>
  <c r="BF500"/>
  <c r="BH500"/>
  <c r="BJ500"/>
  <c r="BL500"/>
  <c r="BN500"/>
  <c r="C500"/>
  <c r="D505"/>
  <c r="F505"/>
  <c r="H505"/>
  <c r="J505"/>
  <c r="L505"/>
  <c r="N505"/>
  <c r="P505"/>
  <c r="R505"/>
  <c r="T505"/>
  <c r="V505"/>
  <c r="X505"/>
  <c r="Z505"/>
  <c r="AB505"/>
  <c r="AD505"/>
  <c r="AF505"/>
  <c r="AJ505"/>
  <c r="AL505"/>
  <c r="AN505"/>
  <c r="AP505"/>
  <c r="B558"/>
  <c r="AG467" s="1"/>
  <c r="E505"/>
  <c r="G505"/>
  <c r="I505"/>
  <c r="K505"/>
  <c r="M505"/>
  <c r="O505"/>
  <c r="Q505"/>
  <c r="S505"/>
  <c r="U505"/>
  <c r="W505"/>
  <c r="Y505"/>
  <c r="AA505"/>
  <c r="AC505"/>
  <c r="AE505"/>
  <c r="AG505"/>
  <c r="AK505"/>
  <c r="AM505"/>
  <c r="AQ505"/>
  <c r="AS505"/>
  <c r="AU505"/>
  <c r="AW505"/>
  <c r="AY505"/>
  <c r="BA505"/>
  <c r="BC505"/>
  <c r="BE505"/>
  <c r="BG505"/>
  <c r="BI505"/>
  <c r="BK505"/>
  <c r="BM505"/>
  <c r="AO505"/>
  <c r="AR505"/>
  <c r="AT505"/>
  <c r="AV505"/>
  <c r="AX505"/>
  <c r="AZ505"/>
  <c r="BB505"/>
  <c r="BD505"/>
  <c r="BF505"/>
  <c r="BH505"/>
  <c r="BJ505"/>
  <c r="BL505"/>
  <c r="BN505"/>
  <c r="C505"/>
  <c r="B562"/>
  <c r="AG471" s="1"/>
  <c r="D501"/>
  <c r="F501"/>
  <c r="H501"/>
  <c r="J501"/>
  <c r="L501"/>
  <c r="N501"/>
  <c r="P501"/>
  <c r="R501"/>
  <c r="T501"/>
  <c r="V501"/>
  <c r="X501"/>
  <c r="Z501"/>
  <c r="AB501"/>
  <c r="AD501"/>
  <c r="AF501"/>
  <c r="AJ501"/>
  <c r="AL501"/>
  <c r="AN501"/>
  <c r="AP501"/>
  <c r="AR501"/>
  <c r="AT501"/>
  <c r="AV501"/>
  <c r="AX501"/>
  <c r="AZ501"/>
  <c r="BB501"/>
  <c r="BD501"/>
  <c r="BF501"/>
  <c r="BH501"/>
  <c r="BJ501"/>
  <c r="BL501"/>
  <c r="BN501"/>
  <c r="C501"/>
  <c r="E501"/>
  <c r="G501"/>
  <c r="I501"/>
  <c r="K501"/>
  <c r="M501"/>
  <c r="O501"/>
  <c r="Q501"/>
  <c r="S501"/>
  <c r="U501"/>
  <c r="W501"/>
  <c r="Y501"/>
  <c r="AA501"/>
  <c r="AC501"/>
  <c r="AE501"/>
  <c r="AG501"/>
  <c r="AK501"/>
  <c r="AM501"/>
  <c r="AO501"/>
  <c r="AQ501"/>
  <c r="AS501"/>
  <c r="AU501"/>
  <c r="AW501"/>
  <c r="AY501"/>
  <c r="BA501"/>
  <c r="BC501"/>
  <c r="BE501"/>
  <c r="BG501"/>
  <c r="BI501"/>
  <c r="BK501"/>
  <c r="BM501"/>
  <c r="AC493"/>
  <c r="AB493"/>
  <c r="X493"/>
  <c r="V493"/>
  <c r="U494"/>
  <c r="AD493"/>
  <c r="W493"/>
  <c r="AB491"/>
  <c r="AE491" s="1"/>
  <c r="AD491"/>
  <c r="AG491" s="1"/>
  <c r="AC491"/>
  <c r="AF491" s="1"/>
  <c r="V491"/>
  <c r="Y491" s="1"/>
  <c r="X491"/>
  <c r="AA491" s="1"/>
  <c r="W491"/>
  <c r="Z491" s="1"/>
  <c r="U492"/>
  <c r="AG463" s="1"/>
  <c r="F492"/>
  <c r="AG451" s="1"/>
  <c r="G491"/>
  <c r="I491" s="1"/>
  <c r="AH450" s="1"/>
  <c r="H491"/>
  <c r="D491"/>
  <c r="C491"/>
  <c r="E491" s="1"/>
  <c r="AH445" s="1"/>
  <c r="B492"/>
  <c r="AG446" s="1"/>
  <c r="P491"/>
  <c r="N491"/>
  <c r="L491"/>
  <c r="K491"/>
  <c r="Q491" s="1"/>
  <c r="M491"/>
  <c r="R491" s="1"/>
  <c r="O491"/>
  <c r="S491" s="1"/>
  <c r="J492"/>
  <c r="AG457" s="1"/>
  <c r="U57" i="29"/>
  <c r="N58"/>
  <c r="L57"/>
  <c r="M57" s="1"/>
  <c r="K58"/>
  <c r="G57"/>
  <c r="H57" s="1"/>
  <c r="F58"/>
  <c r="P10" i="3"/>
  <c r="P19"/>
  <c r="P20"/>
  <c r="P11"/>
  <c r="P14"/>
  <c r="R18"/>
  <c r="R16"/>
  <c r="M19"/>
  <c r="M15"/>
  <c r="M20"/>
  <c r="E78" s="1"/>
  <c r="M17"/>
  <c r="E75" s="1"/>
  <c r="M9"/>
  <c r="M10"/>
  <c r="M11"/>
  <c r="M12"/>
  <c r="E70" s="1"/>
  <c r="M13"/>
  <c r="E71" s="1"/>
  <c r="M14"/>
  <c r="E72" s="1"/>
  <c r="M8"/>
  <c r="E66" s="1"/>
  <c r="M6"/>
  <c r="E64" s="1"/>
  <c r="M5"/>
  <c r="E63" s="1"/>
  <c r="L20"/>
  <c r="K78" s="1"/>
  <c r="L19"/>
  <c r="K77" s="1"/>
  <c r="L18"/>
  <c r="K76" s="1"/>
  <c r="L17"/>
  <c r="K75" s="1"/>
  <c r="L16"/>
  <c r="K74" s="1"/>
  <c r="L15"/>
  <c r="K73" s="1"/>
  <c r="L14"/>
  <c r="K72" s="1"/>
  <c r="L13"/>
  <c r="K71" s="1"/>
  <c r="L11"/>
  <c r="K69" s="1"/>
  <c r="L9"/>
  <c r="L8"/>
  <c r="K66" s="1"/>
  <c r="L6"/>
  <c r="L5"/>
  <c r="K63" s="1"/>
  <c r="S310" i="4" l="1"/>
  <c r="T310" s="1"/>
  <c r="S325"/>
  <c r="T325" s="1"/>
  <c r="S319"/>
  <c r="T319" s="1"/>
  <c r="AC21" i="3"/>
  <c r="S311" i="4"/>
  <c r="T311" s="1"/>
  <c r="S326"/>
  <c r="T326" s="1"/>
  <c r="S324"/>
  <c r="T324" s="1"/>
  <c r="S314"/>
  <c r="T314" s="1"/>
  <c r="S309"/>
  <c r="T309" s="1"/>
  <c r="AD21" i="3"/>
  <c r="AO21" s="1"/>
  <c r="AU21" s="1"/>
  <c r="G12" i="93" s="1"/>
  <c r="S313" i="4"/>
  <c r="T313" s="1"/>
  <c r="S317"/>
  <c r="T317" s="1"/>
  <c r="S327"/>
  <c r="T327" s="1"/>
  <c r="S323"/>
  <c r="T323" s="1"/>
  <c r="S312"/>
  <c r="T312" s="1"/>
  <c r="AF21" i="3"/>
  <c r="AQ21" s="1"/>
  <c r="AW21" s="1"/>
  <c r="I12" i="93" s="1"/>
  <c r="S322" i="4"/>
  <c r="T322" s="1"/>
  <c r="S315"/>
  <c r="T315" s="1"/>
  <c r="V308"/>
  <c r="S318"/>
  <c r="T318" s="1"/>
  <c r="S308"/>
  <c r="T308" s="1"/>
  <c r="C559" i="2"/>
  <c r="E559" s="1"/>
  <c r="AH468" s="1"/>
  <c r="D557"/>
  <c r="AE493"/>
  <c r="W315" i="4"/>
  <c r="X315" s="1"/>
  <c r="W321"/>
  <c r="X321" s="1"/>
  <c r="F40" i="93" s="1"/>
  <c r="W326" i="4"/>
  <c r="X326" s="1"/>
  <c r="F45" i="93" s="1"/>
  <c r="W318" i="4"/>
  <c r="X318" s="1"/>
  <c r="F37" i="93" s="1"/>
  <c r="W310" i="4"/>
  <c r="X310" s="1"/>
  <c r="W311"/>
  <c r="X311" s="1"/>
  <c r="W325"/>
  <c r="X325" s="1"/>
  <c r="F44" i="93" s="1"/>
  <c r="W309" i="4"/>
  <c r="X309" s="1"/>
  <c r="W308"/>
  <c r="X308" s="1"/>
  <c r="W320"/>
  <c r="X320" s="1"/>
  <c r="F39" i="93" s="1"/>
  <c r="W312" i="4"/>
  <c r="X312" s="1"/>
  <c r="W327"/>
  <c r="X327" s="1"/>
  <c r="F46" i="93" s="1"/>
  <c r="W323" i="4"/>
  <c r="X323" s="1"/>
  <c r="F42" i="93" s="1"/>
  <c r="W313" i="4"/>
  <c r="X313" s="1"/>
  <c r="W322"/>
  <c r="X322" s="1"/>
  <c r="F41" i="93" s="1"/>
  <c r="W314" i="4"/>
  <c r="X314" s="1"/>
  <c r="W319"/>
  <c r="X319" s="1"/>
  <c r="F38" i="93" s="1"/>
  <c r="W317" i="4"/>
  <c r="X317" s="1"/>
  <c r="W324"/>
  <c r="X324" s="1"/>
  <c r="F43" i="93" s="1"/>
  <c r="W316" i="4"/>
  <c r="X316" s="1"/>
  <c r="W347"/>
  <c r="X347" s="1"/>
  <c r="W332"/>
  <c r="X332" s="1"/>
  <c r="W345"/>
  <c r="X345" s="1"/>
  <c r="W337"/>
  <c r="X337" s="1"/>
  <c r="W348"/>
  <c r="X348" s="1"/>
  <c r="W340"/>
  <c r="X340" s="1"/>
  <c r="W349"/>
  <c r="X349" s="1"/>
  <c r="W341"/>
  <c r="X341" s="1"/>
  <c r="W333"/>
  <c r="X333" s="1"/>
  <c r="W344"/>
  <c r="X344" s="1"/>
  <c r="W336"/>
  <c r="X336" s="1"/>
  <c r="W338"/>
  <c r="X338" s="1"/>
  <c r="W351"/>
  <c r="X351" s="1"/>
  <c r="W343"/>
  <c r="X343" s="1"/>
  <c r="W334"/>
  <c r="X334" s="1"/>
  <c r="W350"/>
  <c r="X350" s="1"/>
  <c r="W335"/>
  <c r="X335" s="1"/>
  <c r="W346"/>
  <c r="X346" s="1"/>
  <c r="W342"/>
  <c r="X342" s="1"/>
  <c r="W339"/>
  <c r="X339" s="1"/>
  <c r="D558" i="2"/>
  <c r="C557"/>
  <c r="E557" s="1"/>
  <c r="AH466" s="1"/>
  <c r="AM466" s="1"/>
  <c r="H81" i="3"/>
  <c r="J81" s="1"/>
  <c r="AC81"/>
  <c r="AH81" s="1"/>
  <c r="AD81"/>
  <c r="AI81" s="1"/>
  <c r="AA81"/>
  <c r="AF81" s="1"/>
  <c r="AN22" s="1"/>
  <c r="AB81"/>
  <c r="AG81" s="1"/>
  <c r="Y493" i="2"/>
  <c r="AB489" s="1"/>
  <c r="AH462" s="1"/>
  <c r="AM462" s="1"/>
  <c r="C558"/>
  <c r="E558" s="1"/>
  <c r="AH467" s="1"/>
  <c r="AK467" s="1"/>
  <c r="AP467" s="1"/>
  <c r="D559"/>
  <c r="H80" i="3"/>
  <c r="J80" s="1"/>
  <c r="AA80"/>
  <c r="AF80" s="1"/>
  <c r="AN21" s="1"/>
  <c r="AB80"/>
  <c r="AG80" s="1"/>
  <c r="AO22" s="1"/>
  <c r="AU22" s="1"/>
  <c r="G12" i="94" s="1"/>
  <c r="AC80" i="3"/>
  <c r="AH80" s="1"/>
  <c r="AP22" s="1"/>
  <c r="AV22" s="1"/>
  <c r="H12" i="94" s="1"/>
  <c r="AD80" i="3"/>
  <c r="AI80" s="1"/>
  <c r="AQ22" s="1"/>
  <c r="AW22" s="1"/>
  <c r="I12" i="94" s="1"/>
  <c r="T491" i="2"/>
  <c r="AH456" s="1"/>
  <c r="AL456" s="1"/>
  <c r="O68" i="3"/>
  <c r="T68" s="1"/>
  <c r="AI68" s="1"/>
  <c r="N68"/>
  <c r="S68" s="1"/>
  <c r="AH68" s="1"/>
  <c r="M68"/>
  <c r="R68" s="1"/>
  <c r="AG68" s="1"/>
  <c r="L68"/>
  <c r="Q68" s="1"/>
  <c r="AF68" s="1"/>
  <c r="AA6"/>
  <c r="K64"/>
  <c r="AC64" s="1"/>
  <c r="K79"/>
  <c r="K67"/>
  <c r="AA73"/>
  <c r="AB73"/>
  <c r="AC73"/>
  <c r="AD73"/>
  <c r="AC77"/>
  <c r="AD77"/>
  <c r="AA77"/>
  <c r="AB77"/>
  <c r="L73"/>
  <c r="Q73" s="1"/>
  <c r="AF73" s="1"/>
  <c r="N73"/>
  <c r="S73" s="1"/>
  <c r="L77"/>
  <c r="Q77" s="1"/>
  <c r="AF77" s="1"/>
  <c r="N77"/>
  <c r="S77" s="1"/>
  <c r="AD69"/>
  <c r="AB69"/>
  <c r="AC69"/>
  <c r="AA69"/>
  <c r="O69"/>
  <c r="T69" s="1"/>
  <c r="AI69" s="1"/>
  <c r="M69"/>
  <c r="R69" s="1"/>
  <c r="AG69" s="1"/>
  <c r="N69"/>
  <c r="S69" s="1"/>
  <c r="AH69" s="1"/>
  <c r="L69"/>
  <c r="Q69" s="1"/>
  <c r="AF69" s="1"/>
  <c r="AC74"/>
  <c r="AA74"/>
  <c r="AB74"/>
  <c r="AD74"/>
  <c r="O74"/>
  <c r="T74" s="1"/>
  <c r="M74"/>
  <c r="R74" s="1"/>
  <c r="N74"/>
  <c r="S74" s="1"/>
  <c r="L74"/>
  <c r="Q74" s="1"/>
  <c r="AD76"/>
  <c r="AB76"/>
  <c r="AC76"/>
  <c r="AA76"/>
  <c r="O76"/>
  <c r="T76" s="1"/>
  <c r="AI76" s="1"/>
  <c r="M76"/>
  <c r="R76" s="1"/>
  <c r="AG76" s="1"/>
  <c r="N76"/>
  <c r="S76" s="1"/>
  <c r="AH76" s="1"/>
  <c r="L76"/>
  <c r="Q76" s="1"/>
  <c r="AF76" s="1"/>
  <c r="M73"/>
  <c r="R73" s="1"/>
  <c r="O73"/>
  <c r="T73" s="1"/>
  <c r="M77"/>
  <c r="R77" s="1"/>
  <c r="O77"/>
  <c r="T77" s="1"/>
  <c r="AI77" s="1"/>
  <c r="H64"/>
  <c r="J64" s="1"/>
  <c r="AD64"/>
  <c r="H66"/>
  <c r="J66" s="1"/>
  <c r="AA66"/>
  <c r="H71"/>
  <c r="J71" s="1"/>
  <c r="AD71"/>
  <c r="AB71"/>
  <c r="AC71"/>
  <c r="AA71"/>
  <c r="H78"/>
  <c r="J78" s="1"/>
  <c r="AD78"/>
  <c r="AC78"/>
  <c r="AB78"/>
  <c r="AA78"/>
  <c r="H63"/>
  <c r="J63" s="1"/>
  <c r="AD63"/>
  <c r="AC63"/>
  <c r="AB63"/>
  <c r="AA63"/>
  <c r="H72"/>
  <c r="J72" s="1"/>
  <c r="AD72"/>
  <c r="AC72"/>
  <c r="AB72"/>
  <c r="AA72"/>
  <c r="H70"/>
  <c r="J70" s="1"/>
  <c r="AD70"/>
  <c r="AC70"/>
  <c r="AB70"/>
  <c r="AA70"/>
  <c r="H75"/>
  <c r="J75" s="1"/>
  <c r="AD75"/>
  <c r="AB75"/>
  <c r="AC75"/>
  <c r="AA75"/>
  <c r="AM456" i="2"/>
  <c r="AK445"/>
  <c r="AJ445"/>
  <c r="AM445"/>
  <c r="AL445"/>
  <c r="AM469"/>
  <c r="AR469" s="1"/>
  <c r="AL469"/>
  <c r="AQ469" s="1"/>
  <c r="AK469"/>
  <c r="AP469" s="1"/>
  <c r="AJ469"/>
  <c r="AO469" s="1"/>
  <c r="AL468"/>
  <c r="AQ468" s="1"/>
  <c r="AK468"/>
  <c r="AP468" s="1"/>
  <c r="AM468"/>
  <c r="AR468" s="1"/>
  <c r="AJ468"/>
  <c r="AO468" s="1"/>
  <c r="AM450"/>
  <c r="AL450"/>
  <c r="AK450"/>
  <c r="AJ450"/>
  <c r="AM467"/>
  <c r="AR467" s="1"/>
  <c r="AJ467"/>
  <c r="AO467" s="1"/>
  <c r="AM470"/>
  <c r="AR470" s="1"/>
  <c r="AL470"/>
  <c r="AQ470" s="1"/>
  <c r="AK470"/>
  <c r="AP470" s="1"/>
  <c r="AJ470"/>
  <c r="AO470" s="1"/>
  <c r="AC492"/>
  <c r="AF492" s="1"/>
  <c r="AB492"/>
  <c r="AE492" s="1"/>
  <c r="AD492"/>
  <c r="AG492" s="1"/>
  <c r="AE494" s="1"/>
  <c r="W492"/>
  <c r="Z492" s="1"/>
  <c r="V492"/>
  <c r="Y492" s="1"/>
  <c r="X492"/>
  <c r="AA492" s="1"/>
  <c r="AD494"/>
  <c r="X494"/>
  <c r="AC494"/>
  <c r="AB494"/>
  <c r="W494"/>
  <c r="V494"/>
  <c r="D492"/>
  <c r="C492"/>
  <c r="E492" s="1"/>
  <c r="AH446" s="1"/>
  <c r="B493"/>
  <c r="AG447" s="1"/>
  <c r="J493"/>
  <c r="AG458" s="1"/>
  <c r="P492"/>
  <c r="M492"/>
  <c r="R492" s="1"/>
  <c r="O492"/>
  <c r="S492" s="1"/>
  <c r="N492"/>
  <c r="L492"/>
  <c r="K492"/>
  <c r="Q492" s="1"/>
  <c r="F493"/>
  <c r="AG452" s="1"/>
  <c r="H492"/>
  <c r="G492"/>
  <c r="I492" s="1"/>
  <c r="AH451" s="1"/>
  <c r="U58" i="29"/>
  <c r="N59"/>
  <c r="G58"/>
  <c r="H58" s="1"/>
  <c r="F59"/>
  <c r="L58"/>
  <c r="M58" s="1"/>
  <c r="K59"/>
  <c r="D1" i="3"/>
  <c r="AK19" i="1"/>
  <c r="AK5" s="1"/>
  <c r="AK17"/>
  <c r="AH19"/>
  <c r="AH17"/>
  <c r="AC18"/>
  <c r="AC16"/>
  <c r="AD13"/>
  <c r="AB20"/>
  <c r="AB18"/>
  <c r="AB17"/>
  <c r="AB16"/>
  <c r="AB15"/>
  <c r="AB14"/>
  <c r="AB13"/>
  <c r="AB10"/>
  <c r="AB7"/>
  <c r="AB6"/>
  <c r="AQ98"/>
  <c r="AQ27"/>
  <c r="AI73" i="3" l="1"/>
  <c r="AH74"/>
  <c r="AF74"/>
  <c r="AL467" i="2"/>
  <c r="AQ467" s="1"/>
  <c r="Y351" i="4"/>
  <c r="G46" i="94" s="1"/>
  <c r="F46"/>
  <c r="Y349" i="4"/>
  <c r="G44" i="94" s="1"/>
  <c r="F44"/>
  <c r="Y348" i="4"/>
  <c r="G43" i="94" s="1"/>
  <c r="F43"/>
  <c r="Y350" i="4"/>
  <c r="G45" i="94" s="1"/>
  <c r="F45"/>
  <c r="AK462" i="2"/>
  <c r="AM481" s="1"/>
  <c r="AB64" i="3"/>
  <c r="AJ462" i="2"/>
  <c r="AL466"/>
  <c r="AQ466" s="1"/>
  <c r="Y346" i="4"/>
  <c r="G41" i="94" s="1"/>
  <c r="F41"/>
  <c r="Y344" i="4"/>
  <c r="G39" i="94" s="1"/>
  <c r="F39"/>
  <c r="AJ456" i="2"/>
  <c r="AJ466"/>
  <c r="AK456"/>
  <c r="AM482" s="1"/>
  <c r="Y345" i="4"/>
  <c r="G40" i="94" s="1"/>
  <c r="F40"/>
  <c r="Y347" i="4"/>
  <c r="G42" i="94" s="1"/>
  <c r="F42"/>
  <c r="Y343" i="4"/>
  <c r="G38" i="94" s="1"/>
  <c r="F38"/>
  <c r="Y342" i="4"/>
  <c r="G37" i="94" s="1"/>
  <c r="F37"/>
  <c r="Y339" i="4"/>
  <c r="G34" i="94" s="1"/>
  <c r="F34"/>
  <c r="F33"/>
  <c r="Y338" i="4"/>
  <c r="G33" i="94" s="1"/>
  <c r="F36"/>
  <c r="Y341" i="4"/>
  <c r="G36" i="94" s="1"/>
  <c r="F35"/>
  <c r="Y340" i="4"/>
  <c r="G35" i="94" s="1"/>
  <c r="F32"/>
  <c r="Y337" i="4"/>
  <c r="G32" i="94" s="1"/>
  <c r="F27"/>
  <c r="Y332" i="4"/>
  <c r="G27" i="94" s="1"/>
  <c r="F35" i="93"/>
  <c r="Y316" i="4"/>
  <c r="G35" i="93" s="1"/>
  <c r="F36"/>
  <c r="BT265" i="4"/>
  <c r="BT239"/>
  <c r="Y317"/>
  <c r="G36" i="93" s="1"/>
  <c r="Y314" i="4"/>
  <c r="G33" i="93" s="1"/>
  <c r="F33"/>
  <c r="F32"/>
  <c r="Y313" i="4"/>
  <c r="G32" i="93" s="1"/>
  <c r="Y327" i="4"/>
  <c r="G46" i="93" s="1"/>
  <c r="CD249" i="4"/>
  <c r="CD275"/>
  <c r="BW242"/>
  <c r="BW268"/>
  <c r="Y320"/>
  <c r="G39" i="93" s="1"/>
  <c r="Y309" i="4"/>
  <c r="G28" i="93" s="1"/>
  <c r="F28"/>
  <c r="Y311" i="4"/>
  <c r="G30" i="93" s="1"/>
  <c r="F30"/>
  <c r="BU266" i="4"/>
  <c r="Y318"/>
  <c r="G37" i="93" s="1"/>
  <c r="BU240" i="4"/>
  <c r="BX269"/>
  <c r="BX243"/>
  <c r="Y321"/>
  <c r="G40" i="93" s="1"/>
  <c r="Y335" i="4"/>
  <c r="G30" i="94" s="1"/>
  <c r="F30"/>
  <c r="F29"/>
  <c r="Y334" i="4"/>
  <c r="G29" i="94" s="1"/>
  <c r="F31"/>
  <c r="Y336" i="4"/>
  <c r="G31" i="94" s="1"/>
  <c r="Y333" i="4"/>
  <c r="G28" i="94" s="1"/>
  <c r="F28"/>
  <c r="CA272" i="4"/>
  <c r="CA246"/>
  <c r="Y324"/>
  <c r="G43" i="93" s="1"/>
  <c r="Y319" i="4"/>
  <c r="G38" i="93" s="1"/>
  <c r="BV241" i="4"/>
  <c r="BV267"/>
  <c r="BY244"/>
  <c r="BY270"/>
  <c r="Y322"/>
  <c r="G41" i="93" s="1"/>
  <c r="BZ245" i="4"/>
  <c r="BZ271"/>
  <c r="Y323"/>
  <c r="G42" i="93" s="1"/>
  <c r="F31"/>
  <c r="Y312" i="4"/>
  <c r="G31" i="93" s="1"/>
  <c r="Y308" i="4"/>
  <c r="G27" i="93" s="1"/>
  <c r="F27"/>
  <c r="Y325" i="4"/>
  <c r="G44" i="93" s="1"/>
  <c r="CB273" i="4"/>
  <c r="CB247"/>
  <c r="Y310"/>
  <c r="G29" i="93" s="1"/>
  <c r="F29"/>
  <c r="Y326" i="4"/>
  <c r="G45" i="93" s="1"/>
  <c r="CC274" i="4"/>
  <c r="CC248"/>
  <c r="Y315"/>
  <c r="G34" i="93" s="1"/>
  <c r="F34"/>
  <c r="AQ101" i="1"/>
  <c r="AQ103"/>
  <c r="AQ105"/>
  <c r="AQ107"/>
  <c r="AQ109"/>
  <c r="AQ111"/>
  <c r="AQ113"/>
  <c r="AQ115"/>
  <c r="AQ117"/>
  <c r="AQ119"/>
  <c r="AQ121"/>
  <c r="AQ123"/>
  <c r="AQ125"/>
  <c r="AQ127"/>
  <c r="AQ129"/>
  <c r="AQ99"/>
  <c r="AQ102"/>
  <c r="AQ104"/>
  <c r="AQ106"/>
  <c r="AQ108"/>
  <c r="AQ110"/>
  <c r="AQ112"/>
  <c r="AQ114"/>
  <c r="AQ116"/>
  <c r="AQ118"/>
  <c r="AQ120"/>
  <c r="AQ122"/>
  <c r="AQ124"/>
  <c r="AQ126"/>
  <c r="AQ128"/>
  <c r="AQ100"/>
  <c r="AQ31"/>
  <c r="AQ33"/>
  <c r="AQ35"/>
  <c r="AQ37"/>
  <c r="AQ39"/>
  <c r="AQ41"/>
  <c r="AQ43"/>
  <c r="AQ45"/>
  <c r="AQ47"/>
  <c r="AQ49"/>
  <c r="AQ51"/>
  <c r="AQ53"/>
  <c r="AQ55"/>
  <c r="AQ57"/>
  <c r="AQ59"/>
  <c r="AQ61"/>
  <c r="AQ63"/>
  <c r="AQ65"/>
  <c r="AQ67"/>
  <c r="AQ69"/>
  <c r="AQ71"/>
  <c r="AQ73"/>
  <c r="AQ75"/>
  <c r="AQ77"/>
  <c r="AQ79"/>
  <c r="AQ81"/>
  <c r="AQ83"/>
  <c r="AQ85"/>
  <c r="AQ87"/>
  <c r="AQ89"/>
  <c r="AQ91"/>
  <c r="AQ93"/>
  <c r="AQ28"/>
  <c r="AQ30"/>
  <c r="AQ32"/>
  <c r="AQ34"/>
  <c r="AQ36"/>
  <c r="AQ38"/>
  <c r="AQ40"/>
  <c r="AQ42"/>
  <c r="AQ44"/>
  <c r="AQ46"/>
  <c r="AQ48"/>
  <c r="AQ50"/>
  <c r="AQ52"/>
  <c r="AQ54"/>
  <c r="AQ56"/>
  <c r="AQ58"/>
  <c r="AQ60"/>
  <c r="AQ62"/>
  <c r="AQ64"/>
  <c r="AQ66"/>
  <c r="AQ68"/>
  <c r="AQ70"/>
  <c r="AQ72"/>
  <c r="AQ76"/>
  <c r="AQ80"/>
  <c r="AQ84"/>
  <c r="AQ88"/>
  <c r="AQ92"/>
  <c r="AQ74"/>
  <c r="AQ78"/>
  <c r="AQ82"/>
  <c r="AQ86"/>
  <c r="AQ90"/>
  <c r="AQ29"/>
  <c r="AO481" i="2"/>
  <c r="AR462"/>
  <c r="BA489" s="1"/>
  <c r="H88" i="3" s="1"/>
  <c r="AL462" i="2"/>
  <c r="AK466"/>
  <c r="AP466" s="1"/>
  <c r="AA64" i="3"/>
  <c r="AG77"/>
  <c r="AG73"/>
  <c r="AI74"/>
  <c r="AY22"/>
  <c r="AT22"/>
  <c r="L80"/>
  <c r="N80"/>
  <c r="O80"/>
  <c r="M80"/>
  <c r="M81"/>
  <c r="O81"/>
  <c r="L81"/>
  <c r="N81"/>
  <c r="B2"/>
  <c r="D2"/>
  <c r="F2"/>
  <c r="H2"/>
  <c r="J2"/>
  <c r="L2"/>
  <c r="R2"/>
  <c r="V2"/>
  <c r="X2"/>
  <c r="Z2"/>
  <c r="AR2"/>
  <c r="BB2"/>
  <c r="BD2"/>
  <c r="BF2"/>
  <c r="BH2"/>
  <c r="A2"/>
  <c r="C2"/>
  <c r="G2"/>
  <c r="I2"/>
  <c r="K2"/>
  <c r="M2"/>
  <c r="O2"/>
  <c r="Q2"/>
  <c r="S2"/>
  <c r="U2"/>
  <c r="W2"/>
  <c r="Y2"/>
  <c r="AG2"/>
  <c r="AI2"/>
  <c r="BA2"/>
  <c r="BC2"/>
  <c r="BE2"/>
  <c r="BG2"/>
  <c r="T492" i="2"/>
  <c r="AH457" s="1"/>
  <c r="AL457" s="1"/>
  <c r="AQ457" s="1"/>
  <c r="AG74" i="3"/>
  <c r="AH77"/>
  <c r="AH73"/>
  <c r="AO456" i="2"/>
  <c r="BB486" s="1"/>
  <c r="E89" i="3" s="1"/>
  <c r="AL482" i="2"/>
  <c r="AO462"/>
  <c r="BA486" s="1"/>
  <c r="E88" i="3" s="1"/>
  <c r="AL481" i="2"/>
  <c r="AO450"/>
  <c r="AZ450" s="1"/>
  <c r="AL480"/>
  <c r="AQ450"/>
  <c r="AZ488" s="1"/>
  <c r="G87" i="3" s="1"/>
  <c r="AN480" i="2"/>
  <c r="AO466"/>
  <c r="AX486" s="1"/>
  <c r="E85" i="3" s="1"/>
  <c r="AL478" i="2"/>
  <c r="AL477"/>
  <c r="AQ445"/>
  <c r="AY488" s="1"/>
  <c r="G86" i="3" s="1"/>
  <c r="AN479" i="2"/>
  <c r="AO445"/>
  <c r="AY450" s="1"/>
  <c r="AL479"/>
  <c r="AP456"/>
  <c r="BB487" s="1"/>
  <c r="F89" i="3" s="1"/>
  <c r="AR456" i="2"/>
  <c r="BB489" s="1"/>
  <c r="H89" i="3" s="1"/>
  <c r="AO482" i="2"/>
  <c r="AP450"/>
  <c r="AZ487" s="1"/>
  <c r="F87" i="3" s="1"/>
  <c r="AM480" i="2"/>
  <c r="AR450"/>
  <c r="AZ489" s="1"/>
  <c r="H87" i="3" s="1"/>
  <c r="AO480" i="2"/>
  <c r="AR466"/>
  <c r="BC489" s="1"/>
  <c r="H90" i="3" s="1"/>
  <c r="AO478" i="2"/>
  <c r="AO477"/>
  <c r="AR445"/>
  <c r="AY489" s="1"/>
  <c r="H86" i="3" s="1"/>
  <c r="AO479" i="2"/>
  <c r="AP445"/>
  <c r="AY487" s="1"/>
  <c r="F86" i="3" s="1"/>
  <c r="AM479" i="2"/>
  <c r="AQ456"/>
  <c r="BB488" s="1"/>
  <c r="G89" i="3" s="1"/>
  <c r="AN482" i="2"/>
  <c r="O75" i="3"/>
  <c r="T75" s="1"/>
  <c r="AI75" s="1"/>
  <c r="N75"/>
  <c r="S75" s="1"/>
  <c r="AH75" s="1"/>
  <c r="M75"/>
  <c r="R75" s="1"/>
  <c r="AG75" s="1"/>
  <c r="L75"/>
  <c r="Q75" s="1"/>
  <c r="AF75" s="1"/>
  <c r="N72"/>
  <c r="S72" s="1"/>
  <c r="AH72" s="1"/>
  <c r="M72"/>
  <c r="R72" s="1"/>
  <c r="AG72" s="1"/>
  <c r="L72"/>
  <c r="Q72" s="1"/>
  <c r="AF72" s="1"/>
  <c r="O72"/>
  <c r="T72" s="1"/>
  <c r="AI72" s="1"/>
  <c r="N78"/>
  <c r="S78" s="1"/>
  <c r="AH78" s="1"/>
  <c r="M78"/>
  <c r="R78" s="1"/>
  <c r="AG78" s="1"/>
  <c r="L78"/>
  <c r="Q78" s="1"/>
  <c r="AF78" s="1"/>
  <c r="O78"/>
  <c r="T78" s="1"/>
  <c r="AI78" s="1"/>
  <c r="L66"/>
  <c r="Q66" s="1"/>
  <c r="AF66" s="1"/>
  <c r="N70"/>
  <c r="S70" s="1"/>
  <c r="AH70" s="1"/>
  <c r="AP12" s="1"/>
  <c r="M70"/>
  <c r="R70" s="1"/>
  <c r="AG70" s="1"/>
  <c r="L70"/>
  <c r="Q70" s="1"/>
  <c r="AF70" s="1"/>
  <c r="O70"/>
  <c r="T70" s="1"/>
  <c r="AI70" s="1"/>
  <c r="AQ12" s="1"/>
  <c r="N63"/>
  <c r="S63" s="1"/>
  <c r="AH63" s="1"/>
  <c r="M63"/>
  <c r="R63" s="1"/>
  <c r="AG63" s="1"/>
  <c r="L63"/>
  <c r="Q63" s="1"/>
  <c r="AF63" s="1"/>
  <c r="O63"/>
  <c r="T63" s="1"/>
  <c r="AI63" s="1"/>
  <c r="O71"/>
  <c r="T71" s="1"/>
  <c r="AI71" s="1"/>
  <c r="AQ13" s="1"/>
  <c r="N71"/>
  <c r="S71" s="1"/>
  <c r="AH71" s="1"/>
  <c r="AP13" s="1"/>
  <c r="M71"/>
  <c r="R71" s="1"/>
  <c r="AG71" s="1"/>
  <c r="L71"/>
  <c r="Q71" s="1"/>
  <c r="AF71" s="1"/>
  <c r="O64"/>
  <c r="T64" s="1"/>
  <c r="AI64" s="1"/>
  <c r="N64"/>
  <c r="S64" s="1"/>
  <c r="AH64" s="1"/>
  <c r="M64"/>
  <c r="R64" s="1"/>
  <c r="AG64" s="1"/>
  <c r="L64"/>
  <c r="Q64" s="1"/>
  <c r="AL446" i="2"/>
  <c r="AQ446" s="1"/>
  <c r="AK446"/>
  <c r="AP446" s="1"/>
  <c r="AM446"/>
  <c r="AR446" s="1"/>
  <c r="AJ446"/>
  <c r="AO446" s="1"/>
  <c r="Y494"/>
  <c r="AB490" s="1"/>
  <c r="AH463" s="1"/>
  <c r="AX470"/>
  <c r="AX466"/>
  <c r="AW469"/>
  <c r="AX469"/>
  <c r="AX467"/>
  <c r="AX468"/>
  <c r="AW467"/>
  <c r="BD467" s="1"/>
  <c r="I48" i="89" s="1"/>
  <c r="AW466" i="2"/>
  <c r="BD466" s="1"/>
  <c r="I47" i="89" s="1"/>
  <c r="AW470" i="2"/>
  <c r="BD470" s="1"/>
  <c r="I51" i="89" s="1"/>
  <c r="AW468" i="2"/>
  <c r="BD468" s="1"/>
  <c r="I49" i="89" s="1"/>
  <c r="BC455" i="2"/>
  <c r="BC451"/>
  <c r="AX452"/>
  <c r="AW455"/>
  <c r="AX453"/>
  <c r="AW451"/>
  <c r="AX455"/>
  <c r="AW454"/>
  <c r="BC453"/>
  <c r="AX454"/>
  <c r="AW453"/>
  <c r="BC454"/>
  <c r="AW452"/>
  <c r="BC452"/>
  <c r="AX451"/>
  <c r="AX489"/>
  <c r="H85" i="3" s="1"/>
  <c r="AJ451" i="2"/>
  <c r="AO451" s="1"/>
  <c r="AM451"/>
  <c r="AR451" s="1"/>
  <c r="AL451"/>
  <c r="AQ451" s="1"/>
  <c r="AK451"/>
  <c r="AP451" s="1"/>
  <c r="AZ447"/>
  <c r="BC457"/>
  <c r="AX458"/>
  <c r="AW457"/>
  <c r="AW456"/>
  <c r="AX457"/>
  <c r="BC460"/>
  <c r="AX459"/>
  <c r="BC459"/>
  <c r="AX460"/>
  <c r="AX456"/>
  <c r="AW459"/>
  <c r="BC458"/>
  <c r="AW458"/>
  <c r="BC456"/>
  <c r="AW460"/>
  <c r="BC465"/>
  <c r="BC461"/>
  <c r="AX462"/>
  <c r="AW465"/>
  <c r="BC462"/>
  <c r="AX461"/>
  <c r="AX463"/>
  <c r="AW461"/>
  <c r="BC463"/>
  <c r="AX464"/>
  <c r="AW463"/>
  <c r="BC464"/>
  <c r="AX465"/>
  <c r="AW464"/>
  <c r="AW462"/>
  <c r="AW449"/>
  <c r="AY486"/>
  <c r="E86" i="3" s="1"/>
  <c r="AY449" i="2"/>
  <c r="AY447"/>
  <c r="BA447"/>
  <c r="J494"/>
  <c r="AG459" s="1"/>
  <c r="P493"/>
  <c r="N493"/>
  <c r="O493"/>
  <c r="S493" s="1"/>
  <c r="M493"/>
  <c r="R493" s="1"/>
  <c r="F494"/>
  <c r="AG453" s="1"/>
  <c r="H493"/>
  <c r="G493"/>
  <c r="I493" s="1"/>
  <c r="AH452" s="1"/>
  <c r="B494"/>
  <c r="D493"/>
  <c r="C493"/>
  <c r="E493" s="1"/>
  <c r="AH447" s="1"/>
  <c r="N60" i="29"/>
  <c r="U59"/>
  <c r="L59"/>
  <c r="M59" s="1"/>
  <c r="K60"/>
  <c r="G59"/>
  <c r="H59" s="1"/>
  <c r="F60"/>
  <c r="AE13" i="1"/>
  <c r="AB19" s="1"/>
  <c r="AB5" s="1"/>
  <c r="BB449" i="2" l="1"/>
  <c r="AM457"/>
  <c r="AR457" s="1"/>
  <c r="AZ446"/>
  <c r="AK457"/>
  <c r="AP457" s="1"/>
  <c r="AM478"/>
  <c r="AJ457"/>
  <c r="AO457" s="1"/>
  <c r="AW446"/>
  <c r="AZ486"/>
  <c r="E87" i="3" s="1"/>
  <c r="E12" i="1"/>
  <c r="AP462" i="2"/>
  <c r="BA487" s="1"/>
  <c r="F88" i="3" s="1"/>
  <c r="E44" i="94"/>
  <c r="E45"/>
  <c r="E46"/>
  <c r="E43"/>
  <c r="BA450" i="2"/>
  <c r="AY446"/>
  <c r="AY448"/>
  <c r="AW448"/>
  <c r="BC486"/>
  <c r="E90" i="3" s="1"/>
  <c r="AW486" i="2"/>
  <c r="E84" i="3" s="1"/>
  <c r="AZ448" i="2"/>
  <c r="AZ449"/>
  <c r="AN478"/>
  <c r="BC488"/>
  <c r="G90" i="3" s="1"/>
  <c r="AX488" i="2"/>
  <c r="G85" i="3" s="1"/>
  <c r="BB450" i="2"/>
  <c r="BA446"/>
  <c r="AX449"/>
  <c r="AX450"/>
  <c r="AW450"/>
  <c r="AX448"/>
  <c r="AW489"/>
  <c r="H84" i="3" s="1"/>
  <c r="AF64"/>
  <c r="AN477" i="2"/>
  <c r="BB446"/>
  <c r="BB447"/>
  <c r="BB448"/>
  <c r="BA448"/>
  <c r="BA449"/>
  <c r="BC448"/>
  <c r="BC450"/>
  <c r="AX446"/>
  <c r="BC449"/>
  <c r="AX447"/>
  <c r="BC446"/>
  <c r="AW447"/>
  <c r="BC447"/>
  <c r="AZ22" i="3"/>
  <c r="L11" i="94" s="1"/>
  <c r="BU255" i="4"/>
  <c r="BW255"/>
  <c r="BY255"/>
  <c r="CA255"/>
  <c r="CC255"/>
  <c r="F12" i="94"/>
  <c r="BX255" i="4"/>
  <c r="CB255"/>
  <c r="BT255"/>
  <c r="E27" i="94"/>
  <c r="BZ255" i="4"/>
  <c r="BV255"/>
  <c r="CD255"/>
  <c r="E36" i="94"/>
  <c r="CD258" i="4"/>
  <c r="CD260"/>
  <c r="CD262"/>
  <c r="CD264"/>
  <c r="CD266"/>
  <c r="CD268"/>
  <c r="CD270"/>
  <c r="CD272"/>
  <c r="CD274"/>
  <c r="CC258"/>
  <c r="CC260"/>
  <c r="CC262"/>
  <c r="CC264"/>
  <c r="CC266"/>
  <c r="CC268"/>
  <c r="CC270"/>
  <c r="CC272"/>
  <c r="CB257"/>
  <c r="CB259"/>
  <c r="CB261"/>
  <c r="CB263"/>
  <c r="CB265"/>
  <c r="CB267"/>
  <c r="CB269"/>
  <c r="CB271"/>
  <c r="CA257"/>
  <c r="CA259"/>
  <c r="CA261"/>
  <c r="CA263"/>
  <c r="CA265"/>
  <c r="CA267"/>
  <c r="CA269"/>
  <c r="CA271"/>
  <c r="BZ258"/>
  <c r="BZ260"/>
  <c r="BZ262"/>
  <c r="BZ264"/>
  <c r="BZ266"/>
  <c r="BZ268"/>
  <c r="BZ270"/>
  <c r="BY258"/>
  <c r="BY260"/>
  <c r="BY262"/>
  <c r="BY264"/>
  <c r="BY266"/>
  <c r="BY268"/>
  <c r="BX257"/>
  <c r="BX259"/>
  <c r="BX261"/>
  <c r="BX263"/>
  <c r="BX265"/>
  <c r="BX267"/>
  <c r="BW257"/>
  <c r="BW259"/>
  <c r="BW261"/>
  <c r="BW263"/>
  <c r="BW265"/>
  <c r="BW267"/>
  <c r="BV258"/>
  <c r="BV260"/>
  <c r="BV262"/>
  <c r="BV264"/>
  <c r="BV266"/>
  <c r="BU258"/>
  <c r="BU260"/>
  <c r="BU262"/>
  <c r="BU264"/>
  <c r="BT257"/>
  <c r="BT259"/>
  <c r="BT261"/>
  <c r="BT263"/>
  <c r="BU256"/>
  <c r="BW256"/>
  <c r="BY256"/>
  <c r="CA256"/>
  <c r="CC256"/>
  <c r="E32" i="94"/>
  <c r="CD257" i="4"/>
  <c r="CD261"/>
  <c r="CD265"/>
  <c r="CD269"/>
  <c r="CD273"/>
  <c r="CC259"/>
  <c r="CC263"/>
  <c r="CC267"/>
  <c r="CC271"/>
  <c r="CB258"/>
  <c r="CB262"/>
  <c r="CB266"/>
  <c r="CB270"/>
  <c r="CA258"/>
  <c r="CA262"/>
  <c r="CA266"/>
  <c r="CA270"/>
  <c r="BZ259"/>
  <c r="BZ263"/>
  <c r="BZ267"/>
  <c r="BY257"/>
  <c r="BY261"/>
  <c r="BY265"/>
  <c r="BY269"/>
  <c r="BX260"/>
  <c r="BX264"/>
  <c r="BX268"/>
  <c r="BW260"/>
  <c r="BW264"/>
  <c r="BV257"/>
  <c r="BV261"/>
  <c r="BV265"/>
  <c r="BU259"/>
  <c r="BU263"/>
  <c r="BT258"/>
  <c r="BT262"/>
  <c r="BV256"/>
  <c r="BZ256"/>
  <c r="CD256"/>
  <c r="BT256"/>
  <c r="CD263"/>
  <c r="CD271"/>
  <c r="CC261"/>
  <c r="CC269"/>
  <c r="CB260"/>
  <c r="CB268"/>
  <c r="CA260"/>
  <c r="CA268"/>
  <c r="BZ261"/>
  <c r="BZ269"/>
  <c r="BY263"/>
  <c r="BX258"/>
  <c r="BX266"/>
  <c r="BW262"/>
  <c r="BV259"/>
  <c r="BU257"/>
  <c r="BU265"/>
  <c r="BT264"/>
  <c r="CB256"/>
  <c r="E40" i="94"/>
  <c r="CD259" i="4"/>
  <c r="CD267"/>
  <c r="CC257"/>
  <c r="CC265"/>
  <c r="CC273"/>
  <c r="CB272"/>
  <c r="BZ257"/>
  <c r="BY259"/>
  <c r="BX262"/>
  <c r="BW266"/>
  <c r="BU261"/>
  <c r="BX256"/>
  <c r="CB264"/>
  <c r="CA264"/>
  <c r="BZ265"/>
  <c r="BY267"/>
  <c r="BW258"/>
  <c r="BV263"/>
  <c r="BT260"/>
  <c r="E42" i="94"/>
  <c r="E34"/>
  <c r="E41"/>
  <c r="E37"/>
  <c r="E33"/>
  <c r="E29"/>
  <c r="E38"/>
  <c r="E30"/>
  <c r="E28"/>
  <c r="E39"/>
  <c r="E35"/>
  <c r="E31"/>
  <c r="AX487" i="2"/>
  <c r="F85" i="3" s="1"/>
  <c r="AW487" i="2"/>
  <c r="F84" i="3" s="1"/>
  <c r="BC487" i="2"/>
  <c r="F90" i="3" s="1"/>
  <c r="AW488" i="2"/>
  <c r="G84" i="3" s="1"/>
  <c r="AM477" i="2"/>
  <c r="AN481"/>
  <c r="AQ462"/>
  <c r="BA488" s="1"/>
  <c r="G88" i="3" s="1"/>
  <c r="N21"/>
  <c r="N22"/>
  <c r="BD450" i="2"/>
  <c r="I31" i="89" s="1"/>
  <c r="T490" i="2"/>
  <c r="BN73"/>
  <c r="BD446"/>
  <c r="I27" i="89" s="1"/>
  <c r="BD447" i="2"/>
  <c r="I28" i="89" s="1"/>
  <c r="BD488" i="2"/>
  <c r="E17" i="89" s="1"/>
  <c r="BD489" i="2"/>
  <c r="E18" i="89" s="1"/>
  <c r="BD448" i="2"/>
  <c r="I29" i="89" s="1"/>
  <c r="BD449" i="2"/>
  <c r="I30" i="89" s="1"/>
  <c r="BD487" i="2"/>
  <c r="E16" i="89" s="1"/>
  <c r="BD486" i="2"/>
  <c r="E15" i="89" s="1"/>
  <c r="BD469" i="2"/>
  <c r="I50" i="89" s="1"/>
  <c r="AL463" i="2"/>
  <c r="AQ463" s="1"/>
  <c r="AM463"/>
  <c r="AR463" s="1"/>
  <c r="AK463"/>
  <c r="AP463" s="1"/>
  <c r="AJ463"/>
  <c r="AO463" s="1"/>
  <c r="BA452" s="1"/>
  <c r="AM447"/>
  <c r="AR447" s="1"/>
  <c r="AL447"/>
  <c r="AQ447" s="1"/>
  <c r="AK447"/>
  <c r="AP447" s="1"/>
  <c r="AJ447"/>
  <c r="AO447" s="1"/>
  <c r="T493"/>
  <c r="AH458" s="1"/>
  <c r="AJ458" s="1"/>
  <c r="AO458" s="1"/>
  <c r="AM452"/>
  <c r="AR452" s="1"/>
  <c r="AL452"/>
  <c r="AQ452" s="1"/>
  <c r="AK452"/>
  <c r="AP452" s="1"/>
  <c r="AJ452"/>
  <c r="AO452" s="1"/>
  <c r="AZ453"/>
  <c r="AZ452"/>
  <c r="AZ451"/>
  <c r="AZ455"/>
  <c r="AZ454"/>
  <c r="AY454"/>
  <c r="AY453"/>
  <c r="AY452"/>
  <c r="AY451"/>
  <c r="AY455"/>
  <c r="BA453"/>
  <c r="BB455"/>
  <c r="BB453"/>
  <c r="BB451"/>
  <c r="BB452"/>
  <c r="BB454"/>
  <c r="H494"/>
  <c r="G494"/>
  <c r="I494" s="1"/>
  <c r="AH453" s="1"/>
  <c r="F495"/>
  <c r="D494"/>
  <c r="C494"/>
  <c r="E494" s="1"/>
  <c r="P494"/>
  <c r="O494"/>
  <c r="S494" s="1"/>
  <c r="T494" s="1"/>
  <c r="AH459" s="1"/>
  <c r="N61" i="29"/>
  <c r="U60"/>
  <c r="G60"/>
  <c r="H60" s="1"/>
  <c r="F61"/>
  <c r="L60"/>
  <c r="M60" s="1"/>
  <c r="K61"/>
  <c r="J11" i="12"/>
  <c r="B22" s="1"/>
  <c r="L7" i="10"/>
  <c r="L9" i="11"/>
  <c r="N19" i="3"/>
  <c r="BS194" i="4"/>
  <c r="AZ218"/>
  <c r="N5" i="3"/>
  <c r="N11"/>
  <c r="N7"/>
  <c r="N13"/>
  <c r="N9"/>
  <c r="N20"/>
  <c r="N16"/>
  <c r="N14"/>
  <c r="N10"/>
  <c r="N6"/>
  <c r="N12"/>
  <c r="N8"/>
  <c r="N18"/>
  <c r="CD253" i="4" l="1"/>
  <c r="BZ253"/>
  <c r="BT253"/>
  <c r="BX253"/>
  <c r="CC253"/>
  <c r="BY253"/>
  <c r="BU253"/>
  <c r="M38" i="94"/>
  <c r="M42" s="1"/>
  <c r="BV253" i="4"/>
  <c r="CB253"/>
  <c r="CA253"/>
  <c r="BW253"/>
  <c r="N2" i="3"/>
  <c r="BD453" i="2"/>
  <c r="I34" i="89" s="1"/>
  <c r="BD454" i="2"/>
  <c r="I35" i="89" s="1"/>
  <c r="BD455" i="2"/>
  <c r="I36" i="89" s="1"/>
  <c r="BD452" i="2"/>
  <c r="I33" i="89" s="1"/>
  <c r="BA451" i="2"/>
  <c r="BD451" s="1"/>
  <c r="I32" i="89" s="1"/>
  <c r="E67" i="3"/>
  <c r="C67"/>
  <c r="AM459" i="2"/>
  <c r="AR459" s="1"/>
  <c r="AL459"/>
  <c r="AQ459" s="1"/>
  <c r="AK459"/>
  <c r="AP459" s="1"/>
  <c r="AJ459"/>
  <c r="AO459" s="1"/>
  <c r="BB461" s="1"/>
  <c r="AZ457"/>
  <c r="AZ456"/>
  <c r="AZ460"/>
  <c r="AZ459"/>
  <c r="AZ458"/>
  <c r="AY460"/>
  <c r="AY459"/>
  <c r="AY458"/>
  <c r="AY457"/>
  <c r="AY456"/>
  <c r="AM453"/>
  <c r="AR453" s="1"/>
  <c r="AL453"/>
  <c r="AQ453" s="1"/>
  <c r="AK453"/>
  <c r="AP453" s="1"/>
  <c r="AJ453"/>
  <c r="AO453" s="1"/>
  <c r="AM458"/>
  <c r="AR458" s="1"/>
  <c r="AL458"/>
  <c r="AQ458" s="1"/>
  <c r="AK458"/>
  <c r="AP458" s="1"/>
  <c r="BB458"/>
  <c r="BB460"/>
  <c r="BB457"/>
  <c r="BB459"/>
  <c r="BB456"/>
  <c r="H495"/>
  <c r="G495"/>
  <c r="I495" s="1"/>
  <c r="D25" i="10"/>
  <c r="C26"/>
  <c r="U61" i="29"/>
  <c r="N62"/>
  <c r="L61"/>
  <c r="M61" s="1"/>
  <c r="K62"/>
  <c r="G61"/>
  <c r="H61" s="1"/>
  <c r="F62"/>
  <c r="C51" i="11"/>
  <c r="D56"/>
  <c r="C46"/>
  <c r="E42"/>
  <c r="E33"/>
  <c r="C29"/>
  <c r="C41"/>
  <c r="D26"/>
  <c r="E29"/>
  <c r="D31"/>
  <c r="C33"/>
  <c r="D36"/>
  <c r="E39"/>
  <c r="E41"/>
  <c r="E43"/>
  <c r="C45"/>
  <c r="E47"/>
  <c r="C49"/>
  <c r="D52"/>
  <c r="D55"/>
  <c r="D59"/>
  <c r="E53"/>
  <c r="C47"/>
  <c r="E44"/>
  <c r="D40"/>
  <c r="E37"/>
  <c r="C30"/>
  <c r="C26"/>
  <c r="D27"/>
  <c r="E28"/>
  <c r="D30"/>
  <c r="E31"/>
  <c r="D33"/>
  <c r="E34"/>
  <c r="C36"/>
  <c r="D37"/>
  <c r="E38"/>
  <c r="I39"/>
  <c r="E40"/>
  <c r="D42"/>
  <c r="D44"/>
  <c r="D46"/>
  <c r="C48"/>
  <c r="D49"/>
  <c r="E50"/>
  <c r="C52"/>
  <c r="D53"/>
  <c r="E54"/>
  <c r="E55"/>
  <c r="E56"/>
  <c r="E57"/>
  <c r="E58"/>
  <c r="E59"/>
  <c r="D58"/>
  <c r="D54"/>
  <c r="E27"/>
  <c r="E49"/>
  <c r="D38"/>
  <c r="E32"/>
  <c r="C35"/>
  <c r="C27"/>
  <c r="E30"/>
  <c r="C32"/>
  <c r="E35"/>
  <c r="C37"/>
  <c r="K39"/>
  <c r="C42"/>
  <c r="C44"/>
  <c r="E46"/>
  <c r="D48"/>
  <c r="E51"/>
  <c r="C53"/>
  <c r="D57"/>
  <c r="D50"/>
  <c r="E45"/>
  <c r="C43"/>
  <c r="C39"/>
  <c r="D34"/>
  <c r="D28"/>
  <c r="D25"/>
  <c r="E26"/>
  <c r="C28"/>
  <c r="D29"/>
  <c r="C31"/>
  <c r="D32"/>
  <c r="C34"/>
  <c r="D35"/>
  <c r="E36"/>
  <c r="C38"/>
  <c r="D39"/>
  <c r="C40"/>
  <c r="D41"/>
  <c r="D43"/>
  <c r="D45"/>
  <c r="D47"/>
  <c r="E48"/>
  <c r="C50"/>
  <c r="D51"/>
  <c r="E52"/>
  <c r="C54"/>
  <c r="C55"/>
  <c r="C56"/>
  <c r="C57"/>
  <c r="C58"/>
  <c r="C59"/>
  <c r="D50" i="10"/>
  <c r="D28"/>
  <c r="C58"/>
  <c r="C56"/>
  <c r="C51"/>
  <c r="C44"/>
  <c r="D58"/>
  <c r="D56"/>
  <c r="C53"/>
  <c r="C49"/>
  <c r="C42"/>
  <c r="C33"/>
  <c r="C29"/>
  <c r="K39"/>
  <c r="C46"/>
  <c r="D40"/>
  <c r="D38"/>
  <c r="D34"/>
  <c r="D31"/>
  <c r="D26"/>
  <c r="D27"/>
  <c r="D29"/>
  <c r="C31"/>
  <c r="D33"/>
  <c r="D35"/>
  <c r="D37"/>
  <c r="D39"/>
  <c r="C40"/>
  <c r="D42"/>
  <c r="D44"/>
  <c r="D46"/>
  <c r="C48"/>
  <c r="C50"/>
  <c r="C52"/>
  <c r="C54"/>
  <c r="C59"/>
  <c r="C57"/>
  <c r="D54"/>
  <c r="C47"/>
  <c r="D59"/>
  <c r="D57"/>
  <c r="D55"/>
  <c r="D52"/>
  <c r="C45"/>
  <c r="D36"/>
  <c r="C30"/>
  <c r="C37"/>
  <c r="C43"/>
  <c r="D48"/>
  <c r="C41"/>
  <c r="C39"/>
  <c r="C35"/>
  <c r="C32"/>
  <c r="C27"/>
  <c r="C28"/>
  <c r="D30"/>
  <c r="D32"/>
  <c r="C34"/>
  <c r="C36"/>
  <c r="C38"/>
  <c r="I39"/>
  <c r="AF355" i="2" s="1"/>
  <c r="D41" i="10"/>
  <c r="D43"/>
  <c r="D45"/>
  <c r="D47"/>
  <c r="D49"/>
  <c r="D53"/>
  <c r="D51"/>
  <c r="C55"/>
  <c r="AT13" i="4"/>
  <c r="AT197" s="1"/>
  <c r="AE136"/>
  <c r="AF132"/>
  <c r="AE147"/>
  <c r="AZ219"/>
  <c r="K43" i="10" s="1"/>
  <c r="BA217" i="4"/>
  <c r="BB217" s="1"/>
  <c r="AX243"/>
  <c r="AX5" i="3"/>
  <c r="AX2" s="1"/>
  <c r="AI7" i="1"/>
  <c r="AY8" i="3"/>
  <c r="AA9"/>
  <c r="AX9"/>
  <c r="AX10"/>
  <c r="AX11"/>
  <c r="AI13" i="1"/>
  <c r="AJ13"/>
  <c r="AV12" i="3"/>
  <c r="AI14" i="1"/>
  <c r="AJ14"/>
  <c r="AV13" i="3"/>
  <c r="AA14"/>
  <c r="AX14"/>
  <c r="AI16" i="1"/>
  <c r="AH16"/>
  <c r="AA15" i="3"/>
  <c r="AX15"/>
  <c r="AX16"/>
  <c r="AI18" i="1"/>
  <c r="AA17" i="3"/>
  <c r="AX17"/>
  <c r="AX18"/>
  <c r="AX19"/>
  <c r="AX20"/>
  <c r="R13" i="2"/>
  <c r="C14"/>
  <c r="G14"/>
  <c r="K14"/>
  <c r="O14"/>
  <c r="S14"/>
  <c r="W14"/>
  <c r="AC14"/>
  <c r="AG14"/>
  <c r="AK14"/>
  <c r="AO14"/>
  <c r="AS14"/>
  <c r="AW14"/>
  <c r="BC14"/>
  <c r="BG14"/>
  <c r="BK14"/>
  <c r="BO14"/>
  <c r="BS14"/>
  <c r="BW14"/>
  <c r="CA14"/>
  <c r="AR70"/>
  <c r="AH10" i="3" s="1"/>
  <c r="E74" i="2"/>
  <c r="I74"/>
  <c r="M74"/>
  <c r="Q74"/>
  <c r="AC74"/>
  <c r="AG74"/>
  <c r="AK74"/>
  <c r="BA74"/>
  <c r="BE74"/>
  <c r="BI74"/>
  <c r="BV74"/>
  <c r="AF127"/>
  <c r="AJ129"/>
  <c r="A10" i="9" s="1"/>
  <c r="J151" i="2"/>
  <c r="J152"/>
  <c r="E154"/>
  <c r="I154"/>
  <c r="M154"/>
  <c r="AD181"/>
  <c r="AH154"/>
  <c r="AM154"/>
  <c r="AT154"/>
  <c r="BL154"/>
  <c r="R157"/>
  <c r="R158" s="1"/>
  <c r="R159" s="1"/>
  <c r="R160" s="1"/>
  <c r="R161" s="1"/>
  <c r="R162" s="1"/>
  <c r="R163" s="1"/>
  <c r="R164" s="1"/>
  <c r="R165" s="1"/>
  <c r="R166" s="1"/>
  <c r="R167" s="1"/>
  <c r="R168" s="1"/>
  <c r="R169" s="1"/>
  <c r="R170" s="1"/>
  <c r="R171" s="1"/>
  <c r="R172" s="1"/>
  <c r="R173" s="1"/>
  <c r="R174" s="1"/>
  <c r="R175" s="1"/>
  <c r="R176" s="1"/>
  <c r="X157"/>
  <c r="X158" s="1"/>
  <c r="X159" s="1"/>
  <c r="X160" s="1"/>
  <c r="X161" s="1"/>
  <c r="X162" s="1"/>
  <c r="X163" s="1"/>
  <c r="X164" s="1"/>
  <c r="X165" s="1"/>
  <c r="X166" s="1"/>
  <c r="X167" s="1"/>
  <c r="X168" s="1"/>
  <c r="X169" s="1"/>
  <c r="X170" s="1"/>
  <c r="X171" s="1"/>
  <c r="X172" s="1"/>
  <c r="X173" s="1"/>
  <c r="X174" s="1"/>
  <c r="X175" s="1"/>
  <c r="X176" s="1"/>
  <c r="X177" s="1"/>
  <c r="X178" s="1"/>
  <c r="AV157"/>
  <c r="AY157"/>
  <c r="BD157"/>
  <c r="BD158" s="1"/>
  <c r="BD159" s="1"/>
  <c r="BD160" s="1"/>
  <c r="BD161" s="1"/>
  <c r="BD162" s="1"/>
  <c r="BD163" s="1"/>
  <c r="BD164" s="1"/>
  <c r="BD165" s="1"/>
  <c r="BD166" s="1"/>
  <c r="BD167" s="1"/>
  <c r="BD168" s="1"/>
  <c r="BD169" s="1"/>
  <c r="BD170" s="1"/>
  <c r="BD171" s="1"/>
  <c r="BD172" s="1"/>
  <c r="BD173" s="1"/>
  <c r="BD174" s="1"/>
  <c r="BD175" s="1"/>
  <c r="BD176" s="1"/>
  <c r="BD177" s="1"/>
  <c r="BS156"/>
  <c r="AD158"/>
  <c r="AV158"/>
  <c r="AV159" s="1"/>
  <c r="AV160" s="1"/>
  <c r="AV161" s="1"/>
  <c r="AV162" s="1"/>
  <c r="AV163" s="1"/>
  <c r="AV164" s="1"/>
  <c r="AV165" s="1"/>
  <c r="AV166" s="1"/>
  <c r="AV167" s="1"/>
  <c r="AV168" s="1"/>
  <c r="AV169" s="1"/>
  <c r="AV170" s="1"/>
  <c r="AV171" s="1"/>
  <c r="AV172" s="1"/>
  <c r="AV173" s="1"/>
  <c r="AV174" s="1"/>
  <c r="AV175" s="1"/>
  <c r="AY158"/>
  <c r="AY159" s="1"/>
  <c r="AY160" s="1"/>
  <c r="AY161" s="1"/>
  <c r="AY162" s="1"/>
  <c r="AY163" s="1"/>
  <c r="AY164" s="1"/>
  <c r="AY165" s="1"/>
  <c r="AY166" s="1"/>
  <c r="AY167" s="1"/>
  <c r="AY168" s="1"/>
  <c r="AY169" s="1"/>
  <c r="AY170" s="1"/>
  <c r="AY171" s="1"/>
  <c r="AY172" s="1"/>
  <c r="AY173" s="1"/>
  <c r="AY174" s="1"/>
  <c r="AY175" s="1"/>
  <c r="AY176" s="1"/>
  <c r="AY177" s="1"/>
  <c r="AD165"/>
  <c r="BX167"/>
  <c r="AE174"/>
  <c r="C206"/>
  <c r="G206"/>
  <c r="K206"/>
  <c r="O206"/>
  <c r="S206"/>
  <c r="W206"/>
  <c r="AA206"/>
  <c r="AE206"/>
  <c r="AN223"/>
  <c r="AR223"/>
  <c r="C252"/>
  <c r="G252"/>
  <c r="K252"/>
  <c r="O252"/>
  <c r="Q252"/>
  <c r="S252"/>
  <c r="U252"/>
  <c r="W252"/>
  <c r="Y252"/>
  <c r="AA252"/>
  <c r="AC252"/>
  <c r="AE252"/>
  <c r="AG252"/>
  <c r="D308"/>
  <c r="F308"/>
  <c r="H308"/>
  <c r="J308"/>
  <c r="L308"/>
  <c r="N308"/>
  <c r="P308"/>
  <c r="R308"/>
  <c r="T308"/>
  <c r="V308"/>
  <c r="Z308"/>
  <c r="AB308"/>
  <c r="AD308"/>
  <c r="AF308"/>
  <c r="AH308"/>
  <c r="AJ308"/>
  <c r="AL308"/>
  <c r="AN308"/>
  <c r="AP308"/>
  <c r="AR308"/>
  <c r="AT308"/>
  <c r="AV308"/>
  <c r="AX308"/>
  <c r="AZ308"/>
  <c r="BB308"/>
  <c r="BD308"/>
  <c r="D356"/>
  <c r="BO360"/>
  <c r="BD458" l="1"/>
  <c r="I39" i="89" s="1"/>
  <c r="BD460" i="2"/>
  <c r="I41" i="89" s="1"/>
  <c r="BD457" i="2"/>
  <c r="I38" i="89" s="1"/>
  <c r="BD459" i="2"/>
  <c r="I40" i="89" s="1"/>
  <c r="BD456" i="2"/>
  <c r="I37" i="89" s="1"/>
  <c r="I67" i="3"/>
  <c r="J79" s="1"/>
  <c r="M79" s="1"/>
  <c r="R79" s="1"/>
  <c r="AA79"/>
  <c r="H67"/>
  <c r="J67" s="1"/>
  <c r="N67" s="1"/>
  <c r="S67" s="1"/>
  <c r="AD67"/>
  <c r="AC67"/>
  <c r="AB67"/>
  <c r="AA67"/>
  <c r="AZ463" i="2"/>
  <c r="BD463" s="1"/>
  <c r="I44" i="89" s="1"/>
  <c r="AZ462" i="2"/>
  <c r="BD462" s="1"/>
  <c r="I43" i="89" s="1"/>
  <c r="AZ461" i="2"/>
  <c r="BD461" s="1"/>
  <c r="I42" i="89" s="1"/>
  <c r="AZ465" i="2"/>
  <c r="BD465" s="1"/>
  <c r="I46" i="89" s="1"/>
  <c r="AZ464" i="2"/>
  <c r="BD464" s="1"/>
  <c r="I45" i="89" s="1"/>
  <c r="N63" i="29"/>
  <c r="U63" s="1"/>
  <c r="U62"/>
  <c r="G62"/>
  <c r="H62" s="1"/>
  <c r="F63"/>
  <c r="G63" s="1"/>
  <c r="H63" s="1"/>
  <c r="H64" s="1"/>
  <c r="L62"/>
  <c r="M62" s="1"/>
  <c r="K63"/>
  <c r="L63" s="1"/>
  <c r="M63" s="1"/>
  <c r="K43" i="11"/>
  <c r="I39" i="9"/>
  <c r="F24"/>
  <c r="I43"/>
  <c r="I42"/>
  <c r="I41"/>
  <c r="I40"/>
  <c r="AX250" i="4"/>
  <c r="BA250" s="1"/>
  <c r="AU8" i="3"/>
  <c r="AX246" i="4"/>
  <c r="BA246" s="1"/>
  <c r="BB356" i="2"/>
  <c r="BB434" s="1"/>
  <c r="AH21" i="1"/>
  <c r="AC20"/>
  <c r="AA19" i="3"/>
  <c r="AI20" i="1"/>
  <c r="AF19"/>
  <c r="AJ19" s="1"/>
  <c r="T17" i="3"/>
  <c r="AJ18" i="1"/>
  <c r="AA16" i="3"/>
  <c r="AI17" i="1"/>
  <c r="AH15"/>
  <c r="AC15"/>
  <c r="AH13"/>
  <c r="AC13"/>
  <c r="AH12"/>
  <c r="AC12"/>
  <c r="AH11"/>
  <c r="AC11"/>
  <c r="AH10"/>
  <c r="AC10"/>
  <c r="AH9"/>
  <c r="AC9"/>
  <c r="AH8"/>
  <c r="AC8"/>
  <c r="C52" i="4"/>
  <c r="AH7" i="1"/>
  <c r="AC7"/>
  <c r="AH6"/>
  <c r="AC6"/>
  <c r="CM13" i="4"/>
  <c r="AV175" s="1"/>
  <c r="AJ21" i="1"/>
  <c r="AA20" i="3"/>
  <c r="AI21" i="1"/>
  <c r="AH20"/>
  <c r="AC19"/>
  <c r="AA18" i="3"/>
  <c r="AI19" i="1"/>
  <c r="AH18"/>
  <c r="AC17"/>
  <c r="AF17"/>
  <c r="AJ17" s="1"/>
  <c r="T14" i="3"/>
  <c r="AJ15" i="1"/>
  <c r="AK134" i="4"/>
  <c r="AI15" i="1"/>
  <c r="AH14"/>
  <c r="AC14"/>
  <c r="T11" i="3"/>
  <c r="AJ12" i="1"/>
  <c r="AA11" i="3"/>
  <c r="AI12" i="1"/>
  <c r="AJ11"/>
  <c r="AA10" i="3"/>
  <c r="AI11" i="1"/>
  <c r="T9" i="3"/>
  <c r="AJ10" i="1"/>
  <c r="AA3" i="3"/>
  <c r="AI10" i="1"/>
  <c r="AF8"/>
  <c r="AF9"/>
  <c r="AK220" i="4"/>
  <c r="AP223" s="1"/>
  <c r="AI9" i="1"/>
  <c r="AJ7"/>
  <c r="P5" i="3"/>
  <c r="P2" s="1"/>
  <c r="AJ6" i="1"/>
  <c r="AA5" i="3"/>
  <c r="AA2" s="1"/>
  <c r="AI6" i="1"/>
  <c r="AX229" i="4"/>
  <c r="BA229" s="1"/>
  <c r="AE151"/>
  <c r="AE143"/>
  <c r="F149" i="2"/>
  <c r="J149"/>
  <c r="AE133" i="4"/>
  <c r="AE135"/>
  <c r="AE137"/>
  <c r="AE139"/>
  <c r="AE140"/>
  <c r="AE142"/>
  <c r="AE144"/>
  <c r="AE146"/>
  <c r="AE148"/>
  <c r="AE150"/>
  <c r="AE152"/>
  <c r="F13"/>
  <c r="AO163" s="1"/>
  <c r="J13"/>
  <c r="AO167" s="1"/>
  <c r="Z13"/>
  <c r="AO213" s="1"/>
  <c r="BB13"/>
  <c r="AT205" s="1"/>
  <c r="CE13"/>
  <c r="AV167" s="1"/>
  <c r="CU13"/>
  <c r="AV213" s="1"/>
  <c r="C54"/>
  <c r="AD356" i="2"/>
  <c r="AD434" s="1"/>
  <c r="N149"/>
  <c r="E14"/>
  <c r="I14"/>
  <c r="M14"/>
  <c r="Q14"/>
  <c r="U14"/>
  <c r="Y14"/>
  <c r="AE14"/>
  <c r="AI14"/>
  <c r="AM14"/>
  <c r="AQ14"/>
  <c r="AU14"/>
  <c r="BA14"/>
  <c r="BE14"/>
  <c r="BI14"/>
  <c r="BM14"/>
  <c r="BQ14"/>
  <c r="BU14"/>
  <c r="BY14"/>
  <c r="CC14"/>
  <c r="C74"/>
  <c r="G74"/>
  <c r="K74"/>
  <c r="O74"/>
  <c r="V74"/>
  <c r="E10" i="3" s="1"/>
  <c r="AE74" i="2"/>
  <c r="AI74"/>
  <c r="AM74"/>
  <c r="BC74"/>
  <c r="BG74"/>
  <c r="BK74"/>
  <c r="AD127"/>
  <c r="C154"/>
  <c r="G154"/>
  <c r="K154"/>
  <c r="O154"/>
  <c r="AO154"/>
  <c r="AR154"/>
  <c r="BN154"/>
  <c r="BK153" s="1"/>
  <c r="E7" i="3" s="1"/>
  <c r="E206" i="2"/>
  <c r="I206"/>
  <c r="M206"/>
  <c r="Q206"/>
  <c r="U206"/>
  <c r="Y206"/>
  <c r="AC206"/>
  <c r="AG206"/>
  <c r="AP223"/>
  <c r="AT223"/>
  <c r="E252"/>
  <c r="I252"/>
  <c r="M252"/>
  <c r="AE153" i="4"/>
  <c r="AE149"/>
  <c r="AE145"/>
  <c r="AE141"/>
  <c r="AE138"/>
  <c r="AE134"/>
  <c r="BJ13"/>
  <c r="AT183" s="1"/>
  <c r="R13"/>
  <c r="AO205" s="1"/>
  <c r="AE132"/>
  <c r="AP356" i="2"/>
  <c r="AP434" s="1"/>
  <c r="R356"/>
  <c r="R434" s="1"/>
  <c r="BH356"/>
  <c r="BH434" s="1"/>
  <c r="AV356"/>
  <c r="AV434" s="1"/>
  <c r="AJ356"/>
  <c r="AJ434" s="1"/>
  <c r="X356"/>
  <c r="X434" s="1"/>
  <c r="L356"/>
  <c r="L434" s="1"/>
  <c r="AP222"/>
  <c r="BY167"/>
  <c r="BQ167"/>
  <c r="L7" i="3" s="1"/>
  <c r="B52" i="4" s="1"/>
  <c r="C153" i="2"/>
  <c r="CD74"/>
  <c r="AJ13"/>
  <c r="AW12" i="3"/>
  <c r="T10"/>
  <c r="AX248" i="4"/>
  <c r="AY248" s="1"/>
  <c r="AX238"/>
  <c r="AY238" s="1"/>
  <c r="F356" i="2"/>
  <c r="F434" s="1"/>
  <c r="AM10" i="3"/>
  <c r="BF356" i="2"/>
  <c r="AZ356"/>
  <c r="AT356"/>
  <c r="AN356"/>
  <c r="AH356"/>
  <c r="AB356"/>
  <c r="V356"/>
  <c r="P356"/>
  <c r="J356"/>
  <c r="AT222"/>
  <c r="K153"/>
  <c r="L149"/>
  <c r="H149"/>
  <c r="D149"/>
  <c r="AR13"/>
  <c r="Z13"/>
  <c r="J13"/>
  <c r="AT150" i="4"/>
  <c r="AW148"/>
  <c r="AW8" i="3"/>
  <c r="AA8"/>
  <c r="T5"/>
  <c r="U14" i="1"/>
  <c r="U13"/>
  <c r="U9"/>
  <c r="U8"/>
  <c r="U11"/>
  <c r="AX253" i="4"/>
  <c r="AY253" s="1"/>
  <c r="AX251"/>
  <c r="AX249"/>
  <c r="AX247"/>
  <c r="AX245"/>
  <c r="AX244"/>
  <c r="AY244" s="1"/>
  <c r="AX240"/>
  <c r="BA240" s="1"/>
  <c r="AX225"/>
  <c r="BA225" s="1"/>
  <c r="AT167"/>
  <c r="CQ13"/>
  <c r="CI13"/>
  <c r="CA13"/>
  <c r="BF13"/>
  <c r="AX13"/>
  <c r="AP13"/>
  <c r="V13"/>
  <c r="N13"/>
  <c r="U10" i="1"/>
  <c r="AY243" i="4"/>
  <c r="BA243"/>
  <c r="AX234"/>
  <c r="AY234" s="1"/>
  <c r="AX235"/>
  <c r="BA235" s="1"/>
  <c r="AX241"/>
  <c r="AX242"/>
  <c r="AX252"/>
  <c r="AY252" s="1"/>
  <c r="AX254"/>
  <c r="C13"/>
  <c r="E13"/>
  <c r="AO162" s="1"/>
  <c r="G13"/>
  <c r="I13"/>
  <c r="AO166" s="1"/>
  <c r="K13"/>
  <c r="AO168" s="1"/>
  <c r="M13"/>
  <c r="O13"/>
  <c r="Q13"/>
  <c r="AO174" s="1"/>
  <c r="S13"/>
  <c r="U13"/>
  <c r="W13"/>
  <c r="AO180" s="1"/>
  <c r="Y13"/>
  <c r="AM13"/>
  <c r="AO13"/>
  <c r="AT162" s="1"/>
  <c r="AQ13"/>
  <c r="AS13"/>
  <c r="AT166" s="1"/>
  <c r="AU13"/>
  <c r="AT168" s="1"/>
  <c r="AW13"/>
  <c r="AY13"/>
  <c r="BA13"/>
  <c r="AT174" s="1"/>
  <c r="BC13"/>
  <c r="BE13"/>
  <c r="BG13"/>
  <c r="AT180" s="1"/>
  <c r="BI13"/>
  <c r="BX13"/>
  <c r="BZ13"/>
  <c r="CB13"/>
  <c r="CD13"/>
  <c r="CF13"/>
  <c r="CH13"/>
  <c r="AV170" s="1"/>
  <c r="CJ13"/>
  <c r="CL13"/>
  <c r="CN13"/>
  <c r="AV176" s="1"/>
  <c r="CP13"/>
  <c r="AV178" s="1"/>
  <c r="CR13"/>
  <c r="CT13"/>
  <c r="AV182" s="1"/>
  <c r="D54"/>
  <c r="D13"/>
  <c r="H13"/>
  <c r="L13"/>
  <c r="P13"/>
  <c r="T13"/>
  <c r="X13"/>
  <c r="AN13"/>
  <c r="AR13"/>
  <c r="AV13"/>
  <c r="AZ13"/>
  <c r="BD13"/>
  <c r="BH13"/>
  <c r="BY13"/>
  <c r="CC13"/>
  <c r="CG13"/>
  <c r="CK13"/>
  <c r="CO13"/>
  <c r="CS13"/>
  <c r="BW155" i="2"/>
  <c r="O3" i="3" s="1"/>
  <c r="AJ8" i="1" s="1"/>
  <c r="BW158" i="2"/>
  <c r="P3" i="3" s="1"/>
  <c r="AJ20" i="1" s="1"/>
  <c r="D151" i="2"/>
  <c r="H151"/>
  <c r="L151"/>
  <c r="F150"/>
  <c r="N150"/>
  <c r="BP74"/>
  <c r="BT74"/>
  <c r="BX74"/>
  <c r="CB74"/>
  <c r="CF74"/>
  <c r="N17" i="3"/>
  <c r="AH195" i="4"/>
  <c r="AF174" i="2"/>
  <c r="BW164"/>
  <c r="BW161"/>
  <c r="Q3" i="3" s="1"/>
  <c r="AE158" i="2"/>
  <c r="AD156" s="1"/>
  <c r="AE165"/>
  <c r="AD164" s="1"/>
  <c r="AE181"/>
  <c r="AD180" s="1"/>
  <c r="N3" i="3" s="1"/>
  <c r="N151" i="2"/>
  <c r="F151"/>
  <c r="J150"/>
  <c r="CH74"/>
  <c r="BZ74"/>
  <c r="BR74"/>
  <c r="D14"/>
  <c r="F14"/>
  <c r="H14"/>
  <c r="J14"/>
  <c r="L14"/>
  <c r="N14"/>
  <c r="P14"/>
  <c r="E5" i="3" s="1"/>
  <c r="R14" i="2"/>
  <c r="T14"/>
  <c r="V14"/>
  <c r="X14"/>
  <c r="Z14"/>
  <c r="AD14"/>
  <c r="AF14"/>
  <c r="AH14"/>
  <c r="AJ14"/>
  <c r="AL14"/>
  <c r="AN14"/>
  <c r="AP14"/>
  <c r="AR14"/>
  <c r="AT14"/>
  <c r="AV14"/>
  <c r="AZ14"/>
  <c r="BB14"/>
  <c r="BD14"/>
  <c r="BF14"/>
  <c r="BH14"/>
  <c r="BJ14"/>
  <c r="BL14"/>
  <c r="BN14"/>
  <c r="BP14"/>
  <c r="BR14"/>
  <c r="BT14"/>
  <c r="BV14"/>
  <c r="BX14"/>
  <c r="BZ14"/>
  <c r="CB14"/>
  <c r="CD14"/>
  <c r="AT70"/>
  <c r="AH11" i="3" s="1"/>
  <c r="AJ11" s="1"/>
  <c r="D74" i="2"/>
  <c r="F74"/>
  <c r="H74"/>
  <c r="J74"/>
  <c r="L74"/>
  <c r="N74"/>
  <c r="P74"/>
  <c r="R74"/>
  <c r="Y74"/>
  <c r="E11" i="3" s="1"/>
  <c r="AD74" i="2"/>
  <c r="AF74"/>
  <c r="AH74"/>
  <c r="AJ74"/>
  <c r="AL74"/>
  <c r="AZ74"/>
  <c r="BB74"/>
  <c r="BD74"/>
  <c r="BF74"/>
  <c r="BH74"/>
  <c r="BJ74"/>
  <c r="BL74"/>
  <c r="AH17" i="3" s="1"/>
  <c r="AJ17" s="1"/>
  <c r="AC127" i="2"/>
  <c r="AE127"/>
  <c r="V128"/>
  <c r="E16" i="3" s="1"/>
  <c r="D154" i="2"/>
  <c r="F154"/>
  <c r="H154"/>
  <c r="J154"/>
  <c r="L154"/>
  <c r="N154"/>
  <c r="AN154"/>
  <c r="AS154"/>
  <c r="BM154"/>
  <c r="D206"/>
  <c r="F206"/>
  <c r="H206"/>
  <c r="J206"/>
  <c r="L206"/>
  <c r="N206"/>
  <c r="P206"/>
  <c r="R206"/>
  <c r="T206"/>
  <c r="V206"/>
  <c r="X206"/>
  <c r="Z206"/>
  <c r="AB206"/>
  <c r="AD206"/>
  <c r="AF206"/>
  <c r="AM223"/>
  <c r="AO223"/>
  <c r="AQ223"/>
  <c r="AS223"/>
  <c r="AU223"/>
  <c r="E20" i="3" s="1"/>
  <c r="D252" i="2"/>
  <c r="F252"/>
  <c r="H252"/>
  <c r="J252"/>
  <c r="L252"/>
  <c r="N252"/>
  <c r="P252"/>
  <c r="R252"/>
  <c r="T252"/>
  <c r="V252"/>
  <c r="X252"/>
  <c r="Z252"/>
  <c r="AB252"/>
  <c r="AD252"/>
  <c r="AF252"/>
  <c r="C308"/>
  <c r="E308"/>
  <c r="G308"/>
  <c r="I308"/>
  <c r="K308"/>
  <c r="M308"/>
  <c r="O308"/>
  <c r="Q308"/>
  <c r="S308"/>
  <c r="U308"/>
  <c r="W308"/>
  <c r="AA308"/>
  <c r="AC308"/>
  <c r="AE308"/>
  <c r="AG308"/>
  <c r="AI308"/>
  <c r="AK308"/>
  <c r="AM308"/>
  <c r="AO308"/>
  <c r="AQ308"/>
  <c r="AS308"/>
  <c r="AU308"/>
  <c r="AW308"/>
  <c r="AY308"/>
  <c r="BA308"/>
  <c r="BC308"/>
  <c r="AX222" i="4"/>
  <c r="AY222" s="1"/>
  <c r="AX223"/>
  <c r="AX224"/>
  <c r="BA224" s="1"/>
  <c r="AX226"/>
  <c r="AY226" s="1"/>
  <c r="AX227"/>
  <c r="AX228"/>
  <c r="BA228" s="1"/>
  <c r="AX230"/>
  <c r="AY230" s="1"/>
  <c r="AX231"/>
  <c r="AX232"/>
  <c r="BA232" s="1"/>
  <c r="AX233"/>
  <c r="AX236"/>
  <c r="BA236" s="1"/>
  <c r="AX237"/>
  <c r="AX239"/>
  <c r="AL134"/>
  <c r="R14"/>
  <c r="J324" s="1"/>
  <c r="BA14"/>
  <c r="CJ14"/>
  <c r="AH14"/>
  <c r="CZ14"/>
  <c r="BQ14"/>
  <c r="BR156" i="2"/>
  <c r="AQ153"/>
  <c r="T20" i="3"/>
  <c r="AW137" i="4"/>
  <c r="AW13" i="3"/>
  <c r="AW150" i="4"/>
  <c r="AW143"/>
  <c r="AX220"/>
  <c r="AX221"/>
  <c r="AW136"/>
  <c r="AT141"/>
  <c r="AW145"/>
  <c r="AW149"/>
  <c r="C14"/>
  <c r="E14"/>
  <c r="G14"/>
  <c r="I14"/>
  <c r="K14"/>
  <c r="M14"/>
  <c r="J319" s="1"/>
  <c r="O14"/>
  <c r="J321" s="1"/>
  <c r="Q14"/>
  <c r="J323" s="1"/>
  <c r="S14"/>
  <c r="J325" s="1"/>
  <c r="U14"/>
  <c r="J327" s="1"/>
  <c r="W14"/>
  <c r="Y14"/>
  <c r="AA14"/>
  <c r="AC14"/>
  <c r="AE14"/>
  <c r="AG14"/>
  <c r="AI14"/>
  <c r="AN14"/>
  <c r="AP14"/>
  <c r="AR14"/>
  <c r="AT14"/>
  <c r="AV14"/>
  <c r="AX14"/>
  <c r="AZ14"/>
  <c r="BB14"/>
  <c r="BD14"/>
  <c r="BF14"/>
  <c r="BH14"/>
  <c r="BJ14"/>
  <c r="BL14"/>
  <c r="BN14"/>
  <c r="BP14"/>
  <c r="BR14"/>
  <c r="BT14"/>
  <c r="BY14"/>
  <c r="CA14"/>
  <c r="CC14"/>
  <c r="CE14"/>
  <c r="CG14"/>
  <c r="CI14"/>
  <c r="CK14"/>
  <c r="CM14"/>
  <c r="CO14"/>
  <c r="CQ14"/>
  <c r="CS14"/>
  <c r="CU14"/>
  <c r="CW14"/>
  <c r="CY14"/>
  <c r="DA14"/>
  <c r="DC14"/>
  <c r="DE14"/>
  <c r="D14"/>
  <c r="H14"/>
  <c r="L14"/>
  <c r="P14"/>
  <c r="J322" s="1"/>
  <c r="T14"/>
  <c r="J326" s="1"/>
  <c r="X14"/>
  <c r="AB14"/>
  <c r="AF14"/>
  <c r="AM14"/>
  <c r="AQ14"/>
  <c r="AU14"/>
  <c r="AY14"/>
  <c r="BC14"/>
  <c r="BG14"/>
  <c r="BK14"/>
  <c r="BO14"/>
  <c r="BS14"/>
  <c r="BZ14"/>
  <c r="CD14"/>
  <c r="CH14"/>
  <c r="CL14"/>
  <c r="CP14"/>
  <c r="CT14"/>
  <c r="CX14"/>
  <c r="DB14"/>
  <c r="F14"/>
  <c r="N14"/>
  <c r="J320" s="1"/>
  <c r="V14"/>
  <c r="AD14"/>
  <c r="AO14"/>
  <c r="AW14"/>
  <c r="BE14"/>
  <c r="BM14"/>
  <c r="BX14"/>
  <c r="CF14"/>
  <c r="CN14"/>
  <c r="CV14"/>
  <c r="DD14"/>
  <c r="CR14"/>
  <c r="CB14"/>
  <c r="BI14"/>
  <c r="AS14"/>
  <c r="Z14"/>
  <c r="J14"/>
  <c r="AJ10" i="3"/>
  <c r="AL10"/>
  <c r="AV8"/>
  <c r="AK10"/>
  <c r="AX6"/>
  <c r="T6"/>
  <c r="BD178" i="2"/>
  <c r="BD179" s="1"/>
  <c r="BD180" s="1"/>
  <c r="BD181" s="1"/>
  <c r="BD182" s="1"/>
  <c r="BD183" s="1"/>
  <c r="BD184" s="1"/>
  <c r="BD185" s="1"/>
  <c r="BD186" s="1"/>
  <c r="BD187" s="1"/>
  <c r="BD188" s="1"/>
  <c r="BD189" s="1"/>
  <c r="BD190" s="1"/>
  <c r="BD191" s="1"/>
  <c r="BD192" s="1"/>
  <c r="BD193" s="1"/>
  <c r="BD194" s="1"/>
  <c r="BD195" s="1"/>
  <c r="BD196" s="1"/>
  <c r="BD197" s="1"/>
  <c r="BD198" s="1"/>
  <c r="AA154"/>
  <c r="X179"/>
  <c r="X180" s="1"/>
  <c r="X181" s="1"/>
  <c r="X182" s="1"/>
  <c r="X183" s="1"/>
  <c r="X184" s="1"/>
  <c r="X185" s="1"/>
  <c r="X186" s="1"/>
  <c r="X187" s="1"/>
  <c r="X188" s="1"/>
  <c r="X189" s="1"/>
  <c r="X190" s="1"/>
  <c r="X191" s="1"/>
  <c r="X192" s="1"/>
  <c r="X193" s="1"/>
  <c r="X194" s="1"/>
  <c r="X195" s="1"/>
  <c r="X196" s="1"/>
  <c r="X197" s="1"/>
  <c r="X198" s="1"/>
  <c r="X199" s="1"/>
  <c r="X200" s="1"/>
  <c r="Y154"/>
  <c r="AZ154"/>
  <c r="BA154"/>
  <c r="AY178"/>
  <c r="AY179" s="1"/>
  <c r="AY180" s="1"/>
  <c r="AY181" s="1"/>
  <c r="AY182" s="1"/>
  <c r="AY183" s="1"/>
  <c r="AY184" s="1"/>
  <c r="AY185" s="1"/>
  <c r="AY186" s="1"/>
  <c r="AY187" s="1"/>
  <c r="AY188" s="1"/>
  <c r="AY189" s="1"/>
  <c r="AY190" s="1"/>
  <c r="AY191" s="1"/>
  <c r="AY192" s="1"/>
  <c r="AY193" s="1"/>
  <c r="AY194" s="1"/>
  <c r="AY195" s="1"/>
  <c r="AY196" s="1"/>
  <c r="AY197" s="1"/>
  <c r="AY198" s="1"/>
  <c r="R177"/>
  <c r="R178" s="1"/>
  <c r="R179" s="1"/>
  <c r="R180" s="1"/>
  <c r="R181" s="1"/>
  <c r="R182" s="1"/>
  <c r="R183" s="1"/>
  <c r="R184" s="1"/>
  <c r="R185" s="1"/>
  <c r="R186" s="1"/>
  <c r="R187" s="1"/>
  <c r="R188" s="1"/>
  <c r="R189" s="1"/>
  <c r="R190" s="1"/>
  <c r="R191" s="1"/>
  <c r="R192" s="1"/>
  <c r="R193" s="1"/>
  <c r="R194" s="1"/>
  <c r="R195" s="1"/>
  <c r="R196" s="1"/>
  <c r="R197" s="1"/>
  <c r="AW154"/>
  <c r="AV176"/>
  <c r="AV177" s="1"/>
  <c r="AV178" s="1"/>
  <c r="AV179" s="1"/>
  <c r="AV180" s="1"/>
  <c r="AV181" s="1"/>
  <c r="AV182" s="1"/>
  <c r="AV183" s="1"/>
  <c r="AV184" s="1"/>
  <c r="AV185" s="1"/>
  <c r="AV186" s="1"/>
  <c r="AV187" s="1"/>
  <c r="AV188" s="1"/>
  <c r="AV189" s="1"/>
  <c r="AV190" s="1"/>
  <c r="AV191" s="1"/>
  <c r="AV192" s="1"/>
  <c r="AV193" s="1"/>
  <c r="AV194" s="1"/>
  <c r="AV195" s="1"/>
  <c r="C152"/>
  <c r="E152"/>
  <c r="G152"/>
  <c r="I152"/>
  <c r="K152"/>
  <c r="M152"/>
  <c r="O152"/>
  <c r="D152"/>
  <c r="H152"/>
  <c r="L152"/>
  <c r="C13"/>
  <c r="E13"/>
  <c r="G13"/>
  <c r="I13"/>
  <c r="K13"/>
  <c r="M13"/>
  <c r="O13"/>
  <c r="Q13"/>
  <c r="S13"/>
  <c r="U13"/>
  <c r="W13"/>
  <c r="Y13"/>
  <c r="AC13"/>
  <c r="AE13"/>
  <c r="AG13"/>
  <c r="AI13"/>
  <c r="AK13"/>
  <c r="AM13"/>
  <c r="AO13"/>
  <c r="AQ13"/>
  <c r="AS13"/>
  <c r="AU13"/>
  <c r="AW13"/>
  <c r="D153"/>
  <c r="F153"/>
  <c r="H153"/>
  <c r="J153"/>
  <c r="L153"/>
  <c r="N153"/>
  <c r="D13"/>
  <c r="H13"/>
  <c r="L13"/>
  <c r="P13"/>
  <c r="T13"/>
  <c r="X13"/>
  <c r="AD13"/>
  <c r="AH13"/>
  <c r="AL13"/>
  <c r="AP13"/>
  <c r="AT13"/>
  <c r="E153"/>
  <c r="I153"/>
  <c r="M153"/>
  <c r="AM222"/>
  <c r="AO222"/>
  <c r="AQ222"/>
  <c r="AS222"/>
  <c r="AU222"/>
  <c r="AM424"/>
  <c r="BL360"/>
  <c r="BN360"/>
  <c r="BM360"/>
  <c r="C356"/>
  <c r="E356"/>
  <c r="I356"/>
  <c r="K356"/>
  <c r="O356"/>
  <c r="Q356"/>
  <c r="U356"/>
  <c r="W356"/>
  <c r="AA356"/>
  <c r="AC356"/>
  <c r="AG356"/>
  <c r="AI356"/>
  <c r="AM356"/>
  <c r="AO356"/>
  <c r="AS356"/>
  <c r="AU356"/>
  <c r="AY356"/>
  <c r="BA356"/>
  <c r="BE356"/>
  <c r="BG356"/>
  <c r="AR222"/>
  <c r="AN222"/>
  <c r="BT156"/>
  <c r="BQ155" s="1"/>
  <c r="AA7" i="3" s="1"/>
  <c r="O153" i="2"/>
  <c r="G153"/>
  <c r="N152"/>
  <c r="F152"/>
  <c r="C150"/>
  <c r="E150"/>
  <c r="G150"/>
  <c r="I150"/>
  <c r="K150"/>
  <c r="M150"/>
  <c r="O150"/>
  <c r="D150"/>
  <c r="H150"/>
  <c r="L150"/>
  <c r="AV13"/>
  <c r="AN13"/>
  <c r="AF13"/>
  <c r="V13"/>
  <c r="N13"/>
  <c r="F13"/>
  <c r="C151"/>
  <c r="E151"/>
  <c r="G151"/>
  <c r="I151"/>
  <c r="K151"/>
  <c r="M151"/>
  <c r="O151"/>
  <c r="C149"/>
  <c r="E149"/>
  <c r="G149"/>
  <c r="I149"/>
  <c r="K149"/>
  <c r="M149"/>
  <c r="O149"/>
  <c r="BO74"/>
  <c r="BQ74"/>
  <c r="BS74"/>
  <c r="BU74"/>
  <c r="BW74"/>
  <c r="BY74"/>
  <c r="CA74"/>
  <c r="CC74"/>
  <c r="CE74"/>
  <c r="CG74"/>
  <c r="CI74"/>
  <c r="AT213" i="4" l="1"/>
  <c r="AC5" i="1"/>
  <c r="AJ5"/>
  <c r="AE10" i="3"/>
  <c r="AP10" s="1"/>
  <c r="AV10" s="1"/>
  <c r="H17" i="17" s="1"/>
  <c r="AH5" i="1"/>
  <c r="AI5"/>
  <c r="E14" i="3"/>
  <c r="AK135" i="4" s="1"/>
  <c r="J318"/>
  <c r="J342"/>
  <c r="L342" s="1"/>
  <c r="J310"/>
  <c r="L310" s="1"/>
  <c r="J334"/>
  <c r="L334" s="1"/>
  <c r="J315"/>
  <c r="L315" s="1"/>
  <c r="J339"/>
  <c r="J311"/>
  <c r="L311" s="1"/>
  <c r="J335"/>
  <c r="L335" s="1"/>
  <c r="J316"/>
  <c r="J340"/>
  <c r="J312"/>
  <c r="J336"/>
  <c r="L336" s="1"/>
  <c r="J314"/>
  <c r="J338"/>
  <c r="J317"/>
  <c r="J341"/>
  <c r="J313"/>
  <c r="J337"/>
  <c r="J309"/>
  <c r="J333"/>
  <c r="AP222"/>
  <c r="L340"/>
  <c r="L316"/>
  <c r="M339"/>
  <c r="N339" s="1"/>
  <c r="M315"/>
  <c r="N315" s="1"/>
  <c r="M351"/>
  <c r="N351" s="1"/>
  <c r="M327"/>
  <c r="N327" s="1"/>
  <c r="M335"/>
  <c r="N335" s="1"/>
  <c r="M311"/>
  <c r="N311" s="1"/>
  <c r="L312"/>
  <c r="M345"/>
  <c r="N345" s="1"/>
  <c r="M321"/>
  <c r="N321" s="1"/>
  <c r="M337"/>
  <c r="N337" s="1"/>
  <c r="M313"/>
  <c r="N313" s="1"/>
  <c r="J346"/>
  <c r="L346" s="1"/>
  <c r="L322"/>
  <c r="L338"/>
  <c r="L314"/>
  <c r="M348"/>
  <c r="N348" s="1"/>
  <c r="M324"/>
  <c r="N324" s="1"/>
  <c r="M344"/>
  <c r="N344" s="1"/>
  <c r="M320"/>
  <c r="N320" s="1"/>
  <c r="M340"/>
  <c r="N340" s="1"/>
  <c r="O340" s="1"/>
  <c r="M316"/>
  <c r="N316" s="1"/>
  <c r="M336"/>
  <c r="N336" s="1"/>
  <c r="M312"/>
  <c r="N312" s="1"/>
  <c r="O312" s="1"/>
  <c r="J349"/>
  <c r="L349" s="1"/>
  <c r="L325"/>
  <c r="J345"/>
  <c r="L345" s="1"/>
  <c r="L321"/>
  <c r="L341"/>
  <c r="L317"/>
  <c r="L337"/>
  <c r="L313"/>
  <c r="L333"/>
  <c r="L309"/>
  <c r="O108"/>
  <c r="M347"/>
  <c r="N347" s="1"/>
  <c r="M323"/>
  <c r="N323" s="1"/>
  <c r="M343"/>
  <c r="N343" s="1"/>
  <c r="M319"/>
  <c r="N319" s="1"/>
  <c r="J344"/>
  <c r="L344" s="1"/>
  <c r="L320"/>
  <c r="M349"/>
  <c r="N349" s="1"/>
  <c r="M325"/>
  <c r="N325" s="1"/>
  <c r="M341"/>
  <c r="N341" s="1"/>
  <c r="M317"/>
  <c r="N317" s="1"/>
  <c r="M333"/>
  <c r="N333" s="1"/>
  <c r="M332"/>
  <c r="N332" s="1"/>
  <c r="O332" s="1"/>
  <c r="P332" s="1"/>
  <c r="M309"/>
  <c r="N309" s="1"/>
  <c r="M308"/>
  <c r="N308" s="1"/>
  <c r="O308" s="1"/>
  <c r="P308" s="1"/>
  <c r="J350"/>
  <c r="L350" s="1"/>
  <c r="L326"/>
  <c r="L318"/>
  <c r="M326"/>
  <c r="N326" s="1"/>
  <c r="M350"/>
  <c r="N350" s="1"/>
  <c r="M322"/>
  <c r="N322" s="1"/>
  <c r="M346"/>
  <c r="N346" s="1"/>
  <c r="O346" s="1"/>
  <c r="M318"/>
  <c r="N318" s="1"/>
  <c r="M342"/>
  <c r="N342" s="1"/>
  <c r="M314"/>
  <c r="N314" s="1"/>
  <c r="M338"/>
  <c r="N338" s="1"/>
  <c r="O338" s="1"/>
  <c r="M310"/>
  <c r="N310" s="1"/>
  <c r="M334"/>
  <c r="N334" s="1"/>
  <c r="AO136"/>
  <c r="J351"/>
  <c r="L351" s="1"/>
  <c r="L327"/>
  <c r="J347"/>
  <c r="L347" s="1"/>
  <c r="L323"/>
  <c r="J343"/>
  <c r="L343" s="1"/>
  <c r="L319"/>
  <c r="L339"/>
  <c r="J109"/>
  <c r="J348"/>
  <c r="L348" s="1"/>
  <c r="L324"/>
  <c r="D162"/>
  <c r="BT252"/>
  <c r="AP238"/>
  <c r="AP243"/>
  <c r="BI2" i="3"/>
  <c r="U12" i="1" s="1"/>
  <c r="AP230" i="4"/>
  <c r="AP239"/>
  <c r="AP227"/>
  <c r="AK63"/>
  <c r="AL63" s="1"/>
  <c r="BD70" s="1"/>
  <c r="BE70" s="1"/>
  <c r="AT139"/>
  <c r="AT138"/>
  <c r="AY250"/>
  <c r="AE65" i="3"/>
  <c r="L67"/>
  <c r="Q67" s="1"/>
  <c r="AF67" s="1"/>
  <c r="AH67"/>
  <c r="O67"/>
  <c r="T67" s="1"/>
  <c r="AI67" s="1"/>
  <c r="M67"/>
  <c r="R67" s="1"/>
  <c r="AG67" s="1"/>
  <c r="N79"/>
  <c r="S79" s="1"/>
  <c r="L79"/>
  <c r="Q79" s="1"/>
  <c r="AF79" s="1"/>
  <c r="O79"/>
  <c r="T79" s="1"/>
  <c r="AI8" i="1"/>
  <c r="K65" i="3"/>
  <c r="AV208" i="4"/>
  <c r="AO183"/>
  <c r="M64" i="29"/>
  <c r="AT196" i="4"/>
  <c r="AL11" i="3"/>
  <c r="AT192" i="4"/>
  <c r="AO204"/>
  <c r="AL153" i="2"/>
  <c r="E19" i="3" s="1"/>
  <c r="F192" i="4" s="1"/>
  <c r="G192" s="1"/>
  <c r="V211" s="1"/>
  <c r="W211" s="1"/>
  <c r="E13" i="3"/>
  <c r="AD13" s="1"/>
  <c r="AY246" i="4"/>
  <c r="AP242"/>
  <c r="AP235"/>
  <c r="AP226"/>
  <c r="AP232"/>
  <c r="AP233"/>
  <c r="AP220"/>
  <c r="AT147"/>
  <c r="AT143"/>
  <c r="AW139"/>
  <c r="AW134"/>
  <c r="AW147"/>
  <c r="AW152"/>
  <c r="AT140"/>
  <c r="AT152"/>
  <c r="AW144"/>
  <c r="AT148"/>
  <c r="AT146"/>
  <c r="AT144"/>
  <c r="AW142"/>
  <c r="AW140"/>
  <c r="AW135"/>
  <c r="AT142"/>
  <c r="AW146"/>
  <c r="AT149"/>
  <c r="AT151"/>
  <c r="AW153"/>
  <c r="AW141"/>
  <c r="AW138"/>
  <c r="B53"/>
  <c r="C53" s="1"/>
  <c r="V68" s="1"/>
  <c r="W68" s="1"/>
  <c r="AT153"/>
  <c r="AT133" s="1"/>
  <c r="AW151"/>
  <c r="AT145"/>
  <c r="E6" i="3"/>
  <c r="B94" i="4" s="1"/>
  <c r="C94" s="1"/>
  <c r="V94" s="1"/>
  <c r="W94" s="1"/>
  <c r="AY236"/>
  <c r="AO192"/>
  <c r="AO196"/>
  <c r="AV200"/>
  <c r="AT204"/>
  <c r="AV212"/>
  <c r="AV205"/>
  <c r="AO193"/>
  <c r="BA230"/>
  <c r="BC230" s="1"/>
  <c r="AD10" i="3"/>
  <c r="AV197" i="4"/>
  <c r="AC126" i="2"/>
  <c r="E18" i="3" s="1"/>
  <c r="AC18" s="1"/>
  <c r="A13" i="9" s="1"/>
  <c r="AY229" i="4"/>
  <c r="I7" i="1"/>
  <c r="F15" i="89" s="1"/>
  <c r="R6" i="1"/>
  <c r="AP160" i="4"/>
  <c r="Z219"/>
  <c r="Z220" s="1"/>
  <c r="Z53"/>
  <c r="Z54" s="1"/>
  <c r="BA222"/>
  <c r="BC222" s="1"/>
  <c r="BA253"/>
  <c r="AY224"/>
  <c r="AY232"/>
  <c r="BC225"/>
  <c r="AV206"/>
  <c r="AT210"/>
  <c r="E12" i="3"/>
  <c r="AC12" s="1"/>
  <c r="BA238" i="4"/>
  <c r="E8" i="3"/>
  <c r="AY235" i="4"/>
  <c r="AT175"/>
  <c r="AO197"/>
  <c r="BC229"/>
  <c r="AD11" i="3"/>
  <c r="AC10"/>
  <c r="AN10" s="1"/>
  <c r="BA226" i="4"/>
  <c r="BC226" s="1"/>
  <c r="AY228"/>
  <c r="BA244"/>
  <c r="AL135"/>
  <c r="AF14" i="3"/>
  <c r="AE14"/>
  <c r="AE20"/>
  <c r="F223" i="4"/>
  <c r="G223" s="1"/>
  <c r="AF20" i="3"/>
  <c r="E17"/>
  <c r="AF17" s="1"/>
  <c r="AC16"/>
  <c r="A13" i="15" s="1"/>
  <c r="AD20" i="3"/>
  <c r="AD14"/>
  <c r="AC14"/>
  <c r="D191" i="4"/>
  <c r="L192" s="1"/>
  <c r="D134"/>
  <c r="L134" s="1"/>
  <c r="X59"/>
  <c r="K76"/>
  <c r="X175"/>
  <c r="K64"/>
  <c r="AP244"/>
  <c r="AP240"/>
  <c r="AP236"/>
  <c r="AP234"/>
  <c r="AP229"/>
  <c r="AP225"/>
  <c r="AP221"/>
  <c r="AP241"/>
  <c r="AP228"/>
  <c r="AP224"/>
  <c r="AP237"/>
  <c r="AP231"/>
  <c r="AP165"/>
  <c r="AP212"/>
  <c r="K146"/>
  <c r="K147"/>
  <c r="K153"/>
  <c r="Y157"/>
  <c r="Y158" s="1"/>
  <c r="T43"/>
  <c r="BB251" s="1"/>
  <c r="AP182"/>
  <c r="BI112"/>
  <c r="X167"/>
  <c r="BC182"/>
  <c r="X238"/>
  <c r="K124"/>
  <c r="AQ60"/>
  <c r="AX60" s="1"/>
  <c r="AL222"/>
  <c r="AO220" s="1"/>
  <c r="AO223" s="1"/>
  <c r="AR223" s="1"/>
  <c r="C162"/>
  <c r="L166" s="1"/>
  <c r="D55"/>
  <c r="K63"/>
  <c r="W43"/>
  <c r="BB254" s="1"/>
  <c r="D43"/>
  <c r="AP179"/>
  <c r="AP183"/>
  <c r="AP204"/>
  <c r="AP164"/>
  <c r="AP104"/>
  <c r="AR121"/>
  <c r="X163"/>
  <c r="K171"/>
  <c r="AQ178"/>
  <c r="AW178" s="1"/>
  <c r="K192"/>
  <c r="AQ192"/>
  <c r="BC192"/>
  <c r="X226"/>
  <c r="AQ104"/>
  <c r="AX104" s="1"/>
  <c r="AQ74"/>
  <c r="AX74" s="1"/>
  <c r="D219"/>
  <c r="L221" s="1"/>
  <c r="I184"/>
  <c r="D97"/>
  <c r="C97"/>
  <c r="L98" s="1"/>
  <c r="C55"/>
  <c r="L56" s="1"/>
  <c r="AJ9" i="1"/>
  <c r="K61" i="4"/>
  <c r="K57"/>
  <c r="G43"/>
  <c r="L43"/>
  <c r="AP173"/>
  <c r="AP208"/>
  <c r="AP198"/>
  <c r="AP175"/>
  <c r="K65"/>
  <c r="AQ98"/>
  <c r="AX98" s="1"/>
  <c r="AQ110"/>
  <c r="AX110" s="1"/>
  <c r="BI115"/>
  <c r="K138"/>
  <c r="X161"/>
  <c r="X165"/>
  <c r="X169"/>
  <c r="X173"/>
  <c r="BC176"/>
  <c r="BC180"/>
  <c r="K190"/>
  <c r="AQ194"/>
  <c r="K203"/>
  <c r="X232"/>
  <c r="K113"/>
  <c r="X85"/>
  <c r="X82"/>
  <c r="AQ66"/>
  <c r="AX66" s="1"/>
  <c r="K221"/>
  <c r="L171"/>
  <c r="AQ159"/>
  <c r="BC228"/>
  <c r="AO198"/>
  <c r="AY225"/>
  <c r="BA252"/>
  <c r="BA234"/>
  <c r="T15" i="3"/>
  <c r="AJ16" i="1"/>
  <c r="Q43" i="4"/>
  <c r="K62"/>
  <c r="X60"/>
  <c r="X58"/>
  <c r="X55"/>
  <c r="O43"/>
  <c r="BB246" s="1"/>
  <c r="BC246" s="1"/>
  <c r="K55"/>
  <c r="P43"/>
  <c r="BB247" s="1"/>
  <c r="H43"/>
  <c r="AP200"/>
  <c r="AP174"/>
  <c r="AP169"/>
  <c r="AP210"/>
  <c r="AP206"/>
  <c r="AP201"/>
  <c r="AP195"/>
  <c r="AP177"/>
  <c r="AP168"/>
  <c r="AP161"/>
  <c r="BI74"/>
  <c r="X90"/>
  <c r="AQ99"/>
  <c r="AX99" s="1"/>
  <c r="AQ108"/>
  <c r="AX108" s="1"/>
  <c r="K112"/>
  <c r="BI114"/>
  <c r="BI118"/>
  <c r="K126"/>
  <c r="K142"/>
  <c r="AQ160"/>
  <c r="K162"/>
  <c r="K164"/>
  <c r="K166"/>
  <c r="K168"/>
  <c r="K170"/>
  <c r="K172"/>
  <c r="K174"/>
  <c r="X176"/>
  <c r="BC177"/>
  <c r="BC179"/>
  <c r="BC181"/>
  <c r="AQ183"/>
  <c r="X191"/>
  <c r="AP193"/>
  <c r="BC196"/>
  <c r="X200"/>
  <c r="AQ201"/>
  <c r="BC205"/>
  <c r="X208"/>
  <c r="BC209"/>
  <c r="X211"/>
  <c r="X223"/>
  <c r="K229"/>
  <c r="K236"/>
  <c r="BR137"/>
  <c r="AP117"/>
  <c r="AQ109"/>
  <c r="AX109" s="1"/>
  <c r="AP99"/>
  <c r="AQ76"/>
  <c r="AX76" s="1"/>
  <c r="AP94"/>
  <c r="BI77"/>
  <c r="AP70"/>
  <c r="AQ65"/>
  <c r="AX65" s="1"/>
  <c r="K178"/>
  <c r="AQ165"/>
  <c r="AQ210"/>
  <c r="K235"/>
  <c r="K226"/>
  <c r="K205"/>
  <c r="K191"/>
  <c r="K169"/>
  <c r="K145"/>
  <c r="K109"/>
  <c r="X57"/>
  <c r="X62"/>
  <c r="AQ64"/>
  <c r="AX64" s="1"/>
  <c r="AP66"/>
  <c r="AP64"/>
  <c r="K68"/>
  <c r="AQ69"/>
  <c r="AX69" s="1"/>
  <c r="AP71"/>
  <c r="AP73"/>
  <c r="AQ75"/>
  <c r="AX75" s="1"/>
  <c r="K77"/>
  <c r="AQ78"/>
  <c r="AX78" s="1"/>
  <c r="K80"/>
  <c r="X84"/>
  <c r="X88"/>
  <c r="AP95"/>
  <c r="K59"/>
  <c r="X70"/>
  <c r="K74"/>
  <c r="AP78"/>
  <c r="K82"/>
  <c r="AQ95"/>
  <c r="K98"/>
  <c r="AP100"/>
  <c r="K103"/>
  <c r="K106"/>
  <c r="AP108"/>
  <c r="AP110"/>
  <c r="BI111"/>
  <c r="AQ114"/>
  <c r="AX114" s="1"/>
  <c r="BI116"/>
  <c r="AP118"/>
  <c r="K122"/>
  <c r="K125"/>
  <c r="K137"/>
  <c r="K140"/>
  <c r="K239"/>
  <c r="K238"/>
  <c r="X236"/>
  <c r="K234"/>
  <c r="K233"/>
  <c r="K232"/>
  <c r="X230"/>
  <c r="X228"/>
  <c r="X227"/>
  <c r="K225"/>
  <c r="K224"/>
  <c r="K222"/>
  <c r="K213"/>
  <c r="AQ212"/>
  <c r="AQ211"/>
  <c r="BC210"/>
  <c r="K210"/>
  <c r="K209"/>
  <c r="AQ208"/>
  <c r="AQ207"/>
  <c r="X206"/>
  <c r="X205"/>
  <c r="BC203"/>
  <c r="AQ202"/>
  <c r="K202"/>
  <c r="X201"/>
  <c r="AQ200"/>
  <c r="AQ199"/>
  <c r="BC198"/>
  <c r="K198"/>
  <c r="X197"/>
  <c r="X196"/>
  <c r="X195"/>
  <c r="I43"/>
  <c r="AQ63"/>
  <c r="AX63" s="1"/>
  <c r="AQ62"/>
  <c r="AX62" s="1"/>
  <c r="AQ61"/>
  <c r="AX61" s="1"/>
  <c r="AP60"/>
  <c r="X56"/>
  <c r="S43"/>
  <c r="K43"/>
  <c r="AM242" s="1"/>
  <c r="C43"/>
  <c r="BB234" s="1"/>
  <c r="V43"/>
  <c r="R43"/>
  <c r="BB249" s="1"/>
  <c r="N43"/>
  <c r="BB245" s="1"/>
  <c r="J43"/>
  <c r="BB241" s="1"/>
  <c r="F43"/>
  <c r="AP190"/>
  <c r="AP202"/>
  <c r="AP197"/>
  <c r="AP180"/>
  <c r="AP178"/>
  <c r="AP171"/>
  <c r="AP167"/>
  <c r="AP162"/>
  <c r="AP213"/>
  <c r="AP211"/>
  <c r="AP209"/>
  <c r="AP207"/>
  <c r="AP205"/>
  <c r="AP203"/>
  <c r="AP199"/>
  <c r="AP196"/>
  <c r="AP194"/>
  <c r="AP181"/>
  <c r="AP176"/>
  <c r="AP172"/>
  <c r="AP166"/>
  <c r="AP163"/>
  <c r="AP62"/>
  <c r="AP74"/>
  <c r="K75"/>
  <c r="AQ77"/>
  <c r="AX77" s="1"/>
  <c r="AQ94"/>
  <c r="K99"/>
  <c r="K102"/>
  <c r="K108"/>
  <c r="AP109"/>
  <c r="AQ111"/>
  <c r="AX111" s="1"/>
  <c r="AQ112"/>
  <c r="AX112" s="1"/>
  <c r="K114"/>
  <c r="K115"/>
  <c r="BI117"/>
  <c r="K121"/>
  <c r="K123"/>
  <c r="BE134"/>
  <c r="BF144" s="1"/>
  <c r="K139"/>
  <c r="K144"/>
  <c r="BC159"/>
  <c r="AK165" s="1"/>
  <c r="BC160"/>
  <c r="AQ161"/>
  <c r="BC162"/>
  <c r="AQ163"/>
  <c r="BC164"/>
  <c r="BC165"/>
  <c r="BC166"/>
  <c r="AQ167"/>
  <c r="AW167" s="1"/>
  <c r="BC168"/>
  <c r="AQ169"/>
  <c r="AP170"/>
  <c r="BC171"/>
  <c r="BC172"/>
  <c r="AQ173"/>
  <c r="BC174"/>
  <c r="BC175"/>
  <c r="AQ176"/>
  <c r="AW176" s="1"/>
  <c r="K177"/>
  <c r="X178"/>
  <c r="K179"/>
  <c r="K180"/>
  <c r="X181"/>
  <c r="K182"/>
  <c r="X183"/>
  <c r="AQ189"/>
  <c r="AQ190"/>
  <c r="AP191"/>
  <c r="X193"/>
  <c r="K194"/>
  <c r="BC195"/>
  <c r="AQ197"/>
  <c r="X199"/>
  <c r="X202"/>
  <c r="BC204"/>
  <c r="AQ206"/>
  <c r="X207"/>
  <c r="X212"/>
  <c r="AQ213"/>
  <c r="AW213" s="1"/>
  <c r="X224"/>
  <c r="K228"/>
  <c r="X231"/>
  <c r="X233"/>
  <c r="X237"/>
  <c r="K141"/>
  <c r="K127"/>
  <c r="K120"/>
  <c r="K116"/>
  <c r="K111"/>
  <c r="K107"/>
  <c r="AQ101"/>
  <c r="AX101" s="1"/>
  <c r="K97"/>
  <c r="X80"/>
  <c r="X72"/>
  <c r="AP96"/>
  <c r="X86"/>
  <c r="AP79"/>
  <c r="AP76"/>
  <c r="AP72"/>
  <c r="K69"/>
  <c r="AP67"/>
  <c r="AP63"/>
  <c r="U43"/>
  <c r="BB252" s="1"/>
  <c r="K88"/>
  <c r="K152"/>
  <c r="K195"/>
  <c r="K230"/>
  <c r="AQ182"/>
  <c r="AQ162"/>
  <c r="AQ166"/>
  <c r="AQ172"/>
  <c r="AQ204"/>
  <c r="K237"/>
  <c r="K231"/>
  <c r="K227"/>
  <c r="K223"/>
  <c r="K207"/>
  <c r="K200"/>
  <c r="K193"/>
  <c r="K181"/>
  <c r="K173"/>
  <c r="K167"/>
  <c r="K151"/>
  <c r="K136"/>
  <c r="K134"/>
  <c r="K105"/>
  <c r="K84"/>
  <c r="E43"/>
  <c r="K56"/>
  <c r="K58"/>
  <c r="X61"/>
  <c r="X63"/>
  <c r="X64"/>
  <c r="X65"/>
  <c r="K66"/>
  <c r="K67"/>
  <c r="AP61"/>
  <c r="AP65"/>
  <c r="AQ67"/>
  <c r="AX67" s="1"/>
  <c r="AP68"/>
  <c r="X69"/>
  <c r="K70"/>
  <c r="K71"/>
  <c r="K72"/>
  <c r="K73"/>
  <c r="X74"/>
  <c r="X75"/>
  <c r="X76"/>
  <c r="BI76"/>
  <c r="AP77"/>
  <c r="K78"/>
  <c r="K79"/>
  <c r="BI79"/>
  <c r="K81"/>
  <c r="K83"/>
  <c r="K86"/>
  <c r="K87"/>
  <c r="K94"/>
  <c r="K95"/>
  <c r="K96"/>
  <c r="M43"/>
  <c r="K60"/>
  <c r="AQ68"/>
  <c r="AQ71"/>
  <c r="AX71" s="1"/>
  <c r="AQ73"/>
  <c r="BI75"/>
  <c r="X77"/>
  <c r="AQ79"/>
  <c r="AX79" s="1"/>
  <c r="X81"/>
  <c r="X83"/>
  <c r="X87"/>
  <c r="AQ96"/>
  <c r="AX96" s="1"/>
  <c r="AP97"/>
  <c r="AP98"/>
  <c r="K100"/>
  <c r="K101"/>
  <c r="AQ102"/>
  <c r="AX102" s="1"/>
  <c r="AQ103"/>
  <c r="AX103" s="1"/>
  <c r="AP105"/>
  <c r="AQ106"/>
  <c r="AX106" s="1"/>
  <c r="AQ107"/>
  <c r="AX107" s="1"/>
  <c r="BI108"/>
  <c r="K110"/>
  <c r="BI110"/>
  <c r="AP111"/>
  <c r="AP112"/>
  <c r="AQ113"/>
  <c r="AX113" s="1"/>
  <c r="AQ115"/>
  <c r="AX115" s="1"/>
  <c r="AQ116"/>
  <c r="AX116" s="1"/>
  <c r="K117"/>
  <c r="K118"/>
  <c r="K119"/>
  <c r="AF11" i="3"/>
  <c r="AY240" i="4"/>
  <c r="AO175"/>
  <c r="AV183"/>
  <c r="BA248"/>
  <c r="BG434" i="2"/>
  <c r="BA434"/>
  <c r="AU434"/>
  <c r="AO434"/>
  <c r="AI434"/>
  <c r="AC434"/>
  <c r="W434"/>
  <c r="Q434"/>
  <c r="K434"/>
  <c r="E434"/>
  <c r="BF434"/>
  <c r="AF10" i="3"/>
  <c r="AC20"/>
  <c r="BC224" i="4"/>
  <c r="BC232"/>
  <c r="AT198"/>
  <c r="AO210"/>
  <c r="AC11" i="3"/>
  <c r="AQ209" i="4"/>
  <c r="AQ195"/>
  <c r="AQ181"/>
  <c r="AQ171"/>
  <c r="AQ164"/>
  <c r="AV207"/>
  <c r="AV177"/>
  <c r="AV169"/>
  <c r="AV199"/>
  <c r="AV161"/>
  <c r="AV191"/>
  <c r="AT177"/>
  <c r="AT207"/>
  <c r="AT169"/>
  <c r="AT199"/>
  <c r="AT161"/>
  <c r="AT191"/>
  <c r="AO177"/>
  <c r="AO207"/>
  <c r="AO169"/>
  <c r="AO199"/>
  <c r="AO161"/>
  <c r="AO191"/>
  <c r="AV174"/>
  <c r="AV204"/>
  <c r="AV196"/>
  <c r="AV166"/>
  <c r="AV162"/>
  <c r="AV192"/>
  <c r="AT182"/>
  <c r="AT212"/>
  <c r="AT208"/>
  <c r="AT178"/>
  <c r="AT170"/>
  <c r="AT200"/>
  <c r="AO182"/>
  <c r="AO212"/>
  <c r="AO178"/>
  <c r="AO208"/>
  <c r="AO170"/>
  <c r="AO200"/>
  <c r="AY241"/>
  <c r="BA241"/>
  <c r="AO201"/>
  <c r="AO171"/>
  <c r="AT163"/>
  <c r="AT193"/>
  <c r="AT179"/>
  <c r="AT209"/>
  <c r="AV171"/>
  <c r="AV201"/>
  <c r="AY247"/>
  <c r="BA247"/>
  <c r="AY251"/>
  <c r="BA251"/>
  <c r="X66"/>
  <c r="X68"/>
  <c r="AQ70"/>
  <c r="AX70" s="1"/>
  <c r="AQ72"/>
  <c r="AP75"/>
  <c r="X78"/>
  <c r="X79"/>
  <c r="K85"/>
  <c r="AQ100"/>
  <c r="AP102"/>
  <c r="K104"/>
  <c r="AP106"/>
  <c r="BI109"/>
  <c r="AP113"/>
  <c r="AP114"/>
  <c r="AP116"/>
  <c r="AQ118"/>
  <c r="AX118" s="1"/>
  <c r="BR133"/>
  <c r="BT147" s="1"/>
  <c r="K135"/>
  <c r="K149"/>
  <c r="K150"/>
  <c r="X160"/>
  <c r="X164"/>
  <c r="X168"/>
  <c r="X170"/>
  <c r="BF55"/>
  <c r="BG57" s="1"/>
  <c r="AP69"/>
  <c r="X73"/>
  <c r="BI78"/>
  <c r="AQ97"/>
  <c r="AX97" s="1"/>
  <c r="AP103"/>
  <c r="AP107"/>
  <c r="BI113"/>
  <c r="AQ117"/>
  <c r="AX117" s="1"/>
  <c r="K143"/>
  <c r="K148"/>
  <c r="X159"/>
  <c r="AF159" s="1"/>
  <c r="X162"/>
  <c r="BC167"/>
  <c r="X171"/>
  <c r="X174"/>
  <c r="K176"/>
  <c r="BC178"/>
  <c r="X180"/>
  <c r="Y187"/>
  <c r="Y188" s="1"/>
  <c r="BC189"/>
  <c r="BC191"/>
  <c r="AP192"/>
  <c r="BC193"/>
  <c r="AI196"/>
  <c r="BC197"/>
  <c r="BC199"/>
  <c r="BC200"/>
  <c r="BC202"/>
  <c r="K204"/>
  <c r="K206"/>
  <c r="K208"/>
  <c r="X209"/>
  <c r="K211"/>
  <c r="BC211"/>
  <c r="BC212"/>
  <c r="X222"/>
  <c r="X225"/>
  <c r="X229"/>
  <c r="X239"/>
  <c r="X71"/>
  <c r="AR82"/>
  <c r="AQ105"/>
  <c r="AX105" s="1"/>
  <c r="AP115"/>
  <c r="BC161"/>
  <c r="BC163"/>
  <c r="X166"/>
  <c r="AQ168"/>
  <c r="AQ170"/>
  <c r="AW170" s="1"/>
  <c r="X172"/>
  <c r="AQ174"/>
  <c r="AQ175"/>
  <c r="AW175" s="1"/>
  <c r="AQ177"/>
  <c r="AQ179"/>
  <c r="AQ180"/>
  <c r="K183"/>
  <c r="BC183"/>
  <c r="X190"/>
  <c r="AQ191"/>
  <c r="X192"/>
  <c r="AQ193"/>
  <c r="X194"/>
  <c r="AQ196"/>
  <c r="X198"/>
  <c r="K199"/>
  <c r="AQ203"/>
  <c r="X204"/>
  <c r="AQ205"/>
  <c r="X210"/>
  <c r="K212"/>
  <c r="X213"/>
  <c r="BC213"/>
  <c r="X221"/>
  <c r="X235"/>
  <c r="X67"/>
  <c r="AL76"/>
  <c r="AP101"/>
  <c r="AL110"/>
  <c r="X130"/>
  <c r="Y132" s="1"/>
  <c r="K160"/>
  <c r="K161"/>
  <c r="K163"/>
  <c r="K165"/>
  <c r="BC169"/>
  <c r="BC170"/>
  <c r="BC173"/>
  <c r="K175"/>
  <c r="X177"/>
  <c r="X179"/>
  <c r="X182"/>
  <c r="BC190"/>
  <c r="BC194"/>
  <c r="K196"/>
  <c r="K197"/>
  <c r="K201"/>
  <c r="BC201"/>
  <c r="X203"/>
  <c r="BC206"/>
  <c r="BC207"/>
  <c r="BC208"/>
  <c r="X234"/>
  <c r="AV181"/>
  <c r="AV211"/>
  <c r="AV173"/>
  <c r="AV203"/>
  <c r="AV195"/>
  <c r="AV165"/>
  <c r="AT211"/>
  <c r="AT181"/>
  <c r="AT203"/>
  <c r="AT173"/>
  <c r="AT165"/>
  <c r="AT195"/>
  <c r="AO211"/>
  <c r="AO181"/>
  <c r="AO173"/>
  <c r="AO203"/>
  <c r="AO165"/>
  <c r="AO195"/>
  <c r="AV180"/>
  <c r="AV210"/>
  <c r="AV202"/>
  <c r="AV172"/>
  <c r="AV168"/>
  <c r="AV198"/>
  <c r="AV194"/>
  <c r="AV164"/>
  <c r="AV190"/>
  <c r="AV160"/>
  <c r="AT176"/>
  <c r="AT206"/>
  <c r="AT172"/>
  <c r="AT202"/>
  <c r="AT164"/>
  <c r="AT194"/>
  <c r="AT160"/>
  <c r="AT190"/>
  <c r="AO176"/>
  <c r="AO206"/>
  <c r="AO172"/>
  <c r="AO202"/>
  <c r="AO164"/>
  <c r="AO194"/>
  <c r="AO160"/>
  <c r="AO190"/>
  <c r="BA254"/>
  <c r="AY254"/>
  <c r="AY242"/>
  <c r="BA242"/>
  <c r="AO179"/>
  <c r="AO209"/>
  <c r="AT201"/>
  <c r="AT171"/>
  <c r="AV163"/>
  <c r="AV193"/>
  <c r="AV209"/>
  <c r="AV179"/>
  <c r="AY245"/>
  <c r="BA245"/>
  <c r="AY249"/>
  <c r="BA249"/>
  <c r="AQ198"/>
  <c r="BE434" i="2"/>
  <c r="AY434"/>
  <c r="AS434"/>
  <c r="AM434"/>
  <c r="AG434"/>
  <c r="AA434"/>
  <c r="U434"/>
  <c r="O434"/>
  <c r="I434"/>
  <c r="C434"/>
  <c r="O85" i="4"/>
  <c r="O124"/>
  <c r="J86"/>
  <c r="J125"/>
  <c r="O69"/>
  <c r="O174"/>
  <c r="O204"/>
  <c r="O148"/>
  <c r="AO149"/>
  <c r="O235"/>
  <c r="AY239"/>
  <c r="BA239"/>
  <c r="BA227"/>
  <c r="BC227" s="1"/>
  <c r="AY227"/>
  <c r="AL17" i="3"/>
  <c r="AK17"/>
  <c r="AM17"/>
  <c r="AK97" i="4"/>
  <c r="AL97" s="1"/>
  <c r="AE11" i="3"/>
  <c r="AP11" s="1"/>
  <c r="T19"/>
  <c r="AH19"/>
  <c r="Q83" i="4"/>
  <c r="Q122"/>
  <c r="Q67"/>
  <c r="Q106"/>
  <c r="Q172"/>
  <c r="Q146"/>
  <c r="Q202"/>
  <c r="Q233"/>
  <c r="J70"/>
  <c r="J149"/>
  <c r="J175"/>
  <c r="J205"/>
  <c r="J236"/>
  <c r="AY237"/>
  <c r="BA237"/>
  <c r="BA233"/>
  <c r="BC233" s="1"/>
  <c r="AY233"/>
  <c r="BA231"/>
  <c r="BC231" s="1"/>
  <c r="AY231"/>
  <c r="BA223"/>
  <c r="BC223" s="1"/>
  <c r="AY223"/>
  <c r="AK161"/>
  <c r="AL161" s="1"/>
  <c r="AE16" i="3"/>
  <c r="AF16"/>
  <c r="AD16"/>
  <c r="AM11"/>
  <c r="AK11"/>
  <c r="BA13" i="2"/>
  <c r="AH6" i="3" s="1"/>
  <c r="AM6" s="1"/>
  <c r="AZ13" i="2"/>
  <c r="AH5" i="3" s="1"/>
  <c r="U15" i="1"/>
  <c r="J78" i="4"/>
  <c r="J213"/>
  <c r="J117"/>
  <c r="J183"/>
  <c r="O77"/>
  <c r="O116"/>
  <c r="O182"/>
  <c r="O212"/>
  <c r="Q75"/>
  <c r="Q114"/>
  <c r="Q180"/>
  <c r="Q210"/>
  <c r="Q79"/>
  <c r="Q118"/>
  <c r="Q63"/>
  <c r="Q102"/>
  <c r="Q142"/>
  <c r="Q168"/>
  <c r="Q198"/>
  <c r="Q229"/>
  <c r="O81"/>
  <c r="O120"/>
  <c r="O65"/>
  <c r="O104"/>
  <c r="AO145"/>
  <c r="O144"/>
  <c r="O170"/>
  <c r="O200"/>
  <c r="O231"/>
  <c r="J82"/>
  <c r="J121"/>
  <c r="J66"/>
  <c r="J171"/>
  <c r="J145"/>
  <c r="J105"/>
  <c r="J201"/>
  <c r="J232"/>
  <c r="Q124"/>
  <c r="Q85"/>
  <c r="Q77"/>
  <c r="Q116"/>
  <c r="Q212"/>
  <c r="Q182"/>
  <c r="Q69"/>
  <c r="Q108"/>
  <c r="Q148"/>
  <c r="Q174"/>
  <c r="Q204"/>
  <c r="Q235"/>
  <c r="Q61"/>
  <c r="Q140"/>
  <c r="Q100"/>
  <c r="Q196"/>
  <c r="Q227"/>
  <c r="Q166"/>
  <c r="O87"/>
  <c r="O126"/>
  <c r="O79"/>
  <c r="O118"/>
  <c r="O71"/>
  <c r="O110"/>
  <c r="O150"/>
  <c r="AO151"/>
  <c r="O176"/>
  <c r="O206"/>
  <c r="O237"/>
  <c r="O63"/>
  <c r="O142"/>
  <c r="O168"/>
  <c r="O198"/>
  <c r="O102"/>
  <c r="AO143"/>
  <c r="O229"/>
  <c r="O55"/>
  <c r="O94"/>
  <c r="O134"/>
  <c r="AO134"/>
  <c r="AO135"/>
  <c r="O160"/>
  <c r="O221"/>
  <c r="O190"/>
  <c r="J119"/>
  <c r="J80"/>
  <c r="J111"/>
  <c r="J72"/>
  <c r="J151"/>
  <c r="J177"/>
  <c r="J207"/>
  <c r="J238"/>
  <c r="J64"/>
  <c r="J103"/>
  <c r="J143"/>
  <c r="J169"/>
  <c r="J199"/>
  <c r="J230"/>
  <c r="J56"/>
  <c r="J95"/>
  <c r="J135"/>
  <c r="J161"/>
  <c r="J191"/>
  <c r="J222"/>
  <c r="Q86"/>
  <c r="Q125"/>
  <c r="Q82"/>
  <c r="Q121"/>
  <c r="Q78"/>
  <c r="Q117"/>
  <c r="Q183"/>
  <c r="Q213"/>
  <c r="Q74"/>
  <c r="Q113"/>
  <c r="Q179"/>
  <c r="Q153"/>
  <c r="Q209"/>
  <c r="Q70"/>
  <c r="Q109"/>
  <c r="Q149"/>
  <c r="Q175"/>
  <c r="Q236"/>
  <c r="Q205"/>
  <c r="Q66"/>
  <c r="Q105"/>
  <c r="Q145"/>
  <c r="Q201"/>
  <c r="Q232"/>
  <c r="Q171"/>
  <c r="Q62"/>
  <c r="Q101"/>
  <c r="Q141"/>
  <c r="Q167"/>
  <c r="Q228"/>
  <c r="Q197"/>
  <c r="Q58"/>
  <c r="Q97"/>
  <c r="Q137"/>
  <c r="Q163"/>
  <c r="Q193"/>
  <c r="Q224"/>
  <c r="O84"/>
  <c r="O123"/>
  <c r="O80"/>
  <c r="O119"/>
  <c r="O76"/>
  <c r="O115"/>
  <c r="O211"/>
  <c r="O181"/>
  <c r="O72"/>
  <c r="O111"/>
  <c r="O151"/>
  <c r="O177"/>
  <c r="O238"/>
  <c r="O207"/>
  <c r="AO152"/>
  <c r="O68"/>
  <c r="O107"/>
  <c r="O147"/>
  <c r="AO148"/>
  <c r="O173"/>
  <c r="O203"/>
  <c r="O234"/>
  <c r="O64"/>
  <c r="O103"/>
  <c r="O143"/>
  <c r="O199"/>
  <c r="AO144"/>
  <c r="O169"/>
  <c r="O230"/>
  <c r="O99"/>
  <c r="O60"/>
  <c r="O139"/>
  <c r="AO140"/>
  <c r="O165"/>
  <c r="O226"/>
  <c r="O195"/>
  <c r="O56"/>
  <c r="O95"/>
  <c r="O135"/>
  <c r="O191"/>
  <c r="O161"/>
  <c r="O222"/>
  <c r="J85"/>
  <c r="J124"/>
  <c r="J120"/>
  <c r="J81"/>
  <c r="J116"/>
  <c r="J77"/>
  <c r="J182"/>
  <c r="J212"/>
  <c r="J73"/>
  <c r="J112"/>
  <c r="J208"/>
  <c r="J152"/>
  <c r="J178"/>
  <c r="J239"/>
  <c r="J69"/>
  <c r="J148"/>
  <c r="J204"/>
  <c r="J108"/>
  <c r="J174"/>
  <c r="J235"/>
  <c r="J65"/>
  <c r="J104"/>
  <c r="J144"/>
  <c r="J170"/>
  <c r="J200"/>
  <c r="J231"/>
  <c r="J61"/>
  <c r="J100"/>
  <c r="J140"/>
  <c r="J166"/>
  <c r="J196"/>
  <c r="J227"/>
  <c r="J57"/>
  <c r="J96"/>
  <c r="J136"/>
  <c r="J192"/>
  <c r="J162"/>
  <c r="J223"/>
  <c r="AY221"/>
  <c r="BA221"/>
  <c r="BC221" s="1"/>
  <c r="J62"/>
  <c r="J141"/>
  <c r="J101"/>
  <c r="J167"/>
  <c r="J197"/>
  <c r="J228"/>
  <c r="O61"/>
  <c r="O100"/>
  <c r="O140"/>
  <c r="AO141"/>
  <c r="O166"/>
  <c r="O196"/>
  <c r="O227"/>
  <c r="Q59"/>
  <c r="Q98"/>
  <c r="Q164"/>
  <c r="Q138"/>
  <c r="Q194"/>
  <c r="Q225"/>
  <c r="Q87"/>
  <c r="Q126"/>
  <c r="Q110"/>
  <c r="Q71"/>
  <c r="Q150"/>
  <c r="Q237"/>
  <c r="Q176"/>
  <c r="Q206"/>
  <c r="Q55"/>
  <c r="Q94"/>
  <c r="Q134"/>
  <c r="Q160"/>
  <c r="Q221"/>
  <c r="Q190"/>
  <c r="O73"/>
  <c r="O112"/>
  <c r="O152"/>
  <c r="AO153"/>
  <c r="O178"/>
  <c r="O239"/>
  <c r="O208"/>
  <c r="O57"/>
  <c r="O96"/>
  <c r="AO137"/>
  <c r="O136"/>
  <c r="O162"/>
  <c r="O192"/>
  <c r="O223"/>
  <c r="J74"/>
  <c r="J113"/>
  <c r="J153"/>
  <c r="J209"/>
  <c r="J179"/>
  <c r="J58"/>
  <c r="J97"/>
  <c r="J137"/>
  <c r="J193"/>
  <c r="J163"/>
  <c r="J224"/>
  <c r="Q81"/>
  <c r="Q120"/>
  <c r="Q73"/>
  <c r="Q112"/>
  <c r="Q152"/>
  <c r="Q178"/>
  <c r="Q208"/>
  <c r="Q239"/>
  <c r="Q65"/>
  <c r="Q104"/>
  <c r="Q144"/>
  <c r="Q170"/>
  <c r="Q200"/>
  <c r="Q231"/>
  <c r="Q57"/>
  <c r="Q96"/>
  <c r="Q162"/>
  <c r="Q136"/>
  <c r="Q192"/>
  <c r="Q223"/>
  <c r="O83"/>
  <c r="O122"/>
  <c r="O75"/>
  <c r="O180"/>
  <c r="O114"/>
  <c r="O210"/>
  <c r="O67"/>
  <c r="O106"/>
  <c r="O146"/>
  <c r="AO147"/>
  <c r="O172"/>
  <c r="O202"/>
  <c r="O233"/>
  <c r="O59"/>
  <c r="AO139"/>
  <c r="O98"/>
  <c r="O138"/>
  <c r="O164"/>
  <c r="O194"/>
  <c r="O225"/>
  <c r="J84"/>
  <c r="J123"/>
  <c r="J76"/>
  <c r="J115"/>
  <c r="J181"/>
  <c r="J211"/>
  <c r="J68"/>
  <c r="J107"/>
  <c r="J203"/>
  <c r="J147"/>
  <c r="J234"/>
  <c r="J173"/>
  <c r="J60"/>
  <c r="J99"/>
  <c r="J195"/>
  <c r="J139"/>
  <c r="J165"/>
  <c r="J226"/>
  <c r="Q84"/>
  <c r="Q123"/>
  <c r="Q80"/>
  <c r="Q119"/>
  <c r="Q76"/>
  <c r="Q115"/>
  <c r="Q181"/>
  <c r="Q211"/>
  <c r="Q72"/>
  <c r="Q111"/>
  <c r="Q207"/>
  <c r="Q238"/>
  <c r="Q151"/>
  <c r="Q177"/>
  <c r="Q68"/>
  <c r="Q107"/>
  <c r="Q147"/>
  <c r="Q173"/>
  <c r="Q234"/>
  <c r="Q203"/>
  <c r="Q103"/>
  <c r="Q64"/>
  <c r="Q199"/>
  <c r="Q143"/>
  <c r="Q230"/>
  <c r="Q169"/>
  <c r="Q60"/>
  <c r="Q99"/>
  <c r="Q139"/>
  <c r="Q165"/>
  <c r="Q195"/>
  <c r="Q226"/>
  <c r="Q56"/>
  <c r="Q95"/>
  <c r="Q135"/>
  <c r="Q161"/>
  <c r="Q191"/>
  <c r="Q222"/>
  <c r="O86"/>
  <c r="O125"/>
  <c r="O121"/>
  <c r="O82"/>
  <c r="O78"/>
  <c r="O117"/>
  <c r="O183"/>
  <c r="O213"/>
  <c r="O113"/>
  <c r="O74"/>
  <c r="O179"/>
  <c r="O153"/>
  <c r="O209"/>
  <c r="O70"/>
  <c r="O109"/>
  <c r="O149"/>
  <c r="AO150"/>
  <c r="O175"/>
  <c r="O205"/>
  <c r="O236"/>
  <c r="O105"/>
  <c r="O66"/>
  <c r="O145"/>
  <c r="O201"/>
  <c r="AO146"/>
  <c r="O171"/>
  <c r="O232"/>
  <c r="O62"/>
  <c r="O101"/>
  <c r="AO142"/>
  <c r="O141"/>
  <c r="O167"/>
  <c r="O197"/>
  <c r="O228"/>
  <c r="O97"/>
  <c r="O58"/>
  <c r="O163"/>
  <c r="AO138"/>
  <c r="O137"/>
  <c r="O224"/>
  <c r="O193"/>
  <c r="J87"/>
  <c r="J126"/>
  <c r="J83"/>
  <c r="J122"/>
  <c r="J79"/>
  <c r="J118"/>
  <c r="J114"/>
  <c r="J210"/>
  <c r="J75"/>
  <c r="J180"/>
  <c r="J71"/>
  <c r="J110"/>
  <c r="J150"/>
  <c r="J176"/>
  <c r="J206"/>
  <c r="J237"/>
  <c r="J106"/>
  <c r="J67"/>
  <c r="J146"/>
  <c r="J202"/>
  <c r="J172"/>
  <c r="J233"/>
  <c r="J63"/>
  <c r="J102"/>
  <c r="J142"/>
  <c r="J168"/>
  <c r="J198"/>
  <c r="J229"/>
  <c r="J59"/>
  <c r="J98"/>
  <c r="J138"/>
  <c r="J194"/>
  <c r="J225"/>
  <c r="J164"/>
  <c r="J55"/>
  <c r="J190"/>
  <c r="J134"/>
  <c r="J160"/>
  <c r="J94"/>
  <c r="J221"/>
  <c r="BA220"/>
  <c r="BC220" s="1"/>
  <c r="AY220"/>
  <c r="AD5" i="3"/>
  <c r="AF5"/>
  <c r="AE5"/>
  <c r="AC5"/>
  <c r="AR425" i="2"/>
  <c r="AU425"/>
  <c r="F435"/>
  <c r="L435"/>
  <c r="R435"/>
  <c r="X435"/>
  <c r="AD435"/>
  <c r="AJ435"/>
  <c r="AP435"/>
  <c r="AV435"/>
  <c r="BB435"/>
  <c r="BH435"/>
  <c r="T154"/>
  <c r="BF154"/>
  <c r="D434"/>
  <c r="J434"/>
  <c r="P434"/>
  <c r="V434"/>
  <c r="AB434"/>
  <c r="AH434"/>
  <c r="AN434"/>
  <c r="AT434"/>
  <c r="AZ434"/>
  <c r="U154"/>
  <c r="S154"/>
  <c r="BB154"/>
  <c r="AY153" s="1"/>
  <c r="BC153" s="1"/>
  <c r="Z154"/>
  <c r="X153" s="1"/>
  <c r="BG154"/>
  <c r="BE154"/>
  <c r="O309" i="4" l="1"/>
  <c r="P309" s="1"/>
  <c r="O316"/>
  <c r="H36" i="93" s="1"/>
  <c r="O336" i="4"/>
  <c r="BD153" i="2"/>
  <c r="AH15" i="3" s="1"/>
  <c r="AJ15" s="1"/>
  <c r="AW196" i="4"/>
  <c r="N7" i="1"/>
  <c r="O314" i="4"/>
  <c r="O322"/>
  <c r="P322" s="1"/>
  <c r="I42" i="93" s="1"/>
  <c r="AW208" i="4"/>
  <c r="AM238"/>
  <c r="O333"/>
  <c r="P333" s="1"/>
  <c r="O341"/>
  <c r="H37" i="94" s="1"/>
  <c r="O349" i="4"/>
  <c r="O310"/>
  <c r="P310" s="1"/>
  <c r="I30" i="93" s="1"/>
  <c r="O318" i="4"/>
  <c r="P318" s="1"/>
  <c r="I38" i="93" s="1"/>
  <c r="O326" i="4"/>
  <c r="O334"/>
  <c r="H30" i="94" s="1"/>
  <c r="O342" i="4"/>
  <c r="H38" i="94" s="1"/>
  <c r="P346" i="4"/>
  <c r="I42" i="94" s="1"/>
  <c r="H42"/>
  <c r="O350" i="4"/>
  <c r="O317"/>
  <c r="H37" i="93" s="1"/>
  <c r="O325" i="4"/>
  <c r="P314"/>
  <c r="I34" i="93" s="1"/>
  <c r="H34"/>
  <c r="O343" i="4"/>
  <c r="O347"/>
  <c r="H32" i="93"/>
  <c r="P312" i="4"/>
  <c r="I32" i="93" s="1"/>
  <c r="P316" i="4"/>
  <c r="I36" i="93" s="1"/>
  <c r="O320" i="4"/>
  <c r="O324"/>
  <c r="O313"/>
  <c r="O321"/>
  <c r="O311"/>
  <c r="O327"/>
  <c r="P327" s="1"/>
  <c r="O315"/>
  <c r="H34" i="94"/>
  <c r="P338" i="4"/>
  <c r="I34" i="94" s="1"/>
  <c r="O319" i="4"/>
  <c r="O323"/>
  <c r="P336"/>
  <c r="I32" i="94" s="1"/>
  <c r="H32"/>
  <c r="H36"/>
  <c r="P340" i="4"/>
  <c r="I36" i="94" s="1"/>
  <c r="O344" i="4"/>
  <c r="O348"/>
  <c r="O337"/>
  <c r="O345"/>
  <c r="O335"/>
  <c r="O351"/>
  <c r="P351" s="1"/>
  <c r="O339"/>
  <c r="AU135"/>
  <c r="AV135" s="1"/>
  <c r="AM239"/>
  <c r="AM235"/>
  <c r="AY21" i="3"/>
  <c r="AT21"/>
  <c r="AQ11"/>
  <c r="AW11" s="1"/>
  <c r="I15" i="18" s="1"/>
  <c r="AO11" i="3"/>
  <c r="AU11" s="1"/>
  <c r="G15" i="18" s="1"/>
  <c r="AN11" i="3"/>
  <c r="AT11" s="1"/>
  <c r="AQ10"/>
  <c r="AW10" s="1"/>
  <c r="I17" i="17" s="1"/>
  <c r="AO10" i="3"/>
  <c r="AU10" s="1"/>
  <c r="G17" i="17" s="1"/>
  <c r="AE66" i="3"/>
  <c r="AB8" s="1"/>
  <c r="AS8" s="1"/>
  <c r="L12" i="23" s="1"/>
  <c r="E33" s="1"/>
  <c r="AQ17" i="3"/>
  <c r="AW17" s="1"/>
  <c r="H12" i="8" s="1"/>
  <c r="AN14" i="3"/>
  <c r="AO20"/>
  <c r="AU20" s="1"/>
  <c r="F13" i="7" s="1"/>
  <c r="AP14" i="3"/>
  <c r="AV14" s="1"/>
  <c r="H12" i="19" s="1"/>
  <c r="AO13" i="3"/>
  <c r="AU13" s="1"/>
  <c r="L15" i="20" s="1"/>
  <c r="AN20" i="3"/>
  <c r="AY20" s="1"/>
  <c r="D30" i="7" s="1"/>
  <c r="AO14" i="3"/>
  <c r="AU14" s="1"/>
  <c r="G12" i="19" s="1"/>
  <c r="AQ20" i="3"/>
  <c r="AW20" s="1"/>
  <c r="H13" i="7" s="1"/>
  <c r="AP20" i="3"/>
  <c r="AV20" s="1"/>
  <c r="G13" i="7" s="1"/>
  <c r="AQ14" i="3"/>
  <c r="AW14" s="1"/>
  <c r="I12" i="19" s="1"/>
  <c r="AN12" i="3"/>
  <c r="AY12" s="1"/>
  <c r="AA65"/>
  <c r="AV7"/>
  <c r="L65"/>
  <c r="Q65" s="1"/>
  <c r="AU7"/>
  <c r="AE6"/>
  <c r="AD12"/>
  <c r="J46" i="89"/>
  <c r="R153" i="2"/>
  <c r="AK191" i="4"/>
  <c r="AL191" s="1"/>
  <c r="AU199" s="1"/>
  <c r="AC13" i="3"/>
  <c r="C435" i="2"/>
  <c r="O435"/>
  <c r="AA435"/>
  <c r="AM435"/>
  <c r="AY435"/>
  <c r="E435"/>
  <c r="Q435"/>
  <c r="AC435"/>
  <c r="AO435"/>
  <c r="BA435"/>
  <c r="I435"/>
  <c r="U435"/>
  <c r="AU422"/>
  <c r="AS435"/>
  <c r="BE435"/>
  <c r="BF435"/>
  <c r="K435"/>
  <c r="W435"/>
  <c r="AU424"/>
  <c r="AU421" s="1"/>
  <c r="AU435"/>
  <c r="BG435"/>
  <c r="AI435"/>
  <c r="AR422"/>
  <c r="F25" i="11"/>
  <c r="F25" i="10"/>
  <c r="F26" i="11"/>
  <c r="F26" i="10"/>
  <c r="F28" i="11"/>
  <c r="F28" i="10"/>
  <c r="F36" i="11"/>
  <c r="F36" i="10"/>
  <c r="F38" i="11"/>
  <c r="F38" i="10"/>
  <c r="F32" i="11"/>
  <c r="F32" i="10"/>
  <c r="F29" i="11"/>
  <c r="F29" i="10"/>
  <c r="F33" i="11"/>
  <c r="F33" i="10"/>
  <c r="F34"/>
  <c r="F34" i="11"/>
  <c r="F30"/>
  <c r="F30" i="10"/>
  <c r="BD222" i="4"/>
  <c r="F27" i="11"/>
  <c r="F27" i="10"/>
  <c r="BD230" i="4"/>
  <c r="F35" i="11"/>
  <c r="F35" i="10"/>
  <c r="F37" i="11"/>
  <c r="F37" i="10"/>
  <c r="BD246" i="4"/>
  <c r="F51" i="11"/>
  <c r="F51" i="10"/>
  <c r="BD226" i="4"/>
  <c r="F31" i="10"/>
  <c r="F31" i="11"/>
  <c r="AD6" i="3"/>
  <c r="AV11"/>
  <c r="H15" i="18" s="1"/>
  <c r="AD18" i="3"/>
  <c r="AQ188" i="4"/>
  <c r="AQ158"/>
  <c r="I55" i="15" s="1"/>
  <c r="BF182" i="4"/>
  <c r="L203"/>
  <c r="M203" s="1"/>
  <c r="N203" s="1"/>
  <c r="AF6" i="3"/>
  <c r="AQ6" s="1"/>
  <c r="AC6"/>
  <c r="AP146" i="4"/>
  <c r="AP150"/>
  <c r="AP139"/>
  <c r="AP137"/>
  <c r="AP153"/>
  <c r="AQ153" s="1"/>
  <c r="AW205"/>
  <c r="AU152"/>
  <c r="AV152" s="1"/>
  <c r="AU148"/>
  <c r="AV148" s="1"/>
  <c r="AL137"/>
  <c r="F51" i="19" s="1"/>
  <c r="M38" s="1"/>
  <c r="F50"/>
  <c r="AR83" i="4"/>
  <c r="AR84" s="1"/>
  <c r="BT151" s="1"/>
  <c r="G57" i="17"/>
  <c r="M41" s="1"/>
  <c r="AR122" i="4"/>
  <c r="AR123" s="1"/>
  <c r="BU156" s="1"/>
  <c r="G60" i="18"/>
  <c r="M39" s="1"/>
  <c r="AU136" i="4"/>
  <c r="AV136" s="1"/>
  <c r="AD17" i="3"/>
  <c r="AW197" i="4"/>
  <c r="AU134"/>
  <c r="AV134" s="1"/>
  <c r="AW212"/>
  <c r="L102"/>
  <c r="R102" s="1"/>
  <c r="AO241"/>
  <c r="AR241" s="1"/>
  <c r="L202"/>
  <c r="R202" s="1"/>
  <c r="AF18" i="3"/>
  <c r="AE18"/>
  <c r="AJ6"/>
  <c r="AO238" i="4"/>
  <c r="AR238" s="1"/>
  <c r="L101"/>
  <c r="M101" s="1"/>
  <c r="N101" s="1"/>
  <c r="L194"/>
  <c r="R194" s="1"/>
  <c r="AR160"/>
  <c r="AS160" s="1"/>
  <c r="L201"/>
  <c r="R201" s="1"/>
  <c r="AO230"/>
  <c r="AR230" s="1"/>
  <c r="L118"/>
  <c r="M118" s="1"/>
  <c r="N118" s="1"/>
  <c r="L114"/>
  <c r="R114" s="1"/>
  <c r="L191"/>
  <c r="M191" s="1"/>
  <c r="N191" s="1"/>
  <c r="L210"/>
  <c r="R210" s="1"/>
  <c r="L213"/>
  <c r="M213" s="1"/>
  <c r="N213" s="1"/>
  <c r="L211"/>
  <c r="M211" s="1"/>
  <c r="N211" s="1"/>
  <c r="BD229"/>
  <c r="Y92"/>
  <c r="Y116" s="1"/>
  <c r="BD232"/>
  <c r="BD224"/>
  <c r="BC252"/>
  <c r="BD225"/>
  <c r="AR424" i="2"/>
  <c r="AL5" i="3"/>
  <c r="AM5"/>
  <c r="AJ5"/>
  <c r="AK15"/>
  <c r="AP136" i="4"/>
  <c r="AP140"/>
  <c r="AP144"/>
  <c r="AP148"/>
  <c r="AP152"/>
  <c r="AP134"/>
  <c r="AQ134" s="1"/>
  <c r="AP151"/>
  <c r="AP145"/>
  <c r="AK6" i="3"/>
  <c r="AL6"/>
  <c r="AP149" i="4"/>
  <c r="AU147"/>
  <c r="AV147" s="1"/>
  <c r="F163"/>
  <c r="G163" s="1"/>
  <c r="V182" s="1"/>
  <c r="W182" s="1"/>
  <c r="AU153"/>
  <c r="AV153" s="1"/>
  <c r="AK5" i="3"/>
  <c r="AG435" i="2"/>
  <c r="AW191" i="4"/>
  <c r="AW177"/>
  <c r="AU145"/>
  <c r="AV145" s="1"/>
  <c r="AX134"/>
  <c r="AE17" i="3"/>
  <c r="AR207" i="4"/>
  <c r="AS207" s="1"/>
  <c r="AR202"/>
  <c r="AS202" s="1"/>
  <c r="AU138"/>
  <c r="AV138" s="1"/>
  <c r="AU139"/>
  <c r="AV139" s="1"/>
  <c r="AU142"/>
  <c r="AV142" s="1"/>
  <c r="AR64"/>
  <c r="BD228"/>
  <c r="AO234"/>
  <c r="AR234" s="1"/>
  <c r="L195"/>
  <c r="R195" s="1"/>
  <c r="L206"/>
  <c r="R206" s="1"/>
  <c r="AO225"/>
  <c r="AR225" s="1"/>
  <c r="L205"/>
  <c r="M205" s="1"/>
  <c r="N205" s="1"/>
  <c r="AC189"/>
  <c r="AD189" s="1"/>
  <c r="L196"/>
  <c r="R196" s="1"/>
  <c r="AO235"/>
  <c r="AR235" s="1"/>
  <c r="AT10" i="3"/>
  <c r="AY10"/>
  <c r="AP138" i="4"/>
  <c r="AP142"/>
  <c r="AP147"/>
  <c r="AP141"/>
  <c r="AP135"/>
  <c r="AQ135" s="1"/>
  <c r="AP143"/>
  <c r="AW201"/>
  <c r="AU140"/>
  <c r="AV140" s="1"/>
  <c r="AU137"/>
  <c r="AV137" s="1"/>
  <c r="AU151"/>
  <c r="AV151" s="1"/>
  <c r="AU146"/>
  <c r="AV146" s="1"/>
  <c r="AU150"/>
  <c r="AV150" s="1"/>
  <c r="AC17" i="3"/>
  <c r="AN17" s="1"/>
  <c r="AR212" i="4"/>
  <c r="AS212" s="1"/>
  <c r="L175"/>
  <c r="R175" s="1"/>
  <c r="AU143"/>
  <c r="AV143" s="1"/>
  <c r="AU149"/>
  <c r="AV149" s="1"/>
  <c r="AU144"/>
  <c r="AV144" s="1"/>
  <c r="AU141"/>
  <c r="AV141" s="1"/>
  <c r="L152"/>
  <c r="M152" s="1"/>
  <c r="N152" s="1"/>
  <c r="AA175"/>
  <c r="AR78"/>
  <c r="AA84"/>
  <c r="AR183"/>
  <c r="AS183" s="1"/>
  <c r="BC234"/>
  <c r="BD227"/>
  <c r="BC241"/>
  <c r="BC249"/>
  <c r="BC247"/>
  <c r="R98"/>
  <c r="BC254"/>
  <c r="AA206"/>
  <c r="BC245"/>
  <c r="AW207"/>
  <c r="R171"/>
  <c r="BC251"/>
  <c r="L165"/>
  <c r="M165" s="1"/>
  <c r="N165" s="1"/>
  <c r="L140"/>
  <c r="R140" s="1"/>
  <c r="L55"/>
  <c r="L137"/>
  <c r="M137" s="1"/>
  <c r="N137" s="1"/>
  <c r="L148"/>
  <c r="M148" s="1"/>
  <c r="N148" s="1"/>
  <c r="L135"/>
  <c r="R135" s="1"/>
  <c r="L68"/>
  <c r="M68" s="1"/>
  <c r="N68" s="1"/>
  <c r="L229"/>
  <c r="M229" s="1"/>
  <c r="N229" s="1"/>
  <c r="L146"/>
  <c r="R146" s="1"/>
  <c r="L142"/>
  <c r="M142" s="1"/>
  <c r="N142" s="1"/>
  <c r="L150"/>
  <c r="M150" s="1"/>
  <c r="N150" s="1"/>
  <c r="L143"/>
  <c r="M143" s="1"/>
  <c r="N143" s="1"/>
  <c r="L138"/>
  <c r="M138" s="1"/>
  <c r="N138" s="1"/>
  <c r="L174"/>
  <c r="M174" s="1"/>
  <c r="N174" s="1"/>
  <c r="L80"/>
  <c r="R80" s="1"/>
  <c r="L74"/>
  <c r="M74" s="1"/>
  <c r="N74" s="1"/>
  <c r="L236"/>
  <c r="R236" s="1"/>
  <c r="L223"/>
  <c r="R223" s="1"/>
  <c r="L198"/>
  <c r="M198" s="1"/>
  <c r="N198" s="1"/>
  <c r="L199"/>
  <c r="M199" s="1"/>
  <c r="N199" s="1"/>
  <c r="AO240"/>
  <c r="AR240" s="1"/>
  <c r="AO221"/>
  <c r="AQ221" s="1"/>
  <c r="F34" i="23" s="1"/>
  <c r="L127" i="4"/>
  <c r="M127" s="1"/>
  <c r="L113"/>
  <c r="M113" s="1"/>
  <c r="N113" s="1"/>
  <c r="L112"/>
  <c r="R112" s="1"/>
  <c r="AO231"/>
  <c r="AQ231" s="1"/>
  <c r="F44" i="23" s="1"/>
  <c r="AO228" i="4"/>
  <c r="AR228" s="1"/>
  <c r="L193"/>
  <c r="R193" s="1"/>
  <c r="L197"/>
  <c r="R197" s="1"/>
  <c r="L204"/>
  <c r="M204" s="1"/>
  <c r="N204" s="1"/>
  <c r="L208"/>
  <c r="L212"/>
  <c r="R212" s="1"/>
  <c r="AQ223"/>
  <c r="F36" i="23" s="1"/>
  <c r="L190" i="4"/>
  <c r="R190" s="1"/>
  <c r="L200"/>
  <c r="M200" s="1"/>
  <c r="N200" s="1"/>
  <c r="L209"/>
  <c r="R209" s="1"/>
  <c r="L207"/>
  <c r="M207" s="1"/>
  <c r="N207" s="1"/>
  <c r="L96"/>
  <c r="R96" s="1"/>
  <c r="AO229"/>
  <c r="AR229" s="1"/>
  <c r="AO242"/>
  <c r="AR242" s="1"/>
  <c r="L153"/>
  <c r="L144"/>
  <c r="R144" s="1"/>
  <c r="L147"/>
  <c r="R147" s="1"/>
  <c r="Y133"/>
  <c r="L151"/>
  <c r="L149"/>
  <c r="R149" s="1"/>
  <c r="L145"/>
  <c r="R145" s="1"/>
  <c r="L141"/>
  <c r="R141" s="1"/>
  <c r="L139"/>
  <c r="M139" s="1"/>
  <c r="N139" s="1"/>
  <c r="L136"/>
  <c r="M136" s="1"/>
  <c r="N136" s="1"/>
  <c r="L162"/>
  <c r="L77"/>
  <c r="R77" s="1"/>
  <c r="L69"/>
  <c r="R69" s="1"/>
  <c r="L84"/>
  <c r="M84" s="1"/>
  <c r="N84" s="1"/>
  <c r="L63"/>
  <c r="M63" s="1"/>
  <c r="N63" s="1"/>
  <c r="L224"/>
  <c r="R224" s="1"/>
  <c r="L231"/>
  <c r="R231" s="1"/>
  <c r="L169"/>
  <c r="M169" s="1"/>
  <c r="N169" s="1"/>
  <c r="L181"/>
  <c r="R181" s="1"/>
  <c r="L58"/>
  <c r="R58" s="1"/>
  <c r="M166"/>
  <c r="N166" s="1"/>
  <c r="L180"/>
  <c r="M180" s="1"/>
  <c r="N180" s="1"/>
  <c r="L168"/>
  <c r="L178"/>
  <c r="M178" s="1"/>
  <c r="N178" s="1"/>
  <c r="L83"/>
  <c r="R83" s="1"/>
  <c r="L87"/>
  <c r="M87" s="1"/>
  <c r="N87" s="1"/>
  <c r="L72"/>
  <c r="R72" s="1"/>
  <c r="L73"/>
  <c r="M73" s="1"/>
  <c r="N73" s="1"/>
  <c r="L88"/>
  <c r="M88" s="1"/>
  <c r="L76"/>
  <c r="M76" s="1"/>
  <c r="N76" s="1"/>
  <c r="L65"/>
  <c r="R65" s="1"/>
  <c r="L61"/>
  <c r="R61" s="1"/>
  <c r="L232"/>
  <c r="M232" s="1"/>
  <c r="N232" s="1"/>
  <c r="L238"/>
  <c r="M238" s="1"/>
  <c r="N238" s="1"/>
  <c r="L237"/>
  <c r="R237" s="1"/>
  <c r="L227"/>
  <c r="M227" s="1"/>
  <c r="N227" s="1"/>
  <c r="Z94"/>
  <c r="L167"/>
  <c r="M167" s="1"/>
  <c r="N167" s="1"/>
  <c r="L182"/>
  <c r="M182" s="1"/>
  <c r="N182" s="1"/>
  <c r="L160"/>
  <c r="M160" s="1"/>
  <c r="N160" s="1"/>
  <c r="L161"/>
  <c r="M161" s="1"/>
  <c r="N161" s="1"/>
  <c r="L60"/>
  <c r="R60" s="1"/>
  <c r="L179"/>
  <c r="R179" s="1"/>
  <c r="L172"/>
  <c r="M172" s="1"/>
  <c r="N172" s="1"/>
  <c r="L164"/>
  <c r="M164" s="1"/>
  <c r="N164" s="1"/>
  <c r="L183"/>
  <c r="R183" s="1"/>
  <c r="L173"/>
  <c r="R173" s="1"/>
  <c r="L163"/>
  <c r="M163" s="1"/>
  <c r="N163" s="1"/>
  <c r="L81"/>
  <c r="M81" s="1"/>
  <c r="N81" s="1"/>
  <c r="AB220"/>
  <c r="AC220" s="1"/>
  <c r="AD220" s="1"/>
  <c r="L86"/>
  <c r="M86" s="1"/>
  <c r="N86" s="1"/>
  <c r="L79"/>
  <c r="M79" s="1"/>
  <c r="N79" s="1"/>
  <c r="L71"/>
  <c r="M71" s="1"/>
  <c r="N71" s="1"/>
  <c r="L78"/>
  <c r="M78" s="1"/>
  <c r="N78" s="1"/>
  <c r="L70"/>
  <c r="M70" s="1"/>
  <c r="N70" s="1"/>
  <c r="L66"/>
  <c r="M66" s="1"/>
  <c r="N66" s="1"/>
  <c r="L85"/>
  <c r="M85" s="1"/>
  <c r="N85" s="1"/>
  <c r="L82"/>
  <c r="R82" s="1"/>
  <c r="L75"/>
  <c r="M75" s="1"/>
  <c r="N75" s="1"/>
  <c r="L67"/>
  <c r="M67" s="1"/>
  <c r="N67" s="1"/>
  <c r="L64"/>
  <c r="M64" s="1"/>
  <c r="N64" s="1"/>
  <c r="L62"/>
  <c r="R62" s="1"/>
  <c r="L57"/>
  <c r="R57" s="1"/>
  <c r="AB54"/>
  <c r="AC54" s="1"/>
  <c r="AD54" s="1"/>
  <c r="F29" i="14" s="1"/>
  <c r="L239" i="4"/>
  <c r="M239" s="1"/>
  <c r="N239" s="1"/>
  <c r="L234"/>
  <c r="M234" s="1"/>
  <c r="N234" s="1"/>
  <c r="L228"/>
  <c r="M228" s="1"/>
  <c r="N228" s="1"/>
  <c r="L222"/>
  <c r="R222" s="1"/>
  <c r="L233"/>
  <c r="M233" s="1"/>
  <c r="N233" s="1"/>
  <c r="L225"/>
  <c r="R225" s="1"/>
  <c r="L235"/>
  <c r="R235" s="1"/>
  <c r="L230"/>
  <c r="M230" s="1"/>
  <c r="N230" s="1"/>
  <c r="L226"/>
  <c r="R226" s="1"/>
  <c r="L170"/>
  <c r="M170" s="1"/>
  <c r="N170" s="1"/>
  <c r="L177"/>
  <c r="R177" s="1"/>
  <c r="AC159"/>
  <c r="AD159" s="1"/>
  <c r="AE159" s="1"/>
  <c r="L176"/>
  <c r="R176" s="1"/>
  <c r="L59"/>
  <c r="R59" s="1"/>
  <c r="V109"/>
  <c r="W109" s="1"/>
  <c r="R56"/>
  <c r="AR99"/>
  <c r="AA212"/>
  <c r="V120"/>
  <c r="W120" s="1"/>
  <c r="P95"/>
  <c r="P99"/>
  <c r="P103"/>
  <c r="P111"/>
  <c r="P115"/>
  <c r="P119"/>
  <c r="P123"/>
  <c r="P104"/>
  <c r="P120"/>
  <c r="M221"/>
  <c r="N221" s="1"/>
  <c r="AW160"/>
  <c r="P204"/>
  <c r="V98"/>
  <c r="W98" s="1"/>
  <c r="V117"/>
  <c r="W117" s="1"/>
  <c r="BF207"/>
  <c r="BF178"/>
  <c r="M192"/>
  <c r="N192" s="1"/>
  <c r="M171"/>
  <c r="N171" s="1"/>
  <c r="P117"/>
  <c r="P125"/>
  <c r="P98"/>
  <c r="P106"/>
  <c r="P122"/>
  <c r="P96"/>
  <c r="P100"/>
  <c r="BB235"/>
  <c r="BC235" s="1"/>
  <c r="AM243"/>
  <c r="P108"/>
  <c r="V115"/>
  <c r="W115" s="1"/>
  <c r="V112"/>
  <c r="W112" s="1"/>
  <c r="V124"/>
  <c r="W124" s="1"/>
  <c r="V107"/>
  <c r="W107" s="1"/>
  <c r="P97"/>
  <c r="P101"/>
  <c r="P105"/>
  <c r="P109"/>
  <c r="P113"/>
  <c r="P121"/>
  <c r="P114"/>
  <c r="R192"/>
  <c r="P112"/>
  <c r="BB243"/>
  <c r="BC243" s="1"/>
  <c r="AA127"/>
  <c r="P107"/>
  <c r="P94"/>
  <c r="P102"/>
  <c r="P110"/>
  <c r="P118"/>
  <c r="P126"/>
  <c r="V74"/>
  <c r="W74" s="1"/>
  <c r="BF134"/>
  <c r="V100"/>
  <c r="W100" s="1"/>
  <c r="V106"/>
  <c r="W106" s="1"/>
  <c r="V108"/>
  <c r="W108" s="1"/>
  <c r="V127"/>
  <c r="W127" s="1"/>
  <c r="V105"/>
  <c r="W105" s="1"/>
  <c r="V122"/>
  <c r="W122" s="1"/>
  <c r="V113"/>
  <c r="W113" s="1"/>
  <c r="V101"/>
  <c r="W101" s="1"/>
  <c r="AA182"/>
  <c r="AA235"/>
  <c r="AR164"/>
  <c r="AS164" s="1"/>
  <c r="AA81"/>
  <c r="AA77"/>
  <c r="AA69"/>
  <c r="BB236"/>
  <c r="BC236" s="1"/>
  <c r="BF204"/>
  <c r="AR60"/>
  <c r="AT60" s="1"/>
  <c r="AR165"/>
  <c r="AS165" s="1"/>
  <c r="P116"/>
  <c r="P124"/>
  <c r="V114"/>
  <c r="W114" s="1"/>
  <c r="V104"/>
  <c r="W104" s="1"/>
  <c r="V96"/>
  <c r="W96" s="1"/>
  <c r="V111"/>
  <c r="W111" s="1"/>
  <c r="V102"/>
  <c r="W102" s="1"/>
  <c r="V95"/>
  <c r="W95" s="1"/>
  <c r="V121"/>
  <c r="W121" s="1"/>
  <c r="V99"/>
  <c r="W99" s="1"/>
  <c r="V125"/>
  <c r="W125" s="1"/>
  <c r="V119"/>
  <c r="W119" s="1"/>
  <c r="V126"/>
  <c r="W126" s="1"/>
  <c r="V123"/>
  <c r="W123" s="1"/>
  <c r="V118"/>
  <c r="W118" s="1"/>
  <c r="V116"/>
  <c r="W116" s="1"/>
  <c r="V110"/>
  <c r="W110" s="1"/>
  <c r="V103"/>
  <c r="W103" s="1"/>
  <c r="V97"/>
  <c r="W97" s="1"/>
  <c r="AA148"/>
  <c r="AR193"/>
  <c r="AS193" s="1"/>
  <c r="BF212"/>
  <c r="AA174"/>
  <c r="V210"/>
  <c r="W210" s="1"/>
  <c r="AR98"/>
  <c r="BF174"/>
  <c r="BF176"/>
  <c r="V203"/>
  <c r="W203" s="1"/>
  <c r="AA82"/>
  <c r="AA85"/>
  <c r="AA173"/>
  <c r="AR104"/>
  <c r="P56"/>
  <c r="P60"/>
  <c r="P64"/>
  <c r="P203"/>
  <c r="P72"/>
  <c r="P211"/>
  <c r="P76"/>
  <c r="P80"/>
  <c r="P84"/>
  <c r="P190"/>
  <c r="P63"/>
  <c r="P206"/>
  <c r="R166"/>
  <c r="AQ220"/>
  <c r="F33" i="23" s="1"/>
  <c r="AO222" i="4"/>
  <c r="AR222" s="1"/>
  <c r="AO236"/>
  <c r="AR236" s="1"/>
  <c r="AO226"/>
  <c r="AR226" s="1"/>
  <c r="AO243"/>
  <c r="AR243" s="1"/>
  <c r="AO239"/>
  <c r="AR239" s="1"/>
  <c r="V88"/>
  <c r="W88" s="1"/>
  <c r="L122"/>
  <c r="M122" s="1"/>
  <c r="N122" s="1"/>
  <c r="L120"/>
  <c r="M120" s="1"/>
  <c r="N120" s="1"/>
  <c r="L97"/>
  <c r="M97" s="1"/>
  <c r="N97" s="1"/>
  <c r="L107"/>
  <c r="R107" s="1"/>
  <c r="L123"/>
  <c r="R123" s="1"/>
  <c r="L105"/>
  <c r="M105" s="1"/>
  <c r="N105" s="1"/>
  <c r="V199"/>
  <c r="W199" s="1"/>
  <c r="L104"/>
  <c r="R104" s="1"/>
  <c r="AR204"/>
  <c r="AS204" s="1"/>
  <c r="AO227"/>
  <c r="AQ227" s="1"/>
  <c r="F40" i="23" s="1"/>
  <c r="AO244" i="4"/>
  <c r="AR244" s="1"/>
  <c r="AO232"/>
  <c r="AR232" s="1"/>
  <c r="AO224"/>
  <c r="AR224" s="1"/>
  <c r="AO233"/>
  <c r="AR233" s="1"/>
  <c r="AR182"/>
  <c r="AS182" s="1"/>
  <c r="AA72"/>
  <c r="AR173"/>
  <c r="AS173" s="1"/>
  <c r="AR74"/>
  <c r="V194"/>
  <c r="W194" s="1"/>
  <c r="BF180"/>
  <c r="BF179"/>
  <c r="AR110"/>
  <c r="AR66"/>
  <c r="AO237"/>
  <c r="AR237" s="1"/>
  <c r="AA112"/>
  <c r="AA111"/>
  <c r="P201"/>
  <c r="P213"/>
  <c r="P202"/>
  <c r="P210"/>
  <c r="P192"/>
  <c r="P208"/>
  <c r="P196"/>
  <c r="AA108"/>
  <c r="AA73"/>
  <c r="AA238"/>
  <c r="AA151"/>
  <c r="AA121"/>
  <c r="AA114"/>
  <c r="BB240"/>
  <c r="BC240" s="1"/>
  <c r="L125"/>
  <c r="R125" s="1"/>
  <c r="L94"/>
  <c r="M94" s="1"/>
  <c r="N94" s="1"/>
  <c r="L124"/>
  <c r="M124" s="1"/>
  <c r="N124" s="1"/>
  <c r="L119"/>
  <c r="R119" s="1"/>
  <c r="L117"/>
  <c r="M117" s="1"/>
  <c r="N117" s="1"/>
  <c r="L116"/>
  <c r="M116" s="1"/>
  <c r="N116" s="1"/>
  <c r="L110"/>
  <c r="R110" s="1"/>
  <c r="L103"/>
  <c r="M103" s="1"/>
  <c r="N103" s="1"/>
  <c r="L126"/>
  <c r="M126" s="1"/>
  <c r="N126" s="1"/>
  <c r="L121"/>
  <c r="M121" s="1"/>
  <c r="N121" s="1"/>
  <c r="L108"/>
  <c r="M108" s="1"/>
  <c r="N108" s="1"/>
  <c r="L99"/>
  <c r="M99" s="1"/>
  <c r="N99" s="1"/>
  <c r="AW194"/>
  <c r="AR179"/>
  <c r="AS179" s="1"/>
  <c r="AR192"/>
  <c r="AS192" s="1"/>
  <c r="AW192"/>
  <c r="AW183"/>
  <c r="V191"/>
  <c r="W191" s="1"/>
  <c r="L100"/>
  <c r="M100" s="1"/>
  <c r="N100" s="1"/>
  <c r="L109"/>
  <c r="M109" s="1"/>
  <c r="N109" s="1"/>
  <c r="AB93"/>
  <c r="AR178"/>
  <c r="AS178" s="1"/>
  <c r="L95"/>
  <c r="R95" s="1"/>
  <c r="L111"/>
  <c r="M111" s="1"/>
  <c r="N111" s="1"/>
  <c r="M98"/>
  <c r="N98" s="1"/>
  <c r="AA88"/>
  <c r="L106"/>
  <c r="M106" s="1"/>
  <c r="N106" s="1"/>
  <c r="L115"/>
  <c r="R115" s="1"/>
  <c r="P193"/>
  <c r="P197"/>
  <c r="P205"/>
  <c r="P209"/>
  <c r="P194"/>
  <c r="BB239"/>
  <c r="BC239" s="1"/>
  <c r="AA116"/>
  <c r="AA124"/>
  <c r="BF177"/>
  <c r="BB238"/>
  <c r="BC238" s="1"/>
  <c r="AA177"/>
  <c r="BB248"/>
  <c r="BC248" s="1"/>
  <c r="P191"/>
  <c r="P195"/>
  <c r="P199"/>
  <c r="P207"/>
  <c r="P198"/>
  <c r="P200"/>
  <c r="P212"/>
  <c r="BF210"/>
  <c r="V201"/>
  <c r="W201" s="1"/>
  <c r="V198"/>
  <c r="W198" s="1"/>
  <c r="AW165"/>
  <c r="BF208"/>
  <c r="AR168"/>
  <c r="AS168" s="1"/>
  <c r="AA239"/>
  <c r="V202"/>
  <c r="W202" s="1"/>
  <c r="AR194"/>
  <c r="AS194" s="1"/>
  <c r="V213"/>
  <c r="W213" s="1"/>
  <c r="BD231"/>
  <c r="V195"/>
  <c r="W195" s="1"/>
  <c r="V206"/>
  <c r="W206" s="1"/>
  <c r="AR65"/>
  <c r="AA178"/>
  <c r="AR109"/>
  <c r="V205"/>
  <c r="W205" s="1"/>
  <c r="AA118"/>
  <c r="AA126"/>
  <c r="V207"/>
  <c r="W207" s="1"/>
  <c r="AR69"/>
  <c r="M56"/>
  <c r="N56" s="1"/>
  <c r="AR161"/>
  <c r="AS161" s="1"/>
  <c r="AR169"/>
  <c r="AS169" s="1"/>
  <c r="AR108"/>
  <c r="V63"/>
  <c r="W63" s="1"/>
  <c r="V67"/>
  <c r="W67" s="1"/>
  <c r="BF142"/>
  <c r="AR195"/>
  <c r="AS195" s="1"/>
  <c r="V193"/>
  <c r="W193" s="1"/>
  <c r="V197"/>
  <c r="W197" s="1"/>
  <c r="V204"/>
  <c r="W204" s="1"/>
  <c r="V208"/>
  <c r="W208" s="1"/>
  <c r="V212"/>
  <c r="W212" s="1"/>
  <c r="AR76"/>
  <c r="Z190"/>
  <c r="Y207" s="1"/>
  <c r="V200"/>
  <c r="W200" s="1"/>
  <c r="V209"/>
  <c r="W209" s="1"/>
  <c r="AA122"/>
  <c r="AA107"/>
  <c r="AA123"/>
  <c r="AA113"/>
  <c r="V196"/>
  <c r="W196" s="1"/>
  <c r="X91"/>
  <c r="AA208"/>
  <c r="AA120"/>
  <c r="AA119"/>
  <c r="AR201"/>
  <c r="AS201" s="1"/>
  <c r="AM241"/>
  <c r="AM234"/>
  <c r="BB250"/>
  <c r="BC250" s="1"/>
  <c r="BF209"/>
  <c r="AM240"/>
  <c r="AA234"/>
  <c r="AA179"/>
  <c r="AA153"/>
  <c r="AR180"/>
  <c r="AS180" s="1"/>
  <c r="AR174"/>
  <c r="AS174" s="1"/>
  <c r="AR114"/>
  <c r="AR75"/>
  <c r="AA80"/>
  <c r="AR94"/>
  <c r="AT94" s="1"/>
  <c r="AA211"/>
  <c r="AR200"/>
  <c r="AS200" s="1"/>
  <c r="AR210"/>
  <c r="AS210" s="1"/>
  <c r="V190"/>
  <c r="W190" s="1"/>
  <c r="V192"/>
  <c r="W192" s="1"/>
  <c r="BF183"/>
  <c r="BF159" s="1"/>
  <c r="AA74"/>
  <c r="AR62"/>
  <c r="AT62" s="1"/>
  <c r="AA207"/>
  <c r="P78"/>
  <c r="P86"/>
  <c r="P67"/>
  <c r="P75"/>
  <c r="P83"/>
  <c r="P57"/>
  <c r="V76"/>
  <c r="W76" s="1"/>
  <c r="V81"/>
  <c r="W81" s="1"/>
  <c r="BF150"/>
  <c r="AW210"/>
  <c r="AW211"/>
  <c r="AR115"/>
  <c r="AR106"/>
  <c r="AR61"/>
  <c r="AT61" s="1"/>
  <c r="AR166"/>
  <c r="AS166" s="1"/>
  <c r="AR101"/>
  <c r="AA79"/>
  <c r="AR163"/>
  <c r="AS163" s="1"/>
  <c r="AR162"/>
  <c r="AS162" s="1"/>
  <c r="AW163"/>
  <c r="AW190"/>
  <c r="AW202"/>
  <c r="AW173"/>
  <c r="BF173"/>
  <c r="AR203"/>
  <c r="AS203" s="1"/>
  <c r="AA180"/>
  <c r="AW199"/>
  <c r="AR171"/>
  <c r="AS171" s="1"/>
  <c r="AA83"/>
  <c r="AR71"/>
  <c r="AR77"/>
  <c r="AR172"/>
  <c r="AS172" s="1"/>
  <c r="AW172"/>
  <c r="AW161"/>
  <c r="AW169"/>
  <c r="AR181"/>
  <c r="AS181" s="1"/>
  <c r="AW182"/>
  <c r="AR111"/>
  <c r="AA75"/>
  <c r="AR199"/>
  <c r="AS199" s="1"/>
  <c r="AR205"/>
  <c r="AS205" s="1"/>
  <c r="AR167"/>
  <c r="AS167" s="1"/>
  <c r="AR63"/>
  <c r="AT63" s="1"/>
  <c r="BF203"/>
  <c r="P222"/>
  <c r="P226"/>
  <c r="P230"/>
  <c r="P238"/>
  <c r="P229"/>
  <c r="P231"/>
  <c r="BD63"/>
  <c r="BE63" s="1"/>
  <c r="AV68"/>
  <c r="BD72"/>
  <c r="BE72" s="1"/>
  <c r="V59"/>
  <c r="W59" s="1"/>
  <c r="V56"/>
  <c r="W56" s="1"/>
  <c r="V60"/>
  <c r="W60" s="1"/>
  <c r="V65"/>
  <c r="W65" s="1"/>
  <c r="V57"/>
  <c r="W57" s="1"/>
  <c r="V66"/>
  <c r="W66" s="1"/>
  <c r="P69"/>
  <c r="V73"/>
  <c r="W73" s="1"/>
  <c r="V77"/>
  <c r="W77" s="1"/>
  <c r="V80"/>
  <c r="W80" s="1"/>
  <c r="V82"/>
  <c r="W82" s="1"/>
  <c r="V87"/>
  <c r="W87" s="1"/>
  <c r="V69"/>
  <c r="W69" s="1"/>
  <c r="V75"/>
  <c r="W75" s="1"/>
  <c r="V79"/>
  <c r="W79" s="1"/>
  <c r="V86"/>
  <c r="W86" s="1"/>
  <c r="V61"/>
  <c r="W61" s="1"/>
  <c r="V85"/>
  <c r="W85" s="1"/>
  <c r="AA125"/>
  <c r="AA86"/>
  <c r="AR206"/>
  <c r="AS206" s="1"/>
  <c r="AW206"/>
  <c r="AR170"/>
  <c r="AS170" s="1"/>
  <c r="BF139"/>
  <c r="BF140"/>
  <c r="BF145"/>
  <c r="BF148"/>
  <c r="BF143"/>
  <c r="BF149"/>
  <c r="AR176"/>
  <c r="AS176" s="1"/>
  <c r="AA110"/>
  <c r="AA176"/>
  <c r="BB237"/>
  <c r="BC237" s="1"/>
  <c r="AA237"/>
  <c r="AA115"/>
  <c r="AA181"/>
  <c r="BF211"/>
  <c r="BB242"/>
  <c r="BC242" s="1"/>
  <c r="P224"/>
  <c r="P58"/>
  <c r="P228"/>
  <c r="P62"/>
  <c r="P66"/>
  <c r="P236"/>
  <c r="P70"/>
  <c r="P74"/>
  <c r="P82"/>
  <c r="P225"/>
  <c r="P59"/>
  <c r="P73"/>
  <c r="P61"/>
  <c r="AA152"/>
  <c r="P68"/>
  <c r="P55"/>
  <c r="P71"/>
  <c r="P79"/>
  <c r="P87"/>
  <c r="P77"/>
  <c r="AM237"/>
  <c r="AA71"/>
  <c r="AA210"/>
  <c r="BB253"/>
  <c r="BC253" s="1"/>
  <c r="AA203"/>
  <c r="BF181"/>
  <c r="BD78"/>
  <c r="BE78" s="1"/>
  <c r="V70"/>
  <c r="W70" s="1"/>
  <c r="V84"/>
  <c r="W84" s="1"/>
  <c r="V71"/>
  <c r="W71" s="1"/>
  <c r="V83"/>
  <c r="W83" s="1"/>
  <c r="V78"/>
  <c r="W78" s="1"/>
  <c r="V72"/>
  <c r="W72" s="1"/>
  <c r="V62"/>
  <c r="W62" s="1"/>
  <c r="V64"/>
  <c r="W64" s="1"/>
  <c r="P85"/>
  <c r="AW200"/>
  <c r="AX94"/>
  <c r="BF146"/>
  <c r="BF147"/>
  <c r="BF141"/>
  <c r="AR208"/>
  <c r="AS208" s="1"/>
  <c r="P65"/>
  <c r="P81"/>
  <c r="AW209"/>
  <c r="AW181"/>
  <c r="BF206"/>
  <c r="BF213"/>
  <c r="AR107"/>
  <c r="AR116"/>
  <c r="AR113"/>
  <c r="AR102"/>
  <c r="AW166"/>
  <c r="AW204"/>
  <c r="AR96"/>
  <c r="AT96" s="1"/>
  <c r="AR190"/>
  <c r="AS190" s="1"/>
  <c r="AR211"/>
  <c r="AS211" s="1"/>
  <c r="AR209"/>
  <c r="AS209" s="1"/>
  <c r="AR112"/>
  <c r="AR79"/>
  <c r="AT79" s="1"/>
  <c r="V58"/>
  <c r="W58" s="1"/>
  <c r="Z55"/>
  <c r="Y65" s="1"/>
  <c r="V55"/>
  <c r="W55" s="1"/>
  <c r="AR213"/>
  <c r="AS213" s="1"/>
  <c r="AR197"/>
  <c r="AS197" s="1"/>
  <c r="Y66"/>
  <c r="AX95"/>
  <c r="AR95"/>
  <c r="AT95" s="1"/>
  <c r="AV78"/>
  <c r="AY78" s="1"/>
  <c r="BD79"/>
  <c r="BE79" s="1"/>
  <c r="AV67"/>
  <c r="AY67" s="1"/>
  <c r="AV74"/>
  <c r="AY74" s="1"/>
  <c r="AA76"/>
  <c r="AA70"/>
  <c r="AA205"/>
  <c r="AM236"/>
  <c r="R221"/>
  <c r="R134"/>
  <c r="AR103"/>
  <c r="AW162"/>
  <c r="AA68"/>
  <c r="BD60"/>
  <c r="BE60" s="1"/>
  <c r="BD62"/>
  <c r="BE62" s="1"/>
  <c r="AV60"/>
  <c r="AY60" s="1"/>
  <c r="BA60" s="1"/>
  <c r="BH60"/>
  <c r="AV62"/>
  <c r="AY62" s="1"/>
  <c r="BA62" s="1"/>
  <c r="BD64"/>
  <c r="BE64" s="1"/>
  <c r="AV66"/>
  <c r="AY66" s="1"/>
  <c r="BD69"/>
  <c r="BE69" s="1"/>
  <c r="AV73"/>
  <c r="BD74"/>
  <c r="BE74" s="1"/>
  <c r="AV77"/>
  <c r="AY77" s="1"/>
  <c r="BD61"/>
  <c r="BE61" s="1"/>
  <c r="BD66"/>
  <c r="BE66" s="1"/>
  <c r="AV69"/>
  <c r="AY69" s="1"/>
  <c r="BD71"/>
  <c r="BE71" s="1"/>
  <c r="AV75"/>
  <c r="AY75" s="1"/>
  <c r="BD77"/>
  <c r="BE77" s="1"/>
  <c r="AV63"/>
  <c r="AY63" s="1"/>
  <c r="BA63" s="1"/>
  <c r="BD68"/>
  <c r="BE68" s="1"/>
  <c r="AV71"/>
  <c r="AY71" s="1"/>
  <c r="AV76"/>
  <c r="AY76" s="1"/>
  <c r="AV79"/>
  <c r="AA87"/>
  <c r="AR73"/>
  <c r="AX73"/>
  <c r="AX68"/>
  <c r="AR68"/>
  <c r="AM244"/>
  <c r="AA117"/>
  <c r="BB244"/>
  <c r="BC244" s="1"/>
  <c r="AA209"/>
  <c r="AV65"/>
  <c r="AY65" s="1"/>
  <c r="BD73"/>
  <c r="BE73" s="1"/>
  <c r="BD67"/>
  <c r="BE67" s="1"/>
  <c r="BD76"/>
  <c r="BE76" s="1"/>
  <c r="AV70"/>
  <c r="AY70" s="1"/>
  <c r="AV64"/>
  <c r="AY64" s="1"/>
  <c r="AZ64" s="1"/>
  <c r="AS64" s="1"/>
  <c r="BD75"/>
  <c r="BE75" s="1"/>
  <c r="AV72"/>
  <c r="BD65"/>
  <c r="BE65" s="1"/>
  <c r="AV61"/>
  <c r="AY61" s="1"/>
  <c r="BA61" s="1"/>
  <c r="M134"/>
  <c r="N134" s="1"/>
  <c r="AR67"/>
  <c r="AA78"/>
  <c r="AW168"/>
  <c r="AW195"/>
  <c r="AA183"/>
  <c r="AW179"/>
  <c r="AA213"/>
  <c r="AW171"/>
  <c r="BF175"/>
  <c r="AA236"/>
  <c r="BF205"/>
  <c r="AA109"/>
  <c r="BD220"/>
  <c r="BD223"/>
  <c r="AW198"/>
  <c r="P232"/>
  <c r="P233"/>
  <c r="P223"/>
  <c r="P239"/>
  <c r="P227"/>
  <c r="AA204"/>
  <c r="P234"/>
  <c r="P221"/>
  <c r="P237"/>
  <c r="AA150"/>
  <c r="AA147"/>
  <c r="P235"/>
  <c r="AW164"/>
  <c r="AR105"/>
  <c r="AW193"/>
  <c r="V226"/>
  <c r="W226" s="1"/>
  <c r="V230"/>
  <c r="W230" s="1"/>
  <c r="V237"/>
  <c r="W237" s="1"/>
  <c r="V234"/>
  <c r="W234" s="1"/>
  <c r="V239"/>
  <c r="W239" s="1"/>
  <c r="V223"/>
  <c r="W223" s="1"/>
  <c r="V227"/>
  <c r="W227" s="1"/>
  <c r="V231"/>
  <c r="W231" s="1"/>
  <c r="Z221"/>
  <c r="Y221" s="1"/>
  <c r="AB221" s="1"/>
  <c r="V235"/>
  <c r="W235" s="1"/>
  <c r="V222"/>
  <c r="W222" s="1"/>
  <c r="V225"/>
  <c r="W225" s="1"/>
  <c r="V229"/>
  <c r="W229" s="1"/>
  <c r="V233"/>
  <c r="W233" s="1"/>
  <c r="V238"/>
  <c r="W238" s="1"/>
  <c r="V236"/>
  <c r="W236" s="1"/>
  <c r="V232"/>
  <c r="W232" s="1"/>
  <c r="V228"/>
  <c r="W228" s="1"/>
  <c r="V224"/>
  <c r="W224" s="1"/>
  <c r="V221"/>
  <c r="W221" s="1"/>
  <c r="X131"/>
  <c r="AA149"/>
  <c r="AW180"/>
  <c r="AI197"/>
  <c r="AJ198"/>
  <c r="AI199"/>
  <c r="AI198"/>
  <c r="AJ197"/>
  <c r="AJ199"/>
  <c r="BF56"/>
  <c r="BG56" s="1"/>
  <c r="AD185"/>
  <c r="AC185"/>
  <c r="AX72"/>
  <c r="AR72"/>
  <c r="AR70"/>
  <c r="AR118"/>
  <c r="AT118" s="1"/>
  <c r="AR177"/>
  <c r="AS177" s="1"/>
  <c r="BD233"/>
  <c r="AR97"/>
  <c r="AT97" s="1"/>
  <c r="AR191"/>
  <c r="AS191" s="1"/>
  <c r="AR196"/>
  <c r="AS196" s="1"/>
  <c r="AW203"/>
  <c r="AX100"/>
  <c r="AR100"/>
  <c r="AW174"/>
  <c r="AR117"/>
  <c r="AR175"/>
  <c r="AS175" s="1"/>
  <c r="AR198"/>
  <c r="AS198" s="1"/>
  <c r="AK19" i="3"/>
  <c r="AL19"/>
  <c r="AJ19"/>
  <c r="AM19"/>
  <c r="BD97" i="4"/>
  <c r="BE97" s="1"/>
  <c r="AV100"/>
  <c r="BD105"/>
  <c r="BE105" s="1"/>
  <c r="AV112"/>
  <c r="AY112" s="1"/>
  <c r="BD117"/>
  <c r="BE117" s="1"/>
  <c r="BD118"/>
  <c r="BE118" s="1"/>
  <c r="AV97"/>
  <c r="AY97" s="1"/>
  <c r="BA97" s="1"/>
  <c r="AV107"/>
  <c r="AY107" s="1"/>
  <c r="AV116"/>
  <c r="AY116" s="1"/>
  <c r="BD101"/>
  <c r="BE101" s="1"/>
  <c r="AV104"/>
  <c r="AY104" s="1"/>
  <c r="AV94"/>
  <c r="BH94"/>
  <c r="BD95"/>
  <c r="BE95" s="1"/>
  <c r="BD96"/>
  <c r="BE96" s="1"/>
  <c r="AV99"/>
  <c r="AY99" s="1"/>
  <c r="AV101"/>
  <c r="AY101" s="1"/>
  <c r="AV103"/>
  <c r="AY103" s="1"/>
  <c r="AV105"/>
  <c r="AY105" s="1"/>
  <c r="BD107"/>
  <c r="BE107" s="1"/>
  <c r="AV109"/>
  <c r="AY109" s="1"/>
  <c r="AV111"/>
  <c r="AY111" s="1"/>
  <c r="BD113"/>
  <c r="BE113" s="1"/>
  <c r="AV115"/>
  <c r="AY115" s="1"/>
  <c r="AV98"/>
  <c r="AY98" s="1"/>
  <c r="AZ98" s="1"/>
  <c r="BA98" s="1"/>
  <c r="AV102"/>
  <c r="AY102" s="1"/>
  <c r="AV106"/>
  <c r="AY106" s="1"/>
  <c r="BD109"/>
  <c r="BE109" s="1"/>
  <c r="BD111"/>
  <c r="BE111" s="1"/>
  <c r="BD114"/>
  <c r="BE114" s="1"/>
  <c r="AV117"/>
  <c r="AY117" s="1"/>
  <c r="BD94"/>
  <c r="BE94" s="1"/>
  <c r="AV95"/>
  <c r="AV96"/>
  <c r="AY96" s="1"/>
  <c r="BA96" s="1"/>
  <c r="BD98"/>
  <c r="BE98" s="1"/>
  <c r="BD100"/>
  <c r="BE100" s="1"/>
  <c r="BD102"/>
  <c r="BE102" s="1"/>
  <c r="BD104"/>
  <c r="BE104" s="1"/>
  <c r="BD106"/>
  <c r="BE106" s="1"/>
  <c r="BD108"/>
  <c r="BE108" s="1"/>
  <c r="AV110"/>
  <c r="AY110" s="1"/>
  <c r="BD112"/>
  <c r="BE112" s="1"/>
  <c r="AV114"/>
  <c r="AY114" s="1"/>
  <c r="BD116"/>
  <c r="BE116" s="1"/>
  <c r="BD99"/>
  <c r="BE99" s="1"/>
  <c r="BD103"/>
  <c r="BE103" s="1"/>
  <c r="AV108"/>
  <c r="AY108" s="1"/>
  <c r="BD110"/>
  <c r="BE110" s="1"/>
  <c r="AV113"/>
  <c r="AY113" s="1"/>
  <c r="BD115"/>
  <c r="BE115" s="1"/>
  <c r="AV118"/>
  <c r="AY118" s="1"/>
  <c r="BD221"/>
  <c r="T2" i="3"/>
  <c r="BA166" i="4"/>
  <c r="BB166" s="1"/>
  <c r="BA177"/>
  <c r="BB177" s="1"/>
  <c r="AU168"/>
  <c r="AU182"/>
  <c r="BA160"/>
  <c r="BB160" s="1"/>
  <c r="AU162"/>
  <c r="AU165"/>
  <c r="AU167"/>
  <c r="AX167" s="1"/>
  <c r="AU169"/>
  <c r="AU170"/>
  <c r="AX170" s="1"/>
  <c r="AU171"/>
  <c r="AU173"/>
  <c r="AU174"/>
  <c r="AU178"/>
  <c r="AX178" s="1"/>
  <c r="AU179"/>
  <c r="AU180"/>
  <c r="AU183"/>
  <c r="AU161"/>
  <c r="AU163"/>
  <c r="AU164"/>
  <c r="AU172"/>
  <c r="AU175"/>
  <c r="AX175" s="1"/>
  <c r="AU181"/>
  <c r="BA168"/>
  <c r="BB168" s="1"/>
  <c r="AU177"/>
  <c r="BA181"/>
  <c r="BB181" s="1"/>
  <c r="BA176"/>
  <c r="BB176" s="1"/>
  <c r="AU160"/>
  <c r="BE160"/>
  <c r="BA162"/>
  <c r="BB162" s="1"/>
  <c r="BA165"/>
  <c r="BB165" s="1"/>
  <c r="BA167"/>
  <c r="BB167" s="1"/>
  <c r="BA169"/>
  <c r="BB169" s="1"/>
  <c r="BA170"/>
  <c r="BB170" s="1"/>
  <c r="BA171"/>
  <c r="BB171" s="1"/>
  <c r="BA173"/>
  <c r="BB173" s="1"/>
  <c r="BA174"/>
  <c r="BB174" s="1"/>
  <c r="BA178"/>
  <c r="BB178" s="1"/>
  <c r="BA179"/>
  <c r="BB179" s="1"/>
  <c r="BA180"/>
  <c r="BB180" s="1"/>
  <c r="BA183"/>
  <c r="BB183" s="1"/>
  <c r="BA161"/>
  <c r="BB161" s="1"/>
  <c r="BA163"/>
  <c r="BB163" s="1"/>
  <c r="BA164"/>
  <c r="BB164" s="1"/>
  <c r="BA172"/>
  <c r="BB172" s="1"/>
  <c r="BA175"/>
  <c r="BB175" s="1"/>
  <c r="AU166"/>
  <c r="AU176"/>
  <c r="AX176" s="1"/>
  <c r="BA182"/>
  <c r="BB182" s="1"/>
  <c r="AF19" i="3"/>
  <c r="AE19"/>
  <c r="AP19" s="1"/>
  <c r="AC19"/>
  <c r="AD19"/>
  <c r="AU423" i="2"/>
  <c r="AR423"/>
  <c r="AH435"/>
  <c r="AZ435"/>
  <c r="AN435"/>
  <c r="AB435"/>
  <c r="P435"/>
  <c r="D435"/>
  <c r="AT435"/>
  <c r="V435"/>
  <c r="J435"/>
  <c r="AS425"/>
  <c r="AV425"/>
  <c r="AN19" i="3" l="1"/>
  <c r="AM15"/>
  <c r="AL15"/>
  <c r="AF65"/>
  <c r="AY7" s="1"/>
  <c r="AV422" i="2"/>
  <c r="AS424"/>
  <c r="P334" i="4"/>
  <c r="I30" i="94" s="1"/>
  <c r="P341" i="4"/>
  <c r="I37" i="94" s="1"/>
  <c r="H42" i="93"/>
  <c r="P342" i="4"/>
  <c r="I38" i="94" s="1"/>
  <c r="E46" i="93"/>
  <c r="E45"/>
  <c r="E44"/>
  <c r="E43"/>
  <c r="P326" i="4"/>
  <c r="I46" i="93" s="1"/>
  <c r="H46"/>
  <c r="P348" i="4"/>
  <c r="I44" i="94" s="1"/>
  <c r="H44"/>
  <c r="P323" i="4"/>
  <c r="I43" i="93" s="1"/>
  <c r="H43"/>
  <c r="P324" i="4"/>
  <c r="I44" i="93" s="1"/>
  <c r="H44"/>
  <c r="P347" i="4"/>
  <c r="I43" i="94" s="1"/>
  <c r="H43"/>
  <c r="P325" i="4"/>
  <c r="I45" i="93" s="1"/>
  <c r="H45"/>
  <c r="P350" i="4"/>
  <c r="I46" i="94" s="1"/>
  <c r="H46"/>
  <c r="P349" i="4"/>
  <c r="I45" i="94" s="1"/>
  <c r="H45"/>
  <c r="H30" i="93"/>
  <c r="H38"/>
  <c r="P317" i="4"/>
  <c r="I37" i="93" s="1"/>
  <c r="P345" i="4"/>
  <c r="I41" i="94" s="1"/>
  <c r="H41"/>
  <c r="P320" i="4"/>
  <c r="I40" i="93" s="1"/>
  <c r="H40"/>
  <c r="P343" i="4"/>
  <c r="I39" i="94" s="1"/>
  <c r="H39"/>
  <c r="P344" i="4"/>
  <c r="I40" i="94" s="1"/>
  <c r="H40"/>
  <c r="P319" i="4"/>
  <c r="I39" i="93" s="1"/>
  <c r="H39"/>
  <c r="P321" i="4"/>
  <c r="I41" i="93" s="1"/>
  <c r="H41"/>
  <c r="H35" i="94"/>
  <c r="P339" i="4"/>
  <c r="I35" i="94" s="1"/>
  <c r="P335" i="4"/>
  <c r="I31" i="94" s="1"/>
  <c r="H31"/>
  <c r="H33"/>
  <c r="P337" i="4"/>
  <c r="I33" i="94" s="1"/>
  <c r="P315" i="4"/>
  <c r="I35" i="93" s="1"/>
  <c r="H35"/>
  <c r="P311" i="4"/>
  <c r="I31" i="93" s="1"/>
  <c r="H31"/>
  <c r="H33"/>
  <c r="P313" i="4"/>
  <c r="I33" i="93" s="1"/>
  <c r="D40" i="7"/>
  <c r="CD232" i="4"/>
  <c r="CD234"/>
  <c r="CD236"/>
  <c r="CD238"/>
  <c r="CD240"/>
  <c r="CD242"/>
  <c r="CD244"/>
  <c r="CD246"/>
  <c r="CD248"/>
  <c r="CC232"/>
  <c r="CC234"/>
  <c r="CC236"/>
  <c r="CC238"/>
  <c r="CC240"/>
  <c r="CC242"/>
  <c r="CC244"/>
  <c r="CC246"/>
  <c r="CB231"/>
  <c r="CB233"/>
  <c r="CB235"/>
  <c r="CB237"/>
  <c r="CB239"/>
  <c r="CB241"/>
  <c r="CB243"/>
  <c r="CB245"/>
  <c r="CA231"/>
  <c r="CA233"/>
  <c r="CA235"/>
  <c r="CA237"/>
  <c r="CA239"/>
  <c r="CA241"/>
  <c r="CA243"/>
  <c r="CA245"/>
  <c r="BZ232"/>
  <c r="BZ234"/>
  <c r="BZ236"/>
  <c r="BZ238"/>
  <c r="BZ240"/>
  <c r="BZ242"/>
  <c r="CD231"/>
  <c r="CD235"/>
  <c r="CD239"/>
  <c r="CD243"/>
  <c r="CD247"/>
  <c r="CC233"/>
  <c r="CC237"/>
  <c r="CC241"/>
  <c r="CC245"/>
  <c r="CB232"/>
  <c r="CB236"/>
  <c r="CB240"/>
  <c r="CB244"/>
  <c r="CA232"/>
  <c r="CA236"/>
  <c r="CA240"/>
  <c r="CA244"/>
  <c r="BZ233"/>
  <c r="BZ237"/>
  <c r="BZ241"/>
  <c r="BZ244"/>
  <c r="BY232"/>
  <c r="BY234"/>
  <c r="BY236"/>
  <c r="BY238"/>
  <c r="BY240"/>
  <c r="BY242"/>
  <c r="BX231"/>
  <c r="BX233"/>
  <c r="BX235"/>
  <c r="BX237"/>
  <c r="BX239"/>
  <c r="BX241"/>
  <c r="BW231"/>
  <c r="BW233"/>
  <c r="BW235"/>
  <c r="BW237"/>
  <c r="BW239"/>
  <c r="BW241"/>
  <c r="BV232"/>
  <c r="BV234"/>
  <c r="BV236"/>
  <c r="BV238"/>
  <c r="BV240"/>
  <c r="BU232"/>
  <c r="BU234"/>
  <c r="BU236"/>
  <c r="BU238"/>
  <c r="BU230"/>
  <c r="BW230"/>
  <c r="BY230"/>
  <c r="CA230"/>
  <c r="CC230"/>
  <c r="BT231"/>
  <c r="BT233"/>
  <c r="BT235"/>
  <c r="BT237"/>
  <c r="BT230"/>
  <c r="CD233"/>
  <c r="CD241"/>
  <c r="CC231"/>
  <c r="CC239"/>
  <c r="CC247"/>
  <c r="CB238"/>
  <c r="CB246"/>
  <c r="CA238"/>
  <c r="BZ231"/>
  <c r="BZ239"/>
  <c r="BY231"/>
  <c r="BY235"/>
  <c r="BY239"/>
  <c r="BY243"/>
  <c r="BX234"/>
  <c r="BX238"/>
  <c r="BX242"/>
  <c r="BW234"/>
  <c r="BW238"/>
  <c r="BV231"/>
  <c r="BV235"/>
  <c r="BV239"/>
  <c r="BU233"/>
  <c r="BU237"/>
  <c r="BV230"/>
  <c r="BZ230"/>
  <c r="CD230"/>
  <c r="BT234"/>
  <c r="BT238"/>
  <c r="CD237"/>
  <c r="CD245"/>
  <c r="CC235"/>
  <c r="CC243"/>
  <c r="CB234"/>
  <c r="CB242"/>
  <c r="CA234"/>
  <c r="CA242"/>
  <c r="BZ235"/>
  <c r="BZ243"/>
  <c r="BY233"/>
  <c r="BY237"/>
  <c r="BY241"/>
  <c r="BX232"/>
  <c r="BX236"/>
  <c r="BX240"/>
  <c r="BW232"/>
  <c r="BW236"/>
  <c r="BW240"/>
  <c r="BV233"/>
  <c r="BV237"/>
  <c r="BU231"/>
  <c r="BU235"/>
  <c r="BU239"/>
  <c r="BX230"/>
  <c r="CB230"/>
  <c r="BT232"/>
  <c r="BT236"/>
  <c r="E40" i="93"/>
  <c r="E36"/>
  <c r="E32"/>
  <c r="E41"/>
  <c r="E37"/>
  <c r="E33"/>
  <c r="E29"/>
  <c r="E42"/>
  <c r="E38"/>
  <c r="E34"/>
  <c r="E30"/>
  <c r="E28"/>
  <c r="E39"/>
  <c r="E35"/>
  <c r="E31"/>
  <c r="BV229" i="4"/>
  <c r="BX229"/>
  <c r="BZ229"/>
  <c r="CB229"/>
  <c r="CD229"/>
  <c r="E27" i="93"/>
  <c r="BW229" i="4"/>
  <c r="CA229"/>
  <c r="BT229"/>
  <c r="BU229"/>
  <c r="BY229"/>
  <c r="CC229"/>
  <c r="F12" i="93"/>
  <c r="AY145" i="4"/>
  <c r="AZ145" s="1"/>
  <c r="F36" i="19" s="1"/>
  <c r="CQ141" i="4"/>
  <c r="AZ21" i="3"/>
  <c r="L11" i="93" s="1"/>
  <c r="CU140" i="4"/>
  <c r="CN135"/>
  <c r="CS138"/>
  <c r="D39" i="7"/>
  <c r="CT144" i="4"/>
  <c r="CU145"/>
  <c r="CR145"/>
  <c r="CN134"/>
  <c r="CO135"/>
  <c r="D41" i="7"/>
  <c r="D44"/>
  <c r="AT12" i="3"/>
  <c r="K14" i="21" s="1"/>
  <c r="AY11" i="3"/>
  <c r="BR138" i="4" s="1"/>
  <c r="BU142" s="1"/>
  <c r="CU146"/>
  <c r="CR142"/>
  <c r="CO136"/>
  <c r="CP142"/>
  <c r="CR148"/>
  <c r="CP143"/>
  <c r="CR137"/>
  <c r="CR140"/>
  <c r="CM137"/>
  <c r="CR133"/>
  <c r="D37" i="7"/>
  <c r="D45"/>
  <c r="D43"/>
  <c r="D42"/>
  <c r="D36"/>
  <c r="E31" i="18"/>
  <c r="AZ11" i="3"/>
  <c r="K14" i="18" s="1"/>
  <c r="F15"/>
  <c r="BU132" i="4"/>
  <c r="AO19" i="3"/>
  <c r="AU19" s="1"/>
  <c r="F13" i="12" s="1"/>
  <c r="AQ19" i="3"/>
  <c r="AW19" s="1"/>
  <c r="H13" i="12" s="1"/>
  <c r="CS148" i="4"/>
  <c r="CS145"/>
  <c r="CS143"/>
  <c r="CU141"/>
  <c r="CQ139"/>
  <c r="CT149"/>
  <c r="CU143"/>
  <c r="CM139"/>
  <c r="CU150"/>
  <c r="CT146"/>
  <c r="CQ144"/>
  <c r="CQ142"/>
  <c r="CS139"/>
  <c r="CM136"/>
  <c r="CR141"/>
  <c r="CR139"/>
  <c r="CU137"/>
  <c r="CN136"/>
  <c r="CQ134"/>
  <c r="AK221"/>
  <c r="AS220" s="1"/>
  <c r="G33" i="23" s="1"/>
  <c r="AT20" i="3"/>
  <c r="CU132" i="4" s="1"/>
  <c r="D35" i="7"/>
  <c r="D38"/>
  <c r="AB7" i="3"/>
  <c r="D48" i="22" s="1"/>
  <c r="AQ5" i="3"/>
  <c r="AW5" s="1"/>
  <c r="I13" i="14" s="1"/>
  <c r="D28" i="7"/>
  <c r="D32"/>
  <c r="D29"/>
  <c r="CP133" i="4"/>
  <c r="CT133"/>
  <c r="CO134"/>
  <c r="CS134"/>
  <c r="CM135"/>
  <c r="CQ135"/>
  <c r="CU135"/>
  <c r="CP136"/>
  <c r="CT136"/>
  <c r="CO137"/>
  <c r="CS137"/>
  <c r="CM138"/>
  <c r="CQ138"/>
  <c r="CU138"/>
  <c r="CP139"/>
  <c r="CT139"/>
  <c r="CP140"/>
  <c r="CT140"/>
  <c r="CP141"/>
  <c r="CM133"/>
  <c r="CU133"/>
  <c r="CR134"/>
  <c r="CT135"/>
  <c r="CQ136"/>
  <c r="CN137"/>
  <c r="CN138"/>
  <c r="CO139"/>
  <c r="CO140"/>
  <c r="CM141"/>
  <c r="CT141"/>
  <c r="CO142"/>
  <c r="CS142"/>
  <c r="CN143"/>
  <c r="CR143"/>
  <c r="CO144"/>
  <c r="CS144"/>
  <c r="CP145"/>
  <c r="CT145"/>
  <c r="CR146"/>
  <c r="CQ147"/>
  <c r="CU147"/>
  <c r="CT148"/>
  <c r="CU149"/>
  <c r="CU151"/>
  <c r="CT134"/>
  <c r="CS136"/>
  <c r="CT138"/>
  <c r="CU139"/>
  <c r="CS141"/>
  <c r="CT142"/>
  <c r="CQ143"/>
  <c r="CN144"/>
  <c r="CQ145"/>
  <c r="CS146"/>
  <c r="CU148"/>
  <c r="CS133"/>
  <c r="CR135"/>
  <c r="CP137"/>
  <c r="D34" i="7"/>
  <c r="D27"/>
  <c r="D31"/>
  <c r="D33"/>
  <c r="CN133" i="4"/>
  <c r="CM134"/>
  <c r="CU134"/>
  <c r="CS135"/>
  <c r="CR136"/>
  <c r="CQ137"/>
  <c r="CO138"/>
  <c r="CN139"/>
  <c r="CN140"/>
  <c r="CN141"/>
  <c r="CQ133"/>
  <c r="CP135"/>
  <c r="CU136"/>
  <c r="CR138"/>
  <c r="CS140"/>
  <c r="CM142"/>
  <c r="CU142"/>
  <c r="CT143"/>
  <c r="CU144"/>
  <c r="CP146"/>
  <c r="CS147"/>
  <c r="CS149"/>
  <c r="CO133"/>
  <c r="CT137"/>
  <c r="CQ140"/>
  <c r="CM143"/>
  <c r="CR144"/>
  <c r="CT147"/>
  <c r="CP134"/>
  <c r="CP138"/>
  <c r="CM140"/>
  <c r="CO141"/>
  <c r="CN142"/>
  <c r="CO143"/>
  <c r="CP144"/>
  <c r="CO145"/>
  <c r="CQ146"/>
  <c r="CR147"/>
  <c r="CT150"/>
  <c r="AO5" i="3"/>
  <c r="AU5" s="1"/>
  <c r="G13" i="14" s="1"/>
  <c r="AP17" i="3"/>
  <c r="AV17" s="1"/>
  <c r="G12" i="8" s="1"/>
  <c r="AO12" i="3"/>
  <c r="AU12" s="1"/>
  <c r="L14" i="21" s="1"/>
  <c r="AY14" i="3"/>
  <c r="AT14"/>
  <c r="CG132" i="4" s="1"/>
  <c r="AO17" i="3"/>
  <c r="AU17" s="1"/>
  <c r="F12" i="8" s="1"/>
  <c r="AN6" i="3"/>
  <c r="AY6" s="1"/>
  <c r="AO6"/>
  <c r="AU6" s="1"/>
  <c r="AN13"/>
  <c r="AT13" s="1"/>
  <c r="AP6"/>
  <c r="AV6" s="1"/>
  <c r="AW7"/>
  <c r="AN5"/>
  <c r="AY5" s="1"/>
  <c r="E51" i="14" s="1"/>
  <c r="AP5" i="3"/>
  <c r="AV5" s="1"/>
  <c r="H13" i="14" s="1"/>
  <c r="V153" i="2"/>
  <c r="E15" i="3" s="1"/>
  <c r="AU205" i="4"/>
  <c r="AX205" s="1"/>
  <c r="AY205" s="1"/>
  <c r="BA204"/>
  <c r="BB204" s="1"/>
  <c r="BA190"/>
  <c r="BB190" s="1"/>
  <c r="AU203"/>
  <c r="AX203" s="1"/>
  <c r="AY203" s="1"/>
  <c r="BA199"/>
  <c r="BB199" s="1"/>
  <c r="AU195"/>
  <c r="AX195" s="1"/>
  <c r="AY195" s="1"/>
  <c r="BA210"/>
  <c r="BB210" s="1"/>
  <c r="BA193"/>
  <c r="BB193" s="1"/>
  <c r="AU212"/>
  <c r="AX212" s="1"/>
  <c r="AY212" s="1"/>
  <c r="BA197"/>
  <c r="BB197" s="1"/>
  <c r="AU197"/>
  <c r="AX197" s="1"/>
  <c r="AY197" s="1"/>
  <c r="AU196"/>
  <c r="AX196" s="1"/>
  <c r="AY196" s="1"/>
  <c r="AY136"/>
  <c r="AZ136" s="1"/>
  <c r="BA136" s="1"/>
  <c r="G27" i="19" s="1"/>
  <c r="BA213" i="4"/>
  <c r="BB213" s="1"/>
  <c r="BA207"/>
  <c r="BB207" s="1"/>
  <c r="BA194"/>
  <c r="BB194" s="1"/>
  <c r="AU190"/>
  <c r="AX190" s="1"/>
  <c r="AY190" s="1"/>
  <c r="AU209"/>
  <c r="AX209" s="1"/>
  <c r="AY209" s="1"/>
  <c r="AU208"/>
  <c r="AX208" s="1"/>
  <c r="AY208" s="1"/>
  <c r="BA195"/>
  <c r="BB195" s="1"/>
  <c r="BE190"/>
  <c r="BD203" s="1"/>
  <c r="BG203" s="1"/>
  <c r="AU202"/>
  <c r="AX202" s="1"/>
  <c r="AY202" s="1"/>
  <c r="AU192"/>
  <c r="AX192" s="1"/>
  <c r="AY192" s="1"/>
  <c r="BA198"/>
  <c r="BB198" s="1"/>
  <c r="BA206"/>
  <c r="BB206" s="1"/>
  <c r="AU198"/>
  <c r="AX198" s="1"/>
  <c r="AY198" s="1"/>
  <c r="AU211"/>
  <c r="AX211" s="1"/>
  <c r="AY211" s="1"/>
  <c r="BA212"/>
  <c r="BB212" s="1"/>
  <c r="BA208"/>
  <c r="BB208" s="1"/>
  <c r="BA205"/>
  <c r="BB205" s="1"/>
  <c r="BA201"/>
  <c r="BB201" s="1"/>
  <c r="BA200"/>
  <c r="BB200" s="1"/>
  <c r="BA191"/>
  <c r="BB191" s="1"/>
  <c r="BA196"/>
  <c r="BB196" s="1"/>
  <c r="AU206"/>
  <c r="AX206" s="1"/>
  <c r="AY206" s="1"/>
  <c r="AU213"/>
  <c r="AX213" s="1"/>
  <c r="AY213" s="1"/>
  <c r="AZ213" s="1"/>
  <c r="AU210"/>
  <c r="AX210" s="1"/>
  <c r="AY210" s="1"/>
  <c r="AU207"/>
  <c r="AX207" s="1"/>
  <c r="AY207" s="1"/>
  <c r="AU204"/>
  <c r="AX204" s="1"/>
  <c r="AY204" s="1"/>
  <c r="BA202"/>
  <c r="BB202" s="1"/>
  <c r="BA192"/>
  <c r="BB192" s="1"/>
  <c r="AU201"/>
  <c r="AX201" s="1"/>
  <c r="AY201" s="1"/>
  <c r="AU194"/>
  <c r="AX194" s="1"/>
  <c r="AY194" s="1"/>
  <c r="AU200"/>
  <c r="AX200" s="1"/>
  <c r="AY200" s="1"/>
  <c r="AU193"/>
  <c r="AX193" s="1"/>
  <c r="AY193" s="1"/>
  <c r="AU191"/>
  <c r="AX191" s="1"/>
  <c r="AY191" s="1"/>
  <c r="BA209"/>
  <c r="BB209" s="1"/>
  <c r="BA203"/>
  <c r="BB203" s="1"/>
  <c r="BA211"/>
  <c r="BB211" s="1"/>
  <c r="AS422" i="2"/>
  <c r="AV424"/>
  <c r="AV421" s="1"/>
  <c r="G26" i="10"/>
  <c r="G26" i="11"/>
  <c r="G25"/>
  <c r="G25" i="10"/>
  <c r="BD253" i="4"/>
  <c r="F58" i="11"/>
  <c r="F58" i="10"/>
  <c r="BD242" i="4"/>
  <c r="F47" i="10"/>
  <c r="F47" i="11"/>
  <c r="BD250" i="4"/>
  <c r="F55" i="10"/>
  <c r="F55" i="11"/>
  <c r="G36" i="10"/>
  <c r="G36" i="11"/>
  <c r="BD248" i="4"/>
  <c r="F53" i="11"/>
  <c r="F53" i="10"/>
  <c r="BD238" i="4"/>
  <c r="F43" i="11"/>
  <c r="F43" i="10"/>
  <c r="BD239" i="4"/>
  <c r="F44" i="11"/>
  <c r="F44" i="10"/>
  <c r="BD240" i="4"/>
  <c r="F45" i="11"/>
  <c r="F45" i="10"/>
  <c r="BD243" i="4"/>
  <c r="F48" i="11"/>
  <c r="F48" i="10"/>
  <c r="BD245" i="4"/>
  <c r="F50" i="10"/>
  <c r="F50" i="11"/>
  <c r="BD254" i="4"/>
  <c r="F59" i="11"/>
  <c r="F59" i="10"/>
  <c r="BD247" i="4"/>
  <c r="F52" i="11"/>
  <c r="F52" i="10"/>
  <c r="BD241" i="4"/>
  <c r="F46" i="11"/>
  <c r="F46" i="10"/>
  <c r="BD234" i="4"/>
  <c r="F39" i="10"/>
  <c r="F39" i="11"/>
  <c r="G30"/>
  <c r="G30" i="10"/>
  <c r="G29" i="11"/>
  <c r="G29" i="10"/>
  <c r="G34" i="11"/>
  <c r="G34" i="10"/>
  <c r="G51" i="11"/>
  <c r="G51" i="10"/>
  <c r="G27" i="11"/>
  <c r="G27" i="10"/>
  <c r="G38" i="11"/>
  <c r="G38" i="10"/>
  <c r="G28" i="11"/>
  <c r="G28" i="10"/>
  <c r="BD244" i="4"/>
  <c r="F49" i="11"/>
  <c r="F49" i="10"/>
  <c r="BD237" i="4"/>
  <c r="F42" i="11"/>
  <c r="F42" i="10"/>
  <c r="P163" i="4"/>
  <c r="BD236"/>
  <c r="F41" i="11"/>
  <c r="F41" i="10"/>
  <c r="BD235" i="4"/>
  <c r="F40" i="10"/>
  <c r="F40" i="11"/>
  <c r="BD251" i="4"/>
  <c r="F56" i="10"/>
  <c r="F56" i="11"/>
  <c r="BD249" i="4"/>
  <c r="F54" i="11"/>
  <c r="F54" i="10"/>
  <c r="G32" i="11"/>
  <c r="G32" i="10"/>
  <c r="G33"/>
  <c r="G33" i="11"/>
  <c r="BD252" i="4"/>
  <c r="F57" i="11"/>
  <c r="F57" i="10"/>
  <c r="G37" i="11"/>
  <c r="G37" i="10"/>
  <c r="G31" i="11"/>
  <c r="G31" i="10"/>
  <c r="G35" i="11"/>
  <c r="G35" i="10"/>
  <c r="E61" i="14"/>
  <c r="E57"/>
  <c r="E62"/>
  <c r="E58"/>
  <c r="E54"/>
  <c r="E63"/>
  <c r="E59"/>
  <c r="E55"/>
  <c r="E60"/>
  <c r="E56"/>
  <c r="CJ195" i="4"/>
  <c r="J45" i="9"/>
  <c r="AI195" i="4"/>
  <c r="J44" i="9" s="1"/>
  <c r="AJ195" i="4"/>
  <c r="CK194" s="1"/>
  <c r="M114"/>
  <c r="N114" s="1"/>
  <c r="R203"/>
  <c r="S203" s="1"/>
  <c r="T203" s="1"/>
  <c r="CJ194"/>
  <c r="E47" i="9"/>
  <c r="BF188" i="4"/>
  <c r="AK166"/>
  <c r="I57" i="15" s="1"/>
  <c r="K40" s="1"/>
  <c r="I56"/>
  <c r="AY139" i="4"/>
  <c r="AZ139" s="1"/>
  <c r="BA139" s="1"/>
  <c r="G30" i="19" s="1"/>
  <c r="R101" i="4"/>
  <c r="S101" s="1"/>
  <c r="T101" s="1"/>
  <c r="BT140"/>
  <c r="E35" i="17"/>
  <c r="E37"/>
  <c r="E39"/>
  <c r="E41"/>
  <c r="E43"/>
  <c r="E45"/>
  <c r="E47"/>
  <c r="E36"/>
  <c r="E38"/>
  <c r="E40"/>
  <c r="E42"/>
  <c r="E44"/>
  <c r="E46"/>
  <c r="E34"/>
  <c r="AZ10" i="3"/>
  <c r="K16" i="17" s="1"/>
  <c r="E33"/>
  <c r="F17"/>
  <c r="AQ143" i="4"/>
  <c r="I35" i="19" s="1"/>
  <c r="H35"/>
  <c r="AQ141" i="4"/>
  <c r="I33" i="19" s="1"/>
  <c r="H33"/>
  <c r="AQ142" i="4"/>
  <c r="I34" i="19" s="1"/>
  <c r="H34"/>
  <c r="AQ151" i="4"/>
  <c r="I43" i="19" s="1"/>
  <c r="H43"/>
  <c r="AQ152" i="4"/>
  <c r="I44" i="19" s="1"/>
  <c r="H44"/>
  <c r="AQ144" i="4"/>
  <c r="I36" i="19" s="1"/>
  <c r="H36"/>
  <c r="AQ136" i="4"/>
  <c r="I28" i="19" s="1"/>
  <c r="H28"/>
  <c r="AQ139" i="4"/>
  <c r="I31" i="19" s="1"/>
  <c r="H31"/>
  <c r="AQ146" i="4"/>
  <c r="I38" i="19" s="1"/>
  <c r="H38"/>
  <c r="AY144" i="4"/>
  <c r="AZ144" s="1"/>
  <c r="BY143" s="1"/>
  <c r="AQ147"/>
  <c r="I39" i="19" s="1"/>
  <c r="H39"/>
  <c r="AQ138" i="4"/>
  <c r="I30" i="19" s="1"/>
  <c r="H30"/>
  <c r="AQ149" i="4"/>
  <c r="I41" i="19" s="1"/>
  <c r="H41"/>
  <c r="AQ145" i="4"/>
  <c r="I37" i="19" s="1"/>
  <c r="H37"/>
  <c r="AQ148" i="4"/>
  <c r="I40" i="19" s="1"/>
  <c r="H40"/>
  <c r="AQ140" i="4"/>
  <c r="I32" i="19" s="1"/>
  <c r="H32"/>
  <c r="AQ137" i="4"/>
  <c r="I29" i="19" s="1"/>
  <c r="H29"/>
  <c r="AQ150" i="4"/>
  <c r="I42" i="19" s="1"/>
  <c r="H42"/>
  <c r="BG134" i="4"/>
  <c r="AE189"/>
  <c r="F26" i="12" s="1"/>
  <c r="E26"/>
  <c r="AY151" i="4"/>
  <c r="AZ151" s="1"/>
  <c r="CF150" s="1"/>
  <c r="AY148"/>
  <c r="AZ148" s="1"/>
  <c r="CC147" s="1"/>
  <c r="AM219"/>
  <c r="L40" i="23" s="1"/>
  <c r="AE220" i="4"/>
  <c r="F26" i="7" s="1"/>
  <c r="E26"/>
  <c r="AE54" i="4"/>
  <c r="G29" i="14" s="1"/>
  <c r="BT136" i="4"/>
  <c r="BT134"/>
  <c r="BT135"/>
  <c r="BT132"/>
  <c r="L54"/>
  <c r="L38" i="14" s="1"/>
  <c r="V169" i="4"/>
  <c r="W169" s="1"/>
  <c r="AQ241"/>
  <c r="F54" i="23" s="1"/>
  <c r="V168" i="4"/>
  <c r="W168" s="1"/>
  <c r="V164"/>
  <c r="W164" s="1"/>
  <c r="P160"/>
  <c r="M179"/>
  <c r="N179" s="1"/>
  <c r="M57"/>
  <c r="N57" s="1"/>
  <c r="M210"/>
  <c r="N210" s="1"/>
  <c r="M102"/>
  <c r="N102" s="1"/>
  <c r="AA220"/>
  <c r="AV19" i="3"/>
  <c r="G13" i="12" s="1"/>
  <c r="AY146" i="4"/>
  <c r="AZ146" s="1"/>
  <c r="AY147"/>
  <c r="AZ147" s="1"/>
  <c r="CB146" s="1"/>
  <c r="AY150"/>
  <c r="AZ150" s="1"/>
  <c r="AA93"/>
  <c r="AY140"/>
  <c r="AZ140" s="1"/>
  <c r="L133"/>
  <c r="E50" i="16" s="1"/>
  <c r="AY153" i="4"/>
  <c r="AZ153" s="1"/>
  <c r="M202"/>
  <c r="N202" s="1"/>
  <c r="Y118"/>
  <c r="V161"/>
  <c r="W161" s="1"/>
  <c r="V183"/>
  <c r="W183" s="1"/>
  <c r="V177"/>
  <c r="W177" s="1"/>
  <c r="M194"/>
  <c r="N194" s="1"/>
  <c r="AQ225"/>
  <c r="F38" i="23" s="1"/>
  <c r="M195" i="4"/>
  <c r="N195" s="1"/>
  <c r="V173"/>
  <c r="W173" s="1"/>
  <c r="AQ232"/>
  <c r="F45" i="23" s="1"/>
  <c r="Y95" i="4"/>
  <c r="Y121"/>
  <c r="P171"/>
  <c r="S171" s="1"/>
  <c r="T171" s="1"/>
  <c r="R211"/>
  <c r="S211" s="1"/>
  <c r="T211" s="1"/>
  <c r="AQ238"/>
  <c r="F51" i="23" s="1"/>
  <c r="AQ230" i="4"/>
  <c r="F43" i="23" s="1"/>
  <c r="V171" i="4"/>
  <c r="W171" s="1"/>
  <c r="R84"/>
  <c r="S84" s="1"/>
  <c r="T84" s="1"/>
  <c r="P181"/>
  <c r="S181" s="1"/>
  <c r="P169"/>
  <c r="P165"/>
  <c r="P178"/>
  <c r="V180"/>
  <c r="W180" s="1"/>
  <c r="V160"/>
  <c r="W160" s="1"/>
  <c r="M175"/>
  <c r="N175" s="1"/>
  <c r="M80"/>
  <c r="N80" s="1"/>
  <c r="V175"/>
  <c r="W175" s="1"/>
  <c r="V172"/>
  <c r="W172" s="1"/>
  <c r="P183"/>
  <c r="S183" s="1"/>
  <c r="P166"/>
  <c r="S166" s="1"/>
  <c r="T166" s="1"/>
  <c r="M190"/>
  <c r="N190" s="1"/>
  <c r="P164"/>
  <c r="M201"/>
  <c r="N201" s="1"/>
  <c r="M176"/>
  <c r="N176" s="1"/>
  <c r="M235"/>
  <c r="N235" s="1"/>
  <c r="AO219"/>
  <c r="L39" i="23" s="1"/>
  <c r="R191" i="4"/>
  <c r="S191" s="1"/>
  <c r="T191" s="1"/>
  <c r="Y94"/>
  <c r="Y105"/>
  <c r="Y201"/>
  <c r="AB201" s="1"/>
  <c r="AC201" s="1"/>
  <c r="AD201" s="1"/>
  <c r="Y100"/>
  <c r="L93"/>
  <c r="L33" i="13" s="1"/>
  <c r="R118" i="4"/>
  <c r="S118" s="1"/>
  <c r="T118" s="1"/>
  <c r="R213"/>
  <c r="S213" s="1"/>
  <c r="T213" s="1"/>
  <c r="U213" s="1"/>
  <c r="Y112"/>
  <c r="Y109"/>
  <c r="Y124"/>
  <c r="AQ224"/>
  <c r="F37" i="23" s="1"/>
  <c r="Y113" i="4"/>
  <c r="Y110"/>
  <c r="Y122"/>
  <c r="Y98"/>
  <c r="Y114"/>
  <c r="Y127"/>
  <c r="Y96"/>
  <c r="R205"/>
  <c r="S205" s="1"/>
  <c r="T205" s="1"/>
  <c r="Y101"/>
  <c r="AQ234"/>
  <c r="F47" i="23" s="1"/>
  <c r="Y117" i="4"/>
  <c r="Y103"/>
  <c r="Y97"/>
  <c r="Y107"/>
  <c r="Y99"/>
  <c r="Y104"/>
  <c r="Y115"/>
  <c r="Y126"/>
  <c r="Y125"/>
  <c r="Y119"/>
  <c r="Y102"/>
  <c r="Y123"/>
  <c r="Y111"/>
  <c r="Y108"/>
  <c r="Y106"/>
  <c r="Y120"/>
  <c r="R230"/>
  <c r="S230" s="1"/>
  <c r="T230" s="1"/>
  <c r="M223"/>
  <c r="N223" s="1"/>
  <c r="M135"/>
  <c r="N135" s="1"/>
  <c r="M65"/>
  <c r="N65" s="1"/>
  <c r="BT144"/>
  <c r="BT145"/>
  <c r="V176"/>
  <c r="W176" s="1"/>
  <c r="V181"/>
  <c r="W181" s="1"/>
  <c r="V166"/>
  <c r="W166" s="1"/>
  <c r="P176"/>
  <c r="S176" s="1"/>
  <c r="P177"/>
  <c r="S177" s="1"/>
  <c r="P173"/>
  <c r="S173" s="1"/>
  <c r="P161"/>
  <c r="V178"/>
  <c r="W178" s="1"/>
  <c r="V165"/>
  <c r="W165" s="1"/>
  <c r="V174"/>
  <c r="W174" s="1"/>
  <c r="V162"/>
  <c r="W162" s="1"/>
  <c r="V170"/>
  <c r="W170" s="1"/>
  <c r="V167"/>
  <c r="W167" s="1"/>
  <c r="Z160"/>
  <c r="Y161" s="1"/>
  <c r="AB161" s="1"/>
  <c r="V163"/>
  <c r="W163" s="1"/>
  <c r="P162"/>
  <c r="P172"/>
  <c r="P179"/>
  <c r="S179" s="1"/>
  <c r="P174"/>
  <c r="P182"/>
  <c r="V179"/>
  <c r="W179" s="1"/>
  <c r="P170"/>
  <c r="P168"/>
  <c r="P180"/>
  <c r="P175"/>
  <c r="S175" s="1"/>
  <c r="P167"/>
  <c r="AX177"/>
  <c r="AY177" s="1"/>
  <c r="AY149"/>
  <c r="AZ149" s="1"/>
  <c r="F40" i="19" s="1"/>
  <c r="AY134" i="4"/>
  <c r="AZ134" s="1"/>
  <c r="R152"/>
  <c r="AY142"/>
  <c r="AZ142" s="1"/>
  <c r="AY137"/>
  <c r="AZ137" s="1"/>
  <c r="AY138"/>
  <c r="AZ138" s="1"/>
  <c r="AY141"/>
  <c r="AZ141" s="1"/>
  <c r="AY143"/>
  <c r="AZ143" s="1"/>
  <c r="BX142" s="1"/>
  <c r="AY152"/>
  <c r="AZ152" s="1"/>
  <c r="CG151" s="1"/>
  <c r="AT64"/>
  <c r="M196"/>
  <c r="N196" s="1"/>
  <c r="R64"/>
  <c r="S64" s="1"/>
  <c r="T64" s="1"/>
  <c r="H40" i="14" s="1"/>
  <c r="AY135" i="4"/>
  <c r="AZ135" s="1"/>
  <c r="S195"/>
  <c r="R85"/>
  <c r="S85" s="1"/>
  <c r="T85" s="1"/>
  <c r="R174"/>
  <c r="R70"/>
  <c r="S70" s="1"/>
  <c r="T70" s="1"/>
  <c r="M209"/>
  <c r="N209" s="1"/>
  <c r="M177"/>
  <c r="N177" s="1"/>
  <c r="M140"/>
  <c r="N140" s="1"/>
  <c r="AQ235"/>
  <c r="F48" i="23" s="1"/>
  <c r="L220" i="4"/>
  <c r="E54" i="7" s="1"/>
  <c r="R233" i="4"/>
  <c r="S233" s="1"/>
  <c r="T233" s="1"/>
  <c r="R75"/>
  <c r="S75" s="1"/>
  <c r="T75" s="1"/>
  <c r="R74"/>
  <c r="S74" s="1"/>
  <c r="T74" s="1"/>
  <c r="M173"/>
  <c r="N173" s="1"/>
  <c r="R239"/>
  <c r="S239" s="1"/>
  <c r="T239" s="1"/>
  <c r="U239" s="1"/>
  <c r="M212"/>
  <c r="N212" s="1"/>
  <c r="M206"/>
  <c r="N206" s="1"/>
  <c r="M58"/>
  <c r="N58" s="1"/>
  <c r="S98"/>
  <c r="T98" s="1"/>
  <c r="R111"/>
  <c r="S111" s="1"/>
  <c r="T111" s="1"/>
  <c r="M168"/>
  <c r="N168" s="1"/>
  <c r="R168"/>
  <c r="R162"/>
  <c r="M162"/>
  <c r="N162" s="1"/>
  <c r="M151"/>
  <c r="N151" s="1"/>
  <c r="R151"/>
  <c r="M55"/>
  <c r="N55" s="1"/>
  <c r="R55"/>
  <c r="S55" s="1"/>
  <c r="AY17" i="3"/>
  <c r="AT17"/>
  <c r="BT133" i="4"/>
  <c r="BT139"/>
  <c r="BT141"/>
  <c r="BT143"/>
  <c r="BT146"/>
  <c r="BT138"/>
  <c r="BR134"/>
  <c r="BT142" s="1"/>
  <c r="AA54"/>
  <c r="L39" i="14" s="1"/>
  <c r="AQ240" i="4"/>
  <c r="F53" i="23" s="1"/>
  <c r="Y91" i="4"/>
  <c r="X106" s="1"/>
  <c r="AB106" s="1"/>
  <c r="AC106" s="1"/>
  <c r="AD106" s="1"/>
  <c r="R165"/>
  <c r="R207"/>
  <c r="S207" s="1"/>
  <c r="T207" s="1"/>
  <c r="AQ228"/>
  <c r="F41" i="23" s="1"/>
  <c r="M236" i="4"/>
  <c r="N236" s="1"/>
  <c r="S123"/>
  <c r="S206"/>
  <c r="S96"/>
  <c r="S190"/>
  <c r="AX160"/>
  <c r="AY160" s="1"/>
  <c r="AZ160" s="1"/>
  <c r="AX161"/>
  <c r="AY161" s="1"/>
  <c r="R86"/>
  <c r="S86" s="1"/>
  <c r="T86" s="1"/>
  <c r="R81"/>
  <c r="S81" s="1"/>
  <c r="T81" s="1"/>
  <c r="R229"/>
  <c r="S229" s="1"/>
  <c r="T229" s="1"/>
  <c r="R73"/>
  <c r="S73" s="1"/>
  <c r="T73" s="1"/>
  <c r="R76"/>
  <c r="S76" s="1"/>
  <c r="T76" s="1"/>
  <c r="AR227"/>
  <c r="AR231"/>
  <c r="R142"/>
  <c r="R113"/>
  <c r="S113" s="1"/>
  <c r="T113" s="1"/>
  <c r="R137"/>
  <c r="R143"/>
  <c r="R161"/>
  <c r="M96"/>
  <c r="N96" s="1"/>
  <c r="R204"/>
  <c r="S204" s="1"/>
  <c r="T204" s="1"/>
  <c r="S125"/>
  <c r="AQ242"/>
  <c r="F55" i="23" s="1"/>
  <c r="AA133" i="4"/>
  <c r="E51" i="16" s="1"/>
  <c r="R138" i="4"/>
  <c r="R63"/>
  <c r="S63" s="1"/>
  <c r="T63" s="1"/>
  <c r="H39" i="14" s="1"/>
  <c r="M72" i="4"/>
  <c r="N72" s="1"/>
  <c r="AQ236"/>
  <c r="F49" i="23" s="1"/>
  <c r="M237" i="4"/>
  <c r="N237" s="1"/>
  <c r="M83"/>
  <c r="N83" s="1"/>
  <c r="AB65"/>
  <c r="AC65" s="1"/>
  <c r="AD65" s="1"/>
  <c r="F40" i="14" s="1"/>
  <c r="R153" i="4"/>
  <c r="M146"/>
  <c r="N146" s="1"/>
  <c r="R208"/>
  <c r="S208" s="1"/>
  <c r="L189"/>
  <c r="E55" i="12" s="1"/>
  <c r="R148" i="4"/>
  <c r="R234"/>
  <c r="S234" s="1"/>
  <c r="T234" s="1"/>
  <c r="R232"/>
  <c r="S232" s="1"/>
  <c r="T232" s="1"/>
  <c r="R68"/>
  <c r="S68" s="1"/>
  <c r="T68" s="1"/>
  <c r="H44" i="14" s="1"/>
  <c r="R150" i="4"/>
  <c r="R139"/>
  <c r="R200"/>
  <c r="S200" s="1"/>
  <c r="T200" s="1"/>
  <c r="M69"/>
  <c r="N69" s="1"/>
  <c r="M112"/>
  <c r="N112" s="1"/>
  <c r="M147"/>
  <c r="N147" s="1"/>
  <c r="M153"/>
  <c r="N153" s="1"/>
  <c r="R71"/>
  <c r="S71" s="1"/>
  <c r="T71" s="1"/>
  <c r="M231"/>
  <c r="N231" s="1"/>
  <c r="R167"/>
  <c r="R164"/>
  <c r="R198"/>
  <c r="S198" s="1"/>
  <c r="T198" s="1"/>
  <c r="R228"/>
  <c r="S228" s="1"/>
  <c r="T228" s="1"/>
  <c r="M181"/>
  <c r="N181" s="1"/>
  <c r="M197"/>
  <c r="N197" s="1"/>
  <c r="M145"/>
  <c r="N145" s="1"/>
  <c r="M226"/>
  <c r="N226" s="1"/>
  <c r="M208"/>
  <c r="N208" s="1"/>
  <c r="R99"/>
  <c r="S99" s="1"/>
  <c r="T99" s="1"/>
  <c r="AQ229"/>
  <c r="F42" i="23" s="1"/>
  <c r="S193" i="4"/>
  <c r="R67"/>
  <c r="S67" s="1"/>
  <c r="T67" s="1"/>
  <c r="H43" i="14" s="1"/>
  <c r="R172" i="4"/>
  <c r="R199"/>
  <c r="S199" s="1"/>
  <c r="T199" s="1"/>
  <c r="AB66"/>
  <c r="AC66" s="1"/>
  <c r="R180"/>
  <c r="R178"/>
  <c r="M224"/>
  <c r="N224" s="1"/>
  <c r="M77"/>
  <c r="N77" s="1"/>
  <c r="R169"/>
  <c r="M193"/>
  <c r="N193" s="1"/>
  <c r="R160"/>
  <c r="R136"/>
  <c r="M125"/>
  <c r="N125" s="1"/>
  <c r="R163"/>
  <c r="R227"/>
  <c r="S227" s="1"/>
  <c r="T227" s="1"/>
  <c r="M149"/>
  <c r="N149" s="1"/>
  <c r="M141"/>
  <c r="N141" s="1"/>
  <c r="M144"/>
  <c r="N144" s="1"/>
  <c r="M59"/>
  <c r="N59" s="1"/>
  <c r="M225"/>
  <c r="N225" s="1"/>
  <c r="M107"/>
  <c r="N107" s="1"/>
  <c r="M62"/>
  <c r="N62" s="1"/>
  <c r="R238"/>
  <c r="S238" s="1"/>
  <c r="T238" s="1"/>
  <c r="R182"/>
  <c r="M61"/>
  <c r="N61" s="1"/>
  <c r="M60"/>
  <c r="N60" s="1"/>
  <c r="R78"/>
  <c r="S78" s="1"/>
  <c r="T78" s="1"/>
  <c r="R87"/>
  <c r="S87" s="1"/>
  <c r="T87" s="1"/>
  <c r="M183"/>
  <c r="N183" s="1"/>
  <c r="R79"/>
  <c r="S79" s="1"/>
  <c r="T79" s="1"/>
  <c r="R66"/>
  <c r="S66" s="1"/>
  <c r="T66" s="1"/>
  <c r="H42" i="14" s="1"/>
  <c r="AQ233" i="4"/>
  <c r="F46" i="23" s="1"/>
  <c r="M82" i="4"/>
  <c r="N82" s="1"/>
  <c r="AQ237"/>
  <c r="F50" i="23" s="1"/>
  <c r="S115" i="4"/>
  <c r="AQ226"/>
  <c r="F39" i="23" s="1"/>
  <c r="M222" i="4"/>
  <c r="N222" s="1"/>
  <c r="R170"/>
  <c r="AQ243"/>
  <c r="F56" i="23" s="1"/>
  <c r="Z164" i="4"/>
  <c r="F83" i="8" s="1"/>
  <c r="R120" i="4"/>
  <c r="S120" s="1"/>
  <c r="T120" s="1"/>
  <c r="S56"/>
  <c r="T56" s="1"/>
  <c r="H32" i="14" s="1"/>
  <c r="AX199" i="4"/>
  <c r="AY199" s="1"/>
  <c r="AY167"/>
  <c r="Y87"/>
  <c r="AB87" s="1"/>
  <c r="AC87" s="1"/>
  <c r="AD87" s="1"/>
  <c r="Y68"/>
  <c r="AB68" s="1"/>
  <c r="AC68" s="1"/>
  <c r="AD68" s="1"/>
  <c r="F43" i="14" s="1"/>
  <c r="M119" i="4"/>
  <c r="N119" s="1"/>
  <c r="M115"/>
  <c r="N115" s="1"/>
  <c r="R105"/>
  <c r="S105" s="1"/>
  <c r="T105" s="1"/>
  <c r="R108"/>
  <c r="S108" s="1"/>
  <c r="T108" s="1"/>
  <c r="M110"/>
  <c r="N110" s="1"/>
  <c r="S231"/>
  <c r="M95"/>
  <c r="N95" s="1"/>
  <c r="S119"/>
  <c r="S192"/>
  <c r="T192" s="1"/>
  <c r="S104"/>
  <c r="S95"/>
  <c r="R122"/>
  <c r="S122" s="1"/>
  <c r="T122" s="1"/>
  <c r="S72"/>
  <c r="R103"/>
  <c r="S103" s="1"/>
  <c r="T103" s="1"/>
  <c r="AX183"/>
  <c r="AY183" s="1"/>
  <c r="AZ183" s="1"/>
  <c r="R97"/>
  <c r="S97" s="1"/>
  <c r="T97" s="1"/>
  <c r="S114"/>
  <c r="M104"/>
  <c r="N104" s="1"/>
  <c r="S112"/>
  <c r="S194"/>
  <c r="S102"/>
  <c r="S222"/>
  <c r="M123"/>
  <c r="N123" s="1"/>
  <c r="R106"/>
  <c r="S106" s="1"/>
  <c r="T106" s="1"/>
  <c r="S196"/>
  <c r="S107"/>
  <c r="BB219"/>
  <c r="AX162"/>
  <c r="AY162" s="1"/>
  <c r="S223"/>
  <c r="R109"/>
  <c r="S109" s="1"/>
  <c r="T109" s="1"/>
  <c r="R94"/>
  <c r="S94" s="1"/>
  <c r="T94" s="1"/>
  <c r="U94" s="1"/>
  <c r="Y190"/>
  <c r="AB190" s="1"/>
  <c r="AC190" s="1"/>
  <c r="AD190" s="1"/>
  <c r="Y212"/>
  <c r="AB212" s="1"/>
  <c r="AC212" s="1"/>
  <c r="AD212" s="1"/>
  <c r="S110"/>
  <c r="S57"/>
  <c r="Y74"/>
  <c r="AB74" s="1"/>
  <c r="AC74" s="1"/>
  <c r="S226"/>
  <c r="S58"/>
  <c r="S80"/>
  <c r="AX180"/>
  <c r="AY180" s="1"/>
  <c r="AX173"/>
  <c r="AY173" s="1"/>
  <c r="AY170"/>
  <c r="AX182"/>
  <c r="AY182" s="1"/>
  <c r="AQ222"/>
  <c r="F35" i="23" s="1"/>
  <c r="R100" i="4"/>
  <c r="S100" s="1"/>
  <c r="T100" s="1"/>
  <c r="R124"/>
  <c r="S124" s="1"/>
  <c r="T124" s="1"/>
  <c r="R117"/>
  <c r="S117" s="1"/>
  <c r="T117" s="1"/>
  <c r="R126"/>
  <c r="S126" s="1"/>
  <c r="T126" s="1"/>
  <c r="AQ244"/>
  <c r="F57" i="23" s="1"/>
  <c r="S202" i="4"/>
  <c r="AQ239"/>
  <c r="F52" i="23" s="1"/>
  <c r="S60" i="4"/>
  <c r="S212"/>
  <c r="S209"/>
  <c r="S197"/>
  <c r="S210"/>
  <c r="AX165"/>
  <c r="AY165" s="1"/>
  <c r="S201"/>
  <c r="R116"/>
  <c r="S116" s="1"/>
  <c r="T116" s="1"/>
  <c r="R121"/>
  <c r="S121" s="1"/>
  <c r="T121" s="1"/>
  <c r="BB62"/>
  <c r="Y194"/>
  <c r="AB194" s="1"/>
  <c r="AC194" s="1"/>
  <c r="AD194" s="1"/>
  <c r="Y210"/>
  <c r="AB210" s="1"/>
  <c r="AC210" s="1"/>
  <c r="AD210" s="1"/>
  <c r="S59"/>
  <c r="Y206"/>
  <c r="AB206" s="1"/>
  <c r="AC206" s="1"/>
  <c r="AD206" s="1"/>
  <c r="Y197"/>
  <c r="AB197" s="1"/>
  <c r="AC197" s="1"/>
  <c r="AD197" s="1"/>
  <c r="Y209"/>
  <c r="AB209" s="1"/>
  <c r="AC209" s="1"/>
  <c r="AD209" s="1"/>
  <c r="Y192"/>
  <c r="AB192" s="1"/>
  <c r="AC192" s="1"/>
  <c r="AD192" s="1"/>
  <c r="Y198"/>
  <c r="AB198" s="1"/>
  <c r="AC198" s="1"/>
  <c r="AD198" s="1"/>
  <c r="Y204"/>
  <c r="AB204" s="1"/>
  <c r="AC204" s="1"/>
  <c r="AD204" s="1"/>
  <c r="Y213"/>
  <c r="AB213" s="1"/>
  <c r="AC213" s="1"/>
  <c r="AD213" s="1"/>
  <c r="Y203"/>
  <c r="AB203" s="1"/>
  <c r="AC203" s="1"/>
  <c r="AD203" s="1"/>
  <c r="Y202"/>
  <c r="AB202" s="1"/>
  <c r="AC202" s="1"/>
  <c r="AD202" s="1"/>
  <c r="Y191"/>
  <c r="AB191" s="1"/>
  <c r="AC191" s="1"/>
  <c r="AD191" s="1"/>
  <c r="Y205"/>
  <c r="AB205" s="1"/>
  <c r="AC205" s="1"/>
  <c r="AD205" s="1"/>
  <c r="AB207"/>
  <c r="AC207" s="1"/>
  <c r="AD207" s="1"/>
  <c r="Y193"/>
  <c r="AB193" s="1"/>
  <c r="AC193" s="1"/>
  <c r="AD193" s="1"/>
  <c r="Y195"/>
  <c r="AB195" s="1"/>
  <c r="AC195" s="1"/>
  <c r="AD195" s="1"/>
  <c r="Y196"/>
  <c r="AB196" s="1"/>
  <c r="AC196" s="1"/>
  <c r="AD196" s="1"/>
  <c r="Y208"/>
  <c r="AB208" s="1"/>
  <c r="AC208" s="1"/>
  <c r="AD208" s="1"/>
  <c r="Y200"/>
  <c r="AB200" s="1"/>
  <c r="AC200" s="1"/>
  <c r="AD200" s="1"/>
  <c r="Y211"/>
  <c r="AB211" s="1"/>
  <c r="AC211" s="1"/>
  <c r="AD211" s="1"/>
  <c r="Y199"/>
  <c r="AB199" s="1"/>
  <c r="AC199" s="1"/>
  <c r="AD199" s="1"/>
  <c r="AX166"/>
  <c r="AY166" s="1"/>
  <c r="AX172"/>
  <c r="AY172" s="1"/>
  <c r="AY95"/>
  <c r="BA95" s="1"/>
  <c r="S82"/>
  <c r="S77"/>
  <c r="Y77"/>
  <c r="AB77" s="1"/>
  <c r="AC77" s="1"/>
  <c r="Y76"/>
  <c r="AB76" s="1"/>
  <c r="AC76" s="1"/>
  <c r="AD76" s="1"/>
  <c r="S61"/>
  <c r="AY178"/>
  <c r="AX181"/>
  <c r="AY181" s="1"/>
  <c r="AX163"/>
  <c r="AY163" s="1"/>
  <c r="AX169"/>
  <c r="AY169" s="1"/>
  <c r="AY94"/>
  <c r="BA94" s="1"/>
  <c r="S221"/>
  <c r="T221" s="1"/>
  <c r="U221" s="1"/>
  <c r="S224"/>
  <c r="AY68"/>
  <c r="S83"/>
  <c r="AA189"/>
  <c r="E56" i="12" s="1"/>
  <c r="S62" i="4"/>
  <c r="S69"/>
  <c r="BB63"/>
  <c r="AY175"/>
  <c r="BB96"/>
  <c r="S235"/>
  <c r="S225"/>
  <c r="S236"/>
  <c r="S65"/>
  <c r="Y70"/>
  <c r="AB70" s="1"/>
  <c r="AC70" s="1"/>
  <c r="AD70" s="1"/>
  <c r="Y82"/>
  <c r="AB82" s="1"/>
  <c r="AC82" s="1"/>
  <c r="Y71"/>
  <c r="AB71" s="1"/>
  <c r="AC71" s="1"/>
  <c r="Y63"/>
  <c r="AB63" s="1"/>
  <c r="AC63" s="1"/>
  <c r="AD63" s="1"/>
  <c r="F38" i="14" s="1"/>
  <c r="Y84" i="4"/>
  <c r="AB84" s="1"/>
  <c r="AC84" s="1"/>
  <c r="AD84" s="1"/>
  <c r="Y59"/>
  <c r="AB59" s="1"/>
  <c r="AC59" s="1"/>
  <c r="AD59" s="1"/>
  <c r="F34" i="14" s="1"/>
  <c r="Y56" i="4"/>
  <c r="AB56" s="1"/>
  <c r="AC56" s="1"/>
  <c r="AD56" s="1"/>
  <c r="F31" i="14" s="1"/>
  <c r="Y83" i="4"/>
  <c r="AB83" s="1"/>
  <c r="AC83" s="1"/>
  <c r="AD83" s="1"/>
  <c r="Y88"/>
  <c r="AB88" s="1"/>
  <c r="AC88" s="1"/>
  <c r="AD88" s="1"/>
  <c r="Y79"/>
  <c r="AB79" s="1"/>
  <c r="AC79" s="1"/>
  <c r="Y85"/>
  <c r="AB85" s="1"/>
  <c r="AC85" s="1"/>
  <c r="Y57"/>
  <c r="AB57" s="1"/>
  <c r="AC57" s="1"/>
  <c r="AD57" s="1"/>
  <c r="F32" i="14" s="1"/>
  <c r="Y67" i="4"/>
  <c r="AB67" s="1"/>
  <c r="AC67" s="1"/>
  <c r="AD67" s="1"/>
  <c r="F42" i="14" s="1"/>
  <c r="Y81" i="4"/>
  <c r="AB81" s="1"/>
  <c r="AC81" s="1"/>
  <c r="Y60"/>
  <c r="AB60" s="1"/>
  <c r="AC60" s="1"/>
  <c r="AD60" s="1"/>
  <c r="F35" i="14" s="1"/>
  <c r="Y58" i="4"/>
  <c r="AB58" s="1"/>
  <c r="AC58" s="1"/>
  <c r="AD58" s="1"/>
  <c r="F33" i="14" s="1"/>
  <c r="Y55" i="4"/>
  <c r="AB55" s="1"/>
  <c r="AC55" s="1"/>
  <c r="AD55" s="1"/>
  <c r="F30" i="14" s="1"/>
  <c r="Y62" i="4"/>
  <c r="AB62" s="1"/>
  <c r="AC62" s="1"/>
  <c r="AD62" s="1"/>
  <c r="F37" i="14" s="1"/>
  <c r="Y72" i="4"/>
  <c r="AB72" s="1"/>
  <c r="AC72" s="1"/>
  <c r="Y86"/>
  <c r="AB86" s="1"/>
  <c r="AC86" s="1"/>
  <c r="AD86" s="1"/>
  <c r="Y80"/>
  <c r="AB80" s="1"/>
  <c r="AC80" s="1"/>
  <c r="Y61"/>
  <c r="AB61" s="1"/>
  <c r="AC61" s="1"/>
  <c r="AD61" s="1"/>
  <c r="F36" i="14" s="1"/>
  <c r="Y69" i="4"/>
  <c r="AB69" s="1"/>
  <c r="AC69" s="1"/>
  <c r="Y78"/>
  <c r="AB78" s="1"/>
  <c r="AC78" s="1"/>
  <c r="AD78" s="1"/>
  <c r="Y64"/>
  <c r="AB64" s="1"/>
  <c r="AC64" s="1"/>
  <c r="AD64" s="1"/>
  <c r="F39" i="14" s="1"/>
  <c r="Y75" i="4"/>
  <c r="AB75" s="1"/>
  <c r="AC75" s="1"/>
  <c r="AD75" s="1"/>
  <c r="Y73"/>
  <c r="AB73" s="1"/>
  <c r="AC73" s="1"/>
  <c r="AD73" s="1"/>
  <c r="AY176"/>
  <c r="AX164"/>
  <c r="AY164" s="1"/>
  <c r="BB97"/>
  <c r="S237"/>
  <c r="BA64"/>
  <c r="Z168"/>
  <c r="AX179"/>
  <c r="AY179" s="1"/>
  <c r="AY100"/>
  <c r="AY72"/>
  <c r="AZ65"/>
  <c r="AS65" s="1"/>
  <c r="AT65" s="1"/>
  <c r="AY73"/>
  <c r="AX174"/>
  <c r="AY174" s="1"/>
  <c r="AX171"/>
  <c r="AY171" s="1"/>
  <c r="AX168"/>
  <c r="AY168" s="1"/>
  <c r="AC221"/>
  <c r="AD221" s="1"/>
  <c r="AT19" i="3"/>
  <c r="BG62" i="4"/>
  <c r="BG61"/>
  <c r="BG63"/>
  <c r="BG65"/>
  <c r="BG66"/>
  <c r="BG74"/>
  <c r="BG78"/>
  <c r="BG67"/>
  <c r="BG70"/>
  <c r="BG97"/>
  <c r="BG102"/>
  <c r="BG105"/>
  <c r="BG109"/>
  <c r="BG113"/>
  <c r="BG115"/>
  <c r="BG118"/>
  <c r="BG99"/>
  <c r="BG104"/>
  <c r="BG111"/>
  <c r="BG94"/>
  <c r="BG108"/>
  <c r="BG71"/>
  <c r="BG79"/>
  <c r="BG107"/>
  <c r="BG64"/>
  <c r="BG60"/>
  <c r="BG69"/>
  <c r="BG75"/>
  <c r="BG95"/>
  <c r="BG68"/>
  <c r="BG73"/>
  <c r="BG100"/>
  <c r="BG103"/>
  <c r="BG106"/>
  <c r="BG112"/>
  <c r="BG114"/>
  <c r="BG117"/>
  <c r="BG72"/>
  <c r="BG101"/>
  <c r="BG110"/>
  <c r="BG76"/>
  <c r="BG98"/>
  <c r="BG116"/>
  <c r="BG77"/>
  <c r="BG96"/>
  <c r="Y139"/>
  <c r="Y142"/>
  <c r="Y147"/>
  <c r="Y137"/>
  <c r="Y149"/>
  <c r="Y152"/>
  <c r="Y134"/>
  <c r="Y140"/>
  <c r="Y145"/>
  <c r="Y148"/>
  <c r="Y141"/>
  <c r="Y150"/>
  <c r="Y136"/>
  <c r="Y143"/>
  <c r="Y151"/>
  <c r="Y153"/>
  <c r="Y135"/>
  <c r="Y138"/>
  <c r="Y146"/>
  <c r="Y144"/>
  <c r="Z169"/>
  <c r="Z166"/>
  <c r="F85" i="8" s="1"/>
  <c r="Z163" i="4"/>
  <c r="F82" i="8" s="1"/>
  <c r="BF60" i="4"/>
  <c r="BJ60" s="1"/>
  <c r="BK60" s="1"/>
  <c r="BL60" s="1"/>
  <c r="F33" i="17" s="1"/>
  <c r="BF63" i="4"/>
  <c r="BJ63" s="1"/>
  <c r="BK63" s="1"/>
  <c r="BL63" s="1"/>
  <c r="F36" i="17" s="1"/>
  <c r="BF65" i="4"/>
  <c r="BJ65" s="1"/>
  <c r="BK65" s="1"/>
  <c r="BL65" s="1"/>
  <c r="F38" i="17" s="1"/>
  <c r="BF68" i="4"/>
  <c r="BJ68" s="1"/>
  <c r="BK68" s="1"/>
  <c r="BL68" s="1"/>
  <c r="F41" i="17" s="1"/>
  <c r="BF72" i="4"/>
  <c r="BJ72" s="1"/>
  <c r="BK72" s="1"/>
  <c r="BL72" s="1"/>
  <c r="F45" i="17" s="1"/>
  <c r="BF75" i="4"/>
  <c r="BJ75" s="1"/>
  <c r="BK75" s="1"/>
  <c r="BL75" s="1"/>
  <c r="F48" i="17" s="1"/>
  <c r="BF78" i="4"/>
  <c r="BJ78" s="1"/>
  <c r="BK78" s="1"/>
  <c r="BL78" s="1"/>
  <c r="F51" i="17" s="1"/>
  <c r="BF61" i="4"/>
  <c r="BJ61" s="1"/>
  <c r="BK61" s="1"/>
  <c r="BL61" s="1"/>
  <c r="F34" i="17" s="1"/>
  <c r="BF64" i="4"/>
  <c r="BJ64" s="1"/>
  <c r="BK64" s="1"/>
  <c r="BL64" s="1"/>
  <c r="F37" i="17" s="1"/>
  <c r="BF66" i="4"/>
  <c r="BJ66" s="1"/>
  <c r="BK66" s="1"/>
  <c r="BL66" s="1"/>
  <c r="F39" i="17" s="1"/>
  <c r="BF69" i="4"/>
  <c r="BJ69" s="1"/>
  <c r="BK69" s="1"/>
  <c r="BL69" s="1"/>
  <c r="F42" i="17" s="1"/>
  <c r="BF73" i="4"/>
  <c r="BJ73" s="1"/>
  <c r="BK73" s="1"/>
  <c r="BL73" s="1"/>
  <c r="F46" i="17" s="1"/>
  <c r="BF77" i="4"/>
  <c r="BJ77" s="1"/>
  <c r="BK77" s="1"/>
  <c r="BL77" s="1"/>
  <c r="F50" i="17" s="1"/>
  <c r="BF62" i="4"/>
  <c r="BJ62" s="1"/>
  <c r="BK62" s="1"/>
  <c r="BL62" s="1"/>
  <c r="F35" i="17" s="1"/>
  <c r="BF70" i="4"/>
  <c r="BJ70" s="1"/>
  <c r="BK70" s="1"/>
  <c r="BL70" s="1"/>
  <c r="F43" i="17" s="1"/>
  <c r="BF76" i="4"/>
  <c r="BJ76" s="1"/>
  <c r="BK76" s="1"/>
  <c r="BL76" s="1"/>
  <c r="F49" i="17" s="1"/>
  <c r="BF94" i="4"/>
  <c r="BJ94" s="1"/>
  <c r="BK94" s="1"/>
  <c r="BL94" s="1"/>
  <c r="F31" i="18" s="1"/>
  <c r="BF74" i="4"/>
  <c r="BJ74" s="1"/>
  <c r="BK74" s="1"/>
  <c r="BL74" s="1"/>
  <c r="F47" i="17" s="1"/>
  <c r="BF99" i="4"/>
  <c r="BJ99" s="1"/>
  <c r="BK99" s="1"/>
  <c r="BL99" s="1"/>
  <c r="F36" i="18" s="1"/>
  <c r="BF104" i="4"/>
  <c r="BJ104" s="1"/>
  <c r="BK104" s="1"/>
  <c r="BL104" s="1"/>
  <c r="F41" i="18" s="1"/>
  <c r="BF108" i="4"/>
  <c r="BJ108" s="1"/>
  <c r="BK108" s="1"/>
  <c r="BL108" s="1"/>
  <c r="F45" i="18" s="1"/>
  <c r="BF111" i="4"/>
  <c r="BJ111" s="1"/>
  <c r="BK111" s="1"/>
  <c r="BL111" s="1"/>
  <c r="F48" i="18" s="1"/>
  <c r="BF95" i="4"/>
  <c r="BJ95" s="1"/>
  <c r="BK95" s="1"/>
  <c r="BL95" s="1"/>
  <c r="F32" i="18" s="1"/>
  <c r="BF100" i="4"/>
  <c r="BJ100" s="1"/>
  <c r="BK100" s="1"/>
  <c r="BL100" s="1"/>
  <c r="F37" i="18" s="1"/>
  <c r="BF106" i="4"/>
  <c r="BJ106" s="1"/>
  <c r="BK106" s="1"/>
  <c r="BL106" s="1"/>
  <c r="F43" i="18" s="1"/>
  <c r="BF113" i="4"/>
  <c r="BJ113" s="1"/>
  <c r="BK113" s="1"/>
  <c r="BL113" s="1"/>
  <c r="F50" i="18" s="1"/>
  <c r="BF114" i="4"/>
  <c r="BJ114" s="1"/>
  <c r="BK114" s="1"/>
  <c r="BL114" s="1"/>
  <c r="F51" i="18" s="1"/>
  <c r="BF117" i="4"/>
  <c r="BJ117" s="1"/>
  <c r="BK117" s="1"/>
  <c r="BL117" s="1"/>
  <c r="F54" i="18" s="1"/>
  <c r="BF103" i="4"/>
  <c r="BJ103" s="1"/>
  <c r="BK103" s="1"/>
  <c r="BL103" s="1"/>
  <c r="F40" i="18" s="1"/>
  <c r="BF67" i="4"/>
  <c r="BJ67" s="1"/>
  <c r="BK67" s="1"/>
  <c r="BL67" s="1"/>
  <c r="F40" i="17" s="1"/>
  <c r="BF71" i="4"/>
  <c r="BJ71" s="1"/>
  <c r="BK71" s="1"/>
  <c r="BL71" s="1"/>
  <c r="F44" i="17" s="1"/>
  <c r="BF79" i="4"/>
  <c r="BJ79" s="1"/>
  <c r="BK79" s="1"/>
  <c r="BL79" s="1"/>
  <c r="F52" i="17" s="1"/>
  <c r="BF96" i="4"/>
  <c r="BJ96" s="1"/>
  <c r="BK96" s="1"/>
  <c r="BL96" s="1"/>
  <c r="F33" i="18" s="1"/>
  <c r="BF98" i="4"/>
  <c r="BJ98" s="1"/>
  <c r="BK98" s="1"/>
  <c r="BL98" s="1"/>
  <c r="F35" i="18" s="1"/>
  <c r="BF101" i="4"/>
  <c r="BJ101" s="1"/>
  <c r="BK101" s="1"/>
  <c r="BL101" s="1"/>
  <c r="F38" i="18" s="1"/>
  <c r="BF107" i="4"/>
  <c r="BJ107" s="1"/>
  <c r="BK107" s="1"/>
  <c r="BL107" s="1"/>
  <c r="F44" i="18" s="1"/>
  <c r="BF110" i="4"/>
  <c r="BJ110" s="1"/>
  <c r="BK110" s="1"/>
  <c r="BL110" s="1"/>
  <c r="F47" i="18" s="1"/>
  <c r="BF116" i="4"/>
  <c r="BJ116" s="1"/>
  <c r="BK116" s="1"/>
  <c r="BL116" s="1"/>
  <c r="F53" i="18" s="1"/>
  <c r="BF97" i="4"/>
  <c r="BJ97" s="1"/>
  <c r="BK97" s="1"/>
  <c r="BL97" s="1"/>
  <c r="F34" i="18" s="1"/>
  <c r="BF102" i="4"/>
  <c r="BJ102" s="1"/>
  <c r="BK102" s="1"/>
  <c r="BL102" s="1"/>
  <c r="F39" i="18" s="1"/>
  <c r="BF109" i="4"/>
  <c r="BJ109" s="1"/>
  <c r="BK109" s="1"/>
  <c r="BL109" s="1"/>
  <c r="F46" i="18" s="1"/>
  <c r="BF105" i="4"/>
  <c r="BJ105" s="1"/>
  <c r="BK105" s="1"/>
  <c r="BL105" s="1"/>
  <c r="F42" i="18" s="1"/>
  <c r="BF115" i="4"/>
  <c r="BJ115" s="1"/>
  <c r="BK115" s="1"/>
  <c r="BL115" s="1"/>
  <c r="F52" i="18" s="1"/>
  <c r="BF118" i="4"/>
  <c r="BJ118" s="1"/>
  <c r="BK118" s="1"/>
  <c r="BL118" s="1"/>
  <c r="F55" i="18" s="1"/>
  <c r="BF112" i="4"/>
  <c r="BJ112" s="1"/>
  <c r="BK112" s="1"/>
  <c r="BL112" s="1"/>
  <c r="F49" i="18" s="1"/>
  <c r="Y229" i="4"/>
  <c r="AB229" s="1"/>
  <c r="AC229" s="1"/>
  <c r="AD229" s="1"/>
  <c r="Y222"/>
  <c r="AB222" s="1"/>
  <c r="AC222" s="1"/>
  <c r="AD222" s="1"/>
  <c r="Y227"/>
  <c r="AB227" s="1"/>
  <c r="Y236"/>
  <c r="AB236" s="1"/>
  <c r="AC236" s="1"/>
  <c r="AD236" s="1"/>
  <c r="Y230"/>
  <c r="AB230" s="1"/>
  <c r="AC230" s="1"/>
  <c r="AD230" s="1"/>
  <c r="Y225"/>
  <c r="AB225" s="1"/>
  <c r="AC225" s="1"/>
  <c r="AD225" s="1"/>
  <c r="Y233"/>
  <c r="AB233" s="1"/>
  <c r="AC233" s="1"/>
  <c r="AD233" s="1"/>
  <c r="Y223"/>
  <c r="AB223" s="1"/>
  <c r="AC223" s="1"/>
  <c r="AD223" s="1"/>
  <c r="Y231"/>
  <c r="AB231" s="1"/>
  <c r="AC231" s="1"/>
  <c r="AD231" s="1"/>
  <c r="Y235"/>
  <c r="AB235" s="1"/>
  <c r="AC235" s="1"/>
  <c r="AD235" s="1"/>
  <c r="Y239"/>
  <c r="AB239" s="1"/>
  <c r="AC239" s="1"/>
  <c r="AD239" s="1"/>
  <c r="Y226"/>
  <c r="AB226" s="1"/>
  <c r="AC226" s="1"/>
  <c r="AD226" s="1"/>
  <c r="Y237"/>
  <c r="AB237" s="1"/>
  <c r="AC237" s="1"/>
  <c r="AD237" s="1"/>
  <c r="Y224"/>
  <c r="AB224" s="1"/>
  <c r="AC224" s="1"/>
  <c r="AD224" s="1"/>
  <c r="Y228"/>
  <c r="AB228" s="1"/>
  <c r="AC228" s="1"/>
  <c r="AD228" s="1"/>
  <c r="Y238"/>
  <c r="AB238" s="1"/>
  <c r="AC238" s="1"/>
  <c r="AD238" s="1"/>
  <c r="Y234"/>
  <c r="AB234" s="1"/>
  <c r="AC234" s="1"/>
  <c r="AD234" s="1"/>
  <c r="Y232"/>
  <c r="AB232" s="1"/>
  <c r="AC232" s="1"/>
  <c r="AD232" s="1"/>
  <c r="AC227"/>
  <c r="AD227" s="1"/>
  <c r="Z167"/>
  <c r="Z165"/>
  <c r="F84" i="8" s="1"/>
  <c r="BD182" i="4"/>
  <c r="BG182" s="1"/>
  <c r="BH182" s="1"/>
  <c r="F50" i="15" s="1"/>
  <c r="BD176" i="4"/>
  <c r="BG176" s="1"/>
  <c r="BH176" s="1"/>
  <c r="F44" i="15" s="1"/>
  <c r="BD159" i="4"/>
  <c r="BG159" s="1"/>
  <c r="BH159" s="1"/>
  <c r="F27" i="15" s="1"/>
  <c r="BD170" i="4"/>
  <c r="BG170" s="1"/>
  <c r="BH170" s="1"/>
  <c r="F38" i="15" s="1"/>
  <c r="BD179" i="4"/>
  <c r="BG179" s="1"/>
  <c r="BH179" s="1"/>
  <c r="F47" i="15" s="1"/>
  <c r="BD167" i="4"/>
  <c r="BG167" s="1"/>
  <c r="BH167" s="1"/>
  <c r="F35" i="15" s="1"/>
  <c r="BD162" i="4"/>
  <c r="BG162" s="1"/>
  <c r="BH162" s="1"/>
  <c r="F30" i="15" s="1"/>
  <c r="BD173" i="4"/>
  <c r="BG173" s="1"/>
  <c r="BH173" s="1"/>
  <c r="F41" i="15" s="1"/>
  <c r="BD171" i="4"/>
  <c r="BG171" s="1"/>
  <c r="BH171" s="1"/>
  <c r="F39" i="15" s="1"/>
  <c r="BD168" i="4"/>
  <c r="BG168" s="1"/>
  <c r="BH168" s="1"/>
  <c r="F36" i="15" s="1"/>
  <c r="BD177" i="4"/>
  <c r="BG177" s="1"/>
  <c r="BH177" s="1"/>
  <c r="F45" i="15" s="1"/>
  <c r="BD172" i="4"/>
  <c r="BG172" s="1"/>
  <c r="BH172" s="1"/>
  <c r="F40" i="15" s="1"/>
  <c r="BD161" i="4"/>
  <c r="BG161" s="1"/>
  <c r="BH161" s="1"/>
  <c r="F29" i="15" s="1"/>
  <c r="BD160" i="4"/>
  <c r="BG160" s="1"/>
  <c r="BD174"/>
  <c r="BG174" s="1"/>
  <c r="BH174" s="1"/>
  <c r="F42" i="15" s="1"/>
  <c r="BD180" i="4"/>
  <c r="BG180" s="1"/>
  <c r="BH180" s="1"/>
  <c r="F48" i="15" s="1"/>
  <c r="BD178" i="4"/>
  <c r="BG178" s="1"/>
  <c r="BH178" s="1"/>
  <c r="F46" i="15" s="1"/>
  <c r="BD165" i="4"/>
  <c r="BG165" s="1"/>
  <c r="BH165" s="1"/>
  <c r="F33" i="15" s="1"/>
  <c r="BD169" i="4"/>
  <c r="BG169" s="1"/>
  <c r="BH169" s="1"/>
  <c r="F37" i="15" s="1"/>
  <c r="BD183" i="4"/>
  <c r="BG183" s="1"/>
  <c r="BH183" s="1"/>
  <c r="F51" i="15" s="1"/>
  <c r="BD166" i="4"/>
  <c r="BG166" s="1"/>
  <c r="BH166" s="1"/>
  <c r="F34" i="15" s="1"/>
  <c r="BD163" i="4"/>
  <c r="BG163" s="1"/>
  <c r="BH163" s="1"/>
  <c r="F31" i="15" s="1"/>
  <c r="BD181" i="4"/>
  <c r="BG181" s="1"/>
  <c r="BH181" s="1"/>
  <c r="F49" i="15" s="1"/>
  <c r="BD164" i="4"/>
  <c r="BG164" s="1"/>
  <c r="BH164" s="1"/>
  <c r="F32" i="15" s="1"/>
  <c r="BD175" i="4"/>
  <c r="BG175" s="1"/>
  <c r="BH175" s="1"/>
  <c r="F43" i="15" s="1"/>
  <c r="BH160" i="4"/>
  <c r="AS98"/>
  <c r="AT98" s="1"/>
  <c r="BB98" s="1"/>
  <c r="AZ99"/>
  <c r="AW6" i="3"/>
  <c r="AS423" i="2"/>
  <c r="AV423"/>
  <c r="CH132" i="4" l="1"/>
  <c r="BA145"/>
  <c r="G36" i="19" s="1"/>
  <c r="E45" i="18"/>
  <c r="CF132" i="4"/>
  <c r="CB132"/>
  <c r="CC227"/>
  <c r="BU227"/>
  <c r="CA227"/>
  <c r="M38" i="93"/>
  <c r="M42" s="1"/>
  <c r="CB227" i="4"/>
  <c r="BX227"/>
  <c r="CG79"/>
  <c r="BZ144"/>
  <c r="BY227"/>
  <c r="BT227"/>
  <c r="BW227"/>
  <c r="CD227"/>
  <c r="BZ227"/>
  <c r="BV227"/>
  <c r="CM62"/>
  <c r="CG77"/>
  <c r="CO61"/>
  <c r="BU144"/>
  <c r="AZ12" i="3"/>
  <c r="E42" i="18"/>
  <c r="CD75" i="4"/>
  <c r="BR64"/>
  <c r="CA68"/>
  <c r="CC70"/>
  <c r="CN80"/>
  <c r="BU151"/>
  <c r="BU134"/>
  <c r="BU139"/>
  <c r="E50" i="18"/>
  <c r="E34"/>
  <c r="E37"/>
  <c r="CM68" i="4"/>
  <c r="CD74"/>
  <c r="CL84"/>
  <c r="CG72"/>
  <c r="CL59"/>
  <c r="CB74"/>
  <c r="BW67"/>
  <c r="CO87"/>
  <c r="CH77"/>
  <c r="BU141"/>
  <c r="BU143"/>
  <c r="BU145"/>
  <c r="E38" i="14"/>
  <c r="E46" i="18"/>
  <c r="E38"/>
  <c r="E49"/>
  <c r="E41"/>
  <c r="E33"/>
  <c r="CE132" i="4"/>
  <c r="CC132"/>
  <c r="F12" i="19"/>
  <c r="AT220" i="4"/>
  <c r="AS221"/>
  <c r="AS240" s="1"/>
  <c r="AT240" s="1"/>
  <c r="H53" i="23" s="1"/>
  <c r="BU137" i="4"/>
  <c r="BU147"/>
  <c r="BU152"/>
  <c r="CN81"/>
  <c r="CM71"/>
  <c r="CC66"/>
  <c r="CN85"/>
  <c r="CE70"/>
  <c r="BS60"/>
  <c r="CM80"/>
  <c r="CH74"/>
  <c r="CA70"/>
  <c r="BU66"/>
  <c r="CN83"/>
  <c r="CK76"/>
  <c r="CO71"/>
  <c r="CK68"/>
  <c r="CD64"/>
  <c r="BZ58"/>
  <c r="CK83"/>
  <c r="CN78"/>
  <c r="BU133"/>
  <c r="BU149"/>
  <c r="BU148"/>
  <c r="BU146"/>
  <c r="BU138"/>
  <c r="BU140"/>
  <c r="BU150"/>
  <c r="AT5" i="3"/>
  <c r="BX53" i="4" s="1"/>
  <c r="BU136"/>
  <c r="E39" i="14"/>
  <c r="E48" i="18"/>
  <c r="E44"/>
  <c r="E40"/>
  <c r="E36"/>
  <c r="E32"/>
  <c r="E47"/>
  <c r="E43"/>
  <c r="E39"/>
  <c r="E35"/>
  <c r="BU135" i="4"/>
  <c r="E50" i="14"/>
  <c r="CM78" i="4"/>
  <c r="CJ73"/>
  <c r="CO69"/>
  <c r="CK67"/>
  <c r="CH64"/>
  <c r="CI60"/>
  <c r="CK77"/>
  <c r="CK72"/>
  <c r="CE68"/>
  <c r="BW62"/>
  <c r="CA57"/>
  <c r="CM82"/>
  <c r="CI78"/>
  <c r="CE76"/>
  <c r="CF73"/>
  <c r="CA71"/>
  <c r="CC69"/>
  <c r="CG67"/>
  <c r="CD63"/>
  <c r="CG55"/>
  <c r="CO80"/>
  <c r="CM77"/>
  <c r="CF75"/>
  <c r="CM72"/>
  <c r="BY71"/>
  <c r="CE69"/>
  <c r="CM67"/>
  <c r="CI65"/>
  <c r="BR63"/>
  <c r="CE60"/>
  <c r="CO55"/>
  <c r="CO84"/>
  <c r="CO81"/>
  <c r="CN79"/>
  <c r="CF78"/>
  <c r="CO132"/>
  <c r="CT132"/>
  <c r="D26" i="7"/>
  <c r="J41" s="1"/>
  <c r="E46" i="14"/>
  <c r="E47"/>
  <c r="E52"/>
  <c r="AS226" i="4"/>
  <c r="AT226" s="1"/>
  <c r="H39" i="23" s="1"/>
  <c r="CI80" i="4"/>
  <c r="CI76"/>
  <c r="CL74"/>
  <c r="CC72"/>
  <c r="CM70"/>
  <c r="BY69"/>
  <c r="BW68"/>
  <c r="BU67"/>
  <c r="CE65"/>
  <c r="CL63"/>
  <c r="CK61"/>
  <c r="CD59"/>
  <c r="CM79"/>
  <c r="CL75"/>
  <c r="CB73"/>
  <c r="CE71"/>
  <c r="CG69"/>
  <c r="CC67"/>
  <c r="BV63"/>
  <c r="BU61"/>
  <c r="CH58"/>
  <c r="BW56"/>
  <c r="CL83"/>
  <c r="CJ81"/>
  <c r="CI79"/>
  <c r="CO77"/>
  <c r="CM76"/>
  <c r="CH75"/>
  <c r="CN73"/>
  <c r="CO72"/>
  <c r="CI71"/>
  <c r="CI70"/>
  <c r="CK69"/>
  <c r="CI68"/>
  <c r="CO67"/>
  <c r="BY67"/>
  <c r="BW65"/>
  <c r="CC61"/>
  <c r="BR58"/>
  <c r="CO86"/>
  <c r="CK82"/>
  <c r="CO79"/>
  <c r="CK78"/>
  <c r="CE77"/>
  <c r="CN75"/>
  <c r="CJ74"/>
  <c r="CH73"/>
  <c r="CE72"/>
  <c r="CG71"/>
  <c r="CK70"/>
  <c r="CM69"/>
  <c r="BW69"/>
  <c r="CC68"/>
  <c r="CE67"/>
  <c r="CG66"/>
  <c r="BS65"/>
  <c r="CH63"/>
  <c r="CA62"/>
  <c r="BY61"/>
  <c r="CH59"/>
  <c r="BS57"/>
  <c r="CK54"/>
  <c r="CO85"/>
  <c r="CO83"/>
  <c r="CL82"/>
  <c r="CK81"/>
  <c r="CJ80"/>
  <c r="CJ79"/>
  <c r="CJ78"/>
  <c r="CL77"/>
  <c r="CN76"/>
  <c r="CP132"/>
  <c r="E42" i="14"/>
  <c r="E49"/>
  <c r="E43"/>
  <c r="E53"/>
  <c r="E41"/>
  <c r="E45"/>
  <c r="E40"/>
  <c r="E44"/>
  <c r="E48"/>
  <c r="CF77" i="4"/>
  <c r="CJ77"/>
  <c r="CN77"/>
  <c r="CH78"/>
  <c r="CL78"/>
  <c r="CH79"/>
  <c r="CL79"/>
  <c r="CH80"/>
  <c r="CL80"/>
  <c r="CI81"/>
  <c r="CM81"/>
  <c r="CJ82"/>
  <c r="CN82"/>
  <c r="CM83"/>
  <c r="CM84"/>
  <c r="CM85"/>
  <c r="CN86"/>
  <c r="BU54"/>
  <c r="BY55"/>
  <c r="CE56"/>
  <c r="CI57"/>
  <c r="BZ59"/>
  <c r="BW60"/>
  <c r="CM60"/>
  <c r="CG61"/>
  <c r="BS62"/>
  <c r="CI62"/>
  <c r="BZ63"/>
  <c r="BV64"/>
  <c r="CL64"/>
  <c r="CA65"/>
  <c r="BY66"/>
  <c r="CO66"/>
  <c r="CA67"/>
  <c r="CI67"/>
  <c r="BY68"/>
  <c r="CG68"/>
  <c r="CO68"/>
  <c r="CA69"/>
  <c r="CI69"/>
  <c r="BY70"/>
  <c r="CG70"/>
  <c r="CO70"/>
  <c r="CC71"/>
  <c r="CK71"/>
  <c r="CA72"/>
  <c r="CI72"/>
  <c r="CD73"/>
  <c r="CL73"/>
  <c r="CF74"/>
  <c r="CN74"/>
  <c r="CJ75"/>
  <c r="CG76"/>
  <c r="CO76"/>
  <c r="CI77"/>
  <c r="CG78"/>
  <c r="CO78"/>
  <c r="CK79"/>
  <c r="CK80"/>
  <c r="CL81"/>
  <c r="CO82"/>
  <c r="CN84"/>
  <c r="CC54"/>
  <c r="CM56"/>
  <c r="BV59"/>
  <c r="CA60"/>
  <c r="CE62"/>
  <c r="BZ64"/>
  <c r="CM65"/>
  <c r="CK66"/>
  <c r="AZ20" i="3"/>
  <c r="I16" i="7" s="1"/>
  <c r="E13"/>
  <c r="CQ132" i="4"/>
  <c r="CR132"/>
  <c r="CM132"/>
  <c r="CN132"/>
  <c r="CS132"/>
  <c r="CA132"/>
  <c r="BZ132"/>
  <c r="BX132"/>
  <c r="CD132"/>
  <c r="BY132"/>
  <c r="E25" i="19"/>
  <c r="AZ14" i="3"/>
  <c r="L13" i="19" s="1"/>
  <c r="AY13" i="3"/>
  <c r="BD204" i="4"/>
  <c r="BG204" s="1"/>
  <c r="BH204" s="1"/>
  <c r="F42" i="9" s="1"/>
  <c r="E40" i="19"/>
  <c r="E44"/>
  <c r="E43"/>
  <c r="E41"/>
  <c r="E42"/>
  <c r="AS7" i="3"/>
  <c r="K14" i="22" s="1"/>
  <c r="E28" s="1"/>
  <c r="BD134" i="4"/>
  <c r="AZ13" i="3"/>
  <c r="K15" i="20"/>
  <c r="E39" i="19"/>
  <c r="E37"/>
  <c r="E36"/>
  <c r="E35"/>
  <c r="E38"/>
  <c r="E34"/>
  <c r="E31" i="14"/>
  <c r="E35"/>
  <c r="E32"/>
  <c r="E36"/>
  <c r="BT54" i="4"/>
  <c r="BX54"/>
  <c r="CB54"/>
  <c r="CF54"/>
  <c r="CJ54"/>
  <c r="CN54"/>
  <c r="BT55"/>
  <c r="BX55"/>
  <c r="CB55"/>
  <c r="CF55"/>
  <c r="CJ55"/>
  <c r="CN55"/>
  <c r="BT56"/>
  <c r="BX56"/>
  <c r="CB56"/>
  <c r="CF56"/>
  <c r="CJ56"/>
  <c r="CN56"/>
  <c r="BT57"/>
  <c r="BX57"/>
  <c r="CB57"/>
  <c r="CF57"/>
  <c r="CJ57"/>
  <c r="CN57"/>
  <c r="BU58"/>
  <c r="BY58"/>
  <c r="CC58"/>
  <c r="CG58"/>
  <c r="CK58"/>
  <c r="CO58"/>
  <c r="BS54"/>
  <c r="CA54"/>
  <c r="CI54"/>
  <c r="BS55"/>
  <c r="CA55"/>
  <c r="CI55"/>
  <c r="BU56"/>
  <c r="CC56"/>
  <c r="CK56"/>
  <c r="BU57"/>
  <c r="CC57"/>
  <c r="CK57"/>
  <c r="BT58"/>
  <c r="CB58"/>
  <c r="CJ58"/>
  <c r="BS59"/>
  <c r="BW59"/>
  <c r="CA59"/>
  <c r="CE59"/>
  <c r="CI59"/>
  <c r="CM59"/>
  <c r="BR60"/>
  <c r="BV60"/>
  <c r="BZ60"/>
  <c r="CD60"/>
  <c r="CH60"/>
  <c r="CL60"/>
  <c r="BR61"/>
  <c r="BV61"/>
  <c r="BZ61"/>
  <c r="CD61"/>
  <c r="CH61"/>
  <c r="CL61"/>
  <c r="BR62"/>
  <c r="BV62"/>
  <c r="BZ62"/>
  <c r="CD62"/>
  <c r="CH62"/>
  <c r="CL62"/>
  <c r="BS63"/>
  <c r="BW63"/>
  <c r="CA63"/>
  <c r="CE63"/>
  <c r="CI63"/>
  <c r="CM63"/>
  <c r="BS64"/>
  <c r="BW64"/>
  <c r="CA64"/>
  <c r="CE64"/>
  <c r="CI64"/>
  <c r="CM64"/>
  <c r="BT65"/>
  <c r="BX65"/>
  <c r="CB65"/>
  <c r="CF65"/>
  <c r="CJ65"/>
  <c r="CN65"/>
  <c r="BV66"/>
  <c r="BZ66"/>
  <c r="CD66"/>
  <c r="CH66"/>
  <c r="CL66"/>
  <c r="BY54"/>
  <c r="CO54"/>
  <c r="CC55"/>
  <c r="BS56"/>
  <c r="CI56"/>
  <c r="CE57"/>
  <c r="BV58"/>
  <c r="CL58"/>
  <c r="BX59"/>
  <c r="CF59"/>
  <c r="CN59"/>
  <c r="BY60"/>
  <c r="CG60"/>
  <c r="CO60"/>
  <c r="BW61"/>
  <c r="CE61"/>
  <c r="CM61"/>
  <c r="BY62"/>
  <c r="CG62"/>
  <c r="CO62"/>
  <c r="BX63"/>
  <c r="CF63"/>
  <c r="CN63"/>
  <c r="BX64"/>
  <c r="CF64"/>
  <c r="CN64"/>
  <c r="BY65"/>
  <c r="CG65"/>
  <c r="CO65"/>
  <c r="CA66"/>
  <c r="CI66"/>
  <c r="BV67"/>
  <c r="BZ67"/>
  <c r="CD67"/>
  <c r="CH67"/>
  <c r="CL67"/>
  <c r="BV68"/>
  <c r="BZ68"/>
  <c r="CD68"/>
  <c r="CH68"/>
  <c r="CL68"/>
  <c r="BX69"/>
  <c r="CB69"/>
  <c r="CF69"/>
  <c r="CJ69"/>
  <c r="CN69"/>
  <c r="BZ70"/>
  <c r="CD70"/>
  <c r="CH70"/>
  <c r="CL70"/>
  <c r="BZ71"/>
  <c r="CD71"/>
  <c r="CH71"/>
  <c r="CL71"/>
  <c r="BZ72"/>
  <c r="CD72"/>
  <c r="CH72"/>
  <c r="CL72"/>
  <c r="CA73"/>
  <c r="CE73"/>
  <c r="CI73"/>
  <c r="CM73"/>
  <c r="CC74"/>
  <c r="CG74"/>
  <c r="CK74"/>
  <c r="CO74"/>
  <c r="CE75"/>
  <c r="CI75"/>
  <c r="CM75"/>
  <c r="CD76"/>
  <c r="CH76"/>
  <c r="CL76"/>
  <c r="E33" i="14"/>
  <c r="E37"/>
  <c r="E34"/>
  <c r="E30"/>
  <c r="BR54" i="4"/>
  <c r="BV54"/>
  <c r="BZ54"/>
  <c r="CD54"/>
  <c r="CH54"/>
  <c r="CL54"/>
  <c r="BR55"/>
  <c r="BV55"/>
  <c r="BZ55"/>
  <c r="CD55"/>
  <c r="CH55"/>
  <c r="CL55"/>
  <c r="BR56"/>
  <c r="BV56"/>
  <c r="BZ56"/>
  <c r="CD56"/>
  <c r="CH56"/>
  <c r="CL56"/>
  <c r="BR57"/>
  <c r="BV57"/>
  <c r="BZ57"/>
  <c r="CD57"/>
  <c r="CH57"/>
  <c r="CL57"/>
  <c r="BS58"/>
  <c r="BW58"/>
  <c r="CA58"/>
  <c r="CE58"/>
  <c r="CI58"/>
  <c r="CM58"/>
  <c r="BR59"/>
  <c r="BW54"/>
  <c r="CE54"/>
  <c r="CM54"/>
  <c r="BW55"/>
  <c r="CE55"/>
  <c r="CM55"/>
  <c r="BY56"/>
  <c r="CG56"/>
  <c r="CO56"/>
  <c r="BY57"/>
  <c r="CG57"/>
  <c r="CO57"/>
  <c r="BX58"/>
  <c r="CF58"/>
  <c r="CN58"/>
  <c r="BU59"/>
  <c r="BY59"/>
  <c r="CC59"/>
  <c r="CG59"/>
  <c r="CK59"/>
  <c r="CO59"/>
  <c r="BT60"/>
  <c r="BX60"/>
  <c r="CB60"/>
  <c r="CF60"/>
  <c r="CJ60"/>
  <c r="CN60"/>
  <c r="BT61"/>
  <c r="BX61"/>
  <c r="CB61"/>
  <c r="CF61"/>
  <c r="CJ61"/>
  <c r="CN61"/>
  <c r="BT62"/>
  <c r="BX62"/>
  <c r="CB62"/>
  <c r="CF62"/>
  <c r="CJ62"/>
  <c r="CN62"/>
  <c r="BU63"/>
  <c r="BY63"/>
  <c r="CC63"/>
  <c r="CG63"/>
  <c r="CK63"/>
  <c r="CO63"/>
  <c r="BU64"/>
  <c r="BY64"/>
  <c r="CC64"/>
  <c r="CG64"/>
  <c r="CK64"/>
  <c r="CO64"/>
  <c r="BV65"/>
  <c r="BZ65"/>
  <c r="CD65"/>
  <c r="CH65"/>
  <c r="CL65"/>
  <c r="BT66"/>
  <c r="BX66"/>
  <c r="CB66"/>
  <c r="CF66"/>
  <c r="CJ66"/>
  <c r="CN66"/>
  <c r="CG54"/>
  <c r="BU55"/>
  <c r="CK55"/>
  <c r="CA56"/>
  <c r="BW57"/>
  <c r="CM57"/>
  <c r="CD58"/>
  <c r="BT59"/>
  <c r="CB59"/>
  <c r="CJ59"/>
  <c r="BU60"/>
  <c r="CC60"/>
  <c r="CK60"/>
  <c r="BS61"/>
  <c r="CA61"/>
  <c r="CI61"/>
  <c r="BU62"/>
  <c r="CC62"/>
  <c r="CK62"/>
  <c r="BT63"/>
  <c r="CB63"/>
  <c r="CJ63"/>
  <c r="BT64"/>
  <c r="CB64"/>
  <c r="CJ64"/>
  <c r="BU65"/>
  <c r="CC65"/>
  <c r="CK65"/>
  <c r="BW66"/>
  <c r="CE66"/>
  <c r="CM66"/>
  <c r="BX67"/>
  <c r="CB67"/>
  <c r="CF67"/>
  <c r="CJ67"/>
  <c r="CN67"/>
  <c r="BX68"/>
  <c r="CB68"/>
  <c r="CF68"/>
  <c r="CJ68"/>
  <c r="CN68"/>
  <c r="BZ69"/>
  <c r="CD69"/>
  <c r="CH69"/>
  <c r="CL69"/>
  <c r="BX70"/>
  <c r="CB70"/>
  <c r="CF70"/>
  <c r="CJ70"/>
  <c r="CN70"/>
  <c r="CB71"/>
  <c r="CF71"/>
  <c r="CJ71"/>
  <c r="CN71"/>
  <c r="CB72"/>
  <c r="CF72"/>
  <c r="CJ72"/>
  <c r="CN72"/>
  <c r="CC73"/>
  <c r="CG73"/>
  <c r="CK73"/>
  <c r="CO73"/>
  <c r="CE74"/>
  <c r="CI74"/>
  <c r="CM74"/>
  <c r="CC75"/>
  <c r="CG75"/>
  <c r="CK75"/>
  <c r="CO75"/>
  <c r="CF76"/>
  <c r="CJ76"/>
  <c r="E31" i="19"/>
  <c r="E29"/>
  <c r="E26"/>
  <c r="E28"/>
  <c r="E27"/>
  <c r="E33"/>
  <c r="BZ133" i="4"/>
  <c r="CD133"/>
  <c r="CH133"/>
  <c r="CA134"/>
  <c r="CE134"/>
  <c r="BY135"/>
  <c r="CC135"/>
  <c r="CG135"/>
  <c r="BZ136"/>
  <c r="CD136"/>
  <c r="CH136"/>
  <c r="CA137"/>
  <c r="CE137"/>
  <c r="BY138"/>
  <c r="CC138"/>
  <c r="CG138"/>
  <c r="BZ139"/>
  <c r="CD139"/>
  <c r="CH139"/>
  <c r="BZ140"/>
  <c r="CD140"/>
  <c r="CH140"/>
  <c r="BZ141"/>
  <c r="CD141"/>
  <c r="CH141"/>
  <c r="CE133"/>
  <c r="CB134"/>
  <c r="BZ135"/>
  <c r="CH135"/>
  <c r="CE136"/>
  <c r="CB137"/>
  <c r="BX138"/>
  <c r="CF138"/>
  <c r="CC139"/>
  <c r="BY140"/>
  <c r="CG140"/>
  <c r="CE141"/>
  <c r="CA142"/>
  <c r="E32" i="19"/>
  <c r="E30"/>
  <c r="BX133" i="4"/>
  <c r="CF133"/>
  <c r="CC134"/>
  <c r="CA135"/>
  <c r="BX136"/>
  <c r="CF136"/>
  <c r="CC137"/>
  <c r="CA138"/>
  <c r="BX139"/>
  <c r="CF139"/>
  <c r="CB140"/>
  <c r="BX141"/>
  <c r="CF141"/>
  <c r="BX134"/>
  <c r="CD135"/>
  <c r="BX137"/>
  <c r="CB138"/>
  <c r="CG139"/>
  <c r="CA141"/>
  <c r="CC142"/>
  <c r="CG142"/>
  <c r="CB143"/>
  <c r="CF143"/>
  <c r="CB144"/>
  <c r="CF144"/>
  <c r="CB145"/>
  <c r="CF145"/>
  <c r="CC146"/>
  <c r="CG146"/>
  <c r="CG147"/>
  <c r="CG148"/>
  <c r="CH150"/>
  <c r="BZ134"/>
  <c r="CB135"/>
  <c r="CG136"/>
  <c r="CH137"/>
  <c r="CH138"/>
  <c r="CE140"/>
  <c r="CG141"/>
  <c r="CD142"/>
  <c r="CA143"/>
  <c r="CA144"/>
  <c r="CC145"/>
  <c r="CD146"/>
  <c r="CD147"/>
  <c r="CH148"/>
  <c r="CG150"/>
  <c r="CG133"/>
  <c r="BX135"/>
  <c r="CC136"/>
  <c r="CD138"/>
  <c r="CA140"/>
  <c r="CB142"/>
  <c r="CC143"/>
  <c r="CC144"/>
  <c r="CE145"/>
  <c r="CF147"/>
  <c r="CH149"/>
  <c r="CB133"/>
  <c r="BY134"/>
  <c r="CG134"/>
  <c r="CE135"/>
  <c r="CB136"/>
  <c r="BY137"/>
  <c r="CG137"/>
  <c r="CE138"/>
  <c r="CB139"/>
  <c r="BX140"/>
  <c r="CF140"/>
  <c r="CB141"/>
  <c r="CA133"/>
  <c r="CF134"/>
  <c r="CA136"/>
  <c r="CF137"/>
  <c r="BY139"/>
  <c r="CC140"/>
  <c r="BY142"/>
  <c r="CE142"/>
  <c r="BZ143"/>
  <c r="CD143"/>
  <c r="CH143"/>
  <c r="CD144"/>
  <c r="CH144"/>
  <c r="CD145"/>
  <c r="CH145"/>
  <c r="CE146"/>
  <c r="CE147"/>
  <c r="CE148"/>
  <c r="CG149"/>
  <c r="CC133"/>
  <c r="CH134"/>
  <c r="BY136"/>
  <c r="BZ137"/>
  <c r="BZ138"/>
  <c r="CA139"/>
  <c r="BY141"/>
  <c r="BZ142"/>
  <c r="CH142"/>
  <c r="CE143"/>
  <c r="CE144"/>
  <c r="CG145"/>
  <c r="CH146"/>
  <c r="CH147"/>
  <c r="CF149"/>
  <c r="BY133"/>
  <c r="CD134"/>
  <c r="CF135"/>
  <c r="CD137"/>
  <c r="CE139"/>
  <c r="CC141"/>
  <c r="CF142"/>
  <c r="CG143"/>
  <c r="CG144"/>
  <c r="CF146"/>
  <c r="CF148"/>
  <c r="CH151"/>
  <c r="AD15" i="3"/>
  <c r="AE15"/>
  <c r="AF15"/>
  <c r="E135" i="4"/>
  <c r="F135" s="1"/>
  <c r="P137" s="1"/>
  <c r="S137" s="1"/>
  <c r="T137" s="1"/>
  <c r="AC15" i="3"/>
  <c r="BD210" i="4"/>
  <c r="BG210" s="1"/>
  <c r="BH210" s="1"/>
  <c r="F48" i="9" s="1"/>
  <c r="F27" i="19"/>
  <c r="BD205" i="4"/>
  <c r="BG205" s="1"/>
  <c r="BH205" s="1"/>
  <c r="F43" i="9" s="1"/>
  <c r="BD189" i="4"/>
  <c r="BG189" s="1"/>
  <c r="BH189" s="1"/>
  <c r="F27" i="9" s="1"/>
  <c r="E51" i="20"/>
  <c r="E56"/>
  <c r="E50"/>
  <c r="E53"/>
  <c r="BD192" i="4"/>
  <c r="BG192" s="1"/>
  <c r="BH192" s="1"/>
  <c r="F30" i="9" s="1"/>
  <c r="BD196" i="4"/>
  <c r="BG196" s="1"/>
  <c r="BH196" s="1"/>
  <c r="F34" i="9" s="1"/>
  <c r="BD212" i="4"/>
  <c r="BG212" s="1"/>
  <c r="BH212" s="1"/>
  <c r="F50" i="9" s="1"/>
  <c r="BD197" i="4"/>
  <c r="BG197" s="1"/>
  <c r="BH197" s="1"/>
  <c r="F35" i="9" s="1"/>
  <c r="BD207" i="4"/>
  <c r="BG207" s="1"/>
  <c r="BH207" s="1"/>
  <c r="F45" i="9" s="1"/>
  <c r="BD195" i="4"/>
  <c r="BG195" s="1"/>
  <c r="BH195" s="1"/>
  <c r="F33" i="9" s="1"/>
  <c r="BD193" i="4"/>
  <c r="BG193" s="1"/>
  <c r="BH193" s="1"/>
  <c r="F31" i="9" s="1"/>
  <c r="BD209" i="4"/>
  <c r="BG209" s="1"/>
  <c r="BH209" s="1"/>
  <c r="F47" i="9" s="1"/>
  <c r="BD198" i="4"/>
  <c r="BG198" s="1"/>
  <c r="BH198" s="1"/>
  <c r="F36" i="9" s="1"/>
  <c r="G34" i="23"/>
  <c r="BD211" i="4"/>
  <c r="BG211" s="1"/>
  <c r="BH211" s="1"/>
  <c r="F49" i="9" s="1"/>
  <c r="BD200" i="4"/>
  <c r="BG200" s="1"/>
  <c r="BH200" s="1"/>
  <c r="F38" i="9" s="1"/>
  <c r="BD190" i="4"/>
  <c r="BG190" s="1"/>
  <c r="BH190" s="1"/>
  <c r="BD194"/>
  <c r="BG194" s="1"/>
  <c r="BH194" s="1"/>
  <c r="F32" i="9" s="1"/>
  <c r="BD201" i="4"/>
  <c r="BG201" s="1"/>
  <c r="BH201" s="1"/>
  <c r="F39" i="9" s="1"/>
  <c r="BD206" i="4"/>
  <c r="BG206" s="1"/>
  <c r="BH206" s="1"/>
  <c r="F44" i="9" s="1"/>
  <c r="BD202" i="4"/>
  <c r="BG202" s="1"/>
  <c r="BH202" s="1"/>
  <c r="F40" i="9" s="1"/>
  <c r="BD191" i="4"/>
  <c r="BG191" s="1"/>
  <c r="BH191" s="1"/>
  <c r="F29" i="9" s="1"/>
  <c r="BD199" i="4"/>
  <c r="BG199" s="1"/>
  <c r="BH199" s="1"/>
  <c r="F37" i="9" s="1"/>
  <c r="BD208" i="4"/>
  <c r="BG208" s="1"/>
  <c r="BH208" s="1"/>
  <c r="F46" i="9" s="1"/>
  <c r="BD213" i="4"/>
  <c r="BG213" s="1"/>
  <c r="BH213" s="1"/>
  <c r="F51" i="9" s="1"/>
  <c r="BH203" i="4"/>
  <c r="F41" i="9" s="1"/>
  <c r="BZ214" i="4"/>
  <c r="T114"/>
  <c r="U114" s="1"/>
  <c r="I50" i="13" s="1"/>
  <c r="BX212" i="4"/>
  <c r="BW211"/>
  <c r="AS239"/>
  <c r="G52" i="23" s="1"/>
  <c r="F30" i="19"/>
  <c r="M39" i="17"/>
  <c r="M43" s="1"/>
  <c r="T206" i="4"/>
  <c r="U206" s="1"/>
  <c r="H44" i="12" s="1"/>
  <c r="AZ190" i="4"/>
  <c r="H29" i="9" s="1"/>
  <c r="G29"/>
  <c r="S163" i="4"/>
  <c r="T163" s="1"/>
  <c r="H33" i="8" s="1"/>
  <c r="T190" i="4"/>
  <c r="U190" s="1"/>
  <c r="BY213"/>
  <c r="CF220"/>
  <c r="CD218"/>
  <c r="D55" i="7"/>
  <c r="G56"/>
  <c r="F56"/>
  <c r="J40" i="9"/>
  <c r="K44" i="10"/>
  <c r="K45" s="1"/>
  <c r="BK353" i="2" s="1"/>
  <c r="K44" i="11"/>
  <c r="K45" s="1"/>
  <c r="G54"/>
  <c r="G54" i="10"/>
  <c r="G40" i="11"/>
  <c r="G40" i="10"/>
  <c r="G49"/>
  <c r="G49" i="11"/>
  <c r="G39"/>
  <c r="G39" i="10"/>
  <c r="G52"/>
  <c r="G52" i="11"/>
  <c r="G50"/>
  <c r="G50" i="10"/>
  <c r="G45" i="11"/>
  <c r="G45" i="10"/>
  <c r="G43" i="11"/>
  <c r="G43" i="10"/>
  <c r="G55" i="11"/>
  <c r="G55" i="10"/>
  <c r="G58"/>
  <c r="G58" i="11"/>
  <c r="J39" i="9"/>
  <c r="J41"/>
  <c r="G57" i="10"/>
  <c r="G57" i="11"/>
  <c r="G56"/>
  <c r="G56" i="10"/>
  <c r="G41"/>
  <c r="G41" i="11"/>
  <c r="G42" i="10"/>
  <c r="G42" i="11"/>
  <c r="G46"/>
  <c r="G46" i="10"/>
  <c r="G59" i="11"/>
  <c r="G59" i="10"/>
  <c r="G48" i="11"/>
  <c r="G48" i="10"/>
  <c r="G44" i="11"/>
  <c r="G44" i="10"/>
  <c r="G53" i="11"/>
  <c r="G53" i="10"/>
  <c r="G47" i="11"/>
  <c r="G47" i="10"/>
  <c r="AE88" i="4"/>
  <c r="G63" i="14" s="1"/>
  <c r="F63"/>
  <c r="AE84" i="4"/>
  <c r="G59" i="14" s="1"/>
  <c r="F59"/>
  <c r="U117" i="4"/>
  <c r="I53" i="13" s="1"/>
  <c r="H53"/>
  <c r="U122" i="4"/>
  <c r="I58" i="13" s="1"/>
  <c r="H58"/>
  <c r="AE87" i="4"/>
  <c r="G62" i="14" s="1"/>
  <c r="F62"/>
  <c r="U120" i="4"/>
  <c r="I56" i="13" s="1"/>
  <c r="H56"/>
  <c r="U78" i="4"/>
  <c r="I54" i="14" s="1"/>
  <c r="H54"/>
  <c r="U86" i="4"/>
  <c r="I62" i="14" s="1"/>
  <c r="H62"/>
  <c r="E51" i="8"/>
  <c r="E52"/>
  <c r="E50"/>
  <c r="U85" i="4"/>
  <c r="I61" i="14" s="1"/>
  <c r="H61"/>
  <c r="AE86" i="4"/>
  <c r="G61" i="14" s="1"/>
  <c r="F61"/>
  <c r="AE83" i="4"/>
  <c r="G58" i="14" s="1"/>
  <c r="F58"/>
  <c r="U121" i="4"/>
  <c r="I57" i="13" s="1"/>
  <c r="H57"/>
  <c r="U126" i="4"/>
  <c r="I62" i="13" s="1"/>
  <c r="H62"/>
  <c r="U124" i="4"/>
  <c r="I60" i="13" s="1"/>
  <c r="H60"/>
  <c r="U79" i="4"/>
  <c r="I55" i="14" s="1"/>
  <c r="H55"/>
  <c r="U87" i="4"/>
  <c r="I63" i="14" s="1"/>
  <c r="H63"/>
  <c r="U81" i="4"/>
  <c r="I57" i="14" s="1"/>
  <c r="H57"/>
  <c r="U118" i="4"/>
  <c r="I54" i="13" s="1"/>
  <c r="H54"/>
  <c r="U84" i="4"/>
  <c r="I60" i="14" s="1"/>
  <c r="H60"/>
  <c r="E60" i="13"/>
  <c r="E56"/>
  <c r="E61"/>
  <c r="E57"/>
  <c r="E53"/>
  <c r="E62"/>
  <c r="E58"/>
  <c r="E54"/>
  <c r="E59"/>
  <c r="E55"/>
  <c r="E30" i="8"/>
  <c r="E32"/>
  <c r="E34"/>
  <c r="I83" s="1"/>
  <c r="E36"/>
  <c r="I85" s="1"/>
  <c r="E38"/>
  <c r="E40"/>
  <c r="E42"/>
  <c r="E44"/>
  <c r="E46"/>
  <c r="E48"/>
  <c r="E31"/>
  <c r="E33"/>
  <c r="I82" s="1"/>
  <c r="E35"/>
  <c r="I84" s="1"/>
  <c r="E37"/>
  <c r="E39"/>
  <c r="E41"/>
  <c r="E43"/>
  <c r="E45"/>
  <c r="E47"/>
  <c r="E49"/>
  <c r="E29"/>
  <c r="E28"/>
  <c r="E12"/>
  <c r="J86"/>
  <c r="F86"/>
  <c r="J88"/>
  <c r="F88"/>
  <c r="AF171" i="4"/>
  <c r="H41" i="8"/>
  <c r="U166" i="4"/>
  <c r="I36" i="8" s="1"/>
  <c r="H36"/>
  <c r="F87"/>
  <c r="J87"/>
  <c r="F28" i="9"/>
  <c r="F28" i="15"/>
  <c r="CN204" i="4"/>
  <c r="CN207"/>
  <c r="CR208"/>
  <c r="CR210"/>
  <c r="CR212"/>
  <c r="CV213"/>
  <c r="CV215"/>
  <c r="CW217"/>
  <c r="CN205"/>
  <c r="CP207"/>
  <c r="CP209"/>
  <c r="CT210"/>
  <c r="CT212"/>
  <c r="CT214"/>
  <c r="CX215"/>
  <c r="CY217"/>
  <c r="CO205"/>
  <c r="CQ208"/>
  <c r="CU211"/>
  <c r="CW214"/>
  <c r="CO209"/>
  <c r="CX217"/>
  <c r="CS209"/>
  <c r="CY215"/>
  <c r="CM204"/>
  <c r="CQ207"/>
  <c r="CQ211"/>
  <c r="CW213"/>
  <c r="CO207"/>
  <c r="CU215"/>
  <c r="CO208"/>
  <c r="CU214"/>
  <c r="CY219"/>
  <c r="CN206"/>
  <c r="CN208"/>
  <c r="CR209"/>
  <c r="CR211"/>
  <c r="CV212"/>
  <c r="CV214"/>
  <c r="CV216"/>
  <c r="CX218"/>
  <c r="CP206"/>
  <c r="CP208"/>
  <c r="CP210"/>
  <c r="CT211"/>
  <c r="CT213"/>
  <c r="CX214"/>
  <c r="CX216"/>
  <c r="CM203"/>
  <c r="CM207"/>
  <c r="CQ210"/>
  <c r="CS213"/>
  <c r="CY216"/>
  <c r="CS211"/>
  <c r="CO206"/>
  <c r="CU213"/>
  <c r="CY218"/>
  <c r="CM206"/>
  <c r="CQ209"/>
  <c r="CU212"/>
  <c r="CW215"/>
  <c r="CS210"/>
  <c r="CM205"/>
  <c r="CS212"/>
  <c r="CW216"/>
  <c r="CE219"/>
  <c r="BV210"/>
  <c r="CA215"/>
  <c r="CC217"/>
  <c r="CB216"/>
  <c r="BT208"/>
  <c r="BU209"/>
  <c r="CJ196"/>
  <c r="CJ197" s="1"/>
  <c r="CM208" s="1"/>
  <c r="J46" i="9"/>
  <c r="I46"/>
  <c r="J42"/>
  <c r="J43"/>
  <c r="AZ196" i="4"/>
  <c r="H35" i="9" s="1"/>
  <c r="G35"/>
  <c r="AZ198" i="4"/>
  <c r="H37" i="9" s="1"/>
  <c r="G37"/>
  <c r="AZ195" i="4"/>
  <c r="H34" i="9" s="1"/>
  <c r="G34"/>
  <c r="AZ209" i="4"/>
  <c r="H48" i="9" s="1"/>
  <c r="G48"/>
  <c r="AZ200" i="4"/>
  <c r="H39" i="9" s="1"/>
  <c r="G39"/>
  <c r="AZ192" i="4"/>
  <c r="H31" i="9" s="1"/>
  <c r="G31"/>
  <c r="AZ204" i="4"/>
  <c r="H43" i="9" s="1"/>
  <c r="G43"/>
  <c r="AZ211" i="4"/>
  <c r="H50" i="9" s="1"/>
  <c r="G50"/>
  <c r="AZ201" i="4"/>
  <c r="H40" i="9" s="1"/>
  <c r="G40"/>
  <c r="AZ191" i="4"/>
  <c r="H30" i="9" s="1"/>
  <c r="G30"/>
  <c r="AZ212" i="4"/>
  <c r="H51" i="9" s="1"/>
  <c r="G51"/>
  <c r="AZ205" i="4"/>
  <c r="H44" i="9" s="1"/>
  <c r="G44"/>
  <c r="AZ203" i="4"/>
  <c r="H42" i="9" s="1"/>
  <c r="G42"/>
  <c r="AZ193" i="4"/>
  <c r="H32" i="9" s="1"/>
  <c r="G32"/>
  <c r="AZ208" i="4"/>
  <c r="H47" i="9" s="1"/>
  <c r="G47"/>
  <c r="AZ202" i="4"/>
  <c r="H41" i="9" s="1"/>
  <c r="G41"/>
  <c r="AZ210" i="4"/>
  <c r="H49" i="9" s="1"/>
  <c r="G49"/>
  <c r="AZ206" i="4"/>
  <c r="H45" i="9" s="1"/>
  <c r="G45"/>
  <c r="AZ194" i="4"/>
  <c r="H33" i="9" s="1"/>
  <c r="G33"/>
  <c r="AZ199" i="4"/>
  <c r="H38" i="9" s="1"/>
  <c r="G38"/>
  <c r="AZ207" i="4"/>
  <c r="H46" i="9" s="1"/>
  <c r="G46"/>
  <c r="AZ197" i="4"/>
  <c r="H36" i="9" s="1"/>
  <c r="G36"/>
  <c r="AZ168" i="4"/>
  <c r="H37" i="15" s="1"/>
  <c r="G37"/>
  <c r="AZ174" i="4"/>
  <c r="H43" i="15" s="1"/>
  <c r="G43"/>
  <c r="AZ179" i="4"/>
  <c r="H48" i="15" s="1"/>
  <c r="G48"/>
  <c r="AZ176" i="4"/>
  <c r="H45" i="15" s="1"/>
  <c r="G45"/>
  <c r="AZ175" i="4"/>
  <c r="H44" i="15" s="1"/>
  <c r="G44"/>
  <c r="AZ169" i="4"/>
  <c r="H38" i="15" s="1"/>
  <c r="G38"/>
  <c r="AZ181" i="4"/>
  <c r="H50" i="15" s="1"/>
  <c r="G50"/>
  <c r="AZ166" i="4"/>
  <c r="H35" i="15" s="1"/>
  <c r="G35"/>
  <c r="AZ182" i="4"/>
  <c r="H51" i="15" s="1"/>
  <c r="G51"/>
  <c r="AZ173" i="4"/>
  <c r="H42" i="15" s="1"/>
  <c r="G42"/>
  <c r="AZ171" i="4"/>
  <c r="H40" i="15" s="1"/>
  <c r="G40"/>
  <c r="AZ164" i="4"/>
  <c r="H33" i="15" s="1"/>
  <c r="G33"/>
  <c r="AZ163" i="4"/>
  <c r="H32" i="15" s="1"/>
  <c r="G32"/>
  <c r="AZ178" i="4"/>
  <c r="H47" i="15" s="1"/>
  <c r="G47"/>
  <c r="AZ172" i="4"/>
  <c r="H41" i="15" s="1"/>
  <c r="G41"/>
  <c r="AZ165" i="4"/>
  <c r="H34" i="15" s="1"/>
  <c r="G34"/>
  <c r="AZ170" i="4"/>
  <c r="H39" i="15" s="1"/>
  <c r="G39"/>
  <c r="AZ180" i="4"/>
  <c r="H49" i="15" s="1"/>
  <c r="G49"/>
  <c r="AZ162" i="4"/>
  <c r="H31" i="15" s="1"/>
  <c r="G31"/>
  <c r="AZ167" i="4"/>
  <c r="H36" i="15" s="1"/>
  <c r="G36"/>
  <c r="AZ161" i="4"/>
  <c r="H30" i="15" s="1"/>
  <c r="G30"/>
  <c r="AZ177" i="4"/>
  <c r="H46" i="15" s="1"/>
  <c r="G46"/>
  <c r="AE213" i="4"/>
  <c r="F50" i="12" s="1"/>
  <c r="E50"/>
  <c r="AE210" i="4"/>
  <c r="F47" i="12" s="1"/>
  <c r="E47"/>
  <c r="U116" i="4"/>
  <c r="I52" i="13" s="1"/>
  <c r="H52"/>
  <c r="AE212" i="4"/>
  <c r="F49" i="12" s="1"/>
  <c r="E49"/>
  <c r="AE75" i="4"/>
  <c r="G50" i="14" s="1"/>
  <c r="F50"/>
  <c r="AE78" i="4"/>
  <c r="G53" i="14" s="1"/>
  <c r="F53"/>
  <c r="AE76" i="4"/>
  <c r="G51" i="14" s="1"/>
  <c r="F51"/>
  <c r="AE211" i="4"/>
  <c r="F48" i="12" s="1"/>
  <c r="E48"/>
  <c r="U113" i="4"/>
  <c r="I49" i="13" s="1"/>
  <c r="H49"/>
  <c r="U76" i="4"/>
  <c r="I52" i="14" s="1"/>
  <c r="H52"/>
  <c r="U74" i="4"/>
  <c r="I50" i="14" s="1"/>
  <c r="H50"/>
  <c r="U75" i="4"/>
  <c r="I51" i="14" s="1"/>
  <c r="H51"/>
  <c r="U211" i="4"/>
  <c r="H49" i="12" s="1"/>
  <c r="G49"/>
  <c r="E50" i="13"/>
  <c r="E51"/>
  <c r="E52"/>
  <c r="E49"/>
  <c r="E49" i="21"/>
  <c r="E51"/>
  <c r="E52"/>
  <c r="E50"/>
  <c r="E48"/>
  <c r="BA143" i="4"/>
  <c r="G34" i="19" s="1"/>
  <c r="F34"/>
  <c r="BA138" i="4"/>
  <c r="G29" i="19" s="1"/>
  <c r="F29"/>
  <c r="BA142" i="4"/>
  <c r="G33" i="19" s="1"/>
  <c r="F33"/>
  <c r="BA134" i="4"/>
  <c r="G25" i="19" s="1"/>
  <c r="F25"/>
  <c r="BA153" i="4"/>
  <c r="G44" i="19" s="1"/>
  <c r="F44"/>
  <c r="BA140" i="4"/>
  <c r="G31" i="19" s="1"/>
  <c r="F31"/>
  <c r="BA150" i="4"/>
  <c r="G41" i="19" s="1"/>
  <c r="F41"/>
  <c r="BA146" i="4"/>
  <c r="G37" i="19" s="1"/>
  <c r="F37"/>
  <c r="BA148" i="4"/>
  <c r="G39" i="19" s="1"/>
  <c r="F39"/>
  <c r="E47" i="21"/>
  <c r="E46"/>
  <c r="E45"/>
  <c r="E44"/>
  <c r="E43"/>
  <c r="E42"/>
  <c r="E41"/>
  <c r="E40"/>
  <c r="E39"/>
  <c r="E38"/>
  <c r="E37"/>
  <c r="E36"/>
  <c r="E35"/>
  <c r="E34"/>
  <c r="E33"/>
  <c r="E32"/>
  <c r="E31"/>
  <c r="E30"/>
  <c r="E29"/>
  <c r="E28"/>
  <c r="BA144" i="4"/>
  <c r="G35" i="19" s="1"/>
  <c r="F35"/>
  <c r="CE149" i="4"/>
  <c r="BA135"/>
  <c r="G26" i="19" s="1"/>
  <c r="F26"/>
  <c r="BA152" i="4"/>
  <c r="G43" i="19" s="1"/>
  <c r="F43"/>
  <c r="BA141" i="4"/>
  <c r="G32" i="19" s="1"/>
  <c r="F32"/>
  <c r="BA137" i="4"/>
  <c r="G28" i="19" s="1"/>
  <c r="F28"/>
  <c r="CH152" i="4"/>
  <c r="BA147"/>
  <c r="G38" i="19" s="1"/>
  <c r="F38"/>
  <c r="BA151" i="4"/>
  <c r="G42" i="19" s="1"/>
  <c r="F42"/>
  <c r="BC98" i="4"/>
  <c r="I36" i="18" s="1"/>
  <c r="H36"/>
  <c r="BC96" i="4"/>
  <c r="I34" i="18" s="1"/>
  <c r="H34"/>
  <c r="BC63" i="4"/>
  <c r="I37" i="17" s="1"/>
  <c r="H37"/>
  <c r="BC97" i="4"/>
  <c r="I35" i="18" s="1"/>
  <c r="H35"/>
  <c r="BC62" i="4"/>
  <c r="I36" i="17" s="1"/>
  <c r="H36"/>
  <c r="F34" i="22"/>
  <c r="F36"/>
  <c r="F38"/>
  <c r="F40"/>
  <c r="F42"/>
  <c r="F35"/>
  <c r="F37"/>
  <c r="F39"/>
  <c r="F41"/>
  <c r="F33"/>
  <c r="J34" i="13"/>
  <c r="L34"/>
  <c r="U100" i="4"/>
  <c r="I36" i="13" s="1"/>
  <c r="H36"/>
  <c r="U109" i="4"/>
  <c r="I45" i="13" s="1"/>
  <c r="H45"/>
  <c r="U101" i="4"/>
  <c r="I37" i="13" s="1"/>
  <c r="H37"/>
  <c r="U106" i="4"/>
  <c r="I42" i="13" s="1"/>
  <c r="H42"/>
  <c r="U97" i="4"/>
  <c r="I33" i="13" s="1"/>
  <c r="H33"/>
  <c r="U103" i="4"/>
  <c r="I39" i="13" s="1"/>
  <c r="H39"/>
  <c r="U108" i="4"/>
  <c r="I44" i="13" s="1"/>
  <c r="H44"/>
  <c r="U105" i="4"/>
  <c r="I41" i="13" s="1"/>
  <c r="H41"/>
  <c r="U99" i="4"/>
  <c r="I35" i="13" s="1"/>
  <c r="H35"/>
  <c r="AE106" i="4"/>
  <c r="G41" i="13" s="1"/>
  <c r="F41"/>
  <c r="U111" i="4"/>
  <c r="I47" i="13" s="1"/>
  <c r="H47"/>
  <c r="I14"/>
  <c r="U98" i="4"/>
  <c r="I34" i="13" s="1"/>
  <c r="H34"/>
  <c r="G14"/>
  <c r="AK219" i="4"/>
  <c r="L41" i="23" s="1"/>
  <c r="H14" i="13"/>
  <c r="E30"/>
  <c r="E32"/>
  <c r="E34"/>
  <c r="E36"/>
  <c r="E38"/>
  <c r="E40"/>
  <c r="E42"/>
  <c r="E44"/>
  <c r="E46"/>
  <c r="E48"/>
  <c r="E29"/>
  <c r="E31"/>
  <c r="E33"/>
  <c r="E35"/>
  <c r="E37"/>
  <c r="E39"/>
  <c r="E41"/>
  <c r="E43"/>
  <c r="E45"/>
  <c r="E47"/>
  <c r="U73" i="4"/>
  <c r="I49" i="14" s="1"/>
  <c r="H49"/>
  <c r="AE73" i="4"/>
  <c r="G48" i="14" s="1"/>
  <c r="F48"/>
  <c r="AE70" i="4"/>
  <c r="G45" i="14" s="1"/>
  <c r="F45"/>
  <c r="U71" i="4"/>
  <c r="I47" i="14" s="1"/>
  <c r="H47"/>
  <c r="U70" i="4"/>
  <c r="I46" i="14" s="1"/>
  <c r="H46"/>
  <c r="AE238" i="4"/>
  <c r="F44" i="7" s="1"/>
  <c r="E44"/>
  <c r="AE236" i="4"/>
  <c r="F42" i="7" s="1"/>
  <c r="E42"/>
  <c r="AE199" i="4"/>
  <c r="F36" i="12" s="1"/>
  <c r="E36"/>
  <c r="AE200" i="4"/>
  <c r="F37" i="12" s="1"/>
  <c r="E37"/>
  <c r="AE196" i="4"/>
  <c r="F33" i="12" s="1"/>
  <c r="E33"/>
  <c r="AE193" i="4"/>
  <c r="F30" i="12" s="1"/>
  <c r="E30"/>
  <c r="AE205" i="4"/>
  <c r="F42" i="12" s="1"/>
  <c r="E42"/>
  <c r="AE202" i="4"/>
  <c r="F39" i="12" s="1"/>
  <c r="E39"/>
  <c r="AE198" i="4"/>
  <c r="F35" i="12" s="1"/>
  <c r="E35"/>
  <c r="AE209" i="4"/>
  <c r="F46" i="12" s="1"/>
  <c r="E46"/>
  <c r="AE206" i="4"/>
  <c r="F43" i="12" s="1"/>
  <c r="E43"/>
  <c r="U238" i="4"/>
  <c r="H45" i="7" s="1"/>
  <c r="G45"/>
  <c r="U199" i="4"/>
  <c r="H37" i="12" s="1"/>
  <c r="G37"/>
  <c r="U200" i="4"/>
  <c r="H38" i="12" s="1"/>
  <c r="G38"/>
  <c r="U204" i="4"/>
  <c r="H42" i="12" s="1"/>
  <c r="G42"/>
  <c r="AE201" i="4"/>
  <c r="F38" i="12" s="1"/>
  <c r="E38"/>
  <c r="U207" i="4"/>
  <c r="H45" i="12" s="1"/>
  <c r="G45"/>
  <c r="U205" i="4"/>
  <c r="H43" i="12" s="1"/>
  <c r="G43"/>
  <c r="U191" i="4"/>
  <c r="H29" i="12" s="1"/>
  <c r="G29"/>
  <c r="AE237" i="4"/>
  <c r="F43" i="7" s="1"/>
  <c r="E43"/>
  <c r="AE239" i="4"/>
  <c r="F45" i="7" s="1"/>
  <c r="E45"/>
  <c r="E13" i="12"/>
  <c r="D26"/>
  <c r="AE208" i="4"/>
  <c r="F45" i="12" s="1"/>
  <c r="E45"/>
  <c r="AE195" i="4"/>
  <c r="F32" i="12" s="1"/>
  <c r="E32"/>
  <c r="AE207" i="4"/>
  <c r="F44" i="12" s="1"/>
  <c r="E44"/>
  <c r="AE191" i="4"/>
  <c r="F28" i="12" s="1"/>
  <c r="E28"/>
  <c r="AE203" i="4"/>
  <c r="F40" i="12" s="1"/>
  <c r="E40"/>
  <c r="AE204" i="4"/>
  <c r="F41" i="12" s="1"/>
  <c r="E41"/>
  <c r="AE192" i="4"/>
  <c r="F29" i="12" s="1"/>
  <c r="E29"/>
  <c r="AE197" i="4"/>
  <c r="F34" i="12" s="1"/>
  <c r="E34"/>
  <c r="AE194" i="4"/>
  <c r="F31" i="12" s="1"/>
  <c r="E31"/>
  <c r="U203" i="4"/>
  <c r="H41" i="12" s="1"/>
  <c r="G41"/>
  <c r="AE190" i="4"/>
  <c r="F27" i="12" s="1"/>
  <c r="E27"/>
  <c r="U192" i="4"/>
  <c r="H30" i="12" s="1"/>
  <c r="G30"/>
  <c r="U198" i="4"/>
  <c r="H36" i="12" s="1"/>
  <c r="G36"/>
  <c r="AE232" i="4"/>
  <c r="F38" i="7" s="1"/>
  <c r="E38"/>
  <c r="AE224" i="4"/>
  <c r="F30" i="7" s="1"/>
  <c r="E30"/>
  <c r="AE226" i="4"/>
  <c r="F32" i="7" s="1"/>
  <c r="E32"/>
  <c r="AE235" i="4"/>
  <c r="F41" i="7" s="1"/>
  <c r="E41"/>
  <c r="AE223" i="4"/>
  <c r="F29" i="7" s="1"/>
  <c r="E29"/>
  <c r="AE225" i="4"/>
  <c r="F31" i="7" s="1"/>
  <c r="E31"/>
  <c r="AE222" i="4"/>
  <c r="F28" i="7" s="1"/>
  <c r="E28"/>
  <c r="U227" i="4"/>
  <c r="H34" i="7" s="1"/>
  <c r="G34"/>
  <c r="U228" i="4"/>
  <c r="H35" i="7" s="1"/>
  <c r="G35"/>
  <c r="U232" i="4"/>
  <c r="H39" i="7" s="1"/>
  <c r="G39"/>
  <c r="U233" i="4"/>
  <c r="H40" i="7" s="1"/>
  <c r="G40"/>
  <c r="AE227" i="4"/>
  <c r="F33" i="7" s="1"/>
  <c r="E33"/>
  <c r="AE234" i="4"/>
  <c r="F40" i="7" s="1"/>
  <c r="E40"/>
  <c r="AE228" i="4"/>
  <c r="F34" i="7" s="1"/>
  <c r="E34"/>
  <c r="AE231" i="4"/>
  <c r="F37" i="7" s="1"/>
  <c r="E37"/>
  <c r="AE233" i="4"/>
  <c r="F39" i="7" s="1"/>
  <c r="E39"/>
  <c r="AE230" i="4"/>
  <c r="F36" i="7" s="1"/>
  <c r="E36"/>
  <c r="AE229" i="4"/>
  <c r="F35" i="7" s="1"/>
  <c r="E35"/>
  <c r="AE221" i="4"/>
  <c r="F27" i="7" s="1"/>
  <c r="E27"/>
  <c r="U234" i="4"/>
  <c r="H41" i="7" s="1"/>
  <c r="G41"/>
  <c r="U229" i="4"/>
  <c r="H36" i="7" s="1"/>
  <c r="G36"/>
  <c r="U230" i="4"/>
  <c r="H37" i="7" s="1"/>
  <c r="G37"/>
  <c r="B55"/>
  <c r="E55"/>
  <c r="AE64" i="4"/>
  <c r="G39" i="14" s="1"/>
  <c r="AE55" i="4"/>
  <c r="G30" i="14" s="1"/>
  <c r="AE60" i="4"/>
  <c r="G35" i="14" s="1"/>
  <c r="AE67" i="4"/>
  <c r="G42" i="14" s="1"/>
  <c r="AE56" i="4"/>
  <c r="G31" i="14" s="1"/>
  <c r="AE68" i="4"/>
  <c r="G43" i="14" s="1"/>
  <c r="U56" i="4"/>
  <c r="I32" i="14" s="1"/>
  <c r="U68" i="4"/>
  <c r="I44" i="14" s="1"/>
  <c r="AE65" i="4"/>
  <c r="G40" i="14" s="1"/>
  <c r="AE61" i="4"/>
  <c r="G36" i="14" s="1"/>
  <c r="AE62" i="4"/>
  <c r="G37" i="14" s="1"/>
  <c r="AE58" i="4"/>
  <c r="G33" i="14" s="1"/>
  <c r="AE57" i="4"/>
  <c r="G32" i="14" s="1"/>
  <c r="AE59" i="4"/>
  <c r="G34" i="14" s="1"/>
  <c r="AE63" i="4"/>
  <c r="G38" i="14" s="1"/>
  <c r="U66" i="4"/>
  <c r="I42" i="14" s="1"/>
  <c r="U67" i="4"/>
  <c r="I43" i="14" s="1"/>
  <c r="U63" i="4"/>
  <c r="I39" i="14" s="1"/>
  <c r="G57" i="4"/>
  <c r="L40" i="14" s="1"/>
  <c r="L45" s="1"/>
  <c r="U64" i="4"/>
  <c r="I40" i="14" s="1"/>
  <c r="AT6" i="3"/>
  <c r="BS94" i="4" s="1"/>
  <c r="T57"/>
  <c r="H33" i="14" s="1"/>
  <c r="AY19" i="3"/>
  <c r="D50" i="12" s="1"/>
  <c r="Y180" i="4"/>
  <c r="AB180" s="1"/>
  <c r="AC180" s="1"/>
  <c r="AD180" s="1"/>
  <c r="AE180" s="1"/>
  <c r="T210"/>
  <c r="S160"/>
  <c r="T160" s="1"/>
  <c r="AF160" s="1"/>
  <c r="P220"/>
  <c r="T201"/>
  <c r="Y166"/>
  <c r="AB166" s="1"/>
  <c r="AC166" s="1"/>
  <c r="AD166" s="1"/>
  <c r="AE166" s="1"/>
  <c r="Y175"/>
  <c r="AB175" s="1"/>
  <c r="AC175" s="1"/>
  <c r="AD175" s="1"/>
  <c r="AE175" s="1"/>
  <c r="CA145"/>
  <c r="S164"/>
  <c r="T164" s="1"/>
  <c r="T179"/>
  <c r="N132"/>
  <c r="CM178" s="1"/>
  <c r="T202"/>
  <c r="T102"/>
  <c r="T194"/>
  <c r="S169"/>
  <c r="T169" s="1"/>
  <c r="U169" s="1"/>
  <c r="I39" i="8" s="1"/>
  <c r="G96" i="4"/>
  <c r="T195"/>
  <c r="AC161"/>
  <c r="AD161" s="1"/>
  <c r="AE161" s="1"/>
  <c r="T235"/>
  <c r="Y162"/>
  <c r="AB162" s="1"/>
  <c r="AC162" s="1"/>
  <c r="AD162" s="1"/>
  <c r="AE162" s="1"/>
  <c r="Y160"/>
  <c r="AB160" s="1"/>
  <c r="AC160" s="1"/>
  <c r="AD160" s="1"/>
  <c r="AE160" s="1"/>
  <c r="CD148"/>
  <c r="BA149"/>
  <c r="G40" i="19" s="1"/>
  <c r="BB64" i="4"/>
  <c r="T65"/>
  <c r="H41" i="14" s="1"/>
  <c r="X127" i="4"/>
  <c r="AB127" s="1"/>
  <c r="AC127" s="1"/>
  <c r="AD127" s="1"/>
  <c r="Y178"/>
  <c r="AB178" s="1"/>
  <c r="AC178" s="1"/>
  <c r="AD178" s="1"/>
  <c r="AE178" s="1"/>
  <c r="Y177"/>
  <c r="AB177" s="1"/>
  <c r="AC177" s="1"/>
  <c r="AD177" s="1"/>
  <c r="AE177" s="1"/>
  <c r="T209"/>
  <c r="T212"/>
  <c r="Y169"/>
  <c r="AB169" s="1"/>
  <c r="AC169" s="1"/>
  <c r="AD169" s="1"/>
  <c r="AE169" s="1"/>
  <c r="Y168"/>
  <c r="AB168" s="1"/>
  <c r="AC168" s="1"/>
  <c r="AD168" s="1"/>
  <c r="AE168" s="1"/>
  <c r="Y183"/>
  <c r="AB183" s="1"/>
  <c r="AC183" s="1"/>
  <c r="AD183" s="1"/>
  <c r="AE183" s="1"/>
  <c r="S165"/>
  <c r="T165" s="1"/>
  <c r="T175"/>
  <c r="S174"/>
  <c r="T174" s="1"/>
  <c r="T80"/>
  <c r="S178"/>
  <c r="T178" s="1"/>
  <c r="T176"/>
  <c r="X126"/>
  <c r="AB126" s="1"/>
  <c r="AC126" s="1"/>
  <c r="AD126" s="1"/>
  <c r="Y170"/>
  <c r="AB170" s="1"/>
  <c r="AC170" s="1"/>
  <c r="AD170" s="1"/>
  <c r="AE170" s="1"/>
  <c r="Y176"/>
  <c r="AB176" s="1"/>
  <c r="AC176" s="1"/>
  <c r="AD176" s="1"/>
  <c r="AE176" s="1"/>
  <c r="Y179"/>
  <c r="AB179" s="1"/>
  <c r="AC179" s="1"/>
  <c r="AD179" s="1"/>
  <c r="AE179" s="1"/>
  <c r="Y167"/>
  <c r="AB167" s="1"/>
  <c r="AC167" s="1"/>
  <c r="AD167" s="1"/>
  <c r="AE167" s="1"/>
  <c r="Y165"/>
  <c r="AB165" s="1"/>
  <c r="Y173"/>
  <c r="AB173" s="1"/>
  <c r="AC173" s="1"/>
  <c r="AD173" s="1"/>
  <c r="AE173" s="1"/>
  <c r="Y181"/>
  <c r="AB181" s="1"/>
  <c r="AC181" s="1"/>
  <c r="AD181" s="1"/>
  <c r="AE181" s="1"/>
  <c r="Y164"/>
  <c r="AB164" s="1"/>
  <c r="AC164" s="1"/>
  <c r="AD164" s="1"/>
  <c r="AE164" s="1"/>
  <c r="Y172"/>
  <c r="AB172" s="1"/>
  <c r="AC172" s="1"/>
  <c r="AD172" s="1"/>
  <c r="AE172" s="1"/>
  <c r="Y182"/>
  <c r="AB182" s="1"/>
  <c r="AC182" s="1"/>
  <c r="AD182" s="1"/>
  <c r="AE182" s="1"/>
  <c r="Y171"/>
  <c r="AB171" s="1"/>
  <c r="AC171" s="1"/>
  <c r="AD171" s="1"/>
  <c r="AE171" s="1"/>
  <c r="Y163"/>
  <c r="AB163" s="1"/>
  <c r="AC163" s="1"/>
  <c r="AD163" s="1"/>
  <c r="AE163" s="1"/>
  <c r="Y174"/>
  <c r="AB174" s="1"/>
  <c r="AC174" s="1"/>
  <c r="AD174" s="1"/>
  <c r="AE174" s="1"/>
  <c r="S180"/>
  <c r="T180" s="1"/>
  <c r="S162"/>
  <c r="T162" s="1"/>
  <c r="AC165"/>
  <c r="AD165" s="1"/>
  <c r="AE165" s="1"/>
  <c r="T196"/>
  <c r="T112"/>
  <c r="T177"/>
  <c r="S172"/>
  <c r="T172" s="1"/>
  <c r="S161"/>
  <c r="T161" s="1"/>
  <c r="S168"/>
  <c r="T168" s="1"/>
  <c r="BM96"/>
  <c r="G33" i="18" s="1"/>
  <c r="BM116" i="4"/>
  <c r="G53" i="18" s="1"/>
  <c r="BM76" i="4"/>
  <c r="G49" i="17" s="1"/>
  <c r="BM101" i="4"/>
  <c r="G38" i="18" s="1"/>
  <c r="BM117" i="4"/>
  <c r="G54" i="18" s="1"/>
  <c r="BM112" i="4"/>
  <c r="G49" i="18" s="1"/>
  <c r="BM103" i="4"/>
  <c r="G40" i="18" s="1"/>
  <c r="BM73" i="4"/>
  <c r="G46" i="17" s="1"/>
  <c r="BM95" i="4"/>
  <c r="G32" i="18" s="1"/>
  <c r="BM69" i="4"/>
  <c r="G42" i="17" s="1"/>
  <c r="BM64" i="4"/>
  <c r="G37" i="17" s="1"/>
  <c r="BM79" i="4"/>
  <c r="G52" i="17" s="1"/>
  <c r="BM108" i="4"/>
  <c r="G45" i="18" s="1"/>
  <c r="BM111" i="4"/>
  <c r="G48" i="18" s="1"/>
  <c r="BM99" i="4"/>
  <c r="G36" i="18" s="1"/>
  <c r="BM115" i="4"/>
  <c r="G52" i="18" s="1"/>
  <c r="BM109" i="4"/>
  <c r="G46" i="18" s="1"/>
  <c r="BM102" i="4"/>
  <c r="G39" i="18" s="1"/>
  <c r="BM70" i="4"/>
  <c r="G43" i="17" s="1"/>
  <c r="BM78" i="4"/>
  <c r="G51" i="17" s="1"/>
  <c r="BM66" i="4"/>
  <c r="G39" i="17" s="1"/>
  <c r="BM63" i="4"/>
  <c r="G36" i="17" s="1"/>
  <c r="BM62" i="4"/>
  <c r="G35" i="17" s="1"/>
  <c r="AD81" i="4"/>
  <c r="AD79"/>
  <c r="AD82"/>
  <c r="BM77"/>
  <c r="G50" i="17" s="1"/>
  <c r="BM98" i="4"/>
  <c r="G35" i="18" s="1"/>
  <c r="BM110" i="4"/>
  <c r="G47" i="18" s="1"/>
  <c r="BM72" i="4"/>
  <c r="G45" i="17" s="1"/>
  <c r="BM114" i="4"/>
  <c r="G51" i="18" s="1"/>
  <c r="BM106" i="4"/>
  <c r="G43" i="18" s="1"/>
  <c r="BM100" i="4"/>
  <c r="G37" i="18" s="1"/>
  <c r="BM68" i="4"/>
  <c r="G41" i="17" s="1"/>
  <c r="BM75" i="4"/>
  <c r="G48" i="17" s="1"/>
  <c r="BM60" i="4"/>
  <c r="G33" i="17" s="1"/>
  <c r="BM107" i="4"/>
  <c r="G44" i="18" s="1"/>
  <c r="BM71" i="4"/>
  <c r="G44" i="17" s="1"/>
  <c r="BM94" i="4"/>
  <c r="G31" i="18" s="1"/>
  <c r="BM104" i="4"/>
  <c r="G41" i="18" s="1"/>
  <c r="BM118" i="4"/>
  <c r="G55" i="18" s="1"/>
  <c r="BM113" i="4"/>
  <c r="G50" i="18" s="1"/>
  <c r="BM105" i="4"/>
  <c r="G42" i="18" s="1"/>
  <c r="BM97" i="4"/>
  <c r="G34" i="18" s="1"/>
  <c r="BM67" i="4"/>
  <c r="G40" i="17" s="1"/>
  <c r="BM74" i="4"/>
  <c r="G47" i="17" s="1"/>
  <c r="BM65" i="4"/>
  <c r="G38" i="17" s="1"/>
  <c r="BM61" i="4"/>
  <c r="G34" i="17" s="1"/>
  <c r="AD69" i="4"/>
  <c r="F44" i="14" s="1"/>
  <c r="AD80" i="4"/>
  <c r="AD72"/>
  <c r="AD85"/>
  <c r="AD71"/>
  <c r="AD77"/>
  <c r="AD74"/>
  <c r="AD66"/>
  <c r="F41" i="14" s="1"/>
  <c r="T237" i="4"/>
  <c r="T61"/>
  <c r="H37" i="14" s="1"/>
  <c r="T223" i="4"/>
  <c r="S170"/>
  <c r="T170" s="1"/>
  <c r="S182"/>
  <c r="T182" s="1"/>
  <c r="S167"/>
  <c r="T167" s="1"/>
  <c r="X120"/>
  <c r="AB120" s="1"/>
  <c r="AC120" s="1"/>
  <c r="AD120" s="1"/>
  <c r="X98"/>
  <c r="AB98" s="1"/>
  <c r="AC98" s="1"/>
  <c r="AD98" s="1"/>
  <c r="X111"/>
  <c r="AB111" s="1"/>
  <c r="AC111" s="1"/>
  <c r="AD111" s="1"/>
  <c r="X123"/>
  <c r="AB123" s="1"/>
  <c r="AC123" s="1"/>
  <c r="AD123" s="1"/>
  <c r="X101"/>
  <c r="AB101" s="1"/>
  <c r="AC101" s="1"/>
  <c r="AD101" s="1"/>
  <c r="T181"/>
  <c r="T58"/>
  <c r="H34" i="14" s="1"/>
  <c r="X97" i="4"/>
  <c r="AB97" s="1"/>
  <c r="AC97" s="1"/>
  <c r="AD97" s="1"/>
  <c r="T236"/>
  <c r="BT137"/>
  <c r="BT130" s="1"/>
  <c r="T96"/>
  <c r="T60"/>
  <c r="H36" i="14" s="1"/>
  <c r="T72" i="4"/>
  <c r="T83"/>
  <c r="X116"/>
  <c r="AB116" s="1"/>
  <c r="AC116" s="1"/>
  <c r="AD116" s="1"/>
  <c r="X119"/>
  <c r="AB119" s="1"/>
  <c r="AC119" s="1"/>
  <c r="AD119" s="1"/>
  <c r="X112"/>
  <c r="AB112" s="1"/>
  <c r="AC112" s="1"/>
  <c r="AD112" s="1"/>
  <c r="X121"/>
  <c r="AB121" s="1"/>
  <c r="AC121" s="1"/>
  <c r="AD121" s="1"/>
  <c r="X104"/>
  <c r="AB104" s="1"/>
  <c r="AC104" s="1"/>
  <c r="AD104" s="1"/>
  <c r="X109"/>
  <c r="AB109" s="1"/>
  <c r="AC109" s="1"/>
  <c r="AD109" s="1"/>
  <c r="X107"/>
  <c r="AB107" s="1"/>
  <c r="AC107" s="1"/>
  <c r="AD107" s="1"/>
  <c r="T59"/>
  <c r="H35" i="14" s="1"/>
  <c r="X125" i="4"/>
  <c r="AB125" s="1"/>
  <c r="AC125" s="1"/>
  <c r="AD125" s="1"/>
  <c r="T173"/>
  <c r="T69"/>
  <c r="P188"/>
  <c r="T77"/>
  <c r="T197"/>
  <c r="T226"/>
  <c r="T231"/>
  <c r="T125"/>
  <c r="T55"/>
  <c r="U55" s="1"/>
  <c r="AZ17" i="3"/>
  <c r="K12" i="8" s="1"/>
  <c r="BV163" i="4"/>
  <c r="BZ163"/>
  <c r="CD163"/>
  <c r="BW163"/>
  <c r="CE163"/>
  <c r="BY163"/>
  <c r="BX163"/>
  <c r="CF163"/>
  <c r="BU163"/>
  <c r="BT163"/>
  <c r="CB163"/>
  <c r="CA163"/>
  <c r="CC163"/>
  <c r="X100"/>
  <c r="AB100" s="1"/>
  <c r="AC100" s="1"/>
  <c r="AD100" s="1"/>
  <c r="X96"/>
  <c r="AB96" s="1"/>
  <c r="AC96" s="1"/>
  <c r="AD96" s="1"/>
  <c r="X108"/>
  <c r="AB108" s="1"/>
  <c r="AC108" s="1"/>
  <c r="AD108" s="1"/>
  <c r="X113"/>
  <c r="AB113" s="1"/>
  <c r="AC113" s="1"/>
  <c r="AD113" s="1"/>
  <c r="X115"/>
  <c r="AB115" s="1"/>
  <c r="AC115" s="1"/>
  <c r="AD115" s="1"/>
  <c r="X102"/>
  <c r="AB102" s="1"/>
  <c r="AC102" s="1"/>
  <c r="AD102" s="1"/>
  <c r="X99"/>
  <c r="AB99" s="1"/>
  <c r="AC99" s="1"/>
  <c r="AD99" s="1"/>
  <c r="X122"/>
  <c r="AB122" s="1"/>
  <c r="AC122" s="1"/>
  <c r="AD122" s="1"/>
  <c r="X124"/>
  <c r="AB124" s="1"/>
  <c r="AC124" s="1"/>
  <c r="AD124" s="1"/>
  <c r="X94"/>
  <c r="AB94" s="1"/>
  <c r="AC94" s="1"/>
  <c r="AD94" s="1"/>
  <c r="X103"/>
  <c r="AB103" s="1"/>
  <c r="AC103" s="1"/>
  <c r="AD103" s="1"/>
  <c r="X117"/>
  <c r="AB117" s="1"/>
  <c r="AC117" s="1"/>
  <c r="AD117" s="1"/>
  <c r="X110"/>
  <c r="AB110" s="1"/>
  <c r="AC110" s="1"/>
  <c r="AD110" s="1"/>
  <c r="X95"/>
  <c r="AB95" s="1"/>
  <c r="AC95" s="1"/>
  <c r="AD95" s="1"/>
  <c r="X114"/>
  <c r="AB114" s="1"/>
  <c r="AC114" s="1"/>
  <c r="AD114" s="1"/>
  <c r="X118"/>
  <c r="AB118" s="1"/>
  <c r="AC118" s="1"/>
  <c r="AD118" s="1"/>
  <c r="X105"/>
  <c r="AB105" s="1"/>
  <c r="AC105" s="1"/>
  <c r="AD105" s="1"/>
  <c r="BU164"/>
  <c r="BY164"/>
  <c r="CC164"/>
  <c r="BU165"/>
  <c r="BY165"/>
  <c r="CC165"/>
  <c r="BU166"/>
  <c r="BY166"/>
  <c r="CC166"/>
  <c r="BT167"/>
  <c r="BX167"/>
  <c r="CB167"/>
  <c r="CF167"/>
  <c r="BW168"/>
  <c r="CA168"/>
  <c r="CE168"/>
  <c r="BV169"/>
  <c r="BZ169"/>
  <c r="CD169"/>
  <c r="BT170"/>
  <c r="BX170"/>
  <c r="CB170"/>
  <c r="CF170"/>
  <c r="BW171"/>
  <c r="CA171"/>
  <c r="CE171"/>
  <c r="BW172"/>
  <c r="CA172"/>
  <c r="CE172"/>
  <c r="BW173"/>
  <c r="CA173"/>
  <c r="CE173"/>
  <c r="BY174"/>
  <c r="CC174"/>
  <c r="BX175"/>
  <c r="CB175"/>
  <c r="CF175"/>
  <c r="CA176"/>
  <c r="CE176"/>
  <c r="CB177"/>
  <c r="CF177"/>
  <c r="CB178"/>
  <c r="CF178"/>
  <c r="CD179"/>
  <c r="CC180"/>
  <c r="CD181"/>
  <c r="CE182"/>
  <c r="BT164"/>
  <c r="CB164"/>
  <c r="BT165"/>
  <c r="CB165"/>
  <c r="BV166"/>
  <c r="CD166"/>
  <c r="CA167"/>
  <c r="BV168"/>
  <c r="CD168"/>
  <c r="CA169"/>
  <c r="BW170"/>
  <c r="CE170"/>
  <c r="BZ171"/>
  <c r="BT172"/>
  <c r="CB172"/>
  <c r="BV173"/>
  <c r="CD173"/>
  <c r="BZ174"/>
  <c r="BY175"/>
  <c r="BZ176"/>
  <c r="CA177"/>
  <c r="CC178"/>
  <c r="CD180"/>
  <c r="CA164"/>
  <c r="BW165"/>
  <c r="CE165"/>
  <c r="CA166"/>
  <c r="BV167"/>
  <c r="CD167"/>
  <c r="BY168"/>
  <c r="BT169"/>
  <c r="CB169"/>
  <c r="BV170"/>
  <c r="CD170"/>
  <c r="BY171"/>
  <c r="BU172"/>
  <c r="CC172"/>
  <c r="BY173"/>
  <c r="BW174"/>
  <c r="CE174"/>
  <c r="CD175"/>
  <c r="CC176"/>
  <c r="CD177"/>
  <c r="CD178"/>
  <c r="CF179"/>
  <c r="CF181"/>
  <c r="BX164"/>
  <c r="BX165"/>
  <c r="BZ166"/>
  <c r="CE167"/>
  <c r="BW169"/>
  <c r="CA170"/>
  <c r="CD171"/>
  <c r="CF172"/>
  <c r="BV174"/>
  <c r="CC175"/>
  <c r="CE177"/>
  <c r="CC181"/>
  <c r="BV164"/>
  <c r="CD164"/>
  <c r="BZ165"/>
  <c r="BT166"/>
  <c r="CB166"/>
  <c r="BU167"/>
  <c r="CC167"/>
  <c r="BX168"/>
  <c r="CF168"/>
  <c r="BY169"/>
  <c r="BU170"/>
  <c r="CC170"/>
  <c r="BX171"/>
  <c r="CF171"/>
  <c r="BZ172"/>
  <c r="BX173"/>
  <c r="CF173"/>
  <c r="CB174"/>
  <c r="BW175"/>
  <c r="CE175"/>
  <c r="CB176"/>
  <c r="BY177"/>
  <c r="CA178"/>
  <c r="CA179"/>
  <c r="CB180"/>
  <c r="CE181"/>
  <c r="CE183"/>
  <c r="BW164"/>
  <c r="CE164"/>
  <c r="CA165"/>
  <c r="BW166"/>
  <c r="CE166"/>
  <c r="BZ167"/>
  <c r="BU168"/>
  <c r="CC168"/>
  <c r="BX169"/>
  <c r="CF169"/>
  <c r="BZ170"/>
  <c r="BU171"/>
  <c r="CC171"/>
  <c r="BU173"/>
  <c r="CA174"/>
  <c r="BY176"/>
  <c r="BZ178"/>
  <c r="CE180"/>
  <c r="CF164"/>
  <c r="BW167"/>
  <c r="CE169"/>
  <c r="BX172"/>
  <c r="CD174"/>
  <c r="CC179"/>
  <c r="BZ164"/>
  <c r="CD165"/>
  <c r="CF166"/>
  <c r="BT168"/>
  <c r="BU169"/>
  <c r="BY170"/>
  <c r="CB171"/>
  <c r="CD172"/>
  <c r="BX174"/>
  <c r="CA175"/>
  <c r="CF176"/>
  <c r="CE178"/>
  <c r="CF180"/>
  <c r="CF184"/>
  <c r="BY172"/>
  <c r="CC173"/>
  <c r="BZ175"/>
  <c r="BZ177"/>
  <c r="CB179"/>
  <c r="CF183"/>
  <c r="CF165"/>
  <c r="BZ168"/>
  <c r="BV171"/>
  <c r="BZ173"/>
  <c r="CD176"/>
  <c r="CF182"/>
  <c r="BV165"/>
  <c r="BX166"/>
  <c r="BY167"/>
  <c r="CB168"/>
  <c r="CC169"/>
  <c r="BT171"/>
  <c r="BV172"/>
  <c r="CB173"/>
  <c r="CF174"/>
  <c r="BX176"/>
  <c r="CC177"/>
  <c r="CE179"/>
  <c r="CD182"/>
  <c r="AZ66"/>
  <c r="AS66" s="1"/>
  <c r="AT66" s="1"/>
  <c r="T123"/>
  <c r="T82"/>
  <c r="T224"/>
  <c r="T208"/>
  <c r="T107"/>
  <c r="T193"/>
  <c r="T62"/>
  <c r="H38" i="14" s="1"/>
  <c r="T110" i="4"/>
  <c r="T225"/>
  <c r="T222"/>
  <c r="T183"/>
  <c r="U183" s="1"/>
  <c r="T115"/>
  <c r="T95"/>
  <c r="T104"/>
  <c r="T119"/>
  <c r="U171"/>
  <c r="I41" i="8" s="1"/>
  <c r="BZ73" i="4"/>
  <c r="AF166"/>
  <c r="BU68"/>
  <c r="CC76"/>
  <c r="BR65"/>
  <c r="BW70"/>
  <c r="CE78"/>
  <c r="BT67"/>
  <c r="CO88"/>
  <c r="CK84"/>
  <c r="CB75"/>
  <c r="CM86"/>
  <c r="CJ83"/>
  <c r="BA65"/>
  <c r="BB65" s="1"/>
  <c r="CN87"/>
  <c r="BS95"/>
  <c r="BU95"/>
  <c r="BW95"/>
  <c r="BY95"/>
  <c r="CA95"/>
  <c r="CC95"/>
  <c r="CE95"/>
  <c r="CG95"/>
  <c r="CI95"/>
  <c r="CK95"/>
  <c r="BR96"/>
  <c r="BT96"/>
  <c r="BV96"/>
  <c r="BX96"/>
  <c r="BZ96"/>
  <c r="BR95"/>
  <c r="BV95"/>
  <c r="BZ95"/>
  <c r="CD95"/>
  <c r="CH95"/>
  <c r="CL95"/>
  <c r="BS96"/>
  <c r="BW96"/>
  <c r="CA96"/>
  <c r="CC96"/>
  <c r="CE96"/>
  <c r="CG96"/>
  <c r="CI96"/>
  <c r="CK96"/>
  <c r="BS97"/>
  <c r="BU97"/>
  <c r="BW97"/>
  <c r="BY97"/>
  <c r="CA97"/>
  <c r="CC97"/>
  <c r="CE97"/>
  <c r="CG97"/>
  <c r="CI97"/>
  <c r="CK97"/>
  <c r="BR98"/>
  <c r="BT98"/>
  <c r="BV98"/>
  <c r="BX98"/>
  <c r="BZ98"/>
  <c r="CB98"/>
  <c r="CD98"/>
  <c r="CF98"/>
  <c r="CH98"/>
  <c r="CJ98"/>
  <c r="CL98"/>
  <c r="BS99"/>
  <c r="BU99"/>
  <c r="BW99"/>
  <c r="BY99"/>
  <c r="CA99"/>
  <c r="CC99"/>
  <c r="CE99"/>
  <c r="CG99"/>
  <c r="CI99"/>
  <c r="CK99"/>
  <c r="BS100"/>
  <c r="BU100"/>
  <c r="BW100"/>
  <c r="BY100"/>
  <c r="CA100"/>
  <c r="CC100"/>
  <c r="CE100"/>
  <c r="CG100"/>
  <c r="CI100"/>
  <c r="CK100"/>
  <c r="BR101"/>
  <c r="BT101"/>
  <c r="BV101"/>
  <c r="BX101"/>
  <c r="BZ101"/>
  <c r="CB101"/>
  <c r="CD101"/>
  <c r="CF101"/>
  <c r="CH101"/>
  <c r="CJ101"/>
  <c r="CL101"/>
  <c r="BS102"/>
  <c r="BU102"/>
  <c r="BW102"/>
  <c r="BY102"/>
  <c r="CA102"/>
  <c r="CC102"/>
  <c r="CE102"/>
  <c r="CG102"/>
  <c r="CI102"/>
  <c r="CK102"/>
  <c r="BR103"/>
  <c r="BT103"/>
  <c r="BV103"/>
  <c r="BX103"/>
  <c r="BZ103"/>
  <c r="CB103"/>
  <c r="CD103"/>
  <c r="CF103"/>
  <c r="CH103"/>
  <c r="CJ103"/>
  <c r="CL103"/>
  <c r="BR104"/>
  <c r="BT104"/>
  <c r="BV104"/>
  <c r="BX104"/>
  <c r="BZ104"/>
  <c r="CB104"/>
  <c r="CD104"/>
  <c r="CF104"/>
  <c r="CH104"/>
  <c r="CJ104"/>
  <c r="CL104"/>
  <c r="BS105"/>
  <c r="BU105"/>
  <c r="BW105"/>
  <c r="BY105"/>
  <c r="CA105"/>
  <c r="CC105"/>
  <c r="CE105"/>
  <c r="CG105"/>
  <c r="CI105"/>
  <c r="CK105"/>
  <c r="BS106"/>
  <c r="BU106"/>
  <c r="BW106"/>
  <c r="BY106"/>
  <c r="CA106"/>
  <c r="CC106"/>
  <c r="CE106"/>
  <c r="CG106"/>
  <c r="CI106"/>
  <c r="CK106"/>
  <c r="BR107"/>
  <c r="BT107"/>
  <c r="BV107"/>
  <c r="BX107"/>
  <c r="BZ107"/>
  <c r="CB107"/>
  <c r="CD107"/>
  <c r="CF107"/>
  <c r="CH107"/>
  <c r="CJ107"/>
  <c r="CL107"/>
  <c r="BR108"/>
  <c r="BT108"/>
  <c r="BV108"/>
  <c r="BX108"/>
  <c r="BZ108"/>
  <c r="CB108"/>
  <c r="CD108"/>
  <c r="CF108"/>
  <c r="CH108"/>
  <c r="CJ108"/>
  <c r="CL108"/>
  <c r="BS109"/>
  <c r="BU109"/>
  <c r="BW109"/>
  <c r="BY109"/>
  <c r="CA109"/>
  <c r="CC109"/>
  <c r="CE109"/>
  <c r="CG109"/>
  <c r="CI109"/>
  <c r="CK109"/>
  <c r="BU110"/>
  <c r="BW110"/>
  <c r="BY110"/>
  <c r="CA110"/>
  <c r="CC110"/>
  <c r="CE110"/>
  <c r="CG110"/>
  <c r="CI110"/>
  <c r="CK110"/>
  <c r="BV111"/>
  <c r="BX111"/>
  <c r="BZ111"/>
  <c r="CB111"/>
  <c r="CD111"/>
  <c r="CF111"/>
  <c r="CH111"/>
  <c r="CJ111"/>
  <c r="CL111"/>
  <c r="BW112"/>
  <c r="BY112"/>
  <c r="CA112"/>
  <c r="CC112"/>
  <c r="CE112"/>
  <c r="CG112"/>
  <c r="CI112"/>
  <c r="CK112"/>
  <c r="BX113"/>
  <c r="BZ113"/>
  <c r="CB113"/>
  <c r="CD113"/>
  <c r="CF113"/>
  <c r="CH113"/>
  <c r="CJ113"/>
  <c r="CL113"/>
  <c r="BX114"/>
  <c r="BZ114"/>
  <c r="CB114"/>
  <c r="CD114"/>
  <c r="CF114"/>
  <c r="CH114"/>
  <c r="CJ114"/>
  <c r="CL114"/>
  <c r="BY115"/>
  <c r="CA115"/>
  <c r="CC115"/>
  <c r="CE115"/>
  <c r="CG115"/>
  <c r="CI115"/>
  <c r="CK115"/>
  <c r="CA116"/>
  <c r="CC116"/>
  <c r="CE116"/>
  <c r="CG116"/>
  <c r="CI116"/>
  <c r="CK116"/>
  <c r="CA117"/>
  <c r="CC117"/>
  <c r="CE117"/>
  <c r="CG117"/>
  <c r="CI117"/>
  <c r="CK117"/>
  <c r="CC118"/>
  <c r="CE118"/>
  <c r="CG118"/>
  <c r="CI118"/>
  <c r="CK118"/>
  <c r="CC119"/>
  <c r="CE119"/>
  <c r="CG119"/>
  <c r="CI119"/>
  <c r="CK119"/>
  <c r="CD120"/>
  <c r="CF120"/>
  <c r="CH120"/>
  <c r="CJ120"/>
  <c r="CL120"/>
  <c r="CE121"/>
  <c r="CG121"/>
  <c r="CI121"/>
  <c r="CK121"/>
  <c r="CF122"/>
  <c r="CH122"/>
  <c r="CJ122"/>
  <c r="CL122"/>
  <c r="CG123"/>
  <c r="CI123"/>
  <c r="CK123"/>
  <c r="CH124"/>
  <c r="CJ124"/>
  <c r="CL124"/>
  <c r="CJ125"/>
  <c r="CL125"/>
  <c r="CK126"/>
  <c r="CK127"/>
  <c r="CL128"/>
  <c r="BX95"/>
  <c r="CF95"/>
  <c r="BU96"/>
  <c r="CB96"/>
  <c r="CF96"/>
  <c r="CJ96"/>
  <c r="BR97"/>
  <c r="BV97"/>
  <c r="BZ97"/>
  <c r="CD97"/>
  <c r="CH97"/>
  <c r="CL97"/>
  <c r="BS98"/>
  <c r="BW98"/>
  <c r="CA98"/>
  <c r="CE98"/>
  <c r="CI98"/>
  <c r="BT99"/>
  <c r="BX99"/>
  <c r="CB99"/>
  <c r="CF99"/>
  <c r="CJ99"/>
  <c r="BT100"/>
  <c r="BX100"/>
  <c r="CB100"/>
  <c r="CF100"/>
  <c r="CJ100"/>
  <c r="BS101"/>
  <c r="BW101"/>
  <c r="CA101"/>
  <c r="CE101"/>
  <c r="CI101"/>
  <c r="BT102"/>
  <c r="BX102"/>
  <c r="CB102"/>
  <c r="CF102"/>
  <c r="CJ102"/>
  <c r="BU103"/>
  <c r="BY103"/>
  <c r="CC103"/>
  <c r="CG103"/>
  <c r="CK103"/>
  <c r="BU104"/>
  <c r="BY104"/>
  <c r="CC104"/>
  <c r="CG104"/>
  <c r="CK104"/>
  <c r="BT105"/>
  <c r="BX105"/>
  <c r="CB105"/>
  <c r="CF105"/>
  <c r="CJ105"/>
  <c r="BT106"/>
  <c r="BX106"/>
  <c r="CB106"/>
  <c r="CF106"/>
  <c r="CJ106"/>
  <c r="BS107"/>
  <c r="BW107"/>
  <c r="CA107"/>
  <c r="CE107"/>
  <c r="CI107"/>
  <c r="BU108"/>
  <c r="BY108"/>
  <c r="CC108"/>
  <c r="CG108"/>
  <c r="CK108"/>
  <c r="BT109"/>
  <c r="BX109"/>
  <c r="CB109"/>
  <c r="CF109"/>
  <c r="CJ109"/>
  <c r="BV110"/>
  <c r="BZ110"/>
  <c r="CD110"/>
  <c r="CH110"/>
  <c r="CL110"/>
  <c r="BW111"/>
  <c r="CA111"/>
  <c r="CE111"/>
  <c r="CI111"/>
  <c r="BX112"/>
  <c r="CB112"/>
  <c r="CF112"/>
  <c r="CJ112"/>
  <c r="BW113"/>
  <c r="CA113"/>
  <c r="CE113"/>
  <c r="CI113"/>
  <c r="CA114"/>
  <c r="CE114"/>
  <c r="CI114"/>
  <c r="CB115"/>
  <c r="CF115"/>
  <c r="CJ115"/>
  <c r="BZ116"/>
  <c r="CD116"/>
  <c r="CH116"/>
  <c r="CL116"/>
  <c r="CD117"/>
  <c r="CH117"/>
  <c r="CL117"/>
  <c r="CD118"/>
  <c r="CH118"/>
  <c r="CL118"/>
  <c r="CD119"/>
  <c r="CH119"/>
  <c r="CL119"/>
  <c r="CE120"/>
  <c r="CI120"/>
  <c r="CH121"/>
  <c r="CL121"/>
  <c r="CI122"/>
  <c r="CH123"/>
  <c r="CL123"/>
  <c r="CI124"/>
  <c r="CI125"/>
  <c r="CL126"/>
  <c r="CL127"/>
  <c r="BT95"/>
  <c r="CJ95"/>
  <c r="BY96"/>
  <c r="CH96"/>
  <c r="BT97"/>
  <c r="CB97"/>
  <c r="CJ97"/>
  <c r="BY98"/>
  <c r="CG98"/>
  <c r="BR99"/>
  <c r="BZ99"/>
  <c r="CH99"/>
  <c r="BV100"/>
  <c r="CD100"/>
  <c r="CL100"/>
  <c r="BU101"/>
  <c r="CC101"/>
  <c r="CK101"/>
  <c r="BR102"/>
  <c r="BZ102"/>
  <c r="CH102"/>
  <c r="BS103"/>
  <c r="CA103"/>
  <c r="CI103"/>
  <c r="BW104"/>
  <c r="CE104"/>
  <c r="BV105"/>
  <c r="CD105"/>
  <c r="CL105"/>
  <c r="BR106"/>
  <c r="BZ106"/>
  <c r="CH106"/>
  <c r="BU107"/>
  <c r="CC107"/>
  <c r="CK107"/>
  <c r="BW108"/>
  <c r="CE108"/>
  <c r="BZ109"/>
  <c r="CH109"/>
  <c r="BT110"/>
  <c r="CB110"/>
  <c r="CJ110"/>
  <c r="BY111"/>
  <c r="CG111"/>
  <c r="BV112"/>
  <c r="CD112"/>
  <c r="CL112"/>
  <c r="CC113"/>
  <c r="CK113"/>
  <c r="CC114"/>
  <c r="CK114"/>
  <c r="CD115"/>
  <c r="CL115"/>
  <c r="CF116"/>
  <c r="CF117"/>
  <c r="CF118"/>
  <c r="CF119"/>
  <c r="CG120"/>
  <c r="CJ121"/>
  <c r="CK122"/>
  <c r="CK124"/>
  <c r="CB95"/>
  <c r="CD96"/>
  <c r="CL96"/>
  <c r="BX97"/>
  <c r="CF97"/>
  <c r="BU98"/>
  <c r="CC98"/>
  <c r="CK98"/>
  <c r="BV99"/>
  <c r="CD99"/>
  <c r="CL99"/>
  <c r="BR100"/>
  <c r="BZ100"/>
  <c r="CH100"/>
  <c r="BY101"/>
  <c r="CG101"/>
  <c r="BV102"/>
  <c r="CD102"/>
  <c r="CL102"/>
  <c r="BW103"/>
  <c r="CE103"/>
  <c r="BS104"/>
  <c r="CA104"/>
  <c r="CI104"/>
  <c r="BR105"/>
  <c r="BZ105"/>
  <c r="CH105"/>
  <c r="BV106"/>
  <c r="CD106"/>
  <c r="CL106"/>
  <c r="BY107"/>
  <c r="CG107"/>
  <c r="BS108"/>
  <c r="CA108"/>
  <c r="CI108"/>
  <c r="BV109"/>
  <c r="CD109"/>
  <c r="CL109"/>
  <c r="BX110"/>
  <c r="CF110"/>
  <c r="BU111"/>
  <c r="CC111"/>
  <c r="CK111"/>
  <c r="BZ112"/>
  <c r="CH112"/>
  <c r="BY113"/>
  <c r="CG113"/>
  <c r="BY114"/>
  <c r="CG114"/>
  <c r="BZ115"/>
  <c r="CH115"/>
  <c r="CB116"/>
  <c r="CJ116"/>
  <c r="CB117"/>
  <c r="CJ117"/>
  <c r="CB118"/>
  <c r="CJ118"/>
  <c r="CJ119"/>
  <c r="CK120"/>
  <c r="CF121"/>
  <c r="CG122"/>
  <c r="CJ123"/>
  <c r="CK125"/>
  <c r="CJ126"/>
  <c r="AZ19" i="3"/>
  <c r="I16" i="12" s="1"/>
  <c r="CT163" i="4"/>
  <c r="CS163"/>
  <c r="CU163"/>
  <c r="AS99"/>
  <c r="AT99" s="1"/>
  <c r="AZ100"/>
  <c r="BA99"/>
  <c r="CI53" l="1"/>
  <c r="E43" i="20"/>
  <c r="E60"/>
  <c r="E55"/>
  <c r="E58"/>
  <c r="E59"/>
  <c r="E52"/>
  <c r="E54"/>
  <c r="CM53" i="4"/>
  <c r="BT226"/>
  <c r="CH53"/>
  <c r="BT53"/>
  <c r="BT51" s="1"/>
  <c r="CE53"/>
  <c r="CE51" s="1"/>
  <c r="AS243"/>
  <c r="AT243" s="1"/>
  <c r="H56" i="23" s="1"/>
  <c r="E32" i="20"/>
  <c r="E39"/>
  <c r="AS223" i="4"/>
  <c r="G36" i="23" s="1"/>
  <c r="BZ53" i="4"/>
  <c r="BZ51" s="1"/>
  <c r="BS53"/>
  <c r="CO53"/>
  <c r="CO51" s="1"/>
  <c r="CJ53"/>
  <c r="CJ51" s="1"/>
  <c r="AZ5" i="3"/>
  <c r="L12" i="14" s="1"/>
  <c r="CN53" i="4"/>
  <c r="CN51" s="1"/>
  <c r="CC130"/>
  <c r="CF130"/>
  <c r="BX130"/>
  <c r="CR213"/>
  <c r="AS224"/>
  <c r="G37" i="23" s="1"/>
  <c r="AS230" i="4"/>
  <c r="G43" i="23" s="1"/>
  <c r="AS229" i="4"/>
  <c r="G42" i="23" s="1"/>
  <c r="CE130" i="4"/>
  <c r="BV53"/>
  <c r="CD53"/>
  <c r="CL53"/>
  <c r="CA53"/>
  <c r="BY53"/>
  <c r="BU53"/>
  <c r="BU51" s="1"/>
  <c r="CB53"/>
  <c r="CB51" s="1"/>
  <c r="BW53"/>
  <c r="BW51" s="1"/>
  <c r="CC53"/>
  <c r="CC51" s="1"/>
  <c r="CF53"/>
  <c r="CK53"/>
  <c r="CK51" s="1"/>
  <c r="CG53"/>
  <c r="G53" i="23"/>
  <c r="AS241" i="4"/>
  <c r="AT241" s="1"/>
  <c r="H54" i="23" s="1"/>
  <c r="AS233" i="4"/>
  <c r="G46" i="23" s="1"/>
  <c r="AS231" i="4"/>
  <c r="AT231" s="1"/>
  <c r="H44" i="23" s="1"/>
  <c r="E37" i="20"/>
  <c r="AS228" i="4"/>
  <c r="G41" i="23" s="1"/>
  <c r="E48" i="20"/>
  <c r="AS225" i="4"/>
  <c r="AT225" s="1"/>
  <c r="H38" i="23" s="1"/>
  <c r="E35" i="20"/>
  <c r="AS227" i="4"/>
  <c r="AT227" s="1"/>
  <c r="H40" i="23" s="1"/>
  <c r="AS222" i="4"/>
  <c r="AT222" s="1"/>
  <c r="H35" i="23" s="1"/>
  <c r="AS238" i="4"/>
  <c r="AT238" s="1"/>
  <c r="H51" i="23" s="1"/>
  <c r="AS242" i="4"/>
  <c r="AT242" s="1"/>
  <c r="H55" i="23" s="1"/>
  <c r="AS244" i="4"/>
  <c r="AS232"/>
  <c r="AT232" s="1"/>
  <c r="H45" i="23" s="1"/>
  <c r="AS235" i="4"/>
  <c r="G48" i="23" s="1"/>
  <c r="AT221" i="4"/>
  <c r="H34" i="23" s="1"/>
  <c r="AS236" i="4"/>
  <c r="G49" i="23" s="1"/>
  <c r="AS237" i="4"/>
  <c r="G50" i="23" s="1"/>
  <c r="AS234" i="4"/>
  <c r="G47" i="23" s="1"/>
  <c r="BR53" i="4"/>
  <c r="BR51" s="1"/>
  <c r="F13" i="14"/>
  <c r="E29" s="1"/>
  <c r="L43" s="1"/>
  <c r="L47" s="1"/>
  <c r="G39" i="23"/>
  <c r="M37" i="18"/>
  <c r="M41" s="1"/>
  <c r="BU130" i="4"/>
  <c r="E29" i="20"/>
  <c r="E25"/>
  <c r="E40"/>
  <c r="E47"/>
  <c r="E34"/>
  <c r="E45"/>
  <c r="E27"/>
  <c r="G55" i="23"/>
  <c r="H50" i="13"/>
  <c r="V149" i="4"/>
  <c r="W149" s="1"/>
  <c r="CA130"/>
  <c r="E33" i="20"/>
  <c r="E41"/>
  <c r="E28"/>
  <c r="E36"/>
  <c r="E44"/>
  <c r="E42"/>
  <c r="E26"/>
  <c r="E31"/>
  <c r="E30"/>
  <c r="E38"/>
  <c r="CH130" i="4"/>
  <c r="BY130"/>
  <c r="BZ130"/>
  <c r="CD130"/>
  <c r="P140"/>
  <c r="S140" s="1"/>
  <c r="T140" s="1"/>
  <c r="G32" i="16" s="1"/>
  <c r="V153" i="4"/>
  <c r="W153" s="1"/>
  <c r="V140"/>
  <c r="W140" s="1"/>
  <c r="V147"/>
  <c r="W147" s="1"/>
  <c r="P150"/>
  <c r="S150" s="1"/>
  <c r="T150" s="1"/>
  <c r="G42" i="16" s="1"/>
  <c r="V144" i="4"/>
  <c r="W144" s="1"/>
  <c r="E57" i="20"/>
  <c r="E46"/>
  <c r="E49"/>
  <c r="CB130" i="4"/>
  <c r="M36" i="19"/>
  <c r="M40" s="1"/>
  <c r="CG130" i="4"/>
  <c r="BI142"/>
  <c r="BE147"/>
  <c r="BG147" s="1"/>
  <c r="BE140"/>
  <c r="BG140" s="1"/>
  <c r="BI144"/>
  <c r="BI148"/>
  <c r="BI140"/>
  <c r="BI150"/>
  <c r="BI139"/>
  <c r="BE139"/>
  <c r="BG139" s="1"/>
  <c r="BI143"/>
  <c r="BI147"/>
  <c r="BE138"/>
  <c r="BG138" s="1"/>
  <c r="BE146"/>
  <c r="BG146" s="1"/>
  <c r="BI138"/>
  <c r="BE150"/>
  <c r="BG150" s="1"/>
  <c r="BJ150" s="1"/>
  <c r="BE141"/>
  <c r="BG141" s="1"/>
  <c r="BI145"/>
  <c r="BE137"/>
  <c r="BG137" s="1"/>
  <c r="BE142"/>
  <c r="BG142" s="1"/>
  <c r="BJ142" s="1"/>
  <c r="H33" i="22" s="1"/>
  <c r="I33" s="1"/>
  <c r="BI146" i="4"/>
  <c r="BI137"/>
  <c r="BE144"/>
  <c r="BG144" s="1"/>
  <c r="BI151"/>
  <c r="BI149"/>
  <c r="BI141"/>
  <c r="BE145"/>
  <c r="BG145" s="1"/>
  <c r="BE149"/>
  <c r="BG149" s="1"/>
  <c r="BE143"/>
  <c r="BG143" s="1"/>
  <c r="BE151"/>
  <c r="BG151" s="1"/>
  <c r="BE148"/>
  <c r="BG148" s="1"/>
  <c r="AN15" i="3"/>
  <c r="AT15" s="1"/>
  <c r="AZ15" s="1"/>
  <c r="J15" i="16" s="1"/>
  <c r="AQ15" i="3"/>
  <c r="AW15" s="1"/>
  <c r="H13" i="16" s="1"/>
  <c r="AO15" i="3"/>
  <c r="AU15" s="1"/>
  <c r="F13" i="16" s="1"/>
  <c r="AP15" i="3"/>
  <c r="AV15" s="1"/>
  <c r="G13" i="16" s="1"/>
  <c r="V142" i="4"/>
  <c r="W142" s="1"/>
  <c r="G29" i="16"/>
  <c r="U137" i="4"/>
  <c r="H29" i="16" s="1"/>
  <c r="V137" i="4"/>
  <c r="W137" s="1"/>
  <c r="V138"/>
  <c r="W138" s="1"/>
  <c r="P141"/>
  <c r="S141" s="1"/>
  <c r="T141" s="1"/>
  <c r="G33" i="16" s="1"/>
  <c r="V139" i="4"/>
  <c r="W139" s="1"/>
  <c r="P143"/>
  <c r="S143" s="1"/>
  <c r="T143" s="1"/>
  <c r="G35" i="16" s="1"/>
  <c r="V146" i="4"/>
  <c r="W146" s="1"/>
  <c r="V136"/>
  <c r="W136" s="1"/>
  <c r="P146"/>
  <c r="S146" s="1"/>
  <c r="T146" s="1"/>
  <c r="G38" i="16" s="1"/>
  <c r="V150" i="4"/>
  <c r="W150" s="1"/>
  <c r="V145"/>
  <c r="W145" s="1"/>
  <c r="P144"/>
  <c r="S144" s="1"/>
  <c r="T144" s="1"/>
  <c r="G36" i="16" s="1"/>
  <c r="P147" i="4"/>
  <c r="S147" s="1"/>
  <c r="T147" s="1"/>
  <c r="U147" s="1"/>
  <c r="H39" i="16" s="1"/>
  <c r="P149" i="4"/>
  <c r="S149" s="1"/>
  <c r="T149" s="1"/>
  <c r="G41" i="16" s="1"/>
  <c r="V152" i="4"/>
  <c r="W152" s="1"/>
  <c r="P152"/>
  <c r="S152" s="1"/>
  <c r="T152" s="1"/>
  <c r="G44" i="16" s="1"/>
  <c r="V143" i="4"/>
  <c r="W143" s="1"/>
  <c r="V135"/>
  <c r="W135" s="1"/>
  <c r="P148"/>
  <c r="S148" s="1"/>
  <c r="T148" s="1"/>
  <c r="U148" s="1"/>
  <c r="H40" i="16" s="1"/>
  <c r="P139" i="4"/>
  <c r="S139" s="1"/>
  <c r="T139" s="1"/>
  <c r="G31" i="16" s="1"/>
  <c r="P145" i="4"/>
  <c r="S145" s="1"/>
  <c r="T145" s="1"/>
  <c r="U145" s="1"/>
  <c r="H37" i="16" s="1"/>
  <c r="P138" i="4"/>
  <c r="S138" s="1"/>
  <c r="T138" s="1"/>
  <c r="G30" i="16" s="1"/>
  <c r="P151" i="4"/>
  <c r="S151" s="1"/>
  <c r="T151" s="1"/>
  <c r="U151" s="1"/>
  <c r="H43" i="16" s="1"/>
  <c r="P135" i="4"/>
  <c r="S135" s="1"/>
  <c r="T135" s="1"/>
  <c r="G27" i="16" s="1"/>
  <c r="V148" i="4"/>
  <c r="W148" s="1"/>
  <c r="P134"/>
  <c r="S134" s="1"/>
  <c r="T134" s="1"/>
  <c r="U134" s="1"/>
  <c r="P153"/>
  <c r="S153" s="1"/>
  <c r="T153" s="1"/>
  <c r="U153" s="1"/>
  <c r="H45" i="16" s="1"/>
  <c r="V134" i="4"/>
  <c r="W134" s="1"/>
  <c r="P136"/>
  <c r="S136" s="1"/>
  <c r="T136" s="1"/>
  <c r="U136" s="1"/>
  <c r="H28" i="16" s="1"/>
  <c r="V141" i="4"/>
  <c r="W141" s="1"/>
  <c r="Z134"/>
  <c r="Y131" s="1"/>
  <c r="V151"/>
  <c r="W151" s="1"/>
  <c r="P142"/>
  <c r="S142" s="1"/>
  <c r="T142" s="1"/>
  <c r="U142" s="1"/>
  <c r="H34" i="16" s="1"/>
  <c r="D33"/>
  <c r="CU172" i="4"/>
  <c r="G54" i="23"/>
  <c r="CL178" i="4"/>
  <c r="U163"/>
  <c r="I33" i="8" s="1"/>
  <c r="CQ212" i="4"/>
  <c r="AT239"/>
  <c r="H52" i="23" s="1"/>
  <c r="CV217" i="4"/>
  <c r="CY220"/>
  <c r="AF163"/>
  <c r="CT215"/>
  <c r="CN209"/>
  <c r="CU216"/>
  <c r="G44" i="12"/>
  <c r="CO210" i="4"/>
  <c r="CW218"/>
  <c r="CX219"/>
  <c r="CS214"/>
  <c r="CP211"/>
  <c r="J47" i="9"/>
  <c r="D55" s="1"/>
  <c r="BK354" i="2"/>
  <c r="BK355" s="1"/>
  <c r="U82" i="4"/>
  <c r="I58" i="14" s="1"/>
  <c r="H58"/>
  <c r="AE124" i="4"/>
  <c r="G59" i="13" s="1"/>
  <c r="F59"/>
  <c r="AE125" i="4"/>
  <c r="G60" i="13" s="1"/>
  <c r="F60"/>
  <c r="AE123" i="4"/>
  <c r="G58" i="13" s="1"/>
  <c r="F58"/>
  <c r="AE85" i="4"/>
  <c r="G60" i="14" s="1"/>
  <c r="F60"/>
  <c r="AE80" i="4"/>
  <c r="G55" i="14" s="1"/>
  <c r="F55"/>
  <c r="AE79" i="4"/>
  <c r="G54" i="14" s="1"/>
  <c r="F54"/>
  <c r="AE126" i="4"/>
  <c r="G61" i="13" s="1"/>
  <c r="F61"/>
  <c r="U80" i="4"/>
  <c r="I56" i="14" s="1"/>
  <c r="H56"/>
  <c r="U119" i="4"/>
  <c r="I55" i="13" s="1"/>
  <c r="H55"/>
  <c r="U123" i="4"/>
  <c r="I59" i="13" s="1"/>
  <c r="H59"/>
  <c r="AE118" i="4"/>
  <c r="G53" i="13" s="1"/>
  <c r="F53"/>
  <c r="AE122" i="4"/>
  <c r="G57" i="13" s="1"/>
  <c r="F57"/>
  <c r="U125" i="4"/>
  <c r="I61" i="13" s="1"/>
  <c r="H61"/>
  <c r="AE121" i="4"/>
  <c r="G56" i="13" s="1"/>
  <c r="F56"/>
  <c r="AE119" i="4"/>
  <c r="G54" i="13" s="1"/>
  <c r="F54"/>
  <c r="U83" i="4"/>
  <c r="I59" i="14" s="1"/>
  <c r="H59"/>
  <c r="AE120" i="4"/>
  <c r="G55" i="13" s="1"/>
  <c r="F55"/>
  <c r="AE82" i="4"/>
  <c r="G57" i="14" s="1"/>
  <c r="F57"/>
  <c r="AE81" i="4"/>
  <c r="G56" i="14" s="1"/>
  <c r="F56"/>
  <c r="AE127" i="4"/>
  <c r="G62" i="13" s="1"/>
  <c r="F62"/>
  <c r="E77" i="8"/>
  <c r="I77"/>
  <c r="L34"/>
  <c r="I81"/>
  <c r="E81"/>
  <c r="I78"/>
  <c r="E78"/>
  <c r="I80"/>
  <c r="E80"/>
  <c r="I79"/>
  <c r="E79"/>
  <c r="AF182" i="4"/>
  <c r="H52" i="8"/>
  <c r="AF168" i="4"/>
  <c r="H38" i="8"/>
  <c r="AF172" i="4"/>
  <c r="H42" i="8"/>
  <c r="U177" i="4"/>
  <c r="I47" i="8" s="1"/>
  <c r="H47"/>
  <c r="AF162" i="4"/>
  <c r="H32" i="8"/>
  <c r="U178" i="4"/>
  <c r="I48" i="8" s="1"/>
  <c r="H48"/>
  <c r="U174" i="4"/>
  <c r="I44" i="8" s="1"/>
  <c r="H44"/>
  <c r="U165" i="4"/>
  <c r="I35" i="8" s="1"/>
  <c r="H35"/>
  <c r="AF169" i="4"/>
  <c r="H39" i="8"/>
  <c r="AF164" i="4"/>
  <c r="H34" i="8"/>
  <c r="U173" i="4"/>
  <c r="I43" i="8" s="1"/>
  <c r="H43"/>
  <c r="U181" i="4"/>
  <c r="I51" i="8" s="1"/>
  <c r="H51"/>
  <c r="AF167" i="4"/>
  <c r="H37" i="8"/>
  <c r="AF170" i="4"/>
  <c r="H40" i="8"/>
  <c r="U161" i="4"/>
  <c r="I31" i="8" s="1"/>
  <c r="H31"/>
  <c r="U180" i="4"/>
  <c r="I50" i="8" s="1"/>
  <c r="H50"/>
  <c r="AF176" i="4"/>
  <c r="H46" i="8"/>
  <c r="AF175" i="4"/>
  <c r="H45" i="8"/>
  <c r="U179" i="4"/>
  <c r="I49" i="8" s="1"/>
  <c r="H49"/>
  <c r="U115" i="4"/>
  <c r="I51" i="13" s="1"/>
  <c r="H51"/>
  <c r="AE117" i="4"/>
  <c r="G52" i="13" s="1"/>
  <c r="F52"/>
  <c r="U77" i="4"/>
  <c r="I53" i="14" s="1"/>
  <c r="H53"/>
  <c r="U212" i="4"/>
  <c r="H50" i="12" s="1"/>
  <c r="G50"/>
  <c r="U210" i="4"/>
  <c r="H48" i="12" s="1"/>
  <c r="G48"/>
  <c r="D47"/>
  <c r="D49"/>
  <c r="D48"/>
  <c r="AE114" i="4"/>
  <c r="G49" i="13" s="1"/>
  <c r="F49"/>
  <c r="AE115" i="4"/>
  <c r="G50" i="13" s="1"/>
  <c r="F50"/>
  <c r="AE116" i="4"/>
  <c r="G51" i="13" s="1"/>
  <c r="F51"/>
  <c r="AE77" i="4"/>
  <c r="G52" i="14" s="1"/>
  <c r="F52"/>
  <c r="U209" i="4"/>
  <c r="H47" i="12" s="1"/>
  <c r="G47"/>
  <c r="CJ174" i="4"/>
  <c r="E52" i="16"/>
  <c r="J39" s="1"/>
  <c r="BC65" i="4"/>
  <c r="I39" i="17" s="1"/>
  <c r="H39"/>
  <c r="BC64" i="4"/>
  <c r="I38" i="17" s="1"/>
  <c r="H38"/>
  <c r="U110" i="4"/>
  <c r="I46" i="13" s="1"/>
  <c r="H46"/>
  <c r="U107" i="4"/>
  <c r="I43" i="13" s="1"/>
  <c r="H43"/>
  <c r="AE95" i="4"/>
  <c r="G30" i="13" s="1"/>
  <c r="F30"/>
  <c r="AE94" i="4"/>
  <c r="G29" i="13" s="1"/>
  <c r="F29"/>
  <c r="AE102" i="4"/>
  <c r="G37" i="13" s="1"/>
  <c r="F37"/>
  <c r="AE113" i="4"/>
  <c r="G48" i="13" s="1"/>
  <c r="F48"/>
  <c r="AE96" i="4"/>
  <c r="G31" i="13" s="1"/>
  <c r="F31"/>
  <c r="AE109" i="4"/>
  <c r="G44" i="13" s="1"/>
  <c r="F44"/>
  <c r="AE101" i="4"/>
  <c r="G36" i="13" s="1"/>
  <c r="F36"/>
  <c r="AE111" i="4"/>
  <c r="G46" i="13" s="1"/>
  <c r="F46"/>
  <c r="U102" i="4"/>
  <c r="I38" i="13" s="1"/>
  <c r="H38"/>
  <c r="D41" i="12"/>
  <c r="D45"/>
  <c r="D46"/>
  <c r="D44"/>
  <c r="D43"/>
  <c r="D42"/>
  <c r="U104" i="4"/>
  <c r="I40" i="13" s="1"/>
  <c r="H40"/>
  <c r="U95" i="4"/>
  <c r="I31" i="13" s="1"/>
  <c r="H31"/>
  <c r="AE105" i="4"/>
  <c r="G40" i="13" s="1"/>
  <c r="F40"/>
  <c r="AE110" i="4"/>
  <c r="G45" i="13" s="1"/>
  <c r="F45"/>
  <c r="AE103" i="4"/>
  <c r="G38" i="13" s="1"/>
  <c r="F38"/>
  <c r="AE99" i="4"/>
  <c r="G34" i="13" s="1"/>
  <c r="F34"/>
  <c r="AE108" i="4"/>
  <c r="G43" i="13" s="1"/>
  <c r="F43"/>
  <c r="AE100" i="4"/>
  <c r="G35" i="13" s="1"/>
  <c r="F35"/>
  <c r="AE107" i="4"/>
  <c r="G42" i="13" s="1"/>
  <c r="F42"/>
  <c r="AE104" i="4"/>
  <c r="G39" i="13" s="1"/>
  <c r="F39"/>
  <c r="AE112" i="4"/>
  <c r="G47" i="13" s="1"/>
  <c r="F47"/>
  <c r="U96" i="4"/>
  <c r="I32" i="13" s="1"/>
  <c r="H32"/>
  <c r="AE97" i="4"/>
  <c r="G32" i="13" s="1"/>
  <c r="F32"/>
  <c r="AE98" i="4"/>
  <c r="G33" i="13" s="1"/>
  <c r="F33"/>
  <c r="U112" i="4"/>
  <c r="I48" i="13" s="1"/>
  <c r="H48"/>
  <c r="BS110" i="4"/>
  <c r="BS92" s="1"/>
  <c r="L35" i="13"/>
  <c r="L40" s="1"/>
  <c r="E28"/>
  <c r="L38" s="1"/>
  <c r="F14"/>
  <c r="U69" i="4"/>
  <c r="I45" i="14" s="1"/>
  <c r="H45"/>
  <c r="U72" i="4"/>
  <c r="I48" i="14" s="1"/>
  <c r="H48"/>
  <c r="AE74" i="4"/>
  <c r="G49" i="14" s="1"/>
  <c r="F49"/>
  <c r="AE71" i="4"/>
  <c r="G46" i="14" s="1"/>
  <c r="F46"/>
  <c r="AE72" i="4"/>
  <c r="G47" i="14" s="1"/>
  <c r="F47"/>
  <c r="U193" i="4"/>
  <c r="H31" i="12" s="1"/>
  <c r="G31"/>
  <c r="U208" i="4"/>
  <c r="H46" i="12" s="1"/>
  <c r="G46"/>
  <c r="U197" i="4"/>
  <c r="H35" i="12" s="1"/>
  <c r="G35"/>
  <c r="CU187" i="4"/>
  <c r="E57" i="12"/>
  <c r="J45" s="1"/>
  <c r="U236" i="4"/>
  <c r="H43" i="7" s="1"/>
  <c r="G43"/>
  <c r="U235" i="4"/>
  <c r="H42" i="7" s="1"/>
  <c r="G42"/>
  <c r="U195" i="4"/>
  <c r="H33" i="12" s="1"/>
  <c r="G33"/>
  <c r="U194" i="4"/>
  <c r="H32" i="12" s="1"/>
  <c r="G32"/>
  <c r="U202" i="4"/>
  <c r="H40" i="12" s="1"/>
  <c r="G40"/>
  <c r="U201" i="4"/>
  <c r="H39" i="12" s="1"/>
  <c r="G39"/>
  <c r="U237" i="4"/>
  <c r="H44" i="7" s="1"/>
  <c r="G44"/>
  <c r="U196" i="4"/>
  <c r="H34" i="12" s="1"/>
  <c r="G34"/>
  <c r="CU164" i="4"/>
  <c r="D29" i="12"/>
  <c r="D33"/>
  <c r="D37"/>
  <c r="D30"/>
  <c r="D38"/>
  <c r="D28"/>
  <c r="D36"/>
  <c r="D31"/>
  <c r="D35"/>
  <c r="D39"/>
  <c r="D27"/>
  <c r="D34"/>
  <c r="D32"/>
  <c r="D40"/>
  <c r="U226" i="4"/>
  <c r="H33" i="7" s="1"/>
  <c r="G33"/>
  <c r="U223" i="4"/>
  <c r="H30" i="7" s="1"/>
  <c r="G30"/>
  <c r="CM144" i="4"/>
  <c r="CM130" s="1"/>
  <c r="E56" i="7"/>
  <c r="J43" s="1"/>
  <c r="J45" s="1"/>
  <c r="U222" i="4"/>
  <c r="H29" i="7" s="1"/>
  <c r="G29"/>
  <c r="U225" i="4"/>
  <c r="H32" i="7" s="1"/>
  <c r="G32"/>
  <c r="U224" i="4"/>
  <c r="H31" i="7" s="1"/>
  <c r="G31"/>
  <c r="U231" i="4"/>
  <c r="H38" i="7" s="1"/>
  <c r="G38"/>
  <c r="U62" i="4"/>
  <c r="I38" i="14" s="1"/>
  <c r="U59" i="4"/>
  <c r="I35" i="14" s="1"/>
  <c r="U60" i="4"/>
  <c r="I36" i="14" s="1"/>
  <c r="U58" i="4"/>
  <c r="I34" i="14" s="1"/>
  <c r="AE69" i="4"/>
  <c r="G44" i="14" s="1"/>
  <c r="U57" i="4"/>
  <c r="I33" i="14" s="1"/>
  <c r="U61" i="4"/>
  <c r="I37" i="14" s="1"/>
  <c r="AE66" i="4"/>
  <c r="G41" i="14" s="1"/>
  <c r="U65" i="4"/>
  <c r="I41" i="14" s="1"/>
  <c r="BU94" i="4"/>
  <c r="CT175"/>
  <c r="BT94"/>
  <c r="CU167"/>
  <c r="CT164"/>
  <c r="CU166"/>
  <c r="CS171"/>
  <c r="CU181"/>
  <c r="CS170"/>
  <c r="CT176"/>
  <c r="CT169"/>
  <c r="CS164"/>
  <c r="CI94"/>
  <c r="AZ6" i="3"/>
  <c r="L12" i="13" s="1"/>
  <c r="BX94" i="4"/>
  <c r="BZ94"/>
  <c r="CA94"/>
  <c r="CJ94"/>
  <c r="CH94"/>
  <c r="BR94"/>
  <c r="CE94"/>
  <c r="BW94"/>
  <c r="CF94"/>
  <c r="CB94"/>
  <c r="CL94"/>
  <c r="CD94"/>
  <c r="BV94"/>
  <c r="CK94"/>
  <c r="CG94"/>
  <c r="CC94"/>
  <c r="BY94"/>
  <c r="CT177"/>
  <c r="CU169"/>
  <c r="CS165"/>
  <c r="CU178"/>
  <c r="CU173"/>
  <c r="CS167"/>
  <c r="CU180"/>
  <c r="CT174"/>
  <c r="CT171"/>
  <c r="CS168"/>
  <c r="CT165"/>
  <c r="CT172"/>
  <c r="CU170"/>
  <c r="CT168"/>
  <c r="CT166"/>
  <c r="CU183"/>
  <c r="CU179"/>
  <c r="CU176"/>
  <c r="CU174"/>
  <c r="CU171"/>
  <c r="CS169"/>
  <c r="CU165"/>
  <c r="CU182"/>
  <c r="CU177"/>
  <c r="CU175"/>
  <c r="CT173"/>
  <c r="CS172"/>
  <c r="CT170"/>
  <c r="CU168"/>
  <c r="CT167"/>
  <c r="CS166"/>
  <c r="CD186"/>
  <c r="CD161" s="1"/>
  <c r="CT151"/>
  <c r="CT130" s="1"/>
  <c r="CM51"/>
  <c r="CU152"/>
  <c r="CU130" s="1"/>
  <c r="CO146"/>
  <c r="CO130" s="1"/>
  <c r="CN145"/>
  <c r="CN130" s="1"/>
  <c r="CI126"/>
  <c r="CR149"/>
  <c r="CR130" s="1"/>
  <c r="CQ148"/>
  <c r="CQ130" s="1"/>
  <c r="CP147"/>
  <c r="CP130" s="1"/>
  <c r="CS150"/>
  <c r="CS130" s="1"/>
  <c r="CO183"/>
  <c r="U160"/>
  <c r="BX115"/>
  <c r="AF179"/>
  <c r="CB119"/>
  <c r="CC120"/>
  <c r="CK128"/>
  <c r="U164"/>
  <c r="I34" i="8" s="1"/>
  <c r="BW179" i="4"/>
  <c r="BW161" s="1"/>
  <c r="AF165"/>
  <c r="CN183"/>
  <c r="CK174"/>
  <c r="BY116"/>
  <c r="BR109"/>
  <c r="BV113"/>
  <c r="BZ117"/>
  <c r="BW114"/>
  <c r="CH125"/>
  <c r="BT111"/>
  <c r="CE122"/>
  <c r="CD121"/>
  <c r="CF123"/>
  <c r="BU112"/>
  <c r="CA118"/>
  <c r="CL129"/>
  <c r="CG124"/>
  <c r="CJ127"/>
  <c r="U176"/>
  <c r="I46" i="8" s="1"/>
  <c r="CF188" i="4"/>
  <c r="CF161" s="1"/>
  <c r="U170"/>
  <c r="I40" i="8" s="1"/>
  <c r="CA183" i="4"/>
  <c r="CA161" s="1"/>
  <c r="AD184"/>
  <c r="AD186" s="1"/>
  <c r="U175"/>
  <c r="I45" i="8" s="1"/>
  <c r="AC184" i="4"/>
  <c r="BZ182"/>
  <c r="BZ161" s="1"/>
  <c r="AF174"/>
  <c r="AF178"/>
  <c r="AF173"/>
  <c r="AF180"/>
  <c r="U167"/>
  <c r="I37" i="8" s="1"/>
  <c r="CT183" i="4"/>
  <c r="AZ67"/>
  <c r="BA67" s="1"/>
  <c r="BU177"/>
  <c r="BU161" s="1"/>
  <c r="BT176"/>
  <c r="BT161" s="1"/>
  <c r="CB184"/>
  <c r="CB161" s="1"/>
  <c r="U182"/>
  <c r="I52" i="8" s="1"/>
  <c r="AF177" i="4"/>
  <c r="CS178"/>
  <c r="AF161"/>
  <c r="AF181"/>
  <c r="AC93"/>
  <c r="AD93" s="1"/>
  <c r="U172"/>
  <c r="I42" i="8" s="1"/>
  <c r="BS66" i="4"/>
  <c r="CE187"/>
  <c r="CE161" s="1"/>
  <c r="CA74"/>
  <c r="CC185"/>
  <c r="CC161" s="1"/>
  <c r="CD77"/>
  <c r="BX71"/>
  <c r="BX51" s="1"/>
  <c r="CL85"/>
  <c r="BY72"/>
  <c r="CG80"/>
  <c r="BV69"/>
  <c r="BX180"/>
  <c r="BX161" s="1"/>
  <c r="BV178"/>
  <c r="BV161" s="1"/>
  <c r="BY181"/>
  <c r="BY161" s="1"/>
  <c r="CI82"/>
  <c r="CI51" s="1"/>
  <c r="CF79"/>
  <c r="CH81"/>
  <c r="CH51" s="1"/>
  <c r="BA66"/>
  <c r="BB66" s="1"/>
  <c r="U168"/>
  <c r="I38" i="8" s="1"/>
  <c r="U162" i="4"/>
  <c r="I32" i="8" s="1"/>
  <c r="AF183" i="4"/>
  <c r="AS100"/>
  <c r="AT100" s="1"/>
  <c r="BA100"/>
  <c r="AZ101"/>
  <c r="BB99"/>
  <c r="BJ144" l="1"/>
  <c r="H35" i="22" s="1"/>
  <c r="I35" s="1"/>
  <c r="BJ151" i="4"/>
  <c r="G51" i="23"/>
  <c r="BJ143" i="4"/>
  <c r="BK143" s="1"/>
  <c r="BV51"/>
  <c r="BY51"/>
  <c r="G56" i="23"/>
  <c r="U144" i="4"/>
  <c r="H36" i="16" s="1"/>
  <c r="CF51" i="4"/>
  <c r="CG51"/>
  <c r="CD51"/>
  <c r="CA51"/>
  <c r="BS51"/>
  <c r="G38" i="23"/>
  <c r="AT228" i="4"/>
  <c r="H41" i="23" s="1"/>
  <c r="AT230" i="4"/>
  <c r="H43" i="23" s="1"/>
  <c r="G44"/>
  <c r="AT223" i="4"/>
  <c r="H36" i="23" s="1"/>
  <c r="E13" i="16"/>
  <c r="D25"/>
  <c r="BX129" i="4"/>
  <c r="CM163"/>
  <c r="CN163"/>
  <c r="AT224"/>
  <c r="H37" i="23" s="1"/>
  <c r="AT229" i="4"/>
  <c r="H42" i="23" s="1"/>
  <c r="G40"/>
  <c r="AT235" i="4"/>
  <c r="H48" i="23" s="1"/>
  <c r="AT234" i="4"/>
  <c r="H47" i="23" s="1"/>
  <c r="CL51" i="4"/>
  <c r="G45" i="23"/>
  <c r="AT233" i="4"/>
  <c r="H46" i="23" s="1"/>
  <c r="AT237" i="4"/>
  <c r="H50" i="23" s="1"/>
  <c r="G35"/>
  <c r="AT244" i="4"/>
  <c r="H57" i="23" s="1"/>
  <c r="G57"/>
  <c r="AT236" i="4"/>
  <c r="H49" i="23" s="1"/>
  <c r="G37" i="16"/>
  <c r="G45"/>
  <c r="U140" i="4"/>
  <c r="H32" i="16" s="1"/>
  <c r="CL163" i="4"/>
  <c r="CJ163"/>
  <c r="U152"/>
  <c r="H44" i="16" s="1"/>
  <c r="BJ148" i="4"/>
  <c r="BK151"/>
  <c r="H42" i="22"/>
  <c r="I42" s="1"/>
  <c r="BK150" i="4"/>
  <c r="H41" i="22"/>
  <c r="I41" s="1"/>
  <c r="H34"/>
  <c r="I34" s="1"/>
  <c r="U149" i="4"/>
  <c r="H41" i="16" s="1"/>
  <c r="U135" i="4"/>
  <c r="H27" i="16" s="1"/>
  <c r="BK142" i="4"/>
  <c r="U150"/>
  <c r="H42" i="16" s="1"/>
  <c r="G43"/>
  <c r="U138" i="4"/>
  <c r="H30" i="16" s="1"/>
  <c r="U146" i="4"/>
  <c r="H38" i="16" s="1"/>
  <c r="U139" i="4"/>
  <c r="H31" i="16" s="1"/>
  <c r="BJ145" i="4"/>
  <c r="BK145" s="1"/>
  <c r="G34" i="16"/>
  <c r="G40"/>
  <c r="U143" i="4"/>
  <c r="H35" i="16" s="1"/>
  <c r="G28"/>
  <c r="G39"/>
  <c r="U141" i="4"/>
  <c r="H33" i="16" s="1"/>
  <c r="BJ149" i="4"/>
  <c r="BJ141"/>
  <c r="BJ137"/>
  <c r="H28" i="22" s="1"/>
  <c r="BJ146" i="4"/>
  <c r="BJ147"/>
  <c r="BJ139"/>
  <c r="BJ140"/>
  <c r="BJ138"/>
  <c r="CK163"/>
  <c r="CO163"/>
  <c r="AY15" i="3"/>
  <c r="X137" i="4"/>
  <c r="AB137" s="1"/>
  <c r="AC137" s="1"/>
  <c r="X134"/>
  <c r="X141"/>
  <c r="AB141" s="1"/>
  <c r="AC141" s="1"/>
  <c r="X142"/>
  <c r="AB142" s="1"/>
  <c r="AC142" s="1"/>
  <c r="AD142" s="1"/>
  <c r="AF142" s="1"/>
  <c r="X143"/>
  <c r="AB143" s="1"/>
  <c r="AC143" s="1"/>
  <c r="AD143" s="1"/>
  <c r="AF143" s="1"/>
  <c r="X149"/>
  <c r="AB149" s="1"/>
  <c r="AC149" s="1"/>
  <c r="X139"/>
  <c r="AB139" s="1"/>
  <c r="AC139" s="1"/>
  <c r="AD139" s="1"/>
  <c r="AF139" s="1"/>
  <c r="X153"/>
  <c r="AB153" s="1"/>
  <c r="AC153" s="1"/>
  <c r="X138"/>
  <c r="AB138" s="1"/>
  <c r="AC138" s="1"/>
  <c r="X148"/>
  <c r="AB148" s="1"/>
  <c r="AC148" s="1"/>
  <c r="X144"/>
  <c r="AB144" s="1"/>
  <c r="AC144" s="1"/>
  <c r="X136"/>
  <c r="AB136" s="1"/>
  <c r="AC136" s="1"/>
  <c r="X140"/>
  <c r="AB140" s="1"/>
  <c r="AC140" s="1"/>
  <c r="X145"/>
  <c r="AB145" s="1"/>
  <c r="AC145" s="1"/>
  <c r="AH145" s="1"/>
  <c r="X152"/>
  <c r="AB152" s="1"/>
  <c r="AC152" s="1"/>
  <c r="X135"/>
  <c r="AB135" s="1"/>
  <c r="AC135" s="1"/>
  <c r="AH135" s="1"/>
  <c r="AI135" s="1"/>
  <c r="F27" i="16" s="1"/>
  <c r="X147" i="4"/>
  <c r="AB147" s="1"/>
  <c r="AC147" s="1"/>
  <c r="AH147" s="1"/>
  <c r="E39" i="16" s="1"/>
  <c r="X146" i="4"/>
  <c r="AB146" s="1"/>
  <c r="AC146" s="1"/>
  <c r="AH146" s="1"/>
  <c r="E38" i="16" s="1"/>
  <c r="X150" i="4"/>
  <c r="AB150" s="1"/>
  <c r="AC150" s="1"/>
  <c r="X151"/>
  <c r="AB151" s="1"/>
  <c r="AC151" s="1"/>
  <c r="BZ92"/>
  <c r="BR92"/>
  <c r="CK92"/>
  <c r="CB92"/>
  <c r="L46" i="11"/>
  <c r="L46" i="10"/>
  <c r="H32" i="11"/>
  <c r="H32" i="10"/>
  <c r="AC186" i="4"/>
  <c r="Z176" s="1"/>
  <c r="J31" i="8"/>
  <c r="L36"/>
  <c r="L38" s="1"/>
  <c r="BR50" i="4"/>
  <c r="CL92"/>
  <c r="BU92"/>
  <c r="BT92"/>
  <c r="BV92"/>
  <c r="BY92"/>
  <c r="BC99"/>
  <c r="I37" i="18" s="1"/>
  <c r="H37"/>
  <c r="BC66" i="4"/>
  <c r="I40" i="17" s="1"/>
  <c r="H40"/>
  <c r="AE93" i="4"/>
  <c r="G28" i="13" s="1"/>
  <c r="F28"/>
  <c r="L42"/>
  <c r="J43" i="12"/>
  <c r="J47" s="1"/>
  <c r="CJ92" i="4"/>
  <c r="CA92"/>
  <c r="BX92"/>
  <c r="CI92"/>
  <c r="BW92"/>
  <c r="CT161"/>
  <c r="CG92"/>
  <c r="CF92"/>
  <c r="CE92"/>
  <c r="CH92"/>
  <c r="CU161"/>
  <c r="CD92"/>
  <c r="CC92"/>
  <c r="CS161"/>
  <c r="CM129"/>
  <c r="G53" i="7" s="1"/>
  <c r="AZ68" i="4"/>
  <c r="AS68" s="1"/>
  <c r="AT68" s="1"/>
  <c r="BT160"/>
  <c r="Z173"/>
  <c r="AS67"/>
  <c r="AT67" s="1"/>
  <c r="BB67" s="1"/>
  <c r="AF184"/>
  <c r="AH159" s="1"/>
  <c r="BB100"/>
  <c r="AS101"/>
  <c r="AT101" s="1"/>
  <c r="BA101"/>
  <c r="AZ102"/>
  <c r="BK144" l="1"/>
  <c r="H36" i="22"/>
  <c r="I36" s="1"/>
  <c r="AD146" i="4"/>
  <c r="AF146" s="1"/>
  <c r="AH143"/>
  <c r="AI143" s="1"/>
  <c r="F35" i="16" s="1"/>
  <c r="AI147" i="4"/>
  <c r="F39" i="16" s="1"/>
  <c r="AH139" i="4"/>
  <c r="AI139" s="1"/>
  <c r="F31" i="16" s="1"/>
  <c r="AI146" i="4"/>
  <c r="F38" i="16" s="1"/>
  <c r="BR91" i="4"/>
  <c r="Z174"/>
  <c r="F93" i="8" s="1"/>
  <c r="Z177" i="4"/>
  <c r="J96" i="8" s="1"/>
  <c r="Z175" i="4"/>
  <c r="F94" i="8" s="1"/>
  <c r="BK148" i="4"/>
  <c r="H39" i="22"/>
  <c r="I39" s="1"/>
  <c r="BK149" i="4"/>
  <c r="H40" i="22"/>
  <c r="I40" s="1"/>
  <c r="BK146" i="4"/>
  <c r="H37" i="22"/>
  <c r="I37" s="1"/>
  <c r="Z180" i="4"/>
  <c r="F99" i="8" s="1"/>
  <c r="Z171" i="4"/>
  <c r="Z170"/>
  <c r="Z172"/>
  <c r="BK147"/>
  <c r="H38" i="22"/>
  <c r="I38" s="1"/>
  <c r="E27" i="16"/>
  <c r="H29" i="22"/>
  <c r="I29" s="1"/>
  <c r="BK138" i="4"/>
  <c r="H30" i="22"/>
  <c r="I30" s="1"/>
  <c r="BK139" i="4"/>
  <c r="H32" i="22"/>
  <c r="I32" s="1"/>
  <c r="BK141" i="4"/>
  <c r="H31" i="22"/>
  <c r="I31" s="1"/>
  <c r="BK140" i="4"/>
  <c r="CL169"/>
  <c r="CO166"/>
  <c r="CK168"/>
  <c r="CL168"/>
  <c r="CN170"/>
  <c r="CL165"/>
  <c r="CL167"/>
  <c r="CO170"/>
  <c r="CJ168"/>
  <c r="CM165"/>
  <c r="D26" i="16"/>
  <c r="CJ170" i="4"/>
  <c r="CO167"/>
  <c r="CM166"/>
  <c r="CK171"/>
  <c r="CO165"/>
  <c r="D32" i="16"/>
  <c r="CM168" i="4"/>
  <c r="CL170"/>
  <c r="CJ165"/>
  <c r="CM169"/>
  <c r="CN166"/>
  <c r="CJ164"/>
  <c r="D31" i="16"/>
  <c r="D30"/>
  <c r="CJ166" i="4"/>
  <c r="CN168"/>
  <c r="CO171"/>
  <c r="CO168"/>
  <c r="CJ167"/>
  <c r="D29" i="16"/>
  <c r="CK167" i="4"/>
  <c r="CN165"/>
  <c r="CJ169"/>
  <c r="CM170"/>
  <c r="D28" i="16"/>
  <c r="CL166" i="4"/>
  <c r="D27" i="16"/>
  <c r="CN164" i="4"/>
  <c r="CM167"/>
  <c r="CK170"/>
  <c r="CK166"/>
  <c r="CK164"/>
  <c r="CN169"/>
  <c r="CL164"/>
  <c r="CO169"/>
  <c r="CM171"/>
  <c r="CK165"/>
  <c r="CO164"/>
  <c r="CK169"/>
  <c r="CM164"/>
  <c r="CN167"/>
  <c r="Z178"/>
  <c r="F97" i="8" s="1"/>
  <c r="AD135" i="4"/>
  <c r="AF135" s="1"/>
  <c r="AH142"/>
  <c r="AD145"/>
  <c r="AF145" s="1"/>
  <c r="AD147"/>
  <c r="AF147" s="1"/>
  <c r="AH151"/>
  <c r="AD151"/>
  <c r="AF151" s="1"/>
  <c r="AI145"/>
  <c r="F37" i="16" s="1"/>
  <c r="E37"/>
  <c r="AH136" i="4"/>
  <c r="AD136"/>
  <c r="AF136" s="1"/>
  <c r="AH148"/>
  <c r="AD148"/>
  <c r="AF148" s="1"/>
  <c r="AH153"/>
  <c r="AD153"/>
  <c r="AF153" s="1"/>
  <c r="AH149"/>
  <c r="AD149"/>
  <c r="AF149" s="1"/>
  <c r="AB133"/>
  <c r="AC133"/>
  <c r="AB134"/>
  <c r="AC134" s="1"/>
  <c r="AH150"/>
  <c r="AD150"/>
  <c r="AF150" s="1"/>
  <c r="AH152"/>
  <c r="AD152"/>
  <c r="AF152" s="1"/>
  <c r="AH140"/>
  <c r="AD140"/>
  <c r="AF140" s="1"/>
  <c r="AD144"/>
  <c r="AF144" s="1"/>
  <c r="AH144"/>
  <c r="AH138"/>
  <c r="AD138"/>
  <c r="AF138" s="1"/>
  <c r="AH141"/>
  <c r="AD141"/>
  <c r="AF141" s="1"/>
  <c r="AH137"/>
  <c r="AD137"/>
  <c r="AF137" s="1"/>
  <c r="E31" i="16"/>
  <c r="CS160" i="4"/>
  <c r="G54" i="12" s="1"/>
  <c r="Z183" i="4"/>
  <c r="F102" i="8" s="1"/>
  <c r="Z181" i="4"/>
  <c r="F100" i="8" s="1"/>
  <c r="Z179" i="4"/>
  <c r="F98" i="8" s="1"/>
  <c r="Z182" i="4"/>
  <c r="J101" i="8" s="1"/>
  <c r="J94"/>
  <c r="AH160" i="4"/>
  <c r="F29" i="8" s="1"/>
  <c r="F28"/>
  <c r="J92"/>
  <c r="F92"/>
  <c r="F95"/>
  <c r="J95"/>
  <c r="F96"/>
  <c r="BC100" i="4"/>
  <c r="I38" i="18" s="1"/>
  <c r="H38"/>
  <c r="BC67" i="4"/>
  <c r="I41" i="17" s="1"/>
  <c r="H41"/>
  <c r="AZ69" i="4"/>
  <c r="AS69" s="1"/>
  <c r="AT69" s="1"/>
  <c r="BA68"/>
  <c r="BB68" s="1"/>
  <c r="AI159"/>
  <c r="G28" i="8" s="1"/>
  <c r="BB101" i="4"/>
  <c r="AS102"/>
  <c r="AT102" s="1"/>
  <c r="AZ103"/>
  <c r="BA102"/>
  <c r="J98" i="8" l="1"/>
  <c r="E35" i="16"/>
  <c r="J102" i="8"/>
  <c r="J97"/>
  <c r="J93"/>
  <c r="J99"/>
  <c r="J91"/>
  <c r="F91"/>
  <c r="F90"/>
  <c r="J90"/>
  <c r="J89"/>
  <c r="F89"/>
  <c r="F101"/>
  <c r="AI153" i="4"/>
  <c r="F45" i="16" s="1"/>
  <c r="E45"/>
  <c r="CM161" i="4"/>
  <c r="CO161"/>
  <c r="CL161"/>
  <c r="CL160" s="1"/>
  <c r="CH167" s="1"/>
  <c r="CK161"/>
  <c r="J37" i="16"/>
  <c r="J41" s="1"/>
  <c r="CN161" i="4"/>
  <c r="CN160" s="1"/>
  <c r="CH168" s="1"/>
  <c r="CJ161"/>
  <c r="CJ160" s="1"/>
  <c r="CH166" s="1"/>
  <c r="AI142"/>
  <c r="F34" i="16" s="1"/>
  <c r="E34"/>
  <c r="AI144" i="4"/>
  <c r="F36" i="16" s="1"/>
  <c r="E36"/>
  <c r="AH134" i="4"/>
  <c r="AD134"/>
  <c r="AF134" s="1"/>
  <c r="E41" i="16"/>
  <c r="AI149" i="4"/>
  <c r="F41" i="16" s="1"/>
  <c r="AI148" i="4"/>
  <c r="F40" i="16" s="1"/>
  <c r="E40"/>
  <c r="E28"/>
  <c r="AI136" i="4"/>
  <c r="F28" i="16" s="1"/>
  <c r="AI151" i="4"/>
  <c r="F43" i="16" s="1"/>
  <c r="E43"/>
  <c r="AI137" i="4"/>
  <c r="F29" i="16" s="1"/>
  <c r="E29"/>
  <c r="E33"/>
  <c r="AI141" i="4"/>
  <c r="F33" i="16" s="1"/>
  <c r="AI138" i="4"/>
  <c r="F30" i="16" s="1"/>
  <c r="E30"/>
  <c r="E32"/>
  <c r="AI140" i="4"/>
  <c r="F32" i="16" s="1"/>
  <c r="E44"/>
  <c r="AI152" i="4"/>
  <c r="F44" i="16" s="1"/>
  <c r="AI150" i="4"/>
  <c r="F42" i="16" s="1"/>
  <c r="E42"/>
  <c r="AH133" i="4"/>
  <c r="AD133"/>
  <c r="AF133" s="1"/>
  <c r="J100" i="8"/>
  <c r="AI160" i="4"/>
  <c r="G29" i="8" s="1"/>
  <c r="AH161" i="4"/>
  <c r="F30" i="8" s="1"/>
  <c r="BC101" i="4"/>
  <c r="I39" i="18" s="1"/>
  <c r="H39"/>
  <c r="BC68" i="4"/>
  <c r="I42" i="17" s="1"/>
  <c r="H42"/>
  <c r="AZ70" i="4"/>
  <c r="AS70" s="1"/>
  <c r="AT70" s="1"/>
  <c r="BA69"/>
  <c r="BB69" s="1"/>
  <c r="AS103"/>
  <c r="AT103" s="1"/>
  <c r="AZ104"/>
  <c r="BA103"/>
  <c r="BB102"/>
  <c r="F103" i="8" l="1"/>
  <c r="J103"/>
  <c r="CH165" i="4"/>
  <c r="E25" i="16"/>
  <c r="AI133" i="4"/>
  <c r="F25" i="16" s="1"/>
  <c r="E26"/>
  <c r="AI134" i="4"/>
  <c r="F26" i="16" s="1"/>
  <c r="AH162" i="4"/>
  <c r="F31" i="8" s="1"/>
  <c r="AI161" i="4"/>
  <c r="G30" i="8" s="1"/>
  <c r="BC102" i="4"/>
  <c r="I40" i="18" s="1"/>
  <c r="H40"/>
  <c r="BC69" i="4"/>
  <c r="I43" i="17" s="1"/>
  <c r="H43"/>
  <c r="AZ71" i="4"/>
  <c r="BA71" s="1"/>
  <c r="BA70"/>
  <c r="BB70" s="1"/>
  <c r="BB103"/>
  <c r="AS104"/>
  <c r="AT104" s="1"/>
  <c r="BA104"/>
  <c r="AZ105"/>
  <c r="AH163" l="1"/>
  <c r="F32" i="8" s="1"/>
  <c r="AS71" i="4"/>
  <c r="AT71" s="1"/>
  <c r="AI162"/>
  <c r="G31" i="8" s="1"/>
  <c r="BC103" i="4"/>
  <c r="I41" i="18" s="1"/>
  <c r="H41"/>
  <c r="BC70" i="4"/>
  <c r="I44" i="17" s="1"/>
  <c r="H44"/>
  <c r="AZ72" i="4"/>
  <c r="AS72" s="1"/>
  <c r="AT72" s="1"/>
  <c r="BB71"/>
  <c r="AS105"/>
  <c r="AT105" s="1"/>
  <c r="BA105"/>
  <c r="AZ106"/>
  <c r="BB104"/>
  <c r="AI163" l="1"/>
  <c r="G32" i="8" s="1"/>
  <c r="AH164" i="4"/>
  <c r="F33" i="8" s="1"/>
  <c r="BC104" i="4"/>
  <c r="I42" i="18" s="1"/>
  <c r="H42"/>
  <c r="BC71" i="4"/>
  <c r="I45" i="17" s="1"/>
  <c r="H45"/>
  <c r="AZ73" i="4"/>
  <c r="AS73" s="1"/>
  <c r="AT73" s="1"/>
  <c r="BA72"/>
  <c r="BB72" s="1"/>
  <c r="AS106"/>
  <c r="AT106" s="1"/>
  <c r="AZ107"/>
  <c r="BA106"/>
  <c r="BB105"/>
  <c r="AH165" l="1"/>
  <c r="F34" i="8" s="1"/>
  <c r="AI164" i="4"/>
  <c r="G33" i="8" s="1"/>
  <c r="BC105" i="4"/>
  <c r="I43" i="18" s="1"/>
  <c r="H43"/>
  <c r="BC72" i="4"/>
  <c r="I46" i="17" s="1"/>
  <c r="H46"/>
  <c r="AZ74" i="4"/>
  <c r="BA74" s="1"/>
  <c r="BA73"/>
  <c r="BB73" s="1"/>
  <c r="BB106"/>
  <c r="AS107"/>
  <c r="AT107" s="1"/>
  <c r="BA107"/>
  <c r="AZ108"/>
  <c r="AS74"/>
  <c r="AT74" s="1"/>
  <c r="AH166" l="1"/>
  <c r="F35" i="8" s="1"/>
  <c r="AI165" i="4"/>
  <c r="G34" i="8" s="1"/>
  <c r="BC106" i="4"/>
  <c r="I44" i="18" s="1"/>
  <c r="H44"/>
  <c r="BC73" i="4"/>
  <c r="I47" i="17" s="1"/>
  <c r="H47"/>
  <c r="AZ75" i="4"/>
  <c r="AZ76" s="1"/>
  <c r="BB107"/>
  <c r="BB74"/>
  <c r="AS108"/>
  <c r="AT108" s="1"/>
  <c r="BA108"/>
  <c r="AZ109"/>
  <c r="AI166" l="1"/>
  <c r="G35" i="8" s="1"/>
  <c r="AH167" i="4"/>
  <c r="F36" i="8" s="1"/>
  <c r="BC107" i="4"/>
  <c r="I45" i="18" s="1"/>
  <c r="H45"/>
  <c r="BC74" i="4"/>
  <c r="I48" i="17" s="1"/>
  <c r="H48"/>
  <c r="AS75" i="4"/>
  <c r="AT75" s="1"/>
  <c r="BA75"/>
  <c r="AI167"/>
  <c r="G36" i="8" s="1"/>
  <c r="AS76" i="4"/>
  <c r="AT76" s="1"/>
  <c r="BA76"/>
  <c r="AZ77"/>
  <c r="AS109"/>
  <c r="AT109" s="1"/>
  <c r="AZ110"/>
  <c r="BA109"/>
  <c r="BB108"/>
  <c r="AH168" l="1"/>
  <c r="F37" i="8" s="1"/>
  <c r="BC108" i="4"/>
  <c r="I46" i="18" s="1"/>
  <c r="H46"/>
  <c r="BB75" i="4"/>
  <c r="AI168"/>
  <c r="G37" i="8" s="1"/>
  <c r="AS110" i="4"/>
  <c r="AT110" s="1"/>
  <c r="AZ111"/>
  <c r="BA110"/>
  <c r="BB109"/>
  <c r="AS77"/>
  <c r="AT77" s="1"/>
  <c r="BA77"/>
  <c r="AZ78"/>
  <c r="BB76"/>
  <c r="AH169" l="1"/>
  <c r="F38" i="8" s="1"/>
  <c r="BC76" i="4"/>
  <c r="I50" i="17" s="1"/>
  <c r="H50"/>
  <c r="BC109" i="4"/>
  <c r="I47" i="18" s="1"/>
  <c r="H47"/>
  <c r="BC75" i="4"/>
  <c r="I49" i="17" s="1"/>
  <c r="H49"/>
  <c r="BB110" i="4"/>
  <c r="AS78"/>
  <c r="AT78" s="1"/>
  <c r="BA78"/>
  <c r="BB77"/>
  <c r="AS111"/>
  <c r="AT111" s="1"/>
  <c r="AZ112"/>
  <c r="BA111"/>
  <c r="AI169" l="1"/>
  <c r="G38" i="8" s="1"/>
  <c r="AH170" i="4"/>
  <c r="F39" i="8" s="1"/>
  <c r="BC110" i="4"/>
  <c r="I48" i="18" s="1"/>
  <c r="H48"/>
  <c r="BC77" i="4"/>
  <c r="I51" i="17" s="1"/>
  <c r="H51"/>
  <c r="BB111" i="4"/>
  <c r="AS112"/>
  <c r="AT112" s="1"/>
  <c r="BA112"/>
  <c r="AZ113"/>
  <c r="BB78"/>
  <c r="AH171" l="1"/>
  <c r="F40" i="8" s="1"/>
  <c r="AI170" i="4"/>
  <c r="G39" i="8" s="1"/>
  <c r="BC78" i="4"/>
  <c r="I52" i="17" s="1"/>
  <c r="H52"/>
  <c r="BC111" i="4"/>
  <c r="I49" i="18" s="1"/>
  <c r="H49"/>
  <c r="AS113" i="4"/>
  <c r="AT113" s="1"/>
  <c r="AZ114"/>
  <c r="BA113"/>
  <c r="BB112"/>
  <c r="AH172" l="1"/>
  <c r="F41" i="8" s="1"/>
  <c r="AI171" i="4"/>
  <c r="G40" i="8" s="1"/>
  <c r="BC112" i="4"/>
  <c r="I50" i="18" s="1"/>
  <c r="H50"/>
  <c r="BB113" i="4"/>
  <c r="AS114"/>
  <c r="AT114" s="1"/>
  <c r="AZ115"/>
  <c r="BA114"/>
  <c r="AH173" l="1"/>
  <c r="F42" i="8" s="1"/>
  <c r="AI172" i="4"/>
  <c r="G41" i="8" s="1"/>
  <c r="BC113" i="4"/>
  <c r="I51" i="18" s="1"/>
  <c r="H51"/>
  <c r="AH174" i="4"/>
  <c r="F43" i="8" s="1"/>
  <c r="AI173" i="4"/>
  <c r="G42" i="8" s="1"/>
  <c r="AS115" i="4"/>
  <c r="AT115" s="1"/>
  <c r="BA115"/>
  <c r="AZ116"/>
  <c r="BB114"/>
  <c r="BC114" l="1"/>
  <c r="I52" i="18" s="1"/>
  <c r="H52"/>
  <c r="AH175" i="4"/>
  <c r="F44" i="8" s="1"/>
  <c r="AI174" i="4"/>
  <c r="G43" i="8" s="1"/>
  <c r="BB115" i="4"/>
  <c r="AS116"/>
  <c r="AT116" s="1"/>
  <c r="BA116"/>
  <c r="AZ117"/>
  <c r="BC115" l="1"/>
  <c r="I53" i="18" s="1"/>
  <c r="H53"/>
  <c r="AH176" i="4"/>
  <c r="F45" i="8" s="1"/>
  <c r="AI175" i="4"/>
  <c r="G44" i="8" s="1"/>
  <c r="BB116" i="4"/>
  <c r="AS117"/>
  <c r="AT117" s="1"/>
  <c r="BA117"/>
  <c r="BC116" l="1"/>
  <c r="I54" i="18" s="1"/>
  <c r="H54"/>
  <c r="AH177" i="4"/>
  <c r="F46" i="8" s="1"/>
  <c r="AI176" i="4"/>
  <c r="G45" i="8" s="1"/>
  <c r="BB117" i="4"/>
  <c r="BC117" l="1"/>
  <c r="I55" i="18" s="1"/>
  <c r="H55"/>
  <c r="AH178" i="4"/>
  <c r="F47" i="8" s="1"/>
  <c r="AI177" i="4"/>
  <c r="G46" i="8" s="1"/>
  <c r="BO73" i="2"/>
  <c r="AH18" i="3" l="1"/>
  <c r="AH2" s="1"/>
  <c r="AH16"/>
  <c r="AH179" i="4"/>
  <c r="F48" i="8" s="1"/>
  <c r="AI178" i="4"/>
  <c r="G47" i="8" s="1"/>
  <c r="E3" i="3"/>
  <c r="AB3" s="1"/>
  <c r="AB9" s="1"/>
  <c r="AB2" s="1"/>
  <c r="E9"/>
  <c r="E2" s="1"/>
  <c r="AQ16" l="1"/>
  <c r="AN16"/>
  <c r="AP16"/>
  <c r="AO16"/>
  <c r="AQ18"/>
  <c r="AN18"/>
  <c r="AO18"/>
  <c r="AP18"/>
  <c r="AS9"/>
  <c r="AS2" s="1"/>
  <c r="E18" i="1"/>
  <c r="AH180" i="4"/>
  <c r="F49" i="8" s="1"/>
  <c r="AI179" i="4"/>
  <c r="G48" i="8" s="1"/>
  <c r="AJ355" i="2"/>
  <c r="AI355"/>
  <c r="AH355"/>
  <c r="AG355"/>
  <c r="AD9" i="3"/>
  <c r="AF9"/>
  <c r="AC9"/>
  <c r="AE9"/>
  <c r="AN9" l="1"/>
  <c r="AY9" s="1"/>
  <c r="AC2"/>
  <c r="AO9"/>
  <c r="AD2"/>
  <c r="AN2"/>
  <c r="E19" i="1" s="1"/>
  <c r="AP9" i="3"/>
  <c r="AP2" s="1"/>
  <c r="AE2"/>
  <c r="AQ9"/>
  <c r="AQ2" s="1"/>
  <c r="AF2"/>
  <c r="AO2"/>
  <c r="AV18"/>
  <c r="AL18"/>
  <c r="AJ18"/>
  <c r="AT18"/>
  <c r="AY18"/>
  <c r="AU16"/>
  <c r="F13" i="15" s="1"/>
  <c r="AK16" i="3"/>
  <c r="AY16"/>
  <c r="AT16"/>
  <c r="AJ16"/>
  <c r="AU18"/>
  <c r="AK18"/>
  <c r="AK2" s="1"/>
  <c r="AW18"/>
  <c r="AM18"/>
  <c r="AM2" s="1"/>
  <c r="AV16"/>
  <c r="G13" i="15" s="1"/>
  <c r="AL16" i="3"/>
  <c r="AM16"/>
  <c r="AW16"/>
  <c r="H13" i="15" s="1"/>
  <c r="I18" i="1"/>
  <c r="G18" s="1"/>
  <c r="E25" i="11"/>
  <c r="L13"/>
  <c r="AH181" i="4"/>
  <c r="F50" i="8" s="1"/>
  <c r="AI180" i="4"/>
  <c r="G49" i="8" s="1"/>
  <c r="AL2" i="3" l="1"/>
  <c r="AJ2"/>
  <c r="E49" i="15"/>
  <c r="E50"/>
  <c r="AY2" i="3"/>
  <c r="E46" i="9"/>
  <c r="E45"/>
  <c r="H12"/>
  <c r="F12"/>
  <c r="G12"/>
  <c r="E45" i="15"/>
  <c r="E47"/>
  <c r="E48"/>
  <c r="E42"/>
  <c r="E40"/>
  <c r="E30"/>
  <c r="E31"/>
  <c r="E34"/>
  <c r="E33"/>
  <c r="E36"/>
  <c r="BW196" i="4"/>
  <c r="CA196"/>
  <c r="CE196"/>
  <c r="BV197"/>
  <c r="BZ197"/>
  <c r="CD197"/>
  <c r="BU198"/>
  <c r="BY198"/>
  <c r="CC198"/>
  <c r="BU199"/>
  <c r="BY199"/>
  <c r="CC199"/>
  <c r="BO200"/>
  <c r="BO201" s="1"/>
  <c r="BW200"/>
  <c r="CA200"/>
  <c r="CE200"/>
  <c r="BX201"/>
  <c r="CB201"/>
  <c r="CF201"/>
  <c r="BV202"/>
  <c r="BZ202"/>
  <c r="CD202"/>
  <c r="BW203"/>
  <c r="CA203"/>
  <c r="CE203"/>
  <c r="CA204"/>
  <c r="CE204"/>
  <c r="BZ205"/>
  <c r="CD205"/>
  <c r="BT206"/>
  <c r="CA206"/>
  <c r="CE206"/>
  <c r="BW207"/>
  <c r="CC207"/>
  <c r="BU208"/>
  <c r="CB208"/>
  <c r="CF208"/>
  <c r="CA209"/>
  <c r="CF209"/>
  <c r="CB210"/>
  <c r="BX211"/>
  <c r="CE211"/>
  <c r="CB212"/>
  <c r="BZ213"/>
  <c r="CB214"/>
  <c r="CB215"/>
  <c r="CC216"/>
  <c r="CE217"/>
  <c r="CF219"/>
  <c r="BX196"/>
  <c r="CF196"/>
  <c r="CA197"/>
  <c r="BT198"/>
  <c r="CB198"/>
  <c r="BV199"/>
  <c r="CD199"/>
  <c r="BX200"/>
  <c r="CF200"/>
  <c r="CA201"/>
  <c r="BY202"/>
  <c r="BX203"/>
  <c r="CF203"/>
  <c r="BZ204"/>
  <c r="BU205"/>
  <c r="CE205"/>
  <c r="E43" i="15"/>
  <c r="E39"/>
  <c r="E35"/>
  <c r="E37"/>
  <c r="E32"/>
  <c r="BU196" i="4"/>
  <c r="CC196"/>
  <c r="BX197"/>
  <c r="CF197"/>
  <c r="CA198"/>
  <c r="BW199"/>
  <c r="CE199"/>
  <c r="BY200"/>
  <c r="BV201"/>
  <c r="CD201"/>
  <c r="BX202"/>
  <c r="CF202"/>
  <c r="CC203"/>
  <c r="CC204"/>
  <c r="CB205"/>
  <c r="BX206"/>
  <c r="BT207"/>
  <c r="CE207"/>
  <c r="CD208"/>
  <c r="CD209"/>
  <c r="CE210"/>
  <c r="BY212"/>
  <c r="CC213"/>
  <c r="CE215"/>
  <c r="CF218"/>
  <c r="CB196"/>
  <c r="CE197"/>
  <c r="CF198"/>
  <c r="BT200"/>
  <c r="BW201"/>
  <c r="CC202"/>
  <c r="BV204"/>
  <c r="CA205"/>
  <c r="CB206"/>
  <c r="BY207"/>
  <c r="BZ208"/>
  <c r="BV209"/>
  <c r="BW210"/>
  <c r="CC211"/>
  <c r="CE213"/>
  <c r="CD216"/>
  <c r="BV196"/>
  <c r="CD196"/>
  <c r="BY197"/>
  <c r="BV198"/>
  <c r="CD198"/>
  <c r="BX199"/>
  <c r="CF199"/>
  <c r="BZ200"/>
  <c r="BU201"/>
  <c r="CC201"/>
  <c r="CA202"/>
  <c r="BU203"/>
  <c r="CD203"/>
  <c r="BX204"/>
  <c r="CF204"/>
  <c r="CC205"/>
  <c r="CD206"/>
  <c r="CB207"/>
  <c r="BV208"/>
  <c r="BY209"/>
  <c r="BZ210"/>
  <c r="BY211"/>
  <c r="BZ212"/>
  <c r="CA214"/>
  <c r="CD217"/>
  <c r="E46" i="15"/>
  <c r="E28"/>
  <c r="E29"/>
  <c r="BT197" i="4"/>
  <c r="BW198"/>
  <c r="CA199"/>
  <c r="CC200"/>
  <c r="BT202"/>
  <c r="BY203"/>
  <c r="BW205"/>
  <c r="CC206"/>
  <c r="BX208"/>
  <c r="BX210"/>
  <c r="CF212"/>
  <c r="CF216"/>
  <c r="BW197"/>
  <c r="BZ199"/>
  <c r="CE201"/>
  <c r="CD204"/>
  <c r="CF206"/>
  <c r="CE208"/>
  <c r="CD210"/>
  <c r="CD214"/>
  <c r="BZ196"/>
  <c r="CC197"/>
  <c r="BT199"/>
  <c r="BV200"/>
  <c r="BY201"/>
  <c r="CE202"/>
  <c r="BT204"/>
  <c r="BY205"/>
  <c r="BU207"/>
  <c r="CC208"/>
  <c r="CF210"/>
  <c r="CA213"/>
  <c r="E44" i="15"/>
  <c r="E41"/>
  <c r="E38"/>
  <c r="BY196" i="4"/>
  <c r="CB197"/>
  <c r="CE198"/>
  <c r="BU200"/>
  <c r="BZ201"/>
  <c r="CB202"/>
  <c r="BY204"/>
  <c r="CF205"/>
  <c r="CA207"/>
  <c r="BW209"/>
  <c r="CA211"/>
  <c r="CF214"/>
  <c r="BT196"/>
  <c r="BX198"/>
  <c r="CB200"/>
  <c r="CB203"/>
  <c r="BV206"/>
  <c r="CD207"/>
  <c r="CC209"/>
  <c r="CD212"/>
  <c r="CE218"/>
  <c r="BU197"/>
  <c r="BZ198"/>
  <c r="CB199"/>
  <c r="CD200"/>
  <c r="BW202"/>
  <c r="BZ203"/>
  <c r="CB204"/>
  <c r="BZ206"/>
  <c r="CF207"/>
  <c r="CE209"/>
  <c r="CF211"/>
  <c r="CC215"/>
  <c r="E12" i="9"/>
  <c r="E27" s="1"/>
  <c r="CN195" i="4"/>
  <c r="CV195"/>
  <c r="CU195"/>
  <c r="CX195"/>
  <c r="CW195"/>
  <c r="CO195"/>
  <c r="CQ195"/>
  <c r="CY195"/>
  <c r="CT195"/>
  <c r="CM195"/>
  <c r="CR195"/>
  <c r="CP195"/>
  <c r="CS195"/>
  <c r="AZ18" i="3"/>
  <c r="E13" i="15"/>
  <c r="E27" s="1"/>
  <c r="BW195" i="4"/>
  <c r="CA195"/>
  <c r="CE195"/>
  <c r="BX195"/>
  <c r="CF195"/>
  <c r="BZ195"/>
  <c r="AZ16" i="3"/>
  <c r="J12" i="15" s="1"/>
  <c r="BU195" i="4"/>
  <c r="CC195"/>
  <c r="CB195"/>
  <c r="CD195"/>
  <c r="BY195"/>
  <c r="BT195"/>
  <c r="BV195"/>
  <c r="CM196"/>
  <c r="E34" i="9"/>
  <c r="E42"/>
  <c r="E31"/>
  <c r="E41"/>
  <c r="CT197" i="4"/>
  <c r="CT209"/>
  <c r="CR198"/>
  <c r="CY212"/>
  <c r="E38" i="9"/>
  <c r="E39"/>
  <c r="E33"/>
  <c r="CP203" i="4"/>
  <c r="CR203"/>
  <c r="E30" i="9"/>
  <c r="CR202" i="4"/>
  <c r="CX206"/>
  <c r="CY209"/>
  <c r="CS205"/>
  <c r="E37" i="9"/>
  <c r="E43"/>
  <c r="E28"/>
  <c r="E40"/>
  <c r="E32"/>
  <c r="CY204" i="4"/>
  <c r="CX199"/>
  <c r="CX205"/>
  <c r="CX212"/>
  <c r="CW203"/>
  <c r="CW198"/>
  <c r="CV210"/>
  <c r="CV205"/>
  <c r="CW202"/>
  <c r="CR200"/>
  <c r="CY197"/>
  <c r="CX207"/>
  <c r="CM202"/>
  <c r="CX196"/>
  <c r="CY207"/>
  <c r="CT204"/>
  <c r="CV201"/>
  <c r="CQ199"/>
  <c r="CY196"/>
  <c r="CV211"/>
  <c r="CU208"/>
  <c r="CT206"/>
  <c r="CU204"/>
  <c r="CN203"/>
  <c r="CY201"/>
  <c r="CV200"/>
  <c r="CT199"/>
  <c r="CN198"/>
  <c r="CN196"/>
  <c r="CW208"/>
  <c r="CP205"/>
  <c r="CU202"/>
  <c r="CP200"/>
  <c r="CS197"/>
  <c r="CW211"/>
  <c r="CV208"/>
  <c r="CU206"/>
  <c r="CX204"/>
  <c r="CS203"/>
  <c r="CN202"/>
  <c r="CW200"/>
  <c r="CU199"/>
  <c r="CS198"/>
  <c r="CP197"/>
  <c r="CS196"/>
  <c r="CN197"/>
  <c r="CV197"/>
  <c r="CQ198"/>
  <c r="CY198"/>
  <c r="CS199"/>
  <c r="CM200"/>
  <c r="CU200"/>
  <c r="CP201"/>
  <c r="CX201"/>
  <c r="CT202"/>
  <c r="CQ203"/>
  <c r="CY203"/>
  <c r="CV204"/>
  <c r="CU205"/>
  <c r="CS206"/>
  <c r="CS207"/>
  <c r="CT208"/>
  <c r="CV209"/>
  <c r="CY210"/>
  <c r="CY213"/>
  <c r="CO197"/>
  <c r="CT198"/>
  <c r="CV199"/>
  <c r="CO201"/>
  <c r="CQ202"/>
  <c r="CT203"/>
  <c r="CW204"/>
  <c r="CR206"/>
  <c r="CS208"/>
  <c r="CX210"/>
  <c r="CY214"/>
  <c r="CM197"/>
  <c r="CM201"/>
  <c r="CP198"/>
  <c r="CY199"/>
  <c r="E29" i="9"/>
  <c r="E35"/>
  <c r="E44"/>
  <c r="E36"/>
  <c r="CY208" i="4"/>
  <c r="CO202"/>
  <c r="CV196"/>
  <c r="CX200"/>
  <c r="CY206"/>
  <c r="CN201"/>
  <c r="CQ196"/>
  <c r="CV207"/>
  <c r="CQ204"/>
  <c r="CU201"/>
  <c r="CP199"/>
  <c r="CX213"/>
  <c r="CS204"/>
  <c r="CR199"/>
  <c r="CW210"/>
  <c r="CQ206"/>
  <c r="CO203"/>
  <c r="CS200"/>
  <c r="CO198"/>
  <c r="CW209"/>
  <c r="CR207"/>
  <c r="CR205"/>
  <c r="CV203"/>
  <c r="CS202"/>
  <c r="CQ201"/>
  <c r="CN200"/>
  <c r="CV198"/>
  <c r="CQ197"/>
  <c r="CX211"/>
  <c r="CV206"/>
  <c r="CX203"/>
  <c r="CS201"/>
  <c r="CX198"/>
  <c r="CP196"/>
  <c r="CX209"/>
  <c r="CU207"/>
  <c r="CW205"/>
  <c r="CP204"/>
  <c r="CV202"/>
  <c r="CR201"/>
  <c r="CO200"/>
  <c r="CM199"/>
  <c r="CX197"/>
  <c r="CU196"/>
  <c r="CO196"/>
  <c r="CW196"/>
  <c r="CR197"/>
  <c r="CM198"/>
  <c r="CU198"/>
  <c r="CO199"/>
  <c r="CW199"/>
  <c r="CQ200"/>
  <c r="CY200"/>
  <c r="CT201"/>
  <c r="CP202"/>
  <c r="CX202"/>
  <c r="CU203"/>
  <c r="CR204"/>
  <c r="CQ205"/>
  <c r="CY205"/>
  <c r="CW206"/>
  <c r="CW207"/>
  <c r="CX208"/>
  <c r="CU210"/>
  <c r="CY211"/>
  <c r="CT196"/>
  <c r="CW197"/>
  <c r="CN199"/>
  <c r="CT200"/>
  <c r="CW201"/>
  <c r="CY202"/>
  <c r="CO204"/>
  <c r="CT205"/>
  <c r="CT207"/>
  <c r="CU209"/>
  <c r="CW212"/>
  <c r="CR196"/>
  <c r="CU197"/>
  <c r="E30" i="10"/>
  <c r="E34"/>
  <c r="E38"/>
  <c r="E42"/>
  <c r="E46"/>
  <c r="E27"/>
  <c r="E35"/>
  <c r="E43"/>
  <c r="E49"/>
  <c r="E53"/>
  <c r="E57"/>
  <c r="E33"/>
  <c r="E41"/>
  <c r="E48"/>
  <c r="E28"/>
  <c r="E36"/>
  <c r="E44"/>
  <c r="E31"/>
  <c r="E47"/>
  <c r="E55"/>
  <c r="E37"/>
  <c r="E50"/>
  <c r="E54"/>
  <c r="E58"/>
  <c r="E32"/>
  <c r="E40"/>
  <c r="E39"/>
  <c r="E51"/>
  <c r="E59"/>
  <c r="E29"/>
  <c r="E45"/>
  <c r="E52"/>
  <c r="E56"/>
  <c r="E26"/>
  <c r="AT9" i="3"/>
  <c r="AT2" s="1"/>
  <c r="AH182" i="4"/>
  <c r="F51" i="8" s="1"/>
  <c r="AI181" i="4"/>
  <c r="G50" i="8" s="1"/>
  <c r="AU9" i="3"/>
  <c r="AU2" s="1"/>
  <c r="E20" i="1"/>
  <c r="AW9" i="3"/>
  <c r="AW2" s="1"/>
  <c r="E22" i="1"/>
  <c r="AV9" i="3"/>
  <c r="AV2" s="1"/>
  <c r="E21" i="1"/>
  <c r="BK359" i="2"/>
  <c r="J11" i="9" l="1"/>
  <c r="K38" i="15"/>
  <c r="K42" s="1"/>
  <c r="CP192" i="4"/>
  <c r="CM192"/>
  <c r="CY192"/>
  <c r="CO192"/>
  <c r="CX192"/>
  <c r="CV192"/>
  <c r="D53" i="9"/>
  <c r="D57" s="1"/>
  <c r="CS192" i="4"/>
  <c r="CR192"/>
  <c r="CT192"/>
  <c r="CQ192"/>
  <c r="CW192"/>
  <c r="CU192"/>
  <c r="CN192"/>
  <c r="BW204"/>
  <c r="BT203"/>
  <c r="BX205"/>
  <c r="CF217"/>
  <c r="BW208"/>
  <c r="CA210"/>
  <c r="CE212"/>
  <c r="CC214"/>
  <c r="CE216"/>
  <c r="BV205"/>
  <c r="BY206"/>
  <c r="CC212"/>
  <c r="CF215"/>
  <c r="BZ211"/>
  <c r="BV203"/>
  <c r="BU206"/>
  <c r="CC210"/>
  <c r="CE214"/>
  <c r="CB209"/>
  <c r="BU204"/>
  <c r="BU202"/>
  <c r="BT205"/>
  <c r="BX207"/>
  <c r="BW206"/>
  <c r="CA208"/>
  <c r="CA212"/>
  <c r="CD213"/>
  <c r="CD215"/>
  <c r="BT201"/>
  <c r="BZ207"/>
  <c r="BY210"/>
  <c r="CF213"/>
  <c r="CD211"/>
  <c r="BZ209"/>
  <c r="BV207"/>
  <c r="BY208"/>
  <c r="CB213"/>
  <c r="CB211"/>
  <c r="BX209"/>
  <c r="I22" i="1"/>
  <c r="G22" s="1"/>
  <c r="I12" i="10"/>
  <c r="AZ9" i="3"/>
  <c r="AZ2" s="1"/>
  <c r="F12" i="10"/>
  <c r="E25"/>
  <c r="I21" i="1"/>
  <c r="G21" s="1"/>
  <c r="H12" i="10"/>
  <c r="I20" i="1"/>
  <c r="G12" i="10"/>
  <c r="I19" i="1"/>
  <c r="G19" s="1"/>
  <c r="G20"/>
  <c r="AH183" i="4"/>
  <c r="AI182"/>
  <c r="G51" i="8" s="1"/>
  <c r="BM359" i="2"/>
  <c r="AH437" s="1"/>
  <c r="BO359"/>
  <c r="AJ437" s="1"/>
  <c r="BN359"/>
  <c r="AI437" s="1"/>
  <c r="BL359"/>
  <c r="AG437" s="1"/>
  <c r="CM191" i="4" l="1"/>
  <c r="CD192"/>
  <c r="BT192"/>
  <c r="CA192"/>
  <c r="BU192"/>
  <c r="CC192"/>
  <c r="CB192"/>
  <c r="CF192"/>
  <c r="BZ192"/>
  <c r="BV192"/>
  <c r="BY192"/>
  <c r="CE192"/>
  <c r="BX192"/>
  <c r="BW192"/>
  <c r="K10" i="10"/>
  <c r="AG438" i="2"/>
  <c r="J51" i="11"/>
  <c r="J51" i="10"/>
  <c r="AJ438" i="2"/>
  <c r="M51" i="11"/>
  <c r="M51" i="10"/>
  <c r="AI438" i="2"/>
  <c r="L51" i="11"/>
  <c r="L51" i="10"/>
  <c r="AH438" i="2"/>
  <c r="K51" i="11"/>
  <c r="K51" i="10"/>
  <c r="AI183" i="4"/>
  <c r="G52" i="8" s="1"/>
  <c r="F52"/>
  <c r="BT191" i="4" l="1"/>
  <c r="K52" i="11"/>
  <c r="K52" i="10"/>
  <c r="M52" i="11"/>
  <c r="M52" i="10"/>
  <c r="L52" i="11"/>
  <c r="L52" i="10"/>
  <c r="J52" i="11"/>
  <c r="J52" i="10"/>
  <c r="K9" i="25" l="1"/>
  <c r="K10"/>
  <c r="K11"/>
  <c r="K12"/>
  <c r="K13"/>
  <c r="K14"/>
  <c r="K16"/>
  <c r="K17"/>
  <c r="K15" l="1"/>
  <c r="P12"/>
  <c r="P14"/>
  <c r="P16"/>
  <c r="P13"/>
  <c r="P15"/>
  <c r="P17"/>
  <c r="Q17" l="1"/>
  <c r="R17" s="1"/>
  <c r="Q13"/>
  <c r="R13" s="1"/>
  <c r="Q16"/>
  <c r="R16" s="1"/>
  <c r="Q12"/>
  <c r="R12" s="1"/>
  <c r="Q15"/>
  <c r="R15" s="1"/>
  <c r="Q14"/>
  <c r="R14" s="1"/>
  <c r="P11"/>
  <c r="P10"/>
  <c r="P9"/>
  <c r="Q9" l="1"/>
  <c r="R9" s="1"/>
  <c r="J74" i="27" s="1"/>
  <c r="Q10" i="25"/>
  <c r="R10" s="1"/>
  <c r="Q11"/>
  <c r="R11" s="1"/>
  <c r="R18" l="1"/>
  <c r="W2" i="28" l="1"/>
  <c r="W4" s="1"/>
  <c r="Y2"/>
  <c r="AB2"/>
  <c r="AB4" s="1"/>
  <c r="Y4" l="1"/>
  <c r="Z2"/>
  <c r="AD2"/>
  <c r="S3"/>
  <c r="T3"/>
  <c r="V4"/>
  <c r="Y90" i="29" l="1"/>
  <c r="AA90" s="1"/>
  <c r="AB90" s="1"/>
  <c r="Y89"/>
  <c r="AA89" s="1"/>
  <c r="AB89" s="1"/>
  <c r="Y72"/>
  <c r="Y74"/>
  <c r="Y81"/>
  <c r="AA81" s="1"/>
  <c r="AB81" s="1"/>
  <c r="Y87"/>
  <c r="AA87" s="1"/>
  <c r="AB87" s="1"/>
  <c r="Y84"/>
  <c r="AA84" s="1"/>
  <c r="AB84" s="1"/>
  <c r="Y88"/>
  <c r="AA88" s="1"/>
  <c r="AB88" s="1"/>
  <c r="B85"/>
  <c r="S2" i="28"/>
  <c r="S4" s="1"/>
  <c r="T2"/>
  <c r="T4" s="1"/>
  <c r="Z4"/>
  <c r="AA2"/>
  <c r="AA4" s="1"/>
  <c r="S21"/>
  <c r="X2"/>
  <c r="X4" s="1"/>
  <c r="AE2"/>
  <c r="AE4" s="1"/>
  <c r="AD4"/>
  <c r="L46" i="30" l="1"/>
  <c r="L47"/>
  <c r="Y75" i="29"/>
  <c r="L35" i="30"/>
  <c r="L37"/>
  <c r="L39"/>
  <c r="L41"/>
  <c r="L30"/>
  <c r="L38"/>
  <c r="L42"/>
  <c r="L43"/>
  <c r="L45"/>
  <c r="L36"/>
  <c r="L40"/>
  <c r="L29"/>
  <c r="L31"/>
  <c r="L33"/>
  <c r="L34"/>
  <c r="L28"/>
  <c r="L32"/>
  <c r="L44"/>
  <c r="AC89" i="29"/>
  <c r="AD89" s="1"/>
  <c r="AC90"/>
  <c r="AD90" s="1"/>
  <c r="AE10"/>
  <c r="Y10" s="1"/>
  <c r="AE9"/>
  <c r="Y9" s="1"/>
  <c r="AD9" s="1"/>
  <c r="X71" s="1"/>
  <c r="B86"/>
  <c r="B87" s="1"/>
  <c r="B88" s="1"/>
  <c r="B89" s="1"/>
  <c r="B90" s="1"/>
  <c r="B91" s="1"/>
  <c r="B92" s="1"/>
  <c r="B93" s="1"/>
  <c r="B94" s="1"/>
  <c r="B95" s="1"/>
  <c r="B96" s="1"/>
  <c r="B97" s="1"/>
  <c r="B98" s="1"/>
  <c r="B99" s="1"/>
  <c r="B100" s="1"/>
  <c r="B101" s="1"/>
  <c r="B102" s="1"/>
  <c r="B103" s="1"/>
  <c r="B104" s="1"/>
  <c r="AC88"/>
  <c r="AD88" s="1"/>
  <c r="AC84"/>
  <c r="AD84" s="1"/>
  <c r="K44" i="30"/>
  <c r="AC81" i="29"/>
  <c r="AD81" s="1"/>
  <c r="Y83"/>
  <c r="AA83" s="1"/>
  <c r="AB83" s="1"/>
  <c r="Y86"/>
  <c r="AA86" s="1"/>
  <c r="AB86" s="1"/>
  <c r="Y79"/>
  <c r="AA79" s="1"/>
  <c r="AB79" s="1"/>
  <c r="Y73"/>
  <c r="Y71"/>
  <c r="Y85"/>
  <c r="AA85" s="1"/>
  <c r="AB85" s="1"/>
  <c r="Y82"/>
  <c r="AA82" s="1"/>
  <c r="AB82" s="1"/>
  <c r="Y80"/>
  <c r="AA80" s="1"/>
  <c r="AB80" s="1"/>
  <c r="Y78"/>
  <c r="AA78" s="1"/>
  <c r="AB78" s="1"/>
  <c r="Y77"/>
  <c r="AA77" s="1"/>
  <c r="AB77" s="1"/>
  <c r="Y76"/>
  <c r="AA76" s="1"/>
  <c r="AB76" s="1"/>
  <c r="K46" i="30" l="1"/>
  <c r="K47"/>
  <c r="AF90" i="29"/>
  <c r="R90"/>
  <c r="R89"/>
  <c r="AF89"/>
  <c r="AC87"/>
  <c r="AD87" s="1"/>
  <c r="R87" s="1"/>
  <c r="K38" i="30"/>
  <c r="K45"/>
  <c r="K41"/>
  <c r="R81" i="29"/>
  <c r="AF81"/>
  <c r="O38" i="30" s="1"/>
  <c r="R88" i="29"/>
  <c r="AF88"/>
  <c r="O45" i="30" s="1"/>
  <c r="R84" i="29"/>
  <c r="AF84"/>
  <c r="O41" i="30" s="1"/>
  <c r="AC76" i="29"/>
  <c r="AD76" s="1"/>
  <c r="AC78"/>
  <c r="AD78" s="1"/>
  <c r="AC82"/>
  <c r="AD82" s="1"/>
  <c r="K36" i="30"/>
  <c r="K40"/>
  <c r="AA71" i="29"/>
  <c r="AB71" s="1"/>
  <c r="K34" i="30"/>
  <c r="K37"/>
  <c r="K42"/>
  <c r="AC86" i="29"/>
  <c r="AD86" s="1"/>
  <c r="Y11"/>
  <c r="AD10"/>
  <c r="X72" s="1"/>
  <c r="AA72" s="1"/>
  <c r="AB72" s="1"/>
  <c r="AF87" l="1"/>
  <c r="O44" i="30" s="1"/>
  <c r="O46"/>
  <c r="C103" i="29"/>
  <c r="T89"/>
  <c r="O47" i="30"/>
  <c r="C104" i="29"/>
  <c r="T90"/>
  <c r="AC85"/>
  <c r="AD85" s="1"/>
  <c r="R85" s="1"/>
  <c r="AC80"/>
  <c r="AD80" s="1"/>
  <c r="R80" s="1"/>
  <c r="AC77"/>
  <c r="AD77" s="1"/>
  <c r="R77" s="1"/>
  <c r="AC83"/>
  <c r="AD83" s="1"/>
  <c r="R83" s="1"/>
  <c r="AC79"/>
  <c r="AD79" s="1"/>
  <c r="AF79" s="1"/>
  <c r="O36" i="30" s="1"/>
  <c r="K35"/>
  <c r="K39"/>
  <c r="K43"/>
  <c r="K33"/>
  <c r="R78" i="29"/>
  <c r="AF78"/>
  <c r="O35" i="30" s="1"/>
  <c r="R86" i="29"/>
  <c r="AF86"/>
  <c r="O43" i="30" s="1"/>
  <c r="AF82" i="29"/>
  <c r="O39" i="30" s="1"/>
  <c r="R82" i="29"/>
  <c r="AF76"/>
  <c r="O33" i="30" s="1"/>
  <c r="R76" i="29"/>
  <c r="AD11"/>
  <c r="X73" s="1"/>
  <c r="AA73" s="1"/>
  <c r="AB73" s="1"/>
  <c r="Y12"/>
  <c r="AF80"/>
  <c r="O37" i="30" s="1"/>
  <c r="AF77" i="29"/>
  <c r="O34" i="30" s="1"/>
  <c r="C101" i="29"/>
  <c r="C98"/>
  <c r="T84"/>
  <c r="C102"/>
  <c r="T88"/>
  <c r="C95"/>
  <c r="T81"/>
  <c r="K29" i="30"/>
  <c r="K28"/>
  <c r="AF83" i="29" l="1"/>
  <c r="O40" i="30" s="1"/>
  <c r="T87" i="29"/>
  <c r="AE87" s="1"/>
  <c r="N44" i="30" s="1"/>
  <c r="M47"/>
  <c r="AE90" i="29"/>
  <c r="N47" i="30" s="1"/>
  <c r="M46"/>
  <c r="AE89" i="29"/>
  <c r="N46" i="30" s="1"/>
  <c r="R79" i="29"/>
  <c r="AF85"/>
  <c r="O42" i="30" s="1"/>
  <c r="AC71" i="29"/>
  <c r="AD71" s="1"/>
  <c r="AF71" s="1"/>
  <c r="O28" i="30" s="1"/>
  <c r="AC72" i="29"/>
  <c r="AD72" s="1"/>
  <c r="AF72" s="1"/>
  <c r="O29" i="30" s="1"/>
  <c r="AE81" i="29"/>
  <c r="N38" i="30" s="1"/>
  <c r="M38"/>
  <c r="AE88" i="29"/>
  <c r="N45" i="30" s="1"/>
  <c r="M45"/>
  <c r="AE84" i="29"/>
  <c r="N41" i="30" s="1"/>
  <c r="M41"/>
  <c r="R71" i="29"/>
  <c r="C93"/>
  <c r="T79"/>
  <c r="C97"/>
  <c r="T83"/>
  <c r="Y13"/>
  <c r="AD13" s="1"/>
  <c r="X75" s="1"/>
  <c r="AA75" s="1"/>
  <c r="AB75" s="1"/>
  <c r="AD12"/>
  <c r="X74" s="1"/>
  <c r="AA74" s="1"/>
  <c r="AB74" s="1"/>
  <c r="C100"/>
  <c r="T86"/>
  <c r="C92"/>
  <c r="T78"/>
  <c r="C91"/>
  <c r="T77"/>
  <c r="C94"/>
  <c r="T80"/>
  <c r="K30" i="30"/>
  <c r="C90" i="29"/>
  <c r="T76"/>
  <c r="C96"/>
  <c r="T82"/>
  <c r="R72" l="1"/>
  <c r="M44" i="30"/>
  <c r="C99" i="29"/>
  <c r="T85"/>
  <c r="M42" i="30" s="1"/>
  <c r="AE82" i="29"/>
  <c r="N39" i="30" s="1"/>
  <c r="M39"/>
  <c r="AE76" i="29"/>
  <c r="N33" i="30" s="1"/>
  <c r="M33"/>
  <c r="AC73" i="29"/>
  <c r="AD73" s="1"/>
  <c r="R73" s="1"/>
  <c r="AE80"/>
  <c r="N37" i="30" s="1"/>
  <c r="M37"/>
  <c r="AE77" i="29"/>
  <c r="N34" i="30" s="1"/>
  <c r="M34"/>
  <c r="AE78" i="29"/>
  <c r="N35" i="30" s="1"/>
  <c r="M35"/>
  <c r="AE86" i="29"/>
  <c r="N43" i="30" s="1"/>
  <c r="M43"/>
  <c r="AE83" i="29"/>
  <c r="N40" i="30" s="1"/>
  <c r="M40"/>
  <c r="AE79" i="29"/>
  <c r="N36" i="30" s="1"/>
  <c r="M36"/>
  <c r="K31"/>
  <c r="C86" i="29"/>
  <c r="T72"/>
  <c r="C85"/>
  <c r="T71"/>
  <c r="AC75"/>
  <c r="AD75" s="1"/>
  <c r="AF73" l="1"/>
  <c r="O30" i="30" s="1"/>
  <c r="AE85" i="29"/>
  <c r="N42" i="30" s="1"/>
  <c r="AE71" i="29"/>
  <c r="N28" i="30" s="1"/>
  <c r="M28"/>
  <c r="AE72" i="29"/>
  <c r="N29" i="30" s="1"/>
  <c r="M29"/>
  <c r="AC74" i="29"/>
  <c r="AD74" s="1"/>
  <c r="AF74" s="1"/>
  <c r="O31" i="30" s="1"/>
  <c r="K32"/>
  <c r="AF75" i="29"/>
  <c r="O32" i="30" s="1"/>
  <c r="R75" i="29"/>
  <c r="C87"/>
  <c r="T73"/>
  <c r="R74" l="1"/>
  <c r="AE73"/>
  <c r="N30" i="30" s="1"/>
  <c r="M30"/>
  <c r="C88" i="29"/>
  <c r="T74"/>
  <c r="C89"/>
  <c r="T75"/>
  <c r="AE74" l="1"/>
  <c r="N31" i="30" s="1"/>
  <c r="M31"/>
  <c r="AE75" i="29"/>
  <c r="N32" i="30" s="1"/>
  <c r="M32"/>
  <c r="A32" i="29"/>
  <c r="C48" i="30" s="1"/>
</calcChain>
</file>

<file path=xl/sharedStrings.xml><?xml version="1.0" encoding="utf-8"?>
<sst xmlns="http://schemas.openxmlformats.org/spreadsheetml/2006/main" count="6280" uniqueCount="2180">
  <si>
    <t>Monthly</t>
  </si>
  <si>
    <t>Quarterly</t>
  </si>
  <si>
    <t>Half Yearly</t>
  </si>
  <si>
    <t>Yearly</t>
  </si>
  <si>
    <t xml:space="preserve">
63.70</t>
  </si>
  <si>
    <t xml:space="preserve">82.40
</t>
  </si>
  <si>
    <t xml:space="preserve">82.90
</t>
  </si>
  <si>
    <t xml:space="preserve">85.30
</t>
  </si>
  <si>
    <t>Mly</t>
  </si>
  <si>
    <t>Qly</t>
  </si>
  <si>
    <t>Hly</t>
  </si>
  <si>
    <t>Yly</t>
  </si>
  <si>
    <t>A</t>
  </si>
  <si>
    <t>MLY</t>
  </si>
  <si>
    <t>QLY</t>
  </si>
  <si>
    <t>HLY</t>
  </si>
  <si>
    <t>YLY</t>
  </si>
  <si>
    <t>AGE</t>
  </si>
  <si>
    <t>R</t>
  </si>
  <si>
    <t>JOINT LIFE AND LAST SURVIVOR ANNUITY P.A. WITH REDUCING TO 100% PAYABLE TO SPOUSE ON THE DEATH OF ANNUITANT WHICH Rs.1000/- WILL PURCHASE</t>
  </si>
  <si>
    <t>JOINT LIFE AND LAST SURVIVOR ANNUITY P.A. WITH REDUCING TO 50% PAYABLE TO SPOUSE ON THE DEATH OF ANNUITANT WHICH Rs.1000/- WILL PURCHASE</t>
  </si>
  <si>
    <t>IMMEDIATE ANNUITY INCRESING AT SIMPLE RATE 3% P.A. FOR LIFE FOR Rs.1000/- PURCHASE PRICE</t>
  </si>
  <si>
    <t>IMMEDIATE ANNUITY P.A. PAYABLE FOR LIFE WITH RETURN OF PURCHASE PRICE ON DEATH OF THE ANNUITANT FOR Rs.1000/- PURCHASE PRICE</t>
  </si>
  <si>
    <t>IMMEDIATE ANNUITY P.A. PAYABLE FOR 20 YEARS CERTAIN AND LIFE THERE AFTER FOR Rs.1000/- PURCHASE PRICE</t>
  </si>
  <si>
    <t>IMMEDIATE ANNUITY P.A. PAYABLE FOR 15 YEARS CERTAIN AND LIFE THERE AFTER FOR Rs.1000/- PURCHASE PRICE</t>
  </si>
  <si>
    <t>IMMEDIATE ANNUITY P.A. PAYABLE FOR 10 YEARS CERTAIN AND LIFE THERE AFTER FOR Rs.1000/- PURCHASE PRICE</t>
  </si>
  <si>
    <t>IMMEDIATE ANNUITY P.A. PAYABLE FOR 5 YEARS CERTAIN AND LIFE THERE AFTER FOR Rs.1000/- PURCHASE PRICE</t>
  </si>
  <si>
    <t>IMMEDIATE ANNUITY P.A. PAYABLE FOR LIFE FOR Rs.1000/- PURCHASE PRICE</t>
  </si>
  <si>
    <t>J</t>
  </si>
  <si>
    <t>I</t>
  </si>
  <si>
    <t>H</t>
  </si>
  <si>
    <t>G</t>
  </si>
  <si>
    <t>F</t>
  </si>
  <si>
    <t>E</t>
  </si>
  <si>
    <t>D</t>
  </si>
  <si>
    <t>C</t>
  </si>
  <si>
    <t>B</t>
  </si>
  <si>
    <t>818=S</t>
  </si>
  <si>
    <t>R&amp;E</t>
  </si>
  <si>
    <t>-</t>
  </si>
  <si>
    <t>818=R</t>
  </si>
  <si>
    <t>--</t>
  </si>
  <si>
    <t xml:space="preserve">- </t>
  </si>
  <si>
    <t>POLICE</t>
  </si>
  <si>
    <t>AB</t>
  </si>
  <si>
    <t>836 AB</t>
  </si>
  <si>
    <t>Police</t>
  </si>
  <si>
    <t>DAB</t>
  </si>
  <si>
    <t>830-9</t>
  </si>
  <si>
    <t>830-8</t>
  </si>
  <si>
    <t>833 AB</t>
  </si>
  <si>
    <t>LS -H</t>
  </si>
  <si>
    <t>LS -W</t>
  </si>
  <si>
    <t>LSS -H</t>
  </si>
  <si>
    <t>LS S-W</t>
  </si>
  <si>
    <t>OPTION-4</t>
  </si>
  <si>
    <t>OPTION-3</t>
  </si>
  <si>
    <t>OPTION-2</t>
  </si>
  <si>
    <t>OPTION-1</t>
  </si>
  <si>
    <t>PWB</t>
  </si>
  <si>
    <t>833 TR</t>
  </si>
  <si>
    <t>821 TR</t>
  </si>
  <si>
    <t>820TR</t>
  </si>
  <si>
    <t>TR</t>
  </si>
  <si>
    <t xml:space="preserve"> ALLOWED</t>
  </si>
  <si>
    <t xml:space="preserve"> yrs NBD</t>
  </si>
  <si>
    <t xml:space="preserve"> yrs LBD</t>
  </si>
  <si>
    <t>TERM</t>
  </si>
  <si>
    <t>NOT ALLOWED</t>
  </si>
  <si>
    <t>NO LIMIT</t>
  </si>
  <si>
    <t xml:space="preserve">&amp; Multiples of 10000  </t>
  </si>
  <si>
    <t>N.A.</t>
  </si>
  <si>
    <t>JEEVAN PRAGATI</t>
  </si>
  <si>
    <t xml:space="preserve">18 - 55  yrs  ALLOWED </t>
  </si>
  <si>
    <t xml:space="preserve"> &amp; Multiples of 10000  </t>
  </si>
  <si>
    <t xml:space="preserve">59, 54, 50 </t>
  </si>
  <si>
    <t>16,21,25</t>
  </si>
  <si>
    <t>JEEVAN LABH</t>
  </si>
  <si>
    <t xml:space="preserve"> &amp; Multiples of 5000 upto 100000  &amp; Multiples of 10000  </t>
  </si>
  <si>
    <t xml:space="preserve"> yrs </t>
  </si>
  <si>
    <t>NO</t>
  </si>
  <si>
    <t>MATURITY AGE</t>
  </si>
  <si>
    <t>JEEVAN TARUN</t>
  </si>
  <si>
    <t>&amp; Multiples of 10000</t>
  </si>
  <si>
    <t>JEEVAN LAKSHYA</t>
  </si>
  <si>
    <t>CHILDRENS MONEY BACK</t>
  </si>
  <si>
    <t xml:space="preserve">8=57,59,54  9=62,59,54 </t>
  </si>
  <si>
    <t>12,16,21</t>
  </si>
  <si>
    <t>LIMITED PAYMENT ENDOWMENT</t>
  </si>
  <si>
    <t xml:space="preserve">&amp; Multiples of 5000  </t>
  </si>
  <si>
    <t>JEEVAN RAKSHAK</t>
  </si>
  <si>
    <t xml:space="preserve">&amp;Multiples of 100000 </t>
  </si>
  <si>
    <t>AMULYA JEEVAN - II</t>
  </si>
  <si>
    <t xml:space="preserve">  &amp;Multiples of 100000  </t>
  </si>
  <si>
    <t>ANMOL JEEVAN - II</t>
  </si>
  <si>
    <t xml:space="preserve">18 - 45  yrs  ALLOWED </t>
  </si>
  <si>
    <t>&amp;Multiples of 5000</t>
  </si>
  <si>
    <t>NEW MONEY BACK - 25 Yrs</t>
  </si>
  <si>
    <t xml:space="preserve">18 - 50  yrs  ALLOWED </t>
  </si>
  <si>
    <t xml:space="preserve">&amp;Multiples of 5000 </t>
  </si>
  <si>
    <t>NEW MONEY BACK - 20 Yrs</t>
  </si>
  <si>
    <t xml:space="preserve">Single= 150000, Regular =100000  </t>
  </si>
  <si>
    <t>VESTING AGE</t>
  </si>
  <si>
    <t>NEW JEEVAN NIDHI</t>
  </si>
  <si>
    <t xml:space="preserve">&amp;Multiples of 5000  </t>
  </si>
  <si>
    <t>DAYS LBD</t>
  </si>
  <si>
    <t>SINGLE PREMIUM ENDOWMENT</t>
  </si>
  <si>
    <t>9=35000,12=50000,15=70000</t>
  </si>
  <si>
    <t xml:space="preserve">66, 63, 60 </t>
  </si>
  <si>
    <t xml:space="preserve">yrs LBD </t>
  </si>
  <si>
    <t>9,12,15,</t>
  </si>
  <si>
    <t>9,12,15</t>
  </si>
  <si>
    <t>NEW BIMA BACHAT</t>
  </si>
  <si>
    <t>NEW  JEEVAN ANAND</t>
  </si>
  <si>
    <t xml:space="preserve"> yrs  LBD</t>
  </si>
  <si>
    <t xml:space="preserve">NEW  ENDOWMENT </t>
  </si>
  <si>
    <t>MAXIMUM MATURITY AGE</t>
  </si>
  <si>
    <t>TERM RIDER</t>
  </si>
  <si>
    <t>Max SA</t>
  </si>
  <si>
    <t>Min SA</t>
  </si>
  <si>
    <t>Max Age</t>
  </si>
  <si>
    <t>Min Age</t>
  </si>
  <si>
    <t>2=Service Tax</t>
  </si>
  <si>
    <t>ECS/   Mly</t>
  </si>
  <si>
    <t>SINGLE</t>
  </si>
  <si>
    <t>Service Tax</t>
  </si>
  <si>
    <t>TR   Sum Assured</t>
  </si>
  <si>
    <t>TR/   PWB</t>
  </si>
  <si>
    <t>SA Rebate</t>
  </si>
  <si>
    <t>slab3</t>
  </si>
  <si>
    <t>slab 2</t>
  </si>
  <si>
    <t>Slab 1</t>
  </si>
  <si>
    <t>Reb slab3</t>
  </si>
  <si>
    <t>Reb slab 2</t>
  </si>
  <si>
    <t>Reb: slab1</t>
  </si>
  <si>
    <t>DAB Final</t>
  </si>
  <si>
    <t>SA multiples</t>
  </si>
  <si>
    <t>DAB allowed</t>
  </si>
  <si>
    <t>Age</t>
  </si>
  <si>
    <t>PPT</t>
  </si>
  <si>
    <t>Term</t>
  </si>
  <si>
    <t>Sum Assured</t>
  </si>
  <si>
    <t>Max Term</t>
  </si>
  <si>
    <t>Min Term</t>
  </si>
  <si>
    <t>Mode SSS</t>
  </si>
  <si>
    <t>Mode_qly</t>
  </si>
  <si>
    <t>Mode_hly</t>
  </si>
  <si>
    <t>Mode Yly</t>
  </si>
  <si>
    <t>TP</t>
  </si>
  <si>
    <t>Plan</t>
  </si>
  <si>
    <t>Sl No</t>
  </si>
  <si>
    <t>TOTAL PREMIUM With S.T.</t>
  </si>
  <si>
    <t>88.22%</t>
  </si>
  <si>
    <t>78.46%</t>
  </si>
  <si>
    <t>75.00%</t>
  </si>
  <si>
    <t>68.00%</t>
  </si>
  <si>
    <t>62.00%</t>
  </si>
  <si>
    <t>85.00%</t>
  </si>
  <si>
    <t>82.20%</t>
  </si>
  <si>
    <t>67.00%</t>
  </si>
  <si>
    <t>58.14%</t>
  </si>
  <si>
    <t>87.00%</t>
  </si>
  <si>
    <t>79.68%</t>
  </si>
  <si>
    <t>76.42%</t>
  </si>
  <si>
    <t>75.38%</t>
  </si>
  <si>
    <t>74.63%</t>
  </si>
  <si>
    <t>71.13%</t>
  </si>
  <si>
    <t>65.00%</t>
  </si>
  <si>
    <t>55.49%</t>
  </si>
  <si>
    <t>51.31%</t>
  </si>
  <si>
    <t>89.20%</t>
  </si>
  <si>
    <t>83.60%</t>
  </si>
  <si>
    <t>78.00%</t>
  </si>
  <si>
    <t>63.56%</t>
  </si>
  <si>
    <t>54.75%</t>
  </si>
  <si>
    <t>80.53%</t>
  </si>
  <si>
    <t>54.67%</t>
  </si>
  <si>
    <t>Def.Period</t>
  </si>
  <si>
    <t>FAB</t>
  </si>
  <si>
    <t>SA</t>
  </si>
  <si>
    <t>Ves.Age</t>
  </si>
  <si>
    <t>t</t>
  </si>
  <si>
    <t>b</t>
  </si>
  <si>
    <t>Gsv</t>
  </si>
  <si>
    <t>ssv</t>
  </si>
  <si>
    <t>all</t>
  </si>
  <si>
    <t>child</t>
  </si>
  <si>
    <t>Name</t>
  </si>
  <si>
    <t>Sri.</t>
  </si>
  <si>
    <t>M.RAJAYOGAM</t>
  </si>
  <si>
    <t>YES</t>
  </si>
  <si>
    <t xml:space="preserve"> OPTIONAL       RIDERS ==&gt;</t>
  </si>
  <si>
    <t>PAYABLE  PREMIUM</t>
  </si>
  <si>
    <t xml:space="preserve">MODE </t>
  </si>
  <si>
    <t>PREMIUM</t>
  </si>
  <si>
    <t>TOTAL PREMIUM</t>
  </si>
  <si>
    <t>YEARLY</t>
  </si>
  <si>
    <t>HALF - YEARLY</t>
  </si>
  <si>
    <t>QUARTELY</t>
  </si>
  <si>
    <t>MONTHLY/NACH</t>
  </si>
  <si>
    <t>VIEW  /  PRINT   REPORTS</t>
  </si>
  <si>
    <t>PLAN   PARAMETERS</t>
  </si>
  <si>
    <t>ELIGIBILITY CONDITIONS</t>
  </si>
  <si>
    <t>MINIMUM AGE @ ENTRY :</t>
  </si>
  <si>
    <t>MAXIMUM AGE @ ENTRY :</t>
  </si>
  <si>
    <t>MINIMUM SUM ASSURED :</t>
  </si>
  <si>
    <t>MAXIMUM SUM ASSURED :</t>
  </si>
  <si>
    <t>ACCIDENTAL DEATH &amp; DISABILITY BENEFIT</t>
  </si>
  <si>
    <t xml:space="preserve">TERM  RIDER </t>
  </si>
  <si>
    <t>Disclaimer :</t>
  </si>
  <si>
    <t>Rs.</t>
  </si>
  <si>
    <t>Years On</t>
  </si>
  <si>
    <t xml:space="preserve">PRESENTED BY </t>
  </si>
  <si>
    <t>NET GAIN</t>
  </si>
  <si>
    <t>TOTAL AMOUNT RECEIVABLE</t>
  </si>
  <si>
    <t>TOTAL PREMIUM PAYABLE</t>
  </si>
  <si>
    <t>ACCIDENT</t>
  </si>
  <si>
    <t>NORMAL</t>
  </si>
  <si>
    <t>SURVIVAL BENEFIT</t>
  </si>
  <si>
    <t>LOAN</t>
  </si>
  <si>
    <t>SURRENDER</t>
  </si>
  <si>
    <t xml:space="preserve">RISK COVER </t>
  </si>
  <si>
    <t>YEARLY PREMIUM</t>
  </si>
  <si>
    <t>AS   ON    DATE</t>
  </si>
  <si>
    <t>♠</t>
  </si>
  <si>
    <t>INCOME TAX REBATE under sec . 80  ( C ) up to Rs. 1,50,000 per annum</t>
  </si>
  <si>
    <t>CLICK HERE</t>
  </si>
  <si>
    <t>SPECIAL FEATURES :</t>
  </si>
  <si>
    <t>GO  TO  DATA  ENTRY</t>
  </si>
  <si>
    <t>ECS/SSS</t>
  </si>
  <si>
    <t>MODE</t>
  </si>
  <si>
    <t>A  SPECIAL  PRESENTATION  FOR</t>
  </si>
  <si>
    <t>GO    TO    HOME</t>
  </si>
  <si>
    <t>SUM ASSURED :</t>
  </si>
  <si>
    <t>YEARS</t>
  </si>
  <si>
    <t xml:space="preserve"> TERM :</t>
  </si>
  <si>
    <t xml:space="preserve">AGE   : </t>
  </si>
  <si>
    <t>The above Statements are based on certain assumptions, which are liable to change according to Government / Corporation's Policies.</t>
  </si>
  <si>
    <t>TOTAL Rs.</t>
  </si>
  <si>
    <t>FINAL  ADD. BONUS</t>
  </si>
  <si>
    <t>S.R.BONUS</t>
  </si>
  <si>
    <t>SUM ASSURED</t>
  </si>
  <si>
    <t>MATURITY BENEFIT    @</t>
  </si>
  <si>
    <t>♣</t>
  </si>
  <si>
    <t>Loan facility available after the policy aquires  paid up value</t>
  </si>
  <si>
    <t xml:space="preserve">    provided  premiums  have been  paid for  3 years.</t>
  </si>
  <si>
    <t>The policy can be surrendered at any time during  the policy term</t>
  </si>
  <si>
    <t xml:space="preserve"> High Bonus  and Moderate Premiums </t>
  </si>
  <si>
    <t>Savings oriented Endowment Plan</t>
  </si>
  <si>
    <t xml:space="preserve"> With profits non-linked New Endowment Plan    </t>
  </si>
  <si>
    <t xml:space="preserve">Combinations of Protection and savings </t>
  </si>
  <si>
    <t xml:space="preserve">AGE : </t>
  </si>
  <si>
    <t>UIN : 512N277V01</t>
  </si>
  <si>
    <t>NEW ENDOWMENT</t>
  </si>
  <si>
    <t>PLAN NO : 814</t>
  </si>
  <si>
    <t>TOTAL</t>
  </si>
  <si>
    <t>Simple Reversionary Bonus</t>
  </si>
  <si>
    <t>*   S.R.BONUS</t>
  </si>
  <si>
    <t>*   S.R. BONUS</t>
  </si>
  <si>
    <t>Yrs        on</t>
  </si>
  <si>
    <t xml:space="preserve">MATURITY BENEFIT   @  </t>
  </si>
  <si>
    <t xml:space="preserve">Presented      By </t>
  </si>
  <si>
    <t>NET  GAIN</t>
  </si>
  <si>
    <t>TOTAL  AMOUNT  RECEIVABLE</t>
  </si>
  <si>
    <t>TOTAL  PREMIUM  PAYABLE</t>
  </si>
  <si>
    <t>Tax Benefits  under sec. 80  (C) of   INCOME TAX Act upto Rs. 1,50,000</t>
  </si>
  <si>
    <t xml:space="preserve">♣ </t>
  </si>
  <si>
    <t xml:space="preserve">Surrender &amp; Loan facility availabe  after payment of premium for  3 years </t>
  </si>
  <si>
    <t>Savings oriented  Endowment Plan.</t>
  </si>
  <si>
    <t>An automatic increase Life cover after every five years.</t>
  </si>
  <si>
    <t>A Unique Protection and savings Plan</t>
  </si>
  <si>
    <t>SPECIAL   FEATURES :</t>
  </si>
  <si>
    <t xml:space="preserve">SUM ASSURED : </t>
  </si>
  <si>
    <t xml:space="preserve">TERM : </t>
  </si>
  <si>
    <t>UIN    512N306V01</t>
  </si>
  <si>
    <t>PLAN NO   :   838</t>
  </si>
  <si>
    <t>The above Statements are based on certain assumptions, which are liable  to change according to Government / Corporation's Policies.</t>
  </si>
  <si>
    <t xml:space="preserve">Disclaimer : </t>
  </si>
  <si>
    <t xml:space="preserve">TOTAL  BENEFITS </t>
  </si>
  <si>
    <t>RETURNS FROM LIC</t>
  </si>
  <si>
    <t>YEAR</t>
  </si>
  <si>
    <t xml:space="preserve"> An Example of Annual Income  Benefits in Jeevan Lakshya policy  : </t>
  </si>
  <si>
    <t>JEEVAN   LAKSHYA  POLICY</t>
  </si>
  <si>
    <t>Total Risk Coverage Amount was calculated on the basis of Annual Income Benefit Paid from first year onwards.</t>
  </si>
  <si>
    <t>ON</t>
  </si>
  <si>
    <t>MATURITY BENEFITS</t>
  </si>
  <si>
    <t>LOAN                                   (If Needed)</t>
  </si>
  <si>
    <t>SURENDER                               (If Needed)</t>
  </si>
  <si>
    <t>TOTAL  RISK COVER   *</t>
  </si>
  <si>
    <t>AS       ON        DATE</t>
  </si>
  <si>
    <r>
      <t xml:space="preserve">  </t>
    </r>
    <r>
      <rPr>
        <b/>
        <sz val="14"/>
        <color rgb="FF002060"/>
        <rFont val="Wingdings"/>
        <charset val="2"/>
      </rPr>
      <t>Ø</t>
    </r>
    <r>
      <rPr>
        <b/>
        <sz val="14"/>
        <color rgb="FF002060"/>
        <rFont val="Cambria"/>
        <family val="1"/>
        <scheme val="major"/>
      </rPr>
      <t xml:space="preserve">  </t>
    </r>
    <r>
      <rPr>
        <b/>
        <sz val="12"/>
        <color rgb="FF002060"/>
        <rFont val="Cambria"/>
        <family val="1"/>
        <scheme val="major"/>
      </rPr>
      <t>Premium paid is TAX EXEMPTED under sec. 80 ( C )</t>
    </r>
  </si>
  <si>
    <t xml:space="preserve">   Bonus and Final Additional Bonus (if any)</t>
  </si>
  <si>
    <r>
      <t xml:space="preserve">    110% of Basic Sum Assured payable on Maturity     </t>
    </r>
    <r>
      <rPr>
        <b/>
        <sz val="12"/>
        <color rgb="FFFF0000"/>
        <rFont val="Cambria"/>
        <family val="1"/>
        <scheme val="major"/>
      </rPr>
      <t xml:space="preserve">   Plus</t>
    </r>
  </si>
  <si>
    <r>
      <t xml:space="preserve"> till  the  Policy  Anniversary prior to date of  Maturity  </t>
    </r>
    <r>
      <rPr>
        <b/>
        <sz val="16"/>
        <color rgb="FFFF0000"/>
        <rFont val="Cambria"/>
        <family val="1"/>
        <scheme val="major"/>
      </rPr>
      <t>&amp;</t>
    </r>
  </si>
  <si>
    <t xml:space="preserve">  every  Policy  Anniversary following the Date of Death of Life Assured</t>
  </si>
  <si>
    <r>
      <t>Ø</t>
    </r>
    <r>
      <rPr>
        <sz val="7"/>
        <color rgb="FF002060"/>
        <rFont val="Times New Roman"/>
        <family val="1"/>
      </rPr>
      <t xml:space="preserve">       </t>
    </r>
    <r>
      <rPr>
        <b/>
        <sz val="12"/>
        <color rgb="FF002060"/>
        <rFont val="Cambria"/>
        <family val="1"/>
        <scheme val="major"/>
      </rPr>
      <t>Annual Income</t>
    </r>
    <r>
      <rPr>
        <sz val="12"/>
        <color rgb="FF002060"/>
        <rFont val="Cambria"/>
        <family val="1"/>
        <scheme val="major"/>
      </rPr>
      <t xml:space="preserve"> </t>
    </r>
    <r>
      <rPr>
        <b/>
        <sz val="12"/>
        <color rgb="FF002060"/>
        <rFont val="Cambria"/>
        <family val="1"/>
        <scheme val="major"/>
      </rPr>
      <t xml:space="preserve">Benefits :    10% of Basic Sum Assured payable on </t>
    </r>
  </si>
  <si>
    <r>
      <t>Ø</t>
    </r>
    <r>
      <rPr>
        <sz val="7"/>
        <color rgb="FF002060"/>
        <rFont val="Times New Roman"/>
        <family val="1"/>
      </rPr>
      <t xml:space="preserve">       </t>
    </r>
    <r>
      <rPr>
        <b/>
        <sz val="14"/>
        <color rgb="FF002060"/>
        <rFont val="Cambria"/>
        <family val="1"/>
        <scheme val="major"/>
      </rPr>
      <t xml:space="preserve"> </t>
    </r>
    <r>
      <rPr>
        <b/>
        <sz val="12"/>
        <color rgb="FF002060"/>
        <rFont val="Cambria"/>
        <family val="1"/>
        <scheme val="major"/>
      </rPr>
      <t>Loan : Available after payment of premiums for atleast 3 full years</t>
    </r>
  </si>
  <si>
    <r>
      <t>Ø</t>
    </r>
    <r>
      <rPr>
        <sz val="7"/>
        <color rgb="FF002060"/>
        <rFont val="Times New Roman"/>
        <family val="1"/>
      </rPr>
      <t xml:space="preserve">          </t>
    </r>
    <r>
      <rPr>
        <b/>
        <sz val="14"/>
        <color rgb="FF002060"/>
        <rFont val="Cambria"/>
        <family val="1"/>
        <scheme val="major"/>
      </rPr>
      <t xml:space="preserve"> </t>
    </r>
    <r>
      <rPr>
        <b/>
        <sz val="12"/>
        <color rgb="FF002060"/>
        <rFont val="Cambria"/>
        <family val="1"/>
        <scheme val="major"/>
      </rPr>
      <t>Pay  Premium 3 years  less than Policy Term.</t>
    </r>
  </si>
  <si>
    <r>
      <t xml:space="preserve">Ø </t>
    </r>
    <r>
      <rPr>
        <b/>
        <sz val="12"/>
        <color rgb="FF002060"/>
        <rFont val="Cambria"/>
        <family val="1"/>
        <scheme val="major"/>
      </rPr>
      <t>It is a limited premium paying term conventional With-Profits Endowment Assurance plan.</t>
    </r>
  </si>
  <si>
    <t>ECS / SSS</t>
  </si>
  <si>
    <t>HALF YEARLY</t>
  </si>
  <si>
    <t>Walk-in</t>
  </si>
  <si>
    <t>A    Special  Presentation for</t>
  </si>
  <si>
    <t>Schedule</t>
  </si>
  <si>
    <t>WITH                                      PROFIT</t>
  </si>
  <si>
    <t>JEEVAN   LAKSHYA</t>
  </si>
  <si>
    <t>UIN : 512N297V01</t>
  </si>
  <si>
    <t>PLAN NO : 833</t>
  </si>
  <si>
    <t>PRESENTED BY</t>
  </si>
  <si>
    <t>TOTAL RS.</t>
  </si>
  <si>
    <t>BONUS</t>
  </si>
  <si>
    <t>RETURNS     FROM   LIC</t>
  </si>
  <si>
    <t xml:space="preserve">  BENEFITS</t>
  </si>
  <si>
    <t>LOAN                        (If Needed)</t>
  </si>
  <si>
    <t>SURENDER (If Needed)</t>
  </si>
  <si>
    <t>YEARLY    PREMIUM</t>
  </si>
  <si>
    <t>♣   Pay Premium upto Age 20 Years.</t>
  </si>
  <si>
    <t>♣   Premiums paid are Tax exempted under sec. 80  (C) of  IT Act upto   Rs. 1,50,000</t>
  </si>
  <si>
    <t xml:space="preserve">♣    It is specially designed to meet Educational and other  needs  of growing children </t>
  </si>
  <si>
    <t>SPECIAL    FEATURES :</t>
  </si>
  <si>
    <t>WITH                                          PROFIT</t>
  </si>
  <si>
    <t>YIELD  %</t>
  </si>
  <si>
    <t xml:space="preserve">PENSION </t>
  </si>
  <si>
    <t>MONTHLY</t>
  </si>
  <si>
    <t>HALF   YEARLY</t>
  </si>
  <si>
    <t>PENSION FOR LIFE WITH RETURN OF PURCHASE PRICE</t>
  </si>
  <si>
    <t>PURCHASE  PRICE  FOR  ANNUITY  Rs.</t>
  </si>
  <si>
    <t>FINAL ADD. BONUS</t>
  </si>
  <si>
    <t>GUARANTEED ADDITION</t>
  </si>
  <si>
    <t xml:space="preserve"> BENEFIT ON VESTING @</t>
  </si>
  <si>
    <t>POLICY YEAR</t>
  </si>
  <si>
    <t>Vested Bonus and Final Additional Bonus benefits will be given (if any).</t>
  </si>
  <si>
    <t xml:space="preserve">Guaranteed Additions for the first 5 years , after 6th policy year </t>
  </si>
  <si>
    <t>Single Premium Deferred Pension Plan</t>
  </si>
  <si>
    <t>Option To purchase an Immediate Annuity    OR</t>
  </si>
  <si>
    <t xml:space="preserve"> Insurance Cover upto Date of Vesting</t>
  </si>
  <si>
    <t>A  conventional plan with deferred annuity</t>
  </si>
  <si>
    <t>FUTURE      WISE</t>
  </si>
  <si>
    <t>A  SPECIAL  PENSION PLAN  FOR</t>
  </si>
  <si>
    <t>UIN : 512N271V02</t>
  </si>
  <si>
    <t>PLAN NO : 818</t>
  </si>
  <si>
    <t>PENSION  FOR  LIFE  WITH  RETURN  OF  PURCHASE  PRICE</t>
  </si>
  <si>
    <t>SINGLE PREMIUM</t>
  </si>
  <si>
    <t>Final Additional Bonus</t>
  </si>
  <si>
    <t>* F.A.BONUS</t>
  </si>
  <si>
    <t>*   F. A. BONUS</t>
  </si>
  <si>
    <t xml:space="preserve">Surrender &amp; Loan facility availabe  after payment of premium for  3  years </t>
  </si>
  <si>
    <t>Savings oriented Limited Premium Endowment Plan.</t>
  </si>
  <si>
    <t xml:space="preserve"> Life cover with attractive returns.</t>
  </si>
  <si>
    <t xml:space="preserve"> Combinations of Protection and savings. </t>
  </si>
  <si>
    <t xml:space="preserve">P.P. TERM : </t>
  </si>
  <si>
    <t>UIN    512N304V01</t>
  </si>
  <si>
    <t>GO TO HOME</t>
  </si>
  <si>
    <t>PLAN NO   :   836</t>
  </si>
  <si>
    <t>2.The above Statements are based on certain assumptions, which are liable to change according to Government / Corporation's Policies.</t>
  </si>
  <si>
    <t>TO</t>
  </si>
  <si>
    <t>FROM  AGE</t>
  </si>
  <si>
    <t xml:space="preserve">FREE INSURANCE COVERAGE </t>
  </si>
  <si>
    <t>MATURITY BENEFIT @</t>
  </si>
  <si>
    <t xml:space="preserve">GO  TO  DATA ENTRY </t>
  </si>
  <si>
    <t xml:space="preserve"> A Plan that offers cover for whole life even after payment of maturity .</t>
  </si>
  <si>
    <t>NEW JEEVAN ANAND</t>
  </si>
  <si>
    <t>UIN : 512N279V01</t>
  </si>
  <si>
    <t>PLAN NO : 815</t>
  </si>
  <si>
    <t>FINAL ADDITIONAL BONUS</t>
  </si>
  <si>
    <t>MATURITY  BENEFITS</t>
  </si>
  <si>
    <t>SURVIVAL BENEFITS</t>
  </si>
  <si>
    <t>&lt;=======    RETURNS     FROM   LIC     =======&gt;</t>
  </si>
  <si>
    <t>LOAN  (If Needed)</t>
  </si>
  <si>
    <t>♣   Surrender  and  Loan facility is also available after payment of   3 years premium.</t>
  </si>
  <si>
    <t>♣    Money Back Instalments on completion of    18 th,   20 th ,  &amp;    22 nd   Years of Age  .</t>
  </si>
  <si>
    <t>♣    It is specially designed to meet financial needs  of children through Survival Benefits .</t>
  </si>
  <si>
    <t>NEW  CHILDRENS  MONEY BACK</t>
  </si>
  <si>
    <t>F.A.B.</t>
  </si>
  <si>
    <t>S.R.B.</t>
  </si>
  <si>
    <t>F. A. BONUS</t>
  </si>
  <si>
    <t xml:space="preserve">Surrender &amp; Loan facility availabe  after payment of premium for  2  years </t>
  </si>
  <si>
    <t>Savings oriented Limited Payment Endowment Plan</t>
  </si>
  <si>
    <t xml:space="preserve"> Combinations of Protection and savings </t>
  </si>
  <si>
    <t>UIN    512N293V01</t>
  </si>
  <si>
    <t>PLAN NO   :   830</t>
  </si>
  <si>
    <t>ENDOWMENT PLAN</t>
  </si>
  <si>
    <t>LIMITED   PREMIUM</t>
  </si>
  <si>
    <t>2. The above Statements are based on certain assumptions, which are liable to change according to Government / Corporation's Policies.</t>
  </si>
  <si>
    <t>Years on</t>
  </si>
  <si>
    <t xml:space="preserve">Premium paid is   TAX EXEMPTED u/s  80 C   up to Rs.150000 per annum  </t>
  </si>
  <si>
    <t>Loan facility available after the policy aquires  paid up value.</t>
  </si>
  <si>
    <t xml:space="preserve"> during the policy term provided premiums have been paid for full three years</t>
  </si>
  <si>
    <t xml:space="preserve">SURRENDER VALUE:      The policy can be surrendered at any  time </t>
  </si>
  <si>
    <t>i.e.    Rs.</t>
  </si>
  <si>
    <t xml:space="preserve">the Sum Assured  shall be payable.  </t>
  </si>
  <si>
    <t xml:space="preserve">SURVIVAL BENEFIT:   5TH, 10TH, &amp; 15TH  policy year 20 % of </t>
  </si>
  <si>
    <t>Step ahed in life with   LIC's NEW MONEY BACK PLANS</t>
  </si>
  <si>
    <t>Years only</t>
  </si>
  <si>
    <t>Pay  Premium  for</t>
  </si>
  <si>
    <t>NEW MONEY BACK</t>
  </si>
  <si>
    <t>UIN : 512N278V01</t>
  </si>
  <si>
    <t>PLAN NO : 820</t>
  </si>
  <si>
    <t>MATURITY BENEFIT     @</t>
  </si>
  <si>
    <t xml:space="preserve">SURVIVAL BENEFIT:   5TH, 10TH, 15TH, &amp; 20TH policy year 15 % of </t>
  </si>
  <si>
    <t>PLAN NO : 821</t>
  </si>
  <si>
    <t>* The above Statements are based on certain assumptions, which are liable to change according to Government / Corporation's Policies.</t>
  </si>
  <si>
    <r>
      <t xml:space="preserve">TOTAL </t>
    </r>
    <r>
      <rPr>
        <b/>
        <sz val="10"/>
        <color theme="3"/>
        <rFont val="Cambria"/>
        <family val="1"/>
        <scheme val="major"/>
      </rPr>
      <t xml:space="preserve"> Rs.</t>
    </r>
  </si>
  <si>
    <r>
      <t xml:space="preserve"> *  LOYALTY ADDITIONS   </t>
    </r>
    <r>
      <rPr>
        <b/>
        <sz val="10"/>
        <color theme="3"/>
        <rFont val="Cambria"/>
        <family val="1"/>
        <scheme val="major"/>
      </rPr>
      <t>Rs.</t>
    </r>
  </si>
  <si>
    <r>
      <t xml:space="preserve">SUM ASSURED    </t>
    </r>
    <r>
      <rPr>
        <b/>
        <sz val="10"/>
        <color theme="3"/>
        <rFont val="Cambria"/>
        <family val="1"/>
        <scheme val="major"/>
      </rPr>
      <t>Rs.</t>
    </r>
  </si>
  <si>
    <t>Years  on</t>
  </si>
  <si>
    <t>@</t>
  </si>
  <si>
    <t>MATURITY BENEFIT Rs.</t>
  </si>
  <si>
    <t xml:space="preserve">INCOME TAX REBATE under sec . 80  ( C ) up to Rs. 1,50,000  per annum  </t>
  </si>
  <si>
    <t>LOAN facility available after the policy aquires  paid up value</t>
  </si>
  <si>
    <t>during the policy term provided premiums have been paid for 3  years</t>
  </si>
  <si>
    <t>SURRENDER VALUE:  The policy can be surrendered  at any  time</t>
  </si>
  <si>
    <t>Available to Standard Lives under Non-medical limit</t>
  </si>
  <si>
    <t xml:space="preserve">With profits non-linked  Endowment Plan  </t>
  </si>
  <si>
    <t>UIN : 512N289V01</t>
  </si>
  <si>
    <t>PLAN NO : 827</t>
  </si>
  <si>
    <t>Premium Amount remains the same over the term of Policy.</t>
  </si>
  <si>
    <t>NO surrender &amp; NO loan will be granted under this plan.</t>
  </si>
  <si>
    <t xml:space="preserve">On survival to the end of the term, NO benefit shall be  payable. </t>
  </si>
  <si>
    <t>MODE :       YEARLY   &amp;    HALF-YEARLY    ONLY</t>
  </si>
  <si>
    <t>WITHOUT PROFIT PLAN</t>
  </si>
  <si>
    <t xml:space="preserve">REGULAR PREMIUM PAYMENT CONVENTIONAL </t>
  </si>
  <si>
    <t xml:space="preserve"> LOW PREMIUM WITH HIGH RISK COVER</t>
  </si>
  <si>
    <t xml:space="preserve"> The most fundamental Insurance Product.</t>
  </si>
  <si>
    <t>RISK COVERAGE :</t>
  </si>
  <si>
    <t>TERM :</t>
  </si>
  <si>
    <t xml:space="preserve">AMULYA JEEVAN - II </t>
  </si>
  <si>
    <t>UIN : 512N286V01</t>
  </si>
  <si>
    <t>PLAN NO : 823</t>
  </si>
  <si>
    <t>polcy.</t>
  </si>
  <si>
    <t xml:space="preserve">Premium Amount remains the same over the term of </t>
  </si>
  <si>
    <t>NO surrender &amp; NO loan will be granted .</t>
  </si>
  <si>
    <t>NO benefit shall be  payable.</t>
  </si>
  <si>
    <t xml:space="preserve">On survival to the end of the term,   </t>
  </si>
  <si>
    <t>The most fundamental Insurance Product.</t>
  </si>
  <si>
    <t xml:space="preserve">ANMOL JEEVAN - II </t>
  </si>
  <si>
    <t>UIN : 512N285V01</t>
  </si>
  <si>
    <t>PLAN NO : 822</t>
  </si>
  <si>
    <t>Disclaimer :   The above Statements are based on certain assumptions, which are liable to change according to Government / Corporation's Policies.</t>
  </si>
  <si>
    <t xml:space="preserve">RISK   COVER </t>
  </si>
  <si>
    <t>INCOME TAX REBATE under sec . 80  ( C )</t>
  </si>
  <si>
    <t>Guaranteed Survival Benefits  @ every 3 years</t>
  </si>
  <si>
    <t>Loan facility available after one policy year</t>
  </si>
  <si>
    <t xml:space="preserve"> Surrender facility available at any time</t>
  </si>
  <si>
    <t>A Single Premium Money-Back policy</t>
  </si>
  <si>
    <t>One-time Premium  ,  Assured  returns</t>
  </si>
  <si>
    <t>Ideal combination of Insurance and Investment.</t>
  </si>
  <si>
    <t>Assured Returns</t>
  </si>
  <si>
    <t>One - time Premium</t>
  </si>
  <si>
    <t>LIC 's  NEW BIMA BACHAT</t>
  </si>
  <si>
    <t>UIN : 512N284V01</t>
  </si>
  <si>
    <t>PLAN NO : 816</t>
  </si>
  <si>
    <t>S.A.</t>
  </si>
  <si>
    <t xml:space="preserve"> S.R.B.</t>
  </si>
  <si>
    <t>MATURITY BENEFIT  @</t>
  </si>
  <si>
    <t>L ~   Liquidity through Loan available after one year</t>
  </si>
  <si>
    <t>A ~  Attractive - participates in profits.</t>
  </si>
  <si>
    <t>I ~  Ideal for investment planning-Wide range of policy term</t>
  </si>
  <si>
    <t>C ~ Children from the age of 90 days can be covered</t>
  </si>
  <si>
    <t>E ~  Excellent for meeting educational needs of young ones</t>
  </si>
  <si>
    <t>P ~  Protection - RiskCover</t>
  </si>
  <si>
    <t>S ~ Single Premium - One time investment</t>
  </si>
  <si>
    <t>…………Because it is SPECIAL</t>
  </si>
  <si>
    <t>LIC’s  SINGLE PREMIUM  ENDOWMENT  PLAN …………….</t>
  </si>
  <si>
    <t xml:space="preserve"> &amp; PROVIDING LIFE COVER TOGETHER.</t>
  </si>
  <si>
    <t xml:space="preserve">PROTECTING INVESTMENTS </t>
  </si>
  <si>
    <t>ENDOWMENT  PLAN</t>
  </si>
  <si>
    <t>UIN : 512N283V01</t>
  </si>
  <si>
    <t>PLAN NO : 817</t>
  </si>
  <si>
    <t>VASANTHAM SMART MAGICS</t>
  </si>
  <si>
    <t>Surrender facility available at any time</t>
  </si>
  <si>
    <t>VASANTHAM SMART</t>
  </si>
  <si>
    <t>ENTER YOUR NAME</t>
  </si>
  <si>
    <t xml:space="preserve">     FIRST EDIT YOUR PROFILE &amp; SAVE  HOME PAGE . </t>
  </si>
  <si>
    <t>AND THEN GO TO  YOUR CHOICE .</t>
  </si>
  <si>
    <t>DESIGNATION</t>
  </si>
  <si>
    <t>ADDRESS 1</t>
  </si>
  <si>
    <t>ADDRESS 2</t>
  </si>
  <si>
    <t>ADDRESS 3</t>
  </si>
  <si>
    <t>MOBILE NO :</t>
  </si>
  <si>
    <t>E.MAIL ID :</t>
  </si>
  <si>
    <t>Dear friends,</t>
  </si>
  <si>
    <t>This  LIC VASANTHAM SMART is a Benefit Illustration for ALL LIC PLANS.</t>
  </si>
  <si>
    <t xml:space="preserve">THIS CHART WORKS ONLY ON WINDOWS SYSTEM  WITH MS EXCEL  2007 &amp;  ABOVE. </t>
  </si>
  <si>
    <t xml:space="preserve">   Designed  &amp; Developed By</t>
  </si>
  <si>
    <t>R.MANAVALAN,    DEVELOPMENT OFFICER,</t>
  </si>
  <si>
    <t xml:space="preserve">L.I.C. OF INDIA, TALLAKULAM BRANCH, </t>
  </si>
  <si>
    <t xml:space="preserve">MADURAI - 625002 , MOBILE NO : 9443472469  </t>
  </si>
  <si>
    <t xml:space="preserve"> E.Mail id : apoorvayogam@gmail.com</t>
  </si>
  <si>
    <t>This is an awareness of Insurance plan presentations to customers. It is based on certain assumptions, which are liable  to change  according to Government / Corporation's Policies.  In case of any dispute please refer Original Corporate Circulars.  I am not responsible for any dispute.</t>
  </si>
  <si>
    <t>IF  YOU  FOUND  ANY  MISTAKES  IN  THIS  CHART  PLEASE  INFORM  ME  FOR  MODIFICATIONS.</t>
  </si>
  <si>
    <t>NA</t>
  </si>
  <si>
    <t>Mrs.</t>
  </si>
  <si>
    <t>MOTHER-IN-LAW</t>
  </si>
  <si>
    <t>M</t>
  </si>
  <si>
    <t>Mr.</t>
  </si>
  <si>
    <t>FATHER-IN-LAW</t>
  </si>
  <si>
    <t>MOTHER</t>
  </si>
  <si>
    <t>FATHER</t>
  </si>
  <si>
    <t>Selvan.</t>
  </si>
  <si>
    <t>CHILD -3</t>
  </si>
  <si>
    <t>Selvi.</t>
  </si>
  <si>
    <t>CHILD -2</t>
  </si>
  <si>
    <t>CHILD -1</t>
  </si>
  <si>
    <t>WIFE / HUSBAND</t>
  </si>
  <si>
    <t>PRINCIPAL INSURED</t>
  </si>
  <si>
    <t>ACCIDENT BENEFIT    SA</t>
  </si>
  <si>
    <t>TERM RIDER SA</t>
  </si>
  <si>
    <t>MSB    SA</t>
  </si>
  <si>
    <t>HCB AMOUNT</t>
  </si>
  <si>
    <t xml:space="preserve"> GENDER  M/F</t>
  </si>
  <si>
    <t>MEMBERS NAME</t>
  </si>
  <si>
    <t>RELATIONSHIP</t>
  </si>
  <si>
    <t>S.L. NO.</t>
  </si>
  <si>
    <t>PLAN NO : 904   -    JEEVAN AROGYA</t>
  </si>
  <si>
    <t xml:space="preserve">PLEASE FILL THE YELLOW COLOURED CELL ONLY </t>
  </si>
  <si>
    <t>Maximum OSB Payable during life time</t>
  </si>
  <si>
    <t>OSB 9th Year</t>
  </si>
  <si>
    <t>OSB 8th Year</t>
  </si>
  <si>
    <t>OSB 7th Year</t>
  </si>
  <si>
    <t>OSB 6th Year</t>
  </si>
  <si>
    <t>OSB 5th Year</t>
  </si>
  <si>
    <t>OSB 4th Year</t>
  </si>
  <si>
    <t>OSB 3rd Year</t>
  </si>
  <si>
    <t>OSB 2nd Year</t>
  </si>
  <si>
    <t>OSB 1st Year</t>
  </si>
  <si>
    <t>Maximum DCPB Payable during life time</t>
  </si>
  <si>
    <t>DCPB 8th Year</t>
  </si>
  <si>
    <t>DCPB 7th Year</t>
  </si>
  <si>
    <t>DCPB 6th Year</t>
  </si>
  <si>
    <t>DCPB 5th Year</t>
  </si>
  <si>
    <t>DCPB 4th Year</t>
  </si>
  <si>
    <t>DCPB 3rd Year</t>
  </si>
  <si>
    <t>DCPB 2nd Year</t>
  </si>
  <si>
    <t>DCPB 1st Year</t>
  </si>
  <si>
    <t>Maximum MSB Payable during life time</t>
  </si>
  <si>
    <t>Maximum HCB Payable during LifeTime</t>
  </si>
  <si>
    <t>HCB 9th Year</t>
  </si>
  <si>
    <t>HCB 8th Year</t>
  </si>
  <si>
    <t>HCB 7th Year</t>
  </si>
  <si>
    <t>HCB 6th Year</t>
  </si>
  <si>
    <t>HCB 5th Year</t>
  </si>
  <si>
    <t>HCB 4th Year</t>
  </si>
  <si>
    <t>HCB 3rd Year</t>
  </si>
  <si>
    <t>HCB 2nd Year</t>
  </si>
  <si>
    <t>HCB 1st Year</t>
  </si>
  <si>
    <t>CHILD3</t>
  </si>
  <si>
    <t>CHILD2</t>
  </si>
  <si>
    <t>CHILD1</t>
  </si>
  <si>
    <t>SPOUSE</t>
  </si>
  <si>
    <t>PI</t>
  </si>
  <si>
    <t>Maximum Life Time Benefits Available</t>
  </si>
  <si>
    <t>HCB RECALCULATED</t>
  </si>
  <si>
    <t>PREM WITH ST</t>
  </si>
  <si>
    <t>Enter Service Tax Rate</t>
  </si>
  <si>
    <t>PREM W/O ST</t>
  </si>
  <si>
    <t>PREMIUM (GROSS)</t>
  </si>
  <si>
    <t>AB PREMIUM</t>
  </si>
  <si>
    <t>TERM RIDER PREMIUM</t>
  </si>
  <si>
    <t>FINAL HCB PREMIUM</t>
  </si>
  <si>
    <t>HCB REBATE</t>
  </si>
  <si>
    <t>NET HCB PREMIUM</t>
  </si>
  <si>
    <t>NET HCB PREM IN 000'S</t>
  </si>
  <si>
    <t>ECS</t>
  </si>
  <si>
    <t>MODE REBATE</t>
  </si>
  <si>
    <t>Q</t>
  </si>
  <si>
    <t>HCB PREMIUM IN 000'S</t>
  </si>
  <si>
    <t>ENTER AB SA</t>
  </si>
  <si>
    <t>Y</t>
  </si>
  <si>
    <t>ENTER TERM RIDER SA</t>
  </si>
  <si>
    <t>AGE (NBD)</t>
  </si>
  <si>
    <t>MSB SA</t>
  </si>
  <si>
    <t>Premium rate</t>
  </si>
  <si>
    <t>Child</t>
  </si>
  <si>
    <t>Age ( LBD)</t>
  </si>
  <si>
    <t>ENTER HCB IDB</t>
  </si>
  <si>
    <t>ENTER GENDER</t>
  </si>
  <si>
    <t>Term= Min(60-age at entry,35)</t>
  </si>
  <si>
    <t>PPT = 25 - Age at Entry</t>
  </si>
  <si>
    <t>Female</t>
  </si>
  <si>
    <t>Male</t>
  </si>
  <si>
    <t>AGE (LBD)</t>
  </si>
  <si>
    <t>Term will be 10 to 35 years for term rider benefit.</t>
  </si>
  <si>
    <t>Tabular Premium Rate for Children ( For 1000 HCB)</t>
  </si>
  <si>
    <t>PPT = 80 - Age at Entry</t>
  </si>
  <si>
    <t>INS MEMBERS</t>
  </si>
  <si>
    <t>TERM RIDER PREMIUM RATES FOR Rs. 1000/- SUM ASSURED</t>
  </si>
  <si>
    <t>ENTER MODE</t>
  </si>
  <si>
    <t>Annexure-I</t>
  </si>
  <si>
    <t>Tabular Premium Rate for other Major members ( For 1000 HCB)</t>
  </si>
  <si>
    <t>Tabular Premium Rate for PI ( For 1000 HCB)</t>
  </si>
  <si>
    <t>(PLAN NO.904)</t>
  </si>
  <si>
    <t>LIC'S JEEVAN AROGYA</t>
  </si>
  <si>
    <t xml:space="preserve"> OSB </t>
  </si>
  <si>
    <t xml:space="preserve">  DCPB </t>
  </si>
  <si>
    <t xml:space="preserve"> MAXIMUM  MSB</t>
  </si>
  <si>
    <t xml:space="preserve"> MAXIMUM HCB </t>
  </si>
  <si>
    <t xml:space="preserve">HCB      ICU </t>
  </si>
  <si>
    <t xml:space="preserve">HCB   NON    ICU </t>
  </si>
  <si>
    <t>MAXIMUM BENEFITS (LIFE TIME)</t>
  </si>
  <si>
    <t>PREMIUM   Rs.</t>
  </si>
  <si>
    <t xml:space="preserve">MEDICAL BENEFITS  </t>
  </si>
  <si>
    <t>BENEFITS</t>
  </si>
  <si>
    <t>A Smart Health Insurance Plan for</t>
  </si>
  <si>
    <t xml:space="preserve">Sec.  80 (D ) . </t>
  </si>
  <si>
    <t>Please note that benefits under this plan are paid in addtion  to Mediclaim / other existing Health  Policies for same Hospitalization / Surgery and irrespective of actual expenses incurred.</t>
  </si>
  <si>
    <t xml:space="preserve">for benefits under  </t>
  </si>
  <si>
    <t>45 days p.a. )</t>
  </si>
  <si>
    <t xml:space="preserve">Rs. 25,000   is eligible </t>
  </si>
  <si>
    <t xml:space="preserve">* Claim upto 360 days in life ( 1 st year = 15 days , 2 nd year onward </t>
  </si>
  <si>
    <t>* Premiums  paid  up to</t>
  </si>
  <si>
    <t>* OSB is equal to  2  times of  HCB p.a.    i.e. Rs.</t>
  </si>
  <si>
    <t>* TAX BENEFIT:</t>
  </si>
  <si>
    <t>where hospitalisation for 28 hrs is there</t>
  </si>
  <si>
    <t xml:space="preserve">for all other surgeries not covered in MSB or DCPB   </t>
  </si>
  <si>
    <t>4.    OTHER SURGICAL BENEFIT (OSB):</t>
  </si>
  <si>
    <t>* Claim upto 24  procedures in Life time. i.e.  Rs.</t>
  </si>
  <si>
    <t>* Claim upto 3 procedures per year . i.e.  Rs.</t>
  </si>
  <si>
    <t xml:space="preserve">* DCPB is equal to 5 times of HCB . i.e.  Rs. </t>
  </si>
  <si>
    <t>for other 140 surgical procedures where hospitalisation not required.</t>
  </si>
  <si>
    <t>3.  DAY CARE PROCEDURE BENEFIT (DCPB):</t>
  </si>
  <si>
    <t>* Claims upto 800 times of HCB in life time . ( Maximum Rs. 32 Lakhs. )</t>
  </si>
  <si>
    <t xml:space="preserve">*  MSB is equal to 100 times of HCB per year . i.e. Rs. </t>
  </si>
  <si>
    <t>for</t>
  </si>
  <si>
    <t>( for 140  listed surgeries  )</t>
  </si>
  <si>
    <t>2.   MAJOR SURGICAL BENEFIT (MSB):</t>
  </si>
  <si>
    <t>A Smart Health Insurance Plan</t>
  </si>
  <si>
    <t>Benefits on Hospitalisation upto 720 days ( inclusive of 360 days for ICU )</t>
  </si>
  <si>
    <t>Double the Cash  Benefits for admission in ICU  i.e.    Rs.</t>
  </si>
  <si>
    <t xml:space="preserve">It automatically increases @ 5 % every year  upto 50 % </t>
  </si>
  <si>
    <t>Your selection for Hospital Cash Benefit  is Rs.</t>
  </si>
  <si>
    <t>1. HOSPITAL CASH BENEFIT (HCB) :</t>
  </si>
  <si>
    <t>MEDICAL BENEFITS : ( 4 TYPES )</t>
  </si>
  <si>
    <t>♠   Reimbursement of Rs. 1000 per insured / year for Ambulance Charges</t>
  </si>
  <si>
    <t>♠    Health cover risk upto age 80 yrs.</t>
  </si>
  <si>
    <t>♠    Premium Waiver Benefit &amp; No Claim Benefit</t>
  </si>
  <si>
    <t>♠    Increasing Health cover every year.</t>
  </si>
  <si>
    <t>♠    Lumpsum Benefits irrespective of actual medical costs.</t>
  </si>
  <si>
    <t>SPECIAL FEATURES</t>
  </si>
  <si>
    <t>difficult times.</t>
  </si>
  <si>
    <t>and helps you and your family remain financially independent in</t>
  </si>
  <si>
    <t>and provides you with timely support in case of medical emergencies</t>
  </si>
  <si>
    <t>which  provides health insurance cover against specified health  risks</t>
  </si>
  <si>
    <t xml:space="preserve">LIC's Jeevan Arogya, a unique non-linked Health Insurance Plan </t>
  </si>
  <si>
    <t>( A Smart Health Insurance Plan )</t>
  </si>
  <si>
    <t>UIN : 512N266V02</t>
  </si>
  <si>
    <r>
      <rPr>
        <b/>
        <sz val="12"/>
        <color rgb="FF002060"/>
        <rFont val="Calibri"/>
        <family val="2"/>
        <scheme val="minor"/>
      </rPr>
      <t>PLAN NO :</t>
    </r>
    <r>
      <rPr>
        <b/>
        <sz val="10"/>
        <color rgb="FF002060"/>
        <rFont val="Calibri"/>
        <family val="2"/>
        <scheme val="minor"/>
      </rPr>
      <t xml:space="preserve"> </t>
    </r>
    <r>
      <rPr>
        <b/>
        <sz val="12"/>
        <color rgb="FF002060"/>
        <rFont val="Calibri"/>
        <family val="2"/>
        <scheme val="minor"/>
      </rPr>
      <t>904</t>
    </r>
  </si>
  <si>
    <t>JEEVAN AROGYA</t>
  </si>
  <si>
    <t>GO  TO HOME</t>
  </si>
  <si>
    <t>Designed  &amp; Developed By</t>
  </si>
  <si>
    <t xml:space="preserve">MADURAI - 625002 , MOBILE NO : 9443472469 </t>
  </si>
  <si>
    <t>E.Mail id : apoorvayogam@gmail.com</t>
  </si>
  <si>
    <t xml:space="preserve">MADURAI - 625002 ,   MOBILE NO : 9443472469 </t>
  </si>
  <si>
    <t>VIEW  /  PRINT   REPORTS  ===&gt;</t>
  </si>
  <si>
    <t>Current NAV</t>
  </si>
  <si>
    <t>Expected Growth in NAV</t>
  </si>
  <si>
    <t>GROWTH   FUND</t>
  </si>
  <si>
    <t>AMOUNT</t>
  </si>
  <si>
    <t>Partcial  Withdrawal   From year</t>
  </si>
  <si>
    <t>PARTIAL WITHDRAWAL</t>
  </si>
  <si>
    <t>NAME</t>
  </si>
  <si>
    <t>NEW ENDOWMENT PLUS</t>
  </si>
  <si>
    <t>PLAN NO :</t>
  </si>
  <si>
    <t xml:space="preserve">VASANTHAM SMART  ULIP  </t>
  </si>
  <si>
    <t>New Endowment Plus</t>
  </si>
  <si>
    <t>Endowment Plus</t>
  </si>
  <si>
    <t>AB Rate</t>
  </si>
  <si>
    <t>Min prem For Selected mode</t>
  </si>
  <si>
    <t>Annualised premium</t>
  </si>
  <si>
    <t>Premium Mode  wise</t>
  </si>
  <si>
    <t>Mode</t>
  </si>
  <si>
    <t xml:space="preserve">AB </t>
  </si>
  <si>
    <t>Insurance</t>
  </si>
  <si>
    <t>Max ins</t>
  </si>
  <si>
    <t>Min Insurance</t>
  </si>
  <si>
    <t>Single</t>
  </si>
  <si>
    <t>Minimum prem Reg YLY</t>
  </si>
  <si>
    <t>Other</t>
  </si>
  <si>
    <t>5th</t>
  </si>
  <si>
    <t>4th</t>
  </si>
  <si>
    <t>3rd</t>
  </si>
  <si>
    <t xml:space="preserve">2nd </t>
  </si>
  <si>
    <t>First year AC</t>
  </si>
  <si>
    <t>Maximum Term</t>
  </si>
  <si>
    <t>Max Age entry</t>
  </si>
  <si>
    <t>Min Age entry</t>
  </si>
  <si>
    <t>Plans</t>
  </si>
  <si>
    <t>Plan name</t>
  </si>
  <si>
    <t>Fund Value</t>
  </si>
  <si>
    <t>Year</t>
  </si>
  <si>
    <t>Pr.selected</t>
  </si>
  <si>
    <t>withdrawal</t>
  </si>
  <si>
    <t>Fund Value at year end</t>
  </si>
  <si>
    <t>Accident + Normal Cover</t>
  </si>
  <si>
    <t>Units after deduction</t>
  </si>
  <si>
    <t>Deducted units</t>
  </si>
  <si>
    <t>Service tax</t>
  </si>
  <si>
    <t>Total Charges</t>
  </si>
  <si>
    <t>FMC</t>
  </si>
  <si>
    <t>AB Charge</t>
  </si>
  <si>
    <t>Admn exp</t>
  </si>
  <si>
    <t>W.c</t>
  </si>
  <si>
    <t>Risk premium</t>
  </si>
  <si>
    <t>Sum at risk</t>
  </si>
  <si>
    <t>Risk Cover</t>
  </si>
  <si>
    <t>Units After deduction</t>
  </si>
  <si>
    <t>Cumulative units</t>
  </si>
  <si>
    <t>Units allocated</t>
  </si>
  <si>
    <t>NAV</t>
  </si>
  <si>
    <t>Invested amount</t>
  </si>
  <si>
    <t>Allocation charge</t>
  </si>
  <si>
    <t>Premium</t>
  </si>
  <si>
    <t>No</t>
  </si>
  <si>
    <t xml:space="preserve">                                                                                                                    </t>
  </si>
  <si>
    <t xml:space="preserve">                                                                                                                                 </t>
  </si>
  <si>
    <t>Fund value</t>
  </si>
  <si>
    <t>Curr_NAV</t>
  </si>
  <si>
    <t>CAGR</t>
  </si>
  <si>
    <t>Yes</t>
  </si>
  <si>
    <t>ECS / MONTHLY</t>
  </si>
  <si>
    <t>HALF-YEARLY</t>
  </si>
  <si>
    <t>Admn Charge Constant</t>
  </si>
  <si>
    <t>Select</t>
  </si>
  <si>
    <t>Admn charge</t>
  </si>
  <si>
    <t>Select risk</t>
  </si>
  <si>
    <t>Risk cover</t>
  </si>
  <si>
    <t>age range</t>
  </si>
  <si>
    <t>Selected plan</t>
  </si>
  <si>
    <t xml:space="preserve">Select </t>
  </si>
  <si>
    <t>Age Range</t>
  </si>
  <si>
    <t>4. THE POLICYHOLDERS WILL NOT BE ABLE TO SURRENDER/ WITHDRAW THE MONEYIES INVESTED IN ULIP PRODUCTS COMPLETELY OR PARTIALLY TILL THE END OF FIFTH YEAR.</t>
  </si>
  <si>
    <t>3. THE ULIP PRODUCTS DO NOT OFFER ANY LIQUIDITY DURING THE FIRST 5 YEARS OF THE CONTRACT.</t>
  </si>
  <si>
    <t>2. NET  ASSET  VALUE  RATE SHOWN IS NOT GUARANTEED. IT IS FOR ILLUSTRATION PURPOSE ONLY.</t>
  </si>
  <si>
    <t xml:space="preserve">1. IN THIS POLICY, THE INVESTMENT RISK IN INVESTMENT PORTFOLIO IS BORNE BY THE POLICYHOLDER. </t>
  </si>
  <si>
    <t>DISCLAIMER :</t>
  </si>
  <si>
    <t>Presented  By :</t>
  </si>
  <si>
    <t xml:space="preserve">Accident </t>
  </si>
  <si>
    <t xml:space="preserve">Normal </t>
  </si>
  <si>
    <t xml:space="preserve">* Total Charges </t>
  </si>
  <si>
    <t>Total units</t>
  </si>
  <si>
    <t>This plan is specially designed for you to provide a very good combination of protection and long term savings and also provides you greater flexibility to build a better life and realise your dreams.</t>
  </si>
  <si>
    <t>NET  ASSET  VALUE  BASED  MARKET  LINKED  INSURANCE  PLAN.</t>
  </si>
  <si>
    <t xml:space="preserve">The premiums paid will qualify for rebate under Sec.80C of  INCOME TAX ACT </t>
  </si>
  <si>
    <t xml:space="preserve"> Partial withdrawals  are also available after  5  Policy Years.</t>
  </si>
  <si>
    <t>You can switch from one fund to another  fund .</t>
  </si>
  <si>
    <t>This Plan offers four types of fund namely BOND, SECURE, BALANCE &amp; GROWTH.</t>
  </si>
  <si>
    <t>An Insurance cum  ULIP  Investment Plan</t>
  </si>
  <si>
    <t>UIN512L301V01</t>
  </si>
  <si>
    <t>Plan No. 835</t>
  </si>
  <si>
    <t>SRI.</t>
  </si>
  <si>
    <t xml:space="preserve">Presented By </t>
  </si>
  <si>
    <t>Third Degree Burns</t>
  </si>
  <si>
    <t>Blindness</t>
  </si>
  <si>
    <t>Benign Brain Tumor</t>
  </si>
  <si>
    <t>Permanent Paralysis of Limbs</t>
  </si>
  <si>
    <t>Kidney Failure with Dialysis</t>
  </si>
  <si>
    <t>Open Heart Valve Replace / Repair</t>
  </si>
  <si>
    <t>Open Chest CABG</t>
  </si>
  <si>
    <t>Myocardial Infraction</t>
  </si>
  <si>
    <t>Cancer for Specified Severity</t>
  </si>
  <si>
    <t>As on Date</t>
  </si>
  <si>
    <t>A  Special  Presentation for</t>
  </si>
  <si>
    <t>NAME    == &gt;</t>
  </si>
  <si>
    <t xml:space="preserve"> </t>
  </si>
  <si>
    <t>PRESENTED  BY</t>
  </si>
  <si>
    <t>TOTAL  Rs.</t>
  </si>
  <si>
    <t>BHAAGYA SHREE</t>
  </si>
  <si>
    <t>VIEW / PRINT REPORT</t>
  </si>
  <si>
    <t>AGE     == &gt;</t>
  </si>
  <si>
    <t>GO  TO  HOME</t>
  </si>
  <si>
    <t>GO  TO  DATA ENTRY</t>
  </si>
  <si>
    <t>GSV</t>
  </si>
  <si>
    <t>SSV</t>
  </si>
  <si>
    <t>A  Smart Non-Commercial Business Tool for LIC ADVISORS</t>
  </si>
  <si>
    <t>jeevan vivaha</t>
  </si>
  <si>
    <t>SUM ASSURED  Rs.</t>
  </si>
  <si>
    <t>nithi</t>
  </si>
  <si>
    <t>ciii</t>
  </si>
  <si>
    <t>CIBR =</t>
  </si>
  <si>
    <t>1.34.</t>
  </si>
  <si>
    <t>1.67.</t>
  </si>
  <si>
    <t xml:space="preserve"> NEW CRITICAL ILLNESS BENEFIT  RIDER</t>
  </si>
  <si>
    <t>♣    An Optional Rider Benefit Scheme.</t>
  </si>
  <si>
    <t>CRITICAL ILLNESS BENEFIT FOR</t>
  </si>
  <si>
    <t xml:space="preserve">LIST OF CRITICAL ILLNESS </t>
  </si>
  <si>
    <t>Major Organ / Bone Marrow Transplant</t>
  </si>
  <si>
    <t>Storke resulting in Permanent Symptoms</t>
  </si>
  <si>
    <t>Aortic Surgery</t>
  </si>
  <si>
    <t>Alzheimer's Disease/ Dementia</t>
  </si>
  <si>
    <t>Multiple Sclerosis ( Persisting Symptoms )</t>
  </si>
  <si>
    <t xml:space="preserve">Primary (Idiopathic) Pulmonary Hypertension </t>
  </si>
  <si>
    <t>PREMIUM Rs.</t>
  </si>
  <si>
    <t xml:space="preserve">Critical Illness benefit will be payable only after the Corporation is satisfied on the basis of available medical evidence and other requirements as mentioned  under  Normal  requirements  of  claims.  </t>
  </si>
  <si>
    <t xml:space="preserve">Critical Illness benefit payable will subject to Definition of Critical illnesses, Conditions, Restrictions, Waiting Period, Survival Period, Exclusions and Submission of Claim Requirements within 120 days  from the date on which any of the Critical illnesses has been occurred.
</t>
  </si>
  <si>
    <t>♣   Premiums paid are Tax exempted under              sec. 80 (D)  of  INCOME TAX Act upto Rs. 25,000</t>
  </si>
  <si>
    <t>CIBR Premium</t>
  </si>
  <si>
    <t>GUARANTEED                                          BENEFIT               FOR DAIGNOSIS</t>
  </si>
  <si>
    <t>Kindly Note  :</t>
  </si>
  <si>
    <t>3.  Nothing is payable for Maturity and Death.</t>
  </si>
  <si>
    <t>5.   If death occurs within Survival Period  i.e. 30  days  from  date  of diagnosis, CIR benefit is not payable.</t>
  </si>
  <si>
    <t xml:space="preserve">2.  Additional premium rates can be revised every 5 years.
</t>
  </si>
  <si>
    <t xml:space="preserve">4.  After 90  days  from DOC , Critical Illness Benefit  payable any of the 15 listed diagnosis.  No  waiting  period under accident cases. </t>
  </si>
  <si>
    <t>Age proof</t>
  </si>
  <si>
    <t>EMR  CLASS - EXTRA</t>
  </si>
  <si>
    <t>12(8)</t>
  </si>
  <si>
    <t>1.53</t>
  </si>
  <si>
    <t>1.69</t>
  </si>
  <si>
    <t xml:space="preserve">8.36
</t>
  </si>
  <si>
    <t>16(8)</t>
  </si>
  <si>
    <t>2.05</t>
  </si>
  <si>
    <t>2.31</t>
  </si>
  <si>
    <t xml:space="preserve">12.82
</t>
  </si>
  <si>
    <t xml:space="preserve">10.94
</t>
  </si>
  <si>
    <t>21(8)</t>
  </si>
  <si>
    <t>12(9)</t>
  </si>
  <si>
    <t>16(9)</t>
  </si>
  <si>
    <t>21(9)</t>
  </si>
  <si>
    <t>1.09</t>
  </si>
  <si>
    <t>1.16</t>
  </si>
  <si>
    <t xml:space="preserve">5.99
</t>
  </si>
  <si>
    <t xml:space="preserve">5.68
</t>
  </si>
  <si>
    <t>1.40</t>
  </si>
  <si>
    <t xml:space="preserve">8.44
</t>
  </si>
  <si>
    <t>1.86</t>
  </si>
  <si>
    <t>2.10</t>
  </si>
  <si>
    <t xml:space="preserve">11.67
</t>
  </si>
  <si>
    <t xml:space="preserve">9.97
</t>
  </si>
  <si>
    <t>1.73.</t>
  </si>
  <si>
    <t>1,36</t>
  </si>
  <si>
    <t>1.1S</t>
  </si>
  <si>
    <t>L86</t>
  </si>
  <si>
    <t>1.37.</t>
  </si>
  <si>
    <t>2,32</t>
  </si>
  <si>
    <t>3.4.5</t>
  </si>
  <si>
    <t>2,91</t>
  </si>
  <si>
    <t>3,49</t>
  </si>
  <si>
    <t>4·.92</t>
  </si>
  <si>
    <t>S.41</t>
  </si>
  <si>
    <t>·3.68</t>
  </si>
  <si>
    <t>6,07</t>
  </si>
  <si>
    <t>10,12</t>
  </si>
  <si>
    <t>11. 72</t>
  </si>
  <si>
    <t>I5.12</t>
  </si>
  <si>
    <t xml:space="preserve">CRITICAL ILLNESS BENEFITS ENDS ON </t>
  </si>
  <si>
    <t>-                 -</t>
  </si>
  <si>
    <t xml:space="preserve">     -</t>
  </si>
  <si>
    <t>.</t>
  </si>
  <si>
    <t>Regular</t>
  </si>
  <si>
    <t>single</t>
  </si>
  <si>
    <t>Class -1</t>
  </si>
  <si>
    <t>Ageproof</t>
  </si>
  <si>
    <t>818 single                   =======&gt;</t>
  </si>
  <si>
    <t>AE</t>
  </si>
  <si>
    <t>CLASS - 1</t>
  </si>
  <si>
    <t>CLASS - 2</t>
  </si>
  <si>
    <t>CLASS - 3</t>
  </si>
  <si>
    <t>CLASS - 4</t>
  </si>
  <si>
    <t>CLASS - 5</t>
  </si>
  <si>
    <t>CLASS - 6</t>
  </si>
  <si>
    <t>CLASS - 7</t>
  </si>
  <si>
    <t>CLASS - 8</t>
  </si>
  <si>
    <t>CLASS - 9</t>
  </si>
  <si>
    <t>CLASS - 10</t>
  </si>
  <si>
    <t xml:space="preserve">NIL </t>
  </si>
  <si>
    <t>Standard</t>
  </si>
  <si>
    <t>Go To HOME  -                                                   CLICK HERE</t>
  </si>
  <si>
    <t>..</t>
  </si>
  <si>
    <t>AADHAR STAMBH</t>
  </si>
  <si>
    <t>AADHAR SHILA</t>
  </si>
  <si>
    <t>.39.50</t>
  </si>
  <si>
    <t>7.0.60</t>
  </si>
  <si>
    <t>·</t>
  </si>
  <si>
    <t xml:space="preserve">&amp; Multiples of 5000  upto 150000  &amp; Multiples of 10000  </t>
  </si>
  <si>
    <t>PLAN NO : 843</t>
  </si>
  <si>
    <t>UIN : 512N310V01</t>
  </si>
  <si>
    <t>SURRENDER &amp; LOAN facility  available after payment of  3 years Premium.</t>
  </si>
  <si>
    <t>Auto cover for 6 Months if at least 3 full year premium is already paid.</t>
  </si>
  <si>
    <t>SUM ASSURED    Rs.</t>
  </si>
  <si>
    <t xml:space="preserve"> *  LOYALTY ADDITIONS   Rs.</t>
  </si>
  <si>
    <t>PLAN NO : 844</t>
  </si>
  <si>
    <t>UIN : 512N309V01</t>
  </si>
  <si>
    <t>AADHAAR SHILA</t>
  </si>
  <si>
    <t>Auto cover for 2 Years if at least 5 full year premium is already paid.</t>
  </si>
  <si>
    <t xml:space="preserve">EXCLUSIVELY  FOR        FEMALES HAVING AADHAAR CARD </t>
  </si>
  <si>
    <t xml:space="preserve">EXCLUSIVELY  FOR                MALES      HAVING AADHAAR CARD </t>
  </si>
  <si>
    <t>Now ... My Identity Secures My Family</t>
  </si>
  <si>
    <t>Now...  My Identity Secures My Family</t>
  </si>
  <si>
    <t>10  %  EXTRA RISK COVER</t>
  </si>
  <si>
    <t>AADHAAR STAMBH</t>
  </si>
  <si>
    <t>4.58.</t>
  </si>
  <si>
    <t>8.15·</t>
  </si>
  <si>
    <t>CIR-M</t>
  </si>
  <si>
    <t>·38</t>
  </si>
  <si>
    <t>CIR-F</t>
  </si>
  <si>
    <t>Cat- 1</t>
  </si>
  <si>
    <t>LBO</t>
  </si>
  <si>
    <t>1.B5</t>
  </si>
  <si>
    <t>1.BO</t>
  </si>
  <si>
    <t>2.05'</t>
  </si>
  <si>
    <t>1.50 .</t>
  </si>
  <si>
    <t>Cat- 2</t>
  </si>
  <si>
    <t>JEEVAN UMANG</t>
  </si>
  <si>
    <t>15,20,25,30</t>
  </si>
  <si>
    <t>VIEW  / PRINT  REPORT</t>
  </si>
  <si>
    <t>POLICE DUTY</t>
  </si>
  <si>
    <t>INCOME TAX REBATE under sec . 80  ( C ) up to Rs. 1,50,000 p.a.</t>
  </si>
  <si>
    <t>PAYABLE PREMIUM</t>
  </si>
  <si>
    <t xml:space="preserve">MADURAI - 625002 , </t>
  </si>
  <si>
    <t xml:space="preserve">MOBILE NO : 9443472469  </t>
  </si>
  <si>
    <t>AGE :</t>
  </si>
  <si>
    <t>Incase Death occurs                               on 5 th policy year,    The  following     Annual Income benefits will be given to  your nominee</t>
  </si>
  <si>
    <t>Incase Death occurs                                 on 9 th policy year,  The following         Annual Income benefits will be  given      to  your nominee</t>
  </si>
  <si>
    <t>R.MANAVALAN,  DEVELOPMENT OFFICER,</t>
  </si>
  <si>
    <t xml:space="preserve">       </t>
  </si>
  <si>
    <t>90.00%</t>
  </si>
  <si>
    <t>89.35%</t>
  </si>
  <si>
    <t>88.71%</t>
  </si>
  <si>
    <t>89.34%</t>
  </si>
  <si>
    <t>88.06%</t>
  </si>
  <si>
    <t>88.69%</t>
  </si>
  <si>
    <t>89.33%</t>
  </si>
  <si>
    <t>87.42%</t>
  </si>
  <si>
    <t>88.03%</t>
  </si>
  <si>
    <t>88.67%</t>
  </si>
  <si>
    <t>89.32%</t>
  </si>
  <si>
    <t>86.77%</t>
  </si>
  <si>
    <t>87.38%</t>
  </si>
  <si>
    <t>88.00%</t>
  </si>
  <si>
    <t>88.64%</t>
  </si>
  <si>
    <t>89.31%</t>
  </si>
  <si>
    <t>86.13%</t>
  </si>
  <si>
    <t>86.72%</t>
  </si>
  <si>
    <t>87.33%</t>
  </si>
  <si>
    <t>87.97%</t>
  </si>
  <si>
    <t>88.62%</t>
  </si>
  <si>
    <t>89.30%</t>
  </si>
  <si>
    <t>85.48%</t>
  </si>
  <si>
    <t>86.07%</t>
  </si>
  <si>
    <t>86.67%</t>
  </si>
  <si>
    <t>87.29%</t>
  </si>
  <si>
    <t>87.93%</t>
  </si>
  <si>
    <t>88.60%</t>
  </si>
  <si>
    <t>89.29%</t>
  </si>
  <si>
    <t>84.84%</t>
  </si>
  <si>
    <t>85.41%</t>
  </si>
  <si>
    <t>86.00%</t>
  </si>
  <si>
    <t>86.61%</t>
  </si>
  <si>
    <t>87.24%</t>
  </si>
  <si>
    <t>87.89%</t>
  </si>
  <si>
    <t>88.57%</t>
  </si>
  <si>
    <t>89.27%</t>
  </si>
  <si>
    <t>84.19%</t>
  </si>
  <si>
    <t>84.75%</t>
  </si>
  <si>
    <t>85.33%</t>
  </si>
  <si>
    <t>85.93%</t>
  </si>
  <si>
    <t>86.55%</t>
  </si>
  <si>
    <t>87.19%</t>
  </si>
  <si>
    <t>87.86%</t>
  </si>
  <si>
    <t>88.55%</t>
  </si>
  <si>
    <t>89.26%</t>
  </si>
  <si>
    <t>83.55%</t>
  </si>
  <si>
    <t>84.10%</t>
  </si>
  <si>
    <t>84.67%</t>
  </si>
  <si>
    <t>85.25%</t>
  </si>
  <si>
    <t>85.86%</t>
  </si>
  <si>
    <t>86.49%</t>
  </si>
  <si>
    <t>87.14%</t>
  </si>
  <si>
    <t>87.82%</t>
  </si>
  <si>
    <t>88.52%</t>
  </si>
  <si>
    <t>89.25%</t>
  </si>
  <si>
    <t>82.90%</t>
  </si>
  <si>
    <t>83.44%</t>
  </si>
  <si>
    <t>84.00%</t>
  </si>
  <si>
    <t>84.58%</t>
  </si>
  <si>
    <t>85.17%</t>
  </si>
  <si>
    <t>85.79%</t>
  </si>
  <si>
    <t>86.43%</t>
  </si>
  <si>
    <t>87.09%</t>
  </si>
  <si>
    <t>87.78%</t>
  </si>
  <si>
    <t>88.49%</t>
  </si>
  <si>
    <t>89.23%</t>
  </si>
  <si>
    <t>82.26%</t>
  </si>
  <si>
    <t>82.79%</t>
  </si>
  <si>
    <t>83.33%</t>
  </si>
  <si>
    <t>83.90%</t>
  </si>
  <si>
    <t>84.48%</t>
  </si>
  <si>
    <t>85.09%</t>
  </si>
  <si>
    <t>85.71%</t>
  </si>
  <si>
    <t>86.36%</t>
  </si>
  <si>
    <t>87.04%</t>
  </si>
  <si>
    <t>87.74%</t>
  </si>
  <si>
    <t>88.46%</t>
  </si>
  <si>
    <t>89.22%</t>
  </si>
  <si>
    <t>81.61%</t>
  </si>
  <si>
    <t>82.13%</t>
  </si>
  <si>
    <t>82.67%</t>
  </si>
  <si>
    <t>83.22%</t>
  </si>
  <si>
    <t>83.79%</t>
  </si>
  <si>
    <t>84.39%</t>
  </si>
  <si>
    <t>85.64%</t>
  </si>
  <si>
    <t>86.30%</t>
  </si>
  <si>
    <t>86.98%</t>
  </si>
  <si>
    <t>87.69%</t>
  </si>
  <si>
    <t>88.43%</t>
  </si>
  <si>
    <t>80.97%</t>
  </si>
  <si>
    <t>81.48%</t>
  </si>
  <si>
    <t>82.00%</t>
  </si>
  <si>
    <t>82.54%</t>
  </si>
  <si>
    <t>83.10%</t>
  </si>
  <si>
    <t>83.68%</t>
  </si>
  <si>
    <t>84.29%</t>
  </si>
  <si>
    <t>84.91%</t>
  </si>
  <si>
    <t>85.56%</t>
  </si>
  <si>
    <t>86.23%</t>
  </si>
  <si>
    <t>86.92%</t>
  </si>
  <si>
    <t>87.65%</t>
  </si>
  <si>
    <t>88.40%</t>
  </si>
  <si>
    <t>89.18%</t>
  </si>
  <si>
    <t>80.32%</t>
  </si>
  <si>
    <t>80.82%</t>
  </si>
  <si>
    <t>81.33%</t>
  </si>
  <si>
    <t>81.86%</t>
  </si>
  <si>
    <t>82.41%</t>
  </si>
  <si>
    <t>82.98%</t>
  </si>
  <si>
    <t>83.57%</t>
  </si>
  <si>
    <t>84.18%</t>
  </si>
  <si>
    <t>84.81%</t>
  </si>
  <si>
    <t>85.47%</t>
  </si>
  <si>
    <t>86.15%</t>
  </si>
  <si>
    <t>86.86%</t>
  </si>
  <si>
    <t>87.60%</t>
  </si>
  <si>
    <t>88.37%</t>
  </si>
  <si>
    <t>89.17%</t>
  </si>
  <si>
    <t>80.16%</t>
  </si>
  <si>
    <t>80.67%</t>
  </si>
  <si>
    <t>81.19%</t>
  </si>
  <si>
    <t>81.72%</t>
  </si>
  <si>
    <t>82.28%</t>
  </si>
  <si>
    <t>82.86%</t>
  </si>
  <si>
    <t>83.45%</t>
  </si>
  <si>
    <t>84.07%</t>
  </si>
  <si>
    <t>84.72%</t>
  </si>
  <si>
    <t>85.38%</t>
  </si>
  <si>
    <t>86.08%</t>
  </si>
  <si>
    <t>86.80%</t>
  </si>
  <si>
    <t>87.55%</t>
  </si>
  <si>
    <t>88.33%</t>
  </si>
  <si>
    <t>89.15%</t>
  </si>
  <si>
    <t>79.03%</t>
  </si>
  <si>
    <t>79.51%</t>
  </si>
  <si>
    <t>80.00%</t>
  </si>
  <si>
    <t>80.51%</t>
  </si>
  <si>
    <t>81.03%</t>
  </si>
  <si>
    <t>81.58%</t>
  </si>
  <si>
    <t>82.14%</t>
  </si>
  <si>
    <t>82.73%</t>
  </si>
  <si>
    <t>83.96%</t>
  </si>
  <si>
    <t>84.62%</t>
  </si>
  <si>
    <t>85.29%</t>
  </si>
  <si>
    <t>86.73%</t>
  </si>
  <si>
    <t>87.50%</t>
  </si>
  <si>
    <t>88.30%</t>
  </si>
  <si>
    <t>89.13%</t>
  </si>
  <si>
    <t>78.39%</t>
  </si>
  <si>
    <t>78.85%</t>
  </si>
  <si>
    <t>79.33%</t>
  </si>
  <si>
    <t>79.83%</t>
  </si>
  <si>
    <t>80.34%</t>
  </si>
  <si>
    <t>80.88%</t>
  </si>
  <si>
    <t>81.43%</t>
  </si>
  <si>
    <t>82.59%</t>
  </si>
  <si>
    <t>83.21%</t>
  </si>
  <si>
    <t>83.85%</t>
  </si>
  <si>
    <t>84.51%</t>
  </si>
  <si>
    <t>85.20%</t>
  </si>
  <si>
    <t>85.92%</t>
  </si>
  <si>
    <t>87.45%</t>
  </si>
  <si>
    <t>88.26%</t>
  </si>
  <si>
    <t>89.11%</t>
  </si>
  <si>
    <t>77.74%</t>
  </si>
  <si>
    <t>78.20%</t>
  </si>
  <si>
    <t>78.67%</t>
  </si>
  <si>
    <t>79.15%</t>
  </si>
  <si>
    <t>79.66%</t>
  </si>
  <si>
    <t>80.18%</t>
  </si>
  <si>
    <t>80.71%</t>
  </si>
  <si>
    <t>81.27%</t>
  </si>
  <si>
    <t>81.85%</t>
  </si>
  <si>
    <t>82.45%</t>
  </si>
  <si>
    <t>83.08%</t>
  </si>
  <si>
    <t>83.73%</t>
  </si>
  <si>
    <t>84.40%</t>
  </si>
  <si>
    <t>85.10%</t>
  </si>
  <si>
    <t>85.83%</t>
  </si>
  <si>
    <t>87.39%</t>
  </si>
  <si>
    <t>89.09%</t>
  </si>
  <si>
    <t>77.10%</t>
  </si>
  <si>
    <t>77.54%</t>
  </si>
  <si>
    <t>78.47%</t>
  </si>
  <si>
    <t>78.97%</t>
  </si>
  <si>
    <t>79.47%</t>
  </si>
  <si>
    <t>80.55%</t>
  </si>
  <si>
    <t>81.11%</t>
  </si>
  <si>
    <t>81.70%</t>
  </si>
  <si>
    <t>82.31%</t>
  </si>
  <si>
    <t>82.94%</t>
  </si>
  <si>
    <t>85.74%</t>
  </si>
  <si>
    <t>86.52%</t>
  </si>
  <si>
    <t>88.18%</t>
  </si>
  <si>
    <t>89.07%</t>
  </si>
  <si>
    <t>76.45%</t>
  </si>
  <si>
    <t>76.89%</t>
  </si>
  <si>
    <t>77.33%</t>
  </si>
  <si>
    <t>77.80%</t>
  </si>
  <si>
    <t>78.28%</t>
  </si>
  <si>
    <t>78.77%</t>
  </si>
  <si>
    <t>79.29%</t>
  </si>
  <si>
    <t>79.82%</t>
  </si>
  <si>
    <t>80.37%</t>
  </si>
  <si>
    <t>80.94%</t>
  </si>
  <si>
    <t>81.54%</t>
  </si>
  <si>
    <t>82.16%</t>
  </si>
  <si>
    <t>82.80%</t>
  </si>
  <si>
    <t>83.47%</t>
  </si>
  <si>
    <t>84.17%</t>
  </si>
  <si>
    <t>84.89%</t>
  </si>
  <si>
    <t>85.65%</t>
  </si>
  <si>
    <t>86.44%</t>
  </si>
  <si>
    <t>87.27%</t>
  </si>
  <si>
    <t>88.14%</t>
  </si>
  <si>
    <t>89.05%</t>
  </si>
  <si>
    <t>75.81%</t>
  </si>
  <si>
    <t>76.23%</t>
  </si>
  <si>
    <t>76.67%</t>
  </si>
  <si>
    <t>77.12%</t>
  </si>
  <si>
    <t>77.59%</t>
  </si>
  <si>
    <t>78.07%</t>
  </si>
  <si>
    <t>78.57%</t>
  </si>
  <si>
    <t>79.09%</t>
  </si>
  <si>
    <t>79.63%</t>
  </si>
  <si>
    <t>80.19%</t>
  </si>
  <si>
    <t>80.77%</t>
  </si>
  <si>
    <t>81.37%</t>
  </si>
  <si>
    <t>82.65%</t>
  </si>
  <si>
    <t>84.04%</t>
  </si>
  <si>
    <t>84.78%</t>
  </si>
  <si>
    <t>87.21%</t>
  </si>
  <si>
    <t>88.10%</t>
  </si>
  <si>
    <t>89.02%</t>
  </si>
  <si>
    <t>75.16%</t>
  </si>
  <si>
    <t>75.57%</t>
  </si>
  <si>
    <t>76.00%</t>
  </si>
  <si>
    <t>76.44%</t>
  </si>
  <si>
    <t>76.90%</t>
  </si>
  <si>
    <t>77.37%</t>
  </si>
  <si>
    <t>77.86%</t>
  </si>
  <si>
    <t>78.36%</t>
  </si>
  <si>
    <t>78.89%</t>
  </si>
  <si>
    <t>79.43%</t>
  </si>
  <si>
    <t>80.59%</t>
  </si>
  <si>
    <t>81.20%</t>
  </si>
  <si>
    <t>81.84%</t>
  </si>
  <si>
    <t>82.50%</t>
  </si>
  <si>
    <t>83.19%</t>
  </si>
  <si>
    <t>83.91%</t>
  </si>
  <si>
    <t>85.45%</t>
  </si>
  <si>
    <t>86.28%</t>
  </si>
  <si>
    <t>88.05%</t>
  </si>
  <si>
    <t>89.00%</t>
  </si>
  <si>
    <t>74.52%</t>
  </si>
  <si>
    <t>74.92%</t>
  </si>
  <si>
    <t>75.33%</t>
  </si>
  <si>
    <t>75.76%</t>
  </si>
  <si>
    <t>76.21%</t>
  </si>
  <si>
    <t>77.14%</t>
  </si>
  <si>
    <t>77.64%</t>
  </si>
  <si>
    <t>78.15%</t>
  </si>
  <si>
    <t>78.68%</t>
  </si>
  <si>
    <t>79.23%</t>
  </si>
  <si>
    <t>79.80%</t>
  </si>
  <si>
    <t>80.40%</t>
  </si>
  <si>
    <t>81.02%</t>
  </si>
  <si>
    <t>81.67%</t>
  </si>
  <si>
    <t>82.34%</t>
  </si>
  <si>
    <t>83.04%</t>
  </si>
  <si>
    <t>83.78%</t>
  </si>
  <si>
    <t>84.55%</t>
  </si>
  <si>
    <t>85.35%</t>
  </si>
  <si>
    <t>86.19%</t>
  </si>
  <si>
    <t>87.07%</t>
  </si>
  <si>
    <t>88.97%</t>
  </si>
  <si>
    <t>73.87%</t>
  </si>
  <si>
    <t>74.26%</t>
  </si>
  <si>
    <t>74.67%</t>
  </si>
  <si>
    <t>75.08%</t>
  </si>
  <si>
    <t>75.52%</t>
  </si>
  <si>
    <t>75.96%</t>
  </si>
  <si>
    <t>76.43%</t>
  </si>
  <si>
    <t>76.91%</t>
  </si>
  <si>
    <t>77.41%</t>
  </si>
  <si>
    <t>77.92%</t>
  </si>
  <si>
    <t>79.02%</t>
  </si>
  <si>
    <t>79.60%</t>
  </si>
  <si>
    <t>80.20%</t>
  </si>
  <si>
    <t>80.83%</t>
  </si>
  <si>
    <t>81.49%</t>
  </si>
  <si>
    <t>82.17%</t>
  </si>
  <si>
    <t>82.89%</t>
  </si>
  <si>
    <t>83.64%</t>
  </si>
  <si>
    <t>84.42%</t>
  </si>
  <si>
    <t>85.24%</t>
  </si>
  <si>
    <t>86.10%</t>
  </si>
  <si>
    <t>87.95%</t>
  </si>
  <si>
    <t>88.95%</t>
  </si>
  <si>
    <t>73.23%</t>
  </si>
  <si>
    <t>73.61%</t>
  </si>
  <si>
    <t>74.00%</t>
  </si>
  <si>
    <t>74.41%</t>
  </si>
  <si>
    <t>74.83%</t>
  </si>
  <si>
    <t>75.26%</t>
  </si>
  <si>
    <t>75.71%</t>
  </si>
  <si>
    <t>76.18%</t>
  </si>
  <si>
    <t>77.17%</t>
  </si>
  <si>
    <t>77.69%</t>
  </si>
  <si>
    <t>78.24%</t>
  </si>
  <si>
    <t>78.80%</t>
  </si>
  <si>
    <t>79.39%</t>
  </si>
  <si>
    <t>80.64%</t>
  </si>
  <si>
    <t>81.30%</t>
  </si>
  <si>
    <t>83.49%</t>
  </si>
  <si>
    <t>85.12%</t>
  </si>
  <si>
    <t>88.92%</t>
  </si>
  <si>
    <t>72.58%</t>
  </si>
  <si>
    <t>72.95%</t>
  </si>
  <si>
    <t>73.33%</t>
  </si>
  <si>
    <t>73.73%</t>
  </si>
  <si>
    <t>74.14%</t>
  </si>
  <si>
    <t>74.56%</t>
  </si>
  <si>
    <t>75.45%</t>
  </si>
  <si>
    <t>75.93%</t>
  </si>
  <si>
    <t>76.92%</t>
  </si>
  <si>
    <t>77.45%</t>
  </si>
  <si>
    <t>79.17%</t>
  </si>
  <si>
    <t>79.79%</t>
  </si>
  <si>
    <t>80.43%</t>
  </si>
  <si>
    <t>81.82%</t>
  </si>
  <si>
    <t>82.56%</t>
  </si>
  <si>
    <t>84.15%</t>
  </si>
  <si>
    <t>85.90%</t>
  </si>
  <si>
    <t>86.84%</t>
  </si>
  <si>
    <t>87.84%</t>
  </si>
  <si>
    <t>71.94%</t>
  </si>
  <si>
    <t>72.30%</t>
  </si>
  <si>
    <t>72.67%</t>
  </si>
  <si>
    <t>73.05%</t>
  </si>
  <si>
    <t>73.45%</t>
  </si>
  <si>
    <t>73.86%</t>
  </si>
  <si>
    <t>74.29%</t>
  </si>
  <si>
    <t>74.73%</t>
  </si>
  <si>
    <t>75.19%</t>
  </si>
  <si>
    <t>75.66%</t>
  </si>
  <si>
    <t>76.15%</t>
  </si>
  <si>
    <t>77.20%</t>
  </si>
  <si>
    <t>77.76%</t>
  </si>
  <si>
    <t>78.33%</t>
  </si>
  <si>
    <t>78.94%</t>
  </si>
  <si>
    <t>79.57%</t>
  </si>
  <si>
    <t>80.22%</t>
  </si>
  <si>
    <t>80.91%</t>
  </si>
  <si>
    <t>81.63%</t>
  </si>
  <si>
    <t>82.38%</t>
  </si>
  <si>
    <t>83.17%</t>
  </si>
  <si>
    <t>84.87%</t>
  </si>
  <si>
    <t>86.76%</t>
  </si>
  <si>
    <t>71.29%</t>
  </si>
  <si>
    <t>71.64%</t>
  </si>
  <si>
    <t>72.00%</t>
  </si>
  <si>
    <t>72.37%</t>
  </si>
  <si>
    <t>72.76%</t>
  </si>
  <si>
    <t>73.16%</t>
  </si>
  <si>
    <t>73.57%</t>
  </si>
  <si>
    <t>74.44%</t>
  </si>
  <si>
    <t>74.91%</t>
  </si>
  <si>
    <t>75.88%</t>
  </si>
  <si>
    <t>76.40%</t>
  </si>
  <si>
    <t>76.94%</t>
  </si>
  <si>
    <t>77.50%</t>
  </si>
  <si>
    <t>78.09%</t>
  </si>
  <si>
    <t>78.70%</t>
  </si>
  <si>
    <t>80.70%</t>
  </si>
  <si>
    <t>83.00%</t>
  </si>
  <si>
    <t>84.74%</t>
  </si>
  <si>
    <t>85.68%</t>
  </si>
  <si>
    <t>70.65%</t>
  </si>
  <si>
    <t>70.98%</t>
  </si>
  <si>
    <t>71.33%</t>
  </si>
  <si>
    <t>71.69%</t>
  </si>
  <si>
    <t>72.07%</t>
  </si>
  <si>
    <t>72.46%</t>
  </si>
  <si>
    <t>72.86%</t>
  </si>
  <si>
    <t>73.27%</t>
  </si>
  <si>
    <t>73.70%</t>
  </si>
  <si>
    <t>74.15%</t>
  </si>
  <si>
    <t>74.62%</t>
  </si>
  <si>
    <t>75.10%</t>
  </si>
  <si>
    <t>75.60%</t>
  </si>
  <si>
    <t>76.12%</t>
  </si>
  <si>
    <t>77.23%</t>
  </si>
  <si>
    <t>77.83%</t>
  </si>
  <si>
    <t>78.44%</t>
  </si>
  <si>
    <t>79.77%</t>
  </si>
  <si>
    <t>80.48%</t>
  </si>
  <si>
    <t>81.22%</t>
  </si>
  <si>
    <t>82.82%</t>
  </si>
  <si>
    <t>84.59%</t>
  </si>
  <si>
    <t>70.00%</t>
  </si>
  <si>
    <t>70.33%</t>
  </si>
  <si>
    <t>70.67%</t>
  </si>
  <si>
    <t>71.02%</t>
  </si>
  <si>
    <t>71.38%</t>
  </si>
  <si>
    <t>71.75%</t>
  </si>
  <si>
    <t>72.14%</t>
  </si>
  <si>
    <t>72.55%</t>
  </si>
  <si>
    <t>72.96%</t>
  </si>
  <si>
    <t>73.40%</t>
  </si>
  <si>
    <t>73.85%</t>
  </si>
  <si>
    <t>74.31%</t>
  </si>
  <si>
    <t>74.80%</t>
  </si>
  <si>
    <t>75.31%</t>
  </si>
  <si>
    <t>75.83%</t>
  </si>
  <si>
    <t>76.38%</t>
  </si>
  <si>
    <t>76.96%</t>
  </si>
  <si>
    <t>77.56%</t>
  </si>
  <si>
    <t>78.18%</t>
  </si>
  <si>
    <t>78.84%</t>
  </si>
  <si>
    <t>79.52%</t>
  </si>
  <si>
    <t>80.24%</t>
  </si>
  <si>
    <t>81.00%</t>
  </si>
  <si>
    <t>81.79%</t>
  </si>
  <si>
    <t>82.63%</t>
  </si>
  <si>
    <t>83.51%</t>
  </si>
  <si>
    <t>69.35%</t>
  </si>
  <si>
    <t>69.67%</t>
  </si>
  <si>
    <t>70.34%</t>
  </si>
  <si>
    <t>70.69%</t>
  </si>
  <si>
    <t>71.05%</t>
  </si>
  <si>
    <t>71.43%</t>
  </si>
  <si>
    <t>71.82%</t>
  </si>
  <si>
    <t>72.22%</t>
  </si>
  <si>
    <t>72.64%</t>
  </si>
  <si>
    <t>73.08%</t>
  </si>
  <si>
    <t>73.53%</t>
  </si>
  <si>
    <t>74.49%</t>
  </si>
  <si>
    <t>75.53%</t>
  </si>
  <si>
    <t>76.09%</t>
  </si>
  <si>
    <t>77.27%</t>
  </si>
  <si>
    <t>77.91%</t>
  </si>
  <si>
    <t>79.27%</t>
  </si>
  <si>
    <t>82.43%</t>
  </si>
  <si>
    <t>68.71%</t>
  </si>
  <si>
    <t>69.02%</t>
  </si>
  <si>
    <t>69.33%</t>
  </si>
  <si>
    <t>69.66%</t>
  </si>
  <si>
    <t>70.35%</t>
  </si>
  <si>
    <t>70.71%</t>
  </si>
  <si>
    <t>71.09%</t>
  </si>
  <si>
    <t>71.48%</t>
  </si>
  <si>
    <t>71.89%</t>
  </si>
  <si>
    <t>72.31%</t>
  </si>
  <si>
    <t>72.75%</t>
  </si>
  <si>
    <t>73.20%</t>
  </si>
  <si>
    <t>73.67%</t>
  </si>
  <si>
    <t>74.17%</t>
  </si>
  <si>
    <t>74.68%</t>
  </si>
  <si>
    <t>75.22%</t>
  </si>
  <si>
    <t>75.78%</t>
  </si>
  <si>
    <t>76.36%</t>
  </si>
  <si>
    <t>76.98%</t>
  </si>
  <si>
    <t>77.62%</t>
  </si>
  <si>
    <t>78.29%</t>
  </si>
  <si>
    <t>79.00%</t>
  </si>
  <si>
    <t>79.74%</t>
  </si>
  <si>
    <t>81.35%</t>
  </si>
  <si>
    <t>68.06%</t>
  </si>
  <si>
    <t>68.36%</t>
  </si>
  <si>
    <t>68.67%</t>
  </si>
  <si>
    <t>68.98%</t>
  </si>
  <si>
    <t>69.31%</t>
  </si>
  <si>
    <t>69.65%</t>
  </si>
  <si>
    <t>70.36%</t>
  </si>
  <si>
    <t>70.74%</t>
  </si>
  <si>
    <t>71.54%</t>
  </si>
  <si>
    <t>71.96%</t>
  </si>
  <si>
    <t>72.40%</t>
  </si>
  <si>
    <t>73.83%</t>
  </si>
  <si>
    <t>74.35%</t>
  </si>
  <si>
    <t>74.89%</t>
  </si>
  <si>
    <t>76.05%</t>
  </si>
  <si>
    <t>77.32%</t>
  </si>
  <si>
    <t>78.72%</t>
  </si>
  <si>
    <t>80.27%</t>
  </si>
  <si>
    <t>67.42%</t>
  </si>
  <si>
    <t>67.70%</t>
  </si>
  <si>
    <t>68.31%</t>
  </si>
  <si>
    <t>68.62%</t>
  </si>
  <si>
    <t>68.95%</t>
  </si>
  <si>
    <t>69.29%</t>
  </si>
  <si>
    <t>69.64%</t>
  </si>
  <si>
    <t>70.38%</t>
  </si>
  <si>
    <t>70.77%</t>
  </si>
  <si>
    <t>71.18%</t>
  </si>
  <si>
    <t>71.60%</t>
  </si>
  <si>
    <t>72.04%</t>
  </si>
  <si>
    <t>72.50%</t>
  </si>
  <si>
    <t>72.98%</t>
  </si>
  <si>
    <t>73.48%</t>
  </si>
  <si>
    <t>74.55%</t>
  </si>
  <si>
    <t>75.12%</t>
  </si>
  <si>
    <t>76.34%</t>
  </si>
  <si>
    <t>77.00%</t>
  </si>
  <si>
    <t>78.42%</t>
  </si>
  <si>
    <t>79.19%</t>
  </si>
  <si>
    <t>66.77%</t>
  </si>
  <si>
    <t>67.05%</t>
  </si>
  <si>
    <t>67.33%</t>
  </si>
  <si>
    <t>67.63%</t>
  </si>
  <si>
    <t>67.93%</t>
  </si>
  <si>
    <t>68.25%</t>
  </si>
  <si>
    <t>68.57%</t>
  </si>
  <si>
    <t>68.91%</t>
  </si>
  <si>
    <t>69.26%</t>
  </si>
  <si>
    <t>69.62%</t>
  </si>
  <si>
    <t>70.39%</t>
  </si>
  <si>
    <t>70.80%</t>
  </si>
  <si>
    <t>71.22%</t>
  </si>
  <si>
    <t>71.67%</t>
  </si>
  <si>
    <t>72.13%</t>
  </si>
  <si>
    <t>72.61%</t>
  </si>
  <si>
    <t>73.11%</t>
  </si>
  <si>
    <t>73.64%</t>
  </si>
  <si>
    <t>74.19%</t>
  </si>
  <si>
    <t>74.76%</t>
  </si>
  <si>
    <t>75.37%</t>
  </si>
  <si>
    <t>7B.11%</t>
  </si>
  <si>
    <t>66.13%</t>
  </si>
  <si>
    <t>66.39%</t>
  </si>
  <si>
    <t>66.67%</t>
  </si>
  <si>
    <t>66.95%</t>
  </si>
  <si>
    <t>67.24%</t>
  </si>
  <si>
    <t>67.54%</t>
  </si>
  <si>
    <t>67.86%</t>
  </si>
  <si>
    <t>68.18%</t>
  </si>
  <si>
    <t>68.52%</t>
  </si>
  <si>
    <t>68.87%</t>
  </si>
  <si>
    <t>69.23%</t>
  </si>
  <si>
    <t>69.61%</t>
  </si>
  <si>
    <t>70.41%</t>
  </si>
  <si>
    <t>70.83%</t>
  </si>
  <si>
    <t>71.28%</t>
  </si>
  <si>
    <t>71.74%</t>
  </si>
  <si>
    <t>72.73%</t>
  </si>
  <si>
    <t>73.26%</t>
  </si>
  <si>
    <t>73.81%</t>
  </si>
  <si>
    <t>74.39%</t>
  </si>
  <si>
    <t>75.64%</t>
  </si>
  <si>
    <t>76.32%</t>
  </si>
  <si>
    <t>77.03%</t>
  </si>
  <si>
    <t>65.48%</t>
  </si>
  <si>
    <t>65.74%</t>
  </si>
  <si>
    <t>66.00%</t>
  </si>
  <si>
    <t>66.27%</t>
  </si>
  <si>
    <t>66.55%</t>
  </si>
  <si>
    <t>66.84%</t>
  </si>
  <si>
    <t>67.14%</t>
  </si>
  <si>
    <t>67.45%</t>
  </si>
  <si>
    <t>67.78%</t>
  </si>
  <si>
    <t>68.11%</t>
  </si>
  <si>
    <t>68.46%</t>
  </si>
  <si>
    <t>68.82%</t>
  </si>
  <si>
    <t>69.20%</t>
  </si>
  <si>
    <t>69.59%</t>
  </si>
  <si>
    <t>70.43%</t>
  </si>
  <si>
    <t>70.87%</t>
  </si>
  <si>
    <t>72.33%</t>
  </si>
  <si>
    <t>73.41%</t>
  </si>
  <si>
    <t>75.95%</t>
  </si>
  <si>
    <t>64.84%</t>
  </si>
  <si>
    <t>65.08%</t>
  </si>
  <si>
    <t>65.33%</t>
  </si>
  <si>
    <t>65.59%</t>
  </si>
  <si>
    <t>65.86%</t>
  </si>
  <si>
    <t>66.14%</t>
  </si>
  <si>
    <t>66.43%</t>
  </si>
  <si>
    <t>66.73%</t>
  </si>
  <si>
    <t>67.04%</t>
  </si>
  <si>
    <t>67.36%</t>
  </si>
  <si>
    <t>67.69%</t>
  </si>
  <si>
    <t>68.04%</t>
  </si>
  <si>
    <t>68.40%</t>
  </si>
  <si>
    <t>68.78%</t>
  </si>
  <si>
    <t>69.17%</t>
  </si>
  <si>
    <t>69.57%</t>
  </si>
  <si>
    <t>70.44%</t>
  </si>
  <si>
    <t>70.91%</t>
  </si>
  <si>
    <t>71.40%</t>
  </si>
  <si>
    <t>71.90%</t>
  </si>
  <si>
    <t>72.44%</t>
  </si>
  <si>
    <t>73.00%</t>
  </si>
  <si>
    <t>73.59%</t>
  </si>
  <si>
    <t>74.21%</t>
  </si>
  <si>
    <t>74.86%</t>
  </si>
  <si>
    <t>64.19%</t>
  </si>
  <si>
    <t>64.43%</t>
  </si>
  <si>
    <t>64.67%</t>
  </si>
  <si>
    <t>64.92%</t>
  </si>
  <si>
    <t>65.17%</t>
  </si>
  <si>
    <t>65.44%</t>
  </si>
  <si>
    <t>65.71%</t>
  </si>
  <si>
    <t>66.30%</t>
  </si>
  <si>
    <t>66.60%</t>
  </si>
  <si>
    <t>66.92%</t>
  </si>
  <si>
    <t>67.25%</t>
  </si>
  <si>
    <t>67.60%</t>
  </si>
  <si>
    <t>67.96%</t>
  </si>
  <si>
    <t>68.33%</t>
  </si>
  <si>
    <t>68.72%</t>
  </si>
  <si>
    <t>69.13%</t>
  </si>
  <si>
    <t>69.56%</t>
  </si>
  <si>
    <t>70.47%</t>
  </si>
  <si>
    <t>70.95%</t>
  </si>
  <si>
    <t>71.46%</t>
  </si>
  <si>
    <t>72.56%</t>
  </si>
  <si>
    <t>73.78%</t>
  </si>
  <si>
    <t>63.55%</t>
  </si>
  <si>
    <t>63.77%</t>
  </si>
  <si>
    <t>64.00%</t>
  </si>
  <si>
    <t>64.24%</t>
  </si>
  <si>
    <t>64.48%</t>
  </si>
  <si>
    <t>64.74%</t>
  </si>
  <si>
    <t>65.27%</t>
  </si>
  <si>
    <t>65.56%</t>
  </si>
  <si>
    <t>65.85%</t>
  </si>
  <si>
    <t>66.15%</t>
  </si>
  <si>
    <t>66.47%</t>
  </si>
  <si>
    <t>66.80%</t>
  </si>
  <si>
    <t>67.50%</t>
  </si>
  <si>
    <t>67.87%</t>
  </si>
  <si>
    <t>68.26%</t>
  </si>
  <si>
    <t>69.09%</t>
  </si>
  <si>
    <t>69.53%</t>
  </si>
  <si>
    <t>70.49%</t>
  </si>
  <si>
    <t>71.00%</t>
  </si>
  <si>
    <t>72.11%</t>
  </si>
  <si>
    <t>72.70%</t>
  </si>
  <si>
    <t>62.90%</t>
  </si>
  <si>
    <t>63.11%</t>
  </si>
  <si>
    <t>63.33%</t>
  </si>
  <si>
    <t>63.79%</t>
  </si>
  <si>
    <t>64.04%</t>
  </si>
  <si>
    <t>64.29%</t>
  </si>
  <si>
    <t>64.55%</t>
  </si>
  <si>
    <t>64.81%</t>
  </si>
  <si>
    <t>65.09%</t>
  </si>
  <si>
    <t>65.38%</t>
  </si>
  <si>
    <t>65.69%</t>
  </si>
  <si>
    <t>66.33%</t>
  </si>
  <si>
    <t>67.02%</t>
  </si>
  <si>
    <t>67.39%</t>
  </si>
  <si>
    <t>68.60%</t>
  </si>
  <si>
    <t>69.05%</t>
  </si>
  <si>
    <t>69.51%</t>
  </si>
  <si>
    <t>70.51%</t>
  </si>
  <si>
    <t>71.62%</t>
  </si>
  <si>
    <t>62.26%</t>
  </si>
  <si>
    <t>62.46%</t>
  </si>
  <si>
    <t>62.67%</t>
  </si>
  <si>
    <t>62.88%</t>
  </si>
  <si>
    <t>63.10%</t>
  </si>
  <si>
    <t>63.57%</t>
  </si>
  <si>
    <t>63.82%</t>
  </si>
  <si>
    <t>64.07%</t>
  </si>
  <si>
    <t>64.34%</t>
  </si>
  <si>
    <t>64.62%</t>
  </si>
  <si>
    <t>64.90%</t>
  </si>
  <si>
    <t>65.20%</t>
  </si>
  <si>
    <t>65.51%</t>
  </si>
  <si>
    <t>65.83%</t>
  </si>
  <si>
    <t>66.17%</t>
  </si>
  <si>
    <t>66.52%</t>
  </si>
  <si>
    <t>66.89%</t>
  </si>
  <si>
    <t>67.27%</t>
  </si>
  <si>
    <t>67.67%</t>
  </si>
  <si>
    <t>68.10%</t>
  </si>
  <si>
    <t>68.54%</t>
  </si>
  <si>
    <t>69.49%</t>
  </si>
  <si>
    <t>70.54%</t>
  </si>
  <si>
    <t>61.61%</t>
  </si>
  <si>
    <t>61.80%</t>
  </si>
  <si>
    <t>62.20%</t>
  </si>
  <si>
    <t>62.41%</t>
  </si>
  <si>
    <t>62.63%</t>
  </si>
  <si>
    <t>62.86%</t>
  </si>
  <si>
    <t>63.09%</t>
  </si>
  <si>
    <t>63.58%</t>
  </si>
  <si>
    <t>63.85%</t>
  </si>
  <si>
    <t>64.12%</t>
  </si>
  <si>
    <t>64.40%</t>
  </si>
  <si>
    <t>64.69%</t>
  </si>
  <si>
    <t>65.32%</t>
  </si>
  <si>
    <t>65.65%</t>
  </si>
  <si>
    <t>66.36%</t>
  </si>
  <si>
    <t>66.74%</t>
  </si>
  <si>
    <t>67.56%</t>
  </si>
  <si>
    <t>69.46%</t>
  </si>
  <si>
    <t>60.97%</t>
  </si>
  <si>
    <t>61.15%</t>
  </si>
  <si>
    <t>61.33%</t>
  </si>
  <si>
    <t>61.53%</t>
  </si>
  <si>
    <t>61.72%</t>
  </si>
  <si>
    <t>61.93%</t>
  </si>
  <si>
    <t>62.14%</t>
  </si>
  <si>
    <t>62.36%</t>
  </si>
  <si>
    <t>62.59%</t>
  </si>
  <si>
    <t>62.83%</t>
  </si>
  <si>
    <t>63.08%</t>
  </si>
  <si>
    <t>63.60%</t>
  </si>
  <si>
    <t>63.88%</t>
  </si>
  <si>
    <t>64.17%</t>
  </si>
  <si>
    <t>64.47%</t>
  </si>
  <si>
    <t>64.78%</t>
  </si>
  <si>
    <t>65.11%</t>
  </si>
  <si>
    <t>65.45%</t>
  </si>
  <si>
    <t>65.81%</t>
  </si>
  <si>
    <t>66.19%</t>
  </si>
  <si>
    <t>66.59%</t>
  </si>
  <si>
    <t>67.44%</t>
  </si>
  <si>
    <t>67.89%</t>
  </si>
  <si>
    <t>68.38%</t>
  </si>
  <si>
    <t>60.32%</t>
  </si>
  <si>
    <t>60.49%</t>
  </si>
  <si>
    <t>60.67%</t>
  </si>
  <si>
    <t>60.85%</t>
  </si>
  <si>
    <t>61.03%</t>
  </si>
  <si>
    <t>61.23%</t>
  </si>
  <si>
    <t>61.43%</t>
  </si>
  <si>
    <t>61.64%</t>
  </si>
  <si>
    <t>61.85%</t>
  </si>
  <si>
    <t>62.08%</t>
  </si>
  <si>
    <t>62.31%</t>
  </si>
  <si>
    <t>62.55%</t>
  </si>
  <si>
    <t>62.80%</t>
  </si>
  <si>
    <t>63.06%</t>
  </si>
  <si>
    <t>63.62%</t>
  </si>
  <si>
    <t>63.91%</t>
  </si>
  <si>
    <t>64.22%</t>
  </si>
  <si>
    <t>64.88%</t>
  </si>
  <si>
    <t>65.24%</t>
  </si>
  <si>
    <t>65.61%</t>
  </si>
  <si>
    <t>66.41%</t>
  </si>
  <si>
    <t>67.30%</t>
  </si>
  <si>
    <t>59.68%</t>
  </si>
  <si>
    <t>59.84%</t>
  </si>
  <si>
    <t>60.00%</t>
  </si>
  <si>
    <t>60.17%</t>
  </si>
  <si>
    <t>60.34%</t>
  </si>
  <si>
    <t>60.53%</t>
  </si>
  <si>
    <t>60.71%</t>
  </si>
  <si>
    <t>60.91%</t>
  </si>
  <si>
    <t>61.11%</t>
  </si>
  <si>
    <t>61.32%</t>
  </si>
  <si>
    <t>61.54%</t>
  </si>
  <si>
    <t>61.76%</t>
  </si>
  <si>
    <t>62.24%</t>
  </si>
  <si>
    <t>62.50%</t>
  </si>
  <si>
    <t>62.77%</t>
  </si>
  <si>
    <t>63.04%</t>
  </si>
  <si>
    <t>63.64%</t>
  </si>
  <si>
    <t>63.95%</t>
  </si>
  <si>
    <t>64.63%</t>
  </si>
  <si>
    <t>65.79%</t>
  </si>
  <si>
    <t>66.22%</t>
  </si>
  <si>
    <t>59.03%</t>
  </si>
  <si>
    <t>59.18%</t>
  </si>
  <si>
    <t>59.33%</t>
  </si>
  <si>
    <t>59.49%</t>
  </si>
  <si>
    <t>59.66%</t>
  </si>
  <si>
    <t>59.82%</t>
  </si>
  <si>
    <t>60.18%</t>
  </si>
  <si>
    <t>60.37%</t>
  </si>
  <si>
    <t>60.57%</t>
  </si>
  <si>
    <t>60.77%</t>
  </si>
  <si>
    <t>60.98%</t>
  </si>
  <si>
    <t>61.20%</t>
  </si>
  <si>
    <t>61.67%</t>
  </si>
  <si>
    <t>61.91%</t>
  </si>
  <si>
    <t>62.17%</t>
  </si>
  <si>
    <t>62.44%</t>
  </si>
  <si>
    <t>62.73%</t>
  </si>
  <si>
    <t>63.02%</t>
  </si>
  <si>
    <t>63.66%</t>
  </si>
  <si>
    <t>64.36%</t>
  </si>
  <si>
    <t>65.14%</t>
  </si>
  <si>
    <t>58.39%</t>
  </si>
  <si>
    <t>58.52%</t>
  </si>
  <si>
    <t>58.67%</t>
  </si>
  <si>
    <t>58.81%</t>
  </si>
  <si>
    <t>58.970/,</t>
  </si>
  <si>
    <t>59.12%</t>
  </si>
  <si>
    <t>59.29%</t>
  </si>
  <si>
    <t>59.45%</t>
  </si>
  <si>
    <t>59.63%</t>
  </si>
  <si>
    <t>59.81%</t>
  </si>
  <si>
    <t>60.20%</t>
  </si>
  <si>
    <t>60.40%</t>
  </si>
  <si>
    <t>60.61%</t>
  </si>
  <si>
    <t>60.83%</t>
  </si>
  <si>
    <t>61.06%</t>
  </si>
  <si>
    <t>61.30%</t>
  </si>
  <si>
    <t>61.56%</t>
  </si>
  <si>
    <t>61.82%</t>
  </si>
  <si>
    <t>62.09%</t>
  </si>
  <si>
    <t>62.38%</t>
  </si>
  <si>
    <t>62.68%</t>
  </si>
  <si>
    <t>63.00%</t>
  </si>
  <si>
    <t>63.68%</t>
  </si>
  <si>
    <t>64.05%</t>
  </si>
  <si>
    <t>57.74%</t>
  </si>
  <si>
    <t>57.87%</t>
  </si>
  <si>
    <t>58.00%</t>
  </si>
  <si>
    <t>58.28%</t>
  </si>
  <si>
    <t>58.42%</t>
  </si>
  <si>
    <t>58.57%</t>
  </si>
  <si>
    <t>58.73%</t>
  </si>
  <si>
    <t>58.89%</t>
  </si>
  <si>
    <t>59.06%</t>
  </si>
  <si>
    <t>59.23%</t>
  </si>
  <si>
    <t>59.41%</t>
  </si>
  <si>
    <t>59.60%</t>
  </si>
  <si>
    <t>59.80%</t>
  </si>
  <si>
    <t>60.21%</t>
  </si>
  <si>
    <t>60.43%</t>
  </si>
  <si>
    <t>61.16%</t>
  </si>
  <si>
    <t>61.71%</t>
  </si>
  <si>
    <t>62.97%</t>
  </si>
  <si>
    <t>57.10%</t>
  </si>
  <si>
    <t>57.21%</t>
  </si>
  <si>
    <t>57.33%</t>
  </si>
  <si>
    <t>57.46%</t>
  </si>
  <si>
    <t>57.59%</t>
  </si>
  <si>
    <t>57.72%</t>
  </si>
  <si>
    <t>57.86%</t>
  </si>
  <si>
    <t>58.15%</t>
  </si>
  <si>
    <t>58.30%</t>
  </si>
  <si>
    <t>58.46%</t>
  </si>
  <si>
    <t>58.63%</t>
  </si>
  <si>
    <t>58.80%</t>
  </si>
  <si>
    <t>58.98%</t>
  </si>
  <si>
    <t>59.17%</t>
  </si>
  <si>
    <t>59.36%</t>
  </si>
  <si>
    <t>59.57%</t>
  </si>
  <si>
    <t>59.78%</t>
  </si>
  <si>
    <t>60.23%</t>
  </si>
  <si>
    <t>60.48%</t>
  </si>
  <si>
    <t>60.73%</t>
  </si>
  <si>
    <t>61.00%</t>
  </si>
  <si>
    <t>61.28%</t>
  </si>
  <si>
    <t>61.58%</t>
  </si>
  <si>
    <t>61.89%</t>
  </si>
  <si>
    <t>56.45%</t>
  </si>
  <si>
    <t>56.56%</t>
  </si>
  <si>
    <t>56.67%</t>
  </si>
  <si>
    <t>56.78%</t>
  </si>
  <si>
    <t>56.90%</t>
  </si>
  <si>
    <t>57.02%</t>
  </si>
  <si>
    <t>57.14%</t>
  </si>
  <si>
    <t>57.27%</t>
  </si>
  <si>
    <t>57.41%</t>
  </si>
  <si>
    <t>57.55%</t>
  </si>
  <si>
    <t>57.69%</t>
  </si>
  <si>
    <t>57.84%</t>
  </si>
  <si>
    <t>58.16%</t>
  </si>
  <si>
    <t>58.33%</t>
  </si>
  <si>
    <t>58.51%</t>
  </si>
  <si>
    <t>58.70%</t>
  </si>
  <si>
    <t>59.09%</t>
  </si>
  <si>
    <t>59.30%</t>
  </si>
  <si>
    <t>59.52%</t>
  </si>
  <si>
    <t>59.76%</t>
  </si>
  <si>
    <t>60.26%</t>
  </si>
  <si>
    <t>60.81%</t>
  </si>
  <si>
    <t>55.81%</t>
  </si>
  <si>
    <t>55.90%</t>
  </si>
  <si>
    <t>56.00%</t>
  </si>
  <si>
    <t>56.10%</t>
  </si>
  <si>
    <t>56.21%</t>
  </si>
  <si>
    <t>56.32%</t>
  </si>
  <si>
    <t>56.43%</t>
  </si>
  <si>
    <t>56.55%</t>
  </si>
  <si>
    <t>56.79%</t>
  </si>
  <si>
    <t>56.92%</t>
  </si>
  <si>
    <t>57.06%</t>
  </si>
  <si>
    <t>57.20%</t>
  </si>
  <si>
    <t>57.35%</t>
  </si>
  <si>
    <t>57.50%</t>
  </si>
  <si>
    <t>57.66%</t>
  </si>
  <si>
    <t>57.83%</t>
  </si>
  <si>
    <t>58.18%</t>
  </si>
  <si>
    <t>58.37%</t>
  </si>
  <si>
    <t>58.78%</t>
  </si>
  <si>
    <t>59.00%</t>
  </si>
  <si>
    <t>·59.23%</t>
  </si>
  <si>
    <t>59.47%</t>
  </si>
  <si>
    <t>59.73%</t>
  </si>
  <si>
    <t>55.16%</t>
  </si>
  <si>
    <t>55.25%</t>
  </si>
  <si>
    <t>55.33%</t>
  </si>
  <si>
    <t>55.42%</t>
  </si>
  <si>
    <t>55.52%</t>
  </si>
  <si>
    <t>55.61%</t>
  </si>
  <si>
    <t>55.71%</t>
  </si>
  <si>
    <t>55.82%</t>
  </si>
  <si>
    <t>55.93%</t>
  </si>
  <si>
    <t>56.04%</t>
  </si>
  <si>
    <t>56.15%</t>
  </si>
  <si>
    <t>56.27%</t>
  </si>
  <si>
    <t>56.40%</t>
  </si>
  <si>
    <t>56.53%</t>
  </si>
  <si>
    <t>56.81%</t>
  </si>
  <si>
    <t>56.96%</t>
  </si>
  <si>
    <t>57.11%</t>
  </si>
  <si>
    <t>57.44%</t>
  </si>
  <si>
    <t>57.62%</t>
  </si>
  <si>
    <t>57.80%</t>
  </si>
  <si>
    <t>58.21%</t>
  </si>
  <si>
    <t>58.65%</t>
  </si>
  <si>
    <t>54.52%</t>
  </si>
  <si>
    <t>54.59%</t>
  </si>
  <si>
    <t>54.83%</t>
  </si>
  <si>
    <t>54.91%</t>
  </si>
  <si>
    <t>55.00%</t>
  </si>
  <si>
    <t>55.09%</t>
  </si>
  <si>
    <t>55.19%</t>
  </si>
  <si>
    <t>55.28%</t>
  </si>
  <si>
    <t>55.38%</t>
  </si>
  <si>
    <t>55.60%</t>
  </si>
  <si>
    <t>55.83%</t>
  </si>
  <si>
    <t>55.96%</t>
  </si>
  <si>
    <t>56.09%</t>
  </si>
  <si>
    <t>56.22%</t>
  </si>
  <si>
    <t>56.36%</t>
  </si>
  <si>
    <t>56.51%</t>
  </si>
  <si>
    <t>56.83%</t>
  </si>
  <si>
    <t>57.00%</t>
  </si>
  <si>
    <t>57.18%</t>
  </si>
  <si>
    <t>57.37%</t>
  </si>
  <si>
    <t>57.57%</t>
  </si>
  <si>
    <t>53.87%</t>
  </si>
  <si>
    <t>53.93%</t>
  </si>
  <si>
    <t>54.00%</t>
  </si>
  <si>
    <t>54.07%</t>
  </si>
  <si>
    <t>54.14%</t>
  </si>
  <si>
    <t>54.21%</t>
  </si>
  <si>
    <t>54.29%</t>
  </si>
  <si>
    <t>54.36%</t>
  </si>
  <si>
    <t>54.44%</t>
  </si>
  <si>
    <t>54.53%</t>
  </si>
  <si>
    <t>54.62%</t>
  </si>
  <si>
    <t>54.71%</t>
  </si>
  <si>
    <t>54.80%</t>
  </si>
  <si>
    <t>54.90%</t>
  </si>
  <si>
    <t>55.11%</t>
  </si>
  <si>
    <t>55.22%</t>
  </si>
  <si>
    <t>55.45%</t>
  </si>
  <si>
    <t>55.58%</t>
  </si>
  <si>
    <t>55.85%</t>
  </si>
  <si>
    <t>56.49%</t>
  </si>
  <si>
    <t>53.23%</t>
  </si>
  <si>
    <t>53.28%</t>
  </si>
  <si>
    <t>53.33%</t>
  </si>
  <si>
    <t>53.39%</t>
  </si>
  <si>
    <t>53.45%</t>
  </si>
  <si>
    <t>53.51%</t>
  </si>
  <si>
    <t>53.57%</t>
  </si>
  <si>
    <t>53.64%</t>
  </si>
  <si>
    <t>53.70%</t>
  </si>
  <si>
    <t>53.77%</t>
  </si>
  <si>
    <t>53.85%</t>
  </si>
  <si>
    <t>53.92%</t>
  </si>
  <si>
    <t>54.08%</t>
  </si>
  <si>
    <t>54.17%</t>
  </si>
  <si>
    <t>54.26%</t>
  </si>
  <si>
    <t>54.35%</t>
  </si>
  <si>
    <t>54.55%</t>
  </si>
  <si>
    <t>54.65%</t>
  </si>
  <si>
    <t>54.76%</t>
  </si>
  <si>
    <t>54.88%</t>
  </si>
  <si>
    <t>55.13%</t>
  </si>
  <si>
    <t>55.26%</t>
  </si>
  <si>
    <t>55.41%</t>
  </si>
  <si>
    <t>52.58%</t>
  </si>
  <si>
    <t>52.62%</t>
  </si>
  <si>
    <t>52.67%</t>
  </si>
  <si>
    <t>52.71%</t>
  </si>
  <si>
    <t>52.76%</t>
  </si>
  <si>
    <t>52.81%</t>
  </si>
  <si>
    <t>52.86%</t>
  </si>
  <si>
    <t>52.91%</t>
  </si>
  <si>
    <t>52.96%</t>
  </si>
  <si>
    <t>53.02%</t>
  </si>
  <si>
    <t>53.08%</t>
  </si>
  <si>
    <t>53.14%</t>
  </si>
  <si>
    <t>53.20%</t>
  </si>
  <si>
    <t>53.27%</t>
  </si>
  <si>
    <t>53.40%</t>
  </si>
  <si>
    <t>53.48%</t>
  </si>
  <si>
    <t>53.56%</t>
  </si>
  <si>
    <t>53.72%</t>
  </si>
  <si>
    <t>53.81%</t>
  </si>
  <si>
    <t>53.90%</t>
  </si>
  <si>
    <t>54.10%</t>
  </si>
  <si>
    <t>54.32%</t>
  </si>
  <si>
    <t>51.94%</t>
  </si>
  <si>
    <t>51.97%</t>
  </si>
  <si>
    <t>52.00%</t>
  </si>
  <si>
    <t>52.03%</t>
  </si>
  <si>
    <t>52.07%</t>
  </si>
  <si>
    <t>52.11%</t>
  </si>
  <si>
    <t>52.14%</t>
  </si>
  <si>
    <t>52.18%</t>
  </si>
  <si>
    <t>52.22%</t>
  </si>
  <si>
    <t>52.26%</t>
  </si>
  <si>
    <t>52.31%</t>
  </si>
  <si>
    <t>52.35%</t>
  </si>
  <si>
    <t>52.40%</t>
  </si>
  <si>
    <t>52.45%</t>
  </si>
  <si>
    <t>52.50%</t>
  </si>
  <si>
    <t>52.55%</t>
  </si>
  <si>
    <t>52.61%</t>
  </si>
  <si>
    <t>52.73%</t>
  </si>
  <si>
    <t>52.79%</t>
  </si>
  <si>
    <t>52.93%</t>
  </si>
  <si>
    <t>53.00%</t>
  </si>
  <si>
    <t>53.16%</t>
  </si>
  <si>
    <t>53.24%</t>
  </si>
  <si>
    <t>51.33%</t>
  </si>
  <si>
    <t>51.36%</t>
  </si>
  <si>
    <t>51.38%</t>
  </si>
  <si>
    <t>51.40%</t>
  </si>
  <si>
    <t>51.43%</t>
  </si>
  <si>
    <t>51.45%</t>
  </si>
  <si>
    <t>51.48%</t>
  </si>
  <si>
    <t>51.51%</t>
  </si>
  <si>
    <t>51.54%</t>
  </si>
  <si>
    <t>51.57%</t>
  </si>
  <si>
    <t>51.60%</t>
  </si>
  <si>
    <t>51.63%</t>
  </si>
  <si>
    <t>51.67%</t>
  </si>
  <si>
    <t>51.70%</t>
  </si>
  <si>
    <t>51.74%</t>
  </si>
  <si>
    <t>51.78%</t>
  </si>
  <si>
    <t>51.82%</t>
  </si>
  <si>
    <t>51.86%</t>
  </si>
  <si>
    <t>51.90%</t>
  </si>
  <si>
    <t>51.95%</t>
  </si>
  <si>
    <t>52.05%</t>
  </si>
  <si>
    <t>52.16%</t>
  </si>
  <si>
    <t>50.66%</t>
  </si>
  <si>
    <t>50.67%</t>
  </si>
  <si>
    <t>50.68%</t>
  </si>
  <si>
    <t>50.69%</t>
  </si>
  <si>
    <t>50.70%</t>
  </si>
  <si>
    <t>50.71%</t>
  </si>
  <si>
    <t>50.73%</t>
  </si>
  <si>
    <t>50.74%</t>
  </si>
  <si>
    <t>50.75%</t>
  </si>
  <si>
    <t>50.77%</t>
  </si>
  <si>
    <t>50.78%</t>
  </si>
  <si>
    <t>50.80%</t>
  </si>
  <si>
    <t>50.82%</t>
  </si>
  <si>
    <t>50.83%</t>
  </si>
  <si>
    <t>50.85%</t>
  </si>
  <si>
    <t>50.87%</t>
  </si>
  <si>
    <t>50.89%</t>
  </si>
  <si>
    <t>50.91%</t>
  </si>
  <si>
    <t>50.93%</t>
  </si>
  <si>
    <t>50.95%</t>
  </si>
  <si>
    <t>50.98%</t>
  </si>
  <si>
    <t>51.00%</t>
  </si>
  <si>
    <t>51.03%</t>
  </si>
  <si>
    <t>51.05%</t>
  </si>
  <si>
    <t>51.08%</t>
  </si>
  <si>
    <t>ADB RIDER</t>
  </si>
  <si>
    <t>ADDB RIDER</t>
  </si>
  <si>
    <t>1.8O</t>
  </si>
  <si>
    <t>82.57%</t>
  </si>
  <si>
    <t>74.96%</t>
  </si>
  <si>
    <t>72.52%</t>
  </si>
  <si>
    <t>70.24%</t>
  </si>
  <si>
    <t>65.84%</t>
  </si>
  <si>
    <t>61.41%</t>
  </si>
  <si>
    <t>54.05%</t>
  </si>
  <si>
    <t>73.30%</t>
  </si>
  <si>
    <t>48.24%</t>
  </si>
  <si>
    <t>65.49%</t>
  </si>
  <si>
    <t>44.97%</t>
  </si>
  <si>
    <t>60.95%</t>
  </si>
  <si>
    <t>41.92%</t>
  </si>
  <si>
    <t>56.95%</t>
  </si>
  <si>
    <t xml:space="preserve"> ALLOWED for 18 Yrs &amp; above</t>
  </si>
  <si>
    <t xml:space="preserve"> CRITICAL ILLNESS RIDER</t>
  </si>
  <si>
    <t>39.09%</t>
  </si>
  <si>
    <t>ALLOWED for 18 Yrs &amp; above</t>
  </si>
  <si>
    <t>36.44%</t>
  </si>
  <si>
    <t>50.25%</t>
  </si>
  <si>
    <t>71.04%</t>
  </si>
  <si>
    <t>L8O</t>
  </si>
  <si>
    <t>33.98%</t>
  </si>
  <si>
    <t>47.43%</t>
  </si>
  <si>
    <t>65.28%</t>
  </si>
  <si>
    <t>ACCIDENTAL DEATH &amp; DISABILITY BENEFIT  OR ACCIDENTAL DEATH BENEFIT</t>
  </si>
  <si>
    <t>31.67%</t>
  </si>
  <si>
    <t>44.09%</t>
  </si>
  <si>
    <t>29.52%</t>
  </si>
  <si>
    <t>40.98%</t>
  </si>
  <si>
    <t>56.60%</t>
  </si>
  <si>
    <t>78.86%</t>
  </si>
  <si>
    <t>MLY / NACH  == &gt;</t>
  </si>
  <si>
    <t xml:space="preserve">Rs. 200000 &amp; Multiples of 25000  </t>
  </si>
  <si>
    <t>27.51%</t>
  </si>
  <si>
    <t>38.10%</t>
  </si>
  <si>
    <t>QLY   == &gt;</t>
  </si>
  <si>
    <t>100 minus  Age @ ENTRY</t>
  </si>
  <si>
    <t>POLICY TERM</t>
  </si>
  <si>
    <t>25.64%</t>
  </si>
  <si>
    <t>35.42%</t>
  </si>
  <si>
    <t>49.80%</t>
  </si>
  <si>
    <t>HLY  == &gt;</t>
  </si>
  <si>
    <t xml:space="preserve"> 100 Yrs. (nbd)</t>
  </si>
  <si>
    <t xml:space="preserve"> AGE @ MATURITY :</t>
  </si>
  <si>
    <t>23.89%</t>
  </si>
  <si>
    <t>32.92%</t>
  </si>
  <si>
    <t>46.94%</t>
  </si>
  <si>
    <t>65.15%</t>
  </si>
  <si>
    <t>YLY   == &gt;</t>
  </si>
  <si>
    <t xml:space="preserve"> 70 Yrs. (nbd)</t>
  </si>
  <si>
    <t>MAXIMUM AGE @ the End of PPT:</t>
  </si>
  <si>
    <t>22.27%</t>
  </si>
  <si>
    <t>30.61%</t>
  </si>
  <si>
    <t>43.57%</t>
  </si>
  <si>
    <t>60.51%</t>
  </si>
  <si>
    <t xml:space="preserve">MODE  </t>
  </si>
  <si>
    <t xml:space="preserve"> 30 Yrs.(nbd)</t>
  </si>
  <si>
    <t>MINIMUM AGE  @  the End of PPT :</t>
  </si>
  <si>
    <t>20.76%</t>
  </si>
  <si>
    <t>28.47%</t>
  </si>
  <si>
    <t>40.44%</t>
  </si>
  <si>
    <t>56.42%</t>
  </si>
  <si>
    <t xml:space="preserve">MODEWISE  PREMIUM SUMMARY  </t>
  </si>
  <si>
    <t>40  Yrs for PPT 30</t>
  </si>
  <si>
    <t>19.35%</t>
  </si>
  <si>
    <t>26.48%</t>
  </si>
  <si>
    <t>37.54%</t>
  </si>
  <si>
    <t>TERM  == &gt;</t>
  </si>
  <si>
    <t>45  Yrs for PPT 25</t>
  </si>
  <si>
    <t>18.04%</t>
  </si>
  <si>
    <t>24.63%</t>
  </si>
  <si>
    <t>34.86%</t>
  </si>
  <si>
    <t>49.58%</t>
  </si>
  <si>
    <t xml:space="preserve">Critical Illness Rider </t>
  </si>
  <si>
    <t>50  Yrs for PPT 20</t>
  </si>
  <si>
    <t>16.82%</t>
  </si>
  <si>
    <t>22.91%</t>
  </si>
  <si>
    <t>32.37%</t>
  </si>
  <si>
    <t>46.71%</t>
  </si>
  <si>
    <t>55  Yrs for PPT 15</t>
  </si>
  <si>
    <t>15.68%</t>
  </si>
  <si>
    <t>21.31%</t>
  </si>
  <si>
    <t>30.06%</t>
  </si>
  <si>
    <t>43.32%</t>
  </si>
  <si>
    <t>90  DAYS</t>
  </si>
  <si>
    <t>14.62%</t>
  </si>
  <si>
    <t>19.83%</t>
  </si>
  <si>
    <t>40.18%</t>
  </si>
  <si>
    <t>OPTIONAL RIDERS</t>
  </si>
  <si>
    <t>P.P.TERM  == &gt;</t>
  </si>
  <si>
    <t>13.63%</t>
  </si>
  <si>
    <t>18.45%</t>
  </si>
  <si>
    <t>25.93%</t>
  </si>
  <si>
    <t>37.27%</t>
  </si>
  <si>
    <t>Some Benefits are guaranteed and Some Benefits are variable with returns based on the future performance.</t>
  </si>
  <si>
    <t>…………………    3</t>
  </si>
  <si>
    <t>SURVIVAL / MATURITY BENEFIT</t>
  </si>
  <si>
    <t>FINAL ADDITIONAL BONUS  Rs.</t>
  </si>
  <si>
    <t>BONUS  Rs.</t>
  </si>
  <si>
    <t>TOTAL MATURITY  AS ON</t>
  </si>
  <si>
    <t>Extended Loan Facility is also available.</t>
  </si>
  <si>
    <t>Enjoy the Extended Risk Cover till  Age 100 Years.</t>
  </si>
  <si>
    <t>MONTHLY / NACH</t>
  </si>
  <si>
    <t>An Ideal  Estate  Creation for your family .</t>
  </si>
  <si>
    <t>Fixed and Guaranteed  Survival Benefits .</t>
  </si>
  <si>
    <t xml:space="preserve">Surrender &amp; Loan facility available at any time provided premiums have been paid for  3 years.
</t>
  </si>
  <si>
    <t>High Bonus  and Limited Payment  Premiums .</t>
  </si>
  <si>
    <t>An Attractive Whole Life Plan .</t>
  </si>
  <si>
    <t>UIN : 512N312V01</t>
  </si>
  <si>
    <t>PLAN NO : 845</t>
  </si>
  <si>
    <t>PLEASE  FILL  /  SELECT</t>
  </si>
  <si>
    <t>YELLOW COLOURED CELL ONLY</t>
  </si>
  <si>
    <t xml:space="preserve">*  Savings per day premium is calculated for indicative purpose only </t>
  </si>
  <si>
    <t>GST</t>
  </si>
  <si>
    <t>GST   == &gt;</t>
  </si>
  <si>
    <t>G.S.T.</t>
  </si>
  <si>
    <t>PAYABLE PREMIUM WITH GST</t>
  </si>
  <si>
    <t>PAYABLE PREMIUM  FOR  CIB RIDER  WITH  GST</t>
  </si>
  <si>
    <t>PREMIUM  WITH                     GST  Rs.</t>
  </si>
  <si>
    <t>PREMIUM  WITH                     GST   Rs.</t>
  </si>
  <si>
    <t>PREMIUM   WITH                           GST    Rs.</t>
  </si>
  <si>
    <t>PREMIUM   WITH                                       GST    Rs.</t>
  </si>
  <si>
    <t>PREMIUM WITH   GST    Rs.</t>
  </si>
  <si>
    <t>PREMIUM  WITH   GST  Rs.</t>
  </si>
  <si>
    <t>PREMIUM   WITH                           GST   Rs.</t>
  </si>
  <si>
    <t>PREMIUM   WITH                            GST    Rs.</t>
  </si>
  <si>
    <t>PREMIUM      WITH                        GST  Rs.</t>
  </si>
  <si>
    <t>PREMIUM  WITH               GST   Rs.</t>
  </si>
  <si>
    <t>PREMIUM  WITH                        GST   Rs.</t>
  </si>
  <si>
    <t>PREMIUM  WITH           GST   Rs.</t>
  </si>
  <si>
    <t>PREMIUM   WITH                             GST   Rs.</t>
  </si>
  <si>
    <t>PREMIUM    WITH   GST  Rs.</t>
  </si>
  <si>
    <t>PREMIUM   WITH    GST   Rs.</t>
  </si>
  <si>
    <t>( Total Charges includes  Fund Management, Policy Adm Fee, Mortality Charges, Accident Premium charges with  Govt. GST   @ 18 % )</t>
  </si>
  <si>
    <t>Version : 30.1</t>
  </si>
  <si>
    <t>The Maturity benefits  are  calculated on the basis of last bonus declared by LIC on 31-Mar-2017 .</t>
  </si>
  <si>
    <t>The benefits shown in this presentation have been  calculated on the basis of last bonus of plan no. 814 declared by LIC for 31-Mar-2017 .</t>
  </si>
  <si>
    <t>The benefits shown in this presentation have been  calculated on the basis of last bonus of plan no. 838 declared by LIC for 31-Mar-2017 .</t>
  </si>
  <si>
    <t>The benefits shown in this presentation have been  calculated on the basis of last bonus of plan no. 830 declared by LIC for 31-Mar-2017 .</t>
  </si>
  <si>
    <t>The benefits shown in this presentation have been  calculated on the basis of last bonus of plan nos. 836  declared by LIC for 31-Mar-2017 .</t>
  </si>
  <si>
    <t>The benefits shown in this presentation have been  calculated on the basis of last bonus of plan no. 817 declared by LIC for 31-Mar-2017 .</t>
  </si>
  <si>
    <t>1.The benefits shown in this presentation have been  calculated on the basis of last bonus of plan no. 815 declared by LIC for 31-Mar-2017 .</t>
  </si>
  <si>
    <t>1. The benefits shown in this presentation have been  calculated on the basis of last bonus of New Money back plan declared by LIC for 31-Mar-2017 .</t>
  </si>
  <si>
    <t>1. The benefits shown in this presentation have been  calculated on the basis of last bonus of New Money back plan declared by LIC for 31-Mar-2017.</t>
  </si>
  <si>
    <t>.The benefits shown in this presentation have been  calculated on the basis of last bonus of plan no. 834 declared by LIC for 31-Mar-2017 .</t>
  </si>
  <si>
    <t>The benefits shown in this presentation have been  calculated on the basis of last bonus of plan no. 832 declared by LIC for 31-Mar-2017 .</t>
  </si>
  <si>
    <t>The benefits shown in this presentation have been  calculated on the basis of last bonus of plan no. 833 declared by LIC for 31-Mar-2017.</t>
  </si>
  <si>
    <t>The benefits shown in this presentation have been  calculated on the basis of last bonus of plan no. 833 declared by LIC for 31-Mar-2017 .</t>
  </si>
  <si>
    <t>The benefits shown in this presentation have been  calculated on the basis of last bonus of plan no. 818 declared by LIC for 31-Mar-2017 .</t>
  </si>
  <si>
    <t>LUMPSUM</t>
  </si>
  <si>
    <t>SETTLEMENT</t>
  </si>
  <si>
    <t xml:space="preserve">MADURAI-625002 , </t>
  </si>
  <si>
    <t>PAYABLE SINGLE PREMIUM WITH GST</t>
  </si>
  <si>
    <t>MATURITY OPTION  == &gt;</t>
  </si>
  <si>
    <t>ALLOWED 18 YRS &amp; ABOVE</t>
  </si>
  <si>
    <t>OPTIONAL RIDERS   ====&gt;</t>
  </si>
  <si>
    <t xml:space="preserve">Rs. 75000 &amp; Multiples of 5000  upto 300000  &amp; Multiples of 20000  </t>
  </si>
  <si>
    <t>NAME  == &gt;</t>
  </si>
  <si>
    <t>Accident</t>
  </si>
  <si>
    <t xml:space="preserve">Risk </t>
  </si>
  <si>
    <t>Loan Value</t>
  </si>
  <si>
    <t>Surr Value</t>
  </si>
  <si>
    <t>12  Yrs</t>
  </si>
  <si>
    <t>TERM:</t>
  </si>
  <si>
    <t>47  Yrs</t>
  </si>
  <si>
    <t>6  Yrs</t>
  </si>
  <si>
    <t>JEEVAN UTKARSH</t>
  </si>
  <si>
    <t xml:space="preserve">JEEVAN UTKARSH </t>
  </si>
  <si>
    <t>VASANTHAM MAGICS</t>
  </si>
  <si>
    <r>
      <t>Disclaimer :   The above Statements are based on certain assumptions, which are liable to change according to Government / Corporation's Policies.</t>
    </r>
    <r>
      <rPr>
        <sz val="8"/>
        <color rgb="FFFF0000"/>
        <rFont val="Calibri"/>
        <family val="2"/>
        <scheme val="minor"/>
      </rPr>
      <t>*</t>
    </r>
  </si>
  <si>
    <t>MATURITY  BENEFIT :</t>
  </si>
  <si>
    <t>PRESENTED   BY :</t>
  </si>
  <si>
    <t>Guaranteed  Maturity Sum Assured With attractive Loyalty Additions.</t>
  </si>
  <si>
    <t>TAX FREE MATURITY under sec. 10 (10) (D).</t>
  </si>
  <si>
    <t>INCOME TAX REBATE under sec . 80  ( C ).</t>
  </si>
  <si>
    <t>Loan facility available after 3 months .</t>
  </si>
  <si>
    <t xml:space="preserve"> Surrender facility available at any time.</t>
  </si>
  <si>
    <t>A Single Premium Term Insurance Policy.</t>
  </si>
  <si>
    <t>One time Investment.  Multiple benefits.</t>
  </si>
  <si>
    <t>PAYABLE PRIMIUM WITH GST</t>
  </si>
  <si>
    <t>A  SPECIAL PRESENTATION  FOR</t>
  </si>
  <si>
    <t xml:space="preserve">      UIN    :   512V313N01</t>
  </si>
  <si>
    <t>PLAN NO   :   846</t>
  </si>
  <si>
    <t>A  Smart Presentation for All LIC Plans Except Jeevan Arogya, Jeevan Akshay, PMVVyojana                      New Endowment Plus,Jeevan Umang &amp; Jeevan Utkarsh</t>
  </si>
  <si>
    <t>soumil</t>
  </si>
</sst>
</file>

<file path=xl/styles.xml><?xml version="1.0" encoding="utf-8"?>
<styleSheet xmlns="http://schemas.openxmlformats.org/spreadsheetml/2006/main">
  <numFmts count="8">
    <numFmt numFmtId="41" formatCode="_(* #,##0_);_(* \(#,##0\);_(* &quot;-&quot;_);_(@_)"/>
    <numFmt numFmtId="164" formatCode="_ * #,##0.00_ ;_ * \-#,##0.00_ ;_ * &quot;-&quot;??_ ;_ @_ "/>
    <numFmt numFmtId="165" formatCode="0.000%"/>
    <numFmt numFmtId="166" formatCode="0.0"/>
    <numFmt numFmtId="167" formatCode="0.0000"/>
    <numFmt numFmtId="168" formatCode="0_);\(0\)"/>
    <numFmt numFmtId="169" formatCode="#,##0\ ;\(#,##0\);\-#\ ;@\ "/>
    <numFmt numFmtId="170" formatCode="0."/>
  </numFmts>
  <fonts count="506">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FF0000"/>
      <name val="Calibri"/>
      <family val="2"/>
      <scheme val="minor"/>
    </font>
    <font>
      <sz val="11"/>
      <color theme="0"/>
      <name val="Calibri"/>
      <family val="2"/>
      <scheme val="minor"/>
    </font>
    <font>
      <sz val="12"/>
      <color rgb="FF000000"/>
      <name val="Bookman Old Style"/>
      <family val="1"/>
    </font>
    <font>
      <sz val="11"/>
      <color rgb="FF000000"/>
      <name val="Calibri"/>
      <family val="2"/>
    </font>
    <font>
      <sz val="10"/>
      <name val="Arial"/>
      <family val="2"/>
    </font>
    <font>
      <sz val="10"/>
      <color rgb="FF000000"/>
      <name val="Arial"/>
      <family val="2"/>
    </font>
    <font>
      <sz val="11"/>
      <color rgb="FFFF0000"/>
      <name val="Arial"/>
      <family val="2"/>
    </font>
    <font>
      <sz val="11"/>
      <color rgb="FF9C6500"/>
      <name val="Calibri"/>
      <family val="2"/>
      <scheme val="minor"/>
    </font>
    <font>
      <b/>
      <sz val="12"/>
      <color rgb="FF7030A0"/>
      <name val="Cambria"/>
      <family val="1"/>
      <scheme val="major"/>
    </font>
    <font>
      <sz val="10"/>
      <color rgb="FFFF0000"/>
      <name val="Calibri"/>
      <family val="2"/>
      <scheme val="minor"/>
    </font>
    <font>
      <sz val="10"/>
      <color rgb="FFFF0000"/>
      <name val="Arial"/>
      <family val="2"/>
    </font>
    <font>
      <b/>
      <sz val="10"/>
      <color rgb="FFFF0000"/>
      <name val="Calibri"/>
      <family val="2"/>
      <scheme val="minor"/>
    </font>
    <font>
      <b/>
      <sz val="11"/>
      <color theme="1"/>
      <name val="Cambria"/>
      <family val="1"/>
      <scheme val="major"/>
    </font>
    <font>
      <b/>
      <sz val="11"/>
      <color theme="1"/>
      <name val="Calibri"/>
      <family val="2"/>
      <scheme val="minor"/>
    </font>
    <font>
      <sz val="11"/>
      <color rgb="FF7030A0"/>
      <name val="Calibri"/>
      <family val="2"/>
      <scheme val="minor"/>
    </font>
    <font>
      <b/>
      <sz val="10"/>
      <color theme="1"/>
      <name val="Calibri"/>
      <family val="2"/>
      <scheme val="minor"/>
    </font>
    <font>
      <b/>
      <sz val="12"/>
      <color theme="0"/>
      <name val="Cambria"/>
      <family val="1"/>
      <scheme val="major"/>
    </font>
    <font>
      <b/>
      <sz val="11"/>
      <color theme="0"/>
      <name val="Cambria"/>
      <family val="1"/>
      <scheme val="major"/>
    </font>
    <font>
      <b/>
      <sz val="12"/>
      <color theme="0"/>
      <name val="Calibri"/>
      <family val="2"/>
      <scheme val="minor"/>
    </font>
    <font>
      <b/>
      <sz val="10"/>
      <color rgb="FFFF0000"/>
      <name val="Arial"/>
      <family val="2"/>
    </font>
    <font>
      <sz val="10"/>
      <color theme="1"/>
      <name val="Calibri"/>
      <family val="2"/>
      <scheme val="minor"/>
    </font>
    <font>
      <b/>
      <sz val="12"/>
      <color rgb="FFFFFF00"/>
      <name val="Cambria"/>
      <family val="1"/>
      <scheme val="major"/>
    </font>
    <font>
      <b/>
      <sz val="12"/>
      <color rgb="FFFFFF00"/>
      <name val="Calibri"/>
      <family val="2"/>
      <scheme val="minor"/>
    </font>
    <font>
      <b/>
      <sz val="10"/>
      <color rgb="FFFFFF00"/>
      <name val="Calibri"/>
      <family val="2"/>
      <scheme val="minor"/>
    </font>
    <font>
      <b/>
      <sz val="11"/>
      <color rgb="FFFFFF00"/>
      <name val="Calibri"/>
      <family val="2"/>
      <scheme val="minor"/>
    </font>
    <font>
      <b/>
      <sz val="11"/>
      <color rgb="FFFF0000"/>
      <name val="Calibri"/>
      <family val="2"/>
      <scheme val="minor"/>
    </font>
    <font>
      <b/>
      <sz val="14"/>
      <color theme="8" tint="-0.499984740745262"/>
      <name val="Calibri"/>
      <family val="2"/>
      <scheme val="minor"/>
    </font>
    <font>
      <b/>
      <sz val="12"/>
      <color theme="8" tint="0.79998168889431442"/>
      <name val="Cambria"/>
      <family val="1"/>
      <scheme val="major"/>
    </font>
    <font>
      <b/>
      <sz val="11"/>
      <color rgb="FF7030A0"/>
      <name val="Cambria"/>
      <family val="1"/>
      <scheme val="major"/>
    </font>
    <font>
      <b/>
      <sz val="11"/>
      <color theme="8" tint="0.79998168889431442"/>
      <name val="Cambria"/>
      <family val="1"/>
      <scheme val="major"/>
    </font>
    <font>
      <b/>
      <u val="double"/>
      <sz val="12"/>
      <color rgb="FF7030A0"/>
      <name val="Calibri"/>
      <family val="2"/>
      <scheme val="minor"/>
    </font>
    <font>
      <b/>
      <sz val="11"/>
      <color theme="3"/>
      <name val="Calibri"/>
      <family val="2"/>
      <scheme val="minor"/>
    </font>
    <font>
      <b/>
      <sz val="14"/>
      <color rgb="FF7030A0"/>
      <name val="Calibri"/>
      <family val="2"/>
      <scheme val="minor"/>
    </font>
    <font>
      <sz val="10"/>
      <color indexed="8"/>
      <name val="Arial"/>
      <family val="2"/>
      <charset val="1"/>
    </font>
    <font>
      <sz val="8"/>
      <color rgb="FF002060"/>
      <name val="Arial"/>
      <family val="2"/>
    </font>
    <font>
      <sz val="8"/>
      <color theme="0"/>
      <name val="Calibri"/>
      <family val="2"/>
      <scheme val="minor"/>
    </font>
    <font>
      <b/>
      <sz val="10"/>
      <color theme="3"/>
      <name val="Cambria"/>
      <family val="1"/>
      <scheme val="major"/>
    </font>
    <font>
      <b/>
      <u val="double"/>
      <sz val="8"/>
      <color rgb="FF002060"/>
      <name val="Arial"/>
      <family val="2"/>
    </font>
    <font>
      <b/>
      <sz val="9"/>
      <color theme="4" tint="-0.499984740745262"/>
      <name val="Arial"/>
      <family val="2"/>
      <charset val="1"/>
    </font>
    <font>
      <b/>
      <sz val="10"/>
      <color theme="3"/>
      <name val="Arial"/>
      <family val="2"/>
    </font>
    <font>
      <b/>
      <sz val="10"/>
      <color rgb="FFFF0000"/>
      <name val="Arial"/>
      <family val="2"/>
      <charset val="1"/>
    </font>
    <font>
      <b/>
      <sz val="10"/>
      <color theme="4" tint="-0.499984740745262"/>
      <name val="Arial"/>
      <family val="2"/>
      <charset val="1"/>
    </font>
    <font>
      <b/>
      <sz val="14"/>
      <color rgb="FFFF0000"/>
      <name val="Arial"/>
      <family val="2"/>
    </font>
    <font>
      <b/>
      <sz val="11"/>
      <color rgb="FFC00000"/>
      <name val="Arial"/>
      <family val="2"/>
      <charset val="1"/>
    </font>
    <font>
      <b/>
      <sz val="11"/>
      <color rgb="FFC00000"/>
      <name val="Arial"/>
      <family val="2"/>
    </font>
    <font>
      <b/>
      <sz val="12"/>
      <color rgb="FFFF0000"/>
      <name val="Cambria"/>
      <family val="1"/>
      <scheme val="major"/>
    </font>
    <font>
      <b/>
      <sz val="11"/>
      <color rgb="FFFF0000"/>
      <name val="Cambria"/>
      <family val="1"/>
      <scheme val="major"/>
    </font>
    <font>
      <b/>
      <sz val="14"/>
      <color rgb="FFFF0000"/>
      <name val="Cambria"/>
      <family val="1"/>
      <scheme val="major"/>
    </font>
    <font>
      <b/>
      <sz val="13"/>
      <color rgb="FFFF0000"/>
      <name val="Cambria"/>
      <family val="1"/>
      <scheme val="major"/>
    </font>
    <font>
      <b/>
      <sz val="12"/>
      <color rgb="FF00B050"/>
      <name val="Arial"/>
      <family val="2"/>
    </font>
    <font>
      <b/>
      <sz val="12"/>
      <color rgb="FF00B050"/>
      <name val="Calibri"/>
      <family val="2"/>
      <scheme val="minor"/>
    </font>
    <font>
      <b/>
      <sz val="10"/>
      <color rgb="FF7030A0"/>
      <name val="Cambria"/>
      <family val="1"/>
      <scheme val="major"/>
    </font>
    <font>
      <b/>
      <u val="double"/>
      <sz val="12"/>
      <color rgb="FF7030A0"/>
      <name val="Cambria"/>
      <family val="1"/>
      <scheme val="major"/>
    </font>
    <font>
      <b/>
      <sz val="11"/>
      <color rgb="FF00B050"/>
      <name val="Arial"/>
      <family val="2"/>
    </font>
    <font>
      <b/>
      <u/>
      <sz val="10"/>
      <color rgb="FF7030A0"/>
      <name val="Cambria"/>
      <family val="1"/>
      <scheme val="major"/>
    </font>
    <font>
      <b/>
      <sz val="14"/>
      <color theme="4" tint="-0.499984740745262"/>
      <name val="Arial"/>
      <family val="2"/>
    </font>
    <font>
      <b/>
      <sz val="8"/>
      <color theme="0"/>
      <name val="Calibri"/>
      <family val="2"/>
      <scheme val="minor"/>
    </font>
    <font>
      <b/>
      <sz val="9"/>
      <color rgb="FF38761D"/>
      <name val="Arial"/>
      <family val="2"/>
    </font>
    <font>
      <b/>
      <sz val="11"/>
      <color theme="4" tint="-0.499984740745262"/>
      <name val="Arial"/>
      <family val="2"/>
      <charset val="1"/>
    </font>
    <font>
      <u/>
      <sz val="11"/>
      <color theme="10"/>
      <name val="Calibri"/>
      <family val="2"/>
    </font>
    <font>
      <b/>
      <u/>
      <sz val="12"/>
      <color rgb="FFFFFF00"/>
      <name val="Algerian"/>
      <family val="5"/>
    </font>
    <font>
      <b/>
      <sz val="8"/>
      <color indexed="17"/>
      <name val="Arial"/>
      <family val="2"/>
      <charset val="1"/>
    </font>
    <font>
      <b/>
      <u/>
      <sz val="10"/>
      <color rgb="FF6F1FB1"/>
      <name val="Arial"/>
      <family val="2"/>
    </font>
    <font>
      <b/>
      <u val="double"/>
      <sz val="10"/>
      <color rgb="FFC00000"/>
      <name val="Cambria"/>
      <family val="1"/>
      <scheme val="major"/>
    </font>
    <font>
      <sz val="14"/>
      <color rgb="FF002060"/>
      <name val="Wingdings"/>
      <charset val="2"/>
    </font>
    <font>
      <b/>
      <sz val="14"/>
      <color rgb="FF002060"/>
      <name val="Cambria"/>
      <family val="1"/>
      <scheme val="major"/>
    </font>
    <font>
      <b/>
      <sz val="11"/>
      <color rgb="FFFF0000"/>
      <name val="Arial"/>
      <family val="2"/>
    </font>
    <font>
      <b/>
      <sz val="11"/>
      <color theme="3"/>
      <name val="Arial"/>
      <family val="2"/>
    </font>
    <font>
      <b/>
      <sz val="11"/>
      <color theme="3"/>
      <name val="Cambria"/>
      <family val="1"/>
      <scheme val="major"/>
    </font>
    <font>
      <b/>
      <sz val="12"/>
      <color theme="3"/>
      <name val="Arial"/>
      <family val="2"/>
    </font>
    <font>
      <b/>
      <sz val="16"/>
      <color rgb="FF002060"/>
      <name val="Cambria"/>
      <family val="1"/>
      <scheme val="major"/>
    </font>
    <font>
      <b/>
      <sz val="16"/>
      <color theme="5"/>
      <name val="Arial"/>
      <family val="2"/>
    </font>
    <font>
      <b/>
      <sz val="20"/>
      <color theme="5"/>
      <name val="Arial"/>
      <family val="2"/>
    </font>
    <font>
      <sz val="10"/>
      <color rgb="FF002060"/>
      <name val="Arial"/>
      <family val="2"/>
    </font>
    <font>
      <u/>
      <sz val="10"/>
      <color rgb="FF002060"/>
      <name val="Arial"/>
      <family val="2"/>
    </font>
    <font>
      <u/>
      <sz val="9"/>
      <color rgb="FF002060"/>
      <name val="Arial"/>
      <family val="2"/>
    </font>
    <font>
      <sz val="10"/>
      <color theme="3"/>
      <name val="Arial"/>
      <family val="2"/>
    </font>
    <font>
      <b/>
      <u val="double"/>
      <sz val="10"/>
      <color theme="3"/>
      <name val="Cambria"/>
      <family val="1"/>
      <scheme val="major"/>
    </font>
    <font>
      <b/>
      <sz val="16"/>
      <color rgb="FFFF0000"/>
      <name val="Arial"/>
      <family val="2"/>
    </font>
    <font>
      <b/>
      <u/>
      <sz val="12"/>
      <color rgb="FF7030A0"/>
      <name val="Cambria"/>
      <family val="1"/>
      <scheme val="major"/>
    </font>
    <font>
      <b/>
      <sz val="16"/>
      <color rgb="FFFF0000"/>
      <name val="Calibri"/>
      <family val="2"/>
      <scheme val="minor"/>
    </font>
    <font>
      <b/>
      <sz val="11"/>
      <color theme="5" tint="-0.249977111117893"/>
      <name val="Arial"/>
      <family val="2"/>
    </font>
    <font>
      <b/>
      <sz val="10"/>
      <color theme="5" tint="-0.249977111117893"/>
      <name val="Cambria"/>
      <family val="1"/>
      <scheme val="major"/>
    </font>
    <font>
      <b/>
      <sz val="10"/>
      <color rgb="FF002060"/>
      <name val="Cambria"/>
      <family val="1"/>
      <scheme val="major"/>
    </font>
    <font>
      <b/>
      <sz val="14"/>
      <color rgb="FFFF0000"/>
      <name val="Calibri"/>
      <family val="2"/>
      <scheme val="minor"/>
    </font>
    <font>
      <b/>
      <sz val="9"/>
      <color theme="4" tint="-0.499984740745262"/>
      <name val="Arial"/>
      <family val="2"/>
    </font>
    <font>
      <b/>
      <sz val="9"/>
      <color rgb="FF002060"/>
      <name val="Arial"/>
      <family val="2"/>
    </font>
    <font>
      <b/>
      <sz val="10"/>
      <color theme="5" tint="-0.499984740745262"/>
      <name val="Arial"/>
      <family val="2"/>
    </font>
    <font>
      <b/>
      <sz val="11"/>
      <color theme="5" tint="-0.499984740745262"/>
      <name val="Arial"/>
      <family val="2"/>
    </font>
    <font>
      <sz val="11"/>
      <name val="Arial"/>
      <family val="2"/>
    </font>
    <font>
      <b/>
      <sz val="10"/>
      <color rgb="FF4C1130"/>
      <name val="Arial"/>
      <family val="2"/>
    </font>
    <font>
      <b/>
      <sz val="12"/>
      <color rgb="FFFF0000"/>
      <name val="Calibri"/>
      <family val="2"/>
      <scheme val="minor"/>
    </font>
    <font>
      <sz val="10"/>
      <name val="Cambria"/>
      <family val="1"/>
      <scheme val="major"/>
    </font>
    <font>
      <b/>
      <sz val="16"/>
      <color theme="4" tint="-0.499984740745262"/>
      <name val="Arial"/>
      <family val="2"/>
    </font>
    <font>
      <b/>
      <sz val="12"/>
      <color rgb="FF002060"/>
      <name val="Arial"/>
      <family val="2"/>
    </font>
    <font>
      <sz val="8"/>
      <color rgb="FF002060"/>
      <name val="Cambria"/>
      <family val="1"/>
      <scheme val="major"/>
    </font>
    <font>
      <sz val="9"/>
      <name val="Cambria"/>
      <family val="1"/>
      <scheme val="major"/>
    </font>
    <font>
      <b/>
      <sz val="9"/>
      <color rgb="FF7030A0"/>
      <name val="Cambria"/>
      <family val="1"/>
      <scheme val="major"/>
    </font>
    <font>
      <b/>
      <sz val="11"/>
      <color rgb="FF002060"/>
      <name val="Cambria"/>
      <family val="1"/>
      <scheme val="major"/>
    </font>
    <font>
      <b/>
      <sz val="10"/>
      <name val="Arial"/>
      <family val="2"/>
    </font>
    <font>
      <b/>
      <u val="double"/>
      <sz val="14"/>
      <color rgb="FF00B050"/>
      <name val="Cambria"/>
      <family val="1"/>
      <scheme val="major"/>
    </font>
    <font>
      <b/>
      <sz val="11"/>
      <color rgb="FF00B050"/>
      <name val="Cambria"/>
      <family val="1"/>
      <scheme val="major"/>
    </font>
    <font>
      <b/>
      <sz val="12"/>
      <color rgb="FF00B050"/>
      <name val="Cambria"/>
      <family val="1"/>
      <scheme val="major"/>
    </font>
    <font>
      <b/>
      <u val="double"/>
      <sz val="11"/>
      <color rgb="FF7030A0"/>
      <name val="Cambria"/>
      <family val="1"/>
      <scheme val="major"/>
    </font>
    <font>
      <sz val="10"/>
      <color theme="1"/>
      <name val="Arial"/>
      <family val="2"/>
    </font>
    <font>
      <b/>
      <sz val="10"/>
      <color theme="4" tint="-0.499984740745262"/>
      <name val="Cambria"/>
      <family val="1"/>
      <scheme val="major"/>
    </font>
    <font>
      <sz val="11"/>
      <color theme="1"/>
      <name val="Cambria"/>
      <family val="1"/>
      <scheme val="major"/>
    </font>
    <font>
      <b/>
      <sz val="11"/>
      <color theme="5" tint="-0.499984740745262"/>
      <name val="Cambria"/>
      <family val="1"/>
      <scheme val="major"/>
    </font>
    <font>
      <sz val="14"/>
      <color theme="5" tint="-0.499984740745262"/>
      <name val="Calibri"/>
      <family val="2"/>
      <scheme val="minor"/>
    </font>
    <font>
      <sz val="14"/>
      <color theme="3"/>
      <name val="Calibri"/>
      <family val="2"/>
      <scheme val="minor"/>
    </font>
    <font>
      <b/>
      <sz val="10.8"/>
      <color theme="3"/>
      <name val="Cambria"/>
      <family val="1"/>
      <scheme val="major"/>
    </font>
    <font>
      <b/>
      <sz val="12"/>
      <color theme="4" tint="-0.499984740745262"/>
      <name val="Times New Roman"/>
      <family val="1"/>
    </font>
    <font>
      <b/>
      <sz val="12"/>
      <color theme="3"/>
      <name val="Times New Roman"/>
      <family val="1"/>
    </font>
    <font>
      <b/>
      <u/>
      <sz val="11"/>
      <color theme="3"/>
      <name val="Cambria"/>
      <family val="1"/>
      <scheme val="major"/>
    </font>
    <font>
      <sz val="11"/>
      <color theme="3"/>
      <name val="Calibri"/>
      <family val="2"/>
      <scheme val="minor"/>
    </font>
    <font>
      <b/>
      <sz val="12"/>
      <color rgb="FF002060"/>
      <name val="Cambria"/>
      <family val="1"/>
      <scheme val="major"/>
    </font>
    <font>
      <b/>
      <sz val="11"/>
      <color theme="1"/>
      <name val="Arial"/>
      <family val="2"/>
    </font>
    <font>
      <b/>
      <sz val="11"/>
      <color theme="4" tint="-0.499984740745262"/>
      <name val="Cambria"/>
      <family val="1"/>
      <scheme val="major"/>
    </font>
    <font>
      <b/>
      <sz val="9"/>
      <color theme="4" tint="-0.499984740745262"/>
      <name val="Cambria"/>
      <family val="1"/>
      <scheme val="major"/>
    </font>
    <font>
      <b/>
      <sz val="12"/>
      <color rgb="FFFF0000"/>
      <name val="Arial"/>
      <family val="2"/>
    </font>
    <font>
      <b/>
      <sz val="11"/>
      <color rgb="FF002060"/>
      <name val="Arial"/>
      <family val="2"/>
    </font>
    <font>
      <b/>
      <sz val="20"/>
      <color theme="3"/>
      <name val="Calibri"/>
      <family val="2"/>
      <scheme val="minor"/>
    </font>
    <font>
      <b/>
      <sz val="18"/>
      <color theme="3"/>
      <name val="Cambria"/>
      <family val="1"/>
      <scheme val="major"/>
    </font>
    <font>
      <b/>
      <sz val="18"/>
      <color theme="1"/>
      <name val="Calibri"/>
      <family val="2"/>
      <scheme val="minor"/>
    </font>
    <font>
      <b/>
      <sz val="14"/>
      <color theme="3"/>
      <name val="Cambria"/>
      <family val="1"/>
      <scheme val="major"/>
    </font>
    <font>
      <b/>
      <sz val="14"/>
      <color theme="1"/>
      <name val="Calibri"/>
      <family val="2"/>
      <scheme val="minor"/>
    </font>
    <font>
      <b/>
      <sz val="14"/>
      <color theme="3"/>
      <name val="Calibri"/>
      <family val="2"/>
      <scheme val="minor"/>
    </font>
    <font>
      <b/>
      <sz val="10"/>
      <color rgb="FF002060"/>
      <name val="Arial"/>
      <family val="2"/>
    </font>
    <font>
      <sz val="14"/>
      <name val="Calibri"/>
      <family val="2"/>
    </font>
    <font>
      <sz val="9"/>
      <color rgb="FF000000"/>
      <name val="Arial"/>
      <family val="2"/>
    </font>
    <font>
      <sz val="11"/>
      <name val="Calibri"/>
      <family val="2"/>
    </font>
    <font>
      <sz val="9"/>
      <color theme="1"/>
      <name val="Arial"/>
      <family val="2"/>
    </font>
    <font>
      <u/>
      <sz val="9"/>
      <color theme="1"/>
      <name val="Arial"/>
      <family val="2"/>
    </font>
    <font>
      <sz val="16"/>
      <name val="Calibri"/>
      <family val="2"/>
    </font>
    <font>
      <b/>
      <sz val="14"/>
      <name val="Cambria"/>
      <family val="1"/>
      <scheme val="major"/>
    </font>
    <font>
      <sz val="14"/>
      <name val="Cambria"/>
      <family val="1"/>
      <scheme val="major"/>
    </font>
    <font>
      <sz val="10"/>
      <name val="Calibri"/>
      <family val="2"/>
    </font>
    <font>
      <sz val="14"/>
      <color theme="1"/>
      <name val="Cambria"/>
      <family val="1"/>
      <scheme val="major"/>
    </font>
    <font>
      <sz val="12"/>
      <color theme="1"/>
      <name val="Cambria"/>
      <family val="1"/>
      <scheme val="major"/>
    </font>
    <font>
      <b/>
      <sz val="14"/>
      <color theme="3"/>
      <name val="Calibri"/>
      <family val="2"/>
    </font>
    <font>
      <sz val="12"/>
      <name val="Cambria"/>
      <family val="1"/>
      <scheme val="major"/>
    </font>
    <font>
      <b/>
      <u val="double"/>
      <sz val="11"/>
      <color rgb="FF002060"/>
      <name val="Cambria"/>
      <family val="1"/>
      <scheme val="major"/>
    </font>
    <font>
      <sz val="11"/>
      <color theme="1"/>
      <name val="Arial"/>
      <family val="2"/>
    </font>
    <font>
      <b/>
      <u val="double"/>
      <sz val="10"/>
      <color rgb="FF7030A0"/>
      <name val="Cambria"/>
      <family val="1"/>
      <scheme val="major"/>
    </font>
    <font>
      <b/>
      <sz val="16"/>
      <color theme="1"/>
      <name val="Cambria"/>
      <family val="1"/>
      <scheme val="major"/>
    </font>
    <font>
      <b/>
      <sz val="14"/>
      <color theme="1"/>
      <name val="Cambria"/>
      <family val="1"/>
      <scheme val="major"/>
    </font>
    <font>
      <b/>
      <sz val="12"/>
      <color theme="4" tint="-0.499984740745262"/>
      <name val="Arial"/>
      <family val="2"/>
    </font>
    <font>
      <b/>
      <sz val="14"/>
      <color rgb="FF002060"/>
      <name val="Wingdings"/>
      <charset val="2"/>
    </font>
    <font>
      <b/>
      <sz val="14"/>
      <name val="Calibri"/>
      <family val="2"/>
    </font>
    <font>
      <b/>
      <sz val="16"/>
      <color rgb="FFFF0000"/>
      <name val="Cambria"/>
      <family val="1"/>
      <scheme val="major"/>
    </font>
    <font>
      <sz val="7"/>
      <color rgb="FF002060"/>
      <name val="Times New Roman"/>
      <family val="1"/>
    </font>
    <font>
      <sz val="12"/>
      <color rgb="FF002060"/>
      <name val="Cambria"/>
      <family val="1"/>
      <scheme val="major"/>
    </font>
    <font>
      <sz val="12"/>
      <color rgb="FF002060"/>
      <name val="Wingdings"/>
      <charset val="2"/>
    </font>
    <font>
      <b/>
      <u val="double"/>
      <sz val="16"/>
      <color rgb="FF002060"/>
      <name val="Calibri"/>
      <family val="2"/>
      <scheme val="minor"/>
    </font>
    <font>
      <b/>
      <u val="double"/>
      <sz val="16"/>
      <color rgb="FF7030A0"/>
      <name val="Calibri"/>
      <family val="2"/>
      <scheme val="minor"/>
    </font>
    <font>
      <b/>
      <sz val="12"/>
      <color theme="3"/>
      <name val="Calibri"/>
      <family val="2"/>
    </font>
    <font>
      <b/>
      <u val="double"/>
      <sz val="12"/>
      <color rgb="FF002060"/>
      <name val="Calibri"/>
      <family val="2"/>
      <scheme val="minor"/>
    </font>
    <font>
      <b/>
      <sz val="13"/>
      <color theme="3"/>
      <name val="Calibri"/>
      <family val="2"/>
    </font>
    <font>
      <u/>
      <sz val="14"/>
      <name val="Calibri"/>
      <family val="2"/>
    </font>
    <font>
      <b/>
      <sz val="14"/>
      <color rgb="FF7030A0"/>
      <name val="Arial"/>
      <family val="2"/>
    </font>
    <font>
      <b/>
      <sz val="14"/>
      <color rgb="FF002060"/>
      <name val="Calibri"/>
      <family val="2"/>
      <scheme val="minor"/>
    </font>
    <font>
      <b/>
      <sz val="11"/>
      <name val="Arial"/>
      <family val="2"/>
    </font>
    <font>
      <b/>
      <sz val="11"/>
      <color rgb="FF7030A0"/>
      <name val="Arial"/>
      <family val="2"/>
    </font>
    <font>
      <b/>
      <sz val="16"/>
      <color rgb="FF7030A0"/>
      <name val="Calibri"/>
      <family val="2"/>
      <scheme val="minor"/>
    </font>
    <font>
      <b/>
      <sz val="12"/>
      <color rgb="FFFF0000"/>
      <name val="Calibri"/>
      <family val="2"/>
    </font>
    <font>
      <b/>
      <sz val="14"/>
      <color indexed="18"/>
      <name val="Calibri"/>
      <family val="2"/>
    </font>
    <font>
      <b/>
      <sz val="11"/>
      <color indexed="18"/>
      <name val="Arial"/>
      <family val="2"/>
    </font>
    <font>
      <sz val="11"/>
      <color theme="4" tint="-0.499984740745262"/>
      <name val="Calibri"/>
      <family val="2"/>
      <scheme val="minor"/>
    </font>
    <font>
      <b/>
      <sz val="14"/>
      <name val="Lohit Hindi"/>
      <family val="2"/>
    </font>
    <font>
      <b/>
      <sz val="12"/>
      <color theme="4" tint="-0.499984740745262"/>
      <name val="Cambria"/>
      <family val="1"/>
      <scheme val="major"/>
    </font>
    <font>
      <b/>
      <sz val="18"/>
      <color theme="4" tint="-0.499984740745262"/>
      <name val="Algerian"/>
      <family val="5"/>
    </font>
    <font>
      <b/>
      <sz val="12"/>
      <color rgb="FF002060"/>
      <name val="Calibri"/>
      <family val="2"/>
    </font>
    <font>
      <sz val="8"/>
      <name val="Calibri"/>
      <family val="2"/>
    </font>
    <font>
      <sz val="8"/>
      <color rgb="FF000000"/>
      <name val="Arial"/>
      <family val="2"/>
    </font>
    <font>
      <sz val="8.5"/>
      <color rgb="FF002060"/>
      <name val="Arial"/>
      <family val="2"/>
    </font>
    <font>
      <sz val="8"/>
      <name val="Arial"/>
      <family val="2"/>
    </font>
    <font>
      <b/>
      <u val="double"/>
      <sz val="12"/>
      <color theme="4" tint="-0.499984740745262"/>
      <name val="Cambria"/>
      <family val="1"/>
      <scheme val="major"/>
    </font>
    <font>
      <b/>
      <u val="double"/>
      <sz val="12"/>
      <color rgb="FF002060"/>
      <name val="Cambria"/>
      <family val="1"/>
      <scheme val="major"/>
    </font>
    <font>
      <u val="double"/>
      <sz val="12"/>
      <color theme="4" tint="-0.499984740745262"/>
      <name val="Cambria"/>
      <family val="1"/>
      <scheme val="major"/>
    </font>
    <font>
      <b/>
      <sz val="12"/>
      <color theme="1"/>
      <name val="Cambria"/>
      <family val="1"/>
      <scheme val="major"/>
    </font>
    <font>
      <b/>
      <sz val="14"/>
      <color rgb="FF7030A0"/>
      <name val="Calibri"/>
      <family val="2"/>
    </font>
    <font>
      <b/>
      <sz val="18"/>
      <color rgb="FF002060"/>
      <name val="Cambria"/>
      <family val="1"/>
      <scheme val="major"/>
    </font>
    <font>
      <b/>
      <u val="double"/>
      <sz val="8"/>
      <color rgb="FFFF0000"/>
      <name val="Arial"/>
      <family val="2"/>
    </font>
    <font>
      <b/>
      <sz val="9"/>
      <color rgb="FF20124D"/>
      <name val="Arial"/>
      <family val="2"/>
    </font>
    <font>
      <b/>
      <sz val="8"/>
      <color rgb="FFC00000"/>
      <name val="Arial"/>
      <family val="2"/>
    </font>
    <font>
      <b/>
      <sz val="10"/>
      <color rgb="FFFF0000"/>
      <name val="Cambria"/>
      <family val="1"/>
      <scheme val="major"/>
    </font>
    <font>
      <b/>
      <sz val="14"/>
      <color theme="5" tint="-0.499984740745262"/>
      <name val="Arial"/>
      <family val="2"/>
    </font>
    <font>
      <b/>
      <sz val="9"/>
      <color rgb="FF002060"/>
      <name val="Cambria"/>
      <family val="1"/>
      <scheme val="major"/>
    </font>
    <font>
      <b/>
      <sz val="18"/>
      <color rgb="FFFF0000"/>
      <name val="Calibri"/>
      <family val="2"/>
      <scheme val="minor"/>
    </font>
    <font>
      <b/>
      <sz val="14"/>
      <color theme="3"/>
      <name val="Arial"/>
      <family val="2"/>
    </font>
    <font>
      <b/>
      <u val="double"/>
      <sz val="12"/>
      <color rgb="FFFF0000"/>
      <name val="Calibri"/>
      <family val="2"/>
      <scheme val="minor"/>
    </font>
    <font>
      <b/>
      <sz val="12"/>
      <color theme="4" tint="-0.499984740745262"/>
      <name val="Arial"/>
      <family val="2"/>
      <charset val="1"/>
    </font>
    <font>
      <b/>
      <sz val="20"/>
      <color theme="4" tint="-0.499984740745262"/>
      <name val="Arial"/>
      <family val="2"/>
    </font>
    <font>
      <b/>
      <sz val="10"/>
      <color theme="0"/>
      <name val="Arial"/>
      <family val="2"/>
    </font>
    <font>
      <sz val="10"/>
      <color theme="0"/>
      <name val="Arial"/>
      <family val="2"/>
    </font>
    <font>
      <sz val="11"/>
      <color rgb="FF002060"/>
      <name val="Cambria"/>
      <family val="1"/>
      <scheme val="major"/>
    </font>
    <font>
      <sz val="14"/>
      <color rgb="FF002060"/>
      <name val="Calibri"/>
      <family val="2"/>
      <scheme val="minor"/>
    </font>
    <font>
      <b/>
      <u/>
      <sz val="11"/>
      <color rgb="FF002060"/>
      <name val="Cambria"/>
      <family val="1"/>
      <scheme val="major"/>
    </font>
    <font>
      <b/>
      <u/>
      <sz val="14"/>
      <color rgb="FFFFFF00"/>
      <name val="Calibri"/>
      <family val="2"/>
    </font>
    <font>
      <b/>
      <sz val="12"/>
      <color rgb="FF002060"/>
      <name val="Cambria"/>
      <family val="1"/>
    </font>
    <font>
      <b/>
      <sz val="12"/>
      <color theme="3"/>
      <name val="Cambria"/>
      <family val="1"/>
      <scheme val="major"/>
    </font>
    <font>
      <b/>
      <sz val="9"/>
      <color theme="7" tint="-0.249977111117893"/>
      <name val="Arial"/>
      <family val="2"/>
    </font>
    <font>
      <b/>
      <sz val="11"/>
      <color theme="7" tint="-0.249977111117893"/>
      <name val="Arial"/>
      <family val="2"/>
    </font>
    <font>
      <b/>
      <sz val="10"/>
      <color theme="7" tint="-0.249977111117893"/>
      <name val="Arial"/>
      <family val="2"/>
    </font>
    <font>
      <sz val="11"/>
      <color theme="7" tint="-0.249977111117893"/>
      <name val="Arial"/>
      <family val="2"/>
    </font>
    <font>
      <b/>
      <sz val="14"/>
      <color rgb="FFFFFFFF"/>
      <name val="Calibri"/>
      <family val="2"/>
      <scheme val="minor"/>
    </font>
    <font>
      <b/>
      <sz val="10"/>
      <color theme="7" tint="-0.499984740745262"/>
      <name val="Arial"/>
      <family val="2"/>
    </font>
    <font>
      <b/>
      <sz val="12"/>
      <color theme="7" tint="-0.499984740745262"/>
      <name val="Arial"/>
      <family val="2"/>
    </font>
    <font>
      <b/>
      <sz val="10"/>
      <name val="Cambria"/>
      <family val="1"/>
      <scheme val="major"/>
    </font>
    <font>
      <sz val="9"/>
      <name val="Arial"/>
      <family val="2"/>
    </font>
    <font>
      <b/>
      <sz val="8"/>
      <color theme="4" tint="-0.499984740745262"/>
      <name val="Cambria"/>
      <family val="1"/>
      <scheme val="major"/>
    </font>
    <font>
      <sz val="6"/>
      <name val="Calibri"/>
      <family val="2"/>
      <scheme val="minor"/>
    </font>
    <font>
      <sz val="6"/>
      <color theme="1"/>
      <name val="Calibri"/>
      <family val="2"/>
      <scheme val="minor"/>
    </font>
    <font>
      <sz val="11"/>
      <name val="Cambria"/>
      <family val="1"/>
      <scheme val="major"/>
    </font>
    <font>
      <b/>
      <u/>
      <sz val="11"/>
      <color theme="5" tint="-0.499984740745262"/>
      <name val="Arial"/>
      <family val="2"/>
    </font>
    <font>
      <b/>
      <u/>
      <sz val="11"/>
      <color theme="5" tint="-0.499984740745262"/>
      <name val="Cambria"/>
      <family val="1"/>
      <scheme val="major"/>
    </font>
    <font>
      <sz val="7.5"/>
      <color rgb="FFFF0000"/>
      <name val="Arial"/>
      <family val="2"/>
      <charset val="1"/>
    </font>
    <font>
      <sz val="8"/>
      <color rgb="FFC00000"/>
      <name val="Arial"/>
      <family val="2"/>
    </font>
    <font>
      <b/>
      <sz val="14"/>
      <color rgb="FFFF0000"/>
      <name val="Arial"/>
      <family val="2"/>
      <charset val="1"/>
    </font>
    <font>
      <sz val="8"/>
      <color theme="4" tint="-0.499984740745262"/>
      <name val="Arial"/>
      <family val="2"/>
    </font>
    <font>
      <b/>
      <sz val="9"/>
      <color rgb="FFFF0000"/>
      <name val="Arial"/>
      <family val="2"/>
    </font>
    <font>
      <b/>
      <sz val="10"/>
      <color indexed="56"/>
      <name val="Arial"/>
      <family val="2"/>
      <charset val="1"/>
    </font>
    <font>
      <b/>
      <sz val="9"/>
      <color rgb="FFFF0000"/>
      <name val="Arial"/>
      <family val="2"/>
      <charset val="1"/>
    </font>
    <font>
      <b/>
      <sz val="11"/>
      <color theme="7" tint="-0.499984740745262"/>
      <name val="Arial"/>
      <family val="2"/>
    </font>
    <font>
      <sz val="8"/>
      <color rgb="FFFF0000"/>
      <name val="Cambria"/>
      <family val="1"/>
      <scheme val="major"/>
    </font>
    <font>
      <b/>
      <u val="double"/>
      <sz val="9"/>
      <color rgb="FFFF0000"/>
      <name val="Cambria"/>
      <family val="1"/>
      <scheme val="major"/>
    </font>
    <font>
      <b/>
      <sz val="10"/>
      <color rgb="FFC00000"/>
      <name val="Cambria"/>
      <family val="1"/>
      <scheme val="major"/>
    </font>
    <font>
      <b/>
      <sz val="11"/>
      <color rgb="FFC00000"/>
      <name val="Cambria"/>
      <family val="1"/>
      <scheme val="major"/>
    </font>
    <font>
      <b/>
      <sz val="12"/>
      <color rgb="FFC00000"/>
      <name val="Cambria"/>
      <family val="1"/>
      <scheme val="major"/>
    </font>
    <font>
      <b/>
      <sz val="10"/>
      <color theme="4" tint="-0.499984740745262"/>
      <name val="Arial"/>
      <family val="2"/>
    </font>
    <font>
      <b/>
      <sz val="9"/>
      <color theme="3"/>
      <name val="Cambria"/>
      <family val="1"/>
      <scheme val="major"/>
    </font>
    <font>
      <b/>
      <sz val="10"/>
      <color indexed="56"/>
      <name val="Cambria"/>
      <family val="1"/>
      <scheme val="major"/>
    </font>
    <font>
      <b/>
      <u val="double"/>
      <sz val="11"/>
      <color rgb="FFFF0000"/>
      <name val="Cambria"/>
      <family val="1"/>
      <scheme val="major"/>
    </font>
    <font>
      <b/>
      <sz val="10"/>
      <color theme="9" tint="-0.499984740745262"/>
      <name val="Arial"/>
      <family val="2"/>
    </font>
    <font>
      <b/>
      <sz val="12"/>
      <color theme="9" tint="-0.499984740745262"/>
      <name val="Arial"/>
      <family val="2"/>
    </font>
    <font>
      <sz val="10"/>
      <color theme="1"/>
      <name val="Cambria"/>
      <family val="1"/>
      <scheme val="major"/>
    </font>
    <font>
      <b/>
      <sz val="16"/>
      <color theme="4" tint="-0.499984740745262"/>
      <name val="Cambria"/>
      <family val="1"/>
      <scheme val="major"/>
    </font>
    <font>
      <b/>
      <sz val="10.5"/>
      <color theme="3"/>
      <name val="Arial"/>
      <family val="2"/>
    </font>
    <font>
      <b/>
      <sz val="10.5"/>
      <color theme="3"/>
      <name val="Cambria"/>
      <family val="1"/>
      <scheme val="major"/>
    </font>
    <font>
      <b/>
      <u val="double"/>
      <sz val="11"/>
      <color theme="4" tint="-0.499984740745262"/>
      <name val="Cambria"/>
      <family val="1"/>
      <scheme val="major"/>
    </font>
    <font>
      <b/>
      <sz val="18"/>
      <color theme="4" tint="-0.499984740745262"/>
      <name val="Cambria"/>
      <family val="1"/>
      <scheme val="major"/>
    </font>
    <font>
      <sz val="8"/>
      <color theme="3"/>
      <name val="Calibri"/>
      <family val="2"/>
      <scheme val="minor"/>
    </font>
    <font>
      <sz val="7"/>
      <color theme="3"/>
      <name val="Arial"/>
      <family val="2"/>
    </font>
    <font>
      <b/>
      <sz val="10"/>
      <color theme="3"/>
      <name val="Arial"/>
      <family val="2"/>
      <charset val="1"/>
    </font>
    <font>
      <b/>
      <sz val="9"/>
      <color theme="3"/>
      <name val="Arial"/>
      <family val="2"/>
    </font>
    <font>
      <b/>
      <sz val="11"/>
      <color theme="4" tint="-0.499984740745262"/>
      <name val="Calibri"/>
      <family val="2"/>
      <scheme val="minor"/>
    </font>
    <font>
      <b/>
      <sz val="8"/>
      <color theme="3"/>
      <name val="Arial"/>
      <family val="2"/>
    </font>
    <font>
      <b/>
      <u val="double"/>
      <sz val="11"/>
      <color theme="4" tint="-0.499984740745262"/>
      <name val="Arial"/>
      <family val="2"/>
    </font>
    <font>
      <b/>
      <sz val="16"/>
      <color theme="5" tint="-0.249977111117893"/>
      <name val="Calibri"/>
      <family val="2"/>
      <scheme val="minor"/>
    </font>
    <font>
      <b/>
      <sz val="16"/>
      <color theme="5" tint="-0.249977111117893"/>
      <name val="Cambria"/>
      <family val="1"/>
      <scheme val="major"/>
    </font>
    <font>
      <b/>
      <sz val="14"/>
      <color rgb="FF7030A0"/>
      <name val="Cambria"/>
      <family val="1"/>
      <scheme val="major"/>
    </font>
    <font>
      <sz val="11"/>
      <color theme="5" tint="-0.249977111117893"/>
      <name val="Calibri"/>
      <family val="2"/>
      <scheme val="minor"/>
    </font>
    <font>
      <sz val="8"/>
      <color rgb="FF134F5C"/>
      <name val="Arial"/>
      <family val="2"/>
    </font>
    <font>
      <sz val="9"/>
      <color rgb="FF134F5C"/>
      <name val="Arial"/>
      <family val="2"/>
    </font>
    <font>
      <b/>
      <sz val="8"/>
      <color rgb="FF7030A0"/>
      <name val="Arial"/>
      <family val="2"/>
    </font>
    <font>
      <b/>
      <sz val="11"/>
      <color theme="4" tint="-0.499984740745262"/>
      <name val="Arial"/>
      <family val="2"/>
    </font>
    <font>
      <b/>
      <sz val="10"/>
      <color rgb="FF6AA84F"/>
      <name val="Arial"/>
      <family val="2"/>
    </font>
    <font>
      <b/>
      <sz val="10"/>
      <color rgb="FF674EA7"/>
      <name val="Arial"/>
      <family val="2"/>
    </font>
    <font>
      <b/>
      <sz val="10"/>
      <color rgb="FFFF00FF"/>
      <name val="Arial"/>
      <family val="2"/>
    </font>
    <font>
      <b/>
      <sz val="10"/>
      <color rgb="FF45818E"/>
      <name val="Arial"/>
      <family val="2"/>
    </font>
    <font>
      <b/>
      <sz val="10"/>
      <color rgb="FFA64D79"/>
      <name val="Arial"/>
      <family val="2"/>
    </font>
    <font>
      <b/>
      <sz val="10"/>
      <color rgb="FF9900FF"/>
      <name val="Arial"/>
      <family val="2"/>
    </font>
    <font>
      <b/>
      <sz val="11"/>
      <color rgb="FF0000FF"/>
      <name val="Arial"/>
      <family val="2"/>
    </font>
    <font>
      <b/>
      <sz val="10"/>
      <color rgb="FF134F5C"/>
      <name val="Arial"/>
      <family val="2"/>
    </font>
    <font>
      <b/>
      <sz val="18"/>
      <color theme="4" tint="-0.499984740745262"/>
      <name val="Arial"/>
      <family val="2"/>
    </font>
    <font>
      <sz val="11"/>
      <color theme="8" tint="0.79998168889431442"/>
      <name val="Calibri"/>
      <family val="2"/>
      <scheme val="minor"/>
    </font>
    <font>
      <b/>
      <u val="double"/>
      <sz val="14"/>
      <color rgb="FF002060"/>
      <name val="Cambria"/>
      <family val="1"/>
      <scheme val="major"/>
    </font>
    <font>
      <b/>
      <i/>
      <sz val="30"/>
      <color rgb="FFF325F3"/>
      <name val="Curlz MT"/>
      <family val="5"/>
    </font>
    <font>
      <b/>
      <sz val="12"/>
      <color rgb="FF7030A0"/>
      <name val="Calibri"/>
      <family val="2"/>
      <scheme val="minor"/>
    </font>
    <font>
      <b/>
      <sz val="12"/>
      <color rgb="FFFFC000"/>
      <name val="Cambria"/>
      <family val="1"/>
      <scheme val="major"/>
    </font>
    <font>
      <b/>
      <sz val="11"/>
      <color rgb="FF002060"/>
      <name val="Calibri"/>
      <family val="2"/>
      <scheme val="minor"/>
    </font>
    <font>
      <sz val="9"/>
      <name val="Calibri"/>
      <family val="2"/>
      <scheme val="minor"/>
    </font>
    <font>
      <b/>
      <u val="double"/>
      <sz val="11"/>
      <color rgb="FF002060"/>
      <name val="Calibri"/>
      <family val="2"/>
      <scheme val="minor"/>
    </font>
    <font>
      <b/>
      <u val="double"/>
      <sz val="11"/>
      <color rgb="FFFFFF00"/>
      <name val="Calibri"/>
      <family val="2"/>
      <scheme val="minor"/>
    </font>
    <font>
      <b/>
      <sz val="15"/>
      <color theme="3"/>
      <name val="Calibri"/>
      <family val="2"/>
      <scheme val="minor"/>
    </font>
    <font>
      <b/>
      <sz val="11"/>
      <color theme="0"/>
      <name val="Calibri"/>
      <family val="2"/>
      <scheme val="minor"/>
    </font>
    <font>
      <b/>
      <sz val="12"/>
      <color rgb="FF9C0006"/>
      <name val="Calibri"/>
      <family val="2"/>
      <scheme val="minor"/>
    </font>
    <font>
      <b/>
      <sz val="14"/>
      <color theme="0"/>
      <name val="Calibri"/>
      <family val="2"/>
      <scheme val="minor"/>
    </font>
    <font>
      <b/>
      <sz val="11"/>
      <color rgb="FF7030A0"/>
      <name val="Calibri"/>
      <family val="2"/>
      <scheme val="minor"/>
    </font>
    <font>
      <sz val="9"/>
      <color rgb="FFFF0000"/>
      <name val="Arial"/>
      <family val="2"/>
    </font>
    <font>
      <b/>
      <u/>
      <sz val="11"/>
      <color rgb="FFFF0000"/>
      <name val="Cambria"/>
      <family val="1"/>
      <scheme val="major"/>
    </font>
    <font>
      <b/>
      <sz val="12"/>
      <color theme="1"/>
      <name val="Calibri"/>
      <family val="2"/>
      <scheme val="minor"/>
    </font>
    <font>
      <sz val="12"/>
      <color theme="1"/>
      <name val="Calibri"/>
      <family val="2"/>
      <scheme val="minor"/>
    </font>
    <font>
      <b/>
      <sz val="9"/>
      <color theme="1"/>
      <name val="Calibri"/>
      <family val="2"/>
      <scheme val="minor"/>
    </font>
    <font>
      <sz val="8"/>
      <color theme="1"/>
      <name val="Calibri"/>
      <family val="2"/>
      <scheme val="minor"/>
    </font>
    <font>
      <b/>
      <sz val="12"/>
      <color theme="3"/>
      <name val="Calibri"/>
      <family val="2"/>
      <scheme val="minor"/>
    </font>
    <font>
      <b/>
      <sz val="12"/>
      <color rgb="FFC00000"/>
      <name val="Calibri"/>
      <family val="2"/>
      <scheme val="minor"/>
    </font>
    <font>
      <b/>
      <u/>
      <sz val="12"/>
      <color theme="1"/>
      <name val="Calibri"/>
      <family val="2"/>
      <scheme val="minor"/>
    </font>
    <font>
      <b/>
      <sz val="14"/>
      <color rgb="FF9C0006"/>
      <name val="Calibri"/>
      <family val="2"/>
      <scheme val="minor"/>
    </font>
    <font>
      <sz val="9"/>
      <color theme="1"/>
      <name val="Calibri"/>
      <family val="2"/>
      <scheme val="minor"/>
    </font>
    <font>
      <b/>
      <sz val="10"/>
      <color rgb="FF9C0006"/>
      <name val="Calibri"/>
      <family val="2"/>
      <scheme val="minor"/>
    </font>
    <font>
      <b/>
      <u/>
      <sz val="12"/>
      <color rgb="FFFF0000"/>
      <name val="Calibri"/>
      <family val="2"/>
      <scheme val="minor"/>
    </font>
    <font>
      <b/>
      <sz val="8"/>
      <color theme="1"/>
      <name val="Calibri"/>
      <family val="2"/>
      <scheme val="minor"/>
    </font>
    <font>
      <b/>
      <sz val="11"/>
      <color rgb="FF006100"/>
      <name val="Calibri"/>
      <family val="2"/>
      <scheme val="minor"/>
    </font>
    <font>
      <b/>
      <sz val="16"/>
      <color rgb="FF006100"/>
      <name val="Calibri"/>
      <family val="2"/>
      <scheme val="minor"/>
    </font>
    <font>
      <b/>
      <sz val="12"/>
      <color rgb="FF002060"/>
      <name val="Calibri"/>
      <family val="2"/>
      <scheme val="minor"/>
    </font>
    <font>
      <b/>
      <sz val="10"/>
      <color rgb="FF002060"/>
      <name val="Calibri"/>
      <family val="2"/>
      <scheme val="minor"/>
    </font>
    <font>
      <b/>
      <sz val="18"/>
      <color theme="3"/>
      <name val="Cambria"/>
      <family val="2"/>
      <scheme val="major"/>
    </font>
    <font>
      <b/>
      <sz val="16"/>
      <color theme="3"/>
      <name val="Cambria"/>
      <family val="2"/>
      <scheme val="major"/>
    </font>
    <font>
      <sz val="11"/>
      <color theme="4" tint="0.79998168889431442"/>
      <name val="Calibri"/>
      <family val="2"/>
      <scheme val="minor"/>
    </font>
    <font>
      <b/>
      <sz val="8"/>
      <color rgb="FFFF0000"/>
      <name val="Calibri"/>
      <family val="2"/>
      <scheme val="minor"/>
    </font>
    <font>
      <sz val="11"/>
      <color rgb="FF000000"/>
      <name val="Calibri"/>
      <family val="2"/>
    </font>
    <font>
      <sz val="8"/>
      <color rgb="FF000000"/>
      <name val="Calibri"/>
      <family val="2"/>
    </font>
    <font>
      <b/>
      <sz val="10"/>
      <color rgb="FFFFFF00"/>
      <name val="Calibri"/>
      <family val="2"/>
    </font>
    <font>
      <b/>
      <sz val="11"/>
      <color rgb="FFFFFF00"/>
      <name val="Calibri"/>
      <family val="2"/>
    </font>
    <font>
      <b/>
      <u val="double"/>
      <sz val="11"/>
      <color rgb="FFFFFF00"/>
      <name val="Calibri"/>
      <family val="2"/>
    </font>
    <font>
      <b/>
      <sz val="12"/>
      <color rgb="FF7030A0"/>
      <name val="Calibri"/>
      <family val="2"/>
    </font>
    <font>
      <b/>
      <sz val="11"/>
      <color theme="0"/>
      <name val="Calibri"/>
      <family val="2"/>
    </font>
    <font>
      <b/>
      <sz val="10"/>
      <color theme="0"/>
      <name val="Calibri"/>
      <family val="2"/>
    </font>
    <font>
      <b/>
      <sz val="12"/>
      <color rgb="FFFFFF00"/>
      <name val="Calibri"/>
      <family val="2"/>
    </font>
    <font>
      <b/>
      <sz val="12"/>
      <color theme="0"/>
      <name val="Calibri"/>
      <family val="2"/>
    </font>
    <font>
      <b/>
      <sz val="12"/>
      <color rgb="FF000000"/>
      <name val="Calibri"/>
      <family val="2"/>
    </font>
    <font>
      <b/>
      <sz val="16"/>
      <color rgb="FFFFFF00"/>
      <name val="Cambria"/>
      <family val="1"/>
      <scheme val="major"/>
    </font>
    <font>
      <b/>
      <sz val="14"/>
      <color theme="0"/>
      <name val="Cambria"/>
      <family val="1"/>
      <scheme val="major"/>
    </font>
    <font>
      <b/>
      <sz val="20"/>
      <color rgb="FFFFFF00"/>
      <name val="Cambria"/>
      <family val="1"/>
      <scheme val="major"/>
    </font>
    <font>
      <sz val="8"/>
      <color rgb="FF000000"/>
      <name val="Calibri"/>
      <family val="2"/>
    </font>
    <font>
      <sz val="8"/>
      <color rgb="FF000000"/>
      <name val="Cambria"/>
      <family val="1"/>
      <scheme val="major"/>
    </font>
    <font>
      <sz val="8"/>
      <name val="Cambria"/>
      <family val="1"/>
      <scheme val="major"/>
    </font>
    <font>
      <sz val="11"/>
      <color rgb="FF002060"/>
      <name val="Calibri"/>
      <family val="2"/>
    </font>
    <font>
      <b/>
      <sz val="9"/>
      <name val="Arial"/>
      <family val="2"/>
    </font>
    <font>
      <b/>
      <sz val="9"/>
      <name val="Cambria"/>
      <family val="1"/>
      <scheme val="major"/>
    </font>
    <font>
      <b/>
      <u val="double"/>
      <sz val="9"/>
      <name val="Cambria"/>
      <family val="1"/>
      <scheme val="major"/>
    </font>
    <font>
      <b/>
      <sz val="11"/>
      <color rgb="FF000000"/>
      <name val="Calibri"/>
      <family val="2"/>
    </font>
    <font>
      <b/>
      <u val="double"/>
      <sz val="11"/>
      <color rgb="FF002060"/>
      <name val="Calibri"/>
      <family val="2"/>
    </font>
    <font>
      <b/>
      <sz val="11"/>
      <color rgb="FF002060"/>
      <name val="Calibri"/>
      <family val="2"/>
    </font>
    <font>
      <sz val="9"/>
      <color rgb="FF000000"/>
      <name val="Calibri"/>
      <family val="2"/>
    </font>
    <font>
      <sz val="9"/>
      <color rgb="FF000000"/>
      <name val="Calibri"/>
      <family val="2"/>
    </font>
    <font>
      <sz val="10"/>
      <color rgb="FF000000"/>
      <name val="Calibri"/>
      <family val="2"/>
    </font>
    <font>
      <i/>
      <sz val="18"/>
      <color rgb="FF000000"/>
      <name val="Adobe caslon pro bold"/>
    </font>
    <font>
      <b/>
      <u val="double"/>
      <sz val="12"/>
      <name val="Cambria"/>
      <family val="1"/>
      <scheme val="major"/>
    </font>
    <font>
      <b/>
      <i/>
      <sz val="18"/>
      <color rgb="FF000000"/>
      <name val="Aharoni"/>
      <charset val="177"/>
    </font>
    <font>
      <b/>
      <sz val="10.5"/>
      <color rgb="FF002060"/>
      <name val="Cambria"/>
      <family val="1"/>
      <scheme val="major"/>
    </font>
    <font>
      <b/>
      <sz val="18"/>
      <color rgb="FF002060"/>
      <name val="Algerian"/>
      <family val="5"/>
    </font>
    <font>
      <b/>
      <sz val="12"/>
      <color theme="3" tint="-0.249977111117893"/>
      <name val="Calibri"/>
      <family val="2"/>
    </font>
    <font>
      <sz val="8"/>
      <color theme="0"/>
      <name val="Calibri"/>
      <family val="2"/>
    </font>
    <font>
      <b/>
      <sz val="12"/>
      <color rgb="FFFF0000"/>
      <name val="Bookman Old Style"/>
      <family val="1"/>
    </font>
    <font>
      <sz val="14"/>
      <color rgb="FFFF0000"/>
      <name val="Calibri"/>
      <family val="2"/>
    </font>
    <font>
      <sz val="12"/>
      <name val="Calibri"/>
      <family val="2"/>
    </font>
    <font>
      <sz val="12"/>
      <name val="Calibri"/>
      <family val="2"/>
      <scheme val="minor"/>
    </font>
    <font>
      <b/>
      <sz val="11"/>
      <color rgb="FF002060"/>
      <name val="Baskerville Old Face"/>
      <family val="1"/>
    </font>
    <font>
      <b/>
      <i/>
      <u val="double"/>
      <sz val="12"/>
      <color rgb="FF002060"/>
      <name val="Bookman Old Style"/>
      <family val="1"/>
    </font>
    <font>
      <b/>
      <sz val="13"/>
      <name val="Calibri"/>
      <family val="2"/>
    </font>
    <font>
      <b/>
      <sz val="12"/>
      <color rgb="FF002060"/>
      <name val="Book Antiqua"/>
      <family val="1"/>
    </font>
    <font>
      <b/>
      <u val="double"/>
      <sz val="14"/>
      <color rgb="FF002060"/>
      <name val="Bookman Old Style"/>
      <family val="1"/>
    </font>
    <font>
      <b/>
      <sz val="20"/>
      <color rgb="FF002060"/>
      <name val="Times New Roman"/>
      <family val="1"/>
    </font>
    <font>
      <b/>
      <sz val="14"/>
      <color rgb="FFFF0000"/>
      <name val="Calibri"/>
      <family val="2"/>
    </font>
    <font>
      <b/>
      <sz val="20"/>
      <color theme="5" tint="-0.499984740745262"/>
      <name val="Bookman Old Style"/>
      <family val="1"/>
    </font>
    <font>
      <b/>
      <sz val="14"/>
      <color rgb="FF002060"/>
      <name val="Bookman Old Style"/>
      <family val="1"/>
    </font>
    <font>
      <b/>
      <sz val="12"/>
      <color rgb="FF002060"/>
      <name val="Bookman Old Style"/>
      <family val="1"/>
    </font>
    <font>
      <b/>
      <sz val="20"/>
      <color rgb="FF00B050"/>
      <name val="Arial"/>
      <family val="2"/>
    </font>
    <font>
      <b/>
      <sz val="14"/>
      <color rgb="FF00B050"/>
      <name val="Bookman Old Style"/>
      <family val="1"/>
    </font>
    <font>
      <b/>
      <sz val="20"/>
      <color rgb="FF00B050"/>
      <name val="Bookman Old Style"/>
      <family val="1"/>
    </font>
    <font>
      <b/>
      <u val="double"/>
      <sz val="16"/>
      <color rgb="FF00B050"/>
      <name val="Calibri"/>
      <family val="2"/>
      <scheme val="minor"/>
    </font>
    <font>
      <b/>
      <sz val="16"/>
      <color rgb="FFFF0000"/>
      <name val="Book Antiqua"/>
      <family val="1"/>
    </font>
    <font>
      <b/>
      <u val="double"/>
      <sz val="12"/>
      <color rgb="FF002060"/>
      <name val="Bookman Old Style"/>
      <family val="1"/>
    </font>
    <font>
      <b/>
      <i/>
      <sz val="14"/>
      <color rgb="FF7030A0"/>
      <name val="Bookman Old Style"/>
      <family val="1"/>
    </font>
    <font>
      <b/>
      <sz val="14"/>
      <color rgb="FF002060"/>
      <name val="Algerian"/>
      <family val="5"/>
    </font>
    <font>
      <b/>
      <u val="double"/>
      <sz val="11"/>
      <color rgb="FF00B050"/>
      <name val="Bookman Old Style"/>
      <family val="1"/>
    </font>
    <font>
      <b/>
      <sz val="11"/>
      <color rgb="FF002060"/>
      <name val="Bookman Old Style"/>
      <family val="1"/>
    </font>
    <font>
      <b/>
      <sz val="14"/>
      <color rgb="FF00B050"/>
      <name val="Cambria"/>
      <family val="1"/>
      <scheme val="major"/>
    </font>
    <font>
      <b/>
      <sz val="12"/>
      <color rgb="FFFF0000"/>
      <name val="Book Antiqua"/>
      <family val="1"/>
    </font>
    <font>
      <sz val="11"/>
      <color theme="0"/>
      <name val="Calibri"/>
      <family val="2"/>
    </font>
    <font>
      <sz val="8"/>
      <color theme="0"/>
      <name val="Arial"/>
      <family val="2"/>
    </font>
    <font>
      <sz val="6"/>
      <color theme="0"/>
      <name val="Calibri"/>
      <family val="2"/>
      <scheme val="minor"/>
    </font>
    <font>
      <sz val="8"/>
      <color rgb="FFFF0000"/>
      <name val="Calibri"/>
      <family val="2"/>
      <scheme val="minor"/>
    </font>
    <font>
      <b/>
      <sz val="14"/>
      <color rgb="FFFFFF00"/>
      <name val="Calibri"/>
      <family val="2"/>
      <scheme val="minor"/>
    </font>
    <font>
      <b/>
      <sz val="14"/>
      <color rgb="FF7030A0"/>
      <name val="Times New Roman"/>
      <family val="1"/>
    </font>
    <font>
      <b/>
      <sz val="10"/>
      <color theme="3"/>
      <name val="Times New Roman"/>
      <family val="1"/>
    </font>
    <font>
      <b/>
      <sz val="12"/>
      <color rgb="FF7030A0"/>
      <name val="Times New Roman"/>
      <family val="1"/>
    </font>
    <font>
      <b/>
      <sz val="14"/>
      <color rgb="FF00B050"/>
      <name val="Arial"/>
      <family val="2"/>
    </font>
    <font>
      <b/>
      <sz val="8"/>
      <color theme="0"/>
      <name val="Calibri"/>
      <family val="2"/>
    </font>
    <font>
      <b/>
      <sz val="8"/>
      <color theme="0"/>
      <name val="Arial"/>
      <family val="2"/>
    </font>
    <font>
      <sz val="9"/>
      <color theme="0"/>
      <name val="Arial"/>
      <family val="2"/>
    </font>
    <font>
      <b/>
      <sz val="9"/>
      <color rgb="FF1F497D"/>
      <name val="Arial"/>
      <family val="2"/>
    </font>
    <font>
      <sz val="10"/>
      <color rgb="FF002060"/>
      <name val="Cambria"/>
      <family val="1"/>
      <scheme val="major"/>
    </font>
    <font>
      <b/>
      <u/>
      <sz val="14"/>
      <color rgb="FFFFFF00"/>
      <name val="Andalus"/>
      <family val="1"/>
    </font>
    <font>
      <b/>
      <sz val="11"/>
      <color rgb="FF000000"/>
      <name val="Cambria"/>
      <family val="1"/>
    </font>
    <font>
      <sz val="9"/>
      <color rgb="FF002060"/>
      <name val="Arial"/>
      <family val="2"/>
    </font>
    <font>
      <b/>
      <sz val="12"/>
      <color theme="3" tint="-0.249977111117893"/>
      <name val="Cambria"/>
      <family val="1"/>
      <scheme val="major"/>
    </font>
    <font>
      <b/>
      <u val="double"/>
      <sz val="12"/>
      <color theme="3" tint="-0.249977111117893"/>
      <name val="Cambria"/>
      <family val="1"/>
      <scheme val="major"/>
    </font>
    <font>
      <b/>
      <sz val="14"/>
      <color rgb="FF002060"/>
      <name val="Arial"/>
      <family val="2"/>
    </font>
    <font>
      <b/>
      <sz val="26"/>
      <color theme="5" tint="-0.499984740745262"/>
      <name val="Calibri"/>
      <family val="2"/>
      <scheme val="minor"/>
    </font>
    <font>
      <sz val="6"/>
      <color theme="0"/>
      <name val="Arial"/>
      <family val="2"/>
    </font>
    <font>
      <b/>
      <sz val="11"/>
      <color rgb="FF1F497D"/>
      <name val="Times New Roman"/>
      <family val="1"/>
    </font>
    <font>
      <b/>
      <sz val="14"/>
      <color rgb="FFFF0000"/>
      <name val="Times New Roman"/>
      <family val="1"/>
    </font>
    <font>
      <b/>
      <sz val="11"/>
      <color theme="3"/>
      <name val="Times New Roman"/>
      <family val="1"/>
    </font>
    <font>
      <b/>
      <sz val="10"/>
      <color rgb="FF7030A0"/>
      <name val="Arial"/>
      <family val="2"/>
    </font>
    <font>
      <sz val="11"/>
      <color rgb="FF002060"/>
      <name val="Calibri"/>
      <family val="2"/>
      <scheme val="minor"/>
    </font>
    <font>
      <b/>
      <sz val="12"/>
      <color theme="5" tint="-0.499984740745262"/>
      <name val="Times New Roman"/>
      <family val="1"/>
    </font>
    <font>
      <b/>
      <sz val="10"/>
      <color rgb="FF002060"/>
      <name val="Arial"/>
      <family val="2"/>
      <charset val="1"/>
    </font>
    <font>
      <sz val="8"/>
      <color theme="1"/>
      <name val="Arial"/>
      <family val="2"/>
    </font>
    <font>
      <sz val="8"/>
      <color rgb="FFFF0000"/>
      <name val="Calibri"/>
      <family val="2"/>
    </font>
    <font>
      <b/>
      <u val="double"/>
      <sz val="12"/>
      <color rgb="FFFF0000"/>
      <name val="Cambria"/>
      <family val="1"/>
      <scheme val="major"/>
    </font>
    <font>
      <sz val="12"/>
      <color theme="0"/>
      <name val="Times New Roman"/>
      <family val="1"/>
    </font>
    <font>
      <b/>
      <u val="double"/>
      <sz val="10"/>
      <color rgb="FF00B050"/>
      <name val="Bookman Old Style"/>
      <family val="1"/>
    </font>
    <font>
      <b/>
      <i/>
      <sz val="18"/>
      <color rgb="FFFF0000"/>
      <name val="Bookman Old Style"/>
      <family val="1"/>
    </font>
    <font>
      <b/>
      <sz val="9"/>
      <color rgb="FF002060"/>
      <name val="Baskerville Old Face"/>
      <family val="1"/>
    </font>
    <font>
      <b/>
      <sz val="10"/>
      <color rgb="FF002060"/>
      <name val="Baskerville Old Face"/>
      <family val="1"/>
    </font>
    <font>
      <b/>
      <sz val="8"/>
      <color rgb="FF002060"/>
      <name val="Calibri"/>
      <family val="2"/>
      <scheme val="minor"/>
    </font>
    <font>
      <sz val="8"/>
      <color rgb="FF002060"/>
      <name val="Calibri"/>
      <family val="2"/>
      <scheme val="minor"/>
    </font>
    <font>
      <sz val="8"/>
      <color rgb="FF002060"/>
      <name val="Calibri"/>
      <family val="2"/>
    </font>
    <font>
      <b/>
      <sz val="16"/>
      <color rgb="FF002060"/>
      <name val="Bookman Old Style"/>
      <family val="1"/>
    </font>
    <font>
      <b/>
      <i/>
      <sz val="14"/>
      <color rgb="FF002060"/>
      <name val="Cambria"/>
      <family val="1"/>
    </font>
    <font>
      <b/>
      <i/>
      <sz val="13"/>
      <color rgb="FF002060"/>
      <name val="Cambria"/>
      <family val="1"/>
    </font>
    <font>
      <b/>
      <sz val="20"/>
      <color rgb="FF002060"/>
      <name val="Bookman Old Style"/>
      <family val="1"/>
    </font>
    <font>
      <b/>
      <i/>
      <sz val="14"/>
      <color rgb="FF7030A0"/>
      <name val="Cambria"/>
      <family val="1"/>
    </font>
    <font>
      <b/>
      <u val="double"/>
      <sz val="12"/>
      <color theme="3" tint="-0.499984740745262"/>
      <name val="Calibri"/>
      <family val="2"/>
      <scheme val="minor"/>
    </font>
    <font>
      <b/>
      <sz val="14"/>
      <color rgb="FF002060"/>
      <name val="Book Antiqua"/>
      <family val="1"/>
    </font>
    <font>
      <b/>
      <sz val="18"/>
      <color rgb="FF00B050"/>
      <name val="Bookman Old Style"/>
      <family val="1"/>
    </font>
    <font>
      <b/>
      <sz val="16"/>
      <color rgb="FF7030A0"/>
      <name val="Cambria"/>
      <family val="1"/>
      <scheme val="major"/>
    </font>
    <font>
      <b/>
      <sz val="11"/>
      <color rgb="FF0070C0"/>
      <name val="Calibri"/>
      <family val="2"/>
      <scheme val="minor"/>
    </font>
    <font>
      <b/>
      <u/>
      <sz val="11"/>
      <color theme="0"/>
      <name val="Calibri"/>
      <family val="2"/>
    </font>
    <font>
      <b/>
      <u/>
      <sz val="11"/>
      <color rgb="FFFFFF00"/>
      <name val="Calibri"/>
      <family val="2"/>
    </font>
    <font>
      <sz val="8"/>
      <color theme="0"/>
      <name val="Times New Roman"/>
      <family val="1"/>
    </font>
    <font>
      <sz val="8"/>
      <color theme="0"/>
      <name val="Calibri Light"/>
      <family val="2"/>
    </font>
    <font>
      <sz val="6"/>
      <color theme="0"/>
      <name val="Times New Roman"/>
      <family val="1"/>
    </font>
    <font>
      <sz val="10"/>
      <color theme="0"/>
      <name val="Calibri"/>
      <family val="2"/>
      <scheme val="minor"/>
    </font>
    <font>
      <sz val="10"/>
      <color theme="0"/>
      <name val="Calibri"/>
      <family val="2"/>
    </font>
    <font>
      <sz val="10"/>
      <color rgb="FFFFFF00"/>
      <name val="Calibri"/>
      <family val="2"/>
      <scheme val="minor"/>
    </font>
    <font>
      <b/>
      <sz val="16"/>
      <color rgb="FF0070C0"/>
      <name val="Calibri"/>
      <family val="2"/>
      <scheme val="minor"/>
    </font>
    <font>
      <b/>
      <sz val="11"/>
      <color rgb="FF002060"/>
      <name val="Arial"/>
      <family val="2"/>
      <charset val="1"/>
    </font>
    <font>
      <b/>
      <sz val="20"/>
      <color rgb="FF002060"/>
      <name val="Arial"/>
      <family val="2"/>
    </font>
    <font>
      <u/>
      <sz val="11"/>
      <color theme="0"/>
      <name val="Calibri"/>
      <family val="2"/>
    </font>
    <font>
      <b/>
      <sz val="16"/>
      <color rgb="FF086E20"/>
      <name val="Algerian"/>
      <family val="5"/>
    </font>
    <font>
      <b/>
      <sz val="18"/>
      <color rgb="FF086E20"/>
      <name val="Algerian"/>
      <family val="5"/>
    </font>
    <font>
      <sz val="11"/>
      <color rgb="FFFF0000"/>
      <name val="Calibri"/>
      <family val="2"/>
    </font>
    <font>
      <b/>
      <sz val="13"/>
      <color theme="1"/>
      <name val="Cambria"/>
      <family val="1"/>
      <scheme val="major"/>
    </font>
    <font>
      <sz val="11"/>
      <color rgb="FFC00000"/>
      <name val="Calibri"/>
      <family val="2"/>
      <scheme val="minor"/>
    </font>
    <font>
      <b/>
      <sz val="14"/>
      <color rgb="FF00B050"/>
      <name val="Times New Roman"/>
      <family val="1"/>
    </font>
    <font>
      <sz val="10"/>
      <color rgb="FF002060"/>
      <name val="Calibri"/>
      <family val="2"/>
      <scheme val="minor"/>
    </font>
    <font>
      <b/>
      <sz val="11"/>
      <color theme="3" tint="-0.499984740745262"/>
      <name val="Calibri"/>
      <family val="2"/>
      <scheme val="minor"/>
    </font>
    <font>
      <b/>
      <u val="double"/>
      <sz val="11"/>
      <color theme="3" tint="-0.499984740745262"/>
      <name val="Calibri"/>
      <family val="2"/>
      <scheme val="minor"/>
    </font>
    <font>
      <b/>
      <sz val="10.5"/>
      <color rgb="FFFF0000"/>
      <name val="Calibri"/>
      <family val="2"/>
      <scheme val="minor"/>
    </font>
    <font>
      <b/>
      <sz val="22"/>
      <color theme="5" tint="-0.499984740745262"/>
      <name val="Algerian"/>
      <family val="5"/>
    </font>
    <font>
      <sz val="8"/>
      <name val="Calibri"/>
      <family val="2"/>
      <scheme val="minor"/>
    </font>
    <font>
      <sz val="8"/>
      <color theme="1"/>
      <name val="Cambria"/>
      <family val="1"/>
      <scheme val="major"/>
    </font>
    <font>
      <b/>
      <sz val="8"/>
      <color rgb="FF000000"/>
      <name val="Cambria"/>
      <family val="1"/>
      <scheme val="major"/>
    </font>
    <font>
      <sz val="8"/>
      <color rgb="FF000000"/>
      <name val="Times New Roman"/>
      <family val="1"/>
    </font>
    <font>
      <sz val="10"/>
      <color theme="1"/>
      <name val="Tahoma"/>
      <family val="2"/>
    </font>
    <font>
      <sz val="10"/>
      <color rgb="FF000000"/>
      <name val="Tahoma"/>
      <family val="2"/>
    </font>
    <font>
      <sz val="10"/>
      <color rgb="FF000000"/>
      <name val="Times New Roman"/>
      <family val="1"/>
    </font>
    <font>
      <sz val="11"/>
      <color rgb="FF000000"/>
      <name val="Times New Roman"/>
      <family val="1"/>
    </font>
    <font>
      <sz val="11"/>
      <color rgb="FF000000"/>
      <name val="Courier New"/>
      <family val="3"/>
    </font>
    <font>
      <sz val="8"/>
      <color rgb="FF000000"/>
      <name val="Calibri"/>
      <family val="2"/>
      <scheme val="minor"/>
    </font>
    <font>
      <b/>
      <sz val="8"/>
      <color rgb="FF000000"/>
      <name val="Times New Roman"/>
      <family val="1"/>
    </font>
    <font>
      <b/>
      <sz val="10"/>
      <color theme="5" tint="-0.499984740745262"/>
      <name val="Times New Roman"/>
      <family val="1"/>
    </font>
    <font>
      <b/>
      <u/>
      <sz val="12"/>
      <color rgb="FFFFFF00"/>
      <name val="Baskerville Old Face"/>
      <family val="1"/>
    </font>
    <font>
      <b/>
      <u/>
      <sz val="12"/>
      <color rgb="FFFFC000"/>
      <name val="Baskerville Old Face"/>
      <family val="1"/>
    </font>
    <font>
      <b/>
      <sz val="9"/>
      <color rgb="FF000000"/>
      <name val="Arial"/>
      <family val="2"/>
    </font>
    <font>
      <u/>
      <sz val="10"/>
      <color rgb="FF000000"/>
      <name val="Tahoma"/>
      <family val="2"/>
    </font>
    <font>
      <sz val="8"/>
      <color theme="0"/>
      <name val="Cambria"/>
      <family val="1"/>
      <scheme val="major"/>
    </font>
    <font>
      <b/>
      <u val="double"/>
      <sz val="11"/>
      <color rgb="FF002060"/>
      <name val="Arial"/>
      <family val="2"/>
    </font>
    <font>
      <b/>
      <sz val="8"/>
      <color rgb="FF002060"/>
      <name val="Arial"/>
      <family val="2"/>
    </font>
    <font>
      <b/>
      <sz val="22"/>
      <color theme="8" tint="-0.249977111117893"/>
      <name val="Algerian"/>
      <family val="5"/>
    </font>
    <font>
      <b/>
      <u/>
      <sz val="11"/>
      <color rgb="FFFFFF00"/>
      <name val="Bodoni MT Black"/>
      <family val="1"/>
    </font>
    <font>
      <b/>
      <u val="double"/>
      <sz val="9"/>
      <color rgb="FF002060"/>
      <name val="Arial"/>
      <family val="2"/>
    </font>
    <font>
      <sz val="14"/>
      <color theme="1"/>
      <name val="Calibri"/>
      <family val="2"/>
      <scheme val="minor"/>
    </font>
    <font>
      <b/>
      <i/>
      <sz val="18"/>
      <color rgb="FFFC24ED"/>
      <name val="Mongolian Baiti"/>
      <family val="4"/>
    </font>
    <font>
      <b/>
      <u val="double"/>
      <sz val="14"/>
      <color rgb="FFC00000"/>
      <name val="Calibri"/>
      <family val="2"/>
      <scheme val="minor"/>
    </font>
    <font>
      <b/>
      <i/>
      <sz val="20"/>
      <color rgb="FF086E20"/>
      <name val="Bodoni MT"/>
      <family val="1"/>
    </font>
    <font>
      <b/>
      <i/>
      <sz val="30"/>
      <color rgb="FF252CB1"/>
      <name val="Curlz MT"/>
      <family val="5"/>
    </font>
    <font>
      <b/>
      <sz val="14"/>
      <color theme="8" tint="0.79998168889431442"/>
      <name val="Calibri"/>
      <family val="2"/>
      <scheme val="minor"/>
    </font>
    <font>
      <b/>
      <i/>
      <sz val="30"/>
      <color rgb="FF0B8F2A"/>
      <name val="Curlz MT"/>
      <family val="5"/>
    </font>
    <font>
      <b/>
      <i/>
      <sz val="13"/>
      <color rgb="FF252CB1"/>
      <name val="Mongolian Baiti"/>
      <family val="4"/>
    </font>
    <font>
      <b/>
      <sz val="13"/>
      <color rgb="FFFF0000"/>
      <name val="Calibri"/>
      <family val="2"/>
      <scheme val="minor"/>
    </font>
    <font>
      <sz val="8"/>
      <color theme="1"/>
      <name val="Times New Roman"/>
      <family val="1"/>
    </font>
    <font>
      <sz val="8"/>
      <color theme="1"/>
      <name val="Arial Unicode MS"/>
      <family val="2"/>
    </font>
    <font>
      <b/>
      <u val="double"/>
      <sz val="10"/>
      <color rgb="FF002060"/>
      <name val="Calibri"/>
      <family val="2"/>
      <scheme val="minor"/>
    </font>
    <font>
      <b/>
      <sz val="11"/>
      <color rgb="FFFF0000"/>
      <name val="Arial Black"/>
      <family val="2"/>
    </font>
    <font>
      <b/>
      <sz val="10"/>
      <color theme="9" tint="0.79998168889431442"/>
      <name val="Times New Roman"/>
      <family val="1"/>
    </font>
    <font>
      <b/>
      <sz val="14"/>
      <color theme="9" tint="0.79998168889431442"/>
      <name val="Times New Roman"/>
      <family val="1"/>
    </font>
    <font>
      <b/>
      <sz val="12"/>
      <color theme="9" tint="0.79998168889431442"/>
      <name val="Cambria"/>
      <family val="1"/>
      <scheme val="major"/>
    </font>
    <font>
      <b/>
      <sz val="11"/>
      <color rgb="FFFF0000"/>
      <name val="Times New Roman"/>
      <family val="1"/>
    </font>
    <font>
      <b/>
      <sz val="10"/>
      <color rgb="FFFFFF00"/>
      <name val="Cambria"/>
      <family val="1"/>
      <scheme val="major"/>
    </font>
    <font>
      <b/>
      <sz val="12"/>
      <color rgb="FF00B050"/>
      <name val="Times New Roman"/>
      <family val="1"/>
    </font>
    <font>
      <b/>
      <sz val="8"/>
      <name val="Calibri"/>
      <family val="2"/>
    </font>
    <font>
      <b/>
      <sz val="20"/>
      <color rgb="FF00B050"/>
      <name val="Algerian"/>
      <family val="5"/>
    </font>
    <font>
      <b/>
      <i/>
      <sz val="28"/>
      <color rgb="FFF325F3"/>
      <name val="Curlz MT"/>
      <family val="5"/>
    </font>
    <font>
      <b/>
      <sz val="11"/>
      <color rgb="FF00B050"/>
      <name val="Arial Black"/>
      <family val="2"/>
    </font>
    <font>
      <b/>
      <sz val="10"/>
      <color rgb="FF002060"/>
      <name val="Cambria"/>
      <family val="1"/>
    </font>
    <font>
      <sz val="11"/>
      <color rgb="FF00B050"/>
      <name val="Calibri"/>
      <family val="2"/>
      <scheme val="minor"/>
    </font>
    <font>
      <b/>
      <sz val="11.5"/>
      <color rgb="FF002060"/>
      <name val="Calibri"/>
      <family val="2"/>
      <scheme val="minor"/>
    </font>
    <font>
      <b/>
      <sz val="13"/>
      <color rgb="FF002060"/>
      <name val="Cambria"/>
      <family val="1"/>
      <scheme val="major"/>
    </font>
    <font>
      <b/>
      <sz val="14"/>
      <color rgb="FFC00000"/>
      <name val="Times New Roman"/>
      <family val="1"/>
    </font>
    <font>
      <b/>
      <sz val="13"/>
      <color theme="4" tint="-0.499984740745262"/>
      <name val="Cambria"/>
      <family val="1"/>
      <scheme val="major"/>
    </font>
    <font>
      <b/>
      <u val="double"/>
      <sz val="13"/>
      <color rgb="FFFF0000"/>
      <name val="Cambria"/>
      <family val="1"/>
      <scheme val="major"/>
    </font>
    <font>
      <b/>
      <sz val="22"/>
      <color rgb="FF00B050"/>
      <name val="Algerian"/>
      <family val="5"/>
    </font>
    <font>
      <b/>
      <u/>
      <sz val="14"/>
      <color rgb="FFFFFF00"/>
      <name val="Bell MT"/>
      <family val="1"/>
    </font>
    <font>
      <b/>
      <i/>
      <sz val="14"/>
      <color theme="5" tint="-0.499984740745262"/>
      <name val="Times New Roman"/>
      <family val="1"/>
    </font>
    <font>
      <b/>
      <i/>
      <sz val="14"/>
      <color rgb="FF002060"/>
      <name val="Times New Roman"/>
      <family val="1"/>
    </font>
    <font>
      <b/>
      <sz val="11"/>
      <color theme="1"/>
      <name val="Arial Black"/>
      <family val="2"/>
    </font>
    <font>
      <b/>
      <u/>
      <sz val="11"/>
      <color rgb="FFFFFF00"/>
      <name val="Arial Black"/>
      <family val="2"/>
    </font>
    <font>
      <u/>
      <sz val="10"/>
      <color theme="0"/>
      <name val="Tahoma"/>
      <family val="2"/>
    </font>
    <font>
      <sz val="10"/>
      <color theme="0"/>
      <name val="Tahoma"/>
      <family val="2"/>
    </font>
    <font>
      <sz val="10"/>
      <color theme="0"/>
      <name val="Times New Roman"/>
      <family val="1"/>
    </font>
    <font>
      <sz val="11"/>
      <color theme="0"/>
      <name val="Courier New"/>
      <family val="3"/>
    </font>
    <font>
      <sz val="11"/>
      <color theme="0"/>
      <name val="Times New Roman"/>
      <family val="1"/>
    </font>
    <font>
      <i/>
      <sz val="8"/>
      <color theme="0"/>
      <name val="Arial"/>
      <family val="2"/>
    </font>
    <font>
      <sz val="7"/>
      <color theme="0"/>
      <name val="Arial"/>
      <family val="2"/>
    </font>
    <font>
      <b/>
      <sz val="8"/>
      <color theme="0"/>
      <name val="Calibri Light"/>
      <family val="2"/>
    </font>
    <font>
      <sz val="8"/>
      <color theme="0"/>
      <name val="Calibri"/>
      <family val="2"/>
      <charset val="204"/>
    </font>
    <font>
      <sz val="8"/>
      <color theme="0"/>
      <name val="Courier New"/>
      <family val="3"/>
    </font>
  </fonts>
  <fills count="72">
    <fill>
      <patternFill patternType="none"/>
    </fill>
    <fill>
      <patternFill patternType="gray125"/>
    </fill>
    <fill>
      <patternFill patternType="solid">
        <fgColor rgb="FFC6EFCE"/>
      </patternFill>
    </fill>
    <fill>
      <patternFill patternType="solid">
        <fgColor rgb="FFFFC7CE"/>
      </patternFill>
    </fill>
    <fill>
      <patternFill patternType="solid">
        <fgColor theme="7"/>
      </patternFill>
    </fill>
    <fill>
      <patternFill patternType="solid">
        <fgColor theme="8" tint="0.79998168889431442"/>
        <bgColor indexed="65"/>
      </patternFill>
    </fill>
    <fill>
      <patternFill patternType="solid">
        <fgColor theme="0"/>
        <bgColor indexed="64"/>
      </patternFill>
    </fill>
    <fill>
      <patternFill patternType="solid">
        <fgColor theme="0"/>
      </patternFill>
    </fill>
    <fill>
      <patternFill patternType="solid">
        <fgColor theme="0"/>
        <bgColor rgb="FFFFFFFF"/>
      </patternFill>
    </fill>
    <fill>
      <patternFill patternType="solid">
        <fgColor theme="0"/>
        <bgColor rgb="FFC6D9F0"/>
      </patternFill>
    </fill>
    <fill>
      <patternFill patternType="solid">
        <fgColor rgb="FFFFEB9C"/>
      </patternFill>
    </fill>
    <fill>
      <patternFill patternType="solid">
        <fgColor theme="9" tint="-0.249977111117893"/>
        <bgColor indexed="64"/>
      </patternFill>
    </fill>
    <fill>
      <patternFill patternType="solid">
        <fgColor rgb="FFFFEB90"/>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rgb="FF002060"/>
        <bgColor indexed="64"/>
      </patternFill>
    </fill>
    <fill>
      <patternFill patternType="solid">
        <fgColor rgb="FF008000"/>
        <bgColor indexed="64"/>
      </patternFill>
    </fill>
    <fill>
      <patternFill patternType="solid">
        <fgColor theme="8" tint="0.79998168889431442"/>
        <bgColor indexed="64"/>
      </patternFill>
    </fill>
    <fill>
      <patternFill patternType="solid">
        <fgColor theme="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C00000"/>
        <bgColor indexed="64"/>
      </patternFill>
    </fill>
    <fill>
      <patternFill patternType="solid">
        <fgColor rgb="FFFFFF00"/>
        <bgColor indexed="64"/>
      </patternFill>
    </fill>
    <fill>
      <patternFill patternType="gray0625">
        <fgColor theme="8" tint="0.79992065187536243"/>
        <bgColor theme="0"/>
      </patternFill>
    </fill>
    <fill>
      <patternFill patternType="solid">
        <fgColor theme="0"/>
        <bgColor rgb="FF00FF00"/>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rgb="FF002060"/>
      </patternFill>
    </fill>
    <fill>
      <patternFill patternType="solid">
        <fgColor rgb="FFFFFF00"/>
        <bgColor rgb="FFFFFFFF"/>
      </patternFill>
    </fill>
    <fill>
      <patternFill patternType="solid">
        <fgColor theme="0" tint="-4.9989318521683403E-2"/>
        <bgColor indexed="64"/>
      </patternFill>
    </fill>
    <fill>
      <patternFill patternType="gray125">
        <fgColor theme="8" tint="0.79985961485641044"/>
        <bgColor theme="0"/>
      </patternFill>
    </fill>
    <fill>
      <patternFill patternType="solid">
        <fgColor theme="9" tint="0.59999389629810485"/>
        <bgColor indexed="64"/>
      </patternFill>
    </fill>
    <fill>
      <patternFill patternType="solid">
        <fgColor theme="0"/>
        <bgColor theme="0"/>
      </patternFill>
    </fill>
    <fill>
      <patternFill patternType="solid">
        <fgColor rgb="FFFFC000"/>
        <bgColor indexed="64"/>
      </patternFill>
    </fill>
    <fill>
      <patternFill patternType="solid">
        <fgColor rgb="FFA5A5A5"/>
      </patternFill>
    </fill>
    <fill>
      <patternFill patternType="solid">
        <fgColor theme="7" tint="0.79998168889431442"/>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B148F2"/>
        <bgColor indexed="64"/>
      </patternFill>
    </fill>
    <fill>
      <patternFill patternType="solid">
        <fgColor rgb="FFFFD966"/>
        <bgColor indexed="64"/>
      </patternFill>
    </fill>
    <fill>
      <patternFill patternType="solid">
        <fgColor theme="3" tint="0.79998168889431442"/>
        <bgColor indexed="64"/>
      </patternFill>
    </fill>
    <fill>
      <patternFill patternType="solid">
        <fgColor rgb="FF008000"/>
        <bgColor rgb="FF002060"/>
      </patternFill>
    </fill>
    <fill>
      <patternFill patternType="solid">
        <fgColor theme="3"/>
        <bgColor indexed="64"/>
      </patternFill>
    </fill>
    <fill>
      <patternFill patternType="solid">
        <fgColor theme="9" tint="0.39997558519241921"/>
        <bgColor indexed="64"/>
      </patternFill>
    </fill>
    <fill>
      <patternFill patternType="solid">
        <fgColor theme="1"/>
        <bgColor indexed="64"/>
      </patternFill>
    </fill>
    <fill>
      <patternFill patternType="solid">
        <fgColor theme="2" tint="-0.89999084444715716"/>
        <bgColor indexed="64"/>
      </patternFill>
    </fill>
    <fill>
      <patternFill patternType="solid">
        <fgColor rgb="FFDBE5F1"/>
        <bgColor rgb="FFDBE5F1"/>
      </patternFill>
    </fill>
    <fill>
      <patternFill patternType="solid">
        <fgColor theme="0"/>
        <bgColor rgb="FFC0C0C0"/>
      </patternFill>
    </fill>
    <fill>
      <patternFill patternType="solid">
        <fgColor theme="0"/>
        <bgColor rgb="FFCCFFFF"/>
      </patternFill>
    </fill>
    <fill>
      <patternFill patternType="solid">
        <fgColor theme="0"/>
        <bgColor rgb="FF993300"/>
      </patternFill>
    </fill>
    <fill>
      <patternFill patternType="solid">
        <fgColor theme="0"/>
        <bgColor rgb="FFDBE5F1"/>
      </patternFill>
    </fill>
    <fill>
      <patternFill patternType="solid">
        <fgColor theme="0"/>
        <bgColor rgb="FFB8CCE4"/>
      </patternFill>
    </fill>
    <fill>
      <patternFill patternType="solid">
        <fgColor theme="0"/>
        <bgColor rgb="FF366092"/>
      </patternFill>
    </fill>
    <fill>
      <patternFill patternType="solid">
        <fgColor rgb="FFFFFF99"/>
        <bgColor rgb="FF00FF00"/>
      </patternFill>
    </fill>
    <fill>
      <patternFill patternType="solid">
        <fgColor theme="5" tint="-0.249977111117893"/>
        <bgColor indexed="64"/>
      </patternFill>
    </fill>
    <fill>
      <patternFill patternType="solid">
        <fgColor rgb="FFFFFFFF"/>
        <bgColor rgb="FFFFFFFF"/>
      </patternFill>
    </fill>
    <fill>
      <patternFill patternType="solid">
        <fgColor rgb="FFFFFF99"/>
        <bgColor rgb="FFFFFF99"/>
      </patternFill>
    </fill>
    <fill>
      <patternFill patternType="solid">
        <fgColor theme="0"/>
        <bgColor rgb="FFFFFFCC"/>
      </patternFill>
    </fill>
    <fill>
      <patternFill patternType="solid">
        <fgColor theme="9" tint="0.79998168889431442"/>
        <bgColor indexed="64"/>
      </patternFill>
    </fill>
    <fill>
      <patternFill patternType="solid">
        <fgColor theme="5" tint="0.79998168889431442"/>
        <bgColor rgb="FFFFFF00"/>
      </patternFill>
    </fill>
    <fill>
      <patternFill patternType="solid">
        <fgColor theme="5" tint="0.79998168889431442"/>
        <bgColor rgb="FFFBD4B4"/>
      </patternFill>
    </fill>
    <fill>
      <patternFill patternType="solid">
        <fgColor theme="5" tint="0.79998168889431442"/>
        <bgColor rgb="FF00FF00"/>
      </patternFill>
    </fill>
    <fill>
      <patternFill patternType="solid">
        <fgColor theme="2" tint="-9.9978637043366805E-2"/>
        <bgColor indexed="64"/>
      </patternFill>
    </fill>
    <fill>
      <patternFill patternType="solid">
        <fgColor rgb="FFCCFFCC"/>
        <bgColor indexed="64"/>
      </patternFill>
    </fill>
    <fill>
      <patternFill patternType="solid">
        <fgColor theme="0"/>
        <bgColor rgb="FFFDE9D9"/>
      </patternFill>
    </fill>
    <fill>
      <patternFill patternType="solid">
        <fgColor theme="9" tint="0.79998168889431442"/>
        <bgColor rgb="FFFBD4B4"/>
      </patternFill>
    </fill>
    <fill>
      <patternFill patternType="solid">
        <fgColor rgb="FFFFFF9A"/>
        <bgColor indexed="64"/>
      </patternFill>
    </fill>
    <fill>
      <patternFill patternType="solid">
        <fgColor theme="9" tint="0.79998168889431442"/>
        <bgColor rgb="FFFFFF00"/>
      </patternFill>
    </fill>
    <fill>
      <patternFill patternType="solid">
        <fgColor rgb="FFFFCCFF"/>
        <bgColor indexed="64"/>
      </patternFill>
    </fill>
    <fill>
      <patternFill patternType="solid">
        <fgColor rgb="FFFFCCFF"/>
        <bgColor rgb="FFFFFFFF"/>
      </patternFill>
    </fill>
    <fill>
      <patternFill patternType="solid">
        <fgColor rgb="FFCCFF66"/>
        <bgColor indexed="64"/>
      </patternFill>
    </fill>
  </fills>
  <borders count="308">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style="thin">
        <color rgb="FF000000"/>
      </right>
      <top style="thin">
        <color rgb="FF000000"/>
      </top>
      <bottom style="thin">
        <color rgb="FF000000"/>
      </bottom>
      <diagonal/>
    </border>
    <border>
      <left/>
      <right/>
      <top style="thin">
        <color auto="1"/>
      </top>
      <bottom/>
      <diagonal/>
    </border>
    <border>
      <left/>
      <right style="thin">
        <color auto="1"/>
      </right>
      <top style="thin">
        <color auto="1"/>
      </top>
      <bottom/>
      <diagonal/>
    </border>
    <border>
      <left/>
      <right/>
      <top/>
      <bottom style="thin">
        <color auto="1"/>
      </bottom>
      <diagonal/>
    </border>
    <border>
      <left/>
      <right style="thin">
        <color auto="1"/>
      </right>
      <top/>
      <bottom style="thin">
        <color auto="1"/>
      </bottom>
      <diagonal/>
    </border>
    <border>
      <left/>
      <right style="thin">
        <color indexed="64"/>
      </right>
      <top/>
      <bottom/>
      <diagonal/>
    </border>
    <border>
      <left style="thin">
        <color theme="5" tint="-0.499984740745262"/>
      </left>
      <right/>
      <top style="thin">
        <color theme="5" tint="-0.499984740745262"/>
      </top>
      <bottom style="thin">
        <color theme="5" tint="-0.499984740745262"/>
      </bottom>
      <diagonal/>
    </border>
    <border>
      <left style="thin">
        <color indexed="64"/>
      </left>
      <right/>
      <top/>
      <bottom/>
      <diagonal/>
    </border>
    <border>
      <left style="double">
        <color theme="0"/>
      </left>
      <right style="double">
        <color theme="0"/>
      </right>
      <top style="double">
        <color theme="0"/>
      </top>
      <bottom style="double">
        <color theme="0"/>
      </bottom>
      <diagonal/>
    </border>
    <border>
      <left/>
      <right style="double">
        <color theme="6" tint="-0.499984740745262"/>
      </right>
      <top style="double">
        <color theme="6" tint="-0.499984740745262"/>
      </top>
      <bottom style="double">
        <color theme="6" tint="-0.499984740745262"/>
      </bottom>
      <diagonal/>
    </border>
    <border>
      <left/>
      <right/>
      <top style="double">
        <color theme="6" tint="-0.499984740745262"/>
      </top>
      <bottom style="double">
        <color theme="6" tint="-0.499984740745262"/>
      </bottom>
      <diagonal/>
    </border>
    <border>
      <left style="double">
        <color theme="6" tint="-0.499984740745262"/>
      </left>
      <right/>
      <top style="double">
        <color theme="6" tint="-0.499984740745262"/>
      </top>
      <bottom style="double">
        <color theme="6" tint="-0.499984740745262"/>
      </bottom>
      <diagonal/>
    </border>
    <border>
      <left/>
      <right style="double">
        <color theme="6" tint="-0.499984740745262"/>
      </right>
      <top/>
      <bottom style="double">
        <color theme="6" tint="-0.499984740745262"/>
      </bottom>
      <diagonal/>
    </border>
    <border>
      <left/>
      <right/>
      <top/>
      <bottom style="double">
        <color theme="6" tint="-0.499984740745262"/>
      </bottom>
      <diagonal/>
    </border>
    <border>
      <left style="double">
        <color theme="6" tint="-0.499984740745262"/>
      </left>
      <right/>
      <top/>
      <bottom style="double">
        <color theme="6" tint="-0.499984740745262"/>
      </bottom>
      <diagonal/>
    </border>
    <border>
      <left/>
      <right style="double">
        <color theme="6" tint="-0.499984740745262"/>
      </right>
      <top/>
      <bottom/>
      <diagonal/>
    </border>
    <border>
      <left style="double">
        <color theme="6" tint="-0.499984740745262"/>
      </left>
      <right/>
      <top/>
      <bottom/>
      <diagonal/>
    </border>
    <border>
      <left/>
      <right style="double">
        <color theme="6" tint="-0.499984740745262"/>
      </right>
      <top style="double">
        <color theme="6" tint="-0.499984740745262"/>
      </top>
      <bottom/>
      <diagonal/>
    </border>
    <border>
      <left/>
      <right/>
      <top style="double">
        <color theme="6" tint="-0.499984740745262"/>
      </top>
      <bottom/>
      <diagonal/>
    </border>
    <border>
      <left style="double">
        <color theme="6" tint="-0.499984740745262"/>
      </left>
      <right/>
      <top style="double">
        <color theme="6" tint="-0.499984740745262"/>
      </top>
      <bottom/>
      <diagonal/>
    </border>
    <border>
      <left/>
      <right/>
      <top style="thin">
        <color indexed="19"/>
      </top>
      <bottom/>
      <diagonal/>
    </border>
    <border>
      <left style="thin">
        <color indexed="19"/>
      </left>
      <right style="thin">
        <color indexed="19"/>
      </right>
      <top style="thin">
        <color indexed="19"/>
      </top>
      <bottom style="thin">
        <color indexed="19"/>
      </bottom>
      <diagonal/>
    </border>
    <border>
      <left style="thin">
        <color indexed="19"/>
      </left>
      <right/>
      <top/>
      <bottom/>
      <diagonal/>
    </border>
    <border>
      <left/>
      <right style="thin">
        <color indexed="19"/>
      </right>
      <top/>
      <bottom/>
      <diagonal/>
    </border>
    <border>
      <left style="thin">
        <color indexed="19"/>
      </left>
      <right style="thin">
        <color indexed="19"/>
      </right>
      <top/>
      <bottom style="thin">
        <color indexed="19"/>
      </bottom>
      <diagonal/>
    </border>
    <border>
      <left style="thin">
        <color indexed="19"/>
      </left>
      <right style="thin">
        <color indexed="19"/>
      </right>
      <top style="thin">
        <color indexed="19"/>
      </top>
      <bottom/>
      <diagonal/>
    </border>
    <border>
      <left/>
      <right style="thin">
        <color indexed="19"/>
      </right>
      <top style="thin">
        <color indexed="19"/>
      </top>
      <bottom style="thin">
        <color indexed="19"/>
      </bottom>
      <diagonal/>
    </border>
    <border>
      <left/>
      <right/>
      <top style="thin">
        <color indexed="19"/>
      </top>
      <bottom style="thin">
        <color indexed="19"/>
      </bottom>
      <diagonal/>
    </border>
    <border>
      <left style="thin">
        <color indexed="19"/>
      </left>
      <right/>
      <top style="thin">
        <color indexed="19"/>
      </top>
      <bottom style="thin">
        <color indexed="19"/>
      </bottom>
      <diagonal/>
    </border>
    <border>
      <left/>
      <right style="dotted">
        <color theme="6" tint="-0.24994659260841701"/>
      </right>
      <top style="dotted">
        <color theme="6" tint="-0.24994659260841701"/>
      </top>
      <bottom style="dotted">
        <color theme="6" tint="-0.24994659260841701"/>
      </bottom>
      <diagonal/>
    </border>
    <border>
      <left style="dotted">
        <color theme="6" tint="-0.24994659260841701"/>
      </left>
      <right/>
      <top style="dotted">
        <color theme="6" tint="-0.24994659260841701"/>
      </top>
      <bottom style="dotted">
        <color theme="6" tint="-0.24994659260841701"/>
      </bottom>
      <diagonal/>
    </border>
    <border>
      <left/>
      <right/>
      <top/>
      <bottom style="double">
        <color rgb="FFC00000"/>
      </bottom>
      <diagonal/>
    </border>
    <border>
      <left style="dotted">
        <color theme="6" tint="-0.24994659260841701"/>
      </left>
      <right style="dotted">
        <color theme="6" tint="-0.24994659260841701"/>
      </right>
      <top style="dotted">
        <color theme="6" tint="-0.24994659260841701"/>
      </top>
      <bottom style="dotted">
        <color theme="6" tint="-0.24994659260841701"/>
      </bottom>
      <diagonal/>
    </border>
    <border>
      <left/>
      <right style="dotted">
        <color theme="6" tint="-0.24994659260841701"/>
      </right>
      <top/>
      <bottom/>
      <diagonal/>
    </border>
    <border>
      <left/>
      <right/>
      <top/>
      <bottom style="dotted">
        <color theme="6" tint="-0.24994659260841701"/>
      </bottom>
      <diagonal/>
    </border>
    <border>
      <left style="thin">
        <color indexed="19"/>
      </left>
      <right/>
      <top style="thin">
        <color indexed="19"/>
      </top>
      <bottom/>
      <diagonal/>
    </border>
    <border>
      <left/>
      <right style="thin">
        <color indexed="19"/>
      </right>
      <top/>
      <bottom style="thin">
        <color indexed="19"/>
      </bottom>
      <diagonal/>
    </border>
    <border>
      <left/>
      <right/>
      <top/>
      <bottom style="thin">
        <color indexed="19"/>
      </bottom>
      <diagonal/>
    </border>
    <border>
      <left style="thin">
        <color indexed="19"/>
      </left>
      <right/>
      <top/>
      <bottom style="thin">
        <color indexed="19"/>
      </bottom>
      <diagonal/>
    </border>
    <border>
      <left/>
      <right style="thin">
        <color indexed="19"/>
      </right>
      <top style="thin">
        <color indexed="19"/>
      </top>
      <bottom/>
      <diagonal/>
    </border>
    <border>
      <left/>
      <right/>
      <top style="dotted">
        <color theme="6" tint="-0.24994659260841701"/>
      </top>
      <bottom style="dotted">
        <color theme="6" tint="-0.24994659260841701"/>
      </bottom>
      <diagonal/>
    </border>
    <border>
      <left/>
      <right/>
      <top/>
      <bottom style="double">
        <color theme="5" tint="-0.499984740745262"/>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3"/>
      </left>
      <right style="double">
        <color theme="3"/>
      </right>
      <top style="thin">
        <color theme="3"/>
      </top>
      <bottom style="double">
        <color theme="3"/>
      </bottom>
      <diagonal/>
    </border>
    <border>
      <left/>
      <right style="thin">
        <color theme="3"/>
      </right>
      <top style="thin">
        <color theme="3"/>
      </top>
      <bottom style="double">
        <color theme="3"/>
      </bottom>
      <diagonal/>
    </border>
    <border>
      <left style="thin">
        <color theme="3"/>
      </left>
      <right/>
      <top style="thin">
        <color theme="3"/>
      </top>
      <bottom style="double">
        <color theme="3"/>
      </bottom>
      <diagonal/>
    </border>
    <border>
      <left style="double">
        <color theme="3"/>
      </left>
      <right style="thin">
        <color theme="3"/>
      </right>
      <top style="thin">
        <color theme="3"/>
      </top>
      <bottom style="double">
        <color theme="3"/>
      </bottom>
      <diagonal/>
    </border>
    <border>
      <left style="thin">
        <color theme="3"/>
      </left>
      <right style="double">
        <color theme="3"/>
      </right>
      <top style="thin">
        <color theme="3"/>
      </top>
      <bottom style="thin">
        <color theme="3"/>
      </bottom>
      <diagonal/>
    </border>
    <border>
      <left/>
      <right style="thin">
        <color theme="3"/>
      </right>
      <top style="thin">
        <color theme="3"/>
      </top>
      <bottom style="thin">
        <color theme="3"/>
      </bottom>
      <diagonal/>
    </border>
    <border>
      <left style="thin">
        <color theme="3"/>
      </left>
      <right/>
      <top style="thin">
        <color theme="3"/>
      </top>
      <bottom style="thin">
        <color theme="3"/>
      </bottom>
      <diagonal/>
    </border>
    <border>
      <left style="double">
        <color theme="3"/>
      </left>
      <right style="thin">
        <color theme="3"/>
      </right>
      <top style="thin">
        <color theme="3"/>
      </top>
      <bottom style="thin">
        <color theme="3"/>
      </bottom>
      <diagonal/>
    </border>
    <border>
      <left/>
      <right/>
      <top/>
      <bottom style="thin">
        <color theme="6" tint="-0.499984740745262"/>
      </bottom>
      <diagonal/>
    </border>
    <border>
      <left style="double">
        <color theme="3"/>
      </left>
      <right/>
      <top/>
      <bottom style="thin">
        <color theme="6" tint="-0.499984740745262"/>
      </bottom>
      <diagonal/>
    </border>
    <border>
      <left style="double">
        <color theme="3"/>
      </left>
      <right/>
      <top/>
      <bottom/>
      <diagonal/>
    </border>
    <border>
      <left/>
      <right style="double">
        <color theme="3"/>
      </right>
      <top/>
      <bottom style="thin">
        <color theme="3"/>
      </bottom>
      <diagonal/>
    </border>
    <border>
      <left/>
      <right/>
      <top/>
      <bottom style="thin">
        <color theme="3"/>
      </bottom>
      <diagonal/>
    </border>
    <border>
      <left style="double">
        <color theme="3"/>
      </left>
      <right/>
      <top/>
      <bottom style="thin">
        <color theme="3"/>
      </bottom>
      <diagonal/>
    </border>
    <border>
      <left/>
      <right style="double">
        <color theme="3"/>
      </right>
      <top style="double">
        <color theme="3"/>
      </top>
      <bottom/>
      <diagonal/>
    </border>
    <border>
      <left/>
      <right/>
      <top style="double">
        <color theme="3"/>
      </top>
      <bottom/>
      <diagonal/>
    </border>
    <border>
      <left style="double">
        <color theme="3"/>
      </left>
      <right/>
      <top style="double">
        <color theme="3"/>
      </top>
      <bottom/>
      <diagonal/>
    </border>
    <border>
      <left/>
      <right/>
      <top style="double">
        <color theme="9"/>
      </top>
      <bottom style="double">
        <color theme="9"/>
      </bottom>
      <diagonal/>
    </border>
    <border>
      <left style="thin">
        <color indexed="19"/>
      </left>
      <right style="thin">
        <color indexed="19"/>
      </right>
      <top/>
      <bottom/>
      <diagonal/>
    </border>
    <border>
      <left style="double">
        <color rgb="FF002060"/>
      </left>
      <right/>
      <top/>
      <bottom/>
      <diagonal/>
    </border>
    <border>
      <left/>
      <right style="double">
        <color auto="1"/>
      </right>
      <top/>
      <bottom style="double">
        <color auto="1"/>
      </bottom>
      <diagonal/>
    </border>
    <border>
      <left/>
      <right/>
      <top/>
      <bottom style="double">
        <color auto="1"/>
      </bottom>
      <diagonal/>
    </border>
    <border>
      <left style="double">
        <color auto="1"/>
      </left>
      <right/>
      <top/>
      <bottom style="double">
        <color auto="1"/>
      </bottom>
      <diagonal/>
    </border>
    <border>
      <left/>
      <right style="double">
        <color auto="1"/>
      </right>
      <top style="double">
        <color auto="1"/>
      </top>
      <bottom/>
      <diagonal/>
    </border>
    <border>
      <left/>
      <right/>
      <top style="double">
        <color auto="1"/>
      </top>
      <bottom/>
      <diagonal/>
    </border>
    <border>
      <left style="double">
        <color auto="1"/>
      </left>
      <right/>
      <top style="double">
        <color auto="1"/>
      </top>
      <bottom/>
      <diagonal/>
    </border>
    <border>
      <left/>
      <right/>
      <top style="dotted">
        <color theme="6"/>
      </top>
      <bottom/>
      <diagonal/>
    </border>
    <border>
      <left style="thin">
        <color indexed="19"/>
      </left>
      <right/>
      <top style="dotted">
        <color theme="6"/>
      </top>
      <bottom/>
      <diagonal/>
    </border>
    <border>
      <left style="dotted">
        <color theme="6"/>
      </left>
      <right style="dotted">
        <color theme="6"/>
      </right>
      <top style="dotted">
        <color theme="6"/>
      </top>
      <bottom style="dotted">
        <color theme="6"/>
      </bottom>
      <diagonal/>
    </border>
    <border>
      <left/>
      <right style="dotted">
        <color theme="6"/>
      </right>
      <top style="dotted">
        <color theme="6"/>
      </top>
      <bottom style="dotted">
        <color theme="6"/>
      </bottom>
      <diagonal/>
    </border>
    <border>
      <left/>
      <right style="double">
        <color rgb="FFFF0000"/>
      </right>
      <top/>
      <bottom style="double">
        <color rgb="FFFF0000"/>
      </bottom>
      <diagonal/>
    </border>
    <border>
      <left/>
      <right/>
      <top/>
      <bottom style="double">
        <color rgb="FFFF0000"/>
      </bottom>
      <diagonal/>
    </border>
    <border>
      <left style="double">
        <color rgb="FFFF0000"/>
      </left>
      <right/>
      <top/>
      <bottom style="double">
        <color rgb="FFFF0000"/>
      </bottom>
      <diagonal/>
    </border>
    <border>
      <left/>
      <right style="double">
        <color rgb="FFFF0000"/>
      </right>
      <top style="double">
        <color rgb="FFFF0000"/>
      </top>
      <bottom/>
      <diagonal/>
    </border>
    <border>
      <left/>
      <right/>
      <top style="double">
        <color rgb="FFFF0000"/>
      </top>
      <bottom/>
      <diagonal/>
    </border>
    <border>
      <left style="double">
        <color rgb="FFFF0000"/>
      </left>
      <right/>
      <top style="double">
        <color rgb="FFFF0000"/>
      </top>
      <bottom/>
      <diagonal/>
    </border>
    <border>
      <left/>
      <right style="double">
        <color auto="1"/>
      </right>
      <top style="double">
        <color auto="1"/>
      </top>
      <bottom style="double">
        <color auto="1"/>
      </bottom>
      <diagonal/>
    </border>
    <border>
      <left style="double">
        <color auto="1"/>
      </left>
      <right/>
      <top style="double">
        <color auto="1"/>
      </top>
      <bottom style="double">
        <color auto="1"/>
      </bottom>
      <diagonal/>
    </border>
    <border>
      <left style="double">
        <color auto="1"/>
      </left>
      <right style="double">
        <color auto="1"/>
      </right>
      <top style="double">
        <color auto="1"/>
      </top>
      <bottom style="double">
        <color auto="1"/>
      </bottom>
      <diagonal/>
    </border>
    <border>
      <left/>
      <right style="double">
        <color auto="1"/>
      </right>
      <top/>
      <bottom/>
      <diagonal/>
    </border>
    <border>
      <left style="double">
        <color auto="1"/>
      </left>
      <right/>
      <top/>
      <bottom/>
      <diagonal/>
    </border>
    <border>
      <left style="double">
        <color auto="1"/>
      </left>
      <right style="double">
        <color auto="1"/>
      </right>
      <top/>
      <bottom/>
      <diagonal/>
    </border>
    <border>
      <left style="double">
        <color auto="1"/>
      </left>
      <right style="double">
        <color auto="1"/>
      </right>
      <top style="double">
        <color auto="1"/>
      </top>
      <bottom/>
      <diagonal/>
    </border>
    <border>
      <left/>
      <right/>
      <top style="thin">
        <color theme="6" tint="-0.24994659260841701"/>
      </top>
      <bottom/>
      <diagonal/>
    </border>
    <border>
      <left style="thin">
        <color theme="6" tint="-0.24994659260841701"/>
      </left>
      <right style="thin">
        <color theme="6" tint="-0.24994659260841701"/>
      </right>
      <top/>
      <bottom style="thin">
        <color theme="6" tint="-0.24994659260841701"/>
      </bottom>
      <diagonal/>
    </border>
    <border>
      <left/>
      <right style="thin">
        <color theme="6" tint="-0.24994659260841701"/>
      </right>
      <top/>
      <bottom style="thin">
        <color theme="6" tint="-0.24994659260841701"/>
      </bottom>
      <diagonal/>
    </border>
    <border>
      <left style="thin">
        <color theme="6" tint="-0.24994659260841701"/>
      </left>
      <right/>
      <top/>
      <bottom style="thin">
        <color theme="6" tint="-0.24994659260841701"/>
      </bottom>
      <diagonal/>
    </border>
    <border>
      <left style="thin">
        <color theme="6" tint="-0.24994659260841701"/>
      </left>
      <right style="thin">
        <color theme="6" tint="-0.24994659260841701"/>
      </right>
      <top style="thin">
        <color theme="6" tint="-0.24994659260841701"/>
      </top>
      <bottom/>
      <diagonal/>
    </border>
    <border>
      <left/>
      <right style="thin">
        <color theme="6" tint="-0.24994659260841701"/>
      </right>
      <top style="thin">
        <color theme="6" tint="-0.24994659260841701"/>
      </top>
      <bottom/>
      <diagonal/>
    </border>
    <border>
      <left style="thin">
        <color theme="6" tint="-0.24994659260841701"/>
      </left>
      <right/>
      <top style="thin">
        <color theme="6" tint="-0.24994659260841701"/>
      </top>
      <bottom/>
      <diagonal/>
    </border>
    <border>
      <left style="thin">
        <color theme="6" tint="-0.24994659260841701"/>
      </left>
      <right style="thin">
        <color theme="6" tint="-0.24994659260841701"/>
      </right>
      <top style="thin">
        <color theme="6" tint="-0.24994659260841701"/>
      </top>
      <bottom style="thin">
        <color theme="6" tint="-0.24994659260841701"/>
      </bottom>
      <diagonal/>
    </border>
    <border>
      <left/>
      <right style="thin">
        <color theme="6" tint="-0.24994659260841701"/>
      </right>
      <top style="thin">
        <color theme="6" tint="-0.24994659260841701"/>
      </top>
      <bottom style="thin">
        <color theme="6" tint="-0.24994659260841701"/>
      </bottom>
      <diagonal/>
    </border>
    <border>
      <left style="thin">
        <color theme="6" tint="-0.24994659260841701"/>
      </left>
      <right/>
      <top style="thin">
        <color theme="6" tint="-0.24994659260841701"/>
      </top>
      <bottom style="thin">
        <color theme="6" tint="-0.24994659260841701"/>
      </bottom>
      <diagonal/>
    </border>
    <border>
      <left/>
      <right/>
      <top/>
      <bottom style="double">
        <color rgb="FF0070C0"/>
      </bottom>
      <diagonal/>
    </border>
    <border>
      <left/>
      <right style="double">
        <color theme="3" tint="-0.499984740745262"/>
      </right>
      <top style="double">
        <color theme="3" tint="-0.499984740745262"/>
      </top>
      <bottom style="double">
        <color theme="3" tint="-0.499984740745262"/>
      </bottom>
      <diagonal/>
    </border>
    <border>
      <left/>
      <right/>
      <top style="double">
        <color theme="3" tint="-0.499984740745262"/>
      </top>
      <bottom style="double">
        <color theme="3" tint="-0.499984740745262"/>
      </bottom>
      <diagonal/>
    </border>
    <border>
      <left style="double">
        <color theme="3" tint="-0.499984740745262"/>
      </left>
      <right/>
      <top style="double">
        <color theme="3" tint="-0.499984740745262"/>
      </top>
      <bottom style="double">
        <color theme="3" tint="-0.499984740745262"/>
      </bottom>
      <diagonal/>
    </border>
    <border>
      <left/>
      <right/>
      <top style="double">
        <color theme="8" tint="-0.24994659260841701"/>
      </top>
      <bottom/>
      <diagonal/>
    </border>
    <border>
      <left/>
      <right/>
      <top/>
      <bottom style="double">
        <color theme="8" tint="-0.24994659260841701"/>
      </bottom>
      <diagonal/>
    </border>
    <border>
      <left style="thin">
        <color rgb="FF002060"/>
      </left>
      <right style="thin">
        <color rgb="FF002060"/>
      </right>
      <top style="thin">
        <color rgb="FF002060"/>
      </top>
      <bottom style="thin">
        <color rgb="FF002060"/>
      </bottom>
      <diagonal/>
    </border>
    <border>
      <left style="double">
        <color theme="3"/>
      </left>
      <right style="double">
        <color theme="3"/>
      </right>
      <top style="double">
        <color theme="3"/>
      </top>
      <bottom style="double">
        <color theme="3"/>
      </bottom>
      <diagonal/>
    </border>
    <border>
      <left style="thin">
        <color indexed="19"/>
      </left>
      <right style="double">
        <color theme="3"/>
      </right>
      <top style="double">
        <color theme="3"/>
      </top>
      <bottom style="double">
        <color theme="3"/>
      </bottom>
      <diagonal/>
    </border>
    <border>
      <left/>
      <right/>
      <top style="double">
        <color indexed="19"/>
      </top>
      <bottom style="double">
        <color indexed="19"/>
      </bottom>
      <diagonal/>
    </border>
    <border>
      <left style="thin">
        <color indexed="19"/>
      </left>
      <right/>
      <top style="double">
        <color indexed="19"/>
      </top>
      <bottom style="double">
        <color indexed="19"/>
      </bottom>
      <diagonal/>
    </border>
    <border>
      <left/>
      <right style="double">
        <color indexed="19"/>
      </right>
      <top/>
      <bottom style="double">
        <color indexed="19"/>
      </bottom>
      <diagonal/>
    </border>
    <border>
      <left style="double">
        <color indexed="19"/>
      </left>
      <right/>
      <top/>
      <bottom style="double">
        <color indexed="19"/>
      </bottom>
      <diagonal/>
    </border>
    <border>
      <left/>
      <right/>
      <top/>
      <bottom style="double">
        <color indexed="19"/>
      </bottom>
      <diagonal/>
    </border>
    <border>
      <left style="thin">
        <color indexed="19"/>
      </left>
      <right/>
      <top/>
      <bottom style="double">
        <color indexed="19"/>
      </bottom>
      <diagonal/>
    </border>
    <border>
      <left/>
      <right style="double">
        <color indexed="19"/>
      </right>
      <top style="double">
        <color indexed="19"/>
      </top>
      <bottom/>
      <diagonal/>
    </border>
    <border>
      <left style="double">
        <color indexed="19"/>
      </left>
      <right/>
      <top/>
      <bottom/>
      <diagonal/>
    </border>
    <border>
      <left/>
      <right style="double">
        <color indexed="19"/>
      </right>
      <top/>
      <bottom/>
      <diagonal/>
    </border>
    <border>
      <left style="thin">
        <color indexed="19"/>
      </left>
      <right style="thin">
        <color indexed="19"/>
      </right>
      <top style="thin">
        <color indexed="19"/>
      </top>
      <bottom style="double">
        <color indexed="19"/>
      </bottom>
      <diagonal/>
    </border>
    <border>
      <left style="thin">
        <color rgb="FF002060"/>
      </left>
      <right style="thin">
        <color rgb="FF002060"/>
      </right>
      <top style="double">
        <color rgb="FF002060"/>
      </top>
      <bottom style="thin">
        <color rgb="FF002060"/>
      </bottom>
      <diagonal/>
    </border>
    <border>
      <left style="double">
        <color rgb="FF002060"/>
      </left>
      <right style="double">
        <color rgb="FF002060"/>
      </right>
      <top style="double">
        <color rgb="FF002060"/>
      </top>
      <bottom style="double">
        <color rgb="FF002060"/>
      </bottom>
      <diagonal/>
    </border>
    <border>
      <left/>
      <right/>
      <top style="double">
        <color rgb="FFC00000"/>
      </top>
      <bottom/>
      <diagonal/>
    </border>
    <border>
      <left/>
      <right style="double">
        <color indexed="19"/>
      </right>
      <top style="double">
        <color indexed="19"/>
      </top>
      <bottom style="double">
        <color theme="3"/>
      </bottom>
      <diagonal/>
    </border>
    <border>
      <left/>
      <right/>
      <top style="double">
        <color indexed="19"/>
      </top>
      <bottom style="double">
        <color theme="3"/>
      </bottom>
      <diagonal/>
    </border>
    <border>
      <left style="thin">
        <color indexed="19"/>
      </left>
      <right/>
      <top style="double">
        <color indexed="19"/>
      </top>
      <bottom style="double">
        <color theme="3"/>
      </bottom>
      <diagonal/>
    </border>
    <border>
      <left style="thin">
        <color indexed="19"/>
      </left>
      <right/>
      <top style="double">
        <color theme="9"/>
      </top>
      <bottom style="double">
        <color theme="9"/>
      </bottom>
      <diagonal/>
    </border>
    <border>
      <left/>
      <right/>
      <top style="thin">
        <color rgb="FF7030A0"/>
      </top>
      <bottom/>
      <diagonal/>
    </border>
    <border>
      <left style="thin">
        <color indexed="19"/>
      </left>
      <right/>
      <top style="thin">
        <color rgb="FF7030A0"/>
      </top>
      <bottom/>
      <diagonal/>
    </border>
    <border>
      <left style="thin">
        <color rgb="FF7030A0"/>
      </left>
      <right style="thin">
        <color rgb="FF7030A0"/>
      </right>
      <top style="thin">
        <color rgb="FF7030A0"/>
      </top>
      <bottom style="thin">
        <color rgb="FF7030A0"/>
      </bottom>
      <diagonal/>
    </border>
    <border>
      <left style="thin">
        <color indexed="19"/>
      </left>
      <right style="thin">
        <color rgb="FF7030A0"/>
      </right>
      <top style="thin">
        <color rgb="FF7030A0"/>
      </top>
      <bottom style="thin">
        <color rgb="FF7030A0"/>
      </bottom>
      <diagonal/>
    </border>
    <border>
      <left style="thin">
        <color rgb="FF7030A0"/>
      </left>
      <right style="thin">
        <color rgb="FF7030A0"/>
      </right>
      <top/>
      <bottom style="thin">
        <color rgb="FF7030A0"/>
      </bottom>
      <diagonal/>
    </border>
    <border>
      <left style="thin">
        <color rgb="FF7030A0"/>
      </left>
      <right style="thin">
        <color rgb="FF7030A0"/>
      </right>
      <top style="thin">
        <color rgb="FF7030A0"/>
      </top>
      <bottom/>
      <diagonal/>
    </border>
    <border>
      <left/>
      <right style="thin">
        <color rgb="FF7030A0"/>
      </right>
      <top/>
      <bottom style="thin">
        <color rgb="FF7030A0"/>
      </bottom>
      <diagonal/>
    </border>
    <border>
      <left/>
      <right/>
      <top/>
      <bottom style="thin">
        <color rgb="FF7030A0"/>
      </bottom>
      <diagonal/>
    </border>
    <border>
      <left style="thin">
        <color indexed="19"/>
      </left>
      <right/>
      <top/>
      <bottom style="thin">
        <color rgb="FF7030A0"/>
      </bottom>
      <diagonal/>
    </border>
    <border>
      <left/>
      <right style="thin">
        <color rgb="FF7030A0"/>
      </right>
      <top style="thin">
        <color rgb="FF7030A0"/>
      </top>
      <bottom/>
      <diagonal/>
    </border>
    <border>
      <left style="thin">
        <color indexed="19"/>
      </left>
      <right style="thin">
        <color indexed="19"/>
      </right>
      <top/>
      <bottom style="thin">
        <color indexed="19"/>
      </bottom>
      <diagonal/>
    </border>
    <border>
      <left/>
      <right style="thin">
        <color indexed="19"/>
      </right>
      <top/>
      <bottom style="thin">
        <color indexed="19"/>
      </bottom>
      <diagonal/>
    </border>
    <border>
      <left/>
      <right/>
      <top/>
      <bottom style="thin">
        <color indexed="19"/>
      </bottom>
      <diagonal/>
    </border>
    <border>
      <left style="thin">
        <color indexed="19"/>
      </left>
      <right/>
      <top/>
      <bottom style="thin">
        <color indexed="19"/>
      </bottom>
      <diagonal/>
    </border>
    <border>
      <left style="hair">
        <color theme="6" tint="-0.24994659260841701"/>
      </left>
      <right style="hair">
        <color theme="6" tint="-0.24994659260841701"/>
      </right>
      <top style="hair">
        <color theme="6" tint="-0.24994659260841701"/>
      </top>
      <bottom style="hair">
        <color theme="6" tint="-0.24994659260841701"/>
      </bottom>
      <diagonal/>
    </border>
    <border>
      <left/>
      <right style="hair">
        <color theme="6" tint="-0.24994659260841701"/>
      </right>
      <top/>
      <bottom/>
      <diagonal/>
    </border>
    <border>
      <left/>
      <right style="hair">
        <color theme="6" tint="-0.24994659260841701"/>
      </right>
      <top style="hair">
        <color theme="6" tint="-0.24994659260841701"/>
      </top>
      <bottom style="hair">
        <color theme="6" tint="-0.24994659260841701"/>
      </bottom>
      <diagonal/>
    </border>
    <border>
      <left style="hair">
        <color theme="6" tint="-0.24994659260841701"/>
      </left>
      <right/>
      <top style="hair">
        <color theme="6" tint="-0.24994659260841701"/>
      </top>
      <bottom style="hair">
        <color theme="6" tint="-0.24994659260841701"/>
      </bottom>
      <diagonal/>
    </border>
    <border>
      <left/>
      <right style="double">
        <color theme="3" tint="-0.499984740745262"/>
      </right>
      <top/>
      <bottom style="double">
        <color theme="3" tint="-0.499984740745262"/>
      </bottom>
      <diagonal/>
    </border>
    <border>
      <left style="double">
        <color theme="3" tint="-0.499984740745262"/>
      </left>
      <right/>
      <top/>
      <bottom/>
      <diagonal/>
    </border>
    <border>
      <left style="double">
        <color theme="3" tint="-0.499984740745262"/>
      </left>
      <right/>
      <top/>
      <bottom style="double">
        <color theme="3" tint="-0.499984740745262"/>
      </bottom>
      <diagonal/>
    </border>
    <border>
      <left style="double">
        <color theme="3" tint="-0.499984740745262"/>
      </left>
      <right style="double">
        <color theme="3" tint="-0.499984740745262"/>
      </right>
      <top/>
      <bottom style="double">
        <color theme="3" tint="-0.499984740745262"/>
      </bottom>
      <diagonal/>
    </border>
    <border>
      <left/>
      <right style="double">
        <color theme="3" tint="-0.499984740745262"/>
      </right>
      <top/>
      <bottom/>
      <diagonal/>
    </border>
    <border>
      <left style="double">
        <color theme="3" tint="-0.499984740745262"/>
      </left>
      <right style="double">
        <color theme="3" tint="-0.499984740745262"/>
      </right>
      <top/>
      <bottom/>
      <diagonal/>
    </border>
    <border>
      <left style="double">
        <color theme="3" tint="-0.499984740745262"/>
      </left>
      <right style="double">
        <color theme="3" tint="-0.499984740745262"/>
      </right>
      <top style="double">
        <color theme="3" tint="-0.499984740745262"/>
      </top>
      <bottom/>
      <diagonal/>
    </border>
    <border>
      <left/>
      <right style="double">
        <color theme="3" tint="-0.499984740745262"/>
      </right>
      <top style="double">
        <color theme="3" tint="-0.499984740745262"/>
      </top>
      <bottom style="thin">
        <color theme="3" tint="-0.499984740745262"/>
      </bottom>
      <diagonal/>
    </border>
    <border>
      <left style="double">
        <color theme="3" tint="-0.499984740745262"/>
      </left>
      <right/>
      <top style="double">
        <color theme="3" tint="-0.499984740745262"/>
      </top>
      <bottom style="thin">
        <color theme="3" tint="-0.499984740745262"/>
      </bottom>
      <diagonal/>
    </border>
    <border>
      <left/>
      <right/>
      <top style="double">
        <color theme="9"/>
      </top>
      <bottom/>
      <diagonal/>
    </border>
    <border>
      <left/>
      <right/>
      <top style="thin">
        <color indexed="64"/>
      </top>
      <bottom/>
      <diagonal/>
    </border>
    <border>
      <left style="double">
        <color theme="6" tint="-0.499984740745262"/>
      </left>
      <right style="double">
        <color theme="6" tint="-0.499984740745262"/>
      </right>
      <top style="double">
        <color theme="6" tint="-0.499984740745262"/>
      </top>
      <bottom style="double">
        <color theme="6" tint="-0.499984740745262"/>
      </bottom>
      <diagonal/>
    </border>
    <border>
      <left/>
      <right/>
      <top/>
      <bottom style="double">
        <color theme="3"/>
      </bottom>
      <diagonal/>
    </border>
    <border>
      <left/>
      <right/>
      <top style="double">
        <color rgb="FF7030A0"/>
      </top>
      <bottom/>
      <diagonal/>
    </border>
    <border>
      <left/>
      <right/>
      <top/>
      <bottom style="double">
        <color rgb="FF7030A0"/>
      </bottom>
      <diagonal/>
    </border>
    <border>
      <left style="thin">
        <color theme="6" tint="-0.499984740745262"/>
      </left>
      <right/>
      <top/>
      <bottom/>
      <diagonal/>
    </border>
    <border>
      <left style="double">
        <color theme="5" tint="-0.499984740745262"/>
      </left>
      <right/>
      <top style="double">
        <color theme="5" tint="-0.499984740745262"/>
      </top>
      <bottom style="double">
        <color theme="5" tint="-0.499984740745262"/>
      </bottom>
      <diagonal/>
    </border>
    <border>
      <left/>
      <right style="double">
        <color theme="5" tint="-0.499984740745262"/>
      </right>
      <top style="double">
        <color theme="5" tint="-0.499984740745262"/>
      </top>
      <bottom style="double">
        <color theme="5" tint="-0.499984740745262"/>
      </bottom>
      <diagonal/>
    </border>
    <border>
      <left/>
      <right/>
      <top/>
      <bottom style="thick">
        <color theme="4"/>
      </bottom>
      <diagonal/>
    </border>
    <border>
      <left style="double">
        <color rgb="FF3F3F3F"/>
      </left>
      <right style="double">
        <color rgb="FF3F3F3F"/>
      </right>
      <top style="double">
        <color rgb="FF3F3F3F"/>
      </top>
      <bottom style="double">
        <color rgb="FF3F3F3F"/>
      </bottom>
      <diagonal/>
    </border>
    <border>
      <left/>
      <right style="double">
        <color rgb="FFFFFF00"/>
      </right>
      <top/>
      <bottom/>
      <diagonal/>
    </border>
    <border>
      <left style="double">
        <color rgb="FFFFFF00"/>
      </left>
      <right/>
      <top/>
      <bottom/>
      <diagonal/>
    </border>
    <border>
      <left/>
      <right style="double">
        <color rgb="FFFFFF00"/>
      </right>
      <top style="double">
        <color rgb="FFFFFF00"/>
      </top>
      <bottom style="double">
        <color rgb="FFFFFF00"/>
      </bottom>
      <diagonal/>
    </border>
    <border>
      <left/>
      <right/>
      <top style="double">
        <color rgb="FFFFFF00"/>
      </top>
      <bottom style="double">
        <color rgb="FFFFFF00"/>
      </bottom>
      <diagonal/>
    </border>
    <border>
      <left style="double">
        <color rgb="FFFFFF00"/>
      </left>
      <right/>
      <top style="double">
        <color rgb="FFFFFF00"/>
      </top>
      <bottom style="double">
        <color rgb="FFFFFF00"/>
      </bottom>
      <diagonal/>
    </border>
    <border>
      <left style="double">
        <color rgb="FFC00000"/>
      </left>
      <right style="double">
        <color rgb="FFC00000"/>
      </right>
      <top style="double">
        <color rgb="FFC00000"/>
      </top>
      <bottom style="double">
        <color rgb="FFC00000"/>
      </bottom>
      <diagonal/>
    </border>
    <border>
      <left/>
      <right style="double">
        <color rgb="FFC00000"/>
      </right>
      <top style="double">
        <color rgb="FFC00000"/>
      </top>
      <bottom style="double">
        <color rgb="FFC00000"/>
      </bottom>
      <diagonal/>
    </border>
    <border>
      <left/>
      <right/>
      <top style="double">
        <color rgb="FFC00000"/>
      </top>
      <bottom style="double">
        <color rgb="FFC00000"/>
      </bottom>
      <diagonal/>
    </border>
    <border>
      <left style="double">
        <color rgb="FFC00000"/>
      </left>
      <right/>
      <top style="double">
        <color rgb="FFC00000"/>
      </top>
      <bottom style="double">
        <color rgb="FFC00000"/>
      </bottom>
      <diagonal/>
    </border>
    <border>
      <left style="double">
        <color rgb="FFC00000"/>
      </left>
      <right style="double">
        <color rgb="FFC00000"/>
      </right>
      <top/>
      <bottom style="double">
        <color rgb="FFC00000"/>
      </bottom>
      <diagonal/>
    </border>
    <border>
      <left/>
      <right style="double">
        <color rgb="FFC00000"/>
      </right>
      <top/>
      <bottom style="double">
        <color rgb="FFC00000"/>
      </bottom>
      <diagonal/>
    </border>
    <border>
      <left style="double">
        <color rgb="FFC00000"/>
      </left>
      <right/>
      <top/>
      <bottom style="double">
        <color rgb="FFC00000"/>
      </bottom>
      <diagonal/>
    </border>
    <border>
      <left style="double">
        <color rgb="FFC00000"/>
      </left>
      <right style="double">
        <color rgb="FFC00000"/>
      </right>
      <top style="double">
        <color rgb="FFC00000"/>
      </top>
      <bottom/>
      <diagonal/>
    </border>
    <border>
      <left/>
      <right style="double">
        <color rgb="FFC00000"/>
      </right>
      <top style="double">
        <color rgb="FFC00000"/>
      </top>
      <bottom/>
      <diagonal/>
    </border>
    <border>
      <left style="double">
        <color rgb="FFC00000"/>
      </left>
      <right/>
      <top style="double">
        <color rgb="FFC00000"/>
      </top>
      <bottom/>
      <diagonal/>
    </border>
    <border>
      <left/>
      <right/>
      <top style="double">
        <color rgb="FF3F3F3F"/>
      </top>
      <bottom/>
      <diagonal/>
    </border>
    <border>
      <left/>
      <right/>
      <top/>
      <bottom style="double">
        <color rgb="FF3F3F3F"/>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style="medium">
        <color rgb="FFCCCCCC"/>
      </left>
      <right/>
      <top/>
      <bottom style="medium">
        <color rgb="FFCCCCCC"/>
      </bottom>
      <diagonal/>
    </border>
    <border>
      <left style="medium">
        <color rgb="FFCCCCCC"/>
      </left>
      <right style="medium">
        <color rgb="FFCCCCCC"/>
      </right>
      <top/>
      <bottom style="medium">
        <color rgb="FFCCCCCC"/>
      </bottom>
      <diagonal/>
    </border>
    <border>
      <left style="dashed">
        <color auto="1"/>
      </left>
      <right style="dashed">
        <color auto="1"/>
      </right>
      <top style="dashed">
        <color auto="1"/>
      </top>
      <bottom style="dashed">
        <color auto="1"/>
      </bottom>
      <diagonal/>
    </border>
    <border>
      <left style="dashed">
        <color auto="1"/>
      </left>
      <right style="dashed">
        <color auto="1"/>
      </right>
      <top/>
      <bottom style="dashed">
        <color auto="1"/>
      </bottom>
      <diagonal/>
    </border>
    <border>
      <left style="dashed">
        <color auto="1"/>
      </left>
      <right style="dashed">
        <color auto="1"/>
      </right>
      <top/>
      <bottom/>
      <diagonal/>
    </border>
    <border>
      <left style="dashed">
        <color auto="1"/>
      </left>
      <right style="dashed">
        <color auto="1"/>
      </right>
      <top style="dashed">
        <color auto="1"/>
      </top>
      <bottom/>
      <diagonal/>
    </border>
    <border>
      <left/>
      <right/>
      <top/>
      <bottom style="dashed">
        <color auto="1"/>
      </bottom>
      <diagonal/>
    </border>
    <border>
      <left/>
      <right/>
      <top style="dashed">
        <color auto="1"/>
      </top>
      <bottom style="dashed">
        <color auto="1"/>
      </bottom>
      <diagonal/>
    </border>
    <border>
      <left/>
      <right style="dashed">
        <color auto="1"/>
      </right>
      <top/>
      <bottom/>
      <diagonal/>
    </border>
    <border>
      <left style="dashed">
        <color auto="1"/>
      </left>
      <right/>
      <top/>
      <bottom/>
      <diagonal/>
    </border>
    <border>
      <left/>
      <right style="dashed">
        <color auto="1"/>
      </right>
      <top style="dashed">
        <color auto="1"/>
      </top>
      <bottom/>
      <diagonal/>
    </border>
    <border>
      <left/>
      <right/>
      <top style="dashed">
        <color auto="1"/>
      </top>
      <bottom/>
      <diagonal/>
    </border>
    <border>
      <left style="dashed">
        <color auto="1"/>
      </left>
      <right/>
      <top style="dashed">
        <color auto="1"/>
      </top>
      <bottom/>
      <diagonal/>
    </border>
    <border>
      <left style="thin">
        <color auto="1"/>
      </left>
      <right/>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right/>
      <top style="thick">
        <color theme="4"/>
      </top>
      <bottom style="thick">
        <color theme="4"/>
      </bottom>
      <diagonal/>
    </border>
    <border>
      <left/>
      <right style="medium">
        <color rgb="FFCCCCCC"/>
      </right>
      <top/>
      <bottom/>
      <diagonal/>
    </border>
    <border>
      <left/>
      <right/>
      <top style="double">
        <color auto="1"/>
      </top>
      <bottom style="double">
        <color auto="1"/>
      </bottom>
      <diagonal/>
    </border>
    <border>
      <left style="double">
        <color theme="5" tint="-0.24994659260841701"/>
      </left>
      <right/>
      <top/>
      <bottom/>
      <diagonal/>
    </border>
    <border>
      <left/>
      <right/>
      <top style="double">
        <color theme="5" tint="-0.499984740745262"/>
      </top>
      <bottom/>
      <diagonal/>
    </border>
    <border>
      <left/>
      <right style="double">
        <color theme="5" tint="-0.499984740745262"/>
      </right>
      <top/>
      <bottom style="double">
        <color theme="5" tint="-0.499984740745262"/>
      </bottom>
      <diagonal/>
    </border>
    <border>
      <left style="double">
        <color theme="5" tint="-0.499984740745262"/>
      </left>
      <right/>
      <top/>
      <bottom style="double">
        <color theme="5" tint="-0.499984740745262"/>
      </bottom>
      <diagonal/>
    </border>
    <border>
      <left/>
      <right/>
      <top style="double">
        <color theme="5" tint="-0.499984740745262"/>
      </top>
      <bottom style="double">
        <color theme="5" tint="-0.499984740745262"/>
      </bottom>
      <diagonal/>
    </border>
    <border>
      <left/>
      <right style="double">
        <color theme="5" tint="-0.499984740745262"/>
      </right>
      <top style="double">
        <color theme="5" tint="-0.499984740745262"/>
      </top>
      <bottom/>
      <diagonal/>
    </border>
    <border>
      <left style="double">
        <color theme="5" tint="-0.499984740745262"/>
      </left>
      <right/>
      <top style="double">
        <color theme="5" tint="-0.499984740745262"/>
      </top>
      <bottom/>
      <diagonal/>
    </border>
    <border>
      <left/>
      <right style="double">
        <color theme="5" tint="-0.499984740745262"/>
      </right>
      <top/>
      <bottom/>
      <diagonal/>
    </border>
    <border>
      <left style="double">
        <color theme="5" tint="-0.499984740745262"/>
      </left>
      <right/>
      <top/>
      <bottom/>
      <diagonal/>
    </border>
    <border>
      <left/>
      <right/>
      <top style="double">
        <color rgb="FF000000"/>
      </top>
      <bottom/>
      <diagonal/>
    </border>
    <border>
      <left/>
      <right/>
      <top/>
      <bottom style="double">
        <color rgb="FF000000"/>
      </bottom>
      <diagonal/>
    </border>
    <border>
      <left/>
      <right/>
      <top style="double">
        <color rgb="FF000000"/>
      </top>
      <bottom style="double">
        <color rgb="FF000000"/>
      </bottom>
      <diagonal/>
    </border>
    <border>
      <left/>
      <right style="double">
        <color rgb="FF002060"/>
      </right>
      <top/>
      <bottom/>
      <diagonal/>
    </border>
    <border>
      <left style="thin">
        <color theme="2" tint="-0.499984740745262"/>
      </left>
      <right/>
      <top/>
      <bottom/>
      <diagonal/>
    </border>
    <border>
      <left/>
      <right style="double">
        <color theme="0"/>
      </right>
      <top style="double">
        <color theme="0"/>
      </top>
      <bottom style="double">
        <color theme="0"/>
      </bottom>
      <diagonal/>
    </border>
    <border>
      <left style="double">
        <color theme="0"/>
      </left>
      <right/>
      <top style="double">
        <color theme="0"/>
      </top>
      <bottom style="double">
        <color theme="0"/>
      </bottom>
      <diagonal/>
    </border>
    <border>
      <left/>
      <right style="double">
        <color theme="0"/>
      </right>
      <top/>
      <bottom style="double">
        <color theme="0"/>
      </bottom>
      <diagonal/>
    </border>
    <border>
      <left/>
      <right/>
      <top/>
      <bottom style="double">
        <color theme="0"/>
      </bottom>
      <diagonal/>
    </border>
    <border>
      <left style="double">
        <color theme="0"/>
      </left>
      <right/>
      <top/>
      <bottom style="double">
        <color theme="0"/>
      </bottom>
      <diagonal/>
    </border>
    <border>
      <left/>
      <right style="double">
        <color theme="0"/>
      </right>
      <top style="double">
        <color theme="0"/>
      </top>
      <bottom/>
      <diagonal/>
    </border>
    <border>
      <left/>
      <right/>
      <top style="double">
        <color theme="0"/>
      </top>
      <bottom/>
      <diagonal/>
    </border>
    <border>
      <left style="double">
        <color theme="0"/>
      </left>
      <right/>
      <top style="double">
        <color theme="0"/>
      </top>
      <bottom/>
      <diagonal/>
    </border>
    <border>
      <left/>
      <right/>
      <top/>
      <bottom style="thin">
        <color rgb="FFFFFFFF"/>
      </bottom>
      <diagonal/>
    </border>
    <border>
      <left style="thin">
        <color theme="9" tint="0.39991454817346722"/>
      </left>
      <right style="thin">
        <color theme="9" tint="0.39991454817346722"/>
      </right>
      <top style="thin">
        <color theme="9" tint="0.39991454817346722"/>
      </top>
      <bottom style="thin">
        <color theme="9" tint="0.39991454817346722"/>
      </bottom>
      <diagonal/>
    </border>
    <border>
      <left/>
      <right style="thin">
        <color theme="9" tint="0.39991454817346722"/>
      </right>
      <top/>
      <bottom/>
      <diagonal/>
    </border>
    <border>
      <left/>
      <right/>
      <top/>
      <bottom style="double">
        <color theme="5" tint="-0.24994659260841701"/>
      </bottom>
      <diagonal/>
    </border>
    <border>
      <left style="double">
        <color rgb="FF7030A0"/>
      </left>
      <right style="double">
        <color rgb="FF7030A0"/>
      </right>
      <top style="double">
        <color rgb="FF7030A0"/>
      </top>
      <bottom style="double">
        <color rgb="FF7030A0"/>
      </bottom>
      <diagonal/>
    </border>
    <border>
      <left/>
      <right style="double">
        <color theme="7"/>
      </right>
      <top style="double">
        <color theme="7"/>
      </top>
      <bottom/>
      <diagonal/>
    </border>
    <border>
      <left/>
      <right style="double">
        <color theme="7"/>
      </right>
      <top style="double">
        <color theme="7"/>
      </top>
      <bottom style="double">
        <color theme="7"/>
      </bottom>
      <diagonal/>
    </border>
    <border>
      <left style="double">
        <color theme="7"/>
      </left>
      <right/>
      <top style="double">
        <color theme="7"/>
      </top>
      <bottom style="double">
        <color theme="7"/>
      </bottom>
      <diagonal/>
    </border>
    <border>
      <left/>
      <right/>
      <top style="double">
        <color theme="7"/>
      </top>
      <bottom style="double">
        <color theme="7"/>
      </bottom>
      <diagonal/>
    </border>
    <border>
      <left/>
      <right style="double">
        <color theme="7"/>
      </right>
      <top/>
      <bottom style="double">
        <color theme="7"/>
      </bottom>
      <diagonal/>
    </border>
    <border>
      <left/>
      <right/>
      <top/>
      <bottom style="double">
        <color theme="7"/>
      </bottom>
      <diagonal/>
    </border>
    <border>
      <left style="double">
        <color theme="7"/>
      </left>
      <right/>
      <top/>
      <bottom style="double">
        <color theme="7"/>
      </bottom>
      <diagonal/>
    </border>
    <border>
      <left/>
      <right/>
      <top style="double">
        <color theme="7"/>
      </top>
      <bottom/>
      <diagonal/>
    </border>
    <border>
      <left style="double">
        <color theme="7"/>
      </left>
      <right/>
      <top style="double">
        <color theme="7"/>
      </top>
      <bottom/>
      <diagonal/>
    </border>
    <border>
      <left style="double">
        <color theme="7"/>
      </left>
      <right style="double">
        <color theme="7"/>
      </right>
      <top style="double">
        <color theme="7"/>
      </top>
      <bottom style="double">
        <color theme="7"/>
      </bottom>
      <diagonal/>
    </border>
    <border>
      <left/>
      <right/>
      <top/>
      <bottom style="double">
        <color rgb="FFFFFF00"/>
      </bottom>
      <diagonal/>
    </border>
    <border>
      <left/>
      <right/>
      <top style="double">
        <color rgb="FFFFFF00"/>
      </top>
      <bottom/>
      <diagonal/>
    </border>
    <border>
      <left/>
      <right/>
      <top style="double">
        <color rgb="FF8064A2"/>
      </top>
      <bottom/>
      <diagonal/>
    </border>
    <border>
      <left/>
      <right/>
      <top style="double">
        <color rgb="FF8064A2"/>
      </top>
      <bottom style="double">
        <color rgb="FF8064A2"/>
      </bottom>
      <diagonal/>
    </border>
    <border>
      <left/>
      <right style="double">
        <color rgb="FF8064A2"/>
      </right>
      <top style="double">
        <color rgb="FF8064A2"/>
      </top>
      <bottom style="double">
        <color rgb="FF8064A2"/>
      </bottom>
      <diagonal/>
    </border>
    <border>
      <left style="double">
        <color rgb="FF8064A2"/>
      </left>
      <right/>
      <top style="double">
        <color rgb="FF8064A2"/>
      </top>
      <bottom style="double">
        <color rgb="FF8064A2"/>
      </bottom>
      <diagonal/>
    </border>
    <border>
      <left style="double">
        <color rgb="FF8064A2"/>
      </left>
      <right/>
      <top style="double">
        <color rgb="FF8064A2"/>
      </top>
      <bottom/>
      <diagonal/>
    </border>
    <border>
      <left style="thin">
        <color theme="9" tint="0.39991454817346722"/>
      </left>
      <right/>
      <top/>
      <bottom/>
      <diagonal/>
    </border>
    <border>
      <left style="thin">
        <color theme="9" tint="0.39988402966399123"/>
      </left>
      <right style="thin">
        <color theme="9" tint="0.39988402966399123"/>
      </right>
      <top style="thin">
        <color theme="9" tint="0.39988402966399123"/>
      </top>
      <bottom/>
      <diagonal/>
    </border>
    <border>
      <left style="thin">
        <color theme="9" tint="0.39988402966399123"/>
      </left>
      <right style="thin">
        <color theme="9" tint="0.39988402966399123"/>
      </right>
      <top/>
      <bottom style="thin">
        <color theme="9" tint="0.39991454817346722"/>
      </bottom>
      <diagonal/>
    </border>
    <border>
      <left style="thin">
        <color auto="1"/>
      </left>
      <right style="thin">
        <color auto="1"/>
      </right>
      <top style="double">
        <color auto="1"/>
      </top>
      <bottom style="thin">
        <color auto="1"/>
      </bottom>
      <diagonal/>
    </border>
    <border>
      <left style="thin">
        <color auto="1"/>
      </left>
      <right style="thin">
        <color auto="1"/>
      </right>
      <top style="thin">
        <color auto="1"/>
      </top>
      <bottom style="thin">
        <color auto="1"/>
      </bottom>
      <diagonal/>
    </border>
    <border>
      <left style="thin">
        <color theme="9" tint="0.39991454817346722"/>
      </left>
      <right style="thin">
        <color theme="9" tint="0.39991454817346722"/>
      </right>
      <top style="thin">
        <color theme="9" tint="0.39991454817346722"/>
      </top>
      <bottom style="thin">
        <color theme="9" tint="0.39988402966399123"/>
      </bottom>
      <diagonal/>
    </border>
    <border>
      <left style="thin">
        <color theme="9" tint="0.39994506668294322"/>
      </left>
      <right style="thin">
        <color theme="9" tint="0.39994506668294322"/>
      </right>
      <top style="thin">
        <color theme="9" tint="0.39988402966399123"/>
      </top>
      <bottom style="thin">
        <color theme="9" tint="0.39994506668294322"/>
      </bottom>
      <diagonal/>
    </border>
    <border>
      <left style="thin">
        <color theme="9" tint="0.39991454817346722"/>
      </left>
      <right/>
      <top/>
      <bottom style="double">
        <color theme="9" tint="0.39988402966399123"/>
      </bottom>
      <diagonal/>
    </border>
    <border>
      <left/>
      <right/>
      <top/>
      <bottom style="double">
        <color theme="9" tint="0.39988402966399123"/>
      </bottom>
      <diagonal/>
    </border>
    <border>
      <left style="thin">
        <color theme="9" tint="0.39991454817346722"/>
      </left>
      <right/>
      <top style="double">
        <color theme="9" tint="0.39988402966399123"/>
      </top>
      <bottom/>
      <diagonal/>
    </border>
    <border>
      <left/>
      <right/>
      <top style="double">
        <color theme="9" tint="0.39988402966399123"/>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double">
        <color rgb="FFFFFF00"/>
      </left>
      <right/>
      <top/>
      <bottom style="double">
        <color rgb="FFFFFF00"/>
      </bottom>
      <diagonal/>
    </border>
    <border>
      <left style="double">
        <color rgb="FFFFFF00"/>
      </left>
      <right/>
      <top style="double">
        <color rgb="FFFFFF00"/>
      </top>
      <bottom/>
      <diagonal/>
    </border>
    <border>
      <left/>
      <right style="double">
        <color rgb="FFFFFF00"/>
      </right>
      <top style="double">
        <color rgb="FFFFFF00"/>
      </top>
      <bottom/>
      <diagonal/>
    </border>
    <border>
      <left style="double">
        <color theme="2"/>
      </left>
      <right style="double">
        <color theme="2"/>
      </right>
      <top style="double">
        <color theme="2"/>
      </top>
      <bottom style="double">
        <color theme="2"/>
      </bottom>
      <diagonal/>
    </border>
    <border>
      <left/>
      <right/>
      <top style="double">
        <color theme="2"/>
      </top>
      <bottom/>
      <diagonal/>
    </border>
    <border>
      <left style="dashDotDot">
        <color auto="1"/>
      </left>
      <right/>
      <top style="dashDotDot">
        <color auto="1"/>
      </top>
      <bottom/>
      <diagonal/>
    </border>
    <border>
      <left/>
      <right style="dashDotDot">
        <color auto="1"/>
      </right>
      <top style="dashDotDot">
        <color auto="1"/>
      </top>
      <bottom/>
      <diagonal/>
    </border>
    <border>
      <left style="dashDotDot">
        <color auto="1"/>
      </left>
      <right/>
      <top/>
      <bottom/>
      <diagonal/>
    </border>
    <border>
      <left/>
      <right style="dashDotDot">
        <color auto="1"/>
      </right>
      <top/>
      <bottom/>
      <diagonal/>
    </border>
    <border>
      <left style="dashDotDot">
        <color auto="1"/>
      </left>
      <right/>
      <top/>
      <bottom style="dashDotDot">
        <color auto="1"/>
      </bottom>
      <diagonal/>
    </border>
    <border>
      <left/>
      <right style="dashDotDot">
        <color auto="1"/>
      </right>
      <top/>
      <bottom style="dashDotDot">
        <color auto="1"/>
      </bottom>
      <diagonal/>
    </border>
    <border>
      <left style="thin">
        <color indexed="19"/>
      </left>
      <right style="thin">
        <color indexed="19"/>
      </right>
      <top style="thin">
        <color indexed="19"/>
      </top>
      <bottom/>
      <diagonal/>
    </border>
    <border>
      <left style="thin">
        <color indexed="19"/>
      </left>
      <right style="thin">
        <color indexed="19"/>
      </right>
      <top style="thin">
        <color indexed="19"/>
      </top>
      <bottom style="thin">
        <color indexed="19"/>
      </bottom>
      <diagonal/>
    </border>
    <border>
      <left/>
      <right style="thin">
        <color indexed="19"/>
      </right>
      <top style="thin">
        <color indexed="19"/>
      </top>
      <bottom/>
      <diagonal/>
    </border>
    <border>
      <left style="thin">
        <color indexed="19"/>
      </left>
      <right/>
      <top style="thin">
        <color indexed="19"/>
      </top>
      <bottom style="thin">
        <color indexed="19"/>
      </bottom>
      <diagonal/>
    </border>
    <border>
      <left/>
      <right style="thin">
        <color indexed="19"/>
      </right>
      <top style="thin">
        <color indexed="19"/>
      </top>
      <bottom style="thin">
        <color indexed="19"/>
      </bottom>
      <diagonal/>
    </border>
    <border>
      <left/>
      <right/>
      <top style="double">
        <color theme="0"/>
      </top>
      <bottom style="double">
        <color theme="0"/>
      </bottom>
      <diagonal/>
    </border>
    <border>
      <left style="double">
        <color rgb="FF7030A0"/>
      </left>
      <right style="double">
        <color rgb="FF7030A0"/>
      </right>
      <top style="double">
        <color rgb="FF7030A0"/>
      </top>
      <bottom style="double">
        <color rgb="FF8064A2"/>
      </bottom>
      <diagonal/>
    </border>
    <border>
      <left/>
      <right/>
      <top style="thin">
        <color indexed="19"/>
      </top>
      <bottom/>
      <diagonal/>
    </border>
    <border>
      <left style="dotted">
        <color auto="1"/>
      </left>
      <right/>
      <top style="dotted">
        <color auto="1"/>
      </top>
      <bottom style="dotted">
        <color auto="1"/>
      </bottom>
      <diagonal/>
    </border>
    <border>
      <left style="dotted">
        <color auto="1"/>
      </left>
      <right style="dotted">
        <color auto="1"/>
      </right>
      <top style="dotted">
        <color auto="1"/>
      </top>
      <bottom style="dotted">
        <color auto="1"/>
      </bottom>
      <diagonal/>
    </border>
    <border>
      <left/>
      <right/>
      <top/>
      <bottom style="dotted">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double">
        <color theme="7"/>
      </left>
      <right/>
      <top/>
      <bottom/>
      <diagonal/>
    </border>
    <border>
      <left style="double">
        <color rgb="FF8064A2"/>
      </left>
      <right/>
      <top/>
      <bottom/>
      <diagonal/>
    </border>
    <border>
      <left/>
      <right style="double">
        <color rgb="FF8064A2"/>
      </right>
      <top/>
      <bottom/>
      <diagonal/>
    </border>
    <border>
      <left/>
      <right style="double">
        <color theme="7"/>
      </right>
      <top style="double">
        <color theme="7"/>
      </top>
      <bottom style="double">
        <color rgb="FF8064A2"/>
      </bottom>
      <diagonal/>
    </border>
    <border>
      <left/>
      <right/>
      <top style="double">
        <color theme="7"/>
      </top>
      <bottom style="double">
        <color rgb="FF8064A2"/>
      </bottom>
      <diagonal/>
    </border>
    <border>
      <left style="double">
        <color rgb="FF8064A2"/>
      </left>
      <right/>
      <top style="double">
        <color theme="7"/>
      </top>
      <bottom style="double">
        <color rgb="FF8064A2"/>
      </bottom>
      <diagonal/>
    </border>
    <border>
      <left/>
      <right style="double">
        <color rgb="FF8064A2"/>
      </right>
      <top style="double">
        <color rgb="FF8064A2"/>
      </top>
      <bottom/>
      <diagonal/>
    </border>
    <border>
      <left/>
      <right style="double">
        <color theme="7"/>
      </right>
      <top/>
      <bottom style="double">
        <color rgb="FF8064A2"/>
      </bottom>
      <diagonal/>
    </border>
    <border>
      <left/>
      <right/>
      <top/>
      <bottom style="double">
        <color rgb="FF8064A2"/>
      </bottom>
      <diagonal/>
    </border>
    <border>
      <left style="double">
        <color theme="7"/>
      </left>
      <right/>
      <top/>
      <bottom style="double">
        <color rgb="FF8064A2"/>
      </bottom>
      <diagonal/>
    </border>
    <border>
      <left style="hair">
        <color auto="1"/>
      </left>
      <right/>
      <top/>
      <bottom/>
      <diagonal/>
    </border>
    <border>
      <left/>
      <right style="hair">
        <color auto="1"/>
      </right>
      <top/>
      <bottom/>
      <diagonal/>
    </border>
    <border>
      <left style="thin">
        <color indexed="19"/>
      </left>
      <right/>
      <top style="thin">
        <color indexed="19"/>
      </top>
      <bottom/>
      <diagonal/>
    </border>
    <border>
      <left/>
      <right style="hair">
        <color auto="1"/>
      </right>
      <top style="hair">
        <color auto="1"/>
      </top>
      <bottom style="hair">
        <color auto="1"/>
      </bottom>
      <diagonal/>
    </border>
    <border>
      <left/>
      <right/>
      <top style="hair">
        <color auto="1"/>
      </top>
      <bottom style="hair">
        <color auto="1"/>
      </bottom>
      <diagonal/>
    </border>
    <border>
      <left style="hair">
        <color auto="1"/>
      </left>
      <right/>
      <top style="hair">
        <color auto="1"/>
      </top>
      <bottom style="hair">
        <color auto="1"/>
      </bottom>
      <diagonal/>
    </border>
    <border>
      <left style="hair">
        <color auto="1"/>
      </left>
      <right style="hair">
        <color auto="1"/>
      </right>
      <top style="hair">
        <color auto="1"/>
      </top>
      <bottom style="hair">
        <color auto="1"/>
      </bottom>
      <diagonal/>
    </border>
  </borders>
  <cellStyleXfs count="75">
    <xf numFmtId="0" fontId="0" fillId="0" borderId="0"/>
    <xf numFmtId="0" fontId="2" fillId="2" borderId="0" applyNumberFormat="0" applyBorder="0" applyAlignment="0" applyProtection="0"/>
    <xf numFmtId="0" fontId="3" fillId="3" borderId="0" applyNumberFormat="0" applyBorder="0" applyAlignment="0" applyProtection="0"/>
    <xf numFmtId="0" fontId="6" fillId="0" borderId="0"/>
    <xf numFmtId="0" fontId="7" fillId="0" borderId="0"/>
    <xf numFmtId="0" fontId="8" fillId="0" borderId="0"/>
    <xf numFmtId="0" fontId="1" fillId="0" borderId="0"/>
    <xf numFmtId="0" fontId="9" fillId="0" borderId="0"/>
    <xf numFmtId="0" fontId="8" fillId="0" borderId="0"/>
    <xf numFmtId="0" fontId="8" fillId="0" borderId="0"/>
    <xf numFmtId="0" fontId="5" fillId="4" borderId="0" applyNumberFormat="0" applyBorder="0" applyAlignment="0" applyProtection="0"/>
    <xf numFmtId="0" fontId="1" fillId="5" borderId="0" applyNumberFormat="0" applyBorder="0" applyAlignment="0" applyProtection="0"/>
    <xf numFmtId="0" fontId="1" fillId="0" borderId="0"/>
    <xf numFmtId="0" fontId="1" fillId="0" borderId="0"/>
    <xf numFmtId="0" fontId="11" fillId="10" borderId="0" applyNumberFormat="0" applyBorder="0" applyAlignment="0" applyProtection="0"/>
    <xf numFmtId="0" fontId="5" fillId="18" borderId="0" applyNumberFormat="0" applyBorder="0" applyAlignment="0" applyProtection="0"/>
    <xf numFmtId="0" fontId="1" fillId="20" borderId="0" applyNumberFormat="0" applyBorder="0" applyAlignment="0" applyProtection="0"/>
    <xf numFmtId="0" fontId="5" fillId="4" borderId="0" applyNumberFormat="0" applyBorder="0" applyAlignment="0" applyProtection="0"/>
    <xf numFmtId="0" fontId="37" fillId="0" borderId="0"/>
    <xf numFmtId="0" fontId="1" fillId="0" borderId="0"/>
    <xf numFmtId="0" fontId="1" fillId="0" borderId="0"/>
    <xf numFmtId="0" fontId="63" fillId="0" borderId="0" applyNumberFormat="0" applyFill="0" applyBorder="0" applyAlignment="0" applyProtection="0">
      <alignment vertical="top"/>
      <protection locked="0"/>
    </xf>
    <xf numFmtId="0" fontId="1" fillId="0" borderId="0"/>
    <xf numFmtId="0" fontId="1" fillId="19" borderId="0" applyNumberFormat="0" applyBorder="0" applyAlignment="0" applyProtection="0"/>
    <xf numFmtId="0" fontId="9" fillId="0" borderId="0"/>
    <xf numFmtId="0" fontId="1" fillId="0" borderId="0"/>
    <xf numFmtId="0" fontId="1" fillId="20" borderId="0" applyNumberFormat="0" applyBorder="0" applyAlignment="0" applyProtection="0"/>
    <xf numFmtId="0" fontId="1" fillId="0" borderId="0"/>
    <xf numFmtId="0" fontId="1" fillId="19" borderId="0" applyNumberFormat="0" applyBorder="0" applyAlignment="0" applyProtection="0"/>
    <xf numFmtId="0" fontId="1" fillId="0" borderId="0"/>
    <xf numFmtId="0" fontId="1" fillId="0" borderId="0"/>
    <xf numFmtId="0" fontId="278" fillId="0" borderId="166" applyNumberFormat="0" applyFill="0" applyAlignment="0" applyProtection="0"/>
    <xf numFmtId="0" fontId="279" fillId="35" borderId="167" applyNumberFormat="0" applyAlignment="0" applyProtection="0"/>
    <xf numFmtId="0" fontId="1" fillId="36"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1" fillId="0" borderId="0"/>
    <xf numFmtId="0" fontId="1" fillId="20" borderId="0" applyNumberFormat="0" applyBorder="0" applyAlignment="0" applyProtection="0"/>
    <xf numFmtId="0" fontId="1" fillId="20" borderId="0" applyNumberFormat="0" applyBorder="0" applyAlignment="0" applyProtection="0"/>
    <xf numFmtId="0" fontId="1" fillId="19" borderId="0" applyNumberFormat="0" applyBorder="0" applyAlignment="0" applyProtection="0"/>
    <xf numFmtId="0" fontId="301" fillId="0" borderId="0" applyNumberFormat="0" applyFill="0" applyBorder="0" applyAlignment="0" applyProtection="0"/>
    <xf numFmtId="0" fontId="305" fillId="0" borderId="0"/>
    <xf numFmtId="0" fontId="1" fillId="0" borderId="0"/>
    <xf numFmtId="0" fontId="1" fillId="0" borderId="0"/>
    <xf numFmtId="0" fontId="8" fillId="0" borderId="0"/>
    <xf numFmtId="0" fontId="1" fillId="0" borderId="0"/>
    <xf numFmtId="0" fontId="1" fillId="0" borderId="0"/>
    <xf numFmtId="0" fontId="1" fillId="5"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20" borderId="0" applyNumberFormat="0" applyBorder="0" applyAlignment="0" applyProtection="0"/>
    <xf numFmtId="0" fontId="1" fillId="0" borderId="0"/>
    <xf numFmtId="0" fontId="1" fillId="0" borderId="0"/>
    <xf numFmtId="0" fontId="1" fillId="20" borderId="0" applyNumberFormat="0" applyBorder="0" applyAlignment="0" applyProtection="0"/>
    <xf numFmtId="0" fontId="1" fillId="19" borderId="0" applyNumberFormat="0" applyBorder="0" applyAlignment="0" applyProtection="0"/>
    <xf numFmtId="0" fontId="1" fillId="0" borderId="0"/>
    <xf numFmtId="0" fontId="1" fillId="0" borderId="0"/>
    <xf numFmtId="0" fontId="1" fillId="0" borderId="0"/>
    <xf numFmtId="0" fontId="9" fillId="0" borderId="0"/>
    <xf numFmtId="0" fontId="1" fillId="0" borderId="0"/>
    <xf numFmtId="0" fontId="1" fillId="19" borderId="0" applyNumberFormat="0" applyBorder="0" applyAlignment="0" applyProtection="0"/>
    <xf numFmtId="0" fontId="1" fillId="0" borderId="0"/>
    <xf numFmtId="0" fontId="1" fillId="0" borderId="0"/>
    <xf numFmtId="0" fontId="1" fillId="0" borderId="0"/>
    <xf numFmtId="0" fontId="1" fillId="0" borderId="0"/>
    <xf numFmtId="0" fontId="1" fillId="19" borderId="0" applyNumberFormat="0" applyBorder="0" applyAlignment="0" applyProtection="0"/>
    <xf numFmtId="0" fontId="1" fillId="20" borderId="0" applyNumberFormat="0" applyBorder="0" applyAlignment="0" applyProtection="0"/>
    <xf numFmtId="0" fontId="1" fillId="19" borderId="0" applyNumberFormat="0" applyBorder="0" applyAlignment="0" applyProtection="0"/>
    <xf numFmtId="0" fontId="1" fillId="0" borderId="0"/>
    <xf numFmtId="0" fontId="1" fillId="20" borderId="0" applyNumberFormat="0" applyBorder="0" applyAlignment="0" applyProtection="0"/>
    <xf numFmtId="0" fontId="1" fillId="0" borderId="0"/>
    <xf numFmtId="0" fontId="1" fillId="19" borderId="0" applyNumberFormat="0" applyBorder="0" applyAlignment="0" applyProtection="0"/>
    <xf numFmtId="0" fontId="1" fillId="20" borderId="0" applyNumberFormat="0" applyBorder="0" applyAlignment="0" applyProtection="0"/>
    <xf numFmtId="0" fontId="1" fillId="19" borderId="0" applyNumberFormat="0" applyBorder="0" applyAlignment="0" applyProtection="0"/>
  </cellStyleXfs>
  <cellXfs count="2766">
    <xf numFmtId="0" fontId="0" fillId="0" borderId="0" xfId="0"/>
    <xf numFmtId="0" fontId="4" fillId="6" borderId="0" xfId="0" applyFont="1" applyFill="1" applyProtection="1">
      <protection hidden="1"/>
    </xf>
    <xf numFmtId="0" fontId="13" fillId="6" borderId="0" xfId="0" applyFont="1" applyFill="1" applyAlignment="1" applyProtection="1">
      <alignment horizontal="center" vertical="center"/>
      <protection hidden="1"/>
    </xf>
    <xf numFmtId="0" fontId="13" fillId="6" borderId="0" xfId="0" applyFont="1" applyFill="1" applyProtection="1">
      <protection hidden="1"/>
    </xf>
    <xf numFmtId="0" fontId="13" fillId="0" borderId="0" xfId="0" applyFont="1" applyProtection="1">
      <protection hidden="1"/>
    </xf>
    <xf numFmtId="0" fontId="12" fillId="12" borderId="14" xfId="14" applyFont="1" applyFill="1" applyBorder="1" applyAlignment="1" applyProtection="1">
      <alignment horizontal="center" vertical="center"/>
      <protection hidden="1"/>
    </xf>
    <xf numFmtId="0" fontId="31" fillId="17" borderId="0" xfId="0" applyFont="1" applyFill="1" applyBorder="1" applyAlignment="1" applyProtection="1">
      <alignment horizontal="center" vertical="center"/>
      <protection hidden="1"/>
    </xf>
    <xf numFmtId="0" fontId="31" fillId="17" borderId="9" xfId="14" applyFont="1" applyFill="1" applyBorder="1" applyAlignment="1" applyProtection="1">
      <alignment horizontal="center" vertical="center"/>
      <protection hidden="1"/>
    </xf>
    <xf numFmtId="0" fontId="31" fillId="17" borderId="0" xfId="14" applyFont="1" applyFill="1" applyBorder="1" applyAlignment="1" applyProtection="1">
      <alignment horizontal="center" vertical="center"/>
      <protection hidden="1"/>
    </xf>
    <xf numFmtId="0" fontId="39" fillId="6" borderId="0" xfId="9" applyFont="1" applyFill="1" applyBorder="1" applyProtection="1">
      <protection hidden="1"/>
    </xf>
    <xf numFmtId="0" fontId="39" fillId="6" borderId="0" xfId="18" applyFont="1" applyFill="1" applyBorder="1" applyAlignment="1" applyProtection="1">
      <alignment vertical="center"/>
      <protection hidden="1"/>
    </xf>
    <xf numFmtId="0" fontId="38" fillId="6" borderId="0" xfId="9" applyFont="1" applyFill="1" applyProtection="1">
      <protection hidden="1"/>
    </xf>
    <xf numFmtId="1" fontId="41" fillId="6" borderId="0" xfId="9" applyNumberFormat="1" applyFont="1" applyFill="1" applyBorder="1" applyAlignment="1" applyProtection="1">
      <alignment vertical="center" textRotation="45" wrapText="1"/>
      <protection hidden="1"/>
    </xf>
    <xf numFmtId="1" fontId="42" fillId="6" borderId="0" xfId="18" applyNumberFormat="1" applyFont="1" applyFill="1" applyBorder="1" applyAlignment="1" applyProtection="1">
      <alignment horizontal="center" vertical="center"/>
      <protection hidden="1"/>
    </xf>
    <xf numFmtId="0" fontId="43" fillId="6" borderId="0" xfId="9" applyFont="1" applyFill="1" applyBorder="1" applyProtection="1">
      <protection hidden="1"/>
    </xf>
    <xf numFmtId="0" fontId="44" fillId="6" borderId="0" xfId="9" applyFont="1" applyFill="1" applyBorder="1" applyAlignment="1" applyProtection="1">
      <alignment horizontal="center" vertical="center"/>
      <protection hidden="1"/>
    </xf>
    <xf numFmtId="0" fontId="44" fillId="6" borderId="0" xfId="18" applyFont="1" applyFill="1" applyBorder="1" applyAlignment="1" applyProtection="1">
      <alignment horizontal="center"/>
      <protection hidden="1"/>
    </xf>
    <xf numFmtId="0" fontId="39" fillId="6" borderId="0" xfId="18" applyFont="1" applyFill="1" applyBorder="1" applyAlignment="1" applyProtection="1">
      <alignment horizontal="center" vertical="center"/>
      <protection hidden="1"/>
    </xf>
    <xf numFmtId="0" fontId="45" fillId="6" borderId="0" xfId="18" applyFont="1" applyFill="1" applyBorder="1" applyAlignment="1" applyProtection="1">
      <protection hidden="1"/>
    </xf>
    <xf numFmtId="0" fontId="45" fillId="6" borderId="0" xfId="18" applyFont="1" applyFill="1" applyBorder="1" applyAlignment="1" applyProtection="1">
      <alignment horizontal="center"/>
      <protection hidden="1"/>
    </xf>
    <xf numFmtId="0" fontId="46" fillId="6" borderId="0" xfId="9" applyFont="1" applyFill="1" applyBorder="1" applyAlignment="1" applyProtection="1">
      <alignment vertical="center"/>
      <protection hidden="1"/>
    </xf>
    <xf numFmtId="0" fontId="44" fillId="6" borderId="0" xfId="18" applyFont="1" applyFill="1" applyBorder="1" applyAlignment="1" applyProtection="1">
      <alignment vertical="center"/>
      <protection hidden="1"/>
    </xf>
    <xf numFmtId="0" fontId="48" fillId="6" borderId="19" xfId="9" applyFont="1" applyFill="1" applyBorder="1" applyAlignment="1" applyProtection="1">
      <alignment horizontal="right" vertical="center"/>
      <protection hidden="1"/>
    </xf>
    <xf numFmtId="0" fontId="47" fillId="6" borderId="0" xfId="18" applyFont="1" applyFill="1" applyBorder="1" applyAlignment="1" applyProtection="1">
      <alignment vertical="center"/>
      <protection hidden="1"/>
    </xf>
    <xf numFmtId="0" fontId="48" fillId="6" borderId="0" xfId="9" applyFont="1" applyFill="1" applyBorder="1" applyAlignment="1" applyProtection="1">
      <alignment horizontal="center" vertical="center"/>
      <protection hidden="1"/>
    </xf>
    <xf numFmtId="1" fontId="42" fillId="6" borderId="28" xfId="18" applyNumberFormat="1" applyFont="1" applyFill="1" applyBorder="1" applyAlignment="1" applyProtection="1">
      <alignment horizontal="center" vertical="center"/>
      <protection hidden="1"/>
    </xf>
    <xf numFmtId="0" fontId="43" fillId="6" borderId="28" xfId="9" applyFont="1" applyFill="1" applyBorder="1" applyAlignment="1" applyProtection="1">
      <alignment horizontal="center" vertical="center"/>
      <protection hidden="1"/>
    </xf>
    <xf numFmtId="0" fontId="45" fillId="6" borderId="28" xfId="18" applyFont="1" applyFill="1" applyBorder="1" applyAlignment="1" applyProtection="1">
      <alignment horizontal="center"/>
      <protection hidden="1"/>
    </xf>
    <xf numFmtId="0" fontId="39" fillId="6" borderId="0" xfId="18" applyFont="1" applyFill="1" applyBorder="1" applyAlignment="1" applyProtection="1">
      <alignment horizontal="center"/>
      <protection hidden="1"/>
    </xf>
    <xf numFmtId="0" fontId="45" fillId="6" borderId="31" xfId="18" applyFont="1" applyFill="1" applyBorder="1" applyAlignment="1" applyProtection="1">
      <alignment horizontal="center"/>
      <protection hidden="1"/>
    </xf>
    <xf numFmtId="0" fontId="1" fillId="6" borderId="0" xfId="20" applyFill="1" applyProtection="1">
      <protection hidden="1"/>
    </xf>
    <xf numFmtId="0" fontId="54" fillId="6" borderId="0" xfId="17" applyFont="1" applyFill="1" applyBorder="1" applyAlignment="1" applyProtection="1">
      <alignment horizontal="right" vertical="center"/>
      <protection hidden="1"/>
    </xf>
    <xf numFmtId="0" fontId="55" fillId="6" borderId="30" xfId="9" applyFont="1" applyFill="1" applyBorder="1" applyAlignment="1" applyProtection="1">
      <protection hidden="1"/>
    </xf>
    <xf numFmtId="0" fontId="55" fillId="6" borderId="30" xfId="9" applyFont="1" applyFill="1" applyBorder="1" applyAlignment="1" applyProtection="1">
      <alignment vertical="center"/>
      <protection hidden="1"/>
    </xf>
    <xf numFmtId="0" fontId="36" fillId="6" borderId="30" xfId="17" applyFont="1" applyFill="1" applyBorder="1" applyAlignment="1" applyProtection="1">
      <alignment vertical="center" wrapText="1"/>
      <protection hidden="1"/>
    </xf>
    <xf numFmtId="0" fontId="42" fillId="0" borderId="29" xfId="18" applyFont="1" applyBorder="1" applyAlignment="1" applyProtection="1">
      <alignment horizontal="center" vertical="center"/>
      <protection hidden="1"/>
    </xf>
    <xf numFmtId="0" fontId="45" fillId="6" borderId="0" xfId="18" applyFont="1" applyFill="1" applyBorder="1" applyAlignment="1" applyProtection="1">
      <alignment vertical="center"/>
      <protection hidden="1"/>
    </xf>
    <xf numFmtId="0" fontId="45" fillId="0" borderId="0" xfId="18" applyFont="1" applyBorder="1" applyAlignment="1" applyProtection="1">
      <alignment vertical="center"/>
      <protection hidden="1"/>
    </xf>
    <xf numFmtId="0" fontId="59" fillId="6" borderId="0" xfId="9" applyFont="1" applyFill="1" applyBorder="1" applyAlignment="1" applyProtection="1">
      <alignment horizontal="right"/>
      <protection hidden="1"/>
    </xf>
    <xf numFmtId="0" fontId="60" fillId="6" borderId="0" xfId="9" applyFont="1" applyFill="1" applyBorder="1" applyAlignment="1" applyProtection="1">
      <alignment horizontal="right"/>
      <protection hidden="1"/>
    </xf>
    <xf numFmtId="0" fontId="45" fillId="6" borderId="0" xfId="18" applyFont="1" applyFill="1" applyBorder="1" applyAlignment="1" applyProtection="1">
      <alignment vertical="center" wrapText="1"/>
      <protection hidden="1"/>
    </xf>
    <xf numFmtId="0" fontId="61" fillId="0" borderId="0" xfId="9" applyFont="1" applyBorder="1" applyAlignment="1" applyProtection="1">
      <alignment vertical="center" wrapText="1"/>
      <protection hidden="1"/>
    </xf>
    <xf numFmtId="0" fontId="62" fillId="0" borderId="0" xfId="18" applyFont="1" applyBorder="1" applyAlignment="1" applyProtection="1">
      <alignment vertical="center"/>
      <protection hidden="1"/>
    </xf>
    <xf numFmtId="0" fontId="62" fillId="6" borderId="0" xfId="18" applyFont="1" applyFill="1" applyBorder="1" applyAlignment="1" applyProtection="1">
      <alignment vertical="center"/>
      <protection hidden="1"/>
    </xf>
    <xf numFmtId="0" fontId="65" fillId="0" borderId="0" xfId="18" applyFont="1" applyBorder="1" applyAlignment="1" applyProtection="1">
      <protection hidden="1"/>
    </xf>
    <xf numFmtId="0" fontId="66" fillId="6" borderId="0" xfId="18" applyFont="1" applyFill="1" applyBorder="1" applyAlignment="1" applyProtection="1">
      <alignment vertical="center"/>
      <protection hidden="1"/>
    </xf>
    <xf numFmtId="1" fontId="42" fillId="6" borderId="0" xfId="18" applyNumberFormat="1" applyFont="1" applyFill="1" applyBorder="1" applyAlignment="1" applyProtection="1">
      <alignment horizontal="center"/>
      <protection hidden="1"/>
    </xf>
    <xf numFmtId="1" fontId="42" fillId="6" borderId="28" xfId="18" applyNumberFormat="1" applyFont="1" applyFill="1" applyBorder="1" applyAlignment="1" applyProtection="1">
      <alignment horizontal="center"/>
      <protection hidden="1"/>
    </xf>
    <xf numFmtId="0" fontId="42" fillId="6" borderId="28" xfId="18" applyFont="1" applyFill="1" applyBorder="1" applyAlignment="1" applyProtection="1">
      <protection hidden="1"/>
    </xf>
    <xf numFmtId="0" fontId="42" fillId="6" borderId="0" xfId="18" applyFont="1" applyFill="1" applyBorder="1" applyAlignment="1" applyProtection="1">
      <alignment horizontal="center"/>
      <protection hidden="1"/>
    </xf>
    <xf numFmtId="0" fontId="71" fillId="6" borderId="0" xfId="9" applyFont="1" applyFill="1" applyAlignment="1" applyProtection="1">
      <alignment horizontal="right" vertical="center"/>
      <protection hidden="1"/>
    </xf>
    <xf numFmtId="0" fontId="71" fillId="6" borderId="0" xfId="9" applyFont="1" applyFill="1" applyBorder="1" applyAlignment="1" applyProtection="1">
      <alignment horizontal="right" vertical="center"/>
      <protection hidden="1"/>
    </xf>
    <xf numFmtId="0" fontId="71" fillId="6" borderId="0" xfId="9" applyFont="1" applyFill="1" applyBorder="1" applyAlignment="1" applyProtection="1">
      <alignment vertical="center"/>
      <protection hidden="1"/>
    </xf>
    <xf numFmtId="0" fontId="71" fillId="6" borderId="0" xfId="9" applyFont="1" applyFill="1" applyAlignment="1" applyProtection="1">
      <alignment vertical="center"/>
      <protection hidden="1"/>
    </xf>
    <xf numFmtId="0" fontId="43" fillId="6" borderId="0" xfId="9" applyFont="1" applyFill="1" applyProtection="1">
      <protection hidden="1"/>
    </xf>
    <xf numFmtId="0" fontId="43" fillId="6" borderId="0" xfId="9" applyFont="1" applyFill="1" applyBorder="1" applyAlignment="1" applyProtection="1">
      <alignment vertical="center"/>
      <protection hidden="1"/>
    </xf>
    <xf numFmtId="0" fontId="8" fillId="6" borderId="0" xfId="9" applyFill="1" applyBorder="1" applyAlignment="1" applyProtection="1">
      <protection hidden="1"/>
    </xf>
    <xf numFmtId="0" fontId="75" fillId="23" borderId="0" xfId="9" applyFont="1" applyFill="1" applyBorder="1" applyAlignment="1" applyProtection="1">
      <alignment vertical="center"/>
      <protection hidden="1"/>
    </xf>
    <xf numFmtId="0" fontId="76" fillId="23" borderId="41" xfId="9" applyFont="1" applyFill="1" applyBorder="1" applyAlignment="1" applyProtection="1">
      <alignment vertical="center"/>
      <protection hidden="1"/>
    </xf>
    <xf numFmtId="0" fontId="76" fillId="23" borderId="0" xfId="9" applyFont="1" applyFill="1" applyBorder="1" applyAlignment="1" applyProtection="1">
      <alignment vertical="center"/>
      <protection hidden="1"/>
    </xf>
    <xf numFmtId="0" fontId="38" fillId="6" borderId="0" xfId="9" applyFont="1" applyFill="1" applyBorder="1" applyAlignment="1" applyProtection="1">
      <alignment vertical="center"/>
      <protection hidden="1"/>
    </xf>
    <xf numFmtId="1" fontId="43" fillId="6" borderId="29" xfId="9" applyNumberFormat="1" applyFont="1" applyFill="1" applyBorder="1" applyAlignment="1" applyProtection="1">
      <alignment horizontal="center" vertical="center"/>
      <protection hidden="1"/>
    </xf>
    <xf numFmtId="0" fontId="43" fillId="6" borderId="29" xfId="9" applyFont="1" applyFill="1" applyBorder="1" applyAlignment="1" applyProtection="1">
      <alignment horizontal="center" vertical="center"/>
      <protection hidden="1"/>
    </xf>
    <xf numFmtId="0" fontId="80" fillId="6" borderId="29" xfId="9" applyFont="1" applyFill="1" applyBorder="1" applyAlignment="1" applyProtection="1">
      <alignment horizontal="center" vertical="center"/>
      <protection hidden="1"/>
    </xf>
    <xf numFmtId="0" fontId="60" fillId="6" borderId="0" xfId="18" applyFont="1" applyFill="1" applyBorder="1" applyAlignment="1" applyProtection="1">
      <alignment horizontal="center" vertical="center"/>
      <protection hidden="1"/>
    </xf>
    <xf numFmtId="0" fontId="60" fillId="6" borderId="0" xfId="9" applyFont="1" applyFill="1" applyBorder="1" applyAlignment="1" applyProtection="1">
      <alignment horizontal="center" vertical="center"/>
      <protection hidden="1"/>
    </xf>
    <xf numFmtId="0" fontId="82" fillId="6" borderId="0" xfId="9" applyFont="1" applyFill="1" applyBorder="1" applyAlignment="1" applyProtection="1">
      <alignment vertical="center"/>
      <protection hidden="1"/>
    </xf>
    <xf numFmtId="0" fontId="82" fillId="6" borderId="30" xfId="9" applyFont="1" applyFill="1" applyBorder="1" applyAlignment="1" applyProtection="1">
      <alignment vertical="center"/>
      <protection hidden="1"/>
    </xf>
    <xf numFmtId="10" fontId="82" fillId="6" borderId="30" xfId="9" applyNumberFormat="1" applyFont="1" applyFill="1" applyBorder="1" applyAlignment="1" applyProtection="1">
      <alignment vertical="center"/>
      <protection hidden="1"/>
    </xf>
    <xf numFmtId="0" fontId="23" fillId="6" borderId="0" xfId="9" applyFont="1" applyFill="1" applyBorder="1" applyAlignment="1" applyProtection="1">
      <alignment vertical="center"/>
      <protection hidden="1"/>
    </xf>
    <xf numFmtId="0" fontId="23" fillId="6" borderId="30" xfId="9" applyFont="1" applyFill="1" applyBorder="1" applyAlignment="1" applyProtection="1">
      <alignment vertical="center"/>
      <protection hidden="1"/>
    </xf>
    <xf numFmtId="0" fontId="60" fillId="6" borderId="0" xfId="18" applyFont="1" applyFill="1" applyBorder="1" applyAlignment="1" applyProtection="1">
      <alignment horizontal="center"/>
      <protection hidden="1"/>
    </xf>
    <xf numFmtId="0" fontId="84" fillId="6" borderId="28" xfId="17" applyFont="1" applyFill="1" applyBorder="1" applyAlignment="1" applyProtection="1">
      <alignment vertical="center"/>
      <protection hidden="1"/>
    </xf>
    <xf numFmtId="0" fontId="84" fillId="6" borderId="43" xfId="17" applyFont="1" applyFill="1" applyBorder="1" applyAlignment="1" applyProtection="1">
      <alignment vertical="center"/>
      <protection hidden="1"/>
    </xf>
    <xf numFmtId="0" fontId="92" fillId="6" borderId="0" xfId="9" applyFont="1" applyFill="1" applyAlignment="1" applyProtection="1">
      <alignment horizontal="right" vertical="center"/>
      <protection hidden="1"/>
    </xf>
    <xf numFmtId="0" fontId="1" fillId="6" borderId="0" xfId="6" applyFill="1" applyProtection="1">
      <protection hidden="1"/>
    </xf>
    <xf numFmtId="0" fontId="93" fillId="6" borderId="0" xfId="9" applyFont="1" applyFill="1" applyProtection="1">
      <protection hidden="1"/>
    </xf>
    <xf numFmtId="0" fontId="94" fillId="6" borderId="0" xfId="9" applyFont="1" applyFill="1" applyBorder="1" applyAlignment="1" applyProtection="1">
      <alignment vertical="center"/>
      <protection hidden="1"/>
    </xf>
    <xf numFmtId="0" fontId="95" fillId="6" borderId="0" xfId="16" applyFont="1" applyFill="1" applyBorder="1" applyAlignment="1" applyProtection="1">
      <protection hidden="1"/>
    </xf>
    <xf numFmtId="1" fontId="45" fillId="6" borderId="0" xfId="18" applyNumberFormat="1" applyFont="1" applyFill="1" applyBorder="1" applyAlignment="1" applyProtection="1">
      <alignment vertical="center" wrapText="1"/>
      <protection hidden="1"/>
    </xf>
    <xf numFmtId="0" fontId="42" fillId="6" borderId="28" xfId="18" applyFont="1" applyFill="1" applyBorder="1" applyAlignment="1" applyProtection="1">
      <alignment vertical="center"/>
      <protection hidden="1"/>
    </xf>
    <xf numFmtId="1" fontId="42" fillId="6" borderId="30" xfId="18" applyNumberFormat="1" applyFont="1" applyFill="1" applyBorder="1" applyAlignment="1" applyProtection="1">
      <alignment horizontal="center" vertical="center"/>
      <protection hidden="1"/>
    </xf>
    <xf numFmtId="0" fontId="40" fillId="6" borderId="48" xfId="9" applyFont="1" applyFill="1" applyBorder="1" applyProtection="1">
      <protection hidden="1"/>
    </xf>
    <xf numFmtId="0" fontId="40" fillId="6" borderId="48" xfId="9" applyFont="1" applyFill="1" applyBorder="1" applyAlignment="1" applyProtection="1">
      <alignment vertical="center"/>
      <protection hidden="1"/>
    </xf>
    <xf numFmtId="0" fontId="96" fillId="6" borderId="48" xfId="9" applyFont="1" applyFill="1" applyBorder="1" applyProtection="1">
      <protection hidden="1"/>
    </xf>
    <xf numFmtId="0" fontId="1" fillId="0" borderId="0" xfId="22" applyProtection="1">
      <protection hidden="1"/>
    </xf>
    <xf numFmtId="0" fontId="1" fillId="6" borderId="0" xfId="22" applyFill="1" applyProtection="1">
      <protection hidden="1"/>
    </xf>
    <xf numFmtId="0" fontId="38" fillId="6" borderId="0" xfId="22" applyFont="1" applyFill="1" applyBorder="1" applyAlignment="1" applyProtection="1">
      <alignment vertical="center"/>
      <protection hidden="1"/>
    </xf>
    <xf numFmtId="0" fontId="101" fillId="0" borderId="50" xfId="9" applyFont="1" applyBorder="1" applyAlignment="1" applyProtection="1">
      <alignment horizontal="center" vertical="center"/>
      <protection hidden="1"/>
    </xf>
    <xf numFmtId="1" fontId="87" fillId="6" borderId="51" xfId="22" applyNumberFormat="1" applyFont="1" applyFill="1" applyBorder="1" applyAlignment="1" applyProtection="1">
      <alignment horizontal="center" vertical="center"/>
      <protection hidden="1"/>
    </xf>
    <xf numFmtId="0" fontId="87" fillId="6" borderId="52" xfId="22" applyFont="1" applyFill="1" applyBorder="1" applyAlignment="1" applyProtection="1">
      <alignment horizontal="right" vertical="center"/>
      <protection hidden="1"/>
    </xf>
    <xf numFmtId="1" fontId="87" fillId="6" borderId="55" xfId="22" applyNumberFormat="1" applyFont="1" applyFill="1" applyBorder="1" applyAlignment="1" applyProtection="1">
      <alignment horizontal="center" vertical="center"/>
      <protection hidden="1"/>
    </xf>
    <xf numFmtId="0" fontId="87" fillId="6" borderId="56" xfId="22" applyFont="1" applyFill="1" applyBorder="1" applyAlignment="1" applyProtection="1">
      <alignment horizontal="right" vertical="center"/>
      <protection hidden="1"/>
    </xf>
    <xf numFmtId="10" fontId="52" fillId="6" borderId="60" xfId="5" applyNumberFormat="1" applyFont="1" applyFill="1" applyBorder="1" applyAlignment="1" applyProtection="1">
      <alignment vertical="center" wrapText="1"/>
      <protection hidden="1"/>
    </xf>
    <xf numFmtId="10" fontId="1" fillId="6" borderId="0" xfId="22" applyNumberFormat="1" applyFill="1" applyProtection="1">
      <protection hidden="1"/>
    </xf>
    <xf numFmtId="10" fontId="52" fillId="6" borderId="61" xfId="5" applyNumberFormat="1" applyFont="1" applyFill="1" applyBorder="1" applyAlignment="1" applyProtection="1">
      <alignment vertical="center" wrapText="1"/>
      <protection hidden="1"/>
    </xf>
    <xf numFmtId="0" fontId="49" fillId="6" borderId="61" xfId="9" applyFont="1" applyFill="1" applyBorder="1" applyAlignment="1" applyProtection="1">
      <alignment vertical="center" wrapText="1"/>
      <protection hidden="1"/>
    </xf>
    <xf numFmtId="0" fontId="87" fillId="6" borderId="62" xfId="22" applyFont="1" applyFill="1" applyBorder="1" applyAlignment="1" applyProtection="1">
      <alignment horizontal="center" vertical="center"/>
      <protection hidden="1"/>
    </xf>
    <xf numFmtId="0" fontId="87" fillId="6" borderId="63" xfId="22" applyFont="1" applyFill="1" applyBorder="1" applyProtection="1">
      <protection hidden="1"/>
    </xf>
    <xf numFmtId="0" fontId="87" fillId="6" borderId="63" xfId="22" applyFont="1" applyFill="1" applyBorder="1" applyAlignment="1" applyProtection="1">
      <alignment horizontal="center" vertical="center"/>
      <protection hidden="1"/>
    </xf>
    <xf numFmtId="0" fontId="102" fillId="6" borderId="64" xfId="22" applyFont="1" applyFill="1" applyBorder="1" applyProtection="1">
      <protection hidden="1"/>
    </xf>
    <xf numFmtId="0" fontId="103" fillId="6" borderId="0" xfId="9" applyFont="1" applyFill="1" applyBorder="1" applyAlignment="1" applyProtection="1">
      <alignment horizontal="center"/>
      <protection hidden="1"/>
    </xf>
    <xf numFmtId="0" fontId="17" fillId="6" borderId="0" xfId="23" applyFont="1" applyFill="1" applyBorder="1" applyAlignment="1" applyProtection="1">
      <alignment horizontal="center"/>
      <protection hidden="1"/>
    </xf>
    <xf numFmtId="1" fontId="35" fillId="6" borderId="0" xfId="22" applyNumberFormat="1" applyFont="1" applyFill="1" applyBorder="1" applyAlignment="1" applyProtection="1">
      <alignment horizontal="center" vertical="center"/>
      <protection hidden="1"/>
    </xf>
    <xf numFmtId="0" fontId="35" fillId="6" borderId="0" xfId="9" applyFont="1" applyFill="1" applyBorder="1" applyAlignment="1" applyProtection="1">
      <alignment horizontal="center" vertical="center"/>
      <protection hidden="1"/>
    </xf>
    <xf numFmtId="1" fontId="35" fillId="6" borderId="0" xfId="9" applyNumberFormat="1" applyFont="1" applyFill="1" applyBorder="1" applyAlignment="1" applyProtection="1">
      <alignment horizontal="center" vertical="center"/>
      <protection hidden="1"/>
    </xf>
    <xf numFmtId="0" fontId="81" fillId="6" borderId="0" xfId="9" applyFont="1" applyFill="1" applyBorder="1" applyAlignment="1" applyProtection="1">
      <alignment vertical="center"/>
      <protection hidden="1"/>
    </xf>
    <xf numFmtId="1" fontId="35" fillId="6" borderId="28" xfId="22" applyNumberFormat="1" applyFont="1" applyFill="1" applyBorder="1" applyAlignment="1" applyProtection="1">
      <alignment horizontal="center" vertical="center"/>
      <protection hidden="1"/>
    </xf>
    <xf numFmtId="0" fontId="105" fillId="6" borderId="0" xfId="9" applyFont="1" applyFill="1" applyBorder="1" applyAlignment="1" applyProtection="1">
      <alignment horizontal="right" vertical="center" wrapText="1"/>
      <protection hidden="1"/>
    </xf>
    <xf numFmtId="1" fontId="35" fillId="6" borderId="29" xfId="22" applyNumberFormat="1" applyFont="1" applyFill="1" applyBorder="1" applyAlignment="1" applyProtection="1">
      <alignment horizontal="center" vertical="center"/>
      <protection hidden="1"/>
    </xf>
    <xf numFmtId="1" fontId="35" fillId="6" borderId="36" xfId="22" applyNumberFormat="1" applyFont="1" applyFill="1" applyBorder="1" applyAlignment="1" applyProtection="1">
      <alignment horizontal="center" vertical="center"/>
      <protection hidden="1"/>
    </xf>
    <xf numFmtId="0" fontId="35" fillId="6" borderId="29" xfId="9" applyFont="1" applyFill="1" applyBorder="1" applyAlignment="1" applyProtection="1">
      <alignment horizontal="center" vertical="center"/>
      <protection hidden="1"/>
    </xf>
    <xf numFmtId="0" fontId="35" fillId="6" borderId="29" xfId="22" applyFont="1" applyFill="1" applyBorder="1" applyAlignment="1" applyProtection="1">
      <alignment horizontal="center" vertical="center"/>
      <protection hidden="1"/>
    </xf>
    <xf numFmtId="0" fontId="35" fillId="6" borderId="36" xfId="22" applyFont="1" applyFill="1" applyBorder="1" applyAlignment="1" applyProtection="1">
      <alignment horizontal="center" vertical="center"/>
      <protection hidden="1"/>
    </xf>
    <xf numFmtId="0" fontId="35" fillId="6" borderId="29" xfId="22" applyFont="1" applyFill="1" applyBorder="1" applyAlignment="1" applyProtection="1">
      <alignment horizontal="center"/>
      <protection hidden="1"/>
    </xf>
    <xf numFmtId="0" fontId="108" fillId="6" borderId="0" xfId="22" applyFont="1" applyFill="1" applyBorder="1" applyAlignment="1" applyProtection="1">
      <alignment horizontal="center" vertical="center"/>
      <protection hidden="1"/>
    </xf>
    <xf numFmtId="0" fontId="35" fillId="6" borderId="36" xfId="9" applyFont="1" applyFill="1" applyBorder="1" applyAlignment="1" applyProtection="1">
      <alignment horizontal="center" vertical="center"/>
      <protection hidden="1"/>
    </xf>
    <xf numFmtId="1" fontId="35" fillId="6" borderId="29" xfId="9" applyNumberFormat="1" applyFont="1" applyFill="1" applyBorder="1" applyAlignment="1" applyProtection="1">
      <alignment horizontal="center" vertical="center"/>
      <protection hidden="1"/>
    </xf>
    <xf numFmtId="0" fontId="109" fillId="6" borderId="29" xfId="18" applyFont="1" applyFill="1" applyBorder="1" applyAlignment="1" applyProtection="1">
      <alignment horizontal="center" vertical="center" wrapText="1"/>
      <protection hidden="1"/>
    </xf>
    <xf numFmtId="0" fontId="1" fillId="6" borderId="0" xfId="22" applyFont="1" applyFill="1" applyProtection="1">
      <protection hidden="1"/>
    </xf>
    <xf numFmtId="0" fontId="110" fillId="6" borderId="0" xfId="22" applyFont="1" applyFill="1" applyProtection="1">
      <protection hidden="1"/>
    </xf>
    <xf numFmtId="0" fontId="111" fillId="6" borderId="45" xfId="22" applyFont="1" applyFill="1" applyBorder="1" applyAlignment="1" applyProtection="1">
      <alignment vertical="center"/>
      <protection hidden="1"/>
    </xf>
    <xf numFmtId="0" fontId="112" fillId="6" borderId="0" xfId="22" applyFont="1" applyFill="1" applyAlignment="1" applyProtection="1">
      <alignment horizontal="right" vertical="center"/>
      <protection hidden="1"/>
    </xf>
    <xf numFmtId="0" fontId="111" fillId="6" borderId="0" xfId="22" applyFont="1" applyFill="1" applyAlignment="1" applyProtection="1">
      <alignment vertical="center"/>
      <protection hidden="1"/>
    </xf>
    <xf numFmtId="0" fontId="92" fillId="6" borderId="0" xfId="22" applyFont="1" applyFill="1" applyBorder="1" applyAlignment="1" applyProtection="1">
      <protection hidden="1"/>
    </xf>
    <xf numFmtId="0" fontId="72" fillId="6" borderId="0" xfId="22" applyFont="1" applyFill="1" applyAlignment="1" applyProtection="1">
      <alignment vertical="top"/>
      <protection hidden="1"/>
    </xf>
    <xf numFmtId="0" fontId="113" fillId="6" borderId="0" xfId="22" applyFont="1" applyFill="1" applyAlignment="1" applyProtection="1">
      <alignment horizontal="right" vertical="center"/>
      <protection hidden="1"/>
    </xf>
    <xf numFmtId="0" fontId="72" fillId="6" borderId="0" xfId="22" applyFont="1" applyFill="1" applyAlignment="1" applyProtection="1">
      <alignment vertical="top" wrapText="1"/>
      <protection hidden="1"/>
    </xf>
    <xf numFmtId="1" fontId="115" fillId="6" borderId="0" xfId="18" applyNumberFormat="1" applyFont="1" applyFill="1" applyBorder="1" applyAlignment="1" applyProtection="1">
      <alignment vertical="center" wrapText="1"/>
      <protection hidden="1"/>
    </xf>
    <xf numFmtId="0" fontId="80" fillId="6" borderId="0" xfId="9" applyFont="1" applyFill="1" applyProtection="1">
      <protection hidden="1"/>
    </xf>
    <xf numFmtId="0" fontId="118" fillId="6" borderId="0" xfId="22" applyFont="1" applyFill="1" applyProtection="1">
      <protection hidden="1"/>
    </xf>
    <xf numFmtId="0" fontId="69" fillId="6" borderId="0" xfId="22" applyFont="1" applyFill="1" applyAlignment="1" applyProtection="1">
      <alignment horizontal="center" vertical="center"/>
      <protection hidden="1"/>
    </xf>
    <xf numFmtId="0" fontId="71" fillId="0" borderId="0" xfId="22" applyFont="1" applyBorder="1" applyAlignment="1" applyProtection="1">
      <alignment vertical="center"/>
      <protection hidden="1"/>
    </xf>
    <xf numFmtId="1" fontId="72" fillId="6" borderId="0" xfId="18" applyNumberFormat="1" applyFont="1" applyFill="1" applyBorder="1" applyAlignment="1" applyProtection="1">
      <alignment horizontal="center" vertical="center"/>
      <protection hidden="1"/>
    </xf>
    <xf numFmtId="0" fontId="120" fillId="6" borderId="0" xfId="22" applyFont="1" applyFill="1" applyBorder="1" applyAlignment="1" applyProtection="1">
      <alignment vertical="center"/>
      <protection hidden="1"/>
    </xf>
    <xf numFmtId="0" fontId="40" fillId="6" borderId="78" xfId="9" applyFont="1" applyFill="1" applyBorder="1" applyAlignment="1" applyProtection="1">
      <alignment horizontal="right" vertical="center"/>
      <protection hidden="1"/>
    </xf>
    <xf numFmtId="0" fontId="122" fillId="6" borderId="29" xfId="18" applyFont="1" applyFill="1" applyBorder="1" applyAlignment="1" applyProtection="1">
      <alignment horizontal="center"/>
      <protection hidden="1"/>
    </xf>
    <xf numFmtId="0" fontId="122" fillId="6" borderId="36" xfId="18" applyFont="1" applyFill="1" applyBorder="1" applyAlignment="1" applyProtection="1">
      <alignment horizontal="center" vertical="center"/>
      <protection hidden="1"/>
    </xf>
    <xf numFmtId="0" fontId="40" fillId="6" borderId="80" xfId="9" applyFont="1" applyFill="1" applyBorder="1" applyAlignment="1" applyProtection="1">
      <alignment horizontal="right" vertical="center"/>
      <protection hidden="1"/>
    </xf>
    <xf numFmtId="0" fontId="40" fillId="6" borderId="79" xfId="9" applyFont="1" applyFill="1" applyBorder="1" applyProtection="1">
      <protection hidden="1"/>
    </xf>
    <xf numFmtId="0" fontId="40" fillId="6" borderId="79" xfId="9" applyFont="1" applyFill="1" applyBorder="1" applyAlignment="1" applyProtection="1">
      <alignment horizontal="right" vertical="center"/>
      <protection hidden="1"/>
    </xf>
    <xf numFmtId="0" fontId="9" fillId="6" borderId="0" xfId="24" applyFill="1" applyProtection="1">
      <protection hidden="1"/>
    </xf>
    <xf numFmtId="0" fontId="124" fillId="6" borderId="0" xfId="22" applyFont="1" applyFill="1" applyAlignment="1" applyProtection="1">
      <alignment wrapText="1"/>
      <protection hidden="1"/>
    </xf>
    <xf numFmtId="0" fontId="125" fillId="6" borderId="0" xfId="22" applyFont="1" applyFill="1" applyAlignment="1" applyProtection="1">
      <alignment vertical="center" wrapText="1"/>
      <protection hidden="1"/>
    </xf>
    <xf numFmtId="0" fontId="74" fillId="6" borderId="0" xfId="22" applyFont="1" applyFill="1" applyAlignment="1" applyProtection="1">
      <alignment vertical="center"/>
      <protection hidden="1"/>
    </xf>
    <xf numFmtId="0" fontId="127" fillId="6" borderId="0" xfId="22" applyFont="1" applyFill="1" applyAlignment="1" applyProtection="1">
      <alignment vertical="center" wrapText="1"/>
      <protection hidden="1"/>
    </xf>
    <xf numFmtId="0" fontId="73" fillId="6" borderId="0" xfId="22" applyFont="1" applyFill="1" applyAlignment="1" applyProtection="1">
      <alignment vertical="center" wrapText="1"/>
      <protection hidden="1"/>
    </xf>
    <xf numFmtId="0" fontId="129" fillId="6" borderId="0" xfId="22" applyFont="1" applyFill="1" applyAlignment="1" applyProtection="1">
      <alignment vertical="center"/>
      <protection hidden="1"/>
    </xf>
    <xf numFmtId="0" fontId="130" fillId="6" borderId="0" xfId="22" applyFont="1" applyFill="1" applyAlignment="1" applyProtection="1">
      <alignment vertical="center"/>
      <protection hidden="1"/>
    </xf>
    <xf numFmtId="0" fontId="130" fillId="6" borderId="0" xfId="22" applyFont="1" applyFill="1" applyAlignment="1" applyProtection="1">
      <protection hidden="1"/>
    </xf>
    <xf numFmtId="0" fontId="132" fillId="0" borderId="0" xfId="9" applyFont="1" applyBorder="1" applyProtection="1">
      <protection hidden="1"/>
    </xf>
    <xf numFmtId="0" fontId="134" fillId="0" borderId="0" xfId="9" applyFont="1" applyBorder="1" applyAlignment="1" applyProtection="1">
      <alignment horizontal="right" vertical="center"/>
      <protection hidden="1"/>
    </xf>
    <xf numFmtId="0" fontId="137" fillId="0" borderId="0" xfId="9" applyFont="1" applyBorder="1" applyAlignment="1" applyProtection="1">
      <alignment vertical="center"/>
      <protection hidden="1"/>
    </xf>
    <xf numFmtId="0" fontId="137" fillId="0" borderId="89" xfId="9" applyFont="1" applyBorder="1" applyAlignment="1" applyProtection="1">
      <alignment horizontal="center" vertical="center"/>
      <protection hidden="1"/>
    </xf>
    <xf numFmtId="0" fontId="139" fillId="0" borderId="92" xfId="9" applyFont="1" applyBorder="1" applyAlignment="1" applyProtection="1">
      <alignment horizontal="center" vertical="center"/>
      <protection hidden="1"/>
    </xf>
    <xf numFmtId="0" fontId="132" fillId="0" borderId="92" xfId="9" applyFont="1" applyBorder="1" applyAlignment="1" applyProtection="1">
      <alignment horizontal="center" vertical="center"/>
      <protection hidden="1"/>
    </xf>
    <xf numFmtId="0" fontId="137" fillId="0" borderId="0" xfId="9" applyFont="1" applyBorder="1" applyAlignment="1" applyProtection="1">
      <protection hidden="1"/>
    </xf>
    <xf numFmtId="0" fontId="137" fillId="0" borderId="92" xfId="9" applyFont="1" applyBorder="1" applyAlignment="1" applyProtection="1">
      <alignment horizontal="center"/>
      <protection hidden="1"/>
    </xf>
    <xf numFmtId="0" fontId="140" fillId="0" borderId="0" xfId="9" applyFont="1" applyBorder="1" applyProtection="1">
      <protection hidden="1"/>
    </xf>
    <xf numFmtId="0" fontId="9" fillId="0" borderId="0" xfId="7" applyFont="1" applyProtection="1">
      <protection hidden="1"/>
    </xf>
    <xf numFmtId="1" fontId="132" fillId="0" borderId="92" xfId="9" applyNumberFormat="1" applyFont="1" applyBorder="1" applyAlignment="1" applyProtection="1">
      <alignment horizontal="center" vertical="center"/>
      <protection hidden="1"/>
    </xf>
    <xf numFmtId="1" fontId="141" fillId="6" borderId="92" xfId="18" applyNumberFormat="1" applyFont="1" applyFill="1" applyBorder="1" applyAlignment="1" applyProtection="1">
      <alignment horizontal="center" vertical="center" wrapText="1"/>
      <protection hidden="1"/>
    </xf>
    <xf numFmtId="0" fontId="132" fillId="0" borderId="0" xfId="9" applyFont="1" applyBorder="1" applyAlignment="1" applyProtection="1">
      <protection hidden="1"/>
    </xf>
    <xf numFmtId="0" fontId="132" fillId="0" borderId="92" xfId="9" applyFont="1" applyBorder="1" applyAlignment="1" applyProtection="1">
      <alignment horizontal="center"/>
      <protection hidden="1"/>
    </xf>
    <xf numFmtId="0" fontId="132" fillId="0" borderId="93" xfId="9" applyFont="1" applyBorder="1" applyAlignment="1" applyProtection="1">
      <alignment horizontal="center"/>
      <protection hidden="1"/>
    </xf>
    <xf numFmtId="0" fontId="1" fillId="0" borderId="0" xfId="20" applyProtection="1">
      <protection hidden="1"/>
    </xf>
    <xf numFmtId="0" fontId="142" fillId="6" borderId="89" xfId="18" applyFont="1" applyFill="1" applyBorder="1" applyAlignment="1" applyProtection="1">
      <alignment horizontal="center" vertical="center" wrapText="1"/>
      <protection hidden="1"/>
    </xf>
    <xf numFmtId="0" fontId="132" fillId="0" borderId="89" xfId="9" applyFont="1" applyBorder="1" applyAlignment="1" applyProtection="1">
      <alignment horizontal="center" vertical="center"/>
      <protection hidden="1"/>
    </xf>
    <xf numFmtId="0" fontId="139" fillId="0" borderId="91" xfId="9" applyFont="1" applyBorder="1" applyAlignment="1" applyProtection="1">
      <alignment vertical="center" wrapText="1"/>
      <protection hidden="1"/>
    </xf>
    <xf numFmtId="0" fontId="139" fillId="0" borderId="89" xfId="9" applyFont="1" applyBorder="1" applyAlignment="1" applyProtection="1">
      <alignment horizontal="center" vertical="center" wrapText="1"/>
      <protection hidden="1"/>
    </xf>
    <xf numFmtId="0" fontId="132" fillId="0" borderId="0" xfId="9" applyFont="1" applyBorder="1" applyAlignment="1" applyProtection="1">
      <alignment vertical="center"/>
      <protection hidden="1"/>
    </xf>
    <xf numFmtId="0" fontId="137" fillId="0" borderId="0" xfId="9" applyFont="1" applyBorder="1" applyAlignment="1" applyProtection="1">
      <alignment vertical="center" wrapText="1"/>
      <protection hidden="1"/>
    </xf>
    <xf numFmtId="0" fontId="133" fillId="0" borderId="0" xfId="20" applyFont="1" applyAlignment="1" applyProtection="1">
      <alignment vertical="center"/>
      <protection hidden="1"/>
    </xf>
    <xf numFmtId="0" fontId="135" fillId="0" borderId="0" xfId="20" applyFont="1" applyAlignment="1" applyProtection="1">
      <alignment horizontal="right" vertical="center"/>
      <protection hidden="1"/>
    </xf>
    <xf numFmtId="0" fontId="93" fillId="0" borderId="0" xfId="9" applyFont="1" applyBorder="1" applyAlignment="1" applyProtection="1">
      <alignment horizontal="center" vertical="center"/>
      <protection hidden="1"/>
    </xf>
    <xf numFmtId="0" fontId="142" fillId="0" borderId="0" xfId="20" applyFont="1" applyBorder="1" applyAlignment="1" applyProtection="1">
      <alignment horizontal="center" vertical="center"/>
      <protection hidden="1"/>
    </xf>
    <xf numFmtId="0" fontId="144" fillId="0" borderId="0" xfId="9" applyFont="1" applyBorder="1" applyAlignment="1" applyProtection="1">
      <alignment horizontal="center" vertical="center"/>
      <protection hidden="1"/>
    </xf>
    <xf numFmtId="0" fontId="146" fillId="0" borderId="0" xfId="20" applyFont="1" applyBorder="1" applyAlignment="1" applyProtection="1">
      <alignment horizontal="center" vertical="center"/>
      <protection hidden="1"/>
    </xf>
    <xf numFmtId="0" fontId="105" fillId="6" borderId="0" xfId="9" applyFont="1" applyFill="1" applyBorder="1" applyAlignment="1" applyProtection="1">
      <alignment horizontal="right" vertical="center"/>
      <protection hidden="1"/>
    </xf>
    <xf numFmtId="10" fontId="105" fillId="6" borderId="0" xfId="9" applyNumberFormat="1" applyFont="1" applyFill="1" applyBorder="1" applyAlignment="1" applyProtection="1">
      <alignment horizontal="right" vertical="center" wrapText="1"/>
      <protection hidden="1"/>
    </xf>
    <xf numFmtId="0" fontId="32" fillId="6" borderId="0" xfId="9" applyFont="1" applyFill="1" applyBorder="1" applyAlignment="1" applyProtection="1">
      <alignment vertical="center"/>
      <protection hidden="1"/>
    </xf>
    <xf numFmtId="10" fontId="82" fillId="6" borderId="0" xfId="5" applyNumberFormat="1" applyFont="1" applyFill="1" applyBorder="1" applyAlignment="1" applyProtection="1">
      <alignment horizontal="center" vertical="center"/>
      <protection hidden="1"/>
    </xf>
    <xf numFmtId="0" fontId="23" fillId="6" borderId="0" xfId="9" applyFont="1" applyFill="1" applyBorder="1" applyAlignment="1" applyProtection="1">
      <alignment horizontal="center" vertical="center"/>
      <protection hidden="1"/>
    </xf>
    <xf numFmtId="0" fontId="149" fillId="0" borderId="36" xfId="20" applyFont="1" applyBorder="1" applyAlignment="1" applyProtection="1">
      <alignment horizontal="center" vertical="center"/>
      <protection hidden="1"/>
    </xf>
    <xf numFmtId="0" fontId="142" fillId="0" borderId="28" xfId="20" applyFont="1" applyBorder="1" applyAlignment="1" applyProtection="1">
      <alignment horizontal="center" vertical="center"/>
      <protection hidden="1"/>
    </xf>
    <xf numFmtId="1" fontId="144" fillId="0" borderId="0" xfId="9" applyNumberFormat="1" applyFont="1" applyBorder="1" applyAlignment="1" applyProtection="1">
      <alignment horizontal="center" vertical="center"/>
      <protection hidden="1"/>
    </xf>
    <xf numFmtId="0" fontId="8" fillId="0" borderId="0" xfId="9" applyBorder="1" applyAlignment="1" applyProtection="1">
      <protection hidden="1"/>
    </xf>
    <xf numFmtId="0" fontId="150" fillId="6" borderId="0" xfId="18" applyFont="1" applyFill="1" applyBorder="1" applyAlignment="1" applyProtection="1">
      <alignment vertical="center" wrapText="1"/>
      <protection hidden="1"/>
    </xf>
    <xf numFmtId="0" fontId="69" fillId="0" borderId="0" xfId="20" applyFont="1" applyAlignment="1" applyProtection="1">
      <alignment vertical="center"/>
      <protection hidden="1"/>
    </xf>
    <xf numFmtId="0" fontId="129" fillId="0" borderId="0" xfId="20" applyFont="1" applyAlignment="1" applyProtection="1">
      <alignment vertical="center" wrapText="1"/>
      <protection hidden="1"/>
    </xf>
    <xf numFmtId="0" fontId="129" fillId="0" borderId="0" xfId="20" applyFont="1" applyAlignment="1" applyProtection="1">
      <alignment horizontal="left" vertical="center" wrapText="1"/>
      <protection hidden="1"/>
    </xf>
    <xf numFmtId="0" fontId="152" fillId="0" borderId="0" xfId="9" applyFont="1" applyBorder="1" applyAlignment="1" applyProtection="1">
      <protection hidden="1"/>
    </xf>
    <xf numFmtId="0" fontId="152" fillId="0" borderId="0" xfId="9" applyFont="1" applyBorder="1" applyAlignment="1" applyProtection="1">
      <alignment horizontal="left"/>
      <protection hidden="1"/>
    </xf>
    <xf numFmtId="0" fontId="132" fillId="22" borderId="0" xfId="9" applyFont="1" applyFill="1" applyBorder="1" applyProtection="1">
      <protection hidden="1"/>
    </xf>
    <xf numFmtId="0" fontId="157" fillId="0" borderId="0" xfId="20" applyFont="1" applyBorder="1" applyAlignment="1" applyProtection="1">
      <alignment vertical="center"/>
      <protection hidden="1"/>
    </xf>
    <xf numFmtId="0" fontId="158" fillId="0" borderId="0" xfId="20" applyFont="1" applyBorder="1" applyAlignment="1" applyProtection="1">
      <alignment vertical="center"/>
      <protection hidden="1"/>
    </xf>
    <xf numFmtId="0" fontId="36" fillId="0" borderId="0" xfId="20" applyFont="1" applyBorder="1" applyAlignment="1" applyProtection="1">
      <alignment vertical="center"/>
      <protection hidden="1"/>
    </xf>
    <xf numFmtId="0" fontId="132" fillId="0" borderId="0" xfId="9" applyFont="1" applyFill="1" applyBorder="1" applyAlignment="1" applyProtection="1">
      <alignment wrapText="1"/>
      <protection hidden="1"/>
    </xf>
    <xf numFmtId="0" fontId="159" fillId="0" borderId="0" xfId="9" applyFont="1" applyFill="1" applyBorder="1" applyAlignment="1" applyProtection="1">
      <alignment vertical="center" wrapText="1"/>
      <protection hidden="1"/>
    </xf>
    <xf numFmtId="1" fontId="124" fillId="6" borderId="0" xfId="7" applyNumberFormat="1" applyFont="1" applyFill="1" applyBorder="1" applyAlignment="1" applyProtection="1">
      <alignment horizontal="center" vertical="center"/>
      <protection hidden="1"/>
    </xf>
    <xf numFmtId="0" fontId="1" fillId="0" borderId="0" xfId="20" applyBorder="1" applyProtection="1">
      <protection hidden="1"/>
    </xf>
    <xf numFmtId="0" fontId="152" fillId="0" borderId="0" xfId="9" applyFont="1" applyBorder="1" applyAlignment="1" applyProtection="1">
      <alignment vertical="center"/>
      <protection hidden="1"/>
    </xf>
    <xf numFmtId="0" fontId="160" fillId="0" borderId="0" xfId="20" applyFont="1" applyBorder="1" applyAlignment="1" applyProtection="1">
      <alignment vertical="center"/>
      <protection hidden="1"/>
    </xf>
    <xf numFmtId="0" fontId="132" fillId="0" borderId="0" xfId="9" applyFont="1" applyFill="1" applyBorder="1" applyAlignment="1" applyProtection="1">
      <alignment vertical="center" wrapText="1"/>
      <protection hidden="1"/>
    </xf>
    <xf numFmtId="0" fontId="161" fillId="0" borderId="0" xfId="9" applyFont="1" applyFill="1" applyBorder="1" applyAlignment="1" applyProtection="1">
      <alignment vertical="center" wrapText="1"/>
      <protection hidden="1"/>
    </xf>
    <xf numFmtId="0" fontId="160" fillId="0" borderId="94" xfId="20" applyFont="1" applyBorder="1" applyAlignment="1" applyProtection="1">
      <alignment vertical="center"/>
      <protection hidden="1"/>
    </xf>
    <xf numFmtId="0" fontId="162" fillId="0" borderId="0" xfId="9" applyFont="1" applyFill="1" applyBorder="1" applyProtection="1">
      <protection hidden="1"/>
    </xf>
    <xf numFmtId="0" fontId="164" fillId="0" borderId="0" xfId="20" applyFont="1" applyAlignment="1" applyProtection="1">
      <alignment horizontal="center" vertical="center"/>
      <protection hidden="1"/>
    </xf>
    <xf numFmtId="0" fontId="164" fillId="0" borderId="0" xfId="20" applyFont="1" applyAlignment="1" applyProtection="1">
      <alignment vertical="center"/>
      <protection hidden="1"/>
    </xf>
    <xf numFmtId="0" fontId="87" fillId="6" borderId="101" xfId="20" applyFont="1" applyFill="1" applyBorder="1" applyAlignment="1" applyProtection="1">
      <alignment horizontal="center" vertical="center"/>
      <protection hidden="1"/>
    </xf>
    <xf numFmtId="0" fontId="165" fillId="0" borderId="0" xfId="9" applyFont="1" applyBorder="1" applyAlignment="1" applyProtection="1">
      <protection hidden="1"/>
    </xf>
    <xf numFmtId="0" fontId="124" fillId="0" borderId="0" xfId="20" applyFont="1" applyAlignment="1" applyProtection="1">
      <alignment vertical="center"/>
      <protection hidden="1"/>
    </xf>
    <xf numFmtId="0" fontId="166" fillId="0" borderId="0" xfId="20" applyFont="1" applyAlignment="1" applyProtection="1">
      <alignment vertical="center"/>
      <protection hidden="1"/>
    </xf>
    <xf numFmtId="0" fontId="167" fillId="0" borderId="0" xfId="20" applyFont="1" applyAlignment="1" applyProtection="1">
      <alignment vertical="center"/>
      <protection hidden="1"/>
    </xf>
    <xf numFmtId="1" fontId="93" fillId="0" borderId="0" xfId="9" applyNumberFormat="1" applyFont="1" applyBorder="1" applyAlignment="1" applyProtection="1">
      <alignment horizontal="center" vertical="center"/>
      <protection hidden="1"/>
    </xf>
    <xf numFmtId="0" fontId="119" fillId="0" borderId="0" xfId="20" applyFont="1" applyAlignment="1" applyProtection="1">
      <alignment horizontal="center" vertical="center" wrapText="1"/>
      <protection hidden="1"/>
    </xf>
    <xf numFmtId="0" fontId="169" fillId="0" borderId="0" xfId="9" applyFont="1" applyBorder="1" applyAlignment="1" applyProtection="1">
      <alignment horizontal="left"/>
      <protection hidden="1"/>
    </xf>
    <xf numFmtId="0" fontId="169" fillId="0" borderId="0" xfId="9" applyFont="1" applyBorder="1" applyAlignment="1" applyProtection="1">
      <protection hidden="1"/>
    </xf>
    <xf numFmtId="0" fontId="170" fillId="0" borderId="0" xfId="9" applyFont="1" applyBorder="1" applyAlignment="1" applyProtection="1">
      <protection hidden="1"/>
    </xf>
    <xf numFmtId="0" fontId="132" fillId="0" borderId="0" xfId="9" applyFont="1" applyFill="1" applyBorder="1" applyAlignment="1" applyProtection="1">
      <protection hidden="1"/>
    </xf>
    <xf numFmtId="0" fontId="172" fillId="0" borderId="0" xfId="9" applyFont="1" applyBorder="1" applyAlignment="1" applyProtection="1">
      <alignment horizontal="left"/>
      <protection hidden="1"/>
    </xf>
    <xf numFmtId="0" fontId="172" fillId="0" borderId="0" xfId="9" applyFont="1" applyBorder="1" applyAlignment="1" applyProtection="1">
      <protection hidden="1"/>
    </xf>
    <xf numFmtId="0" fontId="152" fillId="0" borderId="0" xfId="9" applyFont="1" applyBorder="1" applyProtection="1">
      <protection hidden="1"/>
    </xf>
    <xf numFmtId="0" fontId="119" fillId="0" borderId="0" xfId="9" applyFont="1" applyBorder="1" applyAlignment="1" applyProtection="1">
      <alignment wrapText="1"/>
      <protection hidden="1"/>
    </xf>
    <xf numFmtId="0" fontId="168" fillId="0" borderId="0" xfId="9" applyFont="1" applyBorder="1" applyAlignment="1" applyProtection="1">
      <alignment vertical="center" wrapText="1"/>
      <protection hidden="1"/>
    </xf>
    <xf numFmtId="0" fontId="98" fillId="0" borderId="0" xfId="9" applyFont="1" applyBorder="1" applyAlignment="1" applyProtection="1">
      <protection hidden="1"/>
    </xf>
    <xf numFmtId="14" fontId="98" fillId="0" borderId="0" xfId="9" applyNumberFormat="1" applyFont="1" applyBorder="1" applyAlignment="1" applyProtection="1">
      <alignment vertical="center"/>
      <protection hidden="1"/>
    </xf>
    <xf numFmtId="0" fontId="132" fillId="0" borderId="0" xfId="9" applyFont="1" applyBorder="1" applyAlignment="1" applyProtection="1">
      <alignment horizontal="center"/>
      <protection hidden="1"/>
    </xf>
    <xf numFmtId="0" fontId="176" fillId="0" borderId="0" xfId="9" applyFont="1" applyBorder="1" applyProtection="1">
      <protection hidden="1"/>
    </xf>
    <xf numFmtId="0" fontId="178" fillId="6" borderId="0" xfId="5" applyFont="1" applyFill="1" applyBorder="1" applyAlignment="1" applyProtection="1">
      <alignment vertical="center"/>
      <protection hidden="1"/>
    </xf>
    <xf numFmtId="0" fontId="8" fillId="0" borderId="0" xfId="5" applyProtection="1">
      <protection hidden="1"/>
    </xf>
    <xf numFmtId="0" fontId="180" fillId="6" borderId="0" xfId="20" applyFont="1" applyFill="1" applyBorder="1" applyAlignment="1" applyProtection="1">
      <alignment textRotation="45" wrapText="1"/>
      <protection hidden="1"/>
    </xf>
    <xf numFmtId="0" fontId="81" fillId="6" borderId="30" xfId="9" applyFont="1" applyFill="1" applyBorder="1" applyAlignment="1" applyProtection="1">
      <alignment vertical="center"/>
      <protection hidden="1"/>
    </xf>
    <xf numFmtId="0" fontId="32" fillId="6" borderId="30" xfId="9" applyFont="1" applyFill="1" applyBorder="1" applyAlignment="1" applyProtection="1">
      <alignment vertical="center"/>
      <protection hidden="1"/>
    </xf>
    <xf numFmtId="0" fontId="43" fillId="6" borderId="0" xfId="9" applyFont="1" applyFill="1" applyBorder="1" applyAlignment="1" applyProtection="1">
      <protection hidden="1"/>
    </xf>
    <xf numFmtId="0" fontId="124" fillId="6" borderId="0" xfId="9" applyFont="1" applyFill="1" applyBorder="1" applyAlignment="1" applyProtection="1">
      <alignment horizontal="center" vertical="center"/>
      <protection hidden="1"/>
    </xf>
    <xf numFmtId="0" fontId="124" fillId="0" borderId="0" xfId="9" applyFont="1" applyBorder="1" applyAlignment="1" applyProtection="1">
      <alignment horizontal="center" vertical="center"/>
      <protection hidden="1"/>
    </xf>
    <xf numFmtId="0" fontId="124" fillId="0" borderId="0" xfId="20" applyFont="1" applyBorder="1" applyAlignment="1" applyProtection="1">
      <alignment horizontal="center" vertical="center"/>
      <protection hidden="1"/>
    </xf>
    <xf numFmtId="0" fontId="180" fillId="6" borderId="0" xfId="20" applyFont="1" applyFill="1" applyBorder="1" applyAlignment="1" applyProtection="1">
      <alignment wrapText="1"/>
      <protection hidden="1"/>
    </xf>
    <xf numFmtId="0" fontId="182" fillId="6" borderId="0" xfId="20" applyFont="1" applyFill="1" applyBorder="1" applyAlignment="1" applyProtection="1">
      <alignment wrapText="1"/>
      <protection hidden="1"/>
    </xf>
    <xf numFmtId="0" fontId="146" fillId="0" borderId="28" xfId="20" applyFont="1" applyBorder="1" applyAlignment="1" applyProtection="1">
      <alignment horizontal="center" vertical="center"/>
      <protection hidden="1"/>
    </xf>
    <xf numFmtId="0" fontId="163" fillId="0" borderId="0" xfId="9" applyFont="1" applyBorder="1" applyAlignment="1" applyProtection="1">
      <alignment vertical="center"/>
      <protection hidden="1"/>
    </xf>
    <xf numFmtId="0" fontId="152" fillId="0" borderId="0" xfId="9" applyFont="1" applyBorder="1" applyAlignment="1" applyProtection="1">
      <alignment horizontal="center"/>
      <protection hidden="1"/>
    </xf>
    <xf numFmtId="0" fontId="167" fillId="0" borderId="0" xfId="20" applyFont="1" applyBorder="1" applyAlignment="1" applyProtection="1">
      <alignment horizontal="center" vertical="center"/>
      <protection hidden="1"/>
    </xf>
    <xf numFmtId="0" fontId="167" fillId="0" borderId="0" xfId="20" applyFont="1" applyBorder="1" applyAlignment="1" applyProtection="1">
      <alignment vertical="center"/>
      <protection hidden="1"/>
    </xf>
    <xf numFmtId="0" fontId="84" fillId="0" borderId="0" xfId="20" applyFont="1" applyBorder="1" applyAlignment="1" applyProtection="1">
      <protection hidden="1"/>
    </xf>
    <xf numFmtId="0" fontId="12" fillId="0" borderId="0" xfId="9" applyFont="1" applyFill="1" applyBorder="1" applyAlignment="1" applyProtection="1">
      <alignment wrapText="1"/>
      <protection hidden="1"/>
    </xf>
    <xf numFmtId="0" fontId="131" fillId="6" borderId="101" xfId="20" applyFont="1" applyFill="1" applyBorder="1" applyAlignment="1" applyProtection="1">
      <alignment horizontal="center" vertical="center"/>
      <protection hidden="1"/>
    </xf>
    <xf numFmtId="0" fontId="163" fillId="0" borderId="0" xfId="9" applyFont="1" applyFill="1" applyBorder="1" applyAlignment="1" applyProtection="1">
      <protection hidden="1"/>
    </xf>
    <xf numFmtId="0" fontId="132" fillId="0" borderId="0" xfId="9" applyFont="1" applyFill="1" applyBorder="1" applyProtection="1">
      <protection hidden="1"/>
    </xf>
    <xf numFmtId="0" fontId="130" fillId="0" borderId="0" xfId="20" applyFont="1" applyAlignment="1" applyProtection="1">
      <alignment vertical="center"/>
      <protection hidden="1"/>
    </xf>
    <xf numFmtId="0" fontId="163" fillId="0" borderId="0" xfId="9" applyFont="1" applyFill="1" applyBorder="1" applyAlignment="1" applyProtection="1">
      <alignment vertical="center"/>
      <protection hidden="1"/>
    </xf>
    <xf numFmtId="0" fontId="124" fillId="0" borderId="0" xfId="20" applyFont="1" applyAlignment="1" applyProtection="1">
      <alignment horizontal="center" vertical="center"/>
      <protection hidden="1"/>
    </xf>
    <xf numFmtId="0" fontId="124" fillId="0" borderId="0" xfId="9" applyFont="1" applyFill="1" applyBorder="1" applyAlignment="1" applyProtection="1">
      <alignment vertical="center"/>
      <protection hidden="1"/>
    </xf>
    <xf numFmtId="0" fontId="184" fillId="0" borderId="0" xfId="9" applyFont="1" applyBorder="1" applyAlignment="1" applyProtection="1">
      <alignment vertical="center" wrapText="1"/>
      <protection hidden="1"/>
    </xf>
    <xf numFmtId="0" fontId="178" fillId="6" borderId="0" xfId="9" applyFont="1" applyFill="1" applyBorder="1" applyAlignment="1" applyProtection="1">
      <alignment vertical="center"/>
      <protection hidden="1"/>
    </xf>
    <xf numFmtId="0" fontId="187" fillId="0" borderId="0" xfId="9" applyFont="1" applyBorder="1" applyAlignment="1" applyProtection="1">
      <alignment horizontal="center" vertical="center"/>
      <protection hidden="1"/>
    </xf>
    <xf numFmtId="0" fontId="43" fillId="0" borderId="29" xfId="9" applyFont="1" applyBorder="1" applyAlignment="1" applyProtection="1">
      <alignment horizontal="center" vertical="center"/>
      <protection hidden="1"/>
    </xf>
    <xf numFmtId="0" fontId="8" fillId="6" borderId="0" xfId="9" applyFill="1" applyAlignment="1" applyProtection="1">
      <protection hidden="1"/>
    </xf>
    <xf numFmtId="0" fontId="8" fillId="6" borderId="30" xfId="9" applyFill="1" applyBorder="1" applyAlignment="1" applyProtection="1">
      <protection hidden="1"/>
    </xf>
    <xf numFmtId="10" fontId="23" fillId="0" borderId="111" xfId="9" applyNumberFormat="1" applyFont="1" applyFill="1" applyBorder="1" applyAlignment="1" applyProtection="1">
      <alignment horizontal="center" vertical="center"/>
      <protection hidden="1"/>
    </xf>
    <xf numFmtId="1" fontId="43" fillId="0" borderId="111" xfId="9" applyNumberFormat="1" applyFont="1" applyFill="1" applyBorder="1" applyAlignment="1" applyProtection="1">
      <alignment horizontal="center" vertical="center"/>
      <protection hidden="1"/>
    </xf>
    <xf numFmtId="0" fontId="73" fillId="6" borderId="118" xfId="9" applyFont="1" applyFill="1" applyBorder="1" applyAlignment="1" applyProtection="1">
      <protection hidden="1"/>
    </xf>
    <xf numFmtId="0" fontId="43" fillId="6" borderId="118" xfId="9" applyFont="1" applyFill="1" applyBorder="1" applyAlignment="1" applyProtection="1">
      <protection hidden="1"/>
    </xf>
    <xf numFmtId="0" fontId="73" fillId="6" borderId="30" xfId="9" applyFont="1" applyFill="1" applyBorder="1" applyAlignment="1" applyProtection="1">
      <alignment vertical="center"/>
      <protection hidden="1"/>
    </xf>
    <xf numFmtId="0" fontId="131" fillId="6" borderId="30" xfId="9" applyFont="1" applyFill="1" applyBorder="1" applyAlignment="1" applyProtection="1">
      <alignment vertical="center"/>
      <protection hidden="1"/>
    </xf>
    <xf numFmtId="0" fontId="73" fillId="6" borderId="30" xfId="9" applyNumberFormat="1" applyFont="1" applyFill="1" applyBorder="1" applyAlignment="1" applyProtection="1">
      <alignment vertical="center"/>
      <protection hidden="1"/>
    </xf>
    <xf numFmtId="0" fontId="90" fillId="6" borderId="30" xfId="9" applyFont="1" applyFill="1" applyBorder="1" applyAlignment="1" applyProtection="1">
      <alignment vertical="center"/>
      <protection hidden="1"/>
    </xf>
    <xf numFmtId="1" fontId="43" fillId="6" borderId="30" xfId="9" applyNumberFormat="1" applyFont="1" applyFill="1" applyBorder="1" applyAlignment="1" applyProtection="1">
      <alignment horizontal="center" vertical="center"/>
      <protection hidden="1"/>
    </xf>
    <xf numFmtId="1" fontId="43" fillId="6" borderId="0" xfId="9" applyNumberFormat="1" applyFont="1" applyFill="1" applyBorder="1" applyAlignment="1" applyProtection="1">
      <alignment vertical="center" wrapText="1"/>
      <protection hidden="1"/>
    </xf>
    <xf numFmtId="1" fontId="43" fillId="6" borderId="30" xfId="9" applyNumberFormat="1" applyFont="1" applyFill="1" applyBorder="1" applyAlignment="1" applyProtection="1">
      <alignment vertical="center" wrapText="1"/>
      <protection hidden="1"/>
    </xf>
    <xf numFmtId="0" fontId="8" fillId="6" borderId="30" xfId="9" applyFill="1" applyBorder="1" applyProtection="1">
      <protection hidden="1"/>
    </xf>
    <xf numFmtId="0" fontId="42" fillId="6" borderId="29" xfId="18" applyFont="1" applyFill="1" applyBorder="1" applyAlignment="1" applyProtection="1">
      <alignment horizontal="center"/>
      <protection hidden="1"/>
    </xf>
    <xf numFmtId="0" fontId="23" fillId="6" borderId="45" xfId="9" applyFont="1" applyFill="1" applyBorder="1" applyAlignment="1" applyProtection="1">
      <alignment vertical="top"/>
      <protection hidden="1"/>
    </xf>
    <xf numFmtId="0" fontId="64" fillId="15" borderId="0" xfId="21" applyFont="1" applyFill="1" applyBorder="1" applyAlignment="1" applyProtection="1">
      <alignment vertical="center"/>
      <protection hidden="1"/>
    </xf>
    <xf numFmtId="0" fontId="40" fillId="6" borderId="0" xfId="9" applyFont="1" applyFill="1" applyProtection="1">
      <protection hidden="1"/>
    </xf>
    <xf numFmtId="0" fontId="40" fillId="6" borderId="0" xfId="9" applyFont="1" applyFill="1" applyBorder="1" applyAlignment="1" applyProtection="1">
      <alignment vertical="center"/>
      <protection hidden="1"/>
    </xf>
    <xf numFmtId="0" fontId="64" fillId="6" borderId="0" xfId="21" applyFont="1" applyFill="1" applyBorder="1" applyAlignment="1" applyProtection="1">
      <alignment vertical="center"/>
      <protection hidden="1"/>
    </xf>
    <xf numFmtId="0" fontId="96" fillId="6" borderId="0" xfId="9" applyFont="1" applyFill="1" applyProtection="1">
      <protection hidden="1"/>
    </xf>
    <xf numFmtId="0" fontId="74" fillId="6" borderId="0" xfId="20" applyFont="1" applyFill="1" applyAlignment="1" applyProtection="1">
      <alignment vertical="center"/>
      <protection hidden="1"/>
    </xf>
    <xf numFmtId="0" fontId="8" fillId="0" borderId="0" xfId="9" applyFill="1" applyBorder="1" applyProtection="1">
      <protection hidden="1"/>
    </xf>
    <xf numFmtId="0" fontId="187" fillId="0" borderId="110" xfId="9" applyFont="1" applyBorder="1" applyAlignment="1" applyProtection="1">
      <alignment horizontal="center"/>
      <protection hidden="1"/>
    </xf>
    <xf numFmtId="1" fontId="43" fillId="0" borderId="29" xfId="9" applyNumberFormat="1" applyFont="1" applyBorder="1" applyAlignment="1" applyProtection="1">
      <alignment horizontal="center" vertical="center"/>
      <protection hidden="1"/>
    </xf>
    <xf numFmtId="0" fontId="187" fillId="0" borderId="123" xfId="9" applyFont="1" applyBorder="1" applyAlignment="1" applyProtection="1">
      <alignment horizontal="center"/>
      <protection hidden="1"/>
    </xf>
    <xf numFmtId="0" fontId="88" fillId="6" borderId="31" xfId="15" applyFont="1" applyFill="1" applyBorder="1" applyAlignment="1" applyProtection="1">
      <alignment vertical="center"/>
      <protection hidden="1"/>
    </xf>
    <xf numFmtId="0" fontId="88" fillId="6" borderId="0" xfId="15" applyFont="1" applyFill="1" applyBorder="1" applyAlignment="1" applyProtection="1">
      <alignment vertical="center"/>
      <protection hidden="1"/>
    </xf>
    <xf numFmtId="0" fontId="146" fillId="6" borderId="0" xfId="22" applyFont="1" applyFill="1" applyProtection="1">
      <protection hidden="1"/>
    </xf>
    <xf numFmtId="0" fontId="87" fillId="6" borderId="55" xfId="22" applyFont="1" applyFill="1" applyBorder="1" applyAlignment="1" applyProtection="1">
      <alignment horizontal="center" vertical="center"/>
      <protection hidden="1"/>
    </xf>
    <xf numFmtId="1" fontId="1" fillId="6" borderId="0" xfId="22" applyNumberFormat="1" applyFill="1" applyProtection="1">
      <protection hidden="1"/>
    </xf>
    <xf numFmtId="0" fontId="197" fillId="6" borderId="0" xfId="9" applyFont="1" applyFill="1" applyBorder="1" applyAlignment="1" applyProtection="1">
      <alignment horizontal="center"/>
      <protection hidden="1"/>
    </xf>
    <xf numFmtId="0" fontId="43" fillId="6" borderId="29" xfId="5" applyFont="1" applyFill="1" applyBorder="1" applyAlignment="1" applyProtection="1">
      <alignment horizontal="center" vertical="center"/>
      <protection hidden="1"/>
    </xf>
    <xf numFmtId="0" fontId="197" fillId="6" borderId="0" xfId="9" applyFont="1" applyFill="1" applyBorder="1" applyAlignment="1" applyProtection="1">
      <alignment horizontal="center" vertical="center" wrapText="1"/>
      <protection hidden="1"/>
    </xf>
    <xf numFmtId="10" fontId="82" fillId="6" borderId="0" xfId="5" applyNumberFormat="1" applyFont="1" applyFill="1" applyBorder="1" applyAlignment="1" applyProtection="1">
      <alignment vertical="center" wrapText="1"/>
      <protection hidden="1"/>
    </xf>
    <xf numFmtId="0" fontId="49" fillId="6" borderId="0" xfId="9" applyFont="1" applyFill="1" applyBorder="1" applyAlignment="1" applyProtection="1">
      <alignment vertical="center" wrapText="1"/>
      <protection hidden="1"/>
    </xf>
    <xf numFmtId="0" fontId="164" fillId="6" borderId="0" xfId="22" applyFont="1" applyFill="1" applyAlignment="1" applyProtection="1">
      <protection hidden="1"/>
    </xf>
    <xf numFmtId="0" fontId="164" fillId="6" borderId="30" xfId="22" applyFont="1" applyFill="1" applyBorder="1" applyAlignment="1" applyProtection="1">
      <protection hidden="1"/>
    </xf>
    <xf numFmtId="0" fontId="198" fillId="6" borderId="0" xfId="22" applyFont="1" applyFill="1" applyBorder="1" applyAlignment="1" applyProtection="1">
      <alignment horizontal="center" vertical="center"/>
      <protection hidden="1"/>
    </xf>
    <xf numFmtId="0" fontId="199" fillId="6" borderId="0" xfId="22" applyFont="1" applyFill="1" applyProtection="1">
      <protection hidden="1"/>
    </xf>
    <xf numFmtId="0" fontId="200" fillId="6" borderId="0" xfId="22" applyFont="1" applyFill="1" applyAlignment="1" applyProtection="1">
      <alignment horizontal="right" vertical="center"/>
      <protection hidden="1"/>
    </xf>
    <xf numFmtId="0" fontId="77" fillId="6" borderId="0" xfId="9" applyFont="1" applyFill="1" applyProtection="1">
      <protection hidden="1"/>
    </xf>
    <xf numFmtId="0" fontId="120" fillId="0" borderId="0" xfId="22" applyFont="1" applyBorder="1" applyAlignment="1" applyProtection="1">
      <alignment vertical="center"/>
      <protection hidden="1"/>
    </xf>
    <xf numFmtId="1" fontId="121" fillId="6" borderId="0" xfId="18" applyNumberFormat="1" applyFont="1" applyFill="1" applyBorder="1" applyAlignment="1" applyProtection="1">
      <alignment horizontal="center" vertical="center"/>
      <protection hidden="1"/>
    </xf>
    <xf numFmtId="1" fontId="121" fillId="6" borderId="28" xfId="18" applyNumberFormat="1" applyFont="1" applyFill="1" applyBorder="1" applyAlignment="1" applyProtection="1">
      <alignment horizontal="center" vertical="center"/>
      <protection hidden="1"/>
    </xf>
    <xf numFmtId="1" fontId="45" fillId="6" borderId="77" xfId="18" applyNumberFormat="1" applyFont="1" applyFill="1" applyBorder="1" applyAlignment="1" applyProtection="1">
      <alignment vertical="center" wrapText="1"/>
      <protection hidden="1"/>
    </xf>
    <xf numFmtId="0" fontId="40" fillId="6" borderId="80" xfId="9" applyFont="1" applyFill="1" applyBorder="1" applyAlignment="1" applyProtection="1">
      <alignment horizontal="center"/>
      <protection hidden="1"/>
    </xf>
    <xf numFmtId="0" fontId="1" fillId="6" borderId="0" xfId="22" applyFill="1" applyBorder="1" applyProtection="1">
      <protection hidden="1"/>
    </xf>
    <xf numFmtId="0" fontId="77" fillId="6" borderId="0" xfId="5" applyFont="1" applyFill="1" applyBorder="1" applyProtection="1">
      <protection hidden="1"/>
    </xf>
    <xf numFmtId="0" fontId="187" fillId="0" borderId="0" xfId="5" applyFont="1" applyBorder="1" applyAlignment="1" applyProtection="1">
      <alignment horizontal="center" vertical="center"/>
      <protection hidden="1"/>
    </xf>
    <xf numFmtId="1" fontId="43" fillId="6" borderId="29" xfId="5" applyNumberFormat="1" applyFont="1" applyFill="1" applyBorder="1" applyAlignment="1" applyProtection="1">
      <alignment horizontal="center" vertical="center"/>
      <protection hidden="1"/>
    </xf>
    <xf numFmtId="0" fontId="187" fillId="0" borderId="0" xfId="5" applyFont="1" applyBorder="1" applyAlignment="1" applyProtection="1">
      <alignment horizontal="center"/>
      <protection hidden="1"/>
    </xf>
    <xf numFmtId="0" fontId="40" fillId="6" borderId="134" xfId="5" applyFont="1" applyFill="1" applyBorder="1" applyAlignment="1" applyProtection="1">
      <alignment horizontal="center" vertical="center"/>
      <protection hidden="1"/>
    </xf>
    <xf numFmtId="0" fontId="204" fillId="6" borderId="135" xfId="5" applyFont="1" applyFill="1" applyBorder="1" applyAlignment="1" applyProtection="1">
      <alignment horizontal="center" vertical="center"/>
      <protection hidden="1"/>
    </xf>
    <xf numFmtId="0" fontId="131" fillId="6" borderId="0" xfId="5" applyFont="1" applyFill="1" applyBorder="1" applyAlignment="1" applyProtection="1">
      <alignment vertical="center"/>
      <protection hidden="1"/>
    </xf>
    <xf numFmtId="0" fontId="82" fillId="6" borderId="30" xfId="5" applyFont="1" applyFill="1" applyBorder="1" applyAlignment="1" applyProtection="1">
      <alignment vertical="center"/>
      <protection hidden="1"/>
    </xf>
    <xf numFmtId="10" fontId="82" fillId="6" borderId="30" xfId="5" applyNumberFormat="1" applyFont="1" applyFill="1" applyBorder="1" applyAlignment="1" applyProtection="1">
      <alignment vertical="center"/>
      <protection hidden="1"/>
    </xf>
    <xf numFmtId="0" fontId="23" fillId="6" borderId="30" xfId="9" applyFont="1" applyFill="1" applyBorder="1" applyAlignment="1" applyProtection="1">
      <protection hidden="1"/>
    </xf>
    <xf numFmtId="0" fontId="119" fillId="6" borderId="0" xfId="5" applyFont="1" applyFill="1" applyBorder="1" applyAlignment="1" applyProtection="1">
      <alignment vertical="center"/>
      <protection hidden="1"/>
    </xf>
    <xf numFmtId="0" fontId="87" fillId="6" borderId="0" xfId="5" applyFont="1" applyFill="1" applyBorder="1" applyAlignment="1" applyProtection="1">
      <alignment vertical="center"/>
      <protection hidden="1"/>
    </xf>
    <xf numFmtId="0" fontId="87" fillId="6" borderId="30" xfId="5" applyFont="1" applyFill="1" applyBorder="1" applyAlignment="1" applyProtection="1">
      <alignment vertical="center"/>
      <protection hidden="1"/>
    </xf>
    <xf numFmtId="0" fontId="43" fillId="6" borderId="29" xfId="5" quotePrefix="1" applyFont="1" applyFill="1" applyBorder="1" applyAlignment="1" applyProtection="1">
      <alignment horizontal="center" vertical="center"/>
      <protection hidden="1"/>
    </xf>
    <xf numFmtId="0" fontId="206" fillId="6" borderId="0" xfId="5" applyFont="1" applyFill="1" applyAlignment="1" applyProtection="1">
      <alignment horizontal="right" vertical="center"/>
      <protection hidden="1"/>
    </xf>
    <xf numFmtId="0" fontId="208" fillId="6" borderId="0" xfId="5" applyFont="1" applyFill="1" applyProtection="1">
      <protection hidden="1"/>
    </xf>
    <xf numFmtId="0" fontId="209" fillId="6" borderId="0" xfId="20" applyFont="1" applyFill="1" applyAlignment="1" applyProtection="1">
      <alignment horizontal="center"/>
      <protection hidden="1"/>
    </xf>
    <xf numFmtId="0" fontId="211" fillId="6" borderId="0" xfId="18" applyFont="1" applyFill="1" applyBorder="1" applyAlignment="1" applyProtection="1">
      <alignment vertical="center"/>
      <protection hidden="1"/>
    </xf>
    <xf numFmtId="0" fontId="43" fillId="6" borderId="145" xfId="5" applyFont="1" applyFill="1" applyBorder="1" applyAlignment="1" applyProtection="1">
      <alignment vertical="center"/>
      <protection hidden="1"/>
    </xf>
    <xf numFmtId="0" fontId="43" fillId="6" borderId="0" xfId="5" applyFont="1" applyFill="1" applyBorder="1" applyAlignment="1" applyProtection="1">
      <alignment vertical="center"/>
      <protection hidden="1"/>
    </xf>
    <xf numFmtId="0" fontId="40" fillId="6" borderId="144" xfId="5" applyFont="1" applyFill="1" applyBorder="1" applyProtection="1">
      <protection hidden="1"/>
    </xf>
    <xf numFmtId="0" fontId="40" fillId="6" borderId="146" xfId="5" applyFont="1" applyFill="1" applyBorder="1" applyAlignment="1" applyProtection="1">
      <alignment horizontal="right" vertical="center"/>
      <protection hidden="1"/>
    </xf>
    <xf numFmtId="0" fontId="40" fillId="6" borderId="147" xfId="5" applyFont="1" applyFill="1" applyBorder="1" applyAlignment="1" applyProtection="1">
      <alignment vertical="center"/>
      <protection hidden="1"/>
    </xf>
    <xf numFmtId="0" fontId="212" fillId="6" borderId="147" xfId="5" applyFont="1" applyFill="1" applyBorder="1" applyProtection="1">
      <protection hidden="1"/>
    </xf>
    <xf numFmtId="14" fontId="98" fillId="6" borderId="0" xfId="9" applyNumberFormat="1" applyFont="1" applyFill="1" applyBorder="1" applyAlignment="1" applyProtection="1">
      <alignment vertical="center"/>
      <protection hidden="1"/>
    </xf>
    <xf numFmtId="0" fontId="8" fillId="6" borderId="0" xfId="5" applyFill="1" applyBorder="1" applyProtection="1">
      <protection hidden="1"/>
    </xf>
    <xf numFmtId="0" fontId="135" fillId="0" borderId="0" xfId="29" applyFont="1" applyAlignment="1" applyProtection="1">
      <alignment horizontal="right" vertical="center"/>
      <protection hidden="1"/>
    </xf>
    <xf numFmtId="1" fontId="121" fillId="6" borderId="148" xfId="29" applyNumberFormat="1" applyFont="1" applyFill="1" applyBorder="1" applyAlignment="1" applyProtection="1">
      <alignment horizontal="center" vertical="center"/>
      <protection hidden="1"/>
    </xf>
    <xf numFmtId="0" fontId="133" fillId="0" borderId="0" xfId="29" applyFont="1" applyAlignment="1" applyProtection="1">
      <alignment vertical="center"/>
      <protection hidden="1"/>
    </xf>
    <xf numFmtId="0" fontId="109" fillId="6" borderId="151" xfId="29" applyFont="1" applyFill="1" applyBorder="1" applyAlignment="1" applyProtection="1">
      <alignment horizontal="center" vertical="center"/>
      <protection hidden="1"/>
    </xf>
    <xf numFmtId="10" fontId="51" fillId="6" borderId="0" xfId="20" applyNumberFormat="1" applyFont="1" applyFill="1" applyBorder="1" applyAlignment="1" applyProtection="1">
      <alignment vertical="center" wrapText="1"/>
      <protection hidden="1"/>
    </xf>
    <xf numFmtId="1" fontId="121" fillId="6" borderId="152" xfId="29" applyNumberFormat="1" applyFont="1" applyFill="1" applyBorder="1" applyAlignment="1" applyProtection="1">
      <alignment horizontal="center" vertical="center"/>
      <protection hidden="1"/>
    </xf>
    <xf numFmtId="0" fontId="109" fillId="6" borderId="153" xfId="29" applyFont="1" applyFill="1" applyBorder="1" applyAlignment="1" applyProtection="1">
      <alignment horizontal="center" vertical="center"/>
      <protection hidden="1"/>
    </xf>
    <xf numFmtId="0" fontId="121" fillId="6" borderId="152" xfId="29" applyFont="1" applyFill="1" applyBorder="1" applyAlignment="1" applyProtection="1">
      <alignment horizontal="center" vertical="center"/>
      <protection hidden="1"/>
    </xf>
    <xf numFmtId="0" fontId="109" fillId="6" borderId="154" xfId="29" applyFont="1" applyFill="1" applyBorder="1" applyAlignment="1" applyProtection="1">
      <alignment horizontal="center" vertical="center"/>
      <protection hidden="1"/>
    </xf>
    <xf numFmtId="0" fontId="49" fillId="6" borderId="0" xfId="20" applyFont="1" applyFill="1" applyBorder="1" applyAlignment="1" applyProtection="1">
      <alignment vertical="center" wrapText="1"/>
      <protection hidden="1"/>
    </xf>
    <xf numFmtId="0" fontId="121" fillId="6" borderId="155" xfId="29" applyFont="1" applyFill="1" applyBorder="1" applyAlignment="1" applyProtection="1">
      <alignment horizontal="center" vertical="center"/>
      <protection hidden="1"/>
    </xf>
    <xf numFmtId="0" fontId="40" fillId="6" borderId="0" xfId="9" applyFont="1" applyFill="1" applyBorder="1" applyAlignment="1" applyProtection="1">
      <protection hidden="1"/>
    </xf>
    <xf numFmtId="0" fontId="146" fillId="0" borderId="0" xfId="29" applyFont="1" applyBorder="1" applyAlignment="1" applyProtection="1">
      <alignment horizontal="center" vertical="center"/>
      <protection hidden="1"/>
    </xf>
    <xf numFmtId="0" fontId="146" fillId="0" borderId="28" xfId="29" applyFont="1" applyBorder="1" applyAlignment="1" applyProtection="1">
      <alignment horizontal="center" vertical="center"/>
      <protection hidden="1"/>
    </xf>
    <xf numFmtId="0" fontId="1" fillId="0" borderId="0" xfId="29" applyProtection="1">
      <protection hidden="1"/>
    </xf>
    <xf numFmtId="0" fontId="129" fillId="0" borderId="0" xfId="29" applyFont="1" applyAlignment="1" applyProtection="1">
      <alignment vertical="center" wrapText="1"/>
      <protection hidden="1"/>
    </xf>
    <xf numFmtId="0" fontId="129" fillId="0" borderId="0" xfId="29" applyFont="1" applyAlignment="1" applyProtection="1">
      <alignment horizontal="left" vertical="center" wrapText="1"/>
      <protection hidden="1"/>
    </xf>
    <xf numFmtId="0" fontId="167" fillId="0" borderId="0" xfId="29" applyFont="1" applyBorder="1" applyAlignment="1" applyProtection="1">
      <alignment horizontal="center" vertical="center"/>
      <protection hidden="1"/>
    </xf>
    <xf numFmtId="0" fontId="167" fillId="0" borderId="0" xfId="29" applyFont="1" applyBorder="1" applyAlignment="1" applyProtection="1">
      <alignment vertical="center"/>
      <protection hidden="1"/>
    </xf>
    <xf numFmtId="0" fontId="84" fillId="0" borderId="0" xfId="29" applyFont="1" applyBorder="1" applyAlignment="1" applyProtection="1">
      <protection hidden="1"/>
    </xf>
    <xf numFmtId="0" fontId="36" fillId="0" borderId="0" xfId="29" applyFont="1" applyBorder="1" applyAlignment="1" applyProtection="1">
      <alignment vertical="center"/>
      <protection hidden="1"/>
    </xf>
    <xf numFmtId="0" fontId="158" fillId="0" borderId="0" xfId="29" applyFont="1" applyBorder="1" applyAlignment="1" applyProtection="1">
      <alignment vertical="center"/>
      <protection hidden="1"/>
    </xf>
    <xf numFmtId="0" fontId="131" fillId="6" borderId="101" xfId="29" applyFont="1" applyFill="1" applyBorder="1" applyAlignment="1" applyProtection="1">
      <alignment horizontal="center" vertical="center"/>
      <protection hidden="1"/>
    </xf>
    <xf numFmtId="0" fontId="164" fillId="0" borderId="0" xfId="29" applyFont="1" applyAlignment="1" applyProtection="1">
      <alignment horizontal="center" vertical="center"/>
      <protection hidden="1"/>
    </xf>
    <xf numFmtId="0" fontId="130" fillId="0" borderId="0" xfId="29" applyFont="1" applyAlignment="1" applyProtection="1">
      <alignment vertical="center"/>
      <protection hidden="1"/>
    </xf>
    <xf numFmtId="0" fontId="124" fillId="0" borderId="0" xfId="29" applyFont="1" applyAlignment="1" applyProtection="1">
      <alignment horizontal="center" vertical="center"/>
      <protection hidden="1"/>
    </xf>
    <xf numFmtId="0" fontId="38" fillId="6" borderId="0" xfId="20" applyFont="1" applyFill="1" applyBorder="1" applyAlignment="1" applyProtection="1">
      <alignment vertical="center"/>
      <protection hidden="1"/>
    </xf>
    <xf numFmtId="1" fontId="87" fillId="6" borderId="51" xfId="20" applyNumberFormat="1" applyFont="1" applyFill="1" applyBorder="1" applyAlignment="1" applyProtection="1">
      <alignment horizontal="center" vertical="center"/>
      <protection hidden="1"/>
    </xf>
    <xf numFmtId="0" fontId="87" fillId="6" borderId="52" xfId="20" applyFont="1" applyFill="1" applyBorder="1" applyAlignment="1" applyProtection="1">
      <alignment horizontal="right" vertical="center"/>
      <protection hidden="1"/>
    </xf>
    <xf numFmtId="1" fontId="87" fillId="6" borderId="55" xfId="20" applyNumberFormat="1" applyFont="1" applyFill="1" applyBorder="1" applyAlignment="1" applyProtection="1">
      <alignment horizontal="center" vertical="center"/>
      <protection hidden="1"/>
    </xf>
    <xf numFmtId="0" fontId="87" fillId="6" borderId="56" xfId="20" applyFont="1" applyFill="1" applyBorder="1" applyAlignment="1" applyProtection="1">
      <alignment horizontal="right" vertical="center"/>
      <protection hidden="1"/>
    </xf>
    <xf numFmtId="0" fontId="14" fillId="6" borderId="59" xfId="9" applyFont="1" applyFill="1" applyBorder="1" applyAlignment="1" applyProtection="1">
      <protection hidden="1"/>
    </xf>
    <xf numFmtId="10" fontId="1" fillId="6" borderId="0" xfId="20" applyNumberFormat="1" applyFill="1" applyProtection="1">
      <protection hidden="1"/>
    </xf>
    <xf numFmtId="0" fontId="14" fillId="6" borderId="0" xfId="9" applyFont="1" applyFill="1" applyAlignment="1" applyProtection="1">
      <protection hidden="1"/>
    </xf>
    <xf numFmtId="0" fontId="87" fillId="6" borderId="55" xfId="20" applyFont="1" applyFill="1" applyBorder="1" applyAlignment="1" applyProtection="1">
      <alignment horizontal="center" vertical="center"/>
      <protection hidden="1"/>
    </xf>
    <xf numFmtId="0" fontId="87" fillId="6" borderId="62" xfId="20" applyFont="1" applyFill="1" applyBorder="1" applyAlignment="1" applyProtection="1">
      <alignment horizontal="center" vertical="center"/>
      <protection hidden="1"/>
    </xf>
    <xf numFmtId="0" fontId="87" fillId="6" borderId="63" xfId="20" applyFont="1" applyFill="1" applyBorder="1" applyProtection="1">
      <protection hidden="1"/>
    </xf>
    <xf numFmtId="0" fontId="87" fillId="6" borderId="63" xfId="20" applyFont="1" applyFill="1" applyBorder="1" applyAlignment="1" applyProtection="1">
      <alignment horizontal="center" vertical="center"/>
      <protection hidden="1"/>
    </xf>
    <xf numFmtId="0" fontId="102" fillId="6" borderId="64" xfId="20" applyFont="1" applyFill="1" applyBorder="1" applyProtection="1">
      <protection hidden="1"/>
    </xf>
    <xf numFmtId="0" fontId="215" fillId="6" borderId="0" xfId="9" applyFont="1" applyFill="1" applyBorder="1" applyAlignment="1" applyProtection="1">
      <alignment horizontal="center"/>
      <protection hidden="1"/>
    </xf>
    <xf numFmtId="1" fontId="35" fillId="6" borderId="29" xfId="20" applyNumberFormat="1" applyFont="1" applyFill="1" applyBorder="1" applyAlignment="1" applyProtection="1">
      <alignment horizontal="center" vertical="center"/>
      <protection hidden="1"/>
    </xf>
    <xf numFmtId="1" fontId="35" fillId="6" borderId="36" xfId="20" applyNumberFormat="1" applyFont="1" applyFill="1" applyBorder="1" applyAlignment="1" applyProtection="1">
      <alignment horizontal="center" vertical="center"/>
      <protection hidden="1"/>
    </xf>
    <xf numFmtId="0" fontId="105" fillId="6" borderId="30" xfId="9" applyFont="1" applyFill="1" applyBorder="1" applyAlignment="1" applyProtection="1">
      <alignment horizontal="right" vertical="center"/>
      <protection hidden="1"/>
    </xf>
    <xf numFmtId="10" fontId="105" fillId="6" borderId="30" xfId="9" applyNumberFormat="1" applyFont="1" applyFill="1" applyBorder="1" applyAlignment="1" applyProtection="1">
      <alignment horizontal="right" vertical="center" wrapText="1"/>
      <protection hidden="1"/>
    </xf>
    <xf numFmtId="0" fontId="105" fillId="6" borderId="30" xfId="9" applyFont="1" applyFill="1" applyBorder="1" applyAlignment="1" applyProtection="1">
      <alignment horizontal="right" vertical="center" wrapText="1"/>
      <protection hidden="1"/>
    </xf>
    <xf numFmtId="0" fontId="1" fillId="6" borderId="0" xfId="20" applyFill="1" applyBorder="1" applyProtection="1">
      <protection hidden="1"/>
    </xf>
    <xf numFmtId="0" fontId="35" fillId="6" borderId="29" xfId="20" applyFont="1" applyFill="1" applyBorder="1" applyAlignment="1" applyProtection="1">
      <alignment horizontal="center"/>
      <protection hidden="1"/>
    </xf>
    <xf numFmtId="0" fontId="35" fillId="6" borderId="36" xfId="20" applyFont="1" applyFill="1" applyBorder="1" applyAlignment="1" applyProtection="1">
      <alignment horizontal="center" vertical="center"/>
      <protection hidden="1"/>
    </xf>
    <xf numFmtId="0" fontId="216" fillId="6" borderId="0" xfId="20" applyFont="1" applyFill="1" applyAlignment="1" applyProtection="1">
      <alignment horizontal="center" vertical="center"/>
      <protection hidden="1"/>
    </xf>
    <xf numFmtId="0" fontId="216" fillId="6" borderId="0" xfId="20" applyFont="1" applyFill="1" applyProtection="1">
      <protection hidden="1"/>
    </xf>
    <xf numFmtId="0" fontId="1" fillId="6" borderId="0" xfId="20" applyFont="1" applyFill="1" applyProtection="1">
      <protection hidden="1"/>
    </xf>
    <xf numFmtId="0" fontId="110" fillId="6" borderId="0" xfId="20" applyFont="1" applyFill="1" applyProtection="1">
      <protection hidden="1"/>
    </xf>
    <xf numFmtId="0" fontId="112" fillId="6" borderId="0" xfId="20" applyFont="1" applyFill="1" applyAlignment="1" applyProtection="1">
      <alignment horizontal="right" vertical="center"/>
      <protection hidden="1"/>
    </xf>
    <xf numFmtId="0" fontId="92" fillId="6" borderId="0" xfId="20" applyFont="1" applyFill="1" applyBorder="1" applyAlignment="1" applyProtection="1">
      <protection hidden="1"/>
    </xf>
    <xf numFmtId="0" fontId="217" fillId="6" borderId="0" xfId="9" applyFont="1" applyFill="1" applyProtection="1">
      <protection hidden="1"/>
    </xf>
    <xf numFmtId="0" fontId="93" fillId="6" borderId="0" xfId="9" applyFont="1" applyFill="1" applyBorder="1" applyProtection="1">
      <protection hidden="1"/>
    </xf>
    <xf numFmtId="0" fontId="218" fillId="6" borderId="0" xfId="9" applyFont="1" applyFill="1" applyBorder="1" applyAlignment="1" applyProtection="1">
      <alignment vertical="center"/>
      <protection hidden="1"/>
    </xf>
    <xf numFmtId="0" fontId="120" fillId="0" borderId="0" xfId="20" applyFont="1" applyBorder="1" applyAlignment="1" applyProtection="1">
      <alignment vertical="center"/>
      <protection hidden="1"/>
    </xf>
    <xf numFmtId="0" fontId="40" fillId="6" borderId="80" xfId="9" applyFont="1" applyFill="1" applyBorder="1" applyAlignment="1" applyProtection="1">
      <alignment vertical="center"/>
      <protection hidden="1"/>
    </xf>
    <xf numFmtId="0" fontId="124" fillId="6" borderId="0" xfId="20" applyFont="1" applyFill="1" applyAlignment="1" applyProtection="1">
      <alignment wrapText="1"/>
      <protection hidden="1"/>
    </xf>
    <xf numFmtId="0" fontId="125" fillId="6" borderId="0" xfId="20" applyFont="1" applyFill="1" applyAlignment="1" applyProtection="1">
      <alignment vertical="center" wrapText="1"/>
      <protection hidden="1"/>
    </xf>
    <xf numFmtId="0" fontId="127" fillId="6" borderId="0" xfId="20" applyFont="1" applyFill="1" applyAlignment="1" applyProtection="1">
      <alignment vertical="center" wrapText="1"/>
      <protection hidden="1"/>
    </xf>
    <xf numFmtId="0" fontId="73" fillId="6" borderId="0" xfId="20" applyFont="1" applyFill="1" applyAlignment="1" applyProtection="1">
      <alignment vertical="center" wrapText="1"/>
      <protection hidden="1"/>
    </xf>
    <xf numFmtId="0" fontId="129" fillId="6" borderId="0" xfId="20" applyFont="1" applyFill="1" applyAlignment="1" applyProtection="1">
      <alignment vertical="center"/>
      <protection hidden="1"/>
    </xf>
    <xf numFmtId="0" fontId="130" fillId="6" borderId="0" xfId="20" applyFont="1" applyFill="1" applyAlignment="1" applyProtection="1">
      <alignment vertical="center"/>
      <protection hidden="1"/>
    </xf>
    <xf numFmtId="0" fontId="130" fillId="6" borderId="0" xfId="20" applyFont="1" applyFill="1" applyAlignment="1" applyProtection="1">
      <protection hidden="1"/>
    </xf>
    <xf numFmtId="0" fontId="220" fillId="6" borderId="0" xfId="18" applyFont="1" applyFill="1" applyBorder="1" applyAlignment="1" applyProtection="1">
      <alignment vertical="center"/>
      <protection hidden="1"/>
    </xf>
    <xf numFmtId="0" fontId="179" fillId="0" borderId="0" xfId="9" applyFont="1" applyProtection="1">
      <protection hidden="1"/>
    </xf>
    <xf numFmtId="1" fontId="186" fillId="6" borderId="0" xfId="9" applyNumberFormat="1" applyFont="1" applyFill="1" applyBorder="1" applyAlignment="1" applyProtection="1">
      <alignment vertical="center" textRotation="45" wrapText="1"/>
      <protection hidden="1"/>
    </xf>
    <xf numFmtId="0" fontId="221" fillId="6" borderId="0" xfId="18" applyFont="1" applyFill="1" applyBorder="1" applyAlignment="1" applyProtection="1">
      <alignment horizontal="center" vertical="center"/>
      <protection hidden="1"/>
    </xf>
    <xf numFmtId="0" fontId="222" fillId="6" borderId="0" xfId="18" applyFont="1" applyFill="1" applyBorder="1" applyAlignment="1" applyProtection="1">
      <alignment horizontal="center" vertical="center"/>
      <protection hidden="1"/>
    </xf>
    <xf numFmtId="0" fontId="44" fillId="6" borderId="0" xfId="18" applyFont="1" applyFill="1" applyBorder="1" applyAlignment="1" applyProtection="1">
      <alignment horizontal="center" vertical="center"/>
      <protection hidden="1"/>
    </xf>
    <xf numFmtId="0" fontId="47" fillId="6" borderId="23" xfId="18" applyFont="1" applyFill="1" applyBorder="1" applyAlignment="1" applyProtection="1">
      <alignment vertical="center"/>
      <protection hidden="1"/>
    </xf>
    <xf numFmtId="0" fontId="47" fillId="6" borderId="20" xfId="18" applyFont="1" applyFill="1" applyBorder="1" applyAlignment="1" applyProtection="1">
      <alignment vertical="center"/>
      <protection hidden="1"/>
    </xf>
    <xf numFmtId="0" fontId="47" fillId="6" borderId="21" xfId="18" applyFont="1" applyFill="1" applyBorder="1" applyAlignment="1" applyProtection="1">
      <alignment horizontal="center" vertical="center"/>
      <protection hidden="1"/>
    </xf>
    <xf numFmtId="0" fontId="48" fillId="6" borderId="22" xfId="9" applyFont="1" applyFill="1" applyBorder="1" applyAlignment="1" applyProtection="1">
      <alignment horizontal="right" vertical="center"/>
      <protection hidden="1"/>
    </xf>
    <xf numFmtId="0" fontId="223" fillId="0" borderId="30" xfId="18" applyFont="1" applyBorder="1" applyAlignment="1" applyProtection="1">
      <alignment horizontal="center"/>
      <protection hidden="1"/>
    </xf>
    <xf numFmtId="0" fontId="223" fillId="0" borderId="36" xfId="18" applyFont="1" applyBorder="1" applyAlignment="1" applyProtection="1">
      <alignment horizontal="center"/>
      <protection hidden="1"/>
    </xf>
    <xf numFmtId="0" fontId="42" fillId="6" borderId="158" xfId="18" applyFont="1" applyFill="1" applyBorder="1" applyAlignment="1" applyProtection="1">
      <alignment horizontal="center" vertical="center"/>
      <protection hidden="1"/>
    </xf>
    <xf numFmtId="1" fontId="42" fillId="6" borderId="158" xfId="18" applyNumberFormat="1" applyFont="1" applyFill="1" applyBorder="1" applyAlignment="1" applyProtection="1">
      <alignment horizontal="center" vertical="center"/>
      <protection hidden="1"/>
    </xf>
    <xf numFmtId="0" fontId="43" fillId="6" borderId="158" xfId="9" applyFont="1" applyFill="1" applyBorder="1" applyAlignment="1" applyProtection="1">
      <alignment horizontal="center" vertical="center"/>
      <protection hidden="1"/>
    </xf>
    <xf numFmtId="1" fontId="42" fillId="6" borderId="29" xfId="18" applyNumberFormat="1" applyFont="1" applyFill="1" applyBorder="1" applyAlignment="1" applyProtection="1">
      <alignment horizontal="center" vertical="center"/>
      <protection hidden="1"/>
    </xf>
    <xf numFmtId="0" fontId="43" fillId="6" borderId="33" xfId="9" applyFont="1" applyFill="1" applyBorder="1" applyAlignment="1" applyProtection="1">
      <alignment horizontal="center" vertical="center"/>
      <protection hidden="1"/>
    </xf>
    <xf numFmtId="0" fontId="45" fillId="6" borderId="29" xfId="18" applyFont="1" applyFill="1" applyBorder="1" applyAlignment="1" applyProtection="1">
      <alignment horizontal="center"/>
      <protection hidden="1"/>
    </xf>
    <xf numFmtId="0" fontId="23" fillId="6" borderId="29" xfId="9" applyFont="1" applyFill="1" applyBorder="1" applyAlignment="1" applyProtection="1">
      <alignment horizontal="center" vertical="center"/>
      <protection hidden="1"/>
    </xf>
    <xf numFmtId="0" fontId="43" fillId="6" borderId="140" xfId="9" applyFont="1" applyFill="1" applyBorder="1" applyAlignment="1" applyProtection="1">
      <alignment horizontal="center" vertical="center"/>
      <protection hidden="1"/>
    </xf>
    <xf numFmtId="0" fontId="45" fillId="6" borderId="140" xfId="18" applyFont="1" applyFill="1" applyBorder="1" applyAlignment="1" applyProtection="1">
      <alignment horizontal="center"/>
      <protection hidden="1"/>
    </xf>
    <xf numFmtId="0" fontId="223" fillId="0" borderId="143" xfId="18" applyFont="1" applyBorder="1" applyAlignment="1" applyProtection="1">
      <alignment horizontal="center"/>
      <protection hidden="1"/>
    </xf>
    <xf numFmtId="0" fontId="59" fillId="0" borderId="0" xfId="9" applyFont="1" applyBorder="1" applyAlignment="1" applyProtection="1">
      <alignment horizontal="right"/>
      <protection hidden="1"/>
    </xf>
    <xf numFmtId="0" fontId="45" fillId="0" borderId="0" xfId="18" applyFont="1" applyBorder="1" applyAlignment="1" applyProtection="1">
      <alignment vertical="center" wrapText="1"/>
      <protection hidden="1"/>
    </xf>
    <xf numFmtId="0" fontId="43" fillId="6" borderId="0" xfId="9" applyFont="1" applyFill="1" applyBorder="1" applyAlignment="1" applyProtection="1">
      <alignment horizontal="right" vertical="center" wrapText="1"/>
      <protection hidden="1"/>
    </xf>
    <xf numFmtId="0" fontId="70" fillId="6" borderId="0" xfId="9" applyFont="1" applyFill="1" applyBorder="1" applyAlignment="1" applyProtection="1">
      <alignment vertical="center"/>
      <protection hidden="1"/>
    </xf>
    <xf numFmtId="0" fontId="76" fillId="31" borderId="41" xfId="9" applyFont="1" applyFill="1" applyBorder="1" applyAlignment="1" applyProtection="1">
      <alignment vertical="center"/>
      <protection hidden="1"/>
    </xf>
    <xf numFmtId="0" fontId="76" fillId="31" borderId="0" xfId="9" applyFont="1" applyFill="1" applyBorder="1" applyAlignment="1" applyProtection="1">
      <alignment vertical="center"/>
      <protection hidden="1"/>
    </xf>
    <xf numFmtId="0" fontId="40" fillId="6" borderId="40" xfId="9" applyFont="1" applyFill="1" applyBorder="1" applyProtection="1">
      <protection hidden="1"/>
    </xf>
    <xf numFmtId="0" fontId="40" fillId="6" borderId="38" xfId="9" applyFont="1" applyFill="1" applyBorder="1" applyAlignment="1" applyProtection="1">
      <alignment vertical="center"/>
      <protection hidden="1"/>
    </xf>
    <xf numFmtId="0" fontId="96" fillId="6" borderId="38" xfId="9" applyFont="1" applyFill="1" applyBorder="1" applyProtection="1">
      <protection hidden="1"/>
    </xf>
    <xf numFmtId="0" fontId="226" fillId="6" borderId="29" xfId="18" applyFont="1" applyFill="1" applyBorder="1" applyAlignment="1" applyProtection="1">
      <alignment horizontal="center" vertical="center"/>
      <protection hidden="1"/>
    </xf>
    <xf numFmtId="1" fontId="42" fillId="0" borderId="140" xfId="18" applyNumberFormat="1" applyFont="1" applyBorder="1" applyAlignment="1" applyProtection="1">
      <alignment horizontal="center" vertical="center"/>
      <protection hidden="1"/>
    </xf>
    <xf numFmtId="0" fontId="43" fillId="0" borderId="140" xfId="9" applyFont="1" applyBorder="1" applyAlignment="1" applyProtection="1">
      <alignment horizontal="center" vertical="center"/>
      <protection hidden="1"/>
    </xf>
    <xf numFmtId="0" fontId="45" fillId="0" borderId="140" xfId="18" applyFont="1" applyBorder="1" applyAlignment="1" applyProtection="1">
      <alignment horizontal="center"/>
      <protection hidden="1"/>
    </xf>
    <xf numFmtId="0" fontId="43" fillId="6" borderId="40" xfId="9" applyFont="1" applyFill="1" applyBorder="1" applyProtection="1">
      <protection hidden="1"/>
    </xf>
    <xf numFmtId="0" fontId="220" fillId="0" borderId="0" xfId="18" applyFont="1" applyBorder="1" applyAlignment="1" applyProtection="1">
      <alignment vertical="center"/>
      <protection hidden="1"/>
    </xf>
    <xf numFmtId="0" fontId="230" fillId="6" borderId="18" xfId="18" applyFont="1" applyFill="1" applyBorder="1" applyAlignment="1" applyProtection="1">
      <alignment vertical="center"/>
      <protection hidden="1"/>
    </xf>
    <xf numFmtId="0" fontId="232" fillId="6" borderId="18" xfId="18" applyFont="1" applyFill="1" applyBorder="1" applyAlignment="1" applyProtection="1">
      <alignment horizontal="center" vertical="center"/>
      <protection hidden="1"/>
    </xf>
    <xf numFmtId="0" fontId="233" fillId="6" borderId="19" xfId="20" applyFont="1" applyFill="1" applyBorder="1" applyAlignment="1" applyProtection="1">
      <alignment horizontal="right" vertical="center"/>
      <protection hidden="1"/>
    </xf>
    <xf numFmtId="0" fontId="45" fillId="0" borderId="36" xfId="18" applyFont="1" applyBorder="1" applyAlignment="1" applyProtection="1">
      <alignment horizontal="center"/>
      <protection hidden="1"/>
    </xf>
    <xf numFmtId="0" fontId="17" fillId="6" borderId="0" xfId="28" applyFont="1" applyFill="1" applyBorder="1" applyAlignment="1" applyProtection="1">
      <protection hidden="1"/>
    </xf>
    <xf numFmtId="10" fontId="82" fillId="6" borderId="0" xfId="5" applyNumberFormat="1" applyFont="1" applyFill="1" applyBorder="1" applyAlignment="1" applyProtection="1">
      <alignment vertical="center"/>
      <protection hidden="1"/>
    </xf>
    <xf numFmtId="0" fontId="42" fillId="6" borderId="28" xfId="18" applyFont="1" applyFill="1" applyBorder="1" applyAlignment="1" applyProtection="1">
      <alignment horizontal="center"/>
      <protection hidden="1"/>
    </xf>
    <xf numFmtId="0" fontId="43" fillId="6" borderId="28" xfId="20" applyFont="1" applyFill="1" applyBorder="1" applyAlignment="1" applyProtection="1">
      <alignment horizontal="center" vertical="center"/>
      <protection hidden="1"/>
    </xf>
    <xf numFmtId="1" fontId="122" fillId="0" borderId="29" xfId="18" applyNumberFormat="1" applyFont="1" applyBorder="1" applyAlignment="1" applyProtection="1">
      <alignment horizontal="center"/>
      <protection hidden="1"/>
    </xf>
    <xf numFmtId="0" fontId="109" fillId="0" borderId="29" xfId="18" applyFont="1" applyBorder="1" applyAlignment="1" applyProtection="1">
      <alignment horizontal="center"/>
      <protection hidden="1"/>
    </xf>
    <xf numFmtId="0" fontId="234" fillId="0" borderId="29" xfId="20" applyFont="1" applyBorder="1" applyAlignment="1" applyProtection="1">
      <alignment horizontal="center" vertical="center"/>
      <protection hidden="1"/>
    </xf>
    <xf numFmtId="0" fontId="109" fillId="0" borderId="29" xfId="18" applyFont="1" applyBorder="1" applyAlignment="1" applyProtection="1">
      <alignment horizontal="center" vertical="center"/>
      <protection hidden="1"/>
    </xf>
    <xf numFmtId="0" fontId="45" fillId="6" borderId="36" xfId="18" applyFont="1" applyFill="1" applyBorder="1" applyAlignment="1" applyProtection="1">
      <alignment horizontal="center"/>
      <protection hidden="1"/>
    </xf>
    <xf numFmtId="0" fontId="122" fillId="0" borderId="29" xfId="18" applyFont="1" applyBorder="1" applyAlignment="1" applyProtection="1">
      <alignment horizontal="center" vertical="center"/>
      <protection hidden="1"/>
    </xf>
    <xf numFmtId="0" fontId="122" fillId="0" borderId="140" xfId="18" applyFont="1" applyBorder="1" applyAlignment="1" applyProtection="1">
      <alignment horizontal="center" vertical="center"/>
      <protection hidden="1"/>
    </xf>
    <xf numFmtId="1" fontId="122" fillId="0" borderId="140" xfId="18" applyNumberFormat="1" applyFont="1" applyBorder="1" applyAlignment="1" applyProtection="1">
      <alignment horizontal="center"/>
      <protection hidden="1"/>
    </xf>
    <xf numFmtId="1" fontId="40" fillId="0" borderId="140" xfId="20" applyNumberFormat="1" applyFont="1" applyBorder="1" applyAlignment="1" applyProtection="1">
      <alignment horizontal="center" vertical="center"/>
      <protection hidden="1"/>
    </xf>
    <xf numFmtId="0" fontId="109" fillId="0" borderId="140" xfId="18" applyFont="1" applyBorder="1" applyAlignment="1" applyProtection="1">
      <alignment horizontal="center"/>
      <protection hidden="1"/>
    </xf>
    <xf numFmtId="0" fontId="45" fillId="6" borderId="143" xfId="18" applyFont="1" applyFill="1" applyBorder="1" applyAlignment="1" applyProtection="1">
      <alignment horizontal="center"/>
      <protection hidden="1"/>
    </xf>
    <xf numFmtId="0" fontId="59" fillId="6" borderId="0" xfId="20" applyFont="1" applyFill="1" applyBorder="1" applyAlignment="1" applyProtection="1">
      <alignment horizontal="right"/>
      <protection hidden="1"/>
    </xf>
    <xf numFmtId="0" fontId="59" fillId="0" borderId="0" xfId="20" applyFont="1" applyBorder="1" applyAlignment="1" applyProtection="1">
      <alignment horizontal="right"/>
      <protection hidden="1"/>
    </xf>
    <xf numFmtId="0" fontId="65" fillId="6" borderId="0" xfId="18" applyFont="1" applyFill="1" applyBorder="1" applyAlignment="1" applyProtection="1">
      <protection hidden="1"/>
    </xf>
    <xf numFmtId="0" fontId="237" fillId="6" borderId="0" xfId="18" applyFont="1" applyFill="1" applyBorder="1" applyAlignment="1" applyProtection="1">
      <alignment vertical="center"/>
      <protection hidden="1"/>
    </xf>
    <xf numFmtId="0" fontId="238" fillId="6" borderId="0" xfId="18" applyFont="1" applyFill="1" applyBorder="1" applyAlignment="1" applyProtection="1">
      <alignment vertical="center"/>
      <protection hidden="1"/>
    </xf>
    <xf numFmtId="0" fontId="109" fillId="6" borderId="29" xfId="18" applyFont="1" applyFill="1" applyBorder="1" applyAlignment="1" applyProtection="1">
      <alignment horizontal="center"/>
      <protection hidden="1"/>
    </xf>
    <xf numFmtId="0" fontId="73" fillId="6" borderId="0" xfId="20" applyFont="1" applyFill="1" applyAlignment="1" applyProtection="1">
      <alignment horizontal="center" vertical="center"/>
      <protection hidden="1"/>
    </xf>
    <xf numFmtId="0" fontId="71" fillId="6" borderId="0" xfId="20" applyFont="1" applyFill="1" applyAlignment="1" applyProtection="1">
      <alignment horizontal="right" vertical="center"/>
      <protection hidden="1"/>
    </xf>
    <xf numFmtId="0" fontId="71" fillId="6" borderId="0" xfId="20" applyFont="1" applyFill="1" applyAlignment="1" applyProtection="1">
      <alignment horizontal="left" vertical="center"/>
      <protection hidden="1"/>
    </xf>
    <xf numFmtId="0" fontId="71" fillId="6" borderId="0" xfId="20" applyFont="1" applyFill="1" applyBorder="1" applyAlignment="1" applyProtection="1">
      <alignment horizontal="right" vertical="center"/>
      <protection hidden="1"/>
    </xf>
    <xf numFmtId="0" fontId="71" fillId="6" borderId="0" xfId="20" applyFont="1" applyFill="1" applyBorder="1" applyAlignment="1" applyProtection="1">
      <alignment vertical="center"/>
      <protection hidden="1"/>
    </xf>
    <xf numFmtId="0" fontId="40" fillId="6" borderId="0" xfId="20" applyFont="1" applyFill="1" applyProtection="1">
      <protection hidden="1"/>
    </xf>
    <xf numFmtId="0" fontId="40" fillId="6" borderId="0" xfId="20" applyFont="1" applyFill="1" applyBorder="1" applyAlignment="1" applyProtection="1">
      <alignment horizontal="right" vertical="center"/>
      <protection hidden="1"/>
    </xf>
    <xf numFmtId="0" fontId="40" fillId="6" borderId="0" xfId="20" applyFont="1" applyFill="1" applyBorder="1" applyAlignment="1" applyProtection="1">
      <alignment vertical="center"/>
      <protection hidden="1"/>
    </xf>
    <xf numFmtId="0" fontId="71" fillId="6" borderId="0" xfId="20" applyFont="1" applyFill="1" applyAlignment="1" applyProtection="1">
      <alignment vertical="center"/>
      <protection hidden="1"/>
    </xf>
    <xf numFmtId="0" fontId="239" fillId="6" borderId="0" xfId="20" applyFont="1" applyFill="1" applyProtection="1">
      <protection hidden="1"/>
    </xf>
    <xf numFmtId="0" fontId="1" fillId="0" borderId="0" xfId="20" applyFill="1" applyBorder="1" applyAlignment="1" applyProtection="1">
      <protection hidden="1"/>
    </xf>
    <xf numFmtId="0" fontId="196" fillId="6" borderId="0" xfId="20" applyFont="1" applyFill="1" applyBorder="1" applyAlignment="1" applyProtection="1">
      <alignment vertical="center"/>
      <protection hidden="1"/>
    </xf>
    <xf numFmtId="0" fontId="241" fillId="6" borderId="0" xfId="9" applyFont="1" applyFill="1" applyBorder="1" applyAlignment="1" applyProtection="1">
      <alignment horizontal="center" vertical="center"/>
      <protection hidden="1"/>
    </xf>
    <xf numFmtId="0" fontId="233" fillId="0" borderId="30" xfId="9" applyFont="1" applyFill="1" applyBorder="1" applyAlignment="1" applyProtection="1">
      <alignment horizontal="center" vertical="center"/>
      <protection hidden="1"/>
    </xf>
    <xf numFmtId="0" fontId="40" fillId="0" borderId="29" xfId="9" applyFont="1" applyBorder="1" applyAlignment="1" applyProtection="1">
      <alignment horizontal="center" vertical="center"/>
      <protection hidden="1"/>
    </xf>
    <xf numFmtId="0" fontId="233" fillId="6" borderId="30" xfId="9" applyFont="1" applyFill="1" applyBorder="1" applyAlignment="1" applyProtection="1">
      <alignment horizontal="center" vertical="center"/>
      <protection hidden="1"/>
    </xf>
    <xf numFmtId="0" fontId="1" fillId="6" borderId="0" xfId="20" applyFill="1" applyAlignment="1" applyProtection="1">
      <protection hidden="1"/>
    </xf>
    <xf numFmtId="0" fontId="40" fillId="0" borderId="29" xfId="9" applyFont="1" applyBorder="1" applyAlignment="1" applyProtection="1">
      <alignment horizontal="center"/>
      <protection hidden="1"/>
    </xf>
    <xf numFmtId="0" fontId="241" fillId="6" borderId="0" xfId="9" applyFont="1" applyFill="1" applyAlignment="1" applyProtection="1">
      <alignment vertical="center"/>
      <protection hidden="1"/>
    </xf>
    <xf numFmtId="0" fontId="71" fillId="6" borderId="0" xfId="9" applyFont="1" applyFill="1" applyAlignment="1" applyProtection="1">
      <protection hidden="1"/>
    </xf>
    <xf numFmtId="0" fontId="59" fillId="6" borderId="0" xfId="9" applyFont="1" applyFill="1" applyBorder="1" applyAlignment="1" applyProtection="1">
      <alignment horizontal="right" vertical="center"/>
      <protection hidden="1"/>
    </xf>
    <xf numFmtId="0" fontId="73" fillId="6" borderId="0" xfId="9" applyFont="1" applyFill="1" applyAlignment="1" applyProtection="1">
      <alignment vertical="center"/>
      <protection hidden="1"/>
    </xf>
    <xf numFmtId="0" fontId="110" fillId="6" borderId="0" xfId="20" applyFont="1" applyFill="1" applyAlignment="1" applyProtection="1">
      <protection hidden="1"/>
    </xf>
    <xf numFmtId="0" fontId="96" fillId="6" borderId="0" xfId="9" applyFont="1" applyFill="1" applyBorder="1" applyAlignment="1" applyProtection="1">
      <protection hidden="1"/>
    </xf>
    <xf numFmtId="0" fontId="196" fillId="6" borderId="0" xfId="9" applyFont="1" applyFill="1" applyBorder="1" applyAlignment="1" applyProtection="1">
      <alignment vertical="center"/>
      <protection hidden="1"/>
    </xf>
    <xf numFmtId="0" fontId="233" fillId="0" borderId="0" xfId="9" applyFont="1" applyBorder="1" applyAlignment="1" applyProtection="1">
      <alignment horizontal="center" vertical="center"/>
      <protection hidden="1"/>
    </xf>
    <xf numFmtId="0" fontId="233" fillId="0" borderId="36" xfId="9" applyFont="1" applyBorder="1" applyAlignment="1" applyProtection="1">
      <alignment horizontal="center" vertical="center"/>
      <protection hidden="1"/>
    </xf>
    <xf numFmtId="0" fontId="71" fillId="0" borderId="0" xfId="9" applyFont="1" applyAlignment="1" applyProtection="1">
      <alignment vertical="center"/>
      <protection hidden="1"/>
    </xf>
    <xf numFmtId="0" fontId="241" fillId="6" borderId="0" xfId="9" applyFont="1" applyFill="1" applyAlignment="1" applyProtection="1">
      <alignment horizontal="left" vertical="center"/>
      <protection hidden="1"/>
    </xf>
    <xf numFmtId="0" fontId="144" fillId="6" borderId="0" xfId="9" applyFont="1" applyFill="1" applyProtection="1">
      <protection hidden="1"/>
    </xf>
    <xf numFmtId="0" fontId="204" fillId="6" borderId="0" xfId="9" applyFont="1" applyFill="1" applyAlignment="1" applyProtection="1">
      <alignment vertical="center"/>
      <protection hidden="1"/>
    </xf>
    <xf numFmtId="0" fontId="232" fillId="6" borderId="0" xfId="9" applyFont="1" applyFill="1" applyAlignment="1" applyProtection="1">
      <protection hidden="1"/>
    </xf>
    <xf numFmtId="0" fontId="232" fillId="6" borderId="0" xfId="9" applyFont="1" applyFill="1" applyAlignment="1" applyProtection="1">
      <alignment vertical="center"/>
      <protection hidden="1"/>
    </xf>
    <xf numFmtId="0" fontId="204" fillId="6" borderId="0" xfId="9" applyFont="1" applyFill="1" applyBorder="1" applyAlignment="1" applyProtection="1">
      <protection hidden="1"/>
    </xf>
    <xf numFmtId="0" fontId="204" fillId="6" borderId="0" xfId="9" applyFont="1" applyFill="1" applyBorder="1" applyAlignment="1" applyProtection="1">
      <alignment vertical="center"/>
      <protection hidden="1"/>
    </xf>
    <xf numFmtId="1" fontId="42" fillId="6" borderId="31" xfId="18" applyNumberFormat="1" applyFont="1" applyFill="1" applyBorder="1" applyAlignment="1" applyProtection="1">
      <alignment horizontal="center"/>
      <protection hidden="1"/>
    </xf>
    <xf numFmtId="0" fontId="73" fillId="6" borderId="0" xfId="9" applyFont="1" applyFill="1" applyBorder="1" applyAlignment="1" applyProtection="1">
      <alignment horizontal="center" vertical="center"/>
      <protection hidden="1"/>
    </xf>
    <xf numFmtId="0" fontId="71" fillId="17" borderId="0" xfId="9" applyFont="1" applyFill="1" applyAlignment="1" applyProtection="1">
      <alignment vertical="center"/>
      <protection hidden="1"/>
    </xf>
    <xf numFmtId="0" fontId="8" fillId="0" borderId="0" xfId="9" applyFill="1" applyBorder="1" applyAlignment="1" applyProtection="1">
      <alignment vertical="center"/>
      <protection hidden="1"/>
    </xf>
    <xf numFmtId="0" fontId="196" fillId="25" borderId="0" xfId="9" applyFont="1" applyFill="1" applyBorder="1" applyAlignment="1" applyProtection="1">
      <alignment vertical="center"/>
      <protection hidden="1"/>
    </xf>
    <xf numFmtId="0" fontId="246" fillId="6" borderId="0" xfId="20" applyFont="1" applyFill="1" applyBorder="1" applyAlignment="1" applyProtection="1">
      <alignment horizontal="center"/>
      <protection hidden="1"/>
    </xf>
    <xf numFmtId="0" fontId="246" fillId="6" borderId="0" xfId="20" applyFont="1" applyFill="1" applyBorder="1" applyAlignment="1" applyProtection="1">
      <protection hidden="1"/>
    </xf>
    <xf numFmtId="0" fontId="247" fillId="6" borderId="0" xfId="20" applyFont="1" applyFill="1" applyBorder="1" applyAlignment="1" applyProtection="1">
      <alignment horizontal="center" vertical="center"/>
      <protection hidden="1"/>
    </xf>
    <xf numFmtId="0" fontId="231" fillId="6" borderId="21" xfId="18" applyFont="1" applyFill="1" applyBorder="1" applyAlignment="1" applyProtection="1">
      <alignment vertical="center"/>
      <protection hidden="1"/>
    </xf>
    <xf numFmtId="0" fontId="231" fillId="6" borderId="22" xfId="9" applyFont="1" applyFill="1" applyBorder="1" applyAlignment="1" applyProtection="1">
      <alignment horizontal="center" vertical="center"/>
      <protection hidden="1"/>
    </xf>
    <xf numFmtId="0" fontId="1" fillId="6" borderId="0" xfId="20" applyFill="1" applyBorder="1" applyAlignment="1" applyProtection="1">
      <protection hidden="1"/>
    </xf>
    <xf numFmtId="0" fontId="43" fillId="6" borderId="0" xfId="20" applyFont="1" applyFill="1" applyBorder="1" applyAlignment="1" applyProtection="1">
      <alignment horizontal="center" vertical="center"/>
      <protection hidden="1"/>
    </xf>
    <xf numFmtId="0" fontId="247" fillId="6" borderId="28" xfId="20" applyFont="1" applyFill="1" applyBorder="1" applyAlignment="1" applyProtection="1">
      <alignment horizontal="center" vertical="center"/>
      <protection hidden="1"/>
    </xf>
    <xf numFmtId="0" fontId="35" fillId="6" borderId="29" xfId="20" applyFont="1" applyFill="1" applyBorder="1" applyAlignment="1" applyProtection="1">
      <alignment horizontal="center" vertical="center"/>
      <protection hidden="1"/>
    </xf>
    <xf numFmtId="0" fontId="45" fillId="0" borderId="0" xfId="18" applyFont="1" applyBorder="1" applyAlignment="1" applyProtection="1">
      <alignment horizontal="center"/>
      <protection hidden="1"/>
    </xf>
    <xf numFmtId="0" fontId="43" fillId="6" borderId="0" xfId="20" applyFont="1" applyFill="1" applyBorder="1" applyAlignment="1" applyProtection="1">
      <protection hidden="1"/>
    </xf>
    <xf numFmtId="0" fontId="233" fillId="6" borderId="30" xfId="20" applyFont="1" applyFill="1" applyBorder="1" applyAlignment="1" applyProtection="1">
      <alignment horizontal="center" vertical="center"/>
      <protection hidden="1"/>
    </xf>
    <xf numFmtId="0" fontId="249" fillId="6" borderId="29" xfId="18" applyFont="1" applyFill="1" applyBorder="1" applyAlignment="1" applyProtection="1">
      <alignment horizontal="center"/>
      <protection hidden="1"/>
    </xf>
    <xf numFmtId="0" fontId="35" fillId="6" borderId="29" xfId="18" applyFont="1" applyFill="1" applyBorder="1" applyAlignment="1" applyProtection="1">
      <alignment horizontal="center" vertical="center"/>
      <protection hidden="1"/>
    </xf>
    <xf numFmtId="168" fontId="35" fillId="6" borderId="29" xfId="20" applyNumberFormat="1" applyFont="1" applyFill="1" applyBorder="1" applyAlignment="1" applyProtection="1">
      <alignment horizontal="center" vertical="center"/>
      <protection hidden="1"/>
    </xf>
    <xf numFmtId="0" fontId="250" fillId="6" borderId="0" xfId="20" applyFont="1" applyFill="1" applyBorder="1" applyAlignment="1" applyProtection="1">
      <alignment vertical="center" wrapText="1"/>
      <protection hidden="1"/>
    </xf>
    <xf numFmtId="0" fontId="89" fillId="6" borderId="31" xfId="18" applyFont="1" applyFill="1" applyBorder="1" applyAlignment="1" applyProtection="1">
      <alignment horizontal="center" vertical="center" wrapText="1"/>
      <protection hidden="1"/>
    </xf>
    <xf numFmtId="0" fontId="43" fillId="6" borderId="0" xfId="20" applyFont="1" applyFill="1" applyAlignment="1" applyProtection="1">
      <alignment vertical="center"/>
      <protection hidden="1"/>
    </xf>
    <xf numFmtId="0" fontId="43" fillId="6" borderId="0" xfId="20" applyFont="1" applyFill="1" applyBorder="1" applyAlignment="1" applyProtection="1">
      <alignment vertical="center"/>
      <protection hidden="1"/>
    </xf>
    <xf numFmtId="0" fontId="251" fillId="32" borderId="0" xfId="20" applyFont="1" applyFill="1" applyBorder="1" applyAlignment="1" applyProtection="1">
      <alignment vertical="center"/>
      <protection hidden="1"/>
    </xf>
    <xf numFmtId="0" fontId="252" fillId="6" borderId="0" xfId="20" applyFont="1" applyFill="1" applyAlignment="1" applyProtection="1">
      <alignment vertical="center"/>
      <protection hidden="1"/>
    </xf>
    <xf numFmtId="0" fontId="45" fillId="6" borderId="31" xfId="18" applyFont="1" applyFill="1" applyBorder="1" applyAlignment="1" applyProtection="1">
      <alignment vertical="center"/>
      <protection hidden="1"/>
    </xf>
    <xf numFmtId="0" fontId="167" fillId="6" borderId="0" xfId="20" applyFont="1" applyFill="1" applyAlignment="1" applyProtection="1">
      <protection hidden="1"/>
    </xf>
    <xf numFmtId="0" fontId="72" fillId="6" borderId="0" xfId="20" applyFont="1" applyFill="1" applyAlignment="1" applyProtection="1">
      <alignment vertical="center"/>
      <protection hidden="1"/>
    </xf>
    <xf numFmtId="0" fontId="40" fillId="6" borderId="40" xfId="20" applyFont="1" applyFill="1" applyBorder="1" applyProtection="1">
      <protection hidden="1"/>
    </xf>
    <xf numFmtId="0" fontId="40" fillId="6" borderId="37" xfId="20" applyFont="1" applyFill="1" applyBorder="1" applyAlignment="1" applyProtection="1">
      <alignment horizontal="right" vertical="center"/>
      <protection hidden="1"/>
    </xf>
    <xf numFmtId="0" fontId="239" fillId="6" borderId="38" xfId="20" applyFont="1" applyFill="1" applyBorder="1" applyProtection="1">
      <protection hidden="1"/>
    </xf>
    <xf numFmtId="0" fontId="252" fillId="6" borderId="41" xfId="20" applyFont="1" applyFill="1" applyBorder="1" applyAlignment="1" applyProtection="1">
      <alignment vertical="center"/>
      <protection hidden="1"/>
    </xf>
    <xf numFmtId="0" fontId="255" fillId="6" borderId="0" xfId="20" applyFont="1" applyFill="1" applyBorder="1" applyProtection="1">
      <protection hidden="1"/>
    </xf>
    <xf numFmtId="0" fontId="43" fillId="6" borderId="0" xfId="20" applyFont="1" applyFill="1" applyBorder="1" applyAlignment="1" applyProtection="1">
      <alignment horizontal="center"/>
      <protection hidden="1"/>
    </xf>
    <xf numFmtId="0" fontId="256" fillId="6" borderId="0" xfId="9" applyFont="1" applyFill="1" applyBorder="1" applyAlignment="1" applyProtection="1">
      <alignment vertical="center"/>
      <protection hidden="1"/>
    </xf>
    <xf numFmtId="0" fontId="256" fillId="0" borderId="0" xfId="9" applyFont="1" applyFill="1" applyBorder="1" applyAlignment="1" applyProtection="1">
      <alignment vertical="center"/>
      <protection hidden="1"/>
    </xf>
    <xf numFmtId="0" fontId="257" fillId="0" borderId="0" xfId="9" applyFont="1" applyFill="1" applyBorder="1" applyAlignment="1" applyProtection="1">
      <alignment vertical="center"/>
      <protection hidden="1"/>
    </xf>
    <xf numFmtId="0" fontId="233" fillId="6" borderId="0" xfId="9" applyFont="1" applyFill="1" applyBorder="1" applyAlignment="1" applyProtection="1">
      <alignment horizontal="center" vertical="center"/>
      <protection hidden="1"/>
    </xf>
    <xf numFmtId="0" fontId="179" fillId="6" borderId="0" xfId="9" applyFont="1" applyFill="1" applyBorder="1" applyAlignment="1" applyProtection="1">
      <alignment horizontal="center"/>
      <protection hidden="1"/>
    </xf>
    <xf numFmtId="0" fontId="258" fillId="6" borderId="0" xfId="9" applyFont="1" applyFill="1" applyBorder="1" applyAlignment="1" applyProtection="1">
      <alignment horizontal="center" vertical="center"/>
      <protection hidden="1"/>
    </xf>
    <xf numFmtId="1" fontId="43" fillId="6" borderId="0" xfId="9" applyNumberFormat="1" applyFont="1" applyFill="1" applyBorder="1" applyAlignment="1" applyProtection="1">
      <alignment horizontal="center" vertical="center"/>
      <protection hidden="1"/>
    </xf>
    <xf numFmtId="0" fontId="258" fillId="6" borderId="50" xfId="9" applyFont="1" applyFill="1" applyBorder="1" applyAlignment="1" applyProtection="1">
      <alignment horizontal="center" vertical="center"/>
      <protection hidden="1"/>
    </xf>
    <xf numFmtId="0" fontId="43" fillId="6" borderId="140" xfId="20" applyFont="1" applyFill="1" applyBorder="1" applyAlignment="1" applyProtection="1">
      <alignment horizontal="center" vertical="center"/>
      <protection hidden="1"/>
    </xf>
    <xf numFmtId="0" fontId="233" fillId="6" borderId="31" xfId="9" applyFont="1" applyFill="1" applyBorder="1" applyAlignment="1" applyProtection="1">
      <alignment horizontal="center" vertical="center"/>
      <protection hidden="1"/>
    </xf>
    <xf numFmtId="0" fontId="23" fillId="6" borderId="18" xfId="9" applyFont="1" applyFill="1" applyBorder="1" applyAlignment="1" applyProtection="1">
      <alignment vertical="center"/>
      <protection hidden="1"/>
    </xf>
    <xf numFmtId="0" fontId="123" fillId="6" borderId="19" xfId="9" applyFont="1" applyFill="1" applyBorder="1" applyAlignment="1" applyProtection="1">
      <alignment horizontal="center" vertical="center"/>
      <protection hidden="1"/>
    </xf>
    <xf numFmtId="0" fontId="8" fillId="6" borderId="0" xfId="9" applyFill="1" applyAlignment="1" applyProtection="1">
      <alignment horizontal="center"/>
      <protection hidden="1"/>
    </xf>
    <xf numFmtId="1" fontId="233" fillId="6" borderId="29" xfId="9" applyNumberFormat="1" applyFont="1" applyFill="1" applyBorder="1" applyAlignment="1" applyProtection="1">
      <alignment horizontal="center" vertical="center"/>
      <protection hidden="1"/>
    </xf>
    <xf numFmtId="1" fontId="43" fillId="6" borderId="140" xfId="20" applyNumberFormat="1" applyFont="1" applyFill="1" applyBorder="1" applyAlignment="1" applyProtection="1">
      <alignment horizontal="center" vertical="center"/>
      <protection hidden="1"/>
    </xf>
    <xf numFmtId="0" fontId="259" fillId="6" borderId="0" xfId="9" applyFont="1" applyFill="1" applyBorder="1" applyAlignment="1" applyProtection="1">
      <alignment horizontal="right"/>
      <protection hidden="1"/>
    </xf>
    <xf numFmtId="0" fontId="259" fillId="0" borderId="0" xfId="9" applyFont="1" applyBorder="1" applyAlignment="1" applyProtection="1">
      <alignment horizontal="right"/>
      <protection hidden="1"/>
    </xf>
    <xf numFmtId="0" fontId="93" fillId="0" borderId="0" xfId="9" applyFont="1" applyProtection="1">
      <protection hidden="1"/>
    </xf>
    <xf numFmtId="0" fontId="43" fillId="6" borderId="0" xfId="9" applyFont="1" applyFill="1" applyAlignment="1" applyProtection="1">
      <alignment vertical="center"/>
      <protection hidden="1"/>
    </xf>
    <xf numFmtId="1" fontId="73" fillId="6" borderId="0" xfId="9" applyNumberFormat="1" applyFont="1" applyFill="1" applyBorder="1" applyAlignment="1" applyProtection="1">
      <alignment vertical="center"/>
      <protection hidden="1"/>
    </xf>
    <xf numFmtId="0" fontId="233" fillId="6" borderId="0" xfId="9" applyFont="1" applyFill="1" applyBorder="1" applyAlignment="1" applyProtection="1">
      <alignment vertical="center"/>
      <protection hidden="1"/>
    </xf>
    <xf numFmtId="0" fontId="259" fillId="6" borderId="0" xfId="9" applyFont="1" applyFill="1" applyBorder="1" applyAlignment="1" applyProtection="1">
      <alignment vertical="center"/>
      <protection hidden="1"/>
    </xf>
    <xf numFmtId="0" fontId="268" fillId="6" borderId="0" xfId="9" applyFont="1" applyFill="1" applyBorder="1" applyAlignment="1" applyProtection="1">
      <alignment vertical="center"/>
      <protection hidden="1"/>
    </xf>
    <xf numFmtId="1" fontId="43" fillId="6" borderId="36" xfId="5" applyNumberFormat="1" applyFont="1" applyFill="1" applyBorder="1" applyAlignment="1" applyProtection="1">
      <alignment horizontal="center" vertical="center"/>
      <protection hidden="1"/>
    </xf>
    <xf numFmtId="0" fontId="227" fillId="6" borderId="0" xfId="18" applyFont="1" applyFill="1" applyBorder="1" applyAlignment="1" applyProtection="1">
      <alignment vertical="center" wrapText="1"/>
      <protection hidden="1"/>
    </xf>
    <xf numFmtId="0" fontId="123" fillId="6" borderId="0" xfId="9" applyFont="1" applyFill="1" applyBorder="1" applyAlignment="1" applyProtection="1">
      <alignment horizontal="center" vertical="center"/>
      <protection hidden="1"/>
    </xf>
    <xf numFmtId="0" fontId="121" fillId="6" borderId="0" xfId="20" applyFont="1" applyFill="1" applyBorder="1" applyAlignment="1" applyProtection="1">
      <alignment horizontal="center" vertical="center"/>
      <protection hidden="1"/>
    </xf>
    <xf numFmtId="1" fontId="73" fillId="6" borderId="0" xfId="9" applyNumberFormat="1" applyFont="1" applyFill="1" applyAlignment="1" applyProtection="1">
      <alignment horizontal="center" vertical="center"/>
      <protection hidden="1"/>
    </xf>
    <xf numFmtId="0" fontId="1" fillId="0" borderId="0" xfId="36" applyProtection="1">
      <protection hidden="1"/>
    </xf>
    <xf numFmtId="0" fontId="1" fillId="39" borderId="0" xfId="36" applyFill="1" applyProtection="1">
      <protection hidden="1"/>
    </xf>
    <xf numFmtId="1" fontId="123" fillId="2" borderId="89" xfId="1" applyNumberFormat="1" applyFont="1" applyBorder="1" applyAlignment="1" applyProtection="1">
      <alignment horizontal="center" vertical="center" wrapText="1"/>
      <protection hidden="1"/>
    </xf>
    <xf numFmtId="0" fontId="36" fillId="10" borderId="173" xfId="14" applyFont="1" applyBorder="1" applyAlignment="1" applyProtection="1">
      <alignment horizontal="center" vertical="center"/>
      <protection hidden="1"/>
    </xf>
    <xf numFmtId="0" fontId="272" fillId="10" borderId="173" xfId="14" applyFont="1" applyBorder="1" applyAlignment="1" applyProtection="1">
      <alignment horizontal="center" vertical="center"/>
      <protection hidden="1"/>
    </xf>
    <xf numFmtId="10" fontId="36" fillId="10" borderId="173" xfId="14" applyNumberFormat="1" applyFont="1" applyBorder="1" applyAlignment="1" applyProtection="1">
      <alignment horizontal="center" vertical="center"/>
      <protection hidden="1"/>
    </xf>
    <xf numFmtId="0" fontId="3" fillId="3" borderId="0" xfId="2" applyProtection="1">
      <protection hidden="1"/>
    </xf>
    <xf numFmtId="1" fontId="285" fillId="6" borderId="0" xfId="36" applyNumberFormat="1" applyFont="1" applyFill="1" applyBorder="1" applyAlignment="1" applyProtection="1">
      <alignment horizontal="center" vertical="center"/>
      <protection hidden="1"/>
    </xf>
    <xf numFmtId="3" fontId="286" fillId="6" borderId="0" xfId="36" applyNumberFormat="1" applyFont="1" applyFill="1" applyBorder="1" applyAlignment="1" applyProtection="1">
      <alignment horizontal="center" vertical="center"/>
      <protection hidden="1"/>
    </xf>
    <xf numFmtId="0" fontId="287" fillId="6" borderId="0" xfId="36" applyFont="1" applyFill="1" applyProtection="1">
      <protection hidden="1"/>
    </xf>
    <xf numFmtId="0" fontId="1" fillId="6" borderId="0" xfId="36" applyFill="1" applyAlignment="1" applyProtection="1">
      <alignment horizontal="center" vertical="center"/>
      <protection hidden="1"/>
    </xf>
    <xf numFmtId="0" fontId="288" fillId="6" borderId="0" xfId="36" applyFont="1" applyFill="1" applyBorder="1" applyAlignment="1" applyProtection="1">
      <alignment horizontal="center" vertical="center" wrapText="1"/>
      <protection hidden="1"/>
    </xf>
    <xf numFmtId="0" fontId="17" fillId="6" borderId="0" xfId="36" applyFont="1" applyFill="1" applyProtection="1">
      <protection hidden="1"/>
    </xf>
    <xf numFmtId="0" fontId="19" fillId="6" borderId="0" xfId="36" applyFont="1" applyFill="1" applyBorder="1" applyAlignment="1" applyProtection="1">
      <alignment horizontal="center" vertical="center"/>
      <protection hidden="1"/>
    </xf>
    <xf numFmtId="0" fontId="286" fillId="6" borderId="0" xfId="36" applyFont="1" applyFill="1" applyBorder="1" applyAlignment="1" applyProtection="1">
      <alignment horizontal="center" vertical="center"/>
      <protection hidden="1"/>
    </xf>
    <xf numFmtId="0" fontId="288" fillId="6" borderId="0" xfId="36" applyFont="1" applyFill="1" applyBorder="1" applyAlignment="1" applyProtection="1">
      <alignment horizontal="center" wrapText="1"/>
      <protection hidden="1"/>
    </xf>
    <xf numFmtId="1" fontId="285" fillId="6" borderId="191" xfId="36" applyNumberFormat="1" applyFont="1" applyFill="1" applyBorder="1" applyAlignment="1" applyProtection="1">
      <alignment horizontal="center" vertical="center"/>
      <protection hidden="1"/>
    </xf>
    <xf numFmtId="3" fontId="286" fillId="6" borderId="191" xfId="36" applyNumberFormat="1" applyFont="1" applyFill="1" applyBorder="1" applyAlignment="1" applyProtection="1">
      <alignment horizontal="center" vertical="center"/>
      <protection hidden="1"/>
    </xf>
    <xf numFmtId="0" fontId="285" fillId="6" borderId="191" xfId="36" applyFont="1" applyFill="1" applyBorder="1" applyAlignment="1" applyProtection="1">
      <alignment horizontal="center" vertical="center"/>
      <protection hidden="1"/>
    </xf>
    <xf numFmtId="0" fontId="19" fillId="6" borderId="191" xfId="36" applyFont="1" applyFill="1" applyBorder="1" applyAlignment="1" applyProtection="1">
      <alignment horizontal="center" vertical="center"/>
      <protection hidden="1"/>
    </xf>
    <xf numFmtId="0" fontId="19" fillId="6" borderId="191" xfId="36" applyFont="1" applyFill="1" applyBorder="1" applyProtection="1">
      <protection hidden="1"/>
    </xf>
    <xf numFmtId="0" fontId="1" fillId="6" borderId="195" xfId="36" applyFill="1" applyBorder="1" applyProtection="1">
      <protection hidden="1"/>
    </xf>
    <xf numFmtId="0" fontId="19" fillId="6" borderId="196" xfId="36" applyFont="1" applyFill="1" applyBorder="1" applyAlignment="1" applyProtection="1">
      <alignment vertical="center"/>
      <protection hidden="1"/>
    </xf>
    <xf numFmtId="0" fontId="287" fillId="6" borderId="0" xfId="36" applyFont="1" applyFill="1" applyBorder="1" applyAlignment="1" applyProtection="1">
      <alignment horizontal="center"/>
      <protection hidden="1"/>
    </xf>
    <xf numFmtId="0" fontId="1" fillId="6" borderId="0" xfId="36" applyFill="1" applyBorder="1" applyProtection="1">
      <protection hidden="1"/>
    </xf>
    <xf numFmtId="0" fontId="129" fillId="6" borderId="0" xfId="36" applyFont="1" applyFill="1" applyBorder="1" applyAlignment="1" applyProtection="1">
      <alignment horizontal="center" vertical="center"/>
      <protection hidden="1"/>
    </xf>
    <xf numFmtId="0" fontId="24" fillId="6" borderId="2" xfId="36" applyFont="1" applyFill="1" applyBorder="1" applyProtection="1">
      <protection hidden="1"/>
    </xf>
    <xf numFmtId="0" fontId="24" fillId="6" borderId="203" xfId="36" applyFont="1" applyFill="1" applyBorder="1" applyAlignment="1" applyProtection="1">
      <protection hidden="1"/>
    </xf>
    <xf numFmtId="0" fontId="35" fillId="6" borderId="166" xfId="31" applyFont="1" applyFill="1" applyProtection="1">
      <protection hidden="1"/>
    </xf>
    <xf numFmtId="0" fontId="289" fillId="6" borderId="166" xfId="31" applyFont="1" applyFill="1" applyAlignment="1" applyProtection="1">
      <alignment horizontal="right"/>
      <protection hidden="1"/>
    </xf>
    <xf numFmtId="0" fontId="288" fillId="6" borderId="0" xfId="36" applyFont="1" applyFill="1" applyProtection="1">
      <protection hidden="1"/>
    </xf>
    <xf numFmtId="0" fontId="293" fillId="0" borderId="0" xfId="36" applyFont="1" applyProtection="1">
      <protection hidden="1"/>
    </xf>
    <xf numFmtId="0" fontId="294" fillId="6" borderId="0" xfId="2" applyFont="1" applyFill="1" applyAlignment="1" applyProtection="1">
      <alignment vertical="center"/>
      <protection hidden="1"/>
    </xf>
    <xf numFmtId="0" fontId="19" fillId="0" borderId="206" xfId="36" applyFont="1" applyBorder="1" applyAlignment="1" applyProtection="1">
      <alignment vertical="center"/>
      <protection hidden="1"/>
    </xf>
    <xf numFmtId="0" fontId="19" fillId="6" borderId="206" xfId="36" applyFont="1" applyFill="1" applyBorder="1" applyAlignment="1" applyProtection="1">
      <alignment vertical="center"/>
      <protection hidden="1"/>
    </xf>
    <xf numFmtId="0" fontId="19" fillId="6" borderId="0" xfId="36" applyFont="1" applyFill="1" applyAlignment="1" applyProtection="1">
      <alignment vertical="center"/>
      <protection hidden="1"/>
    </xf>
    <xf numFmtId="0" fontId="288" fillId="6" borderId="0" xfId="36" applyFont="1" applyFill="1" applyAlignment="1" applyProtection="1">
      <protection hidden="1"/>
    </xf>
    <xf numFmtId="0" fontId="1" fillId="6" borderId="208" xfId="33" applyFill="1" applyBorder="1" applyProtection="1">
      <protection hidden="1"/>
    </xf>
    <xf numFmtId="0" fontId="1" fillId="6" borderId="0" xfId="33" applyFill="1" applyBorder="1" applyProtection="1">
      <protection hidden="1"/>
    </xf>
    <xf numFmtId="0" fontId="1" fillId="41" borderId="0" xfId="36" applyFill="1" applyProtection="1">
      <protection hidden="1"/>
    </xf>
    <xf numFmtId="0" fontId="1" fillId="41" borderId="0" xfId="36" applyFill="1" applyAlignment="1" applyProtection="1">
      <alignment wrapText="1"/>
      <protection hidden="1"/>
    </xf>
    <xf numFmtId="0" fontId="1" fillId="41" borderId="0" xfId="36" applyFill="1" applyAlignment="1" applyProtection="1">
      <protection hidden="1"/>
    </xf>
    <xf numFmtId="0" fontId="14" fillId="41" borderId="0" xfId="36" applyFont="1" applyFill="1" applyAlignment="1" applyProtection="1">
      <alignment wrapText="1"/>
      <protection hidden="1"/>
    </xf>
    <xf numFmtId="0" fontId="283" fillId="41" borderId="0" xfId="36" applyFont="1" applyFill="1" applyAlignment="1" applyProtection="1">
      <alignment vertical="center" wrapText="1"/>
      <protection hidden="1"/>
    </xf>
    <xf numFmtId="0" fontId="283" fillId="41" borderId="0" xfId="36" applyFont="1" applyFill="1" applyAlignment="1" applyProtection="1">
      <alignment vertical="center"/>
      <protection hidden="1"/>
    </xf>
    <xf numFmtId="0" fontId="28" fillId="16" borderId="169" xfId="17" applyFont="1" applyFill="1" applyBorder="1" applyAlignment="1" applyProtection="1">
      <alignment vertical="center"/>
      <protection hidden="1"/>
    </xf>
    <xf numFmtId="0" fontId="305" fillId="0" borderId="0" xfId="41" applyFont="1" applyAlignment="1" applyProtection="1">
      <protection hidden="1"/>
    </xf>
    <xf numFmtId="0" fontId="305" fillId="6" borderId="0" xfId="41" applyFont="1" applyFill="1" applyAlignment="1" applyProtection="1">
      <protection hidden="1"/>
    </xf>
    <xf numFmtId="0" fontId="306" fillId="0" borderId="0" xfId="41" applyFont="1" applyProtection="1">
      <protection hidden="1"/>
    </xf>
    <xf numFmtId="0" fontId="306" fillId="6" borderId="0" xfId="41" applyFont="1" applyFill="1" applyProtection="1">
      <protection hidden="1"/>
    </xf>
    <xf numFmtId="0" fontId="306" fillId="6" borderId="0" xfId="41" applyFont="1" applyFill="1" applyAlignment="1" applyProtection="1">
      <alignment wrapText="1"/>
      <protection hidden="1"/>
    </xf>
    <xf numFmtId="0" fontId="306" fillId="16" borderId="0" xfId="41" applyFont="1" applyFill="1" applyProtection="1">
      <protection hidden="1"/>
    </xf>
    <xf numFmtId="0" fontId="309" fillId="42" borderId="0" xfId="19" applyFont="1" applyFill="1" applyBorder="1" applyAlignment="1" applyProtection="1">
      <alignment vertical="center"/>
      <protection hidden="1"/>
    </xf>
    <xf numFmtId="0" fontId="306" fillId="44" borderId="0" xfId="41" applyFont="1" applyFill="1" applyProtection="1">
      <protection hidden="1"/>
    </xf>
    <xf numFmtId="0" fontId="7" fillId="6" borderId="0" xfId="41" applyFont="1" applyFill="1" applyProtection="1">
      <protection hidden="1"/>
    </xf>
    <xf numFmtId="0" fontId="318" fillId="6" borderId="0" xfId="30" applyFont="1" applyFill="1" applyBorder="1" applyAlignment="1" applyProtection="1">
      <alignment vertical="center"/>
      <protection hidden="1"/>
    </xf>
    <xf numFmtId="0" fontId="306" fillId="0" borderId="0" xfId="41" applyFont="1" applyAlignment="1" applyProtection="1">
      <alignment wrapText="1"/>
      <protection hidden="1"/>
    </xf>
    <xf numFmtId="0" fontId="306" fillId="47" borderId="0" xfId="41" applyFont="1" applyFill="1" applyBorder="1" applyProtection="1">
      <protection hidden="1"/>
    </xf>
    <xf numFmtId="0" fontId="319" fillId="47" borderId="0" xfId="41" applyFont="1" applyFill="1" applyBorder="1" applyAlignment="1" applyProtection="1">
      <alignment wrapText="1"/>
      <protection hidden="1"/>
    </xf>
    <xf numFmtId="0" fontId="305" fillId="0" borderId="0" xfId="41" applyFont="1" applyAlignment="1" applyProtection="1">
      <alignment horizontal="center"/>
      <protection hidden="1"/>
    </xf>
    <xf numFmtId="0" fontId="323" fillId="48" borderId="0" xfId="9" applyFont="1" applyFill="1" applyBorder="1" applyAlignment="1" applyProtection="1">
      <alignment vertical="center" wrapText="1" shrinkToFit="1"/>
      <protection hidden="1"/>
    </xf>
    <xf numFmtId="0" fontId="324" fillId="48" borderId="0" xfId="9" applyFont="1" applyFill="1" applyBorder="1" applyAlignment="1" applyProtection="1">
      <alignment vertical="center" shrinkToFit="1"/>
      <protection hidden="1"/>
    </xf>
    <xf numFmtId="1" fontId="326" fillId="0" borderId="0" xfId="41" applyNumberFormat="1" applyFont="1" applyAlignment="1" applyProtection="1">
      <alignment horizontal="center"/>
      <protection hidden="1"/>
    </xf>
    <xf numFmtId="1" fontId="305" fillId="0" borderId="0" xfId="41" applyNumberFormat="1" applyFont="1" applyAlignment="1" applyProtection="1">
      <alignment horizontal="center"/>
      <protection hidden="1"/>
    </xf>
    <xf numFmtId="166" fontId="305" fillId="0" borderId="0" xfId="41" applyNumberFormat="1" applyFont="1" applyAlignment="1" applyProtection="1">
      <alignment horizontal="center"/>
      <protection hidden="1"/>
    </xf>
    <xf numFmtId="0" fontId="322" fillId="0" borderId="0" xfId="41" applyFont="1" applyAlignment="1" applyProtection="1">
      <alignment vertical="center"/>
      <protection hidden="1"/>
    </xf>
    <xf numFmtId="0" fontId="328" fillId="0" borderId="0" xfId="41" applyFont="1" applyAlignment="1" applyProtection="1">
      <alignment vertical="center"/>
      <protection hidden="1"/>
    </xf>
    <xf numFmtId="168" fontId="144" fillId="49" borderId="0" xfId="9" applyNumberFormat="1" applyFont="1" applyFill="1" applyBorder="1" applyAlignment="1" applyProtection="1">
      <alignment horizontal="center" vertical="center" shrinkToFit="1"/>
      <protection hidden="1"/>
    </xf>
    <xf numFmtId="168" fontId="144" fillId="49" borderId="217" xfId="9" applyNumberFormat="1" applyFont="1" applyFill="1" applyBorder="1" applyAlignment="1" applyProtection="1">
      <alignment horizontal="center" vertical="center" shrinkToFit="1"/>
      <protection hidden="1"/>
    </xf>
    <xf numFmtId="0" fontId="329" fillId="0" borderId="0" xfId="41" applyFont="1" applyAlignment="1" applyProtection="1">
      <alignment horizontal="center" vertical="center" wrapText="1"/>
      <protection hidden="1"/>
    </xf>
    <xf numFmtId="0" fontId="329" fillId="0" borderId="0" xfId="41" applyFont="1" applyBorder="1" applyAlignment="1" applyProtection="1">
      <alignment horizontal="center" vertical="center" wrapText="1"/>
      <protection hidden="1"/>
    </xf>
    <xf numFmtId="0" fontId="331" fillId="0" borderId="218" xfId="41" applyFont="1" applyBorder="1" applyAlignment="1" applyProtection="1">
      <alignment horizontal="center" vertical="center"/>
      <protection hidden="1"/>
    </xf>
    <xf numFmtId="0" fontId="305" fillId="0" borderId="0" xfId="41" applyFont="1" applyBorder="1" applyAlignment="1" applyProtection="1">
      <alignment horizontal="center"/>
      <protection hidden="1"/>
    </xf>
    <xf numFmtId="0" fontId="305" fillId="0" borderId="0" xfId="41" applyFont="1" applyBorder="1" applyAlignment="1" applyProtection="1">
      <alignment horizontal="left"/>
      <protection hidden="1"/>
    </xf>
    <xf numFmtId="0" fontId="332" fillId="0" borderId="0" xfId="41" applyFont="1" applyBorder="1" applyAlignment="1" applyProtection="1">
      <alignment horizontal="right"/>
      <protection hidden="1"/>
    </xf>
    <xf numFmtId="0" fontId="305" fillId="0" borderId="0" xfId="41" applyFont="1" applyBorder="1" applyAlignment="1" applyProtection="1">
      <alignment vertical="center"/>
      <protection hidden="1"/>
    </xf>
    <xf numFmtId="0" fontId="334" fillId="0" borderId="0" xfId="41" applyFont="1" applyBorder="1" applyAlignment="1" applyProtection="1">
      <alignment vertical="center"/>
      <protection hidden="1"/>
    </xf>
    <xf numFmtId="0" fontId="98" fillId="6" borderId="0" xfId="9" applyFont="1" applyFill="1" applyAlignment="1" applyProtection="1">
      <alignment horizontal="right" vertical="center"/>
      <protection hidden="1"/>
    </xf>
    <xf numFmtId="0" fontId="102" fillId="6" borderId="0" xfId="9" applyFont="1" applyFill="1" applyBorder="1" applyAlignment="1" applyProtection="1">
      <alignment vertical="center" wrapText="1"/>
      <protection hidden="1"/>
    </xf>
    <xf numFmtId="0" fontId="119" fillId="6" borderId="0" xfId="42" applyFont="1" applyFill="1" applyAlignment="1" applyProtection="1">
      <alignment vertical="center" wrapText="1"/>
      <protection hidden="1"/>
    </xf>
    <xf numFmtId="0" fontId="74" fillId="6" borderId="0" xfId="36" applyFont="1" applyFill="1" applyAlignment="1" applyProtection="1">
      <alignment vertical="center"/>
      <protection hidden="1"/>
    </xf>
    <xf numFmtId="0" fontId="176" fillId="6" borderId="0" xfId="41" applyFont="1" applyFill="1" applyProtection="1">
      <protection hidden="1"/>
    </xf>
    <xf numFmtId="0" fontId="338" fillId="6" borderId="0" xfId="41" applyFont="1" applyFill="1" applyProtection="1">
      <protection hidden="1"/>
    </xf>
    <xf numFmtId="0" fontId="340" fillId="0" borderId="0" xfId="9" applyFont="1" applyBorder="1" applyProtection="1">
      <protection hidden="1"/>
    </xf>
    <xf numFmtId="0" fontId="93" fillId="0" borderId="0" xfId="9" applyFont="1" applyBorder="1" applyAlignment="1" applyProtection="1">
      <alignment vertical="center"/>
      <protection hidden="1"/>
    </xf>
    <xf numFmtId="0" fontId="341" fillId="0" borderId="0" xfId="9" applyFont="1" applyBorder="1" applyAlignment="1" applyProtection="1">
      <alignment horizontal="center" vertical="center"/>
      <protection hidden="1"/>
    </xf>
    <xf numFmtId="0" fontId="341" fillId="0" borderId="0" xfId="9" applyFont="1" applyBorder="1" applyAlignment="1" applyProtection="1">
      <alignment horizontal="right" vertical="center"/>
      <protection hidden="1"/>
    </xf>
    <xf numFmtId="0" fontId="14" fillId="0" borderId="0" xfId="7" applyFont="1" applyProtection="1">
      <protection hidden="1"/>
    </xf>
    <xf numFmtId="1" fontId="342" fillId="0" borderId="231" xfId="9" applyNumberFormat="1" applyFont="1" applyBorder="1" applyAlignment="1" applyProtection="1">
      <alignment horizontal="center" vertical="center"/>
      <protection hidden="1"/>
    </xf>
    <xf numFmtId="0" fontId="341" fillId="0" borderId="0" xfId="9" applyFont="1" applyBorder="1" applyProtection="1">
      <protection hidden="1"/>
    </xf>
    <xf numFmtId="0" fontId="341" fillId="0" borderId="0" xfId="9" applyFont="1" applyBorder="1" applyAlignment="1" applyProtection="1">
      <alignment horizontal="center"/>
      <protection hidden="1"/>
    </xf>
    <xf numFmtId="0" fontId="345" fillId="0" borderId="0" xfId="9" applyFont="1" applyBorder="1" applyAlignment="1" applyProtection="1">
      <alignment vertical="center"/>
      <protection hidden="1"/>
    </xf>
    <xf numFmtId="0" fontId="183" fillId="0" borderId="0" xfId="29" applyFont="1" applyAlignment="1" applyProtection="1">
      <alignment vertical="center" wrapText="1"/>
      <protection hidden="1"/>
    </xf>
    <xf numFmtId="1" fontId="348" fillId="0" borderId="0" xfId="9" applyNumberFormat="1" applyFont="1" applyBorder="1" applyAlignment="1" applyProtection="1">
      <alignment vertical="center"/>
      <protection hidden="1"/>
    </xf>
    <xf numFmtId="0" fontId="349" fillId="0" borderId="0" xfId="9" applyFont="1" applyBorder="1" applyAlignment="1" applyProtection="1">
      <alignment horizontal="center"/>
      <protection hidden="1"/>
    </xf>
    <xf numFmtId="0" fontId="351" fillId="0" borderId="0" xfId="9" applyFont="1" applyBorder="1" applyAlignment="1" applyProtection="1">
      <protection hidden="1"/>
    </xf>
    <xf numFmtId="0" fontId="352" fillId="0" borderId="0" xfId="9" applyFont="1" applyBorder="1" applyAlignment="1" applyProtection="1">
      <protection hidden="1"/>
    </xf>
    <xf numFmtId="14" fontId="352" fillId="0" borderId="0" xfId="9" applyNumberFormat="1" applyFont="1" applyBorder="1" applyAlignment="1" applyProtection="1">
      <protection hidden="1"/>
    </xf>
    <xf numFmtId="10" fontId="353" fillId="0" borderId="0" xfId="29" applyNumberFormat="1" applyFont="1" applyAlignment="1" applyProtection="1">
      <alignment horizontal="center" vertical="center" wrapText="1"/>
      <protection hidden="1"/>
    </xf>
    <xf numFmtId="10" fontId="353" fillId="0" borderId="0" xfId="29" applyNumberFormat="1" applyFont="1" applyAlignment="1" applyProtection="1">
      <alignment vertical="center" wrapText="1"/>
      <protection hidden="1"/>
    </xf>
    <xf numFmtId="0" fontId="352" fillId="0" borderId="0" xfId="9" applyFont="1" applyBorder="1" applyAlignment="1" applyProtection="1">
      <alignment vertical="center"/>
      <protection hidden="1"/>
    </xf>
    <xf numFmtId="0" fontId="349" fillId="0" borderId="0" xfId="9" applyFont="1" applyBorder="1" applyAlignment="1" applyProtection="1">
      <protection hidden="1"/>
    </xf>
    <xf numFmtId="0" fontId="354" fillId="0" borderId="0" xfId="29" applyFont="1" applyAlignment="1" applyProtection="1">
      <alignment vertical="center"/>
      <protection hidden="1"/>
    </xf>
    <xf numFmtId="0" fontId="64" fillId="6" borderId="0" xfId="21" applyFont="1" applyFill="1" applyBorder="1" applyAlignment="1" applyProtection="1">
      <alignment horizontal="center" vertical="center"/>
      <protection hidden="1"/>
    </xf>
    <xf numFmtId="0" fontId="356" fillId="0" borderId="0" xfId="29" applyFont="1" applyBorder="1" applyAlignment="1" applyProtection="1">
      <alignment horizontal="center" vertical="center"/>
      <protection hidden="1"/>
    </xf>
    <xf numFmtId="0" fontId="68" fillId="6" borderId="0" xfId="29" applyFont="1" applyFill="1" applyAlignment="1" applyProtection="1">
      <alignment horizontal="center" vertical="center"/>
      <protection hidden="1"/>
    </xf>
    <xf numFmtId="1" fontId="124" fillId="6" borderId="0" xfId="7" applyNumberFormat="1" applyFont="1" applyFill="1" applyBorder="1" applyAlignment="1" applyProtection="1">
      <alignment vertical="center"/>
      <protection hidden="1"/>
    </xf>
    <xf numFmtId="0" fontId="340" fillId="0" borderId="0" xfId="9" applyFont="1" applyBorder="1" applyAlignment="1" applyProtection="1">
      <alignment vertical="center"/>
      <protection hidden="1"/>
    </xf>
    <xf numFmtId="0" fontId="339" fillId="0" borderId="0" xfId="9" applyFont="1" applyFill="1" applyBorder="1" applyAlignment="1" applyProtection="1">
      <alignment wrapText="1"/>
      <protection hidden="1"/>
    </xf>
    <xf numFmtId="0" fontId="340" fillId="0" borderId="0" xfId="9" applyFont="1" applyBorder="1" applyAlignment="1" applyProtection="1">
      <protection hidden="1"/>
    </xf>
    <xf numFmtId="0" fontId="87" fillId="0" borderId="0" xfId="29" applyFont="1" applyAlignment="1" applyProtection="1">
      <alignment vertical="center"/>
      <protection hidden="1"/>
    </xf>
    <xf numFmtId="0" fontId="70" fillId="0" borderId="0" xfId="9" applyFont="1" applyBorder="1" applyAlignment="1" applyProtection="1">
      <protection hidden="1"/>
    </xf>
    <xf numFmtId="1" fontId="10" fillId="0" borderId="0" xfId="9" applyNumberFormat="1" applyFont="1" applyBorder="1" applyAlignment="1" applyProtection="1">
      <alignment horizontal="center" vertical="center"/>
      <protection hidden="1"/>
    </xf>
    <xf numFmtId="0" fontId="361" fillId="0" borderId="0" xfId="9" applyFont="1" applyFill="1" applyBorder="1" applyAlignment="1" applyProtection="1">
      <alignment vertical="center"/>
      <protection hidden="1"/>
    </xf>
    <xf numFmtId="0" fontId="362" fillId="0" borderId="0" xfId="9" applyFont="1" applyBorder="1" applyAlignment="1" applyProtection="1">
      <alignment vertical="center" wrapText="1"/>
      <protection hidden="1"/>
    </xf>
    <xf numFmtId="1" fontId="132" fillId="0" borderId="0" xfId="9" applyNumberFormat="1" applyFont="1" applyBorder="1" applyProtection="1">
      <protection hidden="1"/>
    </xf>
    <xf numFmtId="14" fontId="203" fillId="0" borderId="0" xfId="9" applyNumberFormat="1" applyFont="1" applyBorder="1" applyAlignment="1" applyProtection="1">
      <alignment vertical="center"/>
      <protection hidden="1"/>
    </xf>
    <xf numFmtId="0" fontId="340" fillId="0" borderId="0" xfId="9" applyFont="1" applyBorder="1" applyAlignment="1" applyProtection="1">
      <alignment horizontal="center"/>
      <protection hidden="1"/>
    </xf>
    <xf numFmtId="1" fontId="342" fillId="0" borderId="0" xfId="9" applyNumberFormat="1" applyFont="1" applyBorder="1" applyAlignment="1" applyProtection="1">
      <alignment horizontal="center" vertical="center"/>
      <protection hidden="1"/>
    </xf>
    <xf numFmtId="0" fontId="347" fillId="0" borderId="0" xfId="9" applyFont="1" applyBorder="1" applyAlignment="1" applyProtection="1">
      <alignment vertical="center"/>
      <protection hidden="1"/>
    </xf>
    <xf numFmtId="1" fontId="355" fillId="0" borderId="0" xfId="29" applyNumberFormat="1" applyFont="1" applyAlignment="1" applyProtection="1">
      <alignment vertical="center"/>
      <protection hidden="1"/>
    </xf>
    <xf numFmtId="0" fontId="338" fillId="0" borderId="0" xfId="41" applyFont="1" applyAlignment="1" applyProtection="1">
      <alignment wrapText="1"/>
      <protection hidden="1"/>
    </xf>
    <xf numFmtId="0" fontId="338" fillId="0" borderId="0" xfId="41" applyFont="1" applyProtection="1">
      <protection hidden="1"/>
    </xf>
    <xf numFmtId="0" fontId="338" fillId="47" borderId="0" xfId="41" applyFont="1" applyFill="1" applyBorder="1" applyProtection="1">
      <protection hidden="1"/>
    </xf>
    <xf numFmtId="0" fontId="365" fillId="6" borderId="0" xfId="41" applyFont="1" applyFill="1" applyProtection="1">
      <protection hidden="1"/>
    </xf>
    <xf numFmtId="0" fontId="365" fillId="6" borderId="0" xfId="41" applyFont="1" applyFill="1" applyAlignment="1" applyProtection="1">
      <protection hidden="1"/>
    </xf>
    <xf numFmtId="0" fontId="366" fillId="6" borderId="0" xfId="9" applyFont="1" applyFill="1" applyBorder="1" applyProtection="1">
      <protection hidden="1"/>
    </xf>
    <xf numFmtId="0" fontId="366" fillId="6" borderId="0" xfId="9" applyFont="1" applyFill="1" applyProtection="1">
      <protection hidden="1"/>
    </xf>
    <xf numFmtId="0" fontId="39" fillId="6" borderId="0" xfId="7" applyFont="1" applyFill="1" applyBorder="1" applyProtection="1">
      <protection hidden="1"/>
    </xf>
    <xf numFmtId="0" fontId="50" fillId="6" borderId="0" xfId="0" applyFont="1" applyFill="1" applyAlignment="1" applyProtection="1">
      <alignment vertical="center" wrapText="1"/>
      <protection hidden="1"/>
    </xf>
    <xf numFmtId="0" fontId="60" fillId="6" borderId="0" xfId="5" applyFont="1" applyFill="1" applyBorder="1" applyAlignment="1" applyProtection="1">
      <alignment horizontal="center"/>
      <protection hidden="1"/>
    </xf>
    <xf numFmtId="0" fontId="1" fillId="0" borderId="0" xfId="50" applyProtection="1">
      <protection hidden="1"/>
    </xf>
    <xf numFmtId="0" fontId="1" fillId="6" borderId="0" xfId="50" applyFill="1" applyProtection="1">
      <protection hidden="1"/>
    </xf>
    <xf numFmtId="0" fontId="5" fillId="6" borderId="0" xfId="50" applyFont="1" applyFill="1" applyProtection="1">
      <protection hidden="1"/>
    </xf>
    <xf numFmtId="0" fontId="381" fillId="6" borderId="0" xfId="50" applyFont="1" applyFill="1" applyBorder="1" applyAlignment="1" applyProtection="1">
      <alignment horizontal="right" vertical="center"/>
      <protection hidden="1"/>
    </xf>
    <xf numFmtId="0" fontId="135" fillId="6" borderId="0" xfId="50" applyFont="1" applyFill="1" applyAlignment="1" applyProtection="1">
      <alignment horizontal="right" vertical="center"/>
      <protection hidden="1"/>
    </xf>
    <xf numFmtId="0" fontId="17" fillId="6" borderId="0" xfId="50" applyFont="1" applyFill="1" applyAlignment="1" applyProtection="1">
      <protection hidden="1"/>
    </xf>
    <xf numFmtId="0" fontId="1" fillId="6" borderId="0" xfId="50" applyFill="1" applyAlignment="1" applyProtection="1">
      <protection hidden="1"/>
    </xf>
    <xf numFmtId="41" fontId="1" fillId="6" borderId="0" xfId="50" applyNumberFormat="1" applyFill="1" applyAlignment="1" applyProtection="1">
      <alignment vertical="center"/>
      <protection hidden="1"/>
    </xf>
    <xf numFmtId="41" fontId="1" fillId="6" borderId="0" xfId="50" applyNumberFormat="1" applyFill="1" applyAlignment="1" applyProtection="1">
      <alignment horizontal="center" vertical="center"/>
      <protection hidden="1"/>
    </xf>
    <xf numFmtId="10" fontId="5" fillId="6" borderId="0" xfId="50" applyNumberFormat="1" applyFont="1" applyFill="1" applyProtection="1">
      <protection hidden="1"/>
    </xf>
    <xf numFmtId="41" fontId="5" fillId="6" borderId="0" xfId="50" applyNumberFormat="1" applyFont="1" applyFill="1" applyProtection="1">
      <protection hidden="1"/>
    </xf>
    <xf numFmtId="0" fontId="95" fillId="6" borderId="0" xfId="51" applyFont="1" applyFill="1" applyBorder="1" applyAlignment="1" applyProtection="1">
      <alignment horizontal="center"/>
      <protection hidden="1"/>
    </xf>
    <xf numFmtId="0" fontId="1" fillId="6" borderId="0" xfId="50" applyFill="1" applyAlignment="1" applyProtection="1">
      <alignment vertical="center"/>
      <protection hidden="1"/>
    </xf>
    <xf numFmtId="0" fontId="1" fillId="6" borderId="0" xfId="50" applyFill="1" applyAlignment="1" applyProtection="1">
      <alignment vertical="center" wrapText="1"/>
      <protection hidden="1"/>
    </xf>
    <xf numFmtId="0" fontId="385" fillId="6" borderId="0" xfId="50" applyFont="1" applyFill="1" applyAlignment="1" applyProtection="1">
      <alignment vertical="center"/>
      <protection hidden="1"/>
    </xf>
    <xf numFmtId="0" fontId="29" fillId="6" borderId="0" xfId="50" applyFont="1" applyFill="1" applyAlignment="1" applyProtection="1">
      <alignment horizontal="center" vertical="center"/>
      <protection hidden="1"/>
    </xf>
    <xf numFmtId="0" fontId="39" fillId="6" borderId="0" xfId="0" applyFont="1" applyFill="1" applyProtection="1">
      <protection hidden="1"/>
    </xf>
    <xf numFmtId="0" fontId="384" fillId="6" borderId="0" xfId="9" applyFont="1" applyFill="1" applyAlignment="1" applyProtection="1">
      <alignment horizontal="center" vertical="center"/>
      <protection hidden="1"/>
    </xf>
    <xf numFmtId="0" fontId="370" fillId="54" borderId="244" xfId="60" applyFont="1" applyFill="1" applyBorder="1" applyAlignment="1" applyProtection="1">
      <alignment horizontal="center" vertical="center"/>
      <protection hidden="1"/>
    </xf>
    <xf numFmtId="0" fontId="372" fillId="54" borderId="244" xfId="60" applyFont="1" applyFill="1" applyBorder="1" applyAlignment="1" applyProtection="1">
      <alignment horizontal="center" vertical="center"/>
      <protection hidden="1"/>
    </xf>
    <xf numFmtId="0" fontId="5" fillId="6" borderId="0" xfId="0" applyFont="1" applyFill="1" applyProtection="1">
      <protection hidden="1"/>
    </xf>
    <xf numFmtId="0" fontId="368" fillId="6" borderId="0" xfId="0" applyFont="1" applyFill="1" applyProtection="1">
      <protection hidden="1"/>
    </xf>
    <xf numFmtId="0" fontId="0" fillId="11" borderId="0" xfId="0" applyFill="1" applyProtection="1">
      <protection hidden="1"/>
    </xf>
    <xf numFmtId="0" fontId="0" fillId="0" borderId="0" xfId="0" applyAlignment="1" applyProtection="1">
      <protection hidden="1"/>
    </xf>
    <xf numFmtId="0" fontId="6" fillId="0" borderId="0" xfId="3" applyAlignment="1" applyProtection="1">
      <protection hidden="1"/>
    </xf>
    <xf numFmtId="0" fontId="357" fillId="0" borderId="0" xfId="9" applyFont="1" applyFill="1" applyBorder="1" applyAlignment="1" applyProtection="1">
      <alignment vertical="center"/>
      <protection hidden="1"/>
    </xf>
    <xf numFmtId="0" fontId="350" fillId="0" borderId="0" xfId="29" applyFont="1" applyAlignment="1" applyProtection="1">
      <alignment vertical="center" wrapText="1"/>
      <protection hidden="1"/>
    </xf>
    <xf numFmtId="0" fontId="93" fillId="0" borderId="232" xfId="9" applyFont="1" applyBorder="1" applyAlignment="1" applyProtection="1">
      <alignment vertical="center"/>
      <protection hidden="1"/>
    </xf>
    <xf numFmtId="0" fontId="358" fillId="0" borderId="0" xfId="29" applyFont="1" applyBorder="1" applyAlignment="1" applyProtection="1">
      <alignment vertical="center"/>
      <protection hidden="1"/>
    </xf>
    <xf numFmtId="0" fontId="93" fillId="0" borderId="0" xfId="9" applyFont="1" applyBorder="1" applyAlignment="1" applyProtection="1">
      <alignment vertical="center" wrapText="1"/>
      <protection hidden="1"/>
    </xf>
    <xf numFmtId="0" fontId="93" fillId="0" borderId="232" xfId="9" applyFont="1" applyBorder="1" applyAlignment="1" applyProtection="1">
      <alignment vertical="center" wrapText="1"/>
      <protection hidden="1"/>
    </xf>
    <xf numFmtId="1" fontId="87" fillId="6" borderId="89" xfId="7" applyNumberFormat="1" applyFont="1" applyFill="1" applyBorder="1" applyAlignment="1" applyProtection="1">
      <alignment horizontal="center" vertical="center"/>
      <protection hidden="1"/>
    </xf>
    <xf numFmtId="0" fontId="404" fillId="0" borderId="0" xfId="9" applyFont="1" applyBorder="1" applyAlignment="1" applyProtection="1">
      <alignment horizontal="center" vertical="center"/>
      <protection hidden="1"/>
    </xf>
    <xf numFmtId="0" fontId="342" fillId="0" borderId="252" xfId="9" applyFont="1" applyBorder="1" applyAlignment="1" applyProtection="1">
      <alignment horizontal="center" vertical="center"/>
      <protection hidden="1"/>
    </xf>
    <xf numFmtId="0" fontId="398" fillId="0" borderId="0" xfId="9" applyFont="1" applyFill="1" applyBorder="1" applyAlignment="1" applyProtection="1">
      <alignment vertical="center"/>
      <protection hidden="1"/>
    </xf>
    <xf numFmtId="1" fontId="408" fillId="0" borderId="0" xfId="29" applyNumberFormat="1" applyFont="1" applyAlignment="1" applyProtection="1">
      <alignment vertical="center"/>
      <protection hidden="1"/>
    </xf>
    <xf numFmtId="0" fontId="366" fillId="6" borderId="0" xfId="9" applyFont="1" applyFill="1" applyBorder="1" applyAlignment="1" applyProtection="1">
      <alignment horizontal="center"/>
      <protection hidden="1"/>
    </xf>
    <xf numFmtId="0" fontId="342" fillId="0" borderId="257" xfId="9" applyFont="1" applyBorder="1" applyAlignment="1" applyProtection="1">
      <alignment horizontal="center" vertical="center"/>
      <protection hidden="1"/>
    </xf>
    <xf numFmtId="0" fontId="342" fillId="0" borderId="258" xfId="9" applyFont="1" applyBorder="1" applyAlignment="1" applyProtection="1">
      <alignment horizontal="center" vertical="center"/>
      <protection hidden="1"/>
    </xf>
    <xf numFmtId="0" fontId="338" fillId="0" borderId="0" xfId="9" applyFont="1" applyBorder="1" applyAlignment="1" applyProtection="1">
      <protection hidden="1"/>
    </xf>
    <xf numFmtId="0" fontId="32" fillId="12" borderId="256" xfId="14" applyFont="1" applyFill="1" applyBorder="1" applyAlignment="1" applyProtection="1">
      <alignment horizontal="center" vertical="center"/>
      <protection hidden="1"/>
    </xf>
    <xf numFmtId="0" fontId="406" fillId="0" borderId="0" xfId="29" applyFont="1" applyAlignment="1" applyProtection="1">
      <alignment vertical="center" wrapText="1"/>
      <protection hidden="1"/>
    </xf>
    <xf numFmtId="0" fontId="413" fillId="0" borderId="255" xfId="29" applyFont="1" applyBorder="1" applyAlignment="1" applyProtection="1">
      <alignment horizontal="center" vertical="center"/>
      <protection hidden="1"/>
    </xf>
    <xf numFmtId="0" fontId="413" fillId="0" borderId="256" xfId="29" applyFont="1" applyBorder="1" applyAlignment="1" applyProtection="1">
      <alignment horizontal="center" vertical="center"/>
      <protection hidden="1"/>
    </xf>
    <xf numFmtId="0" fontId="134" fillId="6" borderId="0" xfId="69" applyFont="1" applyFill="1" applyBorder="1" applyAlignment="1" applyProtection="1">
      <protection hidden="1"/>
    </xf>
    <xf numFmtId="0" fontId="89" fillId="6" borderId="29" xfId="18" applyFont="1" applyFill="1" applyBorder="1" applyAlignment="1" applyProtection="1">
      <alignment horizontal="center" vertical="center" wrapText="1"/>
      <protection hidden="1"/>
    </xf>
    <xf numFmtId="14" fontId="98" fillId="0" borderId="0" xfId="9" applyNumberFormat="1" applyFont="1" applyBorder="1" applyAlignment="1" applyProtection="1">
      <alignment horizontal="center" vertical="center"/>
      <protection hidden="1"/>
    </xf>
    <xf numFmtId="0" fontId="8" fillId="0" borderId="0" xfId="9" applyProtection="1">
      <protection hidden="1"/>
    </xf>
    <xf numFmtId="0" fontId="8" fillId="0" borderId="0" xfId="9" applyBorder="1" applyProtection="1">
      <protection hidden="1"/>
    </xf>
    <xf numFmtId="0" fontId="0" fillId="0" borderId="0" xfId="0" applyProtection="1">
      <protection hidden="1"/>
    </xf>
    <xf numFmtId="0" fontId="124" fillId="0" borderId="0" xfId="9" applyFont="1" applyFill="1" applyBorder="1" applyAlignment="1" applyProtection="1">
      <alignment horizontal="center" vertical="center"/>
      <protection hidden="1"/>
    </xf>
    <xf numFmtId="0" fontId="163" fillId="0" borderId="0" xfId="9" applyFont="1" applyFill="1" applyBorder="1" applyAlignment="1" applyProtection="1">
      <alignment horizontal="center"/>
      <protection hidden="1"/>
    </xf>
    <xf numFmtId="0" fontId="163" fillId="0" borderId="0" xfId="9" applyFont="1" applyBorder="1" applyAlignment="1" applyProtection="1">
      <alignment horizontal="center" vertical="center"/>
      <protection hidden="1"/>
    </xf>
    <xf numFmtId="0" fontId="64" fillId="21" borderId="0" xfId="21" applyFont="1" applyFill="1" applyBorder="1" applyAlignment="1" applyProtection="1">
      <alignment horizontal="center" vertical="center"/>
      <protection hidden="1"/>
    </xf>
    <xf numFmtId="0" fontId="8" fillId="6" borderId="0" xfId="9" applyFill="1" applyBorder="1" applyProtection="1">
      <protection hidden="1"/>
    </xf>
    <xf numFmtId="0" fontId="40" fillId="6" borderId="0" xfId="9" applyFont="1" applyFill="1" applyBorder="1" applyAlignment="1" applyProtection="1">
      <alignment horizontal="right" vertical="center"/>
      <protection hidden="1"/>
    </xf>
    <xf numFmtId="0" fontId="8" fillId="6" borderId="0" xfId="5" applyFill="1" applyProtection="1">
      <protection hidden="1"/>
    </xf>
    <xf numFmtId="0" fontId="43" fillId="6" borderId="0" xfId="9" applyFont="1" applyFill="1" applyBorder="1" applyAlignment="1" applyProtection="1">
      <alignment horizontal="center" vertical="center"/>
      <protection hidden="1"/>
    </xf>
    <xf numFmtId="0" fontId="73" fillId="6" borderId="0" xfId="9" applyFont="1" applyFill="1" applyAlignment="1" applyProtection="1">
      <alignment horizontal="center" vertical="center"/>
      <protection hidden="1"/>
    </xf>
    <xf numFmtId="0" fontId="8" fillId="6" borderId="0" xfId="9" applyFill="1" applyProtection="1">
      <protection hidden="1"/>
    </xf>
    <xf numFmtId="1" fontId="186" fillId="6" borderId="0" xfId="9" applyNumberFormat="1" applyFont="1" applyFill="1" applyBorder="1" applyAlignment="1" applyProtection="1">
      <alignment horizontal="center" vertical="center" textRotation="45" wrapText="1"/>
      <protection hidden="1"/>
    </xf>
    <xf numFmtId="0" fontId="79" fillId="6" borderId="0" xfId="9" applyFont="1" applyFill="1" applyBorder="1" applyAlignment="1" applyProtection="1">
      <alignment vertical="center"/>
      <protection hidden="1"/>
    </xf>
    <xf numFmtId="0" fontId="77" fillId="6" borderId="0" xfId="9" applyFont="1" applyFill="1" applyBorder="1" applyProtection="1">
      <protection hidden="1"/>
    </xf>
    <xf numFmtId="0" fontId="183" fillId="0" borderId="0" xfId="29" applyFont="1" applyAlignment="1" applyProtection="1">
      <alignment horizontal="left" vertical="center" wrapText="1"/>
      <protection hidden="1"/>
    </xf>
    <xf numFmtId="0" fontId="40" fillId="6" borderId="0" xfId="9" applyFont="1" applyFill="1" applyAlignment="1" applyProtection="1">
      <alignment horizontal="right" vertical="center"/>
      <protection hidden="1"/>
    </xf>
    <xf numFmtId="0" fontId="89" fillId="6" borderId="29" xfId="18" applyFont="1" applyFill="1" applyBorder="1" applyAlignment="1" applyProtection="1">
      <alignment horizontal="center" vertical="center" wrapText="1"/>
      <protection hidden="1"/>
    </xf>
    <xf numFmtId="14" fontId="98" fillId="0" borderId="0" xfId="9" applyNumberFormat="1" applyFont="1" applyBorder="1" applyAlignment="1" applyProtection="1">
      <alignment horizontal="center" vertical="center"/>
      <protection hidden="1"/>
    </xf>
    <xf numFmtId="0" fontId="42" fillId="6" borderId="33" xfId="18" applyFont="1" applyFill="1" applyBorder="1" applyAlignment="1" applyProtection="1">
      <alignment horizontal="center" vertical="center"/>
      <protection hidden="1"/>
    </xf>
    <xf numFmtId="0" fontId="42" fillId="6" borderId="0" xfId="18" applyFont="1" applyFill="1" applyBorder="1" applyAlignment="1" applyProtection="1">
      <alignment horizontal="center" vertical="center"/>
      <protection hidden="1"/>
    </xf>
    <xf numFmtId="0" fontId="42" fillId="6" borderId="0" xfId="18" applyFont="1" applyFill="1" applyBorder="1" applyAlignment="1" applyProtection="1">
      <alignment horizontal="center" vertical="center" wrapText="1"/>
      <protection hidden="1"/>
    </xf>
    <xf numFmtId="0" fontId="89" fillId="6" borderId="36" xfId="18" applyFont="1" applyFill="1" applyBorder="1" applyAlignment="1" applyProtection="1">
      <alignment horizontal="center" vertical="center" wrapText="1"/>
      <protection hidden="1"/>
    </xf>
    <xf numFmtId="0" fontId="40" fillId="6" borderId="30" xfId="9" applyFont="1" applyFill="1" applyBorder="1" applyAlignment="1" applyProtection="1">
      <alignment horizontal="center"/>
      <protection hidden="1"/>
    </xf>
    <xf numFmtId="0" fontId="40" fillId="6" borderId="0" xfId="9" applyFont="1" applyFill="1" applyBorder="1" applyAlignment="1" applyProtection="1">
      <alignment horizontal="center"/>
      <protection hidden="1"/>
    </xf>
    <xf numFmtId="0" fontId="89" fillId="6" borderId="35" xfId="18" applyFont="1" applyFill="1" applyBorder="1" applyAlignment="1" applyProtection="1">
      <alignment horizontal="center" vertical="center" wrapText="1"/>
      <protection hidden="1"/>
    </xf>
    <xf numFmtId="0" fontId="8" fillId="0" borderId="0" xfId="9" applyProtection="1">
      <protection hidden="1"/>
    </xf>
    <xf numFmtId="0" fontId="8" fillId="0" borderId="0" xfId="9" applyBorder="1" applyProtection="1">
      <protection hidden="1"/>
    </xf>
    <xf numFmtId="0" fontId="122" fillId="6" borderId="29" xfId="18" applyFont="1" applyFill="1" applyBorder="1" applyAlignment="1" applyProtection="1">
      <alignment horizontal="center" vertical="center"/>
      <protection hidden="1"/>
    </xf>
    <xf numFmtId="0" fontId="40" fillId="6" borderId="0" xfId="9" applyFont="1" applyFill="1" applyBorder="1" applyAlignment="1" applyProtection="1">
      <alignment horizontal="center" vertical="center"/>
      <protection hidden="1"/>
    </xf>
    <xf numFmtId="0" fontId="40" fillId="6" borderId="37" xfId="9" applyFont="1" applyFill="1" applyBorder="1" applyAlignment="1" applyProtection="1">
      <alignment horizontal="right" vertical="center"/>
      <protection hidden="1"/>
    </xf>
    <xf numFmtId="0" fontId="42" fillId="6" borderId="29" xfId="18" applyFont="1" applyFill="1" applyBorder="1" applyAlignment="1" applyProtection="1">
      <alignment horizontal="center" vertical="center"/>
      <protection hidden="1"/>
    </xf>
    <xf numFmtId="0" fontId="122" fillId="6" borderId="28" xfId="18" applyFont="1" applyFill="1" applyBorder="1" applyAlignment="1" applyProtection="1">
      <alignment horizontal="center" vertical="center" wrapText="1"/>
      <protection hidden="1"/>
    </xf>
    <xf numFmtId="0" fontId="163" fillId="0" borderId="0" xfId="9" applyFont="1" applyBorder="1" applyAlignment="1" applyProtection="1">
      <alignment horizontal="center" vertical="center"/>
      <protection hidden="1"/>
    </xf>
    <xf numFmtId="0" fontId="124" fillId="0" borderId="0" xfId="9" applyFont="1" applyFill="1" applyBorder="1" applyAlignment="1" applyProtection="1">
      <alignment horizontal="center" vertical="center"/>
      <protection hidden="1"/>
    </xf>
    <xf numFmtId="0" fontId="163" fillId="0" borderId="0" xfId="9" applyFont="1" applyFill="1" applyBorder="1" applyAlignment="1" applyProtection="1">
      <alignment horizontal="center"/>
      <protection hidden="1"/>
    </xf>
    <xf numFmtId="0" fontId="133" fillId="0" borderId="0" xfId="20" applyFont="1" applyAlignment="1" applyProtection="1">
      <alignment horizontal="left" vertical="center"/>
      <protection hidden="1"/>
    </xf>
    <xf numFmtId="0" fontId="8" fillId="6" borderId="0" xfId="5" applyFill="1" applyProtection="1">
      <protection hidden="1"/>
    </xf>
    <xf numFmtId="0" fontId="109" fillId="25" borderId="29" xfId="18" applyFont="1" applyFill="1" applyBorder="1" applyAlignment="1" applyProtection="1">
      <alignment horizontal="center" vertical="center" wrapText="1"/>
      <protection hidden="1"/>
    </xf>
    <xf numFmtId="0" fontId="204" fillId="6" borderId="0" xfId="9" applyFont="1" applyFill="1" applyAlignment="1" applyProtection="1">
      <alignment horizontal="center" vertical="center"/>
      <protection hidden="1"/>
    </xf>
    <xf numFmtId="0" fontId="8" fillId="6" borderId="0" xfId="9" applyFill="1" applyBorder="1" applyProtection="1">
      <protection hidden="1"/>
    </xf>
    <xf numFmtId="0" fontId="40" fillId="6" borderId="0" xfId="9" applyFont="1" applyFill="1" applyBorder="1" applyAlignment="1" applyProtection="1">
      <alignment horizontal="right" vertical="center"/>
      <protection hidden="1"/>
    </xf>
    <xf numFmtId="0" fontId="72" fillId="6" borderId="0" xfId="9" applyFont="1" applyFill="1" applyAlignment="1" applyProtection="1">
      <alignment horizontal="left" vertical="center"/>
      <protection hidden="1"/>
    </xf>
    <xf numFmtId="1" fontId="42" fillId="6" borderId="140" xfId="18" applyNumberFormat="1" applyFont="1" applyFill="1" applyBorder="1" applyAlignment="1" applyProtection="1">
      <alignment horizontal="center" vertical="center"/>
      <protection hidden="1"/>
    </xf>
    <xf numFmtId="0" fontId="204" fillId="6" borderId="0" xfId="20" applyFont="1" applyFill="1" applyAlignment="1" applyProtection="1">
      <alignment horizontal="center" vertical="center"/>
      <protection hidden="1"/>
    </xf>
    <xf numFmtId="0" fontId="40" fillId="6" borderId="0" xfId="20" applyFont="1" applyFill="1" applyAlignment="1" applyProtection="1">
      <alignment horizontal="right" vertical="center"/>
      <protection hidden="1"/>
    </xf>
    <xf numFmtId="0" fontId="49" fillId="6" borderId="79" xfId="20" applyFont="1" applyFill="1" applyBorder="1" applyAlignment="1" applyProtection="1">
      <alignment horizontal="center" vertical="center"/>
      <protection hidden="1"/>
    </xf>
    <xf numFmtId="1" fontId="49" fillId="6" borderId="79" xfId="22" applyNumberFormat="1" applyFont="1" applyFill="1" applyBorder="1" applyAlignment="1" applyProtection="1">
      <alignment horizontal="center" vertical="center"/>
      <protection hidden="1"/>
    </xf>
    <xf numFmtId="0" fontId="49" fillId="6" borderId="79" xfId="22" applyFont="1" applyFill="1" applyBorder="1" applyAlignment="1" applyProtection="1">
      <alignment horizontal="center" vertical="center"/>
      <protection hidden="1"/>
    </xf>
    <xf numFmtId="0" fontId="89" fillId="25" borderId="29" xfId="18" applyFont="1" applyFill="1" applyBorder="1" applyAlignment="1" applyProtection="1">
      <alignment horizontal="center" vertical="center" wrapText="1"/>
      <protection hidden="1"/>
    </xf>
    <xf numFmtId="0" fontId="71" fillId="6" borderId="0" xfId="9" applyFont="1" applyFill="1" applyAlignment="1" applyProtection="1">
      <alignment horizontal="left" vertical="center"/>
      <protection hidden="1"/>
    </xf>
    <xf numFmtId="0" fontId="43" fillId="6" borderId="0" xfId="9" applyFont="1" applyFill="1" applyBorder="1" applyAlignment="1" applyProtection="1">
      <alignment horizontal="center"/>
      <protection hidden="1"/>
    </xf>
    <xf numFmtId="0" fontId="43" fillId="6" borderId="0" xfId="9" applyFont="1" applyFill="1" applyBorder="1" applyAlignment="1" applyProtection="1">
      <alignment horizontal="center" vertical="center"/>
      <protection hidden="1"/>
    </xf>
    <xf numFmtId="0" fontId="72" fillId="6" borderId="0" xfId="9" applyFont="1" applyFill="1" applyAlignment="1" applyProtection="1">
      <alignment horizontal="right" vertical="center"/>
      <protection hidden="1"/>
    </xf>
    <xf numFmtId="0" fontId="73" fillId="6" borderId="0" xfId="9" applyFont="1" applyFill="1" applyAlignment="1" applyProtection="1">
      <alignment horizontal="center" vertical="center"/>
      <protection hidden="1"/>
    </xf>
    <xf numFmtId="0" fontId="233" fillId="6" borderId="36" xfId="9" applyFont="1" applyFill="1" applyBorder="1" applyAlignment="1" applyProtection="1">
      <alignment horizontal="center" vertical="center"/>
      <protection hidden="1"/>
    </xf>
    <xf numFmtId="0" fontId="73" fillId="6" borderId="40" xfId="20" applyFont="1" applyFill="1" applyBorder="1" applyAlignment="1" applyProtection="1">
      <alignment horizontal="center" vertical="center"/>
      <protection hidden="1"/>
    </xf>
    <xf numFmtId="0" fontId="8" fillId="6" borderId="0" xfId="9" applyFill="1" applyProtection="1">
      <protection hidden="1"/>
    </xf>
    <xf numFmtId="0" fontId="73" fillId="6" borderId="144" xfId="5" applyFont="1" applyFill="1" applyBorder="1" applyAlignment="1" applyProtection="1">
      <alignment horizontal="center" vertical="center"/>
      <protection hidden="1"/>
    </xf>
    <xf numFmtId="0" fontId="73" fillId="6" borderId="38" xfId="9" applyFont="1" applyFill="1" applyBorder="1" applyAlignment="1" applyProtection="1">
      <alignment horizontal="center" vertical="center"/>
      <protection hidden="1"/>
    </xf>
    <xf numFmtId="0" fontId="73" fillId="6" borderId="40" xfId="9" applyFont="1" applyFill="1" applyBorder="1" applyAlignment="1" applyProtection="1">
      <alignment horizontal="center" vertical="center"/>
      <protection hidden="1"/>
    </xf>
    <xf numFmtId="0" fontId="47" fillId="6" borderId="18" xfId="18" applyFont="1" applyFill="1" applyBorder="1" applyAlignment="1" applyProtection="1">
      <alignment horizontal="center" vertical="center"/>
      <protection hidden="1"/>
    </xf>
    <xf numFmtId="0" fontId="47" fillId="6" borderId="17" xfId="18" applyFont="1" applyFill="1" applyBorder="1" applyAlignment="1" applyProtection="1">
      <alignment horizontal="center" vertical="center"/>
      <protection hidden="1"/>
    </xf>
    <xf numFmtId="0" fontId="70" fillId="6" borderId="0" xfId="9" applyFont="1" applyFill="1" applyBorder="1" applyAlignment="1" applyProtection="1">
      <alignment horizontal="center" vertical="center"/>
      <protection hidden="1"/>
    </xf>
    <xf numFmtId="0" fontId="77" fillId="6" borderId="0" xfId="9" applyFont="1" applyFill="1" applyBorder="1" applyProtection="1">
      <protection hidden="1"/>
    </xf>
    <xf numFmtId="0" fontId="47" fillId="6" borderId="0" xfId="18" applyFont="1" applyFill="1" applyBorder="1" applyAlignment="1" applyProtection="1">
      <alignment horizontal="center" vertical="center"/>
      <protection hidden="1"/>
    </xf>
    <xf numFmtId="10" fontId="51" fillId="6" borderId="0" xfId="20" applyNumberFormat="1" applyFont="1" applyFill="1" applyBorder="1" applyAlignment="1" applyProtection="1">
      <alignment horizontal="center" vertical="center" wrapText="1"/>
      <protection hidden="1"/>
    </xf>
    <xf numFmtId="0" fontId="180" fillId="6" borderId="0" xfId="20" applyFont="1" applyFill="1" applyBorder="1" applyAlignment="1" applyProtection="1">
      <alignment horizontal="center" textRotation="45" wrapText="1"/>
      <protection hidden="1"/>
    </xf>
    <xf numFmtId="0" fontId="181" fillId="0" borderId="0" xfId="20" applyFont="1" applyBorder="1" applyAlignment="1" applyProtection="1">
      <alignment horizontal="center" vertical="center"/>
      <protection hidden="1"/>
    </xf>
    <xf numFmtId="0" fontId="183" fillId="0" borderId="0" xfId="20" applyFont="1" applyAlignment="1" applyProtection="1">
      <alignment horizontal="left" vertical="center" wrapText="1"/>
      <protection hidden="1"/>
    </xf>
    <xf numFmtId="0" fontId="87" fillId="0" borderId="0" xfId="20" applyFont="1" applyAlignment="1" applyProtection="1">
      <alignment horizontal="center" vertical="center"/>
      <protection hidden="1"/>
    </xf>
    <xf numFmtId="0" fontId="89" fillId="6" borderId="0" xfId="18" applyFont="1" applyFill="1" applyBorder="1" applyAlignment="1" applyProtection="1">
      <alignment horizontal="center" vertical="center" wrapText="1"/>
      <protection hidden="1"/>
    </xf>
    <xf numFmtId="0" fontId="183" fillId="0" borderId="0" xfId="29" applyFont="1" applyAlignment="1" applyProtection="1">
      <alignment horizontal="left" vertical="center" wrapText="1"/>
      <protection hidden="1"/>
    </xf>
    <xf numFmtId="0" fontId="133" fillId="0" borderId="0" xfId="29" applyFont="1" applyAlignment="1" applyProtection="1">
      <alignment horizontal="left" vertical="center"/>
      <protection hidden="1"/>
    </xf>
    <xf numFmtId="0" fontId="135" fillId="0" borderId="0" xfId="20" applyFont="1" applyAlignment="1" applyProtection="1">
      <alignment horizontal="left" vertical="center"/>
      <protection hidden="1"/>
    </xf>
    <xf numFmtId="0" fontId="119" fillId="0" borderId="0" xfId="20" applyFont="1" applyAlignment="1" applyProtection="1">
      <alignment horizontal="center" vertical="center"/>
      <protection hidden="1"/>
    </xf>
    <xf numFmtId="0" fontId="68" fillId="0" borderId="0" xfId="20" applyFont="1" applyAlignment="1" applyProtection="1">
      <alignment horizontal="left" vertical="center"/>
      <protection hidden="1"/>
    </xf>
    <xf numFmtId="0" fontId="156" fillId="0" borderId="0" xfId="20" applyFont="1" applyAlignment="1" applyProtection="1">
      <alignment horizontal="left" vertical="center"/>
      <protection hidden="1"/>
    </xf>
    <xf numFmtId="0" fontId="149" fillId="0" borderId="0" xfId="20" applyFont="1" applyBorder="1" applyAlignment="1" applyProtection="1">
      <alignment horizontal="center" vertical="center"/>
      <protection hidden="1"/>
    </xf>
    <xf numFmtId="0" fontId="148" fillId="0" borderId="0" xfId="20" applyFont="1" applyBorder="1" applyAlignment="1" applyProtection="1">
      <alignment horizontal="center" vertical="center"/>
      <protection hidden="1"/>
    </xf>
    <xf numFmtId="0" fontId="150" fillId="6" borderId="0" xfId="18" applyFont="1" applyFill="1" applyBorder="1" applyAlignment="1" applyProtection="1">
      <alignment horizontal="center" vertical="center" wrapText="1"/>
      <protection hidden="1"/>
    </xf>
    <xf numFmtId="0" fontId="119" fillId="0" borderId="0" xfId="9" applyFont="1" applyBorder="1" applyAlignment="1" applyProtection="1">
      <alignment horizontal="center" wrapText="1"/>
      <protection hidden="1"/>
    </xf>
    <xf numFmtId="0" fontId="175" fillId="0" borderId="0" xfId="9" applyFont="1" applyBorder="1" applyAlignment="1" applyProtection="1">
      <alignment horizontal="center" vertical="center"/>
      <protection hidden="1"/>
    </xf>
    <xf numFmtId="0" fontId="173" fillId="0" borderId="0" xfId="9" applyFont="1" applyBorder="1" applyAlignment="1" applyProtection="1">
      <alignment horizontal="center" vertical="center"/>
      <protection hidden="1"/>
    </xf>
    <xf numFmtId="0" fontId="102" fillId="0" borderId="0" xfId="9" applyFont="1" applyFill="1" applyBorder="1" applyAlignment="1" applyProtection="1">
      <alignment horizontal="center" vertical="center"/>
      <protection hidden="1"/>
    </xf>
    <xf numFmtId="0" fontId="196" fillId="6" borderId="0" xfId="9" applyFont="1" applyFill="1" applyBorder="1" applyAlignment="1" applyProtection="1">
      <alignment horizontal="center" vertical="center"/>
      <protection hidden="1"/>
    </xf>
    <xf numFmtId="0" fontId="40" fillId="6" borderId="0" xfId="9" applyFont="1" applyFill="1" applyAlignment="1" applyProtection="1">
      <alignment horizontal="right" vertical="center"/>
      <protection hidden="1"/>
    </xf>
    <xf numFmtId="0" fontId="39" fillId="6" borderId="0" xfId="0" applyFont="1" applyFill="1" applyBorder="1" applyProtection="1">
      <protection hidden="1"/>
    </xf>
    <xf numFmtId="1" fontId="39" fillId="6" borderId="0" xfId="0" applyNumberFormat="1" applyFont="1" applyFill="1" applyBorder="1" applyProtection="1">
      <protection hidden="1"/>
    </xf>
    <xf numFmtId="0" fontId="39" fillId="6" borderId="0" xfId="5" applyFont="1" applyFill="1" applyBorder="1" applyAlignment="1" applyProtection="1">
      <alignment horizontal="center" vertical="center"/>
      <protection hidden="1"/>
    </xf>
    <xf numFmtId="0" fontId="39" fillId="6" borderId="0" xfId="5" applyNumberFormat="1" applyFont="1" applyFill="1" applyBorder="1" applyAlignment="1" applyProtection="1">
      <alignment horizontal="center" vertical="center"/>
      <protection hidden="1"/>
    </xf>
    <xf numFmtId="2" fontId="39" fillId="6" borderId="0" xfId="5" applyNumberFormat="1" applyFont="1" applyFill="1" applyBorder="1" applyAlignment="1" applyProtection="1">
      <alignment horizontal="center" vertical="center"/>
      <protection hidden="1"/>
    </xf>
    <xf numFmtId="0" fontId="39" fillId="6" borderId="0" xfId="0" applyFont="1" applyFill="1" applyBorder="1" applyAlignment="1" applyProtection="1">
      <alignment horizontal="center" vertical="center"/>
      <protection hidden="1"/>
    </xf>
    <xf numFmtId="0" fontId="338" fillId="6" borderId="0" xfId="4" applyFont="1" applyFill="1" applyBorder="1" applyAlignment="1" applyProtection="1">
      <alignment horizontal="center" vertical="center"/>
      <protection hidden="1"/>
    </xf>
    <xf numFmtId="2" fontId="39" fillId="6" borderId="0" xfId="0" applyNumberFormat="1" applyFont="1" applyFill="1" applyBorder="1" applyAlignment="1" applyProtection="1">
      <alignment horizontal="center" vertical="center"/>
      <protection hidden="1"/>
    </xf>
    <xf numFmtId="0" fontId="366" fillId="6" borderId="0" xfId="0" applyFont="1" applyFill="1" applyBorder="1" applyAlignment="1" applyProtection="1">
      <alignment horizontal="center" vertical="center"/>
      <protection hidden="1"/>
    </xf>
    <xf numFmtId="1" fontId="39" fillId="6" borderId="0" xfId="0" applyNumberFormat="1" applyFont="1" applyFill="1" applyBorder="1" applyAlignment="1" applyProtection="1">
      <alignment horizontal="center" vertical="center"/>
      <protection hidden="1"/>
    </xf>
    <xf numFmtId="0" fontId="39" fillId="6" borderId="0" xfId="0" applyNumberFormat="1" applyFont="1" applyFill="1" applyBorder="1" applyAlignment="1" applyProtection="1">
      <alignment horizontal="center" vertical="center"/>
      <protection hidden="1"/>
    </xf>
    <xf numFmtId="2" fontId="338" fillId="6" borderId="0" xfId="4" applyNumberFormat="1" applyFont="1" applyFill="1" applyBorder="1" applyAlignment="1" applyProtection="1">
      <alignment horizontal="center" vertical="center"/>
      <protection hidden="1"/>
    </xf>
    <xf numFmtId="0" fontId="39" fillId="6" borderId="0" xfId="0" applyFont="1" applyFill="1" applyAlignment="1" applyProtection="1">
      <alignment horizontal="center" vertical="center"/>
      <protection hidden="1"/>
    </xf>
    <xf numFmtId="2" fontId="39" fillId="6" borderId="0" xfId="0" applyNumberFormat="1" applyFont="1" applyFill="1" applyAlignment="1" applyProtection="1">
      <alignment horizontal="center" vertical="center"/>
      <protection hidden="1"/>
    </xf>
    <xf numFmtId="1" fontId="39" fillId="6" borderId="0" xfId="0" applyNumberFormat="1" applyFont="1" applyFill="1" applyAlignment="1" applyProtection="1">
      <alignment horizontal="center" vertical="center"/>
      <protection hidden="1"/>
    </xf>
    <xf numFmtId="2" fontId="338" fillId="6" borderId="0" xfId="4" applyNumberFormat="1" applyFont="1" applyFill="1" applyAlignment="1" applyProtection="1">
      <alignment horizontal="center" vertical="center"/>
      <protection hidden="1"/>
    </xf>
    <xf numFmtId="1" fontId="338" fillId="6" borderId="0" xfId="4" applyNumberFormat="1" applyFont="1" applyFill="1" applyAlignment="1" applyProtection="1">
      <alignment horizontal="center" vertical="center"/>
      <protection hidden="1"/>
    </xf>
    <xf numFmtId="0" fontId="338" fillId="6" borderId="0" xfId="4" applyFont="1" applyFill="1" applyAlignment="1" applyProtection="1">
      <alignment horizontal="center" vertical="center"/>
      <protection hidden="1"/>
    </xf>
    <xf numFmtId="0" fontId="39" fillId="6" borderId="0" xfId="0" applyNumberFormat="1" applyFont="1" applyFill="1" applyAlignment="1" applyProtection="1">
      <alignment horizontal="center" vertical="center"/>
      <protection hidden="1"/>
    </xf>
    <xf numFmtId="0" fontId="366" fillId="6" borderId="0" xfId="0" applyFont="1" applyFill="1" applyBorder="1" applyProtection="1">
      <protection hidden="1"/>
    </xf>
    <xf numFmtId="2" fontId="366" fillId="6" borderId="0" xfId="0" applyNumberFormat="1" applyFont="1" applyFill="1" applyBorder="1" applyProtection="1">
      <protection hidden="1"/>
    </xf>
    <xf numFmtId="10" fontId="366" fillId="6" borderId="0" xfId="0" applyNumberFormat="1" applyFont="1" applyFill="1" applyBorder="1" applyProtection="1">
      <protection hidden="1"/>
    </xf>
    <xf numFmtId="2" fontId="39" fillId="6" borderId="0" xfId="0" applyNumberFormat="1" applyFont="1" applyFill="1" applyProtection="1">
      <protection hidden="1"/>
    </xf>
    <xf numFmtId="1" fontId="366" fillId="6" borderId="0" xfId="0" applyNumberFormat="1" applyFont="1" applyFill="1" applyBorder="1" applyProtection="1">
      <protection hidden="1"/>
    </xf>
    <xf numFmtId="1" fontId="39" fillId="6" borderId="0" xfId="0" applyNumberFormat="1" applyFont="1" applyFill="1" applyProtection="1">
      <protection hidden="1"/>
    </xf>
    <xf numFmtId="10" fontId="366" fillId="6" borderId="0" xfId="0" applyNumberFormat="1" applyFont="1" applyFill="1" applyProtection="1">
      <protection hidden="1"/>
    </xf>
    <xf numFmtId="0" fontId="322" fillId="0" borderId="0" xfId="41" applyFont="1" applyAlignment="1" applyProtection="1">
      <alignment horizontal="center" vertical="center"/>
      <protection hidden="1"/>
    </xf>
    <xf numFmtId="0" fontId="19" fillId="6" borderId="0" xfId="36" applyFont="1" applyFill="1" applyBorder="1" applyAlignment="1" applyProtection="1">
      <alignment horizontal="center" vertical="center" wrapText="1"/>
      <protection hidden="1"/>
    </xf>
    <xf numFmtId="0" fontId="17" fillId="6" borderId="0" xfId="36" applyFont="1" applyFill="1" applyAlignment="1" applyProtection="1">
      <alignment horizontal="center" vertical="center"/>
      <protection hidden="1"/>
    </xf>
    <xf numFmtId="0" fontId="19" fillId="6" borderId="0" xfId="36" applyFont="1" applyFill="1" applyAlignment="1" applyProtection="1">
      <alignment horizontal="center" vertical="center"/>
      <protection hidden="1"/>
    </xf>
    <xf numFmtId="0" fontId="287" fillId="6" borderId="0" xfId="36" applyFont="1" applyFill="1" applyAlignment="1" applyProtection="1">
      <alignment horizontal="center" vertical="center"/>
      <protection hidden="1"/>
    </xf>
    <xf numFmtId="0" fontId="17" fillId="6" borderId="0" xfId="36" applyFont="1" applyFill="1" applyBorder="1" applyAlignment="1" applyProtection="1">
      <alignment horizontal="center" vertical="center"/>
      <protection hidden="1"/>
    </xf>
    <xf numFmtId="0" fontId="17" fillId="6" borderId="191" xfId="36" applyFont="1" applyFill="1" applyBorder="1" applyAlignment="1" applyProtection="1">
      <alignment horizontal="center" vertical="center"/>
      <protection hidden="1"/>
    </xf>
    <xf numFmtId="0" fontId="285" fillId="6" borderId="0" xfId="36" applyFont="1" applyFill="1" applyAlignment="1" applyProtection="1">
      <alignment horizontal="center" vertical="center"/>
      <protection hidden="1"/>
    </xf>
    <xf numFmtId="0" fontId="285" fillId="6" borderId="0" xfId="36" applyFont="1" applyFill="1" applyBorder="1" applyAlignment="1" applyProtection="1">
      <alignment horizontal="center" vertical="center"/>
      <protection hidden="1"/>
    </xf>
    <xf numFmtId="0" fontId="88" fillId="6" borderId="206" xfId="36" applyFont="1" applyFill="1" applyBorder="1" applyAlignment="1" applyProtection="1">
      <alignment horizontal="left" vertical="center"/>
      <protection hidden="1"/>
    </xf>
    <xf numFmtId="0" fontId="2" fillId="6" borderId="0" xfId="1" applyFill="1" applyProtection="1">
      <protection hidden="1"/>
    </xf>
    <xf numFmtId="1" fontId="88" fillId="6" borderId="0" xfId="36" applyNumberFormat="1" applyFont="1" applyFill="1" applyAlignment="1" applyProtection="1">
      <alignment horizontal="left" vertical="center"/>
      <protection hidden="1"/>
    </xf>
    <xf numFmtId="0" fontId="285" fillId="6" borderId="0" xfId="36" applyFont="1" applyFill="1" applyAlignment="1" applyProtection="1">
      <alignment horizontal="left"/>
      <protection hidden="1"/>
    </xf>
    <xf numFmtId="0" fontId="285" fillId="6" borderId="206" xfId="36" applyFont="1" applyFill="1" applyBorder="1" applyAlignment="1" applyProtection="1">
      <alignment horizontal="left"/>
      <protection hidden="1"/>
    </xf>
    <xf numFmtId="0" fontId="1" fillId="6" borderId="0" xfId="36" applyFill="1" applyProtection="1">
      <protection hidden="1"/>
    </xf>
    <xf numFmtId="0" fontId="19" fillId="6" borderId="206" xfId="36" applyFont="1" applyFill="1" applyBorder="1" applyAlignment="1" applyProtection="1">
      <alignment horizontal="center" vertical="center"/>
      <protection hidden="1"/>
    </xf>
    <xf numFmtId="0" fontId="367" fillId="6" borderId="0" xfId="36" applyFont="1" applyFill="1" applyBorder="1" applyAlignment="1" applyProtection="1">
      <alignment wrapText="1"/>
      <protection hidden="1"/>
    </xf>
    <xf numFmtId="0" fontId="367" fillId="6" borderId="0" xfId="36" applyFont="1" applyFill="1" applyProtection="1">
      <protection hidden="1"/>
    </xf>
    <xf numFmtId="0" fontId="367" fillId="0" borderId="0" xfId="36" applyFont="1" applyProtection="1">
      <protection hidden="1"/>
    </xf>
    <xf numFmtId="0" fontId="367" fillId="6" borderId="0" xfId="36" applyFont="1" applyFill="1" applyBorder="1" applyProtection="1">
      <protection hidden="1"/>
    </xf>
    <xf numFmtId="0" fontId="367" fillId="6" borderId="0" xfId="36" applyFont="1" applyFill="1" applyBorder="1" applyAlignment="1" applyProtection="1">
      <alignment horizontal="center" vertical="center" wrapText="1"/>
      <protection hidden="1"/>
    </xf>
    <xf numFmtId="0" fontId="367" fillId="6" borderId="0" xfId="36" applyFont="1" applyFill="1" applyBorder="1" applyAlignment="1" applyProtection="1">
      <alignment horizontal="center" vertical="center"/>
      <protection hidden="1"/>
    </xf>
    <xf numFmtId="0" fontId="367" fillId="6" borderId="0" xfId="36" applyFont="1" applyFill="1" applyBorder="1" applyAlignment="1" applyProtection="1">
      <alignment horizontal="right"/>
      <protection hidden="1"/>
    </xf>
    <xf numFmtId="9" fontId="367" fillId="6" borderId="0" xfId="36" applyNumberFormat="1" applyFont="1" applyFill="1" applyBorder="1" applyAlignment="1" applyProtection="1">
      <alignment horizontal="right"/>
      <protection hidden="1"/>
    </xf>
    <xf numFmtId="1" fontId="367" fillId="6" borderId="0" xfId="36" applyNumberFormat="1" applyFont="1" applyFill="1" applyBorder="1" applyAlignment="1" applyProtection="1">
      <alignment horizontal="right"/>
      <protection hidden="1"/>
    </xf>
    <xf numFmtId="10" fontId="367" fillId="6" borderId="0" xfId="36" applyNumberFormat="1" applyFont="1" applyFill="1" applyBorder="1" applyAlignment="1" applyProtection="1">
      <alignment horizontal="right"/>
      <protection hidden="1"/>
    </xf>
    <xf numFmtId="0" fontId="367" fillId="6" borderId="0" xfId="2" applyFont="1" applyFill="1" applyBorder="1" applyAlignment="1" applyProtection="1">
      <alignment wrapText="1"/>
      <protection hidden="1"/>
    </xf>
    <xf numFmtId="0" fontId="367" fillId="0" borderId="190" xfId="36" applyFont="1" applyBorder="1" applyProtection="1">
      <protection hidden="1"/>
    </xf>
    <xf numFmtId="0" fontId="367" fillId="0" borderId="189" xfId="36" applyFont="1" applyBorder="1" applyProtection="1">
      <protection hidden="1"/>
    </xf>
    <xf numFmtId="0" fontId="367" fillId="0" borderId="185" xfId="36" applyFont="1" applyBorder="1" applyAlignment="1" applyProtection="1">
      <alignment wrapText="1"/>
      <protection hidden="1"/>
    </xf>
    <xf numFmtId="0" fontId="367" fillId="0" borderId="186" xfId="36" applyFont="1" applyBorder="1" applyAlignment="1" applyProtection="1">
      <alignment wrapText="1"/>
      <protection hidden="1"/>
    </xf>
    <xf numFmtId="0" fontId="367" fillId="0" borderId="185" xfId="36" applyFont="1" applyBorder="1" applyProtection="1">
      <protection hidden="1"/>
    </xf>
    <xf numFmtId="0" fontId="369" fillId="6" borderId="0" xfId="0" applyFont="1" applyFill="1" applyProtection="1">
      <protection hidden="1"/>
    </xf>
    <xf numFmtId="0" fontId="271" fillId="6" borderId="0" xfId="3" applyFont="1" applyFill="1" applyAlignment="1" applyProtection="1">
      <alignment vertical="top"/>
      <protection hidden="1"/>
    </xf>
    <xf numFmtId="0" fontId="0" fillId="34" borderId="0" xfId="0" applyFill="1" applyProtection="1">
      <protection hidden="1"/>
    </xf>
    <xf numFmtId="0" fontId="0" fillId="15" borderId="0" xfId="0" applyFill="1" applyProtection="1">
      <protection hidden="1"/>
    </xf>
    <xf numFmtId="0" fontId="420" fillId="6" borderId="0" xfId="0" applyFont="1" applyFill="1" applyBorder="1" applyAlignment="1" applyProtection="1">
      <alignment horizontal="center" vertical="center"/>
      <protection hidden="1"/>
    </xf>
    <xf numFmtId="0" fontId="420" fillId="6" borderId="0" xfId="0" applyFont="1" applyFill="1" applyAlignment="1" applyProtection="1">
      <alignment horizontal="center" vertical="center"/>
      <protection hidden="1"/>
    </xf>
    <xf numFmtId="0" fontId="420" fillId="6" borderId="0" xfId="0" applyFont="1" applyFill="1" applyBorder="1" applyProtection="1">
      <protection hidden="1"/>
    </xf>
    <xf numFmtId="0" fontId="421" fillId="6" borderId="0" xfId="0" applyFont="1" applyFill="1" applyBorder="1" applyAlignment="1" applyProtection="1">
      <alignment horizontal="center"/>
      <protection hidden="1"/>
    </xf>
    <xf numFmtId="0" fontId="420" fillId="6" borderId="0" xfId="0" applyFont="1" applyFill="1" applyProtection="1">
      <protection hidden="1"/>
    </xf>
    <xf numFmtId="0" fontId="13" fillId="15" borderId="0" xfId="0" applyFont="1" applyFill="1" applyAlignment="1" applyProtection="1">
      <alignment horizontal="center" vertical="center"/>
      <protection hidden="1"/>
    </xf>
    <xf numFmtId="0" fontId="420" fillId="15" borderId="0" xfId="0" applyFont="1" applyFill="1" applyAlignment="1" applyProtection="1">
      <alignment horizontal="center" vertical="center"/>
      <protection hidden="1"/>
    </xf>
    <xf numFmtId="0" fontId="13" fillId="15" borderId="0" xfId="0" applyFont="1" applyFill="1" applyProtection="1">
      <protection hidden="1"/>
    </xf>
    <xf numFmtId="0" fontId="420" fillId="15" borderId="0" xfId="0" applyFont="1" applyFill="1" applyProtection="1">
      <protection hidden="1"/>
    </xf>
    <xf numFmtId="0" fontId="16" fillId="6" borderId="0" xfId="0" applyFont="1" applyFill="1" applyBorder="1" applyAlignment="1" applyProtection="1">
      <alignment horizontal="center"/>
      <protection hidden="1"/>
    </xf>
    <xf numFmtId="0" fontId="0" fillId="17" borderId="0" xfId="0" applyFill="1" applyProtection="1">
      <protection hidden="1"/>
    </xf>
    <xf numFmtId="0" fontId="17" fillId="17" borderId="0" xfId="0" applyFont="1" applyFill="1" applyAlignment="1" applyProtection="1">
      <alignment vertical="center" wrapText="1"/>
      <protection hidden="1"/>
    </xf>
    <xf numFmtId="0" fontId="20" fillId="13" borderId="1" xfId="0" applyFont="1" applyFill="1" applyBorder="1" applyAlignment="1" applyProtection="1">
      <alignment horizontal="center" vertical="center"/>
      <protection hidden="1"/>
    </xf>
    <xf numFmtId="0" fontId="18" fillId="17" borderId="0" xfId="0" applyFont="1" applyFill="1" applyProtection="1">
      <protection hidden="1"/>
    </xf>
    <xf numFmtId="0" fontId="20" fillId="13" borderId="3" xfId="0" applyFont="1" applyFill="1" applyBorder="1" applyAlignment="1" applyProtection="1">
      <alignment horizontal="center" vertical="center"/>
      <protection hidden="1"/>
    </xf>
    <xf numFmtId="0" fontId="21" fillId="13" borderId="3" xfId="0" applyFont="1" applyFill="1" applyBorder="1" applyAlignment="1" applyProtection="1">
      <alignment horizontal="center" vertical="center"/>
      <protection hidden="1"/>
    </xf>
    <xf numFmtId="0" fontId="32" fillId="12" borderId="1" xfId="0" applyFont="1" applyFill="1" applyBorder="1" applyAlignment="1" applyProtection="1">
      <alignment horizontal="center"/>
      <protection hidden="1"/>
    </xf>
    <xf numFmtId="0" fontId="33" fillId="17" borderId="0" xfId="0" applyFont="1" applyFill="1" applyBorder="1" applyAlignment="1" applyProtection="1">
      <alignment horizontal="center"/>
      <protection hidden="1"/>
    </xf>
    <xf numFmtId="0" fontId="269" fillId="17" borderId="0" xfId="0" applyFont="1" applyFill="1" applyBorder="1" applyAlignment="1" applyProtection="1">
      <alignment horizontal="center" vertical="center"/>
      <protection hidden="1"/>
    </xf>
    <xf numFmtId="0" fontId="33" fillId="17" borderId="6" xfId="0" applyFont="1" applyFill="1" applyBorder="1" applyAlignment="1" applyProtection="1">
      <alignment horizontal="center" vertical="center"/>
      <protection hidden="1"/>
    </xf>
    <xf numFmtId="0" fontId="17" fillId="17" borderId="0" xfId="0" applyFont="1" applyFill="1" applyAlignment="1" applyProtection="1">
      <alignment horizontal="center" vertical="center"/>
      <protection hidden="1"/>
    </xf>
    <xf numFmtId="0" fontId="34" fillId="17" borderId="0" xfId="0" applyFont="1" applyFill="1" applyAlignment="1" applyProtection="1">
      <alignment vertical="center"/>
      <protection hidden="1"/>
    </xf>
    <xf numFmtId="0" fontId="34" fillId="17" borderId="0" xfId="0" applyFont="1" applyFill="1" applyBorder="1" applyAlignment="1" applyProtection="1">
      <alignment vertical="center"/>
      <protection hidden="1"/>
    </xf>
    <xf numFmtId="0" fontId="0" fillId="17" borderId="91" xfId="0" applyFill="1" applyBorder="1" applyAlignment="1" applyProtection="1">
      <protection hidden="1"/>
    </xf>
    <xf numFmtId="0" fontId="416" fillId="17" borderId="0" xfId="21" applyFont="1" applyFill="1" applyAlignment="1" applyProtection="1">
      <alignment horizontal="center" vertical="center"/>
      <protection hidden="1"/>
    </xf>
    <xf numFmtId="0" fontId="0" fillId="17" borderId="0" xfId="0" applyFill="1" applyAlignment="1" applyProtection="1">
      <protection hidden="1"/>
    </xf>
    <xf numFmtId="0" fontId="0" fillId="0" borderId="0" xfId="0" applyProtection="1">
      <protection hidden="1"/>
    </xf>
    <xf numFmtId="0" fontId="0" fillId="6" borderId="0" xfId="0" applyFill="1" applyProtection="1">
      <protection hidden="1"/>
    </xf>
    <xf numFmtId="0" fontId="415" fillId="17" borderId="0" xfId="21" applyFont="1" applyFill="1" applyAlignment="1" applyProtection="1">
      <alignment horizontal="center" vertical="center"/>
      <protection hidden="1"/>
    </xf>
    <xf numFmtId="0" fontId="33" fillId="17" borderId="0" xfId="0" applyFont="1" applyFill="1" applyBorder="1" applyAlignment="1" applyProtection="1">
      <alignment horizontal="center" vertical="center"/>
      <protection hidden="1"/>
    </xf>
    <xf numFmtId="0" fontId="276" fillId="6" borderId="0" xfId="17" applyFont="1" applyFill="1" applyBorder="1" applyAlignment="1" applyProtection="1">
      <alignment vertical="center"/>
      <protection hidden="1"/>
    </xf>
    <xf numFmtId="0" fontId="274" fillId="6" borderId="0" xfId="17" applyFont="1" applyFill="1" applyBorder="1" applyAlignment="1" applyProtection="1">
      <alignment vertical="center"/>
      <protection hidden="1"/>
    </xf>
    <xf numFmtId="0" fontId="27" fillId="15" borderId="270" xfId="0" applyFont="1" applyFill="1" applyBorder="1" applyAlignment="1" applyProtection="1">
      <alignment horizontal="center" vertical="center"/>
      <protection hidden="1"/>
    </xf>
    <xf numFmtId="0" fontId="24" fillId="6" borderId="0" xfId="0" applyFont="1" applyFill="1" applyProtection="1">
      <protection hidden="1"/>
    </xf>
    <xf numFmtId="0" fontId="368" fillId="6" borderId="0" xfId="0" applyFont="1" applyFill="1" applyBorder="1" applyAlignment="1" applyProtection="1">
      <alignment horizontal="center" vertical="center"/>
      <protection hidden="1"/>
    </xf>
    <xf numFmtId="2" fontId="368" fillId="6" borderId="0" xfId="0" applyNumberFormat="1" applyFont="1" applyFill="1" applyBorder="1" applyAlignment="1" applyProtection="1">
      <alignment horizontal="center" vertical="center"/>
      <protection hidden="1"/>
    </xf>
    <xf numFmtId="0" fontId="368" fillId="6" borderId="0" xfId="0" applyFont="1" applyFill="1" applyAlignment="1" applyProtection="1">
      <alignment horizontal="center" vertical="center"/>
      <protection hidden="1"/>
    </xf>
    <xf numFmtId="0" fontId="384" fillId="6" borderId="0" xfId="20" applyFont="1" applyFill="1" applyBorder="1" applyAlignment="1" applyProtection="1">
      <alignment horizontal="right"/>
      <protection hidden="1"/>
    </xf>
    <xf numFmtId="0" fontId="424" fillId="6" borderId="0" xfId="18" applyFont="1" applyFill="1" applyBorder="1" applyAlignment="1" applyProtection="1">
      <alignment vertical="center"/>
      <protection hidden="1"/>
    </xf>
    <xf numFmtId="0" fontId="393" fillId="6" borderId="0" xfId="18" applyFont="1" applyFill="1" applyBorder="1" applyAlignment="1" applyProtection="1">
      <alignment vertical="center" wrapText="1"/>
      <protection hidden="1"/>
    </xf>
    <xf numFmtId="0" fontId="87" fillId="6" borderId="29" xfId="18" applyFont="1" applyFill="1" applyBorder="1" applyAlignment="1" applyProtection="1">
      <alignment horizontal="center"/>
      <protection hidden="1"/>
    </xf>
    <xf numFmtId="0" fontId="391" fillId="6" borderId="0" xfId="20" applyFont="1" applyFill="1" applyProtection="1">
      <protection hidden="1"/>
    </xf>
    <xf numFmtId="0" fontId="425" fillId="6" borderId="0" xfId="20" applyFont="1" applyFill="1" applyBorder="1" applyAlignment="1" applyProtection="1">
      <alignment vertical="center"/>
      <protection hidden="1"/>
    </xf>
    <xf numFmtId="0" fontId="378" fillId="6" borderId="0" xfId="20" applyFont="1" applyFill="1" applyProtection="1">
      <protection hidden="1"/>
    </xf>
    <xf numFmtId="0" fontId="87" fillId="6" borderId="0" xfId="20" applyFont="1" applyFill="1" applyProtection="1">
      <protection hidden="1"/>
    </xf>
    <xf numFmtId="0" fontId="87" fillId="6" borderId="0" xfId="20" applyFont="1" applyFill="1" applyBorder="1" applyAlignment="1" applyProtection="1">
      <alignment vertical="center"/>
      <protection hidden="1"/>
    </xf>
    <xf numFmtId="0" fontId="87" fillId="6" borderId="0" xfId="20" applyFont="1" applyFill="1" applyBorder="1" applyAlignment="1" applyProtection="1">
      <alignment horizontal="right" vertical="center"/>
      <protection hidden="1"/>
    </xf>
    <xf numFmtId="0" fontId="390" fillId="6" borderId="19" xfId="20" applyFont="1" applyFill="1" applyBorder="1" applyAlignment="1" applyProtection="1">
      <alignment horizontal="right" vertical="center"/>
      <protection hidden="1"/>
    </xf>
    <xf numFmtId="0" fontId="12" fillId="6" borderId="18" xfId="18" applyFont="1" applyFill="1" applyBorder="1" applyAlignment="1" applyProtection="1">
      <alignment horizontal="center" vertical="center"/>
      <protection hidden="1"/>
    </xf>
    <xf numFmtId="0" fontId="55" fillId="6" borderId="18" xfId="18" applyFont="1" applyFill="1" applyBorder="1" applyAlignment="1" applyProtection="1">
      <alignment vertical="center"/>
      <protection hidden="1"/>
    </xf>
    <xf numFmtId="0" fontId="87" fillId="0" borderId="140" xfId="18" applyFont="1" applyBorder="1" applyAlignment="1" applyProtection="1">
      <alignment horizontal="center"/>
      <protection hidden="1"/>
    </xf>
    <xf numFmtId="0" fontId="191" fillId="0" borderId="29" xfId="20" applyFont="1" applyBorder="1" applyAlignment="1" applyProtection="1">
      <alignment horizontal="center" vertical="center"/>
      <protection hidden="1"/>
    </xf>
    <xf numFmtId="1" fontId="87" fillId="0" borderId="140" xfId="20" applyNumberFormat="1" applyFont="1" applyBorder="1" applyAlignment="1" applyProtection="1">
      <alignment horizontal="center" vertical="center"/>
      <protection hidden="1"/>
    </xf>
    <xf numFmtId="1" fontId="191" fillId="0" borderId="29" xfId="18" applyNumberFormat="1" applyFont="1" applyBorder="1" applyAlignment="1" applyProtection="1">
      <alignment horizontal="center"/>
      <protection hidden="1"/>
    </xf>
    <xf numFmtId="1" fontId="191" fillId="0" borderId="140" xfId="18" applyNumberFormat="1" applyFont="1" applyBorder="1" applyAlignment="1" applyProtection="1">
      <alignment horizontal="center"/>
      <protection hidden="1"/>
    </xf>
    <xf numFmtId="0" fontId="191" fillId="0" borderId="140" xfId="18" applyFont="1" applyBorder="1" applyAlignment="1" applyProtection="1">
      <alignment horizontal="center" vertical="center"/>
      <protection hidden="1"/>
    </xf>
    <xf numFmtId="0" fontId="87" fillId="0" borderId="29" xfId="18" applyFont="1" applyBorder="1" applyAlignment="1" applyProtection="1">
      <alignment horizontal="center"/>
      <protection hidden="1"/>
    </xf>
    <xf numFmtId="0" fontId="191" fillId="0" borderId="29" xfId="18" applyFont="1" applyBorder="1" applyAlignment="1" applyProtection="1">
      <alignment horizontal="center" vertical="center"/>
      <protection hidden="1"/>
    </xf>
    <xf numFmtId="0" fontId="87" fillId="0" borderId="29" xfId="18" applyFont="1" applyBorder="1" applyAlignment="1" applyProtection="1">
      <alignment horizontal="center" vertical="center"/>
      <protection hidden="1"/>
    </xf>
    <xf numFmtId="0" fontId="8" fillId="6" borderId="0" xfId="9" applyFill="1" applyProtection="1">
      <protection hidden="1"/>
    </xf>
    <xf numFmtId="1" fontId="87" fillId="6" borderId="0" xfId="18" applyNumberFormat="1" applyFont="1" applyFill="1" applyBorder="1" applyAlignment="1" applyProtection="1">
      <alignment horizontal="center" vertical="center" wrapText="1"/>
      <protection hidden="1"/>
    </xf>
    <xf numFmtId="0" fontId="87" fillId="25" borderId="29" xfId="18" applyFont="1" applyFill="1" applyBorder="1" applyAlignment="1" applyProtection="1">
      <alignment horizontal="center" vertical="center" wrapText="1"/>
      <protection hidden="1"/>
    </xf>
    <xf numFmtId="0" fontId="87" fillId="6" borderId="0" xfId="20" applyFont="1" applyFill="1" applyAlignment="1" applyProtection="1">
      <alignment horizontal="right" vertical="center"/>
      <protection hidden="1"/>
    </xf>
    <xf numFmtId="0" fontId="119" fillId="6" borderId="0" xfId="20" applyFont="1" applyFill="1" applyAlignment="1" applyProtection="1">
      <alignment horizontal="center" vertical="center"/>
      <protection hidden="1"/>
    </xf>
    <xf numFmtId="0" fontId="87" fillId="6" borderId="0" xfId="18" applyFont="1" applyFill="1" applyBorder="1" applyAlignment="1" applyProtection="1">
      <alignment horizontal="center" vertical="center" wrapText="1"/>
      <protection hidden="1"/>
    </xf>
    <xf numFmtId="1" fontId="87" fillId="6" borderId="0" xfId="18" applyNumberFormat="1" applyFont="1" applyFill="1" applyBorder="1" applyAlignment="1" applyProtection="1">
      <alignment horizontal="center" vertical="center"/>
      <protection hidden="1"/>
    </xf>
    <xf numFmtId="0" fontId="426" fillId="17" borderId="0" xfId="21" applyFont="1" applyFill="1" applyAlignment="1" applyProtection="1">
      <alignment horizontal="center" vertical="center"/>
      <protection hidden="1"/>
    </xf>
    <xf numFmtId="0" fontId="422" fillId="15" borderId="271" xfId="0" applyFont="1" applyFill="1" applyBorder="1" applyAlignment="1" applyProtection="1">
      <protection hidden="1"/>
    </xf>
    <xf numFmtId="0" fontId="4" fillId="6" borderId="0" xfId="0" applyFont="1" applyFill="1" applyAlignment="1" applyProtection="1">
      <alignment horizontal="center" vertical="center"/>
      <protection hidden="1"/>
    </xf>
    <xf numFmtId="2" fontId="4" fillId="6" borderId="0" xfId="0" applyNumberFormat="1" applyFont="1" applyFill="1" applyAlignment="1" applyProtection="1">
      <alignment horizontal="center" vertical="center"/>
      <protection hidden="1"/>
    </xf>
    <xf numFmtId="0" fontId="429" fillId="6" borderId="0" xfId="4" applyFont="1" applyFill="1" applyAlignment="1" applyProtection="1">
      <alignment horizontal="center" vertical="center"/>
      <protection hidden="1"/>
    </xf>
    <xf numFmtId="2" fontId="429" fillId="6" borderId="0" xfId="4" applyNumberFormat="1" applyFont="1" applyFill="1" applyAlignment="1" applyProtection="1">
      <alignment horizontal="center" vertical="center"/>
      <protection hidden="1"/>
    </xf>
    <xf numFmtId="1" fontId="4" fillId="6" borderId="0" xfId="0" applyNumberFormat="1" applyFont="1" applyFill="1" applyAlignment="1" applyProtection="1">
      <alignment horizontal="center" vertical="center"/>
      <protection hidden="1"/>
    </xf>
    <xf numFmtId="0" fontId="72" fillId="6" borderId="0" xfId="9" applyFont="1" applyFill="1" applyBorder="1" applyAlignment="1" applyProtection="1">
      <alignment vertical="center" wrapText="1"/>
      <protection hidden="1"/>
    </xf>
    <xf numFmtId="0" fontId="49" fillId="6" borderId="0" xfId="51" applyFont="1" applyFill="1" applyBorder="1" applyAlignment="1" applyProtection="1">
      <protection hidden="1"/>
    </xf>
    <xf numFmtId="0" fontId="119" fillId="6" borderId="0" xfId="9" applyFont="1" applyFill="1" applyBorder="1" applyAlignment="1" applyProtection="1">
      <alignment vertical="center"/>
      <protection hidden="1"/>
    </xf>
    <xf numFmtId="0" fontId="1" fillId="6" borderId="0" xfId="50" applyFill="1" applyAlignment="1" applyProtection="1">
      <alignment horizontal="left"/>
      <protection hidden="1"/>
    </xf>
    <xf numFmtId="0" fontId="119" fillId="6" borderId="0" xfId="50" applyFont="1" applyFill="1" applyAlignment="1" applyProtection="1">
      <alignment vertical="top" wrapText="1"/>
      <protection hidden="1"/>
    </xf>
    <xf numFmtId="0" fontId="42" fillId="6" borderId="0" xfId="18" applyFont="1" applyFill="1" applyBorder="1" applyAlignment="1" applyProtection="1">
      <alignment vertical="center" wrapText="1"/>
      <protection hidden="1"/>
    </xf>
    <xf numFmtId="0" fontId="90" fillId="6" borderId="0" xfId="9" applyFont="1" applyFill="1" applyBorder="1" applyAlignment="1" applyProtection="1">
      <alignment vertical="center" wrapText="1"/>
      <protection hidden="1"/>
    </xf>
    <xf numFmtId="0" fontId="433" fillId="15" borderId="0" xfId="0" applyFont="1" applyFill="1" applyAlignment="1" applyProtection="1">
      <alignment horizontal="center" vertical="center"/>
      <protection hidden="1"/>
    </xf>
    <xf numFmtId="0" fontId="433" fillId="15" borderId="0" xfId="0" applyFont="1" applyFill="1" applyBorder="1" applyAlignment="1" applyProtection="1">
      <alignment horizontal="center" vertical="center"/>
      <protection hidden="1"/>
    </xf>
    <xf numFmtId="0" fontId="338" fillId="6" borderId="0" xfId="4" applyFont="1" applyFill="1" applyBorder="1" applyProtection="1">
      <protection hidden="1"/>
    </xf>
    <xf numFmtId="0" fontId="4" fillId="6" borderId="0" xfId="50" applyFont="1" applyFill="1" applyProtection="1">
      <protection hidden="1"/>
    </xf>
    <xf numFmtId="10" fontId="395" fillId="6" borderId="0" xfId="4" applyNumberFormat="1" applyFont="1" applyFill="1" applyBorder="1" applyAlignment="1" applyProtection="1">
      <alignment horizontal="center" vertical="center"/>
      <protection hidden="1"/>
    </xf>
    <xf numFmtId="1" fontId="395" fillId="6" borderId="0" xfId="4" applyNumberFormat="1" applyFont="1" applyFill="1" applyBorder="1" applyAlignment="1" applyProtection="1">
      <alignment horizontal="center" vertical="center"/>
      <protection hidden="1"/>
    </xf>
    <xf numFmtId="1" fontId="4" fillId="6" borderId="0" xfId="0" applyNumberFormat="1" applyFont="1" applyFill="1" applyBorder="1" applyAlignment="1" applyProtection="1">
      <alignment horizontal="center" vertical="center"/>
      <protection hidden="1"/>
    </xf>
    <xf numFmtId="1" fontId="4" fillId="6" borderId="0" xfId="0" applyNumberFormat="1" applyFont="1" applyFill="1" applyBorder="1" applyProtection="1">
      <protection hidden="1"/>
    </xf>
    <xf numFmtId="1" fontId="4" fillId="6" borderId="0" xfId="0" applyNumberFormat="1" applyFont="1" applyFill="1" applyProtection="1">
      <protection hidden="1"/>
    </xf>
    <xf numFmtId="10" fontId="4" fillId="6" borderId="0" xfId="0" applyNumberFormat="1" applyFont="1" applyFill="1" applyProtection="1">
      <protection hidden="1"/>
    </xf>
    <xf numFmtId="10" fontId="4" fillId="6" borderId="0" xfId="0" applyNumberFormat="1" applyFont="1" applyFill="1" applyAlignment="1" applyProtection="1">
      <alignment horizontal="center" vertical="center"/>
      <protection hidden="1"/>
    </xf>
    <xf numFmtId="0" fontId="4" fillId="6" borderId="0" xfId="0" applyFont="1" applyFill="1" applyBorder="1" applyAlignment="1" applyProtection="1">
      <alignment horizontal="center" vertical="center"/>
      <protection hidden="1"/>
    </xf>
    <xf numFmtId="0" fontId="4" fillId="6" borderId="0" xfId="0" applyFont="1" applyFill="1" applyBorder="1" applyProtection="1">
      <protection hidden="1"/>
    </xf>
    <xf numFmtId="0" fontId="10" fillId="6" borderId="0" xfId="0" applyFont="1" applyFill="1" applyBorder="1" applyProtection="1">
      <protection hidden="1"/>
    </xf>
    <xf numFmtId="1" fontId="429" fillId="6" borderId="0" xfId="4" applyNumberFormat="1" applyFont="1" applyFill="1" applyProtection="1">
      <protection hidden="1"/>
    </xf>
    <xf numFmtId="2" fontId="395" fillId="6" borderId="0" xfId="4" applyNumberFormat="1" applyFont="1" applyFill="1" applyBorder="1" applyAlignment="1" applyProtection="1">
      <alignment horizontal="center" vertical="center"/>
      <protection hidden="1"/>
    </xf>
    <xf numFmtId="0" fontId="368" fillId="6" borderId="0" xfId="0" applyNumberFormat="1" applyFont="1" applyFill="1" applyBorder="1" applyAlignment="1" applyProtection="1">
      <alignment horizontal="center" vertical="center"/>
      <protection hidden="1"/>
    </xf>
    <xf numFmtId="0" fontId="371" fillId="60" borderId="242" xfId="60" applyFont="1" applyFill="1" applyBorder="1" applyAlignment="1" applyProtection="1">
      <alignment vertical="center"/>
      <protection hidden="1"/>
    </xf>
    <xf numFmtId="0" fontId="51" fillId="27" borderId="244" xfId="60" applyFont="1" applyFill="1" applyBorder="1" applyAlignment="1" applyProtection="1">
      <alignment horizontal="center" vertical="center"/>
      <protection hidden="1"/>
    </xf>
    <xf numFmtId="0" fontId="204" fillId="27" borderId="238" xfId="60" applyFont="1" applyFill="1" applyBorder="1" applyAlignment="1" applyProtection="1">
      <alignment horizontal="center" vertical="center"/>
      <protection hidden="1"/>
    </xf>
    <xf numFmtId="0" fontId="12" fillId="10" borderId="284" xfId="14" applyFont="1" applyBorder="1" applyAlignment="1" applyProtection="1">
      <alignment horizontal="center" vertical="center"/>
      <protection hidden="1"/>
    </xf>
    <xf numFmtId="0" fontId="12" fillId="10" borderId="234" xfId="14" applyFont="1" applyBorder="1" applyAlignment="1" applyProtection="1">
      <alignment horizontal="center" vertical="center"/>
      <protection hidden="1"/>
    </xf>
    <xf numFmtId="0" fontId="5" fillId="0" borderId="0" xfId="50" applyFont="1" applyProtection="1">
      <protection hidden="1"/>
    </xf>
    <xf numFmtId="0" fontId="454" fillId="0" borderId="0" xfId="0" applyFont="1" applyBorder="1" applyAlignment="1" applyProtection="1">
      <alignment horizontal="center" vertical="center"/>
      <protection hidden="1"/>
    </xf>
    <xf numFmtId="0" fontId="0" fillId="6" borderId="0" xfId="50" applyFont="1" applyFill="1" applyBorder="1" applyAlignment="1" applyProtection="1">
      <alignment vertical="top" wrapText="1"/>
      <protection hidden="1"/>
    </xf>
    <xf numFmtId="0" fontId="384" fillId="6" borderId="0" xfId="9" applyFont="1" applyFill="1" applyBorder="1" applyAlignment="1" applyProtection="1">
      <alignment vertical="center" wrapText="1"/>
      <protection hidden="1"/>
    </xf>
    <xf numFmtId="0" fontId="0" fillId="6" borderId="0" xfId="50" applyFont="1" applyFill="1" applyBorder="1" applyAlignment="1" applyProtection="1">
      <alignment vertical="center" wrapText="1"/>
      <protection hidden="1"/>
    </xf>
    <xf numFmtId="0" fontId="270" fillId="6" borderId="0" xfId="18" applyFont="1" applyFill="1" applyBorder="1" applyAlignment="1" applyProtection="1">
      <protection hidden="1"/>
    </xf>
    <xf numFmtId="1" fontId="5" fillId="6" borderId="0" xfId="50" applyNumberFormat="1" applyFont="1" applyFill="1" applyProtection="1">
      <protection hidden="1"/>
    </xf>
    <xf numFmtId="1" fontId="370" fillId="54" borderId="236" xfId="60" applyNumberFormat="1" applyFont="1" applyFill="1" applyBorder="1" applyAlignment="1" applyProtection="1">
      <alignment horizontal="center" vertical="center"/>
      <protection hidden="1"/>
    </xf>
    <xf numFmtId="0" fontId="381" fillId="6" borderId="0" xfId="50" applyFont="1" applyFill="1" applyBorder="1" applyAlignment="1" applyProtection="1">
      <alignment horizontal="left" vertical="center"/>
      <protection hidden="1"/>
    </xf>
    <xf numFmtId="0" fontId="0" fillId="0" borderId="0" xfId="0" applyProtection="1">
      <protection hidden="1"/>
    </xf>
    <xf numFmtId="0" fontId="0" fillId="6" borderId="0" xfId="0" applyFill="1" applyProtection="1">
      <protection hidden="1"/>
    </xf>
    <xf numFmtId="1" fontId="142" fillId="6" borderId="281" xfId="50" applyNumberFormat="1" applyFont="1" applyFill="1" applyBorder="1" applyAlignment="1" applyProtection="1">
      <alignment horizontal="center" vertical="center"/>
      <protection hidden="1"/>
    </xf>
    <xf numFmtId="1" fontId="142" fillId="6" borderId="282" xfId="50" applyNumberFormat="1" applyFont="1" applyFill="1" applyBorder="1" applyAlignment="1" applyProtection="1">
      <alignment horizontal="center" vertical="center"/>
      <protection hidden="1"/>
    </xf>
    <xf numFmtId="0" fontId="119" fillId="6" borderId="287" xfId="9" applyFont="1" applyFill="1" applyBorder="1" applyAlignment="1" applyProtection="1">
      <alignment horizontal="center" vertical="center"/>
      <protection hidden="1"/>
    </xf>
    <xf numFmtId="1" fontId="142" fillId="6" borderId="0" xfId="50" applyNumberFormat="1" applyFont="1" applyFill="1" applyBorder="1" applyAlignment="1" applyProtection="1">
      <alignment horizontal="center" vertical="center"/>
      <protection hidden="1"/>
    </xf>
    <xf numFmtId="0" fontId="4" fillId="6" borderId="0" xfId="11" applyNumberFormat="1" applyFont="1" applyFill="1" applyAlignment="1" applyProtection="1">
      <alignment horizontal="center" vertical="center"/>
      <protection hidden="1"/>
    </xf>
    <xf numFmtId="1" fontId="4" fillId="6" borderId="0" xfId="2" applyNumberFormat="1" applyFont="1" applyFill="1" applyBorder="1" applyAlignment="1" applyProtection="1">
      <alignment horizontal="center" vertical="center"/>
      <protection hidden="1"/>
    </xf>
    <xf numFmtId="0" fontId="4" fillId="6" borderId="0" xfId="10" applyFont="1" applyFill="1" applyAlignment="1" applyProtection="1">
      <alignment horizontal="center" vertical="center"/>
      <protection hidden="1"/>
    </xf>
    <xf numFmtId="0" fontId="4" fillId="6" borderId="0" xfId="2" applyFont="1" applyFill="1" applyBorder="1" applyAlignment="1" applyProtection="1">
      <alignment horizontal="center" vertical="center"/>
      <protection hidden="1"/>
    </xf>
    <xf numFmtId="2" fontId="4" fillId="6" borderId="0" xfId="2" applyNumberFormat="1" applyFont="1" applyFill="1" applyAlignment="1" applyProtection="1">
      <alignment horizontal="center" vertical="center"/>
      <protection hidden="1"/>
    </xf>
    <xf numFmtId="165" fontId="4" fillId="6" borderId="0" xfId="2" applyNumberFormat="1" applyFont="1" applyFill="1" applyBorder="1" applyAlignment="1" applyProtection="1">
      <alignment horizontal="center" vertical="center"/>
      <protection hidden="1"/>
    </xf>
    <xf numFmtId="0" fontId="4" fillId="6" borderId="0" xfId="11" applyFont="1" applyFill="1" applyAlignment="1" applyProtection="1">
      <alignment horizontal="center" vertical="center"/>
      <protection hidden="1"/>
    </xf>
    <xf numFmtId="0" fontId="0" fillId="6" borderId="0" xfId="0" applyFill="1" applyAlignment="1" applyProtection="1">
      <alignment horizontal="center" vertical="center"/>
      <protection hidden="1"/>
    </xf>
    <xf numFmtId="2" fontId="368" fillId="6" borderId="0" xfId="0" applyNumberFormat="1" applyFont="1" applyFill="1" applyAlignment="1" applyProtection="1">
      <alignment horizontal="center" vertical="center"/>
      <protection hidden="1"/>
    </xf>
    <xf numFmtId="49" fontId="453" fillId="6" borderId="0" xfId="0" applyNumberFormat="1" applyFont="1" applyFill="1" applyAlignment="1" applyProtection="1">
      <alignment horizontal="center" vertical="center"/>
      <protection hidden="1"/>
    </xf>
    <xf numFmtId="1" fontId="443" fillId="6" borderId="0" xfId="0" applyNumberFormat="1" applyFont="1" applyFill="1" applyAlignment="1" applyProtection="1">
      <alignment horizontal="center" vertical="center"/>
      <protection hidden="1"/>
    </xf>
    <xf numFmtId="0" fontId="133" fillId="6" borderId="0" xfId="0" applyFont="1" applyFill="1" applyBorder="1" applyAlignment="1" applyProtection="1">
      <alignment horizontal="center" vertical="center" wrapText="1"/>
      <protection hidden="1"/>
    </xf>
    <xf numFmtId="0" fontId="444" fillId="6" borderId="0" xfId="0" applyFont="1" applyFill="1" applyBorder="1" applyAlignment="1" applyProtection="1">
      <alignment horizontal="center" vertical="center"/>
      <protection hidden="1"/>
    </xf>
    <xf numFmtId="0" fontId="446" fillId="6" borderId="0" xfId="0" applyFont="1" applyFill="1" applyBorder="1" applyAlignment="1" applyProtection="1">
      <alignment horizontal="center" vertical="center"/>
      <protection hidden="1"/>
    </xf>
    <xf numFmtId="0" fontId="445" fillId="6" borderId="0" xfId="0" applyFont="1" applyFill="1" applyBorder="1" applyAlignment="1" applyProtection="1">
      <alignment horizontal="center" vertical="center"/>
      <protection hidden="1"/>
    </xf>
    <xf numFmtId="0" fontId="452" fillId="6" borderId="0" xfId="0" applyFont="1" applyFill="1" applyBorder="1" applyAlignment="1" applyProtection="1">
      <alignment horizontal="center" vertical="center"/>
      <protection hidden="1"/>
    </xf>
    <xf numFmtId="0" fontId="448" fillId="6" borderId="0" xfId="0" applyFont="1" applyFill="1" applyBorder="1" applyAlignment="1" applyProtection="1">
      <alignment horizontal="center" vertical="center"/>
      <protection hidden="1"/>
    </xf>
    <xf numFmtId="0" fontId="448" fillId="6" borderId="0" xfId="0" applyFont="1" applyFill="1" applyBorder="1" applyAlignment="1" applyProtection="1">
      <alignment vertical="top"/>
      <protection hidden="1"/>
    </xf>
    <xf numFmtId="2" fontId="442" fillId="6" borderId="0" xfId="0" applyNumberFormat="1" applyFont="1" applyFill="1" applyAlignment="1" applyProtection="1">
      <alignment horizontal="center" vertical="center"/>
      <protection hidden="1"/>
    </xf>
    <xf numFmtId="2" fontId="443" fillId="6" borderId="0" xfId="0" applyNumberFormat="1" applyFont="1" applyFill="1" applyAlignment="1" applyProtection="1">
      <alignment horizontal="center" vertical="center"/>
      <protection hidden="1"/>
    </xf>
    <xf numFmtId="0" fontId="133" fillId="6" borderId="0" xfId="0" applyFont="1" applyFill="1" applyBorder="1" applyAlignment="1" applyProtection="1">
      <alignment horizontal="center" vertical="center"/>
      <protection hidden="1"/>
    </xf>
    <xf numFmtId="2" fontId="444" fillId="6" borderId="0" xfId="0" applyNumberFormat="1" applyFont="1" applyFill="1" applyBorder="1" applyAlignment="1" applyProtection="1">
      <alignment horizontal="center" vertical="center"/>
      <protection hidden="1"/>
    </xf>
    <xf numFmtId="2" fontId="0" fillId="6" borderId="0" xfId="0" applyNumberFormat="1" applyFont="1" applyFill="1" applyBorder="1" applyAlignment="1" applyProtection="1">
      <alignment horizontal="center" vertical="center"/>
      <protection hidden="1"/>
    </xf>
    <xf numFmtId="10" fontId="447" fillId="6" borderId="0" xfId="0" applyNumberFormat="1" applyFont="1" applyFill="1" applyBorder="1" applyAlignment="1" applyProtection="1">
      <alignment horizontal="center" vertical="center"/>
      <protection hidden="1"/>
    </xf>
    <xf numFmtId="0" fontId="441" fillId="6" borderId="0" xfId="0" applyFont="1" applyFill="1" applyBorder="1" applyAlignment="1" applyProtection="1">
      <alignment horizontal="center" vertical="center"/>
      <protection hidden="1"/>
    </xf>
    <xf numFmtId="2" fontId="445" fillId="6" borderId="0" xfId="0" applyNumberFormat="1" applyFont="1" applyFill="1" applyBorder="1" applyAlignment="1" applyProtection="1">
      <alignment horizontal="center" vertical="center"/>
      <protection hidden="1"/>
    </xf>
    <xf numFmtId="10" fontId="0" fillId="6" borderId="0" xfId="0" applyNumberFormat="1" applyFont="1" applyFill="1" applyBorder="1" applyAlignment="1" applyProtection="1">
      <alignment horizontal="center" vertical="center"/>
      <protection hidden="1"/>
    </xf>
    <xf numFmtId="10" fontId="441" fillId="6" borderId="0" xfId="0" applyNumberFormat="1" applyFont="1" applyFill="1" applyBorder="1" applyAlignment="1" applyProtection="1">
      <alignment vertical="top"/>
      <protection hidden="1"/>
    </xf>
    <xf numFmtId="0" fontId="440" fillId="6" borderId="0" xfId="0" applyFont="1" applyFill="1" applyBorder="1" applyAlignment="1" applyProtection="1">
      <alignment horizontal="center" vertical="center"/>
      <protection hidden="1"/>
    </xf>
    <xf numFmtId="0" fontId="320" fillId="6" borderId="0" xfId="0" applyFont="1" applyFill="1" applyBorder="1" applyAlignment="1" applyProtection="1">
      <alignment horizontal="center" vertical="center"/>
      <protection hidden="1"/>
    </xf>
    <xf numFmtId="10" fontId="320" fillId="6" borderId="0" xfId="0" applyNumberFormat="1" applyFont="1" applyFill="1" applyBorder="1" applyAlignment="1" applyProtection="1">
      <alignment horizontal="center" vertical="center"/>
      <protection hidden="1"/>
    </xf>
    <xf numFmtId="1" fontId="0" fillId="6" borderId="0" xfId="0" applyNumberFormat="1" applyFill="1" applyProtection="1">
      <protection hidden="1"/>
    </xf>
    <xf numFmtId="10" fontId="439" fillId="6" borderId="0" xfId="0" applyNumberFormat="1" applyFont="1" applyFill="1" applyAlignment="1" applyProtection="1">
      <alignment horizontal="center" vertical="center"/>
      <protection hidden="1"/>
    </xf>
    <xf numFmtId="0" fontId="438" fillId="6" borderId="0" xfId="0" applyFont="1" applyFill="1" applyBorder="1" applyAlignment="1" applyProtection="1">
      <alignment horizontal="center" vertical="center"/>
      <protection hidden="1"/>
    </xf>
    <xf numFmtId="10" fontId="438" fillId="6" borderId="0" xfId="0" applyNumberFormat="1" applyFont="1" applyFill="1" applyBorder="1" applyAlignment="1" applyProtection="1">
      <alignment horizontal="center" vertical="center"/>
      <protection hidden="1"/>
    </xf>
    <xf numFmtId="10" fontId="288" fillId="6" borderId="0" xfId="0" applyNumberFormat="1" applyFont="1" applyFill="1" applyAlignment="1" applyProtection="1">
      <alignment horizontal="center" vertical="center"/>
      <protection hidden="1"/>
    </xf>
    <xf numFmtId="10" fontId="368" fillId="6" borderId="0" xfId="0" applyNumberFormat="1" applyFont="1" applyFill="1" applyAlignment="1" applyProtection="1">
      <alignment horizontal="center" vertical="center"/>
      <protection hidden="1"/>
    </xf>
    <xf numFmtId="10" fontId="438" fillId="6" borderId="0" xfId="0" applyNumberFormat="1" applyFont="1" applyFill="1" applyAlignment="1" applyProtection="1">
      <alignment horizontal="center" vertical="center"/>
      <protection hidden="1"/>
    </xf>
    <xf numFmtId="0" fontId="288" fillId="6" borderId="0" xfId="0" applyFont="1" applyFill="1" applyAlignment="1" applyProtection="1">
      <alignment horizontal="center" vertical="center"/>
      <protection hidden="1"/>
    </xf>
    <xf numFmtId="0" fontId="0" fillId="0" borderId="0" xfId="0" applyAlignment="1" applyProtection="1">
      <alignment horizontal="center" vertical="center"/>
      <protection hidden="1"/>
    </xf>
    <xf numFmtId="0" fontId="0" fillId="0" borderId="0" xfId="0" applyProtection="1">
      <protection hidden="1"/>
    </xf>
    <xf numFmtId="0" fontId="0" fillId="6" borderId="0" xfId="0" applyFill="1" applyProtection="1">
      <protection hidden="1"/>
    </xf>
    <xf numFmtId="0" fontId="72" fillId="6" borderId="125" xfId="9" applyFont="1" applyFill="1" applyBorder="1" applyAlignment="1" applyProtection="1">
      <alignment vertical="center"/>
      <protection hidden="1"/>
    </xf>
    <xf numFmtId="0" fontId="72" fillId="6" borderId="39" xfId="9" applyFont="1" applyFill="1" applyBorder="1" applyAlignment="1" applyProtection="1">
      <alignment vertical="center"/>
      <protection hidden="1"/>
    </xf>
    <xf numFmtId="0" fontId="0" fillId="6" borderId="0" xfId="0" applyFill="1" applyProtection="1">
      <protection hidden="1"/>
    </xf>
    <xf numFmtId="0" fontId="0" fillId="63" borderId="0" xfId="0" applyFill="1" applyProtection="1">
      <protection hidden="1"/>
    </xf>
    <xf numFmtId="0" fontId="435" fillId="63" borderId="0" xfId="17" applyFont="1" applyFill="1" applyBorder="1" applyAlignment="1" applyProtection="1">
      <alignment vertical="center"/>
      <protection hidden="1"/>
    </xf>
    <xf numFmtId="0" fontId="434" fillId="63" borderId="0" xfId="17" applyFont="1" applyFill="1" applyBorder="1" applyAlignment="1" applyProtection="1">
      <alignment vertical="top"/>
      <protection hidden="1"/>
    </xf>
    <xf numFmtId="0" fontId="434" fillId="63" borderId="0" xfId="17" applyFont="1" applyFill="1" applyBorder="1" applyAlignment="1" applyProtection="1">
      <alignment vertical="center"/>
      <protection hidden="1"/>
    </xf>
    <xf numFmtId="0" fontId="1" fillId="6" borderId="0" xfId="36" applyFill="1" applyProtection="1">
      <protection hidden="1"/>
    </xf>
    <xf numFmtId="0" fontId="3" fillId="6" borderId="0" xfId="2" applyFill="1" applyAlignment="1" applyProtection="1">
      <protection hidden="1"/>
    </xf>
    <xf numFmtId="0" fontId="1" fillId="6" borderId="0" xfId="38" applyFill="1" applyBorder="1" applyAlignment="1" applyProtection="1">
      <alignment vertical="center"/>
      <protection hidden="1"/>
    </xf>
    <xf numFmtId="0" fontId="3" fillId="6" borderId="0" xfId="2" applyFill="1" applyProtection="1">
      <protection hidden="1"/>
    </xf>
    <xf numFmtId="0" fontId="26" fillId="6" borderId="0" xfId="2" applyFont="1" applyFill="1" applyBorder="1" applyAlignment="1" applyProtection="1">
      <alignment vertical="center" wrapText="1"/>
      <protection hidden="1"/>
    </xf>
    <xf numFmtId="0" fontId="3" fillId="6" borderId="0" xfId="2" applyFill="1" applyAlignment="1" applyProtection="1">
      <alignment wrapText="1"/>
      <protection hidden="1"/>
    </xf>
    <xf numFmtId="0" fontId="26" fillId="6" borderId="0" xfId="2" applyFont="1" applyFill="1" applyBorder="1" applyAlignment="1" applyProtection="1">
      <alignment vertical="center"/>
      <protection hidden="1"/>
    </xf>
    <xf numFmtId="0" fontId="3" fillId="6" borderId="72" xfId="2" applyFill="1" applyBorder="1" applyAlignment="1" applyProtection="1">
      <alignment vertical="center" wrapText="1"/>
      <protection hidden="1"/>
    </xf>
    <xf numFmtId="0" fontId="3" fillId="6" borderId="0" xfId="2" applyFill="1" applyAlignment="1" applyProtection="1">
      <alignment vertical="center" wrapText="1"/>
      <protection hidden="1"/>
    </xf>
    <xf numFmtId="0" fontId="3" fillId="6" borderId="0" xfId="2" applyFill="1" applyAlignment="1" applyProtection="1">
      <alignment vertical="center"/>
      <protection hidden="1"/>
    </xf>
    <xf numFmtId="0" fontId="3" fillId="6" borderId="0" xfId="2" applyFill="1" applyBorder="1" applyAlignment="1" applyProtection="1">
      <alignment vertical="center"/>
      <protection hidden="1"/>
    </xf>
    <xf numFmtId="0" fontId="303" fillId="6" borderId="0" xfId="2" applyFont="1" applyFill="1" applyBorder="1" applyAlignment="1" applyProtection="1">
      <alignment vertical="center"/>
      <protection hidden="1"/>
    </xf>
    <xf numFmtId="0" fontId="303" fillId="6" borderId="0" xfId="2" applyFont="1" applyFill="1" applyProtection="1">
      <protection hidden="1"/>
    </xf>
    <xf numFmtId="0" fontId="28" fillId="6" borderId="0" xfId="17" applyFont="1" applyFill="1" applyBorder="1" applyAlignment="1" applyProtection="1">
      <alignment vertical="center"/>
      <protection hidden="1"/>
    </xf>
    <xf numFmtId="0" fontId="3" fillId="6" borderId="0" xfId="2" applyFill="1" applyBorder="1" applyAlignment="1" applyProtection="1">
      <alignment vertical="center" wrapText="1"/>
      <protection hidden="1"/>
    </xf>
    <xf numFmtId="0" fontId="280" fillId="6" borderId="0" xfId="2" applyFont="1" applyFill="1" applyBorder="1" applyAlignment="1" applyProtection="1">
      <alignment vertical="center" wrapText="1"/>
      <protection hidden="1"/>
    </xf>
    <xf numFmtId="0" fontId="29" fillId="6" borderId="173" xfId="2" applyFont="1" applyFill="1" applyBorder="1" applyAlignment="1" applyProtection="1">
      <alignment horizontal="center" vertical="center"/>
      <protection hidden="1"/>
    </xf>
    <xf numFmtId="0" fontId="13" fillId="6" borderId="173" xfId="2" applyFont="1" applyFill="1" applyBorder="1" applyAlignment="1" applyProtection="1">
      <alignment horizontal="center" vertical="center" wrapText="1"/>
      <protection hidden="1"/>
    </xf>
    <xf numFmtId="0" fontId="4" fillId="6" borderId="173" xfId="2" applyFont="1" applyFill="1" applyBorder="1" applyAlignment="1" applyProtection="1">
      <alignment horizontal="center" vertical="center" wrapText="1"/>
      <protection hidden="1"/>
    </xf>
    <xf numFmtId="0" fontId="4" fillId="6" borderId="173" xfId="2" applyFont="1" applyFill="1" applyBorder="1" applyAlignment="1" applyProtection="1">
      <alignment horizontal="center" vertical="center"/>
      <protection hidden="1"/>
    </xf>
    <xf numFmtId="0" fontId="13" fillId="6" borderId="173" xfId="2" applyFont="1" applyFill="1" applyBorder="1" applyAlignment="1" applyProtection="1">
      <alignment horizontal="center" vertical="center"/>
      <protection hidden="1"/>
    </xf>
    <xf numFmtId="0" fontId="3" fillId="6" borderId="173" xfId="2" applyFill="1" applyBorder="1" applyProtection="1">
      <protection hidden="1"/>
    </xf>
    <xf numFmtId="0" fontId="202" fillId="6" borderId="0" xfId="21" applyFont="1" applyFill="1" applyBorder="1" applyAlignment="1" applyProtection="1">
      <protection hidden="1"/>
    </xf>
    <xf numFmtId="0" fontId="338" fillId="6" borderId="0" xfId="41" applyFont="1" applyFill="1" applyBorder="1" applyProtection="1">
      <protection hidden="1"/>
    </xf>
    <xf numFmtId="0" fontId="338" fillId="6" borderId="0" xfId="41" applyFont="1" applyFill="1" applyBorder="1" applyAlignment="1" applyProtection="1">
      <protection hidden="1"/>
    </xf>
    <xf numFmtId="0" fontId="338" fillId="6" borderId="0" xfId="41" applyFont="1" applyFill="1" applyBorder="1" applyAlignment="1" applyProtection="1">
      <alignment wrapText="1"/>
      <protection hidden="1"/>
    </xf>
    <xf numFmtId="0" fontId="338" fillId="51" borderId="0" xfId="41" applyFont="1" applyFill="1" applyBorder="1" applyProtection="1">
      <protection hidden="1"/>
    </xf>
    <xf numFmtId="0" fontId="338" fillId="52" borderId="0" xfId="41" applyFont="1" applyFill="1" applyBorder="1" applyProtection="1">
      <protection hidden="1"/>
    </xf>
    <xf numFmtId="0" fontId="338" fillId="9" borderId="0" xfId="41" applyFont="1" applyFill="1" applyBorder="1" applyProtection="1">
      <protection hidden="1"/>
    </xf>
    <xf numFmtId="1" fontId="338" fillId="6" borderId="0" xfId="41" applyNumberFormat="1" applyFont="1" applyFill="1" applyBorder="1" applyProtection="1">
      <protection hidden="1"/>
    </xf>
    <xf numFmtId="0" fontId="338" fillId="6" borderId="0" xfId="41" applyNumberFormat="1" applyFont="1" applyFill="1" applyBorder="1" applyProtection="1">
      <protection hidden="1"/>
    </xf>
    <xf numFmtId="166" fontId="338" fillId="6" borderId="0" xfId="41" applyNumberFormat="1" applyFont="1" applyFill="1" applyBorder="1" applyProtection="1">
      <protection hidden="1"/>
    </xf>
    <xf numFmtId="0" fontId="338" fillId="6" borderId="0" xfId="41" applyFont="1" applyFill="1" applyBorder="1" applyAlignment="1" applyProtection="1">
      <alignment horizontal="center" vertical="center" wrapText="1"/>
      <protection hidden="1"/>
    </xf>
    <xf numFmtId="0" fontId="338" fillId="6" borderId="0" xfId="41" applyFont="1" applyFill="1" applyBorder="1" applyAlignment="1" applyProtection="1">
      <alignment horizontal="center"/>
      <protection hidden="1"/>
    </xf>
    <xf numFmtId="0" fontId="338" fillId="6" borderId="0" xfId="41" applyFont="1" applyFill="1" applyBorder="1" applyAlignment="1" applyProtection="1">
      <alignment horizontal="center" vertical="center"/>
      <protection hidden="1"/>
    </xf>
    <xf numFmtId="166" fontId="338" fillId="6" borderId="0" xfId="41" applyNumberFormat="1" applyFont="1" applyFill="1" applyBorder="1" applyAlignment="1" applyProtection="1">
      <alignment horizontal="center"/>
      <protection hidden="1"/>
    </xf>
    <xf numFmtId="1" fontId="338" fillId="6" borderId="0" xfId="41" applyNumberFormat="1" applyFont="1" applyFill="1" applyBorder="1" applyAlignment="1" applyProtection="1">
      <alignment horizontal="center"/>
      <protection hidden="1"/>
    </xf>
    <xf numFmtId="1" fontId="374" fillId="6" borderId="0" xfId="41" applyNumberFormat="1" applyFont="1" applyFill="1" applyBorder="1" applyAlignment="1" applyProtection="1">
      <alignment horizontal="center"/>
      <protection hidden="1"/>
    </xf>
    <xf numFmtId="169" fontId="366" fillId="58" borderId="0" xfId="9" applyNumberFormat="1" applyFont="1" applyFill="1" applyBorder="1" applyAlignment="1" applyProtection="1">
      <alignment horizontal="center" shrinkToFit="1"/>
      <protection hidden="1"/>
    </xf>
    <xf numFmtId="166" fontId="368" fillId="6" borderId="0" xfId="0" applyNumberFormat="1" applyFont="1" applyFill="1" applyAlignment="1" applyProtection="1">
      <alignment horizontal="center" vertical="center"/>
      <protection hidden="1"/>
    </xf>
    <xf numFmtId="2" fontId="368" fillId="7" borderId="0" xfId="2" applyNumberFormat="1" applyFont="1" applyFill="1" applyAlignment="1" applyProtection="1">
      <alignment horizontal="center" vertical="center"/>
      <protection hidden="1"/>
    </xf>
    <xf numFmtId="0" fontId="29" fillId="64" borderId="89" xfId="0" applyFont="1" applyFill="1" applyBorder="1" applyAlignment="1" applyProtection="1">
      <alignment horizontal="center" vertical="center"/>
      <protection hidden="1"/>
    </xf>
    <xf numFmtId="0" fontId="436" fillId="64" borderId="89" xfId="0" applyFont="1" applyFill="1" applyBorder="1" applyAlignment="1" applyProtection="1">
      <alignment vertical="center"/>
      <protection hidden="1"/>
    </xf>
    <xf numFmtId="0" fontId="468" fillId="64" borderId="89" xfId="0" applyFont="1" applyFill="1" applyBorder="1" applyAlignment="1" applyProtection="1">
      <alignment horizontal="center" vertical="center"/>
      <protection hidden="1"/>
    </xf>
    <xf numFmtId="0" fontId="134" fillId="6" borderId="0" xfId="69" applyFont="1" applyFill="1" applyBorder="1" applyProtection="1">
      <protection hidden="1"/>
    </xf>
    <xf numFmtId="0" fontId="0" fillId="6" borderId="0" xfId="0" applyFill="1"/>
    <xf numFmtId="1" fontId="288" fillId="6" borderId="0" xfId="0" applyNumberFormat="1" applyFont="1" applyFill="1" applyAlignment="1">
      <alignment horizontal="center" vertical="center"/>
    </xf>
    <xf numFmtId="0" fontId="288" fillId="6" borderId="0" xfId="0" applyFont="1" applyFill="1"/>
    <xf numFmtId="2" fontId="288" fillId="6" borderId="0" xfId="0" applyNumberFormat="1" applyFont="1" applyFill="1"/>
    <xf numFmtId="1" fontId="288" fillId="6" borderId="0" xfId="0" applyNumberFormat="1" applyFont="1" applyFill="1"/>
    <xf numFmtId="0" fontId="288" fillId="6" borderId="0" xfId="0" applyFont="1" applyFill="1" applyAlignment="1">
      <alignment horizontal="center" vertical="center"/>
    </xf>
    <xf numFmtId="0" fontId="469" fillId="6" borderId="289" xfId="0" applyFont="1" applyFill="1" applyBorder="1" applyAlignment="1">
      <alignment horizontal="center" vertical="center" wrapText="1"/>
    </xf>
    <xf numFmtId="0" fontId="469" fillId="6" borderId="290" xfId="0" applyFont="1" applyFill="1" applyBorder="1" applyAlignment="1">
      <alignment horizontal="center" vertical="center" wrapText="1"/>
    </xf>
    <xf numFmtId="0" fontId="288" fillId="65" borderId="0" xfId="0" applyFont="1" applyFill="1"/>
    <xf numFmtId="1" fontId="214" fillId="6" borderId="0" xfId="18" applyNumberFormat="1" applyFont="1" applyFill="1" applyBorder="1" applyAlignment="1" applyProtection="1">
      <alignment horizontal="center" vertical="center"/>
      <protection hidden="1"/>
    </xf>
    <xf numFmtId="1" fontId="288" fillId="6" borderId="8" xfId="0" applyNumberFormat="1" applyFont="1" applyFill="1" applyBorder="1" applyAlignment="1">
      <alignment horizontal="center" vertical="center"/>
    </xf>
    <xf numFmtId="0" fontId="176" fillId="65" borderId="8" xfId="0" applyFont="1" applyFill="1" applyBorder="1" applyAlignment="1">
      <alignment horizontal="center" vertical="center"/>
    </xf>
    <xf numFmtId="1" fontId="176" fillId="65" borderId="8" xfId="0" applyNumberFormat="1" applyFont="1" applyFill="1" applyBorder="1" applyAlignment="1">
      <alignment horizontal="center" vertical="center"/>
    </xf>
    <xf numFmtId="166" fontId="176" fillId="65" borderId="8" xfId="0" applyNumberFormat="1" applyFont="1" applyFill="1" applyBorder="1" applyAlignment="1">
      <alignment horizontal="center" vertical="center"/>
    </xf>
    <xf numFmtId="0" fontId="288" fillId="6" borderId="0" xfId="0" applyFont="1" applyFill="1" applyBorder="1" applyAlignment="1">
      <alignment horizontal="center" vertical="center"/>
    </xf>
    <xf numFmtId="0" fontId="214" fillId="6" borderId="0" xfId="0" applyFont="1" applyFill="1" applyBorder="1" applyAlignment="1" applyProtection="1">
      <alignment horizontal="center" vertical="center"/>
      <protection hidden="1"/>
    </xf>
    <xf numFmtId="10" fontId="288" fillId="6" borderId="0" xfId="0" applyNumberFormat="1" applyFont="1" applyFill="1"/>
    <xf numFmtId="0" fontId="0" fillId="17" borderId="0" xfId="0" applyFill="1"/>
    <xf numFmtId="167" fontId="176" fillId="65" borderId="8" xfId="0" applyNumberFormat="1" applyFont="1" applyFill="1" applyBorder="1" applyAlignment="1">
      <alignment horizontal="center" vertical="center"/>
    </xf>
    <xf numFmtId="0" fontId="288" fillId="6" borderId="0" xfId="0" applyFont="1" applyFill="1" applyBorder="1"/>
    <xf numFmtId="14" fontId="470" fillId="6" borderId="0" xfId="0" applyNumberFormat="1" applyFont="1" applyFill="1"/>
    <xf numFmtId="0" fontId="0" fillId="59" borderId="0" xfId="0" applyFill="1"/>
    <xf numFmtId="0" fontId="380" fillId="8" borderId="0" xfId="69" applyFont="1" applyFill="1" applyBorder="1" applyAlignment="1" applyProtection="1">
      <alignment vertical="center"/>
      <protection hidden="1"/>
    </xf>
    <xf numFmtId="166" fontId="288" fillId="6" borderId="0" xfId="0" applyNumberFormat="1" applyFont="1" applyFill="1"/>
    <xf numFmtId="0" fontId="474" fillId="59" borderId="0" xfId="14" applyFont="1" applyFill="1" applyBorder="1" applyAlignment="1" applyProtection="1">
      <alignment horizontal="center" vertical="center"/>
      <protection hidden="1"/>
    </xf>
    <xf numFmtId="0" fontId="368" fillId="6" borderId="0" xfId="0" applyFont="1" applyFill="1" applyAlignment="1">
      <alignment horizontal="center" vertical="center"/>
    </xf>
    <xf numFmtId="0" fontId="26" fillId="6" borderId="16" xfId="0" applyFont="1" applyFill="1" applyBorder="1" applyAlignment="1" applyProtection="1">
      <alignment vertical="center"/>
      <protection hidden="1"/>
    </xf>
    <xf numFmtId="0" fontId="27" fillId="6" borderId="16" xfId="0" applyFont="1" applyFill="1" applyBorder="1" applyAlignment="1" applyProtection="1">
      <alignment vertical="center" wrapText="1"/>
      <protection hidden="1"/>
    </xf>
    <xf numFmtId="10" fontId="373" fillId="57" borderId="250" xfId="50" applyNumberFormat="1" applyFont="1" applyFill="1" applyBorder="1" applyAlignment="1" applyProtection="1">
      <alignment vertical="center"/>
      <protection hidden="1"/>
    </xf>
    <xf numFmtId="0" fontId="389" fillId="59" borderId="236" xfId="60" applyFont="1" applyFill="1" applyBorder="1" applyAlignment="1" applyProtection="1">
      <alignment vertical="center"/>
      <protection hidden="1"/>
    </xf>
    <xf numFmtId="0" fontId="475" fillId="59" borderId="234" xfId="14" applyFont="1" applyFill="1" applyBorder="1" applyAlignment="1" applyProtection="1">
      <alignment horizontal="center" vertical="center"/>
      <protection hidden="1"/>
    </xf>
    <xf numFmtId="0" fontId="106" fillId="67" borderId="234" xfId="14" applyFont="1" applyFill="1" applyBorder="1" applyAlignment="1" applyProtection="1">
      <alignment horizontal="center" vertical="center"/>
      <protection hidden="1"/>
    </xf>
    <xf numFmtId="0" fontId="288" fillId="6" borderId="0" xfId="0" applyFont="1" applyFill="1" applyProtection="1">
      <protection hidden="1"/>
    </xf>
    <xf numFmtId="0" fontId="432" fillId="54" borderId="244" xfId="60" applyFont="1" applyFill="1" applyBorder="1" applyAlignment="1" applyProtection="1">
      <alignment horizontal="center" vertical="center"/>
      <protection hidden="1"/>
    </xf>
    <xf numFmtId="0" fontId="478" fillId="54" borderId="244" xfId="60" applyFont="1" applyFill="1" applyBorder="1" applyAlignment="1" applyProtection="1">
      <alignment horizontal="center" vertical="center"/>
      <protection hidden="1"/>
    </xf>
    <xf numFmtId="1" fontId="479" fillId="65" borderId="8" xfId="0" applyNumberFormat="1" applyFont="1" applyFill="1" applyBorder="1" applyAlignment="1">
      <alignment horizontal="center" vertical="center"/>
    </xf>
    <xf numFmtId="0" fontId="479" fillId="65" borderId="8" xfId="0" applyFont="1" applyFill="1" applyBorder="1" applyAlignment="1">
      <alignment horizontal="center" vertical="center"/>
    </xf>
    <xf numFmtId="0" fontId="5" fillId="6" borderId="0" xfId="0" applyFont="1" applyFill="1"/>
    <xf numFmtId="0" fontId="245" fillId="6" borderId="0" xfId="20" applyFont="1" applyFill="1" applyBorder="1" applyAlignment="1" applyProtection="1">
      <protection hidden="1"/>
    </xf>
    <xf numFmtId="0" fontId="391" fillId="6" borderId="0" xfId="0" applyFont="1" applyFill="1"/>
    <xf numFmtId="1" fontId="5" fillId="6" borderId="0" xfId="0" applyNumberFormat="1" applyFont="1" applyFill="1"/>
    <xf numFmtId="1" fontId="119" fillId="6" borderId="0" xfId="0" applyNumberFormat="1" applyFont="1" applyFill="1" applyAlignment="1">
      <alignment horizontal="center" vertical="center"/>
    </xf>
    <xf numFmtId="0" fontId="431" fillId="6" borderId="0" xfId="0" applyFont="1" applyFill="1" applyAlignment="1">
      <alignment horizontal="right" vertical="center"/>
    </xf>
    <xf numFmtId="0" fontId="484" fillId="6" borderId="0" xfId="0" applyFont="1" applyFill="1"/>
    <xf numFmtId="0" fontId="0" fillId="6" borderId="0" xfId="0" applyFont="1" applyFill="1" applyBorder="1" applyAlignment="1" applyProtection="1">
      <alignment vertical="center"/>
      <protection hidden="1"/>
    </xf>
    <xf numFmtId="1" fontId="119" fillId="6" borderId="0" xfId="0" applyNumberFormat="1" applyFont="1" applyFill="1" applyBorder="1" applyAlignment="1">
      <alignment horizontal="center" vertical="center"/>
    </xf>
    <xf numFmtId="0" fontId="119" fillId="6" borderId="0" xfId="0" applyFont="1" applyFill="1" applyBorder="1" applyAlignment="1">
      <alignment horizontal="center" vertical="center"/>
    </xf>
    <xf numFmtId="14" fontId="485" fillId="6" borderId="0" xfId="0" applyNumberFormat="1" applyFont="1" applyFill="1" applyBorder="1" applyAlignment="1">
      <alignment horizontal="left"/>
    </xf>
    <xf numFmtId="1" fontId="119" fillId="6" borderId="285" xfId="0" applyNumberFormat="1" applyFont="1" applyFill="1" applyBorder="1" applyAlignment="1">
      <alignment horizontal="center" vertical="center"/>
    </xf>
    <xf numFmtId="0" fontId="119" fillId="6" borderId="285" xfId="9" applyNumberFormat="1" applyFont="1" applyFill="1" applyBorder="1" applyAlignment="1" applyProtection="1">
      <alignment horizontal="center" vertical="center"/>
      <protection hidden="1"/>
    </xf>
    <xf numFmtId="14" fontId="485" fillId="6" borderId="285" xfId="0" applyNumberFormat="1" applyFont="1" applyFill="1" applyBorder="1" applyAlignment="1" applyProtection="1">
      <alignment horizontal="left" vertical="center"/>
      <protection hidden="1"/>
    </xf>
    <xf numFmtId="0" fontId="119" fillId="6" borderId="285" xfId="0" applyFont="1" applyFill="1" applyBorder="1" applyAlignment="1">
      <alignment horizontal="center" vertical="center"/>
    </xf>
    <xf numFmtId="0" fontId="131" fillId="59" borderId="279" xfId="18" applyFont="1" applyFill="1" applyBorder="1" applyAlignment="1" applyProtection="1">
      <alignment horizontal="center" vertical="center" wrapText="1"/>
      <protection hidden="1"/>
    </xf>
    <xf numFmtId="14" fontId="0" fillId="6" borderId="0" xfId="0" applyNumberFormat="1" applyFill="1"/>
    <xf numFmtId="0" fontId="119" fillId="6" borderId="0" xfId="0" applyFont="1" applyFill="1" applyAlignment="1">
      <alignment vertical="center" wrapText="1"/>
    </xf>
    <xf numFmtId="0" fontId="487" fillId="6" borderId="0" xfId="0" applyFont="1" applyFill="1" applyAlignment="1">
      <alignment vertical="center" wrapText="1"/>
    </xf>
    <xf numFmtId="0" fontId="199" fillId="6" borderId="0" xfId="20" applyFont="1" applyFill="1" applyAlignment="1" applyProtection="1">
      <alignment vertical="center"/>
      <protection hidden="1"/>
    </xf>
    <xf numFmtId="0" fontId="203" fillId="6" borderId="0" xfId="0" applyFont="1" applyFill="1" applyAlignment="1">
      <alignment vertical="center"/>
    </xf>
    <xf numFmtId="1" fontId="203" fillId="0" borderId="307" xfId="0" applyNumberFormat="1" applyFont="1" applyBorder="1" applyAlignment="1">
      <alignment horizontal="left" vertical="center"/>
    </xf>
    <xf numFmtId="0" fontId="203" fillId="6" borderId="307" xfId="0" applyFont="1" applyFill="1" applyBorder="1" applyAlignment="1">
      <alignment horizontal="left" vertical="center"/>
    </xf>
    <xf numFmtId="0" fontId="437" fillId="6" borderId="0" xfId="50" applyFont="1" applyFill="1" applyAlignment="1" applyProtection="1">
      <alignment vertical="center"/>
      <protection hidden="1"/>
    </xf>
    <xf numFmtId="0" fontId="490" fillId="6" borderId="0" xfId="50" applyFont="1" applyFill="1" applyAlignment="1" applyProtection="1">
      <alignment vertical="center"/>
      <protection hidden="1"/>
    </xf>
    <xf numFmtId="0" fontId="492" fillId="6" borderId="0" xfId="50" applyFont="1" applyFill="1" applyAlignment="1" applyProtection="1">
      <alignment vertical="center"/>
      <protection hidden="1"/>
    </xf>
    <xf numFmtId="0" fontId="5" fillId="22" borderId="0" xfId="20" applyFont="1" applyFill="1" applyProtection="1">
      <protection hidden="1"/>
    </xf>
    <xf numFmtId="0" fontId="0" fillId="6" borderId="0" xfId="0" applyFill="1" applyBorder="1" applyAlignment="1"/>
    <xf numFmtId="0" fontId="472" fillId="6" borderId="0" xfId="0" applyFont="1" applyFill="1" applyBorder="1" applyAlignment="1">
      <alignment vertical="center"/>
    </xf>
    <xf numFmtId="0" fontId="0" fillId="71" borderId="0" xfId="0" applyFill="1" applyProtection="1">
      <protection hidden="1"/>
    </xf>
    <xf numFmtId="0" fontId="1" fillId="71" borderId="0" xfId="30" applyFill="1" applyProtection="1">
      <protection hidden="1"/>
    </xf>
    <xf numFmtId="0" fontId="275" fillId="71" borderId="0" xfId="9" applyFont="1" applyFill="1" applyAlignment="1" applyProtection="1">
      <alignment vertical="center" wrapText="1"/>
      <protection hidden="1"/>
    </xf>
    <xf numFmtId="0" fontId="423" fillId="71" borderId="0" xfId="0" applyFont="1" applyFill="1" applyAlignment="1" applyProtection="1">
      <alignment horizontal="center" vertical="center"/>
      <protection hidden="1"/>
    </xf>
    <xf numFmtId="0" fontId="0" fillId="71" borderId="0" xfId="0" applyFill="1" applyAlignment="1" applyProtection="1">
      <alignment vertical="center"/>
      <protection hidden="1"/>
    </xf>
    <xf numFmtId="0" fontId="29" fillId="71" borderId="0" xfId="17" applyFont="1" applyFill="1" applyBorder="1" applyAlignment="1" applyProtection="1">
      <alignment horizontal="center" vertical="center"/>
      <protection hidden="1"/>
    </xf>
    <xf numFmtId="2" fontId="338" fillId="6" borderId="0" xfId="4" applyNumberFormat="1" applyFont="1" applyFill="1" applyProtection="1">
      <protection hidden="1"/>
    </xf>
    <xf numFmtId="10" fontId="338" fillId="6" borderId="0" xfId="4" applyNumberFormat="1" applyFont="1" applyFill="1" applyProtection="1">
      <protection hidden="1"/>
    </xf>
    <xf numFmtId="10" fontId="39" fillId="6" borderId="0" xfId="0" applyNumberFormat="1" applyFont="1" applyFill="1" applyBorder="1" applyProtection="1">
      <protection hidden="1"/>
    </xf>
    <xf numFmtId="1" fontId="338" fillId="6" borderId="0" xfId="4" applyNumberFormat="1" applyFont="1" applyFill="1" applyProtection="1">
      <protection hidden="1"/>
    </xf>
    <xf numFmtId="10" fontId="39" fillId="6" borderId="0" xfId="0" applyNumberFormat="1" applyFont="1" applyFill="1" applyProtection="1">
      <protection hidden="1"/>
    </xf>
    <xf numFmtId="0" fontId="366" fillId="6" borderId="0" xfId="0" applyFont="1" applyFill="1" applyBorder="1" applyAlignment="1" applyProtection="1">
      <alignment horizontal="center" vertical="center" wrapText="1"/>
      <protection hidden="1"/>
    </xf>
    <xf numFmtId="0" fontId="39" fillId="6" borderId="0" xfId="0" applyFont="1" applyFill="1" applyAlignment="1" applyProtection="1">
      <alignment horizontal="right"/>
      <protection hidden="1"/>
    </xf>
    <xf numFmtId="0" fontId="39" fillId="6" borderId="0" xfId="13" applyFont="1" applyFill="1" applyProtection="1">
      <protection hidden="1"/>
    </xf>
    <xf numFmtId="0" fontId="39" fillId="6" borderId="0" xfId="2" applyFont="1" applyFill="1" applyBorder="1" applyAlignment="1" applyProtection="1">
      <alignment horizontal="center" vertical="center"/>
      <protection hidden="1"/>
    </xf>
    <xf numFmtId="0" fontId="417" fillId="6" borderId="0" xfId="5" applyFont="1" applyFill="1" applyBorder="1" applyAlignment="1" applyProtection="1">
      <alignment horizontal="center" vertical="top"/>
      <protection hidden="1"/>
    </xf>
    <xf numFmtId="0" fontId="417" fillId="6" borderId="0" xfId="5" applyFont="1" applyFill="1" applyBorder="1" applyAlignment="1" applyProtection="1">
      <alignment horizontal="left" vertical="top"/>
      <protection hidden="1"/>
    </xf>
    <xf numFmtId="0" fontId="417" fillId="6" borderId="0" xfId="5" applyFont="1" applyFill="1" applyBorder="1" applyAlignment="1" applyProtection="1">
      <alignment horizontal="center" vertical="center"/>
      <protection hidden="1"/>
    </xf>
    <xf numFmtId="0" fontId="39" fillId="0" borderId="0" xfId="12" applyFont="1" applyProtection="1">
      <protection hidden="1"/>
    </xf>
    <xf numFmtId="165" fontId="39" fillId="6" borderId="0" xfId="0" applyNumberFormat="1" applyFont="1" applyFill="1" applyAlignment="1" applyProtection="1">
      <alignment horizontal="center" vertical="center"/>
      <protection hidden="1"/>
    </xf>
    <xf numFmtId="0" fontId="338" fillId="9" borderId="0" xfId="4" applyFont="1" applyFill="1" applyBorder="1" applyAlignment="1" applyProtection="1">
      <alignment horizontal="center"/>
      <protection hidden="1"/>
    </xf>
    <xf numFmtId="0" fontId="39" fillId="7" borderId="0" xfId="2" applyFont="1" applyFill="1" applyBorder="1" applyAlignment="1" applyProtection="1">
      <alignment horizontal="center" vertical="center"/>
      <protection hidden="1"/>
    </xf>
    <xf numFmtId="0" fontId="39" fillId="7" borderId="0" xfId="1" applyFont="1" applyFill="1" applyBorder="1" applyAlignment="1" applyProtection="1">
      <alignment horizontal="center"/>
      <protection hidden="1"/>
    </xf>
    <xf numFmtId="166" fontId="39" fillId="6" borderId="0" xfId="0" applyNumberFormat="1" applyFont="1" applyFill="1" applyAlignment="1" applyProtection="1">
      <alignment horizontal="center" vertical="center"/>
      <protection hidden="1"/>
    </xf>
    <xf numFmtId="0" fontId="39" fillId="7" borderId="0" xfId="2" applyFont="1" applyFill="1" applyBorder="1" applyAlignment="1" applyProtection="1">
      <alignment horizontal="center" vertical="center" wrapText="1"/>
      <protection hidden="1"/>
    </xf>
    <xf numFmtId="2" fontId="39" fillId="7" borderId="0" xfId="2" applyNumberFormat="1" applyFont="1" applyFill="1" applyAlignment="1" applyProtection="1">
      <alignment horizontal="center" vertical="center"/>
      <protection hidden="1"/>
    </xf>
    <xf numFmtId="166" fontId="338" fillId="6" borderId="0" xfId="4" applyNumberFormat="1" applyFont="1" applyFill="1" applyAlignment="1" applyProtection="1">
      <alignment horizontal="center" vertical="center" wrapText="1"/>
      <protection hidden="1"/>
    </xf>
    <xf numFmtId="1" fontId="338" fillId="6" borderId="0" xfId="4" applyNumberFormat="1" applyFont="1" applyFill="1" applyAlignment="1" applyProtection="1">
      <alignment horizontal="center" vertical="center" wrapText="1"/>
      <protection hidden="1"/>
    </xf>
    <xf numFmtId="0" fontId="338" fillId="6" borderId="0" xfId="4" applyFont="1" applyFill="1" applyAlignment="1" applyProtection="1">
      <alignment horizontal="center" vertical="center" wrapText="1"/>
      <protection hidden="1"/>
    </xf>
    <xf numFmtId="165" fontId="39" fillId="7" borderId="0" xfId="2" applyNumberFormat="1" applyFont="1" applyFill="1" applyBorder="1" applyAlignment="1" applyProtection="1">
      <alignment horizontal="center" vertical="center" wrapText="1"/>
      <protection hidden="1"/>
    </xf>
    <xf numFmtId="0" fontId="366" fillId="6" borderId="0" xfId="9" applyFont="1" applyFill="1" applyAlignment="1" applyProtection="1">
      <alignment horizontal="center" vertical="center" wrapText="1"/>
      <protection hidden="1"/>
    </xf>
    <xf numFmtId="0" fontId="366" fillId="6" borderId="0" xfId="9" applyFont="1" applyFill="1" applyAlignment="1" applyProtection="1">
      <alignment horizontal="center" vertical="center"/>
      <protection hidden="1"/>
    </xf>
    <xf numFmtId="1" fontId="39" fillId="7" borderId="0" xfId="2" applyNumberFormat="1" applyFont="1" applyFill="1" applyBorder="1" applyAlignment="1" applyProtection="1">
      <alignment horizontal="center" vertical="center"/>
      <protection hidden="1"/>
    </xf>
    <xf numFmtId="165" fontId="39" fillId="7" borderId="0" xfId="2" applyNumberFormat="1" applyFont="1" applyFill="1" applyBorder="1" applyAlignment="1" applyProtection="1">
      <alignment horizontal="center" vertical="center"/>
      <protection hidden="1"/>
    </xf>
    <xf numFmtId="0" fontId="39" fillId="7" borderId="0" xfId="11" applyNumberFormat="1" applyFont="1" applyFill="1" applyAlignment="1" applyProtection="1">
      <alignment horizontal="center" vertical="center"/>
      <protection hidden="1"/>
    </xf>
    <xf numFmtId="0" fontId="39" fillId="7" borderId="0" xfId="11" applyFont="1" applyFill="1" applyAlignment="1" applyProtection="1">
      <alignment horizontal="center" vertical="center"/>
      <protection hidden="1"/>
    </xf>
    <xf numFmtId="0" fontId="39" fillId="7" borderId="0" xfId="10" applyFont="1" applyFill="1" applyAlignment="1" applyProtection="1">
      <alignment horizontal="center" vertical="center"/>
      <protection hidden="1"/>
    </xf>
    <xf numFmtId="0" fontId="39" fillId="6" borderId="0" xfId="1" applyFont="1" applyFill="1" applyAlignment="1" applyProtection="1">
      <alignment vertical="center"/>
      <protection hidden="1"/>
    </xf>
    <xf numFmtId="10" fontId="39" fillId="7" borderId="0" xfId="2" applyNumberFormat="1" applyFont="1" applyFill="1" applyBorder="1" applyAlignment="1" applyProtection="1">
      <alignment horizontal="center" vertical="center"/>
      <protection hidden="1"/>
    </xf>
    <xf numFmtId="0" fontId="338" fillId="6" borderId="0" xfId="4" applyNumberFormat="1" applyFont="1" applyFill="1" applyBorder="1" applyAlignment="1" applyProtection="1">
      <alignment horizontal="center" vertical="center"/>
      <protection hidden="1"/>
    </xf>
    <xf numFmtId="0" fontId="39" fillId="6" borderId="0" xfId="0" applyFont="1" applyFill="1" applyAlignment="1" applyProtection="1">
      <alignment horizontal="left" vertical="center"/>
      <protection hidden="1"/>
    </xf>
    <xf numFmtId="0" fontId="39" fillId="0" borderId="0" xfId="0" applyFont="1" applyBorder="1" applyAlignment="1" applyProtection="1">
      <alignment horizontal="center" vertical="center"/>
      <protection hidden="1"/>
    </xf>
    <xf numFmtId="2" fontId="338" fillId="6" borderId="0" xfId="4" applyNumberFormat="1" applyFont="1" applyFill="1" applyBorder="1" applyProtection="1">
      <protection hidden="1"/>
    </xf>
    <xf numFmtId="2" fontId="39" fillId="6" borderId="0" xfId="0" applyNumberFormat="1" applyFont="1" applyFill="1" applyBorder="1" applyProtection="1">
      <protection hidden="1"/>
    </xf>
    <xf numFmtId="0" fontId="39" fillId="6" borderId="0" xfId="5" applyFont="1" applyFill="1" applyBorder="1" applyProtection="1">
      <protection hidden="1"/>
    </xf>
    <xf numFmtId="0" fontId="39" fillId="6" borderId="0" xfId="5" applyFont="1" applyFill="1" applyBorder="1" applyAlignment="1" applyProtection="1">
      <alignment horizontal="center"/>
      <protection hidden="1"/>
    </xf>
    <xf numFmtId="1" fontId="39" fillId="6" borderId="0" xfId="5" applyNumberFormat="1" applyFont="1" applyFill="1" applyBorder="1" applyAlignment="1" applyProtection="1">
      <alignment horizontal="center" vertical="center"/>
      <protection hidden="1"/>
    </xf>
    <xf numFmtId="49" fontId="496" fillId="0" borderId="0" xfId="0" applyNumberFormat="1" applyFont="1" applyAlignment="1">
      <alignment horizontal="center"/>
    </xf>
    <xf numFmtId="1" fontId="497" fillId="0" borderId="0" xfId="0" applyNumberFormat="1" applyFont="1" applyAlignment="1"/>
    <xf numFmtId="1" fontId="497" fillId="0" borderId="0" xfId="0" applyNumberFormat="1" applyFont="1"/>
    <xf numFmtId="0" fontId="376" fillId="0" borderId="0" xfId="0" applyFont="1" applyBorder="1" applyAlignment="1">
      <alignment horizontal="left" vertical="top" wrapText="1"/>
    </xf>
    <xf numFmtId="0" fontId="498" fillId="0" borderId="0" xfId="0" applyFont="1" applyBorder="1" applyAlignment="1">
      <alignment horizontal="left" vertical="top"/>
    </xf>
    <xf numFmtId="0" fontId="499" fillId="0" borderId="0" xfId="0" applyFont="1" applyBorder="1" applyAlignment="1">
      <alignment horizontal="center" vertical="top"/>
    </xf>
    <xf numFmtId="0" fontId="499" fillId="0" borderId="0" xfId="0" applyFont="1" applyBorder="1" applyAlignment="1">
      <alignment horizontal="left" vertical="top"/>
    </xf>
    <xf numFmtId="0" fontId="500" fillId="0" borderId="0" xfId="0" applyFont="1" applyBorder="1" applyAlignment="1">
      <alignment horizontal="center" vertical="center"/>
    </xf>
    <xf numFmtId="0" fontId="498" fillId="0" borderId="0" xfId="0" applyFont="1" applyBorder="1" applyAlignment="1">
      <alignment horizontal="center" vertical="center"/>
    </xf>
    <xf numFmtId="0" fontId="498" fillId="0" borderId="0" xfId="0" applyFont="1" applyBorder="1" applyAlignment="1">
      <alignment horizontal="left" vertical="center"/>
    </xf>
    <xf numFmtId="2" fontId="39" fillId="6" borderId="0" xfId="5" applyNumberFormat="1" applyFont="1" applyFill="1" applyBorder="1" applyProtection="1">
      <protection hidden="1"/>
    </xf>
    <xf numFmtId="0" fontId="39" fillId="0" borderId="0" xfId="0" applyNumberFormat="1" applyFont="1" applyBorder="1" applyAlignment="1" applyProtection="1">
      <protection hidden="1"/>
    </xf>
    <xf numFmtId="0" fontId="39" fillId="0" borderId="0" xfId="0" applyFont="1" applyBorder="1" applyProtection="1">
      <protection hidden="1"/>
    </xf>
    <xf numFmtId="0" fontId="39" fillId="0" borderId="0" xfId="0" applyFont="1" applyBorder="1" applyAlignment="1" applyProtection="1">
      <protection hidden="1"/>
    </xf>
    <xf numFmtId="16" fontId="338" fillId="56" borderId="0" xfId="0" applyNumberFormat="1" applyFont="1" applyFill="1" applyBorder="1" applyProtection="1">
      <protection hidden="1"/>
    </xf>
    <xf numFmtId="1" fontId="497" fillId="0" borderId="0" xfId="0" applyNumberFormat="1" applyFont="1" applyAlignment="1">
      <alignment horizontal="center"/>
    </xf>
    <xf numFmtId="2" fontId="497" fillId="0" borderId="0" xfId="0" applyNumberFormat="1" applyFont="1" applyAlignment="1"/>
    <xf numFmtId="2" fontId="497" fillId="0" borderId="0" xfId="0" applyNumberFormat="1" applyFont="1"/>
    <xf numFmtId="0" fontId="376" fillId="0" borderId="0" xfId="0" applyFont="1" applyBorder="1" applyAlignment="1">
      <alignment horizontal="left" vertical="top"/>
    </xf>
    <xf numFmtId="2" fontId="498" fillId="0" borderId="0" xfId="0" applyNumberFormat="1" applyFont="1" applyBorder="1" applyAlignment="1">
      <alignment horizontal="left" vertical="top"/>
    </xf>
    <xf numFmtId="0" fontId="498" fillId="0" borderId="0" xfId="0" applyFont="1" applyBorder="1" applyAlignment="1">
      <alignment horizontal="center" vertical="top"/>
    </xf>
    <xf numFmtId="0" fontId="498" fillId="0" borderId="0" xfId="0" applyFont="1" applyBorder="1" applyAlignment="1">
      <alignment horizontal="right" vertical="top"/>
    </xf>
    <xf numFmtId="2" fontId="498" fillId="0" borderId="0" xfId="0" applyNumberFormat="1" applyFont="1" applyBorder="1" applyAlignment="1">
      <alignment horizontal="center" vertical="top"/>
    </xf>
    <xf numFmtId="0" fontId="500" fillId="0" borderId="0" xfId="0" applyFont="1" applyBorder="1" applyAlignment="1">
      <alignment horizontal="center" vertical="top"/>
    </xf>
    <xf numFmtId="2" fontId="5" fillId="0" borderId="0" xfId="0" applyNumberFormat="1" applyFont="1" applyBorder="1" applyAlignment="1">
      <alignment horizontal="left" vertical="top"/>
    </xf>
    <xf numFmtId="2" fontId="39" fillId="0" borderId="0" xfId="0" applyNumberFormat="1" applyFont="1" applyBorder="1" applyAlignment="1" applyProtection="1">
      <alignment horizontal="center" vertical="center"/>
      <protection hidden="1"/>
    </xf>
    <xf numFmtId="0" fontId="39" fillId="0" borderId="0" xfId="0" applyFont="1" applyBorder="1" applyAlignment="1" applyProtection="1">
      <alignment horizontal="center"/>
      <protection hidden="1"/>
    </xf>
    <xf numFmtId="1" fontId="366" fillId="0" borderId="0" xfId="0" applyNumberFormat="1" applyFont="1" applyBorder="1" applyAlignment="1" applyProtection="1">
      <alignment horizontal="center" vertical="center" wrapText="1"/>
      <protection hidden="1"/>
    </xf>
    <xf numFmtId="1" fontId="417" fillId="0" borderId="0" xfId="0" applyNumberFormat="1" applyFont="1" applyBorder="1" applyAlignment="1" applyProtection="1">
      <alignment horizontal="left" vertical="top" wrapText="1"/>
      <protection hidden="1"/>
    </xf>
    <xf numFmtId="2" fontId="417" fillId="0" borderId="0" xfId="0" applyNumberFormat="1" applyFont="1" applyBorder="1" applyAlignment="1" applyProtection="1">
      <alignment horizontal="left" vertical="top" wrapText="1"/>
      <protection hidden="1"/>
    </xf>
    <xf numFmtId="0" fontId="417" fillId="0" borderId="0" xfId="0" applyFont="1" applyBorder="1" applyAlignment="1" applyProtection="1">
      <alignment horizontal="center" vertical="center"/>
      <protection hidden="1"/>
    </xf>
    <xf numFmtId="2" fontId="366" fillId="56" borderId="0" xfId="0" applyNumberFormat="1" applyFont="1" applyFill="1" applyBorder="1" applyAlignment="1" applyProtection="1">
      <alignment horizontal="center"/>
      <protection hidden="1"/>
    </xf>
    <xf numFmtId="0" fontId="366" fillId="0" borderId="0" xfId="0" applyFont="1" applyBorder="1" applyAlignment="1" applyProtection="1">
      <alignment horizontal="center" vertical="center" wrapText="1"/>
      <protection hidden="1"/>
    </xf>
    <xf numFmtId="2" fontId="417" fillId="0" borderId="0" xfId="0" applyNumberFormat="1" applyFont="1" applyBorder="1" applyAlignment="1" applyProtection="1">
      <alignment horizontal="center" vertical="center"/>
      <protection hidden="1"/>
    </xf>
    <xf numFmtId="170" fontId="417" fillId="0" borderId="0" xfId="0" applyNumberFormat="1" applyFont="1" applyBorder="1" applyAlignment="1" applyProtection="1">
      <alignment horizontal="left" vertical="top" wrapText="1"/>
      <protection hidden="1"/>
    </xf>
    <xf numFmtId="2" fontId="500" fillId="0" borderId="0" xfId="0" applyNumberFormat="1" applyFont="1" applyBorder="1" applyAlignment="1">
      <alignment horizontal="left" vertical="top"/>
    </xf>
    <xf numFmtId="2" fontId="366" fillId="0" borderId="0" xfId="0" applyNumberFormat="1" applyFont="1" applyBorder="1" applyAlignment="1" applyProtection="1">
      <alignment horizontal="center" vertical="center"/>
      <protection hidden="1"/>
    </xf>
    <xf numFmtId="2" fontId="366" fillId="0" borderId="0" xfId="0" applyNumberFormat="1" applyFont="1" applyBorder="1" applyAlignment="1" applyProtection="1">
      <alignment horizontal="center"/>
      <protection hidden="1"/>
    </xf>
    <xf numFmtId="0" fontId="5" fillId="0" borderId="0" xfId="0" applyFont="1" applyBorder="1" applyAlignment="1">
      <alignment horizontal="left" vertical="top"/>
    </xf>
    <xf numFmtId="2" fontId="417" fillId="0" borderId="0" xfId="0" applyNumberFormat="1" applyFont="1" applyFill="1" applyBorder="1" applyAlignment="1" applyProtection="1">
      <alignment horizontal="center" vertical="center"/>
      <protection hidden="1"/>
    </xf>
    <xf numFmtId="0" fontId="5" fillId="0" borderId="0" xfId="0" applyFont="1"/>
    <xf numFmtId="2" fontId="39" fillId="0" borderId="0" xfId="0" applyNumberFormat="1" applyFont="1" applyBorder="1" applyProtection="1">
      <protection hidden="1"/>
    </xf>
    <xf numFmtId="0" fontId="39" fillId="6" borderId="0" xfId="5" applyFont="1" applyFill="1" applyBorder="1" applyAlignment="1" applyProtection="1">
      <protection hidden="1"/>
    </xf>
    <xf numFmtId="1" fontId="39" fillId="8" borderId="0" xfId="5" applyNumberFormat="1" applyFont="1" applyFill="1" applyBorder="1" applyAlignment="1" applyProtection="1">
      <alignment horizontal="center"/>
      <protection hidden="1"/>
    </xf>
    <xf numFmtId="1" fontId="39" fillId="6" borderId="0" xfId="5" applyNumberFormat="1" applyFont="1" applyFill="1" applyBorder="1" applyAlignment="1" applyProtection="1">
      <alignment horizontal="center"/>
      <protection hidden="1"/>
    </xf>
    <xf numFmtId="1" fontId="39" fillId="6" borderId="0" xfId="5" applyNumberFormat="1" applyFont="1" applyFill="1" applyBorder="1" applyAlignment="1" applyProtection="1">
      <alignment horizontal="center" wrapText="1"/>
      <protection hidden="1"/>
    </xf>
    <xf numFmtId="2" fontId="39" fillId="6" borderId="0" xfId="5" applyNumberFormat="1" applyFont="1" applyFill="1" applyBorder="1" applyAlignment="1" applyProtection="1">
      <alignment horizontal="center" wrapText="1"/>
      <protection hidden="1"/>
    </xf>
    <xf numFmtId="0" fontId="39" fillId="6" borderId="0" xfId="5" applyFont="1" applyFill="1" applyBorder="1" applyAlignment="1" applyProtection="1">
      <alignment horizontal="center" wrapText="1"/>
      <protection hidden="1"/>
    </xf>
    <xf numFmtId="2" fontId="39" fillId="6" borderId="0" xfId="5" applyNumberFormat="1" applyFont="1" applyFill="1" applyBorder="1" applyAlignment="1" applyProtection="1">
      <alignment horizontal="center"/>
      <protection hidden="1"/>
    </xf>
    <xf numFmtId="0" fontId="417" fillId="0" borderId="0" xfId="0" applyFont="1" applyBorder="1" applyAlignment="1" applyProtection="1">
      <alignment horizontal="center" vertical="center" wrapText="1"/>
      <protection hidden="1"/>
    </xf>
    <xf numFmtId="2" fontId="366" fillId="0" borderId="0" xfId="0" applyNumberFormat="1" applyFont="1" applyBorder="1" applyAlignment="1" applyProtection="1">
      <alignment horizontal="center" vertical="center" wrapText="1"/>
      <protection hidden="1"/>
    </xf>
    <xf numFmtId="0" fontId="366" fillId="6" borderId="0" xfId="8" applyFont="1" applyFill="1" applyBorder="1" applyProtection="1">
      <protection hidden="1"/>
    </xf>
    <xf numFmtId="1" fontId="375" fillId="0" borderId="0" xfId="0" applyNumberFormat="1" applyFont="1" applyBorder="1" applyAlignment="1" applyProtection="1">
      <alignment horizontal="center" vertical="center" wrapText="1"/>
      <protection hidden="1"/>
    </xf>
    <xf numFmtId="0" fontId="366" fillId="6" borderId="0" xfId="5" applyFont="1" applyFill="1" applyBorder="1" applyAlignment="1" applyProtection="1">
      <alignment horizontal="left" vertical="top"/>
      <protection hidden="1"/>
    </xf>
    <xf numFmtId="0" fontId="366" fillId="6" borderId="0" xfId="5" applyFont="1" applyFill="1" applyBorder="1" applyAlignment="1" applyProtection="1">
      <alignment horizontal="center" vertical="top"/>
      <protection hidden="1"/>
    </xf>
    <xf numFmtId="0" fontId="366" fillId="6" borderId="0" xfId="5" applyFont="1" applyFill="1" applyBorder="1" applyAlignment="1" applyProtection="1">
      <alignment horizontal="center" vertical="center"/>
      <protection hidden="1"/>
    </xf>
    <xf numFmtId="0" fontId="39" fillId="0" borderId="0" xfId="0" applyFont="1" applyBorder="1" applyAlignment="1" applyProtection="1">
      <alignment horizontal="left" vertical="top" wrapText="1"/>
      <protection hidden="1"/>
    </xf>
    <xf numFmtId="1" fontId="366" fillId="0" borderId="0" xfId="0" applyNumberFormat="1" applyFont="1" applyBorder="1" applyAlignment="1" applyProtection="1">
      <alignment horizontal="left" vertical="top" wrapText="1"/>
      <protection hidden="1"/>
    </xf>
    <xf numFmtId="2" fontId="366" fillId="0" borderId="0" xfId="0" applyNumberFormat="1" applyFont="1" applyBorder="1" applyAlignment="1" applyProtection="1">
      <alignment horizontal="center" vertical="top" wrapText="1"/>
      <protection hidden="1"/>
    </xf>
    <xf numFmtId="2" fontId="366" fillId="0" borderId="0" xfId="0" applyNumberFormat="1" applyFont="1" applyBorder="1" applyAlignment="1" applyProtection="1">
      <alignment horizontal="left" vertical="top" wrapText="1"/>
      <protection hidden="1"/>
    </xf>
    <xf numFmtId="2" fontId="366" fillId="0" borderId="0" xfId="0" applyNumberFormat="1" applyFont="1" applyBorder="1" applyAlignment="1" applyProtection="1">
      <alignment horizontal="right" vertical="top" wrapText="1"/>
      <protection hidden="1"/>
    </xf>
    <xf numFmtId="0" fontId="375" fillId="6" borderId="0" xfId="5" applyFont="1" applyFill="1" applyBorder="1" applyAlignment="1" applyProtection="1">
      <alignment horizontal="center" vertical="center"/>
      <protection hidden="1"/>
    </xf>
    <xf numFmtId="1" fontId="501" fillId="6" borderId="0" xfId="5" applyNumberFormat="1" applyFont="1" applyFill="1" applyBorder="1" applyAlignment="1" applyProtection="1">
      <alignment horizontal="center" vertical="center"/>
      <protection hidden="1"/>
    </xf>
    <xf numFmtId="0" fontId="417" fillId="6" borderId="0" xfId="5" applyFont="1" applyFill="1" applyBorder="1" applyAlignment="1" applyProtection="1">
      <alignment horizontal="center" vertical="top" wrapText="1"/>
      <protection hidden="1"/>
    </xf>
    <xf numFmtId="0" fontId="375" fillId="6" borderId="0" xfId="6" applyFont="1" applyFill="1" applyBorder="1" applyAlignment="1" applyProtection="1">
      <protection hidden="1"/>
    </xf>
    <xf numFmtId="0" fontId="338" fillId="6" borderId="0" xfId="4" applyNumberFormat="1" applyFont="1" applyFill="1" applyBorder="1" applyProtection="1">
      <protection hidden="1"/>
    </xf>
    <xf numFmtId="2" fontId="366" fillId="6" borderId="0" xfId="5" applyNumberFormat="1" applyFont="1" applyFill="1" applyBorder="1" applyAlignment="1" applyProtection="1">
      <alignment horizontal="center" vertical="center"/>
      <protection hidden="1"/>
    </xf>
    <xf numFmtId="2" fontId="417" fillId="6" borderId="0" xfId="5" applyNumberFormat="1" applyFont="1" applyFill="1" applyBorder="1" applyAlignment="1" applyProtection="1">
      <alignment horizontal="center" vertical="top" wrapText="1"/>
      <protection hidden="1"/>
    </xf>
    <xf numFmtId="4" fontId="366" fillId="6" borderId="0" xfId="6" applyNumberFormat="1" applyFont="1" applyFill="1" applyBorder="1" applyAlignment="1" applyProtection="1">
      <alignment horizontal="center"/>
      <protection hidden="1"/>
    </xf>
    <xf numFmtId="2" fontId="39" fillId="0" borderId="0" xfId="0" applyNumberFormat="1" applyFont="1" applyBorder="1" applyAlignment="1" applyProtection="1">
      <alignment horizontal="left" vertical="top" wrapText="1"/>
      <protection hidden="1"/>
    </xf>
    <xf numFmtId="1" fontId="60" fillId="6" borderId="0" xfId="5" applyNumberFormat="1" applyFont="1" applyFill="1" applyBorder="1" applyAlignment="1" applyProtection="1">
      <alignment horizontal="center"/>
      <protection hidden="1"/>
    </xf>
    <xf numFmtId="0" fontId="338" fillId="0" borderId="0" xfId="0" applyFont="1" applyBorder="1" applyProtection="1">
      <protection hidden="1"/>
    </xf>
    <xf numFmtId="0" fontId="366" fillId="0" borderId="0" xfId="0" applyFont="1" applyBorder="1" applyAlignment="1" applyProtection="1">
      <alignment horizontal="center" vertical="center"/>
      <protection hidden="1"/>
    </xf>
    <xf numFmtId="0" fontId="366" fillId="0" borderId="0" xfId="0" applyFont="1" applyBorder="1" applyAlignment="1" applyProtection="1">
      <alignment horizontal="center"/>
      <protection hidden="1"/>
    </xf>
    <xf numFmtId="0" fontId="366" fillId="0" borderId="0" xfId="0" applyFont="1" applyBorder="1" applyAlignment="1" applyProtection="1">
      <alignment horizontal="left" vertical="top" wrapText="1"/>
      <protection hidden="1"/>
    </xf>
    <xf numFmtId="1" fontId="375" fillId="6" borderId="0" xfId="0" applyNumberFormat="1" applyFont="1" applyFill="1" applyBorder="1" applyAlignment="1" applyProtection="1">
      <alignment horizontal="center"/>
      <protection hidden="1"/>
    </xf>
    <xf numFmtId="0" fontId="366" fillId="0" borderId="0" xfId="0" applyFont="1" applyBorder="1" applyAlignment="1" applyProtection="1">
      <alignment horizontal="center" vertical="top" wrapText="1"/>
      <protection hidden="1"/>
    </xf>
    <xf numFmtId="2" fontId="39" fillId="6" borderId="0" xfId="0" applyNumberFormat="1" applyFont="1" applyFill="1" applyBorder="1" applyAlignment="1" applyProtection="1">
      <alignment horizontal="center"/>
      <protection hidden="1"/>
    </xf>
    <xf numFmtId="2" fontId="366" fillId="6" borderId="0" xfId="5" applyNumberFormat="1" applyFont="1" applyFill="1" applyBorder="1" applyAlignment="1" applyProtection="1">
      <alignment horizontal="center" vertical="top"/>
      <protection hidden="1"/>
    </xf>
    <xf numFmtId="1" fontId="375" fillId="0" borderId="0" xfId="0" applyNumberFormat="1" applyFont="1" applyBorder="1" applyAlignment="1" applyProtection="1">
      <alignment horizontal="center" vertical="top" wrapText="1"/>
      <protection hidden="1"/>
    </xf>
    <xf numFmtId="1" fontId="375" fillId="0" borderId="0" xfId="0" applyNumberFormat="1" applyFont="1" applyBorder="1" applyAlignment="1" applyProtection="1">
      <alignment horizontal="right" vertical="top" wrapText="1"/>
      <protection hidden="1"/>
    </xf>
    <xf numFmtId="1" fontId="375" fillId="0" borderId="0" xfId="0" applyNumberFormat="1" applyFont="1" applyBorder="1" applyAlignment="1" applyProtection="1">
      <alignment horizontal="left" vertical="top" wrapText="1"/>
      <protection hidden="1"/>
    </xf>
    <xf numFmtId="0" fontId="39" fillId="6" borderId="0" xfId="5" applyNumberFormat="1" applyFont="1" applyFill="1" applyBorder="1" applyAlignment="1" applyProtection="1">
      <alignment horizontal="center"/>
      <protection hidden="1"/>
    </xf>
    <xf numFmtId="2" fontId="39" fillId="6" borderId="0" xfId="5" quotePrefix="1" applyNumberFormat="1" applyFont="1" applyFill="1" applyBorder="1" applyAlignment="1" applyProtection="1">
      <alignment horizontal="center"/>
      <protection hidden="1"/>
    </xf>
    <xf numFmtId="0" fontId="39" fillId="6" borderId="0" xfId="5" applyFont="1" applyFill="1" applyBorder="1" applyAlignment="1" applyProtection="1">
      <alignment vertical="top"/>
      <protection hidden="1"/>
    </xf>
    <xf numFmtId="0" fontId="417" fillId="0" borderId="0" xfId="0" applyFont="1" applyBorder="1" applyAlignment="1">
      <alignment horizontal="left" vertical="top"/>
    </xf>
    <xf numFmtId="2" fontId="366" fillId="6" borderId="0" xfId="0" applyNumberFormat="1" applyFont="1" applyFill="1" applyBorder="1" applyAlignment="1" applyProtection="1">
      <alignment horizontal="center" vertical="center"/>
      <protection hidden="1"/>
    </xf>
    <xf numFmtId="2" fontId="417" fillId="0" borderId="0" xfId="0" applyNumberFormat="1" applyFont="1" applyBorder="1" applyAlignment="1">
      <alignment horizontal="left" vertical="top"/>
    </xf>
    <xf numFmtId="1" fontId="39" fillId="6" borderId="0" xfId="5" applyNumberFormat="1" applyFont="1" applyFill="1" applyBorder="1" applyProtection="1">
      <protection hidden="1"/>
    </xf>
    <xf numFmtId="2" fontId="502" fillId="0" borderId="0" xfId="0" applyNumberFormat="1" applyFont="1" applyBorder="1" applyAlignment="1">
      <alignment horizontal="left" vertical="top"/>
    </xf>
    <xf numFmtId="2" fontId="376" fillId="0" borderId="0" xfId="0" applyNumberFormat="1" applyFont="1" applyBorder="1" applyAlignment="1">
      <alignment horizontal="left" vertical="top"/>
    </xf>
    <xf numFmtId="2" fontId="419" fillId="0" borderId="0" xfId="0" applyNumberFormat="1" applyFont="1" applyBorder="1" applyAlignment="1">
      <alignment horizontal="center" vertical="top"/>
    </xf>
    <xf numFmtId="2" fontId="386" fillId="0" borderId="0" xfId="0" applyNumberFormat="1" applyFont="1" applyBorder="1" applyAlignment="1">
      <alignment horizontal="center" vertical="top"/>
    </xf>
    <xf numFmtId="2" fontId="386" fillId="0" borderId="0" xfId="0" applyNumberFormat="1" applyFont="1" applyBorder="1" applyAlignment="1">
      <alignment horizontal="left" vertical="top"/>
    </xf>
    <xf numFmtId="2" fontId="502" fillId="0" borderId="0" xfId="0" applyNumberFormat="1" applyFont="1" applyBorder="1" applyAlignment="1">
      <alignment horizontal="center" vertical="top"/>
    </xf>
    <xf numFmtId="2" fontId="397" fillId="0" borderId="0" xfId="0" applyNumberFormat="1" applyFont="1" applyBorder="1" applyAlignment="1">
      <alignment horizontal="center" vertical="top"/>
    </xf>
    <xf numFmtId="2" fontId="397" fillId="0" borderId="0" xfId="0" applyNumberFormat="1" applyFont="1" applyBorder="1" applyAlignment="1">
      <alignment horizontal="left" vertical="top"/>
    </xf>
    <xf numFmtId="164" fontId="39" fillId="6" borderId="0" xfId="5" applyNumberFormat="1" applyFont="1" applyFill="1" applyBorder="1" applyProtection="1">
      <protection hidden="1"/>
    </xf>
    <xf numFmtId="0" fontId="39" fillId="6" borderId="0" xfId="0" applyFont="1" applyFill="1" applyBorder="1" applyAlignment="1" applyProtection="1">
      <alignment horizontal="center"/>
      <protection hidden="1"/>
    </xf>
    <xf numFmtId="0" fontId="39" fillId="6" borderId="0" xfId="0" applyFont="1" applyFill="1" applyBorder="1" applyAlignment="1" applyProtection="1">
      <alignment horizontal="center" wrapText="1"/>
      <protection hidden="1"/>
    </xf>
    <xf numFmtId="0" fontId="39" fillId="6" borderId="0" xfId="0" applyFont="1" applyFill="1" applyBorder="1" applyAlignment="1" applyProtection="1">
      <alignment horizontal="center" vertical="center" wrapText="1"/>
      <protection hidden="1"/>
    </xf>
    <xf numFmtId="0" fontId="39" fillId="6" borderId="0" xfId="0" applyFont="1" applyFill="1" applyBorder="1" applyAlignment="1" applyProtection="1">
      <alignment vertical="center"/>
      <protection hidden="1"/>
    </xf>
    <xf numFmtId="0" fontId="39" fillId="6" borderId="0" xfId="0" applyFont="1" applyFill="1" applyBorder="1" applyAlignment="1" applyProtection="1">
      <alignment horizontal="right"/>
      <protection hidden="1"/>
    </xf>
    <xf numFmtId="2" fontId="418" fillId="0" borderId="0" xfId="3" applyNumberFormat="1" applyFont="1" applyBorder="1" applyAlignment="1" applyProtection="1">
      <alignment vertical="top" wrapText="1"/>
      <protection hidden="1"/>
    </xf>
    <xf numFmtId="2" fontId="39" fillId="6" borderId="0" xfId="0" applyNumberFormat="1" applyFont="1" applyFill="1" applyBorder="1" applyAlignment="1" applyProtection="1">
      <alignment horizontal="right"/>
      <protection hidden="1"/>
    </xf>
    <xf numFmtId="2" fontId="418" fillId="0" borderId="0" xfId="3" applyNumberFormat="1" applyFont="1" applyBorder="1" applyAlignment="1" applyProtection="1">
      <alignment horizontal="left" vertical="top" wrapText="1"/>
      <protection hidden="1"/>
    </xf>
    <xf numFmtId="0" fontId="39" fillId="6" borderId="0" xfId="0" applyFont="1" applyFill="1" applyBorder="1" applyAlignment="1" applyProtection="1">
      <alignment horizontal="left" wrapText="1"/>
      <protection hidden="1"/>
    </xf>
    <xf numFmtId="2" fontId="418" fillId="0" borderId="0" xfId="3" applyNumberFormat="1" applyFont="1" applyBorder="1" applyAlignment="1" applyProtection="1">
      <alignment horizontal="left" wrapText="1"/>
      <protection hidden="1"/>
    </xf>
    <xf numFmtId="2" fontId="39" fillId="6" borderId="0" xfId="0" applyNumberFormat="1" applyFont="1" applyFill="1" applyBorder="1" applyAlignment="1" applyProtection="1">
      <alignment horizontal="left" vertical="top"/>
      <protection hidden="1"/>
    </xf>
    <xf numFmtId="1" fontId="39" fillId="6" borderId="0" xfId="0" applyNumberFormat="1" applyFont="1" applyFill="1" applyBorder="1" applyAlignment="1" applyProtection="1">
      <alignment horizontal="center" vertical="center" wrapText="1"/>
      <protection hidden="1"/>
    </xf>
    <xf numFmtId="2" fontId="418" fillId="0" borderId="0" xfId="3" applyNumberFormat="1" applyFont="1" applyBorder="1" applyAlignment="1" applyProtection="1">
      <alignment vertical="top"/>
      <protection hidden="1"/>
    </xf>
    <xf numFmtId="2" fontId="418" fillId="0" borderId="0" xfId="3" applyNumberFormat="1" applyFont="1" applyBorder="1" applyAlignment="1" applyProtection="1">
      <alignment horizontal="left" vertical="top"/>
      <protection hidden="1"/>
    </xf>
    <xf numFmtId="2" fontId="418" fillId="0" borderId="0" xfId="3" applyNumberFormat="1" applyFont="1" applyBorder="1" applyAlignment="1" applyProtection="1">
      <alignment horizontal="left"/>
      <protection hidden="1"/>
    </xf>
    <xf numFmtId="2" fontId="418" fillId="0" borderId="0" xfId="3" applyNumberFormat="1" applyFont="1" applyBorder="1" applyAlignment="1" applyProtection="1">
      <alignment horizontal="right" vertical="top" wrapText="1"/>
      <protection hidden="1"/>
    </xf>
    <xf numFmtId="2" fontId="418" fillId="0" borderId="0" xfId="3" applyNumberFormat="1" applyFont="1" applyBorder="1" applyAlignment="1" applyProtection="1">
      <alignment horizontal="right" vertical="center" wrapText="1"/>
      <protection hidden="1"/>
    </xf>
    <xf numFmtId="2" fontId="39" fillId="6" borderId="0" xfId="0" applyNumberFormat="1" applyFont="1" applyFill="1" applyBorder="1" applyAlignment="1" applyProtection="1">
      <alignment horizontal="center" vertical="center" wrapText="1"/>
      <protection hidden="1"/>
    </xf>
    <xf numFmtId="0" fontId="418" fillId="0" borderId="0" xfId="3" applyFont="1" applyBorder="1" applyProtection="1">
      <protection hidden="1"/>
    </xf>
    <xf numFmtId="0" fontId="503" fillId="0" borderId="0" xfId="3" applyFont="1" applyBorder="1" applyAlignment="1" applyProtection="1">
      <alignment horizontal="right"/>
      <protection hidden="1"/>
    </xf>
    <xf numFmtId="1" fontId="39" fillId="6" borderId="0" xfId="0" applyNumberFormat="1" applyFont="1" applyFill="1" applyBorder="1" applyAlignment="1" applyProtection="1">
      <alignment horizontal="right"/>
      <protection hidden="1"/>
    </xf>
    <xf numFmtId="0" fontId="39" fillId="6" borderId="0" xfId="0" applyFont="1" applyFill="1" applyBorder="1" applyAlignment="1" applyProtection="1">
      <alignment horizontal="center" vertical="top" wrapText="1"/>
      <protection hidden="1"/>
    </xf>
    <xf numFmtId="2" fontId="39" fillId="6" borderId="0" xfId="0" applyNumberFormat="1" applyFont="1" applyFill="1" applyBorder="1" applyAlignment="1" applyProtection="1">
      <alignment horizontal="center" vertical="top"/>
      <protection hidden="1"/>
    </xf>
    <xf numFmtId="2" fontId="39" fillId="6" borderId="0" xfId="0" applyNumberFormat="1" applyFont="1" applyFill="1" applyBorder="1" applyAlignment="1" applyProtection="1">
      <alignment vertical="top"/>
      <protection hidden="1"/>
    </xf>
    <xf numFmtId="16" fontId="39" fillId="6" borderId="0" xfId="0" applyNumberFormat="1" applyFont="1" applyFill="1" applyBorder="1" applyProtection="1">
      <protection hidden="1"/>
    </xf>
    <xf numFmtId="0" fontId="39" fillId="30" borderId="0" xfId="5" applyFont="1" applyFill="1" applyBorder="1" applyAlignment="1" applyProtection="1">
      <alignment horizontal="center" wrapText="1"/>
      <protection hidden="1"/>
    </xf>
    <xf numFmtId="2" fontId="417" fillId="0" borderId="0" xfId="0" applyNumberFormat="1" applyFont="1" applyBorder="1" applyAlignment="1" applyProtection="1">
      <alignment horizontal="center" vertical="center" wrapText="1"/>
      <protection hidden="1"/>
    </xf>
    <xf numFmtId="2" fontId="417" fillId="0" borderId="0" xfId="0" applyNumberFormat="1" applyFont="1" applyBorder="1" applyAlignment="1" applyProtection="1">
      <alignment horizontal="center" vertical="top" wrapText="1"/>
      <protection hidden="1"/>
    </xf>
    <xf numFmtId="2" fontId="417" fillId="0" borderId="0" xfId="0" applyNumberFormat="1" applyFont="1" applyBorder="1" applyAlignment="1" applyProtection="1">
      <alignment horizontal="center" vertical="top"/>
      <protection hidden="1"/>
    </xf>
    <xf numFmtId="0" fontId="39" fillId="7" borderId="0" xfId="11" applyFont="1" applyFill="1" applyBorder="1" applyAlignment="1" applyProtection="1">
      <alignment horizontal="center" vertical="center"/>
      <protection hidden="1"/>
    </xf>
    <xf numFmtId="1" fontId="39" fillId="6" borderId="0" xfId="5" applyNumberFormat="1" applyFont="1" applyFill="1" applyBorder="1" applyAlignment="1" applyProtection="1">
      <alignment horizontal="center" vertical="center" wrapText="1"/>
      <protection hidden="1"/>
    </xf>
    <xf numFmtId="0" fontId="338" fillId="0" borderId="0" xfId="0" applyFont="1" applyBorder="1" applyAlignment="1" applyProtection="1">
      <alignment horizontal="center" vertical="center"/>
      <protection hidden="1"/>
    </xf>
    <xf numFmtId="0" fontId="504" fillId="0" borderId="0" xfId="0" applyFont="1" applyBorder="1" applyAlignment="1" applyProtection="1">
      <alignment horizontal="center" vertical="center"/>
      <protection hidden="1"/>
    </xf>
    <xf numFmtId="0" fontId="417" fillId="0" borderId="0" xfId="0" applyFont="1" applyBorder="1" applyAlignment="1" applyProtection="1">
      <alignment vertical="center"/>
      <protection hidden="1"/>
    </xf>
    <xf numFmtId="2" fontId="505" fillId="0" borderId="0" xfId="0" applyNumberFormat="1" applyFont="1" applyBorder="1" applyAlignment="1" applyProtection="1">
      <alignment horizontal="center" vertical="center"/>
      <protection hidden="1"/>
    </xf>
    <xf numFmtId="0" fontId="366" fillId="0" borderId="0" xfId="0" applyFont="1" applyBorder="1" applyAlignment="1" applyProtection="1">
      <alignment vertical="center"/>
      <protection hidden="1"/>
    </xf>
    <xf numFmtId="2" fontId="504" fillId="0" borderId="0" xfId="0" applyNumberFormat="1" applyFont="1" applyBorder="1" applyAlignment="1" applyProtection="1">
      <alignment horizontal="center" vertical="center"/>
      <protection hidden="1"/>
    </xf>
    <xf numFmtId="2" fontId="504" fillId="0" borderId="0" xfId="0" applyNumberFormat="1" applyFont="1" applyBorder="1" applyAlignment="1" applyProtection="1">
      <alignment vertical="center"/>
      <protection hidden="1"/>
    </xf>
    <xf numFmtId="1" fontId="421" fillId="6" borderId="0" xfId="4" applyNumberFormat="1" applyFont="1" applyFill="1" applyAlignment="1" applyProtection="1">
      <alignment horizontal="center" vertical="center"/>
      <protection hidden="1"/>
    </xf>
    <xf numFmtId="0" fontId="421" fillId="6" borderId="0" xfId="4" applyFont="1" applyFill="1" applyAlignment="1" applyProtection="1">
      <alignment horizontal="center" vertical="center"/>
      <protection hidden="1"/>
    </xf>
    <xf numFmtId="0" fontId="198" fillId="6" borderId="0" xfId="7" applyFont="1" applyFill="1" applyAlignment="1" applyProtection="1">
      <alignment horizontal="center" vertical="center"/>
      <protection hidden="1"/>
    </xf>
    <xf numFmtId="3" fontId="300" fillId="15" borderId="0" xfId="0" applyNumberFormat="1" applyFont="1" applyFill="1" applyBorder="1" applyAlignment="1" applyProtection="1">
      <alignment horizontal="center" vertical="center"/>
      <protection hidden="1"/>
    </xf>
    <xf numFmtId="0" fontId="300" fillId="17" borderId="0" xfId="17" applyFont="1" applyFill="1" applyBorder="1" applyAlignment="1" applyProtection="1">
      <alignment vertical="center"/>
      <protection hidden="1"/>
    </xf>
    <xf numFmtId="0" fontId="434" fillId="17" borderId="0" xfId="17" applyFont="1" applyFill="1" applyBorder="1" applyAlignment="1" applyProtection="1">
      <alignment vertical="top"/>
      <protection hidden="1"/>
    </xf>
    <xf numFmtId="0" fontId="105" fillId="48" borderId="0" xfId="9" applyFont="1" applyFill="1" applyBorder="1" applyAlignment="1" applyProtection="1">
      <alignment horizontal="left" vertical="center" shrinkToFit="1"/>
      <protection hidden="1"/>
    </xf>
    <xf numFmtId="0" fontId="102" fillId="6" borderId="0" xfId="42" applyFont="1" applyFill="1" applyAlignment="1" applyProtection="1">
      <alignment horizontal="left" vertical="center" wrapText="1"/>
      <protection hidden="1"/>
    </xf>
    <xf numFmtId="0" fontId="102" fillId="6" borderId="0" xfId="9" applyFont="1" applyFill="1" applyBorder="1" applyAlignment="1" applyProtection="1">
      <alignment horizontal="left" vertical="center" wrapText="1"/>
      <protection hidden="1"/>
    </xf>
    <xf numFmtId="0" fontId="335" fillId="6" borderId="0" xfId="9" applyFont="1" applyFill="1" applyBorder="1" applyAlignment="1" applyProtection="1">
      <alignment horizontal="left" vertical="center"/>
      <protection hidden="1"/>
    </xf>
    <xf numFmtId="0" fontId="331" fillId="0" borderId="217" xfId="41" applyFont="1" applyBorder="1" applyAlignment="1" applyProtection="1">
      <alignment horizontal="center" vertical="center" wrapText="1"/>
      <protection hidden="1"/>
    </xf>
    <xf numFmtId="0" fontId="331" fillId="0" borderId="218" xfId="41" applyFont="1" applyBorder="1" applyAlignment="1" applyProtection="1">
      <alignment horizontal="center" vertical="center" wrapText="1"/>
      <protection hidden="1"/>
    </xf>
    <xf numFmtId="14" fontId="337" fillId="0" borderId="0" xfId="41" applyNumberFormat="1" applyFont="1" applyAlignment="1" applyProtection="1">
      <alignment horizontal="center" vertical="center"/>
      <protection hidden="1"/>
    </xf>
    <xf numFmtId="0" fontId="336" fillId="6" borderId="0" xfId="9" applyFont="1" applyFill="1" applyBorder="1" applyAlignment="1" applyProtection="1">
      <alignment horizontal="center" vertical="center"/>
      <protection hidden="1"/>
    </xf>
    <xf numFmtId="0" fontId="119" fillId="6" borderId="0" xfId="9" applyFont="1" applyFill="1" applyAlignment="1" applyProtection="1">
      <alignment horizontal="center" vertical="center"/>
      <protection hidden="1"/>
    </xf>
    <xf numFmtId="0" fontId="181" fillId="0" borderId="0" xfId="42" applyFont="1" applyBorder="1" applyAlignment="1" applyProtection="1">
      <alignment horizontal="center" vertical="center"/>
      <protection hidden="1"/>
    </xf>
    <xf numFmtId="0" fontId="119" fillId="6" borderId="0" xfId="9" applyFont="1" applyFill="1" applyBorder="1" applyAlignment="1" applyProtection="1">
      <alignment horizontal="center" vertical="center"/>
      <protection hidden="1"/>
    </xf>
    <xf numFmtId="0" fontId="333" fillId="50" borderId="0" xfId="9" applyFont="1" applyFill="1" applyBorder="1" applyAlignment="1" applyProtection="1">
      <alignment horizontal="center" vertical="center" shrinkToFit="1"/>
      <protection hidden="1"/>
    </xf>
    <xf numFmtId="0" fontId="119" fillId="6" borderId="0" xfId="42" applyFont="1" applyFill="1" applyAlignment="1" applyProtection="1">
      <alignment horizontal="left" vertical="center" wrapText="1"/>
      <protection hidden="1"/>
    </xf>
    <xf numFmtId="0" fontId="335" fillId="6" borderId="0" xfId="42" applyFont="1" applyFill="1" applyBorder="1" applyAlignment="1" applyProtection="1">
      <alignment horizontal="left" vertical="center" wrapText="1"/>
      <protection hidden="1"/>
    </xf>
    <xf numFmtId="0" fontId="102" fillId="6" borderId="0" xfId="9" applyFont="1" applyFill="1" applyBorder="1" applyAlignment="1" applyProtection="1">
      <alignment horizontal="center" vertical="center"/>
      <protection hidden="1"/>
    </xf>
    <xf numFmtId="0" fontId="102" fillId="0" borderId="0" xfId="42" applyFont="1" applyAlignment="1" applyProtection="1">
      <alignment horizontal="center" vertical="top" wrapText="1"/>
      <protection hidden="1"/>
    </xf>
    <xf numFmtId="0" fontId="102" fillId="6" borderId="0" xfId="42" applyFont="1" applyFill="1" applyAlignment="1" applyProtection="1">
      <alignment horizontal="center" vertical="top" wrapText="1"/>
      <protection hidden="1"/>
    </xf>
    <xf numFmtId="0" fontId="119" fillId="6" borderId="0" xfId="9" applyFont="1" applyFill="1" applyBorder="1" applyAlignment="1" applyProtection="1">
      <alignment horizontal="left" vertical="center"/>
      <protection hidden="1"/>
    </xf>
    <xf numFmtId="1" fontId="305" fillId="0" borderId="0" xfId="41" applyNumberFormat="1" applyFont="1" applyBorder="1" applyAlignment="1" applyProtection="1">
      <alignment horizontal="center" vertical="center"/>
      <protection hidden="1"/>
    </xf>
    <xf numFmtId="0" fontId="330" fillId="0" borderId="217" xfId="41" applyFont="1" applyBorder="1" applyAlignment="1" applyProtection="1">
      <alignment horizontal="center" vertical="center" wrapText="1"/>
      <protection hidden="1"/>
    </xf>
    <xf numFmtId="0" fontId="330" fillId="0" borderId="218" xfId="41" applyFont="1" applyBorder="1" applyAlignment="1" applyProtection="1">
      <alignment horizontal="center" vertical="center" wrapText="1"/>
      <protection hidden="1"/>
    </xf>
    <xf numFmtId="0" fontId="331" fillId="0" borderId="219" xfId="41" applyFont="1" applyBorder="1" applyAlignment="1" applyProtection="1">
      <alignment horizontal="center" vertical="center" wrapText="1"/>
      <protection hidden="1"/>
    </xf>
    <xf numFmtId="1" fontId="305" fillId="0" borderId="217" xfId="41" applyNumberFormat="1" applyFont="1" applyBorder="1" applyAlignment="1" applyProtection="1">
      <alignment horizontal="center" vertical="center"/>
      <protection hidden="1"/>
    </xf>
    <xf numFmtId="0" fontId="74" fillId="22" borderId="0" xfId="36" applyFont="1" applyFill="1" applyAlignment="1" applyProtection="1">
      <alignment horizontal="center" vertical="center"/>
      <protection hidden="1"/>
    </xf>
    <xf numFmtId="0" fontId="321" fillId="48" borderId="0" xfId="9" applyFont="1" applyFill="1" applyAlignment="1" applyProtection="1">
      <alignment horizontal="left" vertical="center" shrinkToFit="1"/>
      <protection hidden="1"/>
    </xf>
    <xf numFmtId="0" fontId="319" fillId="0" borderId="0" xfId="41" applyFont="1" applyProtection="1">
      <protection hidden="1"/>
    </xf>
    <xf numFmtId="0" fontId="319" fillId="0" borderId="0" xfId="41" applyFont="1" applyBorder="1" applyProtection="1">
      <protection hidden="1"/>
    </xf>
    <xf numFmtId="0" fontId="320" fillId="0" borderId="0" xfId="41" applyFont="1" applyAlignment="1" applyProtection="1">
      <alignment horizontal="left" vertical="center"/>
      <protection hidden="1"/>
    </xf>
    <xf numFmtId="0" fontId="202" fillId="21" borderId="70" xfId="21" applyFont="1" applyFill="1" applyBorder="1" applyAlignment="1" applyProtection="1">
      <alignment horizontal="center" vertical="center"/>
      <protection hidden="1"/>
    </xf>
    <xf numFmtId="0" fontId="202" fillId="21" borderId="0" xfId="21" applyFont="1" applyFill="1" applyBorder="1" applyAlignment="1" applyProtection="1">
      <alignment horizontal="center" vertical="center"/>
      <protection hidden="1"/>
    </xf>
    <xf numFmtId="0" fontId="202" fillId="21" borderId="220" xfId="21" applyFont="1" applyFill="1" applyBorder="1" applyAlignment="1" applyProtection="1">
      <alignment horizontal="center" vertical="center"/>
      <protection hidden="1"/>
    </xf>
    <xf numFmtId="0" fontId="40" fillId="6" borderId="0" xfId="9" applyFont="1" applyFill="1" applyBorder="1" applyAlignment="1" applyProtection="1">
      <alignment horizontal="center"/>
      <protection hidden="1"/>
    </xf>
    <xf numFmtId="0" fontId="320" fillId="0" borderId="0" xfId="41" applyFont="1" applyAlignment="1" applyProtection="1">
      <alignment horizontal="left" vertical="center" wrapText="1"/>
      <protection hidden="1"/>
    </xf>
    <xf numFmtId="0" fontId="328" fillId="0" borderId="0" xfId="41" applyFont="1" applyAlignment="1" applyProtection="1">
      <alignment horizontal="center" vertical="center"/>
      <protection hidden="1"/>
    </xf>
    <xf numFmtId="0" fontId="323" fillId="48" borderId="0" xfId="9" applyFont="1" applyFill="1" applyBorder="1" applyAlignment="1" applyProtection="1">
      <alignment horizontal="center" vertical="center" wrapText="1" shrinkToFit="1"/>
      <protection hidden="1"/>
    </xf>
    <xf numFmtId="0" fontId="322" fillId="0" borderId="0" xfId="41" applyFont="1" applyAlignment="1" applyProtection="1">
      <alignment horizontal="center" vertical="center"/>
      <protection hidden="1"/>
    </xf>
    <xf numFmtId="0" fontId="325" fillId="48" borderId="0" xfId="9" applyFont="1" applyFill="1" applyBorder="1" applyAlignment="1" applyProtection="1">
      <alignment horizontal="center" vertical="center" shrinkToFit="1"/>
      <protection hidden="1"/>
    </xf>
    <xf numFmtId="0" fontId="327" fillId="0" borderId="0" xfId="41" applyFont="1" applyAlignment="1" applyProtection="1">
      <alignment horizontal="center" vertical="center"/>
      <protection hidden="1"/>
    </xf>
    <xf numFmtId="0" fontId="69" fillId="22" borderId="0" xfId="36" applyFont="1" applyFill="1" applyAlignment="1" applyProtection="1">
      <alignment horizontal="center" vertical="center"/>
      <protection hidden="1"/>
    </xf>
    <xf numFmtId="0" fontId="64" fillId="21" borderId="0" xfId="21" applyFont="1" applyFill="1" applyBorder="1" applyAlignment="1" applyProtection="1">
      <alignment horizontal="center" vertical="center"/>
      <protection hidden="1"/>
    </xf>
    <xf numFmtId="0" fontId="64" fillId="21" borderId="220" xfId="21" applyFont="1" applyFill="1" applyBorder="1" applyAlignment="1" applyProtection="1">
      <alignment horizontal="center" vertical="center"/>
      <protection hidden="1"/>
    </xf>
    <xf numFmtId="0" fontId="308" fillId="42" borderId="0" xfId="19" applyFont="1" applyFill="1" applyBorder="1" applyAlignment="1" applyProtection="1">
      <alignment horizontal="center" vertical="center"/>
      <protection hidden="1"/>
    </xf>
    <xf numFmtId="0" fontId="309" fillId="42" borderId="0" xfId="19" applyFont="1" applyFill="1" applyBorder="1" applyAlignment="1" applyProtection="1">
      <alignment horizontal="center" vertical="center"/>
      <protection hidden="1"/>
    </xf>
    <xf numFmtId="0" fontId="22" fillId="46" borderId="164" xfId="41" applyFont="1" applyFill="1" applyBorder="1" applyAlignment="1" applyProtection="1">
      <alignment horizontal="center" vertical="center"/>
      <protection hidden="1"/>
    </xf>
    <xf numFmtId="0" fontId="22" fillId="46" borderId="212" xfId="41" applyFont="1" applyFill="1" applyBorder="1" applyAlignment="1" applyProtection="1">
      <alignment horizontal="center" vertical="center"/>
      <protection hidden="1"/>
    </xf>
    <xf numFmtId="0" fontId="254" fillId="10" borderId="164" xfId="14" applyFont="1" applyBorder="1" applyAlignment="1" applyProtection="1">
      <alignment horizontal="center" vertical="center"/>
      <protection hidden="1"/>
    </xf>
    <xf numFmtId="0" fontId="254" fillId="10" borderId="165" xfId="14" applyFont="1" applyBorder="1" applyAlignment="1" applyProtection="1">
      <alignment horizontal="center" vertical="center"/>
      <protection hidden="1"/>
    </xf>
    <xf numFmtId="0" fontId="314" fillId="45" borderId="214" xfId="41" applyFont="1" applyFill="1" applyBorder="1" applyAlignment="1" applyProtection="1">
      <alignment horizontal="center"/>
      <protection hidden="1"/>
    </xf>
    <xf numFmtId="0" fontId="315" fillId="45" borderId="209" xfId="41" applyFont="1" applyFill="1" applyBorder="1" applyAlignment="1" applyProtection="1">
      <alignment horizontal="center"/>
      <protection hidden="1"/>
    </xf>
    <xf numFmtId="0" fontId="12" fillId="10" borderId="164" xfId="14" applyFont="1" applyBorder="1" applyAlignment="1" applyProtection="1">
      <alignment horizontal="center" vertical="center"/>
      <protection hidden="1"/>
    </xf>
    <xf numFmtId="0" fontId="12" fillId="10" borderId="165" xfId="14" applyFont="1" applyBorder="1" applyAlignment="1" applyProtection="1">
      <alignment horizontal="center" vertical="center"/>
      <protection hidden="1"/>
    </xf>
    <xf numFmtId="0" fontId="315" fillId="0" borderId="0" xfId="41" applyFont="1" applyAlignment="1" applyProtection="1">
      <alignment horizontal="center" vertical="center" wrapText="1"/>
      <protection hidden="1"/>
    </xf>
    <xf numFmtId="0" fontId="12" fillId="10" borderId="212" xfId="14" applyFont="1" applyBorder="1" applyAlignment="1" applyProtection="1">
      <alignment horizontal="center" vertical="center"/>
      <protection hidden="1"/>
    </xf>
    <xf numFmtId="0" fontId="313" fillId="16" borderId="0" xfId="41" applyFont="1" applyFill="1" applyAlignment="1" applyProtection="1">
      <alignment horizontal="center" vertical="center" wrapText="1"/>
      <protection hidden="1"/>
    </xf>
    <xf numFmtId="0" fontId="379" fillId="43" borderId="0" xfId="21" applyFont="1" applyFill="1" applyAlignment="1" applyProtection="1">
      <alignment horizontal="right" vertical="center"/>
      <protection hidden="1"/>
    </xf>
    <xf numFmtId="0" fontId="313" fillId="16" borderId="164" xfId="41" applyFont="1" applyFill="1" applyBorder="1" applyAlignment="1" applyProtection="1">
      <alignment horizontal="center"/>
      <protection hidden="1"/>
    </xf>
    <xf numFmtId="0" fontId="313" fillId="16" borderId="212" xfId="41" applyFont="1" applyFill="1" applyBorder="1" applyAlignment="1" applyProtection="1">
      <alignment horizontal="center"/>
      <protection hidden="1"/>
    </xf>
    <xf numFmtId="0" fontId="313" fillId="16" borderId="165" xfId="41" applyFont="1" applyFill="1" applyBorder="1" applyAlignment="1" applyProtection="1">
      <alignment horizontal="center"/>
      <protection hidden="1"/>
    </xf>
    <xf numFmtId="0" fontId="312" fillId="45" borderId="211" xfId="41" applyFont="1" applyFill="1" applyBorder="1" applyAlignment="1" applyProtection="1">
      <alignment horizontal="center" vertical="center"/>
      <protection hidden="1"/>
    </xf>
    <xf numFmtId="0" fontId="312" fillId="45" borderId="49" xfId="41" applyFont="1" applyFill="1" applyBorder="1" applyAlignment="1" applyProtection="1">
      <alignment horizontal="center" vertical="center"/>
      <protection hidden="1"/>
    </xf>
    <xf numFmtId="0" fontId="312" fillId="45" borderId="210" xfId="41" applyFont="1" applyFill="1" applyBorder="1" applyAlignment="1" applyProtection="1">
      <alignment horizontal="center" vertical="center"/>
      <protection hidden="1"/>
    </xf>
    <xf numFmtId="0" fontId="311" fillId="45" borderId="164" xfId="41" applyFont="1" applyFill="1" applyBorder="1" applyAlignment="1" applyProtection="1">
      <alignment horizontal="center" vertical="center"/>
      <protection hidden="1"/>
    </xf>
    <xf numFmtId="0" fontId="311" fillId="45" borderId="165" xfId="41" applyFont="1" applyFill="1" applyBorder="1" applyAlignment="1" applyProtection="1">
      <alignment horizontal="center" vertical="center"/>
      <protection hidden="1"/>
    </xf>
    <xf numFmtId="0" fontId="12" fillId="10" borderId="211" xfId="14" applyFont="1" applyBorder="1" applyAlignment="1" applyProtection="1">
      <alignment horizontal="center" vertical="center"/>
      <protection hidden="1"/>
    </xf>
    <xf numFmtId="0" fontId="12" fillId="10" borderId="210" xfId="14" applyFont="1" applyBorder="1" applyAlignment="1" applyProtection="1">
      <alignment horizontal="center" vertical="center"/>
      <protection hidden="1"/>
    </xf>
    <xf numFmtId="10" fontId="12" fillId="10" borderId="211" xfId="14" applyNumberFormat="1" applyFont="1" applyBorder="1" applyAlignment="1" applyProtection="1">
      <alignment horizontal="center" vertical="center"/>
      <protection hidden="1"/>
    </xf>
    <xf numFmtId="0" fontId="12" fillId="10" borderId="49" xfId="14" applyFont="1" applyBorder="1" applyAlignment="1" applyProtection="1">
      <alignment horizontal="center" vertical="center"/>
      <protection hidden="1"/>
    </xf>
    <xf numFmtId="0" fontId="51" fillId="22" borderId="0" xfId="0" applyFont="1" applyFill="1" applyAlignment="1" applyProtection="1">
      <alignment horizontal="center" vertical="center" wrapText="1"/>
      <protection hidden="1"/>
    </xf>
    <xf numFmtId="0" fontId="307" fillId="16" borderId="0" xfId="41" applyFont="1" applyFill="1" applyAlignment="1" applyProtection="1">
      <alignment horizontal="center" vertical="center"/>
      <protection hidden="1"/>
    </xf>
    <xf numFmtId="0" fontId="307" fillId="42" borderId="0" xfId="19" applyFont="1" applyFill="1" applyBorder="1" applyAlignment="1" applyProtection="1">
      <alignment horizontal="center" vertical="center"/>
      <protection hidden="1"/>
    </xf>
    <xf numFmtId="0" fontId="310" fillId="44" borderId="209" xfId="41" applyFont="1" applyFill="1" applyBorder="1" applyAlignment="1" applyProtection="1">
      <alignment horizontal="center" vertical="center"/>
      <protection hidden="1"/>
    </xf>
    <xf numFmtId="0" fontId="310" fillId="44" borderId="0" xfId="41" applyFont="1" applyFill="1" applyBorder="1" applyAlignment="1" applyProtection="1">
      <alignment horizontal="center" vertical="center"/>
      <protection hidden="1"/>
    </xf>
    <xf numFmtId="0" fontId="318" fillId="16" borderId="0" xfId="30" applyFont="1" applyFill="1" applyBorder="1" applyAlignment="1" applyProtection="1">
      <alignment horizontal="center" vertical="center"/>
      <protection hidden="1"/>
    </xf>
    <xf numFmtId="0" fontId="12" fillId="10" borderId="214" xfId="14" applyFont="1" applyBorder="1" applyAlignment="1" applyProtection="1">
      <alignment horizontal="center" vertical="center"/>
      <protection hidden="1"/>
    </xf>
    <xf numFmtId="0" fontId="12" fillId="10" borderId="213" xfId="14" applyFont="1" applyBorder="1" applyAlignment="1" applyProtection="1">
      <alignment horizontal="center" vertical="center"/>
      <protection hidden="1"/>
    </xf>
    <xf numFmtId="0" fontId="312" fillId="45" borderId="214" xfId="41" applyFont="1" applyFill="1" applyBorder="1" applyAlignment="1" applyProtection="1">
      <alignment horizontal="center"/>
      <protection hidden="1"/>
    </xf>
    <xf numFmtId="0" fontId="312" fillId="45" borderId="209" xfId="41" applyFont="1" applyFill="1" applyBorder="1" applyAlignment="1" applyProtection="1">
      <alignment horizontal="center"/>
      <protection hidden="1"/>
    </xf>
    <xf numFmtId="0" fontId="312" fillId="45" borderId="213" xfId="41" applyFont="1" applyFill="1" applyBorder="1" applyAlignment="1" applyProtection="1">
      <alignment horizontal="center"/>
      <protection hidden="1"/>
    </xf>
    <xf numFmtId="0" fontId="311" fillId="45" borderId="216" xfId="41" applyFont="1" applyFill="1" applyBorder="1" applyAlignment="1" applyProtection="1">
      <alignment horizontal="center"/>
      <protection hidden="1"/>
    </xf>
    <xf numFmtId="0" fontId="311" fillId="45" borderId="215" xfId="41" applyFont="1" applyFill="1" applyBorder="1" applyAlignment="1" applyProtection="1">
      <alignment horizontal="center"/>
      <protection hidden="1"/>
    </xf>
    <xf numFmtId="0" fontId="314" fillId="45" borderId="213" xfId="41" applyFont="1" applyFill="1" applyBorder="1" applyAlignment="1" applyProtection="1">
      <alignment horizontal="center"/>
      <protection hidden="1"/>
    </xf>
    <xf numFmtId="0" fontId="311" fillId="45" borderId="0" xfId="41" applyFont="1" applyFill="1" applyAlignment="1" applyProtection="1">
      <alignment horizontal="center"/>
      <protection hidden="1"/>
    </xf>
    <xf numFmtId="0" fontId="316" fillId="16" borderId="164" xfId="41" applyFont="1" applyFill="1" applyBorder="1" applyAlignment="1" applyProtection="1">
      <alignment horizontal="center" vertical="center"/>
      <protection hidden="1"/>
    </xf>
    <xf numFmtId="0" fontId="316" fillId="16" borderId="212" xfId="41" applyFont="1" applyFill="1" applyBorder="1" applyAlignment="1" applyProtection="1">
      <alignment horizontal="center" vertical="center"/>
      <protection hidden="1"/>
    </xf>
    <xf numFmtId="0" fontId="316" fillId="16" borderId="165" xfId="41" applyFont="1" applyFill="1" applyBorder="1" applyAlignment="1" applyProtection="1">
      <alignment horizontal="center" vertical="center"/>
      <protection hidden="1"/>
    </xf>
    <xf numFmtId="0" fontId="22" fillId="46" borderId="214" xfId="41" applyFont="1" applyFill="1" applyBorder="1" applyAlignment="1" applyProtection="1">
      <alignment horizontal="center" vertical="center"/>
      <protection hidden="1"/>
    </xf>
    <xf numFmtId="0" fontId="22" fillId="46" borderId="213" xfId="41" applyFont="1" applyFill="1" applyBorder="1" applyAlignment="1" applyProtection="1">
      <alignment horizontal="center" vertical="center"/>
      <protection hidden="1"/>
    </xf>
    <xf numFmtId="0" fontId="317" fillId="45" borderId="164" xfId="14" applyFont="1" applyFill="1" applyBorder="1" applyAlignment="1" applyProtection="1">
      <alignment horizontal="center" vertical="center"/>
      <protection hidden="1"/>
    </xf>
    <xf numFmtId="0" fontId="317" fillId="45" borderId="213" xfId="14" applyFont="1" applyFill="1" applyBorder="1" applyAlignment="1" applyProtection="1">
      <alignment horizontal="center" vertical="center"/>
      <protection hidden="1"/>
    </xf>
    <xf numFmtId="0" fontId="32" fillId="10" borderId="164" xfId="14" applyFont="1" applyBorder="1" applyAlignment="1" applyProtection="1">
      <alignment horizontal="center" vertical="center"/>
      <protection hidden="1"/>
    </xf>
    <xf numFmtId="0" fontId="32" fillId="10" borderId="212" xfId="14" applyFont="1" applyBorder="1" applyAlignment="1" applyProtection="1">
      <alignment horizontal="center" vertical="center"/>
      <protection hidden="1"/>
    </xf>
    <xf numFmtId="0" fontId="32" fillId="10" borderId="165" xfId="14" applyFont="1" applyBorder="1" applyAlignment="1" applyProtection="1">
      <alignment horizontal="center" vertical="center"/>
      <protection hidden="1"/>
    </xf>
    <xf numFmtId="0" fontId="314" fillId="45" borderId="209" xfId="41" applyFont="1" applyFill="1" applyBorder="1" applyAlignment="1" applyProtection="1">
      <alignment horizontal="center"/>
      <protection hidden="1"/>
    </xf>
    <xf numFmtId="0" fontId="285" fillId="6" borderId="0" xfId="36" applyFont="1" applyFill="1" applyBorder="1" applyAlignment="1" applyProtection="1">
      <alignment horizontal="center" vertical="center" wrapText="1"/>
      <protection hidden="1"/>
    </xf>
    <xf numFmtId="0" fontId="19" fillId="6" borderId="0" xfId="36" applyFont="1" applyFill="1" applyBorder="1" applyAlignment="1" applyProtection="1">
      <alignment horizontal="center" vertical="center" wrapText="1"/>
      <protection hidden="1"/>
    </xf>
    <xf numFmtId="1" fontId="17" fillId="6" borderId="0" xfId="36" applyNumberFormat="1" applyFont="1" applyFill="1" applyAlignment="1" applyProtection="1">
      <alignment horizontal="center"/>
      <protection hidden="1"/>
    </xf>
    <xf numFmtId="0" fontId="17" fillId="6" borderId="0" xfId="36" applyFont="1" applyFill="1" applyAlignment="1" applyProtection="1">
      <alignment horizontal="center" vertical="center"/>
      <protection hidden="1"/>
    </xf>
    <xf numFmtId="1" fontId="285" fillId="6" borderId="0" xfId="36" applyNumberFormat="1" applyFont="1" applyFill="1" applyAlignment="1" applyProtection="1">
      <alignment horizontal="center" vertical="center"/>
      <protection hidden="1"/>
    </xf>
    <xf numFmtId="0" fontId="19" fillId="6" borderId="0" xfId="36" applyFont="1" applyFill="1" applyAlignment="1" applyProtection="1">
      <alignment horizontal="center" vertical="center"/>
      <protection hidden="1"/>
    </xf>
    <xf numFmtId="0" fontId="17" fillId="6" borderId="0" xfId="36" applyFont="1" applyFill="1" applyAlignment="1" applyProtection="1">
      <alignment horizontal="center"/>
      <protection hidden="1"/>
    </xf>
    <xf numFmtId="1" fontId="285" fillId="6" borderId="0" xfId="36" applyNumberFormat="1" applyFont="1" applyFill="1" applyAlignment="1" applyProtection="1">
      <alignment horizontal="center"/>
      <protection hidden="1"/>
    </xf>
    <xf numFmtId="0" fontId="19" fillId="6" borderId="0" xfId="36" applyFont="1" applyFill="1" applyAlignment="1" applyProtection="1">
      <alignment horizontal="center"/>
      <protection hidden="1"/>
    </xf>
    <xf numFmtId="0" fontId="287" fillId="6" borderId="0" xfId="36" applyFont="1" applyFill="1" applyAlignment="1" applyProtection="1">
      <alignment horizontal="center" vertical="center"/>
      <protection hidden="1"/>
    </xf>
    <xf numFmtId="3" fontId="17" fillId="6" borderId="0" xfId="36" applyNumberFormat="1" applyFont="1" applyFill="1" applyBorder="1" applyAlignment="1" applyProtection="1">
      <alignment horizontal="center" vertical="center"/>
      <protection hidden="1"/>
    </xf>
    <xf numFmtId="0" fontId="19" fillId="6" borderId="0" xfId="36" applyFont="1" applyFill="1" applyBorder="1" applyAlignment="1" applyProtection="1">
      <alignment horizontal="center"/>
      <protection hidden="1"/>
    </xf>
    <xf numFmtId="0" fontId="19" fillId="6" borderId="191" xfId="36" applyFont="1" applyFill="1" applyBorder="1" applyAlignment="1" applyProtection="1">
      <alignment horizontal="center" vertical="center" wrapText="1"/>
      <protection hidden="1"/>
    </xf>
    <xf numFmtId="0" fontId="17" fillId="6" borderId="0" xfId="36" applyFont="1" applyFill="1" applyBorder="1" applyAlignment="1" applyProtection="1">
      <alignment horizontal="center" vertical="center"/>
      <protection hidden="1"/>
    </xf>
    <xf numFmtId="0" fontId="287" fillId="6" borderId="191" xfId="36" applyFont="1" applyFill="1" applyBorder="1" applyAlignment="1" applyProtection="1">
      <alignment horizontal="center"/>
      <protection hidden="1"/>
    </xf>
    <xf numFmtId="0" fontId="285" fillId="6" borderId="194" xfId="36" applyFont="1" applyFill="1" applyBorder="1" applyAlignment="1" applyProtection="1">
      <alignment horizontal="center" vertical="center" wrapText="1"/>
      <protection hidden="1"/>
    </xf>
    <xf numFmtId="0" fontId="285" fillId="6" borderId="193" xfId="36" applyFont="1" applyFill="1" applyBorder="1" applyAlignment="1" applyProtection="1">
      <alignment horizontal="center" vertical="center" wrapText="1"/>
      <protection hidden="1"/>
    </xf>
    <xf numFmtId="0" fontId="285" fillId="6" borderId="192" xfId="36" applyFont="1" applyFill="1" applyBorder="1" applyAlignment="1" applyProtection="1">
      <alignment horizontal="center" vertical="center" wrapText="1"/>
      <protection hidden="1"/>
    </xf>
    <xf numFmtId="0" fontId="19" fillId="6" borderId="191" xfId="36" applyFont="1" applyFill="1" applyBorder="1" applyAlignment="1" applyProtection="1">
      <alignment horizontal="center"/>
      <protection hidden="1"/>
    </xf>
    <xf numFmtId="0" fontId="17" fillId="6" borderId="191" xfId="36" applyFont="1" applyFill="1" applyBorder="1" applyAlignment="1" applyProtection="1">
      <alignment horizontal="center" vertical="center"/>
      <protection hidden="1"/>
    </xf>
    <xf numFmtId="3" fontId="285" fillId="6" borderId="191" xfId="36" applyNumberFormat="1" applyFont="1" applyFill="1" applyBorder="1" applyAlignment="1" applyProtection="1">
      <alignment horizontal="center" vertical="center"/>
      <protection hidden="1"/>
    </xf>
    <xf numFmtId="0" fontId="285" fillId="6" borderId="0" xfId="36" applyFont="1" applyFill="1" applyAlignment="1" applyProtection="1">
      <alignment horizontal="center" vertical="center"/>
      <protection hidden="1"/>
    </xf>
    <xf numFmtId="0" fontId="285" fillId="6" borderId="206" xfId="36" applyFont="1" applyFill="1" applyBorder="1" applyAlignment="1" applyProtection="1">
      <alignment horizontal="center" vertical="center"/>
      <protection hidden="1"/>
    </xf>
    <xf numFmtId="0" fontId="130" fillId="6" borderId="205" xfId="31" applyFont="1" applyFill="1" applyBorder="1" applyAlignment="1" applyProtection="1">
      <alignment horizontal="center" vertical="center" wrapText="1"/>
      <protection hidden="1"/>
    </xf>
    <xf numFmtId="0" fontId="130" fillId="6" borderId="166" xfId="31" applyFont="1" applyFill="1" applyBorder="1" applyAlignment="1" applyProtection="1">
      <alignment horizontal="center" vertical="center" wrapText="1"/>
      <protection hidden="1"/>
    </xf>
    <xf numFmtId="0" fontId="130" fillId="6" borderId="0" xfId="31" applyFont="1" applyFill="1" applyBorder="1" applyAlignment="1" applyProtection="1">
      <alignment horizontal="center" vertical="center" wrapText="1"/>
      <protection hidden="1"/>
    </xf>
    <xf numFmtId="0" fontId="183" fillId="6" borderId="6" xfId="36" applyFont="1" applyFill="1" applyBorder="1" applyAlignment="1" applyProtection="1">
      <alignment vertical="center" wrapText="1"/>
      <protection hidden="1"/>
    </xf>
    <xf numFmtId="0" fontId="183" fillId="6" borderId="158" xfId="36" applyFont="1" applyFill="1" applyBorder="1" applyAlignment="1" applyProtection="1">
      <alignment vertical="center" wrapText="1"/>
      <protection hidden="1"/>
    </xf>
    <xf numFmtId="0" fontId="183" fillId="6" borderId="204" xfId="36" applyFont="1" applyFill="1" applyBorder="1" applyAlignment="1" applyProtection="1">
      <alignment vertical="center" wrapText="1"/>
      <protection hidden="1"/>
    </xf>
    <xf numFmtId="0" fontId="183" fillId="6" borderId="202" xfId="36" applyFont="1" applyFill="1" applyBorder="1" applyAlignment="1" applyProtection="1">
      <alignment vertical="center" wrapText="1"/>
      <protection hidden="1"/>
    </xf>
    <xf numFmtId="0" fontId="183" fillId="6" borderId="11" xfId="36" applyFont="1" applyFill="1" applyBorder="1" applyAlignment="1" applyProtection="1">
      <alignment vertical="center" wrapText="1"/>
      <protection hidden="1"/>
    </xf>
    <xf numFmtId="0" fontId="183" fillId="6" borderId="12" xfId="36" applyFont="1" applyFill="1" applyBorder="1" applyAlignment="1" applyProtection="1">
      <alignment vertical="center" wrapText="1"/>
      <protection hidden="1"/>
    </xf>
    <xf numFmtId="0" fontId="285" fillId="6" borderId="1" xfId="36" applyFont="1" applyFill="1" applyBorder="1" applyAlignment="1" applyProtection="1">
      <alignment horizontal="center" vertical="center"/>
      <protection hidden="1"/>
    </xf>
    <xf numFmtId="3" fontId="129" fillId="6" borderId="1" xfId="36" applyNumberFormat="1" applyFont="1" applyFill="1" applyBorder="1" applyAlignment="1" applyProtection="1">
      <alignment horizontal="center" vertical="center"/>
      <protection hidden="1"/>
    </xf>
    <xf numFmtId="0" fontId="285" fillId="6" borderId="1" xfId="36" applyFont="1" applyFill="1" applyBorder="1" applyAlignment="1" applyProtection="1">
      <alignment horizontal="center"/>
      <protection hidden="1"/>
    </xf>
    <xf numFmtId="0" fontId="291" fillId="6" borderId="0" xfId="36" applyFont="1" applyFill="1" applyAlignment="1" applyProtection="1">
      <alignment horizontal="left" vertical="center"/>
      <protection hidden="1"/>
    </xf>
    <xf numFmtId="0" fontId="291" fillId="6" borderId="206" xfId="36" applyFont="1" applyFill="1" applyBorder="1" applyAlignment="1" applyProtection="1">
      <alignment horizontal="left" vertical="center"/>
      <protection hidden="1"/>
    </xf>
    <xf numFmtId="0" fontId="285" fillId="6" borderId="0" xfId="36" applyFont="1" applyFill="1" applyAlignment="1" applyProtection="1">
      <alignment horizontal="left" vertical="center"/>
      <protection hidden="1"/>
    </xf>
    <xf numFmtId="0" fontId="285" fillId="6" borderId="206" xfId="36" applyFont="1" applyFill="1" applyBorder="1" applyAlignment="1" applyProtection="1">
      <alignment horizontal="left" vertical="center"/>
      <protection hidden="1"/>
    </xf>
    <xf numFmtId="0" fontId="287" fillId="6" borderId="0" xfId="36" applyFont="1" applyFill="1" applyAlignment="1" applyProtection="1">
      <alignment horizontal="center"/>
      <protection hidden="1"/>
    </xf>
    <xf numFmtId="0" fontId="17" fillId="6" borderId="0" xfId="36" applyFont="1" applyFill="1" applyBorder="1" applyAlignment="1" applyProtection="1">
      <alignment horizontal="center"/>
      <protection hidden="1"/>
    </xf>
    <xf numFmtId="3" fontId="285" fillId="6" borderId="0" xfId="36" applyNumberFormat="1" applyFont="1" applyFill="1" applyBorder="1" applyAlignment="1" applyProtection="1">
      <alignment horizontal="center" vertical="center"/>
      <protection hidden="1"/>
    </xf>
    <xf numFmtId="0" fontId="17" fillId="6" borderId="201" xfId="36" applyFont="1" applyFill="1" applyBorder="1" applyAlignment="1" applyProtection="1">
      <alignment horizontal="center" vertical="center"/>
      <protection hidden="1"/>
    </xf>
    <xf numFmtId="0" fontId="17" fillId="6" borderId="199" xfId="36" applyFont="1" applyFill="1" applyBorder="1" applyAlignment="1" applyProtection="1">
      <alignment horizontal="center" vertical="center"/>
      <protection hidden="1"/>
    </xf>
    <xf numFmtId="0" fontId="17" fillId="6" borderId="198" xfId="36" applyFont="1" applyFill="1" applyBorder="1" applyAlignment="1" applyProtection="1">
      <alignment horizontal="center" vertical="center"/>
      <protection hidden="1"/>
    </xf>
    <xf numFmtId="0" fontId="17" fillId="6" borderId="197" xfId="36" applyFont="1" applyFill="1" applyBorder="1" applyAlignment="1" applyProtection="1">
      <alignment horizontal="center" vertical="center"/>
      <protection hidden="1"/>
    </xf>
    <xf numFmtId="0" fontId="285" fillId="6" borderId="201" xfId="36" applyFont="1" applyFill="1" applyBorder="1" applyAlignment="1" applyProtection="1">
      <alignment horizontal="center" vertical="center"/>
      <protection hidden="1"/>
    </xf>
    <xf numFmtId="0" fontId="285" fillId="6" borderId="200" xfId="36" applyFont="1" applyFill="1" applyBorder="1" applyAlignment="1" applyProtection="1">
      <alignment horizontal="center" vertical="center"/>
      <protection hidden="1"/>
    </xf>
    <xf numFmtId="0" fontId="285" fillId="6" borderId="199" xfId="36" applyFont="1" applyFill="1" applyBorder="1" applyAlignment="1" applyProtection="1">
      <alignment horizontal="center" vertical="center"/>
      <protection hidden="1"/>
    </xf>
    <xf numFmtId="0" fontId="285" fillId="6" borderId="198" xfId="36" applyFont="1" applyFill="1" applyBorder="1" applyAlignment="1" applyProtection="1">
      <alignment horizontal="center" vertical="center"/>
      <protection hidden="1"/>
    </xf>
    <xf numFmtId="0" fontId="285" fillId="6" borderId="0" xfId="36" applyFont="1" applyFill="1" applyBorder="1" applyAlignment="1" applyProtection="1">
      <alignment horizontal="center" vertical="center"/>
      <protection hidden="1"/>
    </xf>
    <xf numFmtId="0" fontId="285" fillId="6" borderId="197" xfId="36" applyFont="1" applyFill="1" applyBorder="1" applyAlignment="1" applyProtection="1">
      <alignment horizontal="center" vertical="center"/>
      <protection hidden="1"/>
    </xf>
    <xf numFmtId="0" fontId="36" fillId="6" borderId="0" xfId="1" applyFont="1" applyFill="1" applyAlignment="1" applyProtection="1">
      <alignment horizontal="center" vertical="center" wrapText="1"/>
      <protection hidden="1"/>
    </xf>
    <xf numFmtId="0" fontId="292" fillId="6" borderId="0" xfId="2" applyFont="1" applyFill="1" applyAlignment="1" applyProtection="1">
      <alignment horizontal="center" vertical="center" wrapText="1"/>
      <protection hidden="1"/>
    </xf>
    <xf numFmtId="0" fontId="285" fillId="6" borderId="0" xfId="36" applyFont="1" applyFill="1" applyAlignment="1" applyProtection="1">
      <alignment horizontal="right" vertical="center"/>
      <protection hidden="1"/>
    </xf>
    <xf numFmtId="0" fontId="88" fillId="6" borderId="0" xfId="36" applyFont="1" applyFill="1" applyAlignment="1" applyProtection="1">
      <alignment horizontal="left" vertical="center"/>
      <protection hidden="1"/>
    </xf>
    <xf numFmtId="0" fontId="88" fillId="6" borderId="206" xfId="36" applyFont="1" applyFill="1" applyBorder="1" applyAlignment="1" applyProtection="1">
      <alignment horizontal="left" vertical="center"/>
      <protection hidden="1"/>
    </xf>
    <xf numFmtId="0" fontId="272" fillId="6" borderId="207" xfId="1" applyFont="1" applyFill="1" applyBorder="1" applyAlignment="1" applyProtection="1">
      <alignment horizontal="center" vertical="center" wrapText="1"/>
      <protection hidden="1"/>
    </xf>
    <xf numFmtId="3" fontId="88" fillId="6" borderId="0" xfId="36" applyNumberFormat="1" applyFont="1" applyFill="1" applyAlignment="1" applyProtection="1">
      <alignment horizontal="left" vertical="center"/>
      <protection hidden="1"/>
    </xf>
    <xf numFmtId="0" fontId="36" fillId="6" borderId="75" xfId="1" applyFont="1" applyFill="1" applyBorder="1" applyAlignment="1" applyProtection="1">
      <alignment horizontal="center" vertical="center" wrapText="1"/>
      <protection hidden="1"/>
    </xf>
    <xf numFmtId="0" fontId="290" fillId="6" borderId="0" xfId="35" applyFont="1" applyFill="1" applyAlignment="1" applyProtection="1">
      <alignment horizontal="center" vertical="center" wrapText="1"/>
      <protection hidden="1"/>
    </xf>
    <xf numFmtId="0" fontId="2" fillId="6" borderId="0" xfId="1" applyFill="1" applyProtection="1">
      <protection hidden="1"/>
    </xf>
    <xf numFmtId="0" fontId="130" fillId="6" borderId="166" xfId="31" applyFont="1" applyFill="1" applyAlignment="1" applyProtection="1">
      <alignment horizontal="center" vertical="center"/>
      <protection hidden="1"/>
    </xf>
    <xf numFmtId="0" fontId="289" fillId="6" borderId="166" xfId="31" applyFont="1" applyFill="1" applyAlignment="1" applyProtection="1">
      <alignment horizontal="center"/>
      <protection hidden="1"/>
    </xf>
    <xf numFmtId="0" fontId="24" fillId="6" borderId="0" xfId="36" applyFont="1" applyFill="1" applyAlignment="1" applyProtection="1">
      <alignment horizontal="center" vertical="center"/>
      <protection hidden="1"/>
    </xf>
    <xf numFmtId="0" fontId="24" fillId="6" borderId="206" xfId="36" applyFont="1" applyFill="1" applyBorder="1" applyAlignment="1" applyProtection="1">
      <alignment horizontal="center" vertical="center"/>
      <protection hidden="1"/>
    </xf>
    <xf numFmtId="1" fontId="88" fillId="6" borderId="0" xfId="36" applyNumberFormat="1" applyFont="1" applyFill="1" applyAlignment="1" applyProtection="1">
      <alignment horizontal="left" vertical="center"/>
      <protection hidden="1"/>
    </xf>
    <xf numFmtId="0" fontId="292" fillId="6" borderId="0" xfId="2" applyFont="1" applyFill="1" applyAlignment="1" applyProtection="1">
      <alignment horizontal="left" vertical="top" wrapText="1"/>
      <protection hidden="1"/>
    </xf>
    <xf numFmtId="0" fontId="285" fillId="6" borderId="0" xfId="36" applyFont="1" applyFill="1" applyAlignment="1" applyProtection="1">
      <alignment horizontal="left"/>
      <protection hidden="1"/>
    </xf>
    <xf numFmtId="0" fontId="285" fillId="6" borderId="206" xfId="36" applyFont="1" applyFill="1" applyBorder="1" applyAlignment="1" applyProtection="1">
      <alignment horizontal="left"/>
      <protection hidden="1"/>
    </xf>
    <xf numFmtId="0" fontId="295" fillId="25" borderId="0" xfId="1" applyFont="1" applyFill="1" applyAlignment="1" applyProtection="1">
      <alignment horizontal="center" vertical="center"/>
      <protection hidden="1"/>
    </xf>
    <xf numFmtId="0" fontId="1" fillId="6" borderId="0" xfId="36" applyFill="1" applyProtection="1">
      <protection hidden="1"/>
    </xf>
    <xf numFmtId="0" fontId="1" fillId="6" borderId="206" xfId="36" applyFill="1" applyBorder="1" applyProtection="1">
      <protection hidden="1"/>
    </xf>
    <xf numFmtId="0" fontId="19" fillId="0" borderId="0" xfId="36" applyFont="1" applyAlignment="1" applyProtection="1">
      <alignment horizontal="left" vertical="center"/>
      <protection hidden="1"/>
    </xf>
    <xf numFmtId="0" fontId="19" fillId="0" borderId="206" xfId="36" applyFont="1" applyBorder="1" applyAlignment="1" applyProtection="1">
      <alignment horizontal="left" vertical="center"/>
      <protection hidden="1"/>
    </xf>
    <xf numFmtId="0" fontId="19" fillId="6" borderId="206" xfId="36" applyFont="1" applyFill="1" applyBorder="1" applyAlignment="1" applyProtection="1">
      <alignment horizontal="center" vertical="center"/>
      <protection hidden="1"/>
    </xf>
    <xf numFmtId="0" fontId="280" fillId="6" borderId="0" xfId="2" applyFont="1" applyFill="1" applyAlignment="1" applyProtection="1">
      <alignment horizontal="center" vertical="center"/>
      <protection hidden="1"/>
    </xf>
    <xf numFmtId="0" fontId="285" fillId="6" borderId="0" xfId="36" applyFont="1" applyFill="1" applyAlignment="1" applyProtection="1">
      <alignment horizontal="center"/>
      <protection hidden="1"/>
    </xf>
    <xf numFmtId="0" fontId="24" fillId="6" borderId="0" xfId="36" applyFont="1" applyFill="1" applyAlignment="1" applyProtection="1">
      <alignment horizontal="center"/>
      <protection hidden="1"/>
    </xf>
    <xf numFmtId="0" fontId="292" fillId="6" borderId="0" xfId="2" applyFont="1" applyFill="1" applyAlignment="1" applyProtection="1">
      <alignment horizontal="right" vertical="top" wrapText="1"/>
      <protection hidden="1"/>
    </xf>
    <xf numFmtId="0" fontId="40" fillId="6" borderId="0" xfId="9" applyFont="1" applyFill="1" applyBorder="1" applyAlignment="1" applyProtection="1">
      <alignment horizontal="left" vertical="center"/>
      <protection hidden="1"/>
    </xf>
    <xf numFmtId="0" fontId="379" fillId="21" borderId="0" xfId="21" applyFont="1" applyFill="1" applyBorder="1" applyAlignment="1" applyProtection="1">
      <alignment horizontal="center" vertical="center"/>
      <protection hidden="1"/>
    </xf>
    <xf numFmtId="0" fontId="19" fillId="6" borderId="0" xfId="36" applyFont="1" applyFill="1" applyAlignment="1" applyProtection="1">
      <alignment horizontal="left" vertical="center"/>
      <protection hidden="1"/>
    </xf>
    <xf numFmtId="0" fontId="19" fillId="6" borderId="206" xfId="36" applyFont="1" applyFill="1" applyBorder="1" applyAlignment="1" applyProtection="1">
      <alignment horizontal="left" vertical="center"/>
      <protection hidden="1"/>
    </xf>
    <xf numFmtId="0" fontId="287" fillId="6" borderId="0" xfId="36" applyFont="1" applyFill="1" applyAlignment="1" applyProtection="1">
      <alignment horizontal="left" vertical="center"/>
      <protection hidden="1"/>
    </xf>
    <xf numFmtId="0" fontId="287" fillId="6" borderId="206" xfId="36" applyFont="1" applyFill="1" applyBorder="1" applyAlignment="1" applyProtection="1">
      <alignment horizontal="left" vertical="center"/>
      <protection hidden="1"/>
    </xf>
    <xf numFmtId="0" fontId="296" fillId="6" borderId="0" xfId="36" applyFont="1" applyFill="1" applyAlignment="1" applyProtection="1">
      <alignment horizontal="right" vertical="center"/>
      <protection hidden="1"/>
    </xf>
    <xf numFmtId="0" fontId="298" fillId="25" borderId="0" xfId="1" applyFont="1" applyFill="1" applyAlignment="1" applyProtection="1">
      <alignment horizontal="center" vertical="center"/>
      <protection hidden="1"/>
    </xf>
    <xf numFmtId="0" fontId="297" fillId="25" borderId="0" xfId="1" applyFont="1" applyFill="1" applyAlignment="1" applyProtection="1">
      <alignment horizontal="center" vertical="center"/>
      <protection hidden="1"/>
    </xf>
    <xf numFmtId="0" fontId="297" fillId="25" borderId="206" xfId="1" applyFont="1" applyFill="1" applyBorder="1" applyAlignment="1" applyProtection="1">
      <alignment horizontal="center" vertical="center"/>
      <protection hidden="1"/>
    </xf>
    <xf numFmtId="0" fontId="68" fillId="22" borderId="0" xfId="36" applyFont="1" applyFill="1" applyAlignment="1" applyProtection="1">
      <alignment horizontal="center" vertical="center"/>
      <protection hidden="1"/>
    </xf>
    <xf numFmtId="0" fontId="36" fillId="25" borderId="0" xfId="1" applyFont="1" applyFill="1" applyAlignment="1" applyProtection="1">
      <alignment horizontal="center" vertical="center"/>
      <protection hidden="1"/>
    </xf>
    <xf numFmtId="0" fontId="302" fillId="25" borderId="0" xfId="40" applyFont="1" applyFill="1" applyAlignment="1" applyProtection="1">
      <alignment horizontal="center" vertical="center"/>
      <protection hidden="1"/>
    </xf>
    <xf numFmtId="0" fontId="302" fillId="25" borderId="206" xfId="40" applyFont="1" applyFill="1" applyBorder="1" applyAlignment="1" applyProtection="1">
      <alignment horizontal="center" vertical="center"/>
      <protection hidden="1"/>
    </xf>
    <xf numFmtId="0" fontId="274" fillId="6" borderId="0" xfId="36" applyFont="1" applyFill="1" applyAlignment="1" applyProtection="1">
      <alignment horizontal="center" vertical="center"/>
      <protection hidden="1"/>
    </xf>
    <xf numFmtId="0" fontId="285" fillId="6" borderId="0" xfId="39" applyFont="1" applyFill="1" applyBorder="1" applyAlignment="1" applyProtection="1">
      <alignment horizontal="center"/>
      <protection hidden="1"/>
    </xf>
    <xf numFmtId="0" fontId="1" fillId="6" borderId="0" xfId="39" applyFill="1" applyProtection="1">
      <protection hidden="1"/>
    </xf>
    <xf numFmtId="0" fontId="367" fillId="6" borderId="0" xfId="36" applyFont="1" applyFill="1" applyBorder="1" applyProtection="1">
      <protection hidden="1"/>
    </xf>
    <xf numFmtId="0" fontId="367" fillId="6" borderId="0" xfId="36" applyFont="1" applyFill="1" applyBorder="1" applyAlignment="1" applyProtection="1">
      <alignment horizontal="center"/>
      <protection hidden="1"/>
    </xf>
    <xf numFmtId="0" fontId="367" fillId="0" borderId="186" xfId="36" applyFont="1" applyBorder="1" applyAlignment="1" applyProtection="1">
      <alignment horizontal="center"/>
      <protection hidden="1"/>
    </xf>
    <xf numFmtId="0" fontId="367" fillId="0" borderId="188" xfId="36" applyFont="1" applyBorder="1" applyAlignment="1" applyProtection="1">
      <alignment horizontal="center"/>
      <protection hidden="1"/>
    </xf>
    <xf numFmtId="0" fontId="367" fillId="0" borderId="187" xfId="36" applyFont="1" applyBorder="1" applyAlignment="1" applyProtection="1">
      <alignment horizontal="center"/>
      <protection hidden="1"/>
    </xf>
    <xf numFmtId="0" fontId="367" fillId="6" borderId="0" xfId="36" applyFont="1" applyFill="1" applyBorder="1" applyAlignment="1" applyProtection="1">
      <alignment wrapText="1"/>
      <protection hidden="1"/>
    </xf>
    <xf numFmtId="0" fontId="28" fillId="16" borderId="268" xfId="17" applyFont="1" applyFill="1" applyBorder="1" applyAlignment="1" applyProtection="1">
      <alignment horizontal="left" vertical="center"/>
      <protection hidden="1"/>
    </xf>
    <xf numFmtId="0" fontId="28" fillId="16" borderId="246" xfId="17" applyFont="1" applyFill="1" applyBorder="1" applyAlignment="1" applyProtection="1">
      <alignment horizontal="left" vertical="center"/>
      <protection hidden="1"/>
    </xf>
    <xf numFmtId="0" fontId="28" fillId="16" borderId="269" xfId="17" applyFont="1" applyFill="1" applyBorder="1" applyAlignment="1" applyProtection="1">
      <alignment horizontal="left" vertical="center"/>
      <protection hidden="1"/>
    </xf>
    <xf numFmtId="0" fontId="28" fillId="16" borderId="169" xfId="17" applyFont="1" applyFill="1" applyBorder="1" applyAlignment="1" applyProtection="1">
      <alignment horizontal="left" vertical="center"/>
      <protection hidden="1"/>
    </xf>
    <xf numFmtId="0" fontId="28" fillId="16" borderId="0" xfId="17" applyFont="1" applyFill="1" applyBorder="1" applyAlignment="1" applyProtection="1">
      <alignment horizontal="left" vertical="center"/>
      <protection hidden="1"/>
    </xf>
    <xf numFmtId="0" fontId="28" fillId="16" borderId="168" xfId="17" applyFont="1" applyFill="1" applyBorder="1" applyAlignment="1" applyProtection="1">
      <alignment horizontal="left" vertical="center"/>
      <protection hidden="1"/>
    </xf>
    <xf numFmtId="1" fontId="46" fillId="6" borderId="89" xfId="2" applyNumberFormat="1" applyFont="1" applyFill="1" applyBorder="1" applyAlignment="1" applyProtection="1">
      <alignment horizontal="center" vertical="center" wrapText="1"/>
      <protection hidden="1"/>
    </xf>
    <xf numFmtId="0" fontId="28" fillId="16" borderId="267" xfId="17" applyFont="1" applyFill="1" applyBorder="1" applyAlignment="1" applyProtection="1">
      <alignment horizontal="center" vertical="center"/>
      <protection hidden="1"/>
    </xf>
    <xf numFmtId="0" fontId="28" fillId="16" borderId="245" xfId="17" applyFont="1" applyFill="1" applyBorder="1" applyAlignment="1" applyProtection="1">
      <alignment horizontal="center" vertical="center"/>
      <protection hidden="1"/>
    </xf>
    <xf numFmtId="0" fontId="28" fillId="16" borderId="169" xfId="17" applyFont="1" applyFill="1" applyBorder="1" applyAlignment="1" applyProtection="1">
      <alignment horizontal="center" vertical="center"/>
      <protection hidden="1"/>
    </xf>
    <xf numFmtId="0" fontId="28" fillId="16" borderId="0" xfId="17" applyFont="1" applyFill="1" applyBorder="1" applyAlignment="1" applyProtection="1">
      <alignment horizontal="center" vertical="center"/>
      <protection hidden="1"/>
    </xf>
    <xf numFmtId="1" fontId="95" fillId="2" borderId="89" xfId="1" applyNumberFormat="1" applyFont="1" applyBorder="1" applyAlignment="1" applyProtection="1">
      <alignment horizontal="center" vertical="center" wrapText="1"/>
      <protection hidden="1"/>
    </xf>
    <xf numFmtId="0" fontId="88" fillId="6" borderId="89" xfId="2" applyFont="1" applyFill="1" applyBorder="1" applyAlignment="1" applyProtection="1">
      <alignment horizontal="center" vertical="center" wrapText="1"/>
      <protection hidden="1"/>
    </xf>
    <xf numFmtId="10" fontId="95" fillId="2" borderId="89" xfId="1" applyNumberFormat="1" applyFont="1" applyBorder="1" applyAlignment="1" applyProtection="1">
      <alignment horizontal="center" vertical="center" wrapText="1"/>
      <protection hidden="1"/>
    </xf>
    <xf numFmtId="0" fontId="15" fillId="6" borderId="173" xfId="2" applyFont="1" applyFill="1" applyBorder="1" applyAlignment="1" applyProtection="1">
      <alignment horizontal="center" vertical="center" wrapText="1"/>
      <protection hidden="1"/>
    </xf>
    <xf numFmtId="0" fontId="29" fillId="6" borderId="173" xfId="2" applyFont="1" applyFill="1" applyBorder="1" applyAlignment="1" applyProtection="1">
      <alignment horizontal="center" vertical="center" wrapText="1"/>
      <protection hidden="1"/>
    </xf>
    <xf numFmtId="0" fontId="15" fillId="6" borderId="173" xfId="2" applyFont="1" applyFill="1" applyBorder="1" applyAlignment="1" applyProtection="1">
      <alignment horizontal="center" wrapText="1"/>
      <protection hidden="1"/>
    </xf>
    <xf numFmtId="0" fontId="29" fillId="6" borderId="182" xfId="2" applyFont="1" applyFill="1" applyBorder="1" applyAlignment="1" applyProtection="1">
      <alignment horizontal="center" vertical="center" wrapText="1"/>
      <protection hidden="1"/>
    </xf>
    <xf numFmtId="0" fontId="29" fillId="6" borderId="125" xfId="2" applyFont="1" applyFill="1" applyBorder="1" applyAlignment="1" applyProtection="1">
      <alignment horizontal="center" vertical="center" wrapText="1"/>
      <protection hidden="1"/>
    </xf>
    <xf numFmtId="0" fontId="29" fillId="6" borderId="181" xfId="2" applyFont="1" applyFill="1" applyBorder="1" applyAlignment="1" applyProtection="1">
      <alignment horizontal="center" vertical="center" wrapText="1"/>
      <protection hidden="1"/>
    </xf>
    <xf numFmtId="0" fontId="29" fillId="6" borderId="179" xfId="2" applyFont="1" applyFill="1" applyBorder="1" applyAlignment="1" applyProtection="1">
      <alignment horizontal="center" vertical="center" wrapText="1"/>
      <protection hidden="1"/>
    </xf>
    <xf numFmtId="0" fontId="29" fillId="6" borderId="39" xfId="2" applyFont="1" applyFill="1" applyBorder="1" applyAlignment="1" applyProtection="1">
      <alignment horizontal="center" vertical="center" wrapText="1"/>
      <protection hidden="1"/>
    </xf>
    <xf numFmtId="0" fontId="29" fillId="6" borderId="178" xfId="2" applyFont="1" applyFill="1" applyBorder="1" applyAlignment="1" applyProtection="1">
      <alignment horizontal="center" vertical="center" wrapText="1"/>
      <protection hidden="1"/>
    </xf>
    <xf numFmtId="0" fontId="95" fillId="6" borderId="180" xfId="2" applyFont="1" applyFill="1" applyBorder="1" applyAlignment="1" applyProtection="1">
      <alignment horizontal="center" vertical="center" wrapText="1"/>
      <protection hidden="1"/>
    </xf>
    <xf numFmtId="0" fontId="304" fillId="6" borderId="177" xfId="2" applyFont="1" applyFill="1" applyBorder="1" applyAlignment="1" applyProtection="1">
      <alignment horizontal="center" vertical="center" wrapText="1"/>
      <protection hidden="1"/>
    </xf>
    <xf numFmtId="0" fontId="15" fillId="6" borderId="180" xfId="2" applyFont="1" applyFill="1" applyBorder="1" applyAlignment="1" applyProtection="1">
      <alignment horizontal="center" vertical="center" wrapText="1"/>
      <protection hidden="1"/>
    </xf>
    <xf numFmtId="0" fontId="88" fillId="6" borderId="0" xfId="37" applyFont="1" applyFill="1" applyBorder="1" applyAlignment="1" applyProtection="1">
      <alignment horizontal="center" vertical="center" wrapText="1"/>
      <protection hidden="1"/>
    </xf>
    <xf numFmtId="0" fontId="284" fillId="40" borderId="0" xfId="36" applyFont="1" applyFill="1" applyBorder="1" applyAlignment="1" applyProtection="1">
      <alignment horizontal="center" vertical="center"/>
      <protection hidden="1"/>
    </xf>
    <xf numFmtId="0" fontId="281" fillId="16" borderId="183" xfId="32" applyFont="1" applyFill="1" applyBorder="1" applyAlignment="1" applyProtection="1">
      <alignment horizontal="center" vertical="center"/>
      <protection hidden="1"/>
    </xf>
    <xf numFmtId="0" fontId="29" fillId="6" borderId="180" xfId="2" applyFont="1" applyFill="1" applyBorder="1" applyAlignment="1" applyProtection="1">
      <alignment horizontal="center" vertical="center"/>
      <protection hidden="1"/>
    </xf>
    <xf numFmtId="0" fontId="26" fillId="15" borderId="184" xfId="34" applyFont="1" applyFill="1" applyBorder="1" applyAlignment="1" applyProtection="1">
      <alignment horizontal="center"/>
      <protection hidden="1"/>
    </xf>
    <xf numFmtId="0" fontId="95" fillId="6" borderId="176" xfId="2" applyFont="1" applyFill="1" applyBorder="1" applyAlignment="1" applyProtection="1">
      <alignment horizontal="center" vertical="center"/>
      <protection hidden="1"/>
    </xf>
    <xf numFmtId="0" fontId="95" fillId="6" borderId="175" xfId="2" applyFont="1" applyFill="1" applyBorder="1" applyAlignment="1" applyProtection="1">
      <alignment horizontal="center" vertical="center"/>
      <protection hidden="1"/>
    </xf>
    <xf numFmtId="0" fontId="95" fillId="6" borderId="174" xfId="2" applyFont="1" applyFill="1" applyBorder="1" applyAlignment="1" applyProtection="1">
      <alignment horizontal="center" vertical="center"/>
      <protection hidden="1"/>
    </xf>
    <xf numFmtId="0" fontId="36" fillId="10" borderId="176" xfId="14" applyFont="1" applyBorder="1" applyAlignment="1" applyProtection="1">
      <alignment horizontal="center" vertical="center"/>
      <protection hidden="1"/>
    </xf>
    <xf numFmtId="0" fontId="36" fillId="10" borderId="174" xfId="14" applyFont="1" applyBorder="1" applyAlignment="1" applyProtection="1">
      <alignment horizontal="center" vertical="center"/>
      <protection hidden="1"/>
    </xf>
    <xf numFmtId="0" fontId="29" fillId="6" borderId="180" xfId="2" applyFont="1" applyFill="1" applyBorder="1" applyAlignment="1" applyProtection="1">
      <alignment horizontal="center" vertical="center" wrapText="1"/>
      <protection hidden="1"/>
    </xf>
    <xf numFmtId="0" fontId="29" fillId="6" borderId="177" xfId="2" applyFont="1" applyFill="1" applyBorder="1" applyAlignment="1" applyProtection="1">
      <alignment horizontal="center" vertical="center" wrapText="1"/>
      <protection hidden="1"/>
    </xf>
    <xf numFmtId="0" fontId="15" fillId="6" borderId="177" xfId="2" applyFont="1" applyFill="1" applyBorder="1" applyAlignment="1" applyProtection="1">
      <alignment horizontal="center" vertical="center" wrapText="1"/>
      <protection hidden="1"/>
    </xf>
    <xf numFmtId="0" fontId="272" fillId="10" borderId="176" xfId="14" applyFont="1" applyBorder="1" applyAlignment="1" applyProtection="1">
      <alignment horizontal="center" vertical="center"/>
      <protection hidden="1"/>
    </xf>
    <xf numFmtId="0" fontId="272" fillId="10" borderId="175" xfId="14" applyFont="1" applyBorder="1" applyAlignment="1" applyProtection="1">
      <alignment horizontal="center" vertical="center"/>
      <protection hidden="1"/>
    </xf>
    <xf numFmtId="0" fontId="272" fillId="10" borderId="174" xfId="14" applyFont="1" applyBorder="1" applyAlignment="1" applyProtection="1">
      <alignment horizontal="center" vertical="center"/>
      <protection hidden="1"/>
    </xf>
    <xf numFmtId="0" fontId="282" fillId="10" borderId="176" xfId="14" applyFont="1" applyBorder="1" applyAlignment="1" applyProtection="1">
      <alignment horizontal="center" vertical="center"/>
      <protection hidden="1"/>
    </xf>
    <xf numFmtId="0" fontId="282" fillId="10" borderId="175" xfId="14" applyFont="1" applyBorder="1" applyAlignment="1" applyProtection="1">
      <alignment horizontal="center" vertical="center"/>
      <protection hidden="1"/>
    </xf>
    <xf numFmtId="0" fontId="282" fillId="10" borderId="174" xfId="14" applyFont="1" applyBorder="1" applyAlignment="1" applyProtection="1">
      <alignment horizontal="center" vertical="center"/>
      <protection hidden="1"/>
    </xf>
    <xf numFmtId="0" fontId="28" fillId="16" borderId="172" xfId="17" applyFont="1" applyFill="1" applyBorder="1" applyAlignment="1" applyProtection="1">
      <alignment horizontal="center" vertical="center"/>
      <protection hidden="1"/>
    </xf>
    <xf numFmtId="0" fontId="28" fillId="16" borderId="171" xfId="17" applyFont="1" applyFill="1" applyBorder="1" applyAlignment="1" applyProtection="1">
      <alignment horizontal="center" vertical="center"/>
      <protection hidden="1"/>
    </xf>
    <xf numFmtId="0" fontId="28" fillId="16" borderId="170" xfId="17" applyFont="1" applyFill="1" applyBorder="1" applyAlignment="1" applyProtection="1">
      <alignment horizontal="center" vertical="center"/>
      <protection hidden="1"/>
    </xf>
    <xf numFmtId="0" fontId="69" fillId="22" borderId="0" xfId="20" applyFont="1" applyFill="1" applyAlignment="1" applyProtection="1">
      <alignment horizontal="center" vertical="center"/>
      <protection hidden="1"/>
    </xf>
    <xf numFmtId="0" fontId="68" fillId="22" borderId="0" xfId="20" applyFont="1" applyFill="1" applyAlignment="1" applyProtection="1">
      <alignment horizontal="center" vertical="center"/>
      <protection hidden="1"/>
    </xf>
    <xf numFmtId="0" fontId="74" fillId="22" borderId="0" xfId="20" applyFont="1" applyFill="1" applyAlignment="1" applyProtection="1">
      <alignment horizontal="center" vertical="center"/>
      <protection hidden="1"/>
    </xf>
    <xf numFmtId="0" fontId="244" fillId="6" borderId="0" xfId="9" applyFont="1" applyFill="1" applyBorder="1" applyAlignment="1" applyProtection="1">
      <alignment horizontal="center" vertical="center"/>
      <protection hidden="1"/>
    </xf>
    <xf numFmtId="0" fontId="244" fillId="6" borderId="39" xfId="9" applyFont="1" applyFill="1" applyBorder="1" applyAlignment="1" applyProtection="1">
      <alignment horizontal="center" vertical="center"/>
      <protection hidden="1"/>
    </xf>
    <xf numFmtId="0" fontId="204" fillId="6" borderId="0" xfId="9" applyFont="1" applyFill="1" applyAlignment="1" applyProtection="1">
      <alignment horizontal="center" vertical="center"/>
      <protection hidden="1"/>
    </xf>
    <xf numFmtId="0" fontId="72" fillId="6" borderId="0" xfId="9" applyFont="1" applyFill="1" applyAlignment="1" applyProtection="1">
      <alignment horizontal="center" vertical="center"/>
      <protection hidden="1"/>
    </xf>
    <xf numFmtId="0" fontId="8" fillId="6" borderId="0" xfId="9" applyFill="1" applyBorder="1" applyProtection="1">
      <protection hidden="1"/>
    </xf>
    <xf numFmtId="0" fontId="204" fillId="6" borderId="0" xfId="9" applyFont="1" applyFill="1" applyBorder="1" applyAlignment="1" applyProtection="1">
      <alignment horizontal="left" vertical="center"/>
      <protection hidden="1"/>
    </xf>
    <xf numFmtId="0" fontId="40" fillId="6" borderId="0" xfId="9" applyFont="1" applyFill="1" applyBorder="1" applyAlignment="1" applyProtection="1">
      <alignment horizontal="right" vertical="center"/>
      <protection hidden="1"/>
    </xf>
    <xf numFmtId="0" fontId="89" fillId="0" borderId="36" xfId="18" applyFont="1" applyBorder="1" applyAlignment="1" applyProtection="1">
      <alignment horizontal="center" vertical="center" wrapText="1"/>
      <protection hidden="1"/>
    </xf>
    <xf numFmtId="0" fontId="109" fillId="25" borderId="29" xfId="18" applyFont="1" applyFill="1" applyBorder="1" applyAlignment="1" applyProtection="1">
      <alignment horizontal="center" vertical="center"/>
      <protection hidden="1"/>
    </xf>
    <xf numFmtId="0" fontId="87" fillId="25" borderId="29" xfId="9" applyFont="1" applyFill="1" applyBorder="1" applyAlignment="1" applyProtection="1">
      <alignment horizontal="center" vertical="center" wrapText="1"/>
      <protection hidden="1"/>
    </xf>
    <xf numFmtId="0" fontId="87" fillId="25" borderId="33" xfId="9" applyFont="1" applyFill="1" applyBorder="1" applyAlignment="1" applyProtection="1">
      <alignment horizontal="center" vertical="center" wrapText="1"/>
      <protection hidden="1"/>
    </xf>
    <xf numFmtId="0" fontId="87" fillId="25" borderId="140" xfId="9" applyFont="1" applyFill="1" applyBorder="1" applyAlignment="1" applyProtection="1">
      <alignment horizontal="center" vertical="center" wrapText="1"/>
      <protection hidden="1"/>
    </xf>
    <xf numFmtId="0" fontId="109" fillId="25" borderId="29" xfId="18" applyFont="1" applyFill="1" applyBorder="1" applyAlignment="1" applyProtection="1">
      <alignment horizontal="center" vertical="center" wrapText="1"/>
      <protection hidden="1"/>
    </xf>
    <xf numFmtId="14" fontId="98" fillId="6" borderId="0" xfId="9" applyNumberFormat="1" applyFont="1" applyFill="1" applyBorder="1" applyAlignment="1" applyProtection="1">
      <alignment horizontal="center" vertical="center"/>
      <protection hidden="1"/>
    </xf>
    <xf numFmtId="0" fontId="72" fillId="30" borderId="0" xfId="9" applyFont="1" applyFill="1" applyAlignment="1" applyProtection="1">
      <alignment horizontal="center" vertical="center"/>
      <protection hidden="1"/>
    </xf>
    <xf numFmtId="0" fontId="72" fillId="30" borderId="0" xfId="9" applyFont="1" applyFill="1" applyBorder="1" applyAlignment="1" applyProtection="1">
      <alignment horizontal="center" vertical="center"/>
      <protection hidden="1"/>
    </xf>
    <xf numFmtId="0" fontId="204" fillId="6" borderId="0" xfId="9" applyFont="1" applyFill="1" applyAlignment="1" applyProtection="1">
      <alignment horizontal="left" vertical="center"/>
      <protection hidden="1"/>
    </xf>
    <xf numFmtId="0" fontId="72" fillId="6" borderId="125" xfId="9" applyFont="1" applyFill="1" applyBorder="1" applyAlignment="1" applyProtection="1">
      <alignment horizontal="center"/>
      <protection hidden="1"/>
    </xf>
    <xf numFmtId="0" fontId="204" fillId="6" borderId="0" xfId="9" applyFont="1" applyFill="1" applyBorder="1" applyAlignment="1" applyProtection="1">
      <alignment horizontal="center"/>
      <protection hidden="1"/>
    </xf>
    <xf numFmtId="0" fontId="144" fillId="6" borderId="28" xfId="9" applyFont="1" applyFill="1" applyBorder="1" applyProtection="1">
      <protection hidden="1"/>
    </xf>
    <xf numFmtId="0" fontId="109" fillId="6" borderId="33" xfId="18" applyFont="1" applyFill="1" applyBorder="1" applyAlignment="1" applyProtection="1">
      <alignment horizontal="center" vertical="center"/>
      <protection hidden="1"/>
    </xf>
    <xf numFmtId="0" fontId="109" fillId="6" borderId="140" xfId="18" applyFont="1" applyFill="1" applyBorder="1" applyAlignment="1" applyProtection="1">
      <alignment horizontal="center" vertical="center"/>
      <protection hidden="1"/>
    </xf>
    <xf numFmtId="0" fontId="243" fillId="6" borderId="0" xfId="9" applyFont="1" applyFill="1" applyBorder="1" applyAlignment="1" applyProtection="1">
      <alignment horizontal="center" vertical="center"/>
      <protection hidden="1"/>
    </xf>
    <xf numFmtId="0" fontId="109" fillId="6" borderId="43" xfId="18" applyFont="1" applyFill="1" applyBorder="1" applyAlignment="1" applyProtection="1">
      <alignment horizontal="center" vertical="center" wrapText="1"/>
      <protection hidden="1"/>
    </xf>
    <xf numFmtId="0" fontId="109" fillId="6" borderId="47" xfId="18" applyFont="1" applyFill="1" applyBorder="1" applyAlignment="1" applyProtection="1">
      <alignment horizontal="center" vertical="center" wrapText="1"/>
      <protection hidden="1"/>
    </xf>
    <xf numFmtId="0" fontId="109" fillId="6" borderId="143" xfId="18" applyFont="1" applyFill="1" applyBorder="1" applyAlignment="1" applyProtection="1">
      <alignment horizontal="center" vertical="center" wrapText="1"/>
      <protection hidden="1"/>
    </xf>
    <xf numFmtId="0" fontId="109" fillId="6" borderId="141" xfId="18" applyFont="1" applyFill="1" applyBorder="1" applyAlignment="1" applyProtection="1">
      <alignment horizontal="center" vertical="center" wrapText="1"/>
      <protection hidden="1"/>
    </xf>
    <xf numFmtId="1" fontId="121" fillId="6" borderId="33" xfId="18" applyNumberFormat="1" applyFont="1" applyFill="1" applyBorder="1" applyAlignment="1" applyProtection="1">
      <alignment horizontal="center" vertical="center"/>
      <protection hidden="1"/>
    </xf>
    <xf numFmtId="1" fontId="121" fillId="6" borderId="140" xfId="18" applyNumberFormat="1" applyFont="1" applyFill="1" applyBorder="1" applyAlignment="1" applyProtection="1">
      <alignment horizontal="center" vertical="center"/>
      <protection hidden="1"/>
    </xf>
    <xf numFmtId="1" fontId="121" fillId="6" borderId="143" xfId="18" applyNumberFormat="1" applyFont="1" applyFill="1" applyBorder="1" applyAlignment="1" applyProtection="1">
      <alignment horizontal="center" vertical="center"/>
      <protection hidden="1"/>
    </xf>
    <xf numFmtId="0" fontId="232" fillId="6" borderId="0" xfId="9" applyFont="1" applyFill="1" applyAlignment="1" applyProtection="1">
      <alignment horizontal="left" vertical="center"/>
      <protection hidden="1"/>
    </xf>
    <xf numFmtId="0" fontId="232" fillId="6" borderId="0" xfId="9" applyFont="1" applyFill="1" applyAlignment="1" applyProtection="1">
      <alignment horizontal="center"/>
      <protection hidden="1"/>
    </xf>
    <xf numFmtId="0" fontId="242" fillId="0" borderId="29" xfId="9" applyFont="1" applyBorder="1" applyAlignment="1" applyProtection="1">
      <alignment horizontal="center" vertical="center"/>
      <protection hidden="1"/>
    </xf>
    <xf numFmtId="0" fontId="40" fillId="6" borderId="0" xfId="9" applyFont="1" applyFill="1" applyBorder="1" applyAlignment="1" applyProtection="1">
      <alignment horizontal="center" vertical="center"/>
      <protection hidden="1"/>
    </xf>
    <xf numFmtId="0" fontId="17" fillId="6" borderId="68" xfId="28" applyFont="1" applyFill="1" applyBorder="1" applyAlignment="1" applyProtection="1">
      <alignment horizontal="center"/>
      <protection hidden="1"/>
    </xf>
    <xf numFmtId="0" fontId="43" fillId="30" borderId="0" xfId="9" applyFont="1" applyFill="1" applyAlignment="1" applyProtection="1">
      <alignment horizontal="center" vertical="center"/>
      <protection hidden="1"/>
    </xf>
    <xf numFmtId="0" fontId="43" fillId="30" borderId="0" xfId="9" applyFont="1" applyFill="1" applyBorder="1" applyAlignment="1" applyProtection="1">
      <alignment horizontal="center" vertical="center"/>
      <protection hidden="1"/>
    </xf>
    <xf numFmtId="0" fontId="8" fillId="6" borderId="0" xfId="5" applyFill="1" applyProtection="1">
      <protection hidden="1"/>
    </xf>
    <xf numFmtId="14" fontId="98" fillId="0" borderId="0" xfId="9" applyNumberFormat="1" applyFont="1" applyBorder="1" applyAlignment="1" applyProtection="1">
      <alignment horizontal="center" vertical="center"/>
      <protection hidden="1"/>
    </xf>
    <xf numFmtId="0" fontId="8" fillId="30" borderId="0" xfId="9" applyFill="1" applyBorder="1" applyAlignment="1" applyProtection="1">
      <alignment horizontal="center" vertical="center"/>
      <protection hidden="1"/>
    </xf>
    <xf numFmtId="0" fontId="8" fillId="6" borderId="28" xfId="9" applyFill="1" applyBorder="1" applyProtection="1">
      <protection hidden="1"/>
    </xf>
    <xf numFmtId="0" fontId="72" fillId="6" borderId="0" xfId="9" applyFont="1" applyFill="1" applyBorder="1" applyAlignment="1" applyProtection="1">
      <alignment horizontal="left" vertical="center"/>
      <protection hidden="1"/>
    </xf>
    <xf numFmtId="0" fontId="72" fillId="6" borderId="31" xfId="9" applyFont="1" applyFill="1" applyBorder="1" applyAlignment="1" applyProtection="1">
      <alignment horizontal="left" vertical="center"/>
      <protection hidden="1"/>
    </xf>
    <xf numFmtId="0" fontId="109" fillId="6" borderId="36" xfId="18" applyFont="1" applyFill="1" applyBorder="1" applyAlignment="1" applyProtection="1">
      <alignment horizontal="center"/>
      <protection hidden="1"/>
    </xf>
    <xf numFmtId="0" fontId="109" fillId="6" borderId="34" xfId="18" applyFont="1" applyFill="1" applyBorder="1" applyAlignment="1" applyProtection="1">
      <alignment horizontal="center"/>
      <protection hidden="1"/>
    </xf>
    <xf numFmtId="1" fontId="42" fillId="6" borderId="33" xfId="18" applyNumberFormat="1" applyFont="1" applyFill="1" applyBorder="1" applyAlignment="1" applyProtection="1">
      <alignment horizontal="center" vertical="center"/>
      <protection hidden="1"/>
    </xf>
    <xf numFmtId="1" fontId="42" fillId="6" borderId="140" xfId="18" applyNumberFormat="1" applyFont="1" applyFill="1" applyBorder="1" applyAlignment="1" applyProtection="1">
      <alignment horizontal="center" vertical="center"/>
      <protection hidden="1"/>
    </xf>
    <xf numFmtId="0" fontId="8" fillId="0" borderId="0" xfId="9" applyProtection="1">
      <protection hidden="1"/>
    </xf>
    <xf numFmtId="0" fontId="244" fillId="6" borderId="162" xfId="9" applyFont="1" applyFill="1" applyBorder="1" applyAlignment="1" applyProtection="1">
      <alignment horizontal="center" vertical="center"/>
      <protection hidden="1"/>
    </xf>
    <xf numFmtId="0" fontId="40" fillId="6" borderId="31" xfId="9" applyFont="1" applyFill="1" applyBorder="1" applyAlignment="1" applyProtection="1">
      <alignment horizontal="left" vertical="center"/>
      <protection hidden="1"/>
    </xf>
    <xf numFmtId="0" fontId="40" fillId="6" borderId="161" xfId="9" applyFont="1" applyFill="1" applyBorder="1" applyAlignment="1" applyProtection="1">
      <alignment horizontal="center"/>
      <protection hidden="1"/>
    </xf>
    <xf numFmtId="1" fontId="42" fillId="6" borderId="143" xfId="18" applyNumberFormat="1" applyFont="1" applyFill="1" applyBorder="1" applyAlignment="1" applyProtection="1">
      <alignment horizontal="center" vertical="center"/>
      <protection hidden="1"/>
    </xf>
    <xf numFmtId="0" fontId="242" fillId="0" borderId="29" xfId="9" applyFont="1" applyBorder="1" applyAlignment="1" applyProtection="1">
      <alignment horizontal="center"/>
      <protection hidden="1"/>
    </xf>
    <xf numFmtId="0" fontId="72" fillId="6" borderId="0" xfId="9" applyFont="1" applyFill="1" applyAlignment="1" applyProtection="1">
      <alignment horizontal="left" vertical="center"/>
      <protection hidden="1"/>
    </xf>
    <xf numFmtId="0" fontId="50" fillId="6" borderId="0" xfId="9" applyFont="1" applyFill="1" applyAlignment="1" applyProtection="1">
      <alignment horizontal="left" vertical="center"/>
      <protection hidden="1"/>
    </xf>
    <xf numFmtId="0" fontId="89" fillId="6" borderId="36" xfId="18" applyFont="1" applyFill="1" applyBorder="1" applyAlignment="1" applyProtection="1">
      <alignment horizontal="center" vertical="center" wrapText="1"/>
      <protection hidden="1"/>
    </xf>
    <xf numFmtId="0" fontId="40" fillId="6" borderId="0" xfId="20" applyFont="1" applyFill="1" applyAlignment="1" applyProtection="1">
      <alignment horizontal="center" vertical="center"/>
      <protection hidden="1"/>
    </xf>
    <xf numFmtId="0" fontId="72" fillId="30" borderId="0" xfId="20" applyFont="1" applyFill="1" applyBorder="1" applyAlignment="1" applyProtection="1">
      <alignment horizontal="center" vertical="center"/>
      <protection hidden="1"/>
    </xf>
    <xf numFmtId="0" fontId="121" fillId="30" borderId="0" xfId="20" applyFont="1" applyFill="1" applyBorder="1" applyAlignment="1" applyProtection="1">
      <alignment horizontal="center" vertical="center"/>
      <protection hidden="1"/>
    </xf>
    <xf numFmtId="0" fontId="43" fillId="6" borderId="0" xfId="20" applyFont="1" applyFill="1" applyBorder="1" applyAlignment="1" applyProtection="1">
      <alignment horizontal="right" vertical="center"/>
      <protection hidden="1"/>
    </xf>
    <xf numFmtId="0" fontId="24" fillId="6" borderId="0" xfId="20" applyFont="1" applyFill="1" applyBorder="1" applyAlignment="1" applyProtection="1">
      <alignment horizontal="right" vertical="center"/>
      <protection hidden="1"/>
    </xf>
    <xf numFmtId="1" fontId="109" fillId="6" borderId="0" xfId="18" applyNumberFormat="1" applyFont="1" applyFill="1" applyBorder="1" applyAlignment="1" applyProtection="1">
      <alignment horizontal="center" vertical="center" wrapText="1"/>
      <protection hidden="1"/>
    </xf>
    <xf numFmtId="0" fontId="240" fillId="6" borderId="0" xfId="20" applyFont="1" applyFill="1" applyBorder="1" applyAlignment="1" applyProtection="1">
      <alignment horizontal="center" vertical="center"/>
      <protection hidden="1"/>
    </xf>
    <xf numFmtId="0" fontId="240" fillId="6" borderId="160" xfId="20" applyFont="1" applyFill="1" applyBorder="1" applyAlignment="1" applyProtection="1">
      <alignment horizontal="center" vertical="center"/>
      <protection hidden="1"/>
    </xf>
    <xf numFmtId="0" fontId="204" fillId="6" borderId="0" xfId="20" applyFont="1" applyFill="1" applyAlignment="1" applyProtection="1">
      <alignment horizontal="center" vertical="center"/>
      <protection hidden="1"/>
    </xf>
    <xf numFmtId="0" fontId="109" fillId="6" borderId="35" xfId="18" applyFont="1" applyFill="1" applyBorder="1" applyAlignment="1" applyProtection="1">
      <alignment horizontal="center"/>
      <protection hidden="1"/>
    </xf>
    <xf numFmtId="0" fontId="72" fillId="6" borderId="66" xfId="20" applyFont="1" applyFill="1" applyBorder="1" applyAlignment="1" applyProtection="1">
      <alignment horizontal="center"/>
      <protection hidden="1"/>
    </xf>
    <xf numFmtId="0" fontId="72" fillId="6" borderId="0" xfId="20" applyFont="1" applyFill="1" applyBorder="1" applyAlignment="1" applyProtection="1">
      <alignment horizontal="center" vertical="center"/>
      <protection hidden="1"/>
    </xf>
    <xf numFmtId="0" fontId="40" fillId="6" borderId="0" xfId="20" applyFont="1" applyFill="1" applyAlignment="1" applyProtection="1">
      <alignment horizontal="right" vertical="center"/>
      <protection hidden="1"/>
    </xf>
    <xf numFmtId="0" fontId="235" fillId="6" borderId="0" xfId="18" applyFont="1" applyFill="1" applyBorder="1" applyAlignment="1" applyProtection="1">
      <alignment horizontal="left" vertical="center" wrapText="1"/>
      <protection hidden="1"/>
    </xf>
    <xf numFmtId="0" fontId="109" fillId="6" borderId="0" xfId="18" applyFont="1" applyFill="1" applyBorder="1" applyAlignment="1" applyProtection="1">
      <alignment horizontal="center" vertical="center" wrapText="1"/>
      <protection hidden="1"/>
    </xf>
    <xf numFmtId="1" fontId="109" fillId="6" borderId="33" xfId="18" applyNumberFormat="1" applyFont="1" applyFill="1" applyBorder="1" applyAlignment="1" applyProtection="1">
      <alignment horizontal="center" vertical="center"/>
      <protection hidden="1"/>
    </xf>
    <xf numFmtId="1" fontId="109" fillId="6" borderId="140" xfId="18" applyNumberFormat="1" applyFont="1" applyFill="1" applyBorder="1" applyAlignment="1" applyProtection="1">
      <alignment horizontal="center" vertical="center"/>
      <protection hidden="1"/>
    </xf>
    <xf numFmtId="0" fontId="236" fillId="6" borderId="0" xfId="18" applyFont="1" applyFill="1" applyBorder="1" applyAlignment="1" applyProtection="1">
      <alignment horizontal="center" vertical="center"/>
      <protection hidden="1"/>
    </xf>
    <xf numFmtId="0" fontId="65" fillId="6" borderId="0" xfId="18" applyFont="1" applyFill="1" applyBorder="1" applyAlignment="1" applyProtection="1">
      <alignment horizontal="center"/>
      <protection hidden="1"/>
    </xf>
    <xf numFmtId="0" fontId="121" fillId="6" borderId="0" xfId="18" applyFont="1" applyFill="1" applyBorder="1" applyAlignment="1" applyProtection="1">
      <alignment horizontal="left" vertical="center"/>
      <protection hidden="1"/>
    </xf>
    <xf numFmtId="0" fontId="109" fillId="6" borderId="28" xfId="18" applyFont="1" applyFill="1" applyBorder="1" applyAlignment="1" applyProtection="1">
      <alignment horizontal="center" vertical="center" wrapText="1"/>
      <protection hidden="1"/>
    </xf>
    <xf numFmtId="0" fontId="109" fillId="6" borderId="142" xfId="18" applyFont="1" applyFill="1" applyBorder="1" applyAlignment="1" applyProtection="1">
      <alignment horizontal="center" vertical="center" wrapText="1"/>
      <protection hidden="1"/>
    </xf>
    <xf numFmtId="0" fontId="87" fillId="25" borderId="33" xfId="20" applyFont="1" applyFill="1" applyBorder="1" applyAlignment="1" applyProtection="1">
      <alignment horizontal="center" vertical="center" wrapText="1"/>
      <protection hidden="1"/>
    </xf>
    <xf numFmtId="0" fontId="87" fillId="25" borderId="140" xfId="20" applyFont="1" applyFill="1" applyBorder="1" applyAlignment="1" applyProtection="1">
      <alignment horizontal="center" vertical="center" wrapText="1"/>
      <protection hidden="1"/>
    </xf>
    <xf numFmtId="0" fontId="49" fillId="6" borderId="0" xfId="9" applyFont="1" applyFill="1" applyBorder="1" applyAlignment="1" applyProtection="1">
      <alignment horizontal="center" vertical="center" wrapText="1"/>
      <protection hidden="1"/>
    </xf>
    <xf numFmtId="10" fontId="51" fillId="6" borderId="0" xfId="5" applyNumberFormat="1" applyFont="1" applyFill="1" applyBorder="1" applyAlignment="1" applyProtection="1">
      <alignment horizontal="center" vertical="center" wrapText="1"/>
      <protection hidden="1"/>
    </xf>
    <xf numFmtId="0" fontId="109" fillId="6" borderId="0" xfId="18" applyFont="1" applyFill="1" applyBorder="1" applyAlignment="1" applyProtection="1">
      <alignment horizontal="left" vertical="center"/>
      <protection hidden="1"/>
    </xf>
    <xf numFmtId="0" fontId="107" fillId="6" borderId="30" xfId="9" applyFont="1" applyFill="1" applyBorder="1" applyAlignment="1" applyProtection="1">
      <alignment horizontal="center" vertical="center"/>
      <protection hidden="1"/>
    </xf>
    <xf numFmtId="0" fontId="107" fillId="6" borderId="0" xfId="9" applyFont="1" applyFill="1" applyBorder="1" applyAlignment="1" applyProtection="1">
      <alignment horizontal="center" vertical="center"/>
      <protection hidden="1"/>
    </xf>
    <xf numFmtId="0" fontId="56" fillId="6" borderId="30" xfId="9" applyFont="1" applyFill="1" applyBorder="1" applyAlignment="1" applyProtection="1">
      <alignment horizontal="center" vertical="center"/>
      <protection hidden="1"/>
    </xf>
    <xf numFmtId="0" fontId="56" fillId="6" borderId="0" xfId="9" applyFont="1" applyFill="1" applyBorder="1" applyAlignment="1" applyProtection="1">
      <alignment horizontal="center" vertical="center"/>
      <protection hidden="1"/>
    </xf>
    <xf numFmtId="1" fontId="106" fillId="6" borderId="0" xfId="9" applyNumberFormat="1" applyFont="1" applyFill="1" applyBorder="1" applyAlignment="1" applyProtection="1">
      <alignment horizontal="left" vertical="center" wrapText="1"/>
      <protection hidden="1"/>
    </xf>
    <xf numFmtId="1" fontId="104" fillId="6" borderId="0" xfId="9" applyNumberFormat="1" applyFont="1" applyFill="1" applyBorder="1" applyAlignment="1" applyProtection="1">
      <alignment horizontal="left" vertical="center"/>
      <protection hidden="1"/>
    </xf>
    <xf numFmtId="0" fontId="232" fillId="6" borderId="159" xfId="18" applyFont="1" applyFill="1" applyBorder="1" applyAlignment="1" applyProtection="1">
      <alignment horizontal="center" vertical="center"/>
      <protection hidden="1"/>
    </xf>
    <xf numFmtId="1" fontId="229" fillId="6" borderId="0" xfId="9" applyNumberFormat="1" applyFont="1" applyFill="1" applyBorder="1" applyAlignment="1" applyProtection="1">
      <alignment horizontal="center" vertical="center" textRotation="45" wrapText="1"/>
      <protection hidden="1"/>
    </xf>
    <xf numFmtId="0" fontId="231" fillId="6" borderId="18" xfId="18" applyFont="1" applyFill="1" applyBorder="1" applyAlignment="1" applyProtection="1">
      <alignment horizontal="center" vertical="center"/>
      <protection hidden="1"/>
    </xf>
    <xf numFmtId="0" fontId="231" fillId="6" borderId="17" xfId="18" applyFont="1" applyFill="1" applyBorder="1" applyAlignment="1" applyProtection="1">
      <alignment horizontal="center" vertical="center"/>
      <protection hidden="1"/>
    </xf>
    <xf numFmtId="0" fontId="230" fillId="6" borderId="159" xfId="18" applyFont="1" applyFill="1" applyBorder="1" applyAlignment="1" applyProtection="1">
      <alignment horizontal="center" vertical="center"/>
      <protection hidden="1"/>
    </xf>
    <xf numFmtId="0" fontId="228" fillId="6" borderId="0" xfId="18" applyFont="1" applyFill="1" applyBorder="1" applyAlignment="1" applyProtection="1">
      <alignment horizontal="center" vertical="center"/>
      <protection hidden="1"/>
    </xf>
    <xf numFmtId="0" fontId="189" fillId="6" borderId="19" xfId="20" applyFont="1" applyFill="1" applyBorder="1" applyAlignment="1" applyProtection="1">
      <alignment horizontal="center" vertical="center"/>
      <protection hidden="1"/>
    </xf>
    <xf numFmtId="0" fontId="189" fillId="6" borderId="17" xfId="20" applyFont="1" applyFill="1" applyBorder="1" applyAlignment="1" applyProtection="1">
      <alignment horizontal="center" vertical="center"/>
      <protection hidden="1"/>
    </xf>
    <xf numFmtId="1" fontId="189" fillId="6" borderId="19" xfId="20" applyNumberFormat="1" applyFont="1" applyFill="1" applyBorder="1" applyAlignment="1" applyProtection="1">
      <alignment horizontal="center" vertical="center"/>
      <protection hidden="1"/>
    </xf>
    <xf numFmtId="14" fontId="131" fillId="0" borderId="0" xfId="9" applyNumberFormat="1" applyFont="1" applyBorder="1" applyAlignment="1" applyProtection="1">
      <alignment horizontal="center" vertical="center"/>
      <protection hidden="1"/>
    </xf>
    <xf numFmtId="0" fontId="128" fillId="6" borderId="0" xfId="20" applyFont="1" applyFill="1" applyAlignment="1" applyProtection="1">
      <alignment horizontal="center" vertical="center" wrapText="1"/>
      <protection hidden="1"/>
    </xf>
    <xf numFmtId="0" fontId="126" fillId="6" borderId="0" xfId="20" applyFont="1" applyFill="1" applyAlignment="1" applyProtection="1">
      <alignment horizontal="center" vertical="center" wrapText="1"/>
      <protection hidden="1"/>
    </xf>
    <xf numFmtId="0" fontId="102" fillId="30" borderId="0" xfId="20" applyFont="1" applyFill="1" applyAlignment="1" applyProtection="1">
      <alignment horizontal="center" wrapText="1"/>
      <protection hidden="1"/>
    </xf>
    <xf numFmtId="0" fontId="72" fillId="6" borderId="86" xfId="9" applyFont="1" applyFill="1" applyBorder="1" applyAlignment="1" applyProtection="1">
      <alignment horizontal="center" vertical="center"/>
      <protection hidden="1"/>
    </xf>
    <xf numFmtId="0" fontId="72" fillId="6" borderId="85" xfId="9" applyFont="1" applyFill="1" applyBorder="1" applyAlignment="1" applyProtection="1">
      <alignment horizontal="center" vertical="center"/>
      <protection hidden="1"/>
    </xf>
    <xf numFmtId="0" fontId="72" fillId="6" borderId="84" xfId="9" applyFont="1" applyFill="1" applyBorder="1" applyAlignment="1" applyProtection="1">
      <alignment horizontal="center" vertical="center"/>
      <protection hidden="1"/>
    </xf>
    <xf numFmtId="0" fontId="50" fillId="24" borderId="83" xfId="20" applyFont="1" applyFill="1" applyBorder="1" applyAlignment="1" applyProtection="1">
      <alignment horizontal="center" vertical="center"/>
      <protection hidden="1"/>
    </xf>
    <xf numFmtId="0" fontId="50" fillId="24" borderId="82" xfId="20" applyFont="1" applyFill="1" applyBorder="1" applyAlignment="1" applyProtection="1">
      <alignment horizontal="center" vertical="center"/>
      <protection hidden="1"/>
    </xf>
    <xf numFmtId="0" fontId="50" fillId="24" borderId="81" xfId="20" applyFont="1" applyFill="1" applyBorder="1" applyAlignment="1" applyProtection="1">
      <alignment horizontal="center" vertical="center"/>
      <protection hidden="1"/>
    </xf>
    <xf numFmtId="0" fontId="122" fillId="6" borderId="36" xfId="18" applyFont="1" applyFill="1" applyBorder="1" applyAlignment="1" applyProtection="1">
      <alignment horizontal="center"/>
      <protection hidden="1"/>
    </xf>
    <xf numFmtId="0" fontId="122" fillId="6" borderId="35" xfId="18" applyFont="1" applyFill="1" applyBorder="1" applyAlignment="1" applyProtection="1">
      <alignment horizontal="center"/>
      <protection hidden="1"/>
    </xf>
    <xf numFmtId="0" fontId="122" fillId="6" borderId="34" xfId="18" applyFont="1" applyFill="1" applyBorder="1" applyAlignment="1" applyProtection="1">
      <alignment horizontal="center"/>
      <protection hidden="1"/>
    </xf>
    <xf numFmtId="0" fontId="49" fillId="6" borderId="79" xfId="20" applyFont="1" applyFill="1" applyBorder="1" applyAlignment="1" applyProtection="1">
      <alignment horizontal="center" vertical="center"/>
      <protection hidden="1"/>
    </xf>
    <xf numFmtId="0" fontId="122" fillId="6" borderId="43" xfId="18" applyFont="1" applyFill="1" applyBorder="1" applyAlignment="1" applyProtection="1">
      <alignment horizontal="center" vertical="center" wrapText="1"/>
      <protection hidden="1"/>
    </xf>
    <xf numFmtId="0" fontId="122" fillId="6" borderId="28" xfId="18" applyFont="1" applyFill="1" applyBorder="1" applyAlignment="1" applyProtection="1">
      <alignment horizontal="center" vertical="center" wrapText="1"/>
      <protection hidden="1"/>
    </xf>
    <xf numFmtId="0" fontId="122" fillId="6" borderId="47" xfId="18" applyFont="1" applyFill="1" applyBorder="1" applyAlignment="1" applyProtection="1">
      <alignment horizontal="center" vertical="center" wrapText="1"/>
      <protection hidden="1"/>
    </xf>
    <xf numFmtId="0" fontId="122" fillId="6" borderId="143" xfId="18" applyFont="1" applyFill="1" applyBorder="1" applyAlignment="1" applyProtection="1">
      <alignment horizontal="center" vertical="center" wrapText="1"/>
      <protection hidden="1"/>
    </xf>
    <xf numFmtId="0" fontId="122" fillId="6" borderId="142" xfId="18" applyFont="1" applyFill="1" applyBorder="1" applyAlignment="1" applyProtection="1">
      <alignment horizontal="center" vertical="center" wrapText="1"/>
      <protection hidden="1"/>
    </xf>
    <xf numFmtId="0" fontId="122" fillId="6" borderId="141" xfId="18" applyFont="1" applyFill="1" applyBorder="1" applyAlignment="1" applyProtection="1">
      <alignment horizontal="center" vertical="center" wrapText="1"/>
      <protection hidden="1"/>
    </xf>
    <xf numFmtId="0" fontId="49" fillId="6" borderId="79" xfId="9" applyFont="1" applyFill="1" applyBorder="1" applyAlignment="1" applyProtection="1">
      <alignment horizontal="center"/>
      <protection hidden="1"/>
    </xf>
    <xf numFmtId="0" fontId="219" fillId="6" borderId="0" xfId="9" applyFont="1" applyFill="1" applyBorder="1" applyAlignment="1" applyProtection="1">
      <alignment horizontal="center" vertical="center"/>
      <protection hidden="1"/>
    </xf>
    <xf numFmtId="0" fontId="111" fillId="6" borderId="0" xfId="20" applyFont="1" applyFill="1" applyBorder="1" applyAlignment="1" applyProtection="1">
      <alignment horizontal="left" vertical="center"/>
      <protection hidden="1"/>
    </xf>
    <xf numFmtId="0" fontId="111" fillId="6" borderId="0" xfId="20" applyFont="1" applyFill="1" applyAlignment="1" applyProtection="1">
      <alignment horizontal="left" vertical="top" wrapText="1"/>
      <protection hidden="1"/>
    </xf>
    <xf numFmtId="0" fontId="111" fillId="6" borderId="0" xfId="20" applyFont="1" applyFill="1" applyAlignment="1" applyProtection="1">
      <alignment horizontal="left" vertical="top"/>
      <protection hidden="1"/>
    </xf>
    <xf numFmtId="0" fontId="111" fillId="6" borderId="0" xfId="20" applyFont="1" applyFill="1" applyAlignment="1" applyProtection="1">
      <alignment horizontal="left" vertical="center"/>
      <protection hidden="1"/>
    </xf>
    <xf numFmtId="0" fontId="87" fillId="6" borderId="33" xfId="9" applyFont="1" applyFill="1" applyBorder="1" applyAlignment="1" applyProtection="1">
      <alignment horizontal="center" vertical="center" wrapText="1"/>
      <protection hidden="1"/>
    </xf>
    <xf numFmtId="0" fontId="87" fillId="6" borderId="140" xfId="9" applyFont="1" applyFill="1" applyBorder="1" applyAlignment="1" applyProtection="1">
      <alignment horizontal="center" vertical="center" wrapText="1"/>
      <protection hidden="1"/>
    </xf>
    <xf numFmtId="0" fontId="109" fillId="6" borderId="36" xfId="18" applyFont="1" applyFill="1" applyBorder="1" applyAlignment="1" applyProtection="1">
      <alignment horizontal="center" vertical="center" wrapText="1"/>
      <protection hidden="1"/>
    </xf>
    <xf numFmtId="0" fontId="109" fillId="6" borderId="34" xfId="18" applyFont="1" applyFill="1" applyBorder="1" applyAlignment="1" applyProtection="1">
      <alignment horizontal="center" vertical="center" wrapText="1"/>
      <protection hidden="1"/>
    </xf>
    <xf numFmtId="0" fontId="109" fillId="6" borderId="33" xfId="18" applyFont="1" applyFill="1" applyBorder="1" applyAlignment="1" applyProtection="1">
      <alignment horizontal="center" vertical="center" wrapText="1"/>
      <protection hidden="1"/>
    </xf>
    <xf numFmtId="0" fontId="109" fillId="6" borderId="69" xfId="18" applyFont="1" applyFill="1" applyBorder="1" applyAlignment="1" applyProtection="1">
      <alignment horizontal="center" vertical="center" wrapText="1"/>
      <protection hidden="1"/>
    </xf>
    <xf numFmtId="0" fontId="17" fillId="6" borderId="157" xfId="28" applyFont="1" applyFill="1" applyBorder="1" applyAlignment="1" applyProtection="1">
      <alignment horizontal="center"/>
      <protection hidden="1"/>
    </xf>
    <xf numFmtId="0" fontId="87" fillId="6" borderId="67" xfId="20" applyFont="1" applyFill="1" applyBorder="1" applyAlignment="1" applyProtection="1">
      <alignment horizontal="center" vertical="center"/>
      <protection hidden="1"/>
    </xf>
    <xf numFmtId="0" fontId="87" fillId="6" borderId="66" xfId="20" applyFont="1" applyFill="1" applyBorder="1" applyAlignment="1" applyProtection="1">
      <alignment horizontal="center" vertical="center"/>
      <protection hidden="1"/>
    </xf>
    <xf numFmtId="0" fontId="87" fillId="6" borderId="65" xfId="20" applyFont="1" applyFill="1" applyBorder="1" applyAlignment="1" applyProtection="1">
      <alignment horizontal="center" vertical="center"/>
      <protection hidden="1"/>
    </xf>
    <xf numFmtId="0" fontId="49" fillId="6" borderId="61" xfId="9" applyFont="1" applyFill="1" applyBorder="1" applyAlignment="1" applyProtection="1">
      <alignment horizontal="center" vertical="center" wrapText="1"/>
      <protection hidden="1"/>
    </xf>
    <xf numFmtId="0" fontId="378" fillId="6" borderId="0" xfId="20" applyFont="1" applyFill="1" applyBorder="1" applyAlignment="1" applyProtection="1">
      <alignment horizontal="left" vertical="center"/>
      <protection hidden="1"/>
    </xf>
    <xf numFmtId="0" fontId="87" fillId="6" borderId="58" xfId="20" applyFont="1" applyFill="1" applyBorder="1" applyAlignment="1" applyProtection="1">
      <alignment horizontal="right" vertical="center"/>
      <protection hidden="1"/>
    </xf>
    <xf numFmtId="0" fontId="87" fillId="6" borderId="57" xfId="20" applyFont="1" applyFill="1" applyBorder="1" applyAlignment="1" applyProtection="1">
      <alignment horizontal="right" vertical="center"/>
      <protection hidden="1"/>
    </xf>
    <xf numFmtId="10" fontId="52" fillId="6" borderId="61" xfId="5" applyNumberFormat="1" applyFont="1" applyFill="1" applyBorder="1" applyAlignment="1" applyProtection="1">
      <alignment horizontal="center" vertical="center" wrapText="1"/>
      <protection hidden="1"/>
    </xf>
    <xf numFmtId="10" fontId="52" fillId="6" borderId="0" xfId="5" applyNumberFormat="1" applyFont="1" applyFill="1" applyBorder="1" applyAlignment="1" applyProtection="1">
      <alignment horizontal="center" vertical="center" wrapText="1"/>
      <protection hidden="1"/>
    </xf>
    <xf numFmtId="10" fontId="52" fillId="6" borderId="60" xfId="5" applyNumberFormat="1" applyFont="1" applyFill="1" applyBorder="1" applyAlignment="1" applyProtection="1">
      <alignment horizontal="center" vertical="center" wrapText="1"/>
      <protection hidden="1"/>
    </xf>
    <xf numFmtId="10" fontId="52" fillId="6" borderId="59" xfId="5" applyNumberFormat="1" applyFont="1" applyFill="1" applyBorder="1" applyAlignment="1" applyProtection="1">
      <alignment horizontal="center" vertical="center" wrapText="1"/>
      <protection hidden="1"/>
    </xf>
    <xf numFmtId="0" fontId="100" fillId="0" borderId="50" xfId="9" applyFont="1" applyBorder="1" applyAlignment="1" applyProtection="1">
      <alignment horizontal="center"/>
      <protection hidden="1"/>
    </xf>
    <xf numFmtId="0" fontId="87" fillId="6" borderId="54" xfId="20" applyFont="1" applyFill="1" applyBorder="1" applyAlignment="1" applyProtection="1">
      <alignment horizontal="right"/>
      <protection hidden="1"/>
    </xf>
    <xf numFmtId="0" fontId="87" fillId="6" borderId="53" xfId="20" applyFont="1" applyFill="1" applyBorder="1" applyAlignment="1" applyProtection="1">
      <alignment horizontal="right"/>
      <protection hidden="1"/>
    </xf>
    <xf numFmtId="0" fontId="99" fillId="6" borderId="0" xfId="20" applyFont="1" applyFill="1" applyBorder="1" applyAlignment="1" applyProtection="1">
      <alignment horizontal="center"/>
      <protection hidden="1"/>
    </xf>
    <xf numFmtId="0" fontId="117" fillId="6" borderId="28" xfId="9" applyFont="1" applyFill="1" applyBorder="1" applyAlignment="1" applyProtection="1">
      <alignment horizontal="center" vertical="center"/>
      <protection hidden="1"/>
    </xf>
    <xf numFmtId="0" fontId="117" fillId="6" borderId="0" xfId="9" applyFont="1" applyFill="1" applyBorder="1" applyAlignment="1" applyProtection="1">
      <alignment horizontal="center" vertical="center"/>
      <protection hidden="1"/>
    </xf>
    <xf numFmtId="1" fontId="116" fillId="6" borderId="0" xfId="18" applyNumberFormat="1" applyFont="1" applyFill="1" applyBorder="1" applyAlignment="1" applyProtection="1">
      <alignment horizontal="center" vertical="center" wrapText="1"/>
      <protection hidden="1"/>
    </xf>
    <xf numFmtId="0" fontId="74" fillId="22" borderId="0" xfId="25" applyFont="1" applyFill="1" applyAlignment="1" applyProtection="1">
      <alignment horizontal="center" vertical="center"/>
      <protection hidden="1"/>
    </xf>
    <xf numFmtId="0" fontId="102" fillId="6" borderId="0" xfId="22" applyFont="1" applyFill="1" applyAlignment="1" applyProtection="1">
      <alignment horizontal="center" wrapText="1"/>
      <protection hidden="1"/>
    </xf>
    <xf numFmtId="0" fontId="122" fillId="6" borderId="46" xfId="18" applyFont="1" applyFill="1" applyBorder="1" applyAlignment="1" applyProtection="1">
      <alignment horizontal="center" vertical="center" wrapText="1"/>
      <protection hidden="1"/>
    </xf>
    <xf numFmtId="0" fontId="122" fillId="6" borderId="45" xfId="18" applyFont="1" applyFill="1" applyBorder="1" applyAlignment="1" applyProtection="1">
      <alignment horizontal="center" vertical="center" wrapText="1"/>
      <protection hidden="1"/>
    </xf>
    <xf numFmtId="0" fontId="122" fillId="6" borderId="44" xfId="18" applyFont="1" applyFill="1" applyBorder="1" applyAlignment="1" applyProtection="1">
      <alignment horizontal="center" vertical="center" wrapText="1"/>
      <protection hidden="1"/>
    </xf>
    <xf numFmtId="1" fontId="121" fillId="6" borderId="32" xfId="18" applyNumberFormat="1" applyFont="1" applyFill="1" applyBorder="1" applyAlignment="1" applyProtection="1">
      <alignment horizontal="center" vertical="center"/>
      <protection hidden="1"/>
    </xf>
    <xf numFmtId="0" fontId="119" fillId="22" borderId="76" xfId="22" applyFont="1" applyFill="1" applyBorder="1" applyAlignment="1" applyProtection="1">
      <alignment horizontal="center" vertical="center"/>
      <protection hidden="1"/>
    </xf>
    <xf numFmtId="0" fontId="119" fillId="22" borderId="75" xfId="22" applyFont="1" applyFill="1" applyBorder="1" applyAlignment="1" applyProtection="1">
      <alignment horizontal="center" vertical="center"/>
      <protection hidden="1"/>
    </xf>
    <xf numFmtId="0" fontId="119" fillId="22" borderId="74" xfId="22" applyFont="1" applyFill="1" applyBorder="1" applyAlignment="1" applyProtection="1">
      <alignment horizontal="center" vertical="center"/>
      <protection hidden="1"/>
    </xf>
    <xf numFmtId="0" fontId="119" fillId="22" borderId="73" xfId="22" applyFont="1" applyFill="1" applyBorder="1" applyAlignment="1" applyProtection="1">
      <alignment horizontal="center" vertical="center"/>
      <protection hidden="1"/>
    </xf>
    <xf numFmtId="0" fontId="119" fillId="22" borderId="72" xfId="22" applyFont="1" applyFill="1" applyBorder="1" applyAlignment="1" applyProtection="1">
      <alignment horizontal="center" vertical="center"/>
      <protection hidden="1"/>
    </xf>
    <xf numFmtId="0" fontId="119" fillId="22" borderId="71" xfId="22" applyFont="1" applyFill="1" applyBorder="1" applyAlignment="1" applyProtection="1">
      <alignment horizontal="center" vertical="center"/>
      <protection hidden="1"/>
    </xf>
    <xf numFmtId="1" fontId="49" fillId="6" borderId="77" xfId="22" applyNumberFormat="1" applyFont="1" applyFill="1" applyBorder="1" applyAlignment="1" applyProtection="1">
      <alignment horizontal="center" vertical="center"/>
      <protection hidden="1"/>
    </xf>
    <xf numFmtId="0" fontId="49" fillId="6" borderId="77" xfId="22" applyFont="1" applyFill="1" applyBorder="1" applyAlignment="1" applyProtection="1">
      <alignment horizontal="center" vertical="center"/>
      <protection hidden="1"/>
    </xf>
    <xf numFmtId="0" fontId="17" fillId="6" borderId="68" xfId="23" applyFont="1" applyFill="1" applyBorder="1" applyAlignment="1" applyProtection="1">
      <alignment horizontal="center"/>
      <protection hidden="1"/>
    </xf>
    <xf numFmtId="0" fontId="128" fillId="6" borderId="0" xfId="22" applyFont="1" applyFill="1" applyAlignment="1" applyProtection="1">
      <alignment horizontal="center" vertical="center" wrapText="1"/>
      <protection hidden="1"/>
    </xf>
    <xf numFmtId="0" fontId="126" fillId="6" borderId="0" xfId="22" applyFont="1" applyFill="1" applyAlignment="1" applyProtection="1">
      <alignment horizontal="center" vertical="center" wrapText="1"/>
      <protection hidden="1"/>
    </xf>
    <xf numFmtId="0" fontId="123" fillId="6" borderId="0" xfId="9" applyFont="1" applyFill="1" applyBorder="1" applyAlignment="1" applyProtection="1">
      <alignment horizontal="center"/>
      <protection hidden="1"/>
    </xf>
    <xf numFmtId="0" fontId="50" fillId="24" borderId="83" xfId="22" applyFont="1" applyFill="1" applyBorder="1" applyAlignment="1" applyProtection="1">
      <alignment horizontal="center" vertical="center"/>
      <protection hidden="1"/>
    </xf>
    <xf numFmtId="0" fontId="50" fillId="24" borderId="82" xfId="22" applyFont="1" applyFill="1" applyBorder="1" applyAlignment="1" applyProtection="1">
      <alignment horizontal="center" vertical="center"/>
      <protection hidden="1"/>
    </xf>
    <xf numFmtId="0" fontId="50" fillId="24" borderId="81" xfId="22" applyFont="1" applyFill="1" applyBorder="1" applyAlignment="1" applyProtection="1">
      <alignment horizontal="center" vertical="center"/>
      <protection hidden="1"/>
    </xf>
    <xf numFmtId="1" fontId="49" fillId="6" borderId="79" xfId="22" applyNumberFormat="1" applyFont="1" applyFill="1" applyBorder="1" applyAlignment="1" applyProtection="1">
      <alignment horizontal="center" vertical="center"/>
      <protection hidden="1"/>
    </xf>
    <xf numFmtId="0" fontId="49" fillId="6" borderId="79" xfId="22" applyFont="1" applyFill="1" applyBorder="1" applyAlignment="1" applyProtection="1">
      <alignment horizontal="center" vertical="center"/>
      <protection hidden="1"/>
    </xf>
    <xf numFmtId="0" fontId="106" fillId="6" borderId="0" xfId="9" applyFont="1" applyFill="1" applyBorder="1" applyAlignment="1" applyProtection="1">
      <alignment horizontal="left" vertical="center" wrapText="1"/>
      <protection hidden="1"/>
    </xf>
    <xf numFmtId="0" fontId="99" fillId="6" borderId="0" xfId="22" applyFont="1" applyFill="1" applyBorder="1" applyAlignment="1" applyProtection="1">
      <alignment horizontal="center"/>
      <protection hidden="1"/>
    </xf>
    <xf numFmtId="0" fontId="378" fillId="6" borderId="0" xfId="22" applyFont="1" applyFill="1" applyBorder="1" applyAlignment="1" applyProtection="1">
      <alignment horizontal="left" vertical="center"/>
      <protection hidden="1"/>
    </xf>
    <xf numFmtId="0" fontId="72" fillId="6" borderId="0" xfId="22" applyFont="1" applyFill="1" applyBorder="1" applyAlignment="1" applyProtection="1">
      <alignment horizontal="left" vertical="center"/>
      <protection hidden="1"/>
    </xf>
    <xf numFmtId="0" fontId="114" fillId="6" borderId="0" xfId="22" applyFont="1" applyFill="1" applyAlignment="1" applyProtection="1">
      <alignment horizontal="left" vertical="top" wrapText="1"/>
      <protection hidden="1"/>
    </xf>
    <xf numFmtId="0" fontId="72" fillId="6" borderId="0" xfId="22" applyFont="1" applyFill="1" applyAlignment="1" applyProtection="1">
      <alignment horizontal="left" vertical="top"/>
      <protection hidden="1"/>
    </xf>
    <xf numFmtId="0" fontId="109" fillId="6" borderId="32" xfId="18" applyFont="1" applyFill="1" applyBorder="1" applyAlignment="1" applyProtection="1">
      <alignment horizontal="center" vertical="center"/>
      <protection hidden="1"/>
    </xf>
    <xf numFmtId="0" fontId="87" fillId="6" borderId="32" xfId="9" applyFont="1" applyFill="1" applyBorder="1" applyAlignment="1" applyProtection="1">
      <alignment horizontal="center" vertical="center" wrapText="1"/>
      <protection hidden="1"/>
    </xf>
    <xf numFmtId="0" fontId="109" fillId="6" borderId="46" xfId="18" applyFont="1" applyFill="1" applyBorder="1" applyAlignment="1" applyProtection="1">
      <alignment horizontal="center" vertical="center" wrapText="1"/>
      <protection hidden="1"/>
    </xf>
    <xf numFmtId="0" fontId="87" fillId="6" borderId="67" xfId="22" applyFont="1" applyFill="1" applyBorder="1" applyAlignment="1" applyProtection="1">
      <alignment horizontal="center" vertical="center"/>
      <protection hidden="1"/>
    </xf>
    <xf numFmtId="0" fontId="87" fillId="6" borderId="66" xfId="22" applyFont="1" applyFill="1" applyBorder="1" applyAlignment="1" applyProtection="1">
      <alignment horizontal="center" vertical="center"/>
      <protection hidden="1"/>
    </xf>
    <xf numFmtId="0" fontId="87" fillId="6" borderId="65" xfId="22" applyFont="1" applyFill="1" applyBorder="1" applyAlignment="1" applyProtection="1">
      <alignment horizontal="center" vertical="center"/>
      <protection hidden="1"/>
    </xf>
    <xf numFmtId="0" fontId="87" fillId="6" borderId="58" xfId="22" applyFont="1" applyFill="1" applyBorder="1" applyAlignment="1" applyProtection="1">
      <alignment horizontal="right" vertical="center"/>
      <protection hidden="1"/>
    </xf>
    <xf numFmtId="0" fontId="87" fillId="6" borderId="57" xfId="22" applyFont="1" applyFill="1" applyBorder="1" applyAlignment="1" applyProtection="1">
      <alignment horizontal="right" vertical="center"/>
      <protection hidden="1"/>
    </xf>
    <xf numFmtId="0" fontId="87" fillId="6" borderId="54" xfId="22" applyFont="1" applyFill="1" applyBorder="1" applyAlignment="1" applyProtection="1">
      <alignment horizontal="right"/>
      <protection hidden="1"/>
    </xf>
    <xf numFmtId="0" fontId="87" fillId="6" borderId="53" xfId="22" applyFont="1" applyFill="1" applyBorder="1" applyAlignment="1" applyProtection="1">
      <alignment horizontal="right"/>
      <protection hidden="1"/>
    </xf>
    <xf numFmtId="1" fontId="52" fillId="6" borderId="79" xfId="22" applyNumberFormat="1" applyFont="1" applyFill="1" applyBorder="1" applyAlignment="1" applyProtection="1">
      <alignment horizontal="center" vertical="center"/>
      <protection hidden="1"/>
    </xf>
    <xf numFmtId="0" fontId="52" fillId="6" borderId="79" xfId="22" applyFont="1" applyFill="1" applyBorder="1" applyAlignment="1" applyProtection="1">
      <alignment horizontal="center" vertical="center"/>
      <protection hidden="1"/>
    </xf>
    <xf numFmtId="0" fontId="203" fillId="29" borderId="0" xfId="27" applyFont="1" applyFill="1" applyBorder="1" applyAlignment="1" applyProtection="1">
      <alignment horizontal="center" vertical="center"/>
      <protection hidden="1"/>
    </xf>
    <xf numFmtId="0" fontId="202" fillId="28" borderId="0" xfId="21" applyFont="1" applyFill="1" applyBorder="1" applyAlignment="1" applyProtection="1">
      <alignment horizontal="center" vertical="center"/>
      <protection hidden="1"/>
    </xf>
    <xf numFmtId="0" fontId="52" fillId="6" borderId="79" xfId="9" applyFont="1" applyFill="1" applyBorder="1" applyAlignment="1" applyProtection="1">
      <alignment horizontal="center"/>
      <protection hidden="1"/>
    </xf>
    <xf numFmtId="0" fontId="201" fillId="6" borderId="0" xfId="9" applyFont="1" applyFill="1" applyBorder="1" applyAlignment="1" applyProtection="1">
      <alignment horizontal="center" vertical="top"/>
      <protection hidden="1"/>
    </xf>
    <xf numFmtId="1" fontId="119" fillId="6" borderId="0" xfId="18" applyNumberFormat="1" applyFont="1" applyFill="1" applyBorder="1" applyAlignment="1" applyProtection="1">
      <alignment horizontal="center" vertical="center" wrapText="1"/>
      <protection hidden="1"/>
    </xf>
    <xf numFmtId="0" fontId="64" fillId="21" borderId="70" xfId="21" applyFont="1" applyFill="1" applyBorder="1" applyAlignment="1" applyProtection="1">
      <alignment horizontal="center" vertical="center"/>
      <protection hidden="1"/>
    </xf>
    <xf numFmtId="0" fontId="102" fillId="6" borderId="0" xfId="22" applyFont="1" applyFill="1" applyBorder="1" applyAlignment="1" applyProtection="1">
      <alignment horizontal="left" vertical="center"/>
      <protection hidden="1"/>
    </xf>
    <xf numFmtId="0" fontId="102" fillId="6" borderId="0" xfId="22" applyFont="1" applyFill="1" applyAlignment="1" applyProtection="1">
      <alignment horizontal="left" vertical="top" wrapText="1"/>
      <protection hidden="1"/>
    </xf>
    <xf numFmtId="0" fontId="102" fillId="6" borderId="0" xfId="22" applyFont="1" applyFill="1" applyAlignment="1" applyProtection="1">
      <alignment horizontal="left" vertical="top"/>
      <protection hidden="1"/>
    </xf>
    <xf numFmtId="0" fontId="102" fillId="6" borderId="0" xfId="22" applyFont="1" applyFill="1" applyAlignment="1" applyProtection="1">
      <alignment horizontal="left" vertical="center"/>
      <protection hidden="1"/>
    </xf>
    <xf numFmtId="0" fontId="17" fillId="6" borderId="129" xfId="23" applyFont="1" applyFill="1" applyBorder="1" applyAlignment="1" applyProtection="1">
      <alignment horizontal="center" vertical="center"/>
      <protection hidden="1"/>
    </xf>
    <xf numFmtId="0" fontId="17" fillId="6" borderId="68" xfId="23" applyFont="1" applyFill="1" applyBorder="1" applyAlignment="1" applyProtection="1">
      <alignment horizontal="center" vertical="center"/>
      <protection hidden="1"/>
    </xf>
    <xf numFmtId="0" fontId="38" fillId="6" borderId="0" xfId="22" applyFont="1" applyFill="1" applyBorder="1" applyAlignment="1" applyProtection="1">
      <alignment horizontal="center"/>
      <protection hidden="1"/>
    </xf>
    <xf numFmtId="0" fontId="38" fillId="6" borderId="0" xfId="22" applyFont="1" applyFill="1" applyBorder="1" applyAlignment="1" applyProtection="1">
      <alignment horizontal="left" vertical="center"/>
      <protection hidden="1"/>
    </xf>
    <xf numFmtId="0" fontId="97" fillId="6" borderId="72" xfId="9" applyFont="1" applyFill="1" applyBorder="1" applyAlignment="1" applyProtection="1">
      <alignment horizontal="center" vertical="center"/>
      <protection hidden="1"/>
    </xf>
    <xf numFmtId="0" fontId="233" fillId="6" borderId="36" xfId="9" applyFont="1" applyFill="1" applyBorder="1" applyAlignment="1" applyProtection="1">
      <alignment horizontal="center" vertical="center"/>
      <protection hidden="1"/>
    </xf>
    <xf numFmtId="0" fontId="233" fillId="6" borderId="35" xfId="9" applyFont="1" applyFill="1" applyBorder="1" applyAlignment="1" applyProtection="1">
      <alignment horizontal="center" vertical="center"/>
      <protection hidden="1"/>
    </xf>
    <xf numFmtId="0" fontId="233" fillId="6" borderId="34" xfId="9" applyFont="1" applyFill="1" applyBorder="1" applyAlignment="1" applyProtection="1">
      <alignment horizontal="center" vertical="center"/>
      <protection hidden="1"/>
    </xf>
    <xf numFmtId="0" fontId="43" fillId="6" borderId="0" xfId="9" applyFont="1" applyFill="1" applyBorder="1" applyAlignment="1" applyProtection="1">
      <alignment horizontal="center"/>
      <protection hidden="1"/>
    </xf>
    <xf numFmtId="0" fontId="43" fillId="6" borderId="0" xfId="9" applyFont="1" applyFill="1" applyBorder="1" applyAlignment="1" applyProtection="1">
      <alignment horizontal="center" vertical="center"/>
      <protection hidden="1"/>
    </xf>
    <xf numFmtId="0" fontId="259" fillId="6" borderId="0" xfId="9" applyFont="1" applyFill="1" applyBorder="1" applyAlignment="1" applyProtection="1">
      <alignment horizontal="center" vertical="center"/>
      <protection hidden="1"/>
    </xf>
    <xf numFmtId="0" fontId="72" fillId="6" borderId="75" xfId="9" applyFont="1" applyFill="1" applyBorder="1" applyAlignment="1" applyProtection="1">
      <alignment horizontal="center"/>
      <protection hidden="1"/>
    </xf>
    <xf numFmtId="0" fontId="72" fillId="6" borderId="0" xfId="9" applyFont="1" applyFill="1" applyAlignment="1" applyProtection="1">
      <alignment horizontal="right" vertical="center"/>
      <protection hidden="1"/>
    </xf>
    <xf numFmtId="0" fontId="73" fillId="6" borderId="0" xfId="9" applyFont="1" applyFill="1" applyAlignment="1" applyProtection="1">
      <alignment horizontal="center" vertical="center"/>
      <protection hidden="1"/>
    </xf>
    <xf numFmtId="0" fontId="23" fillId="6" borderId="0" xfId="9" applyFont="1" applyFill="1" applyBorder="1" applyAlignment="1" applyProtection="1">
      <alignment horizontal="left" vertical="center"/>
      <protection hidden="1"/>
    </xf>
    <xf numFmtId="0" fontId="265" fillId="6" borderId="0" xfId="9" applyFont="1" applyFill="1" applyBorder="1" applyAlignment="1" applyProtection="1">
      <alignment horizontal="left" vertical="center"/>
      <protection hidden="1"/>
    </xf>
    <xf numFmtId="0" fontId="71" fillId="6" borderId="0" xfId="9" applyFont="1" applyFill="1" applyAlignment="1" applyProtection="1">
      <alignment horizontal="left" vertical="center"/>
      <protection hidden="1"/>
    </xf>
    <xf numFmtId="0" fontId="71" fillId="6" borderId="0" xfId="9" applyFont="1" applyFill="1" applyAlignment="1" applyProtection="1">
      <alignment horizontal="center" vertical="center"/>
      <protection hidden="1"/>
    </xf>
    <xf numFmtId="0" fontId="260" fillId="6" borderId="0" xfId="9" applyFont="1" applyFill="1" applyBorder="1" applyAlignment="1" applyProtection="1">
      <alignment horizontal="left" vertical="center"/>
      <protection hidden="1"/>
    </xf>
    <xf numFmtId="0" fontId="261" fillId="6" borderId="0" xfId="9" applyFont="1" applyFill="1" applyBorder="1" applyAlignment="1" applyProtection="1">
      <alignment horizontal="left" vertical="center"/>
      <protection hidden="1"/>
    </xf>
    <xf numFmtId="1" fontId="73" fillId="6" borderId="43" xfId="9" applyNumberFormat="1" applyFont="1" applyFill="1" applyBorder="1" applyAlignment="1" applyProtection="1">
      <alignment horizontal="center" vertical="center"/>
      <protection hidden="1"/>
    </xf>
    <xf numFmtId="1" fontId="73" fillId="6" borderId="47" xfId="9" applyNumberFormat="1" applyFont="1" applyFill="1" applyBorder="1" applyAlignment="1" applyProtection="1">
      <alignment horizontal="center" vertical="center"/>
      <protection hidden="1"/>
    </xf>
    <xf numFmtId="1" fontId="73" fillId="6" borderId="143" xfId="9" applyNumberFormat="1" applyFont="1" applyFill="1" applyBorder="1" applyAlignment="1" applyProtection="1">
      <alignment horizontal="center" vertical="center"/>
      <protection hidden="1"/>
    </xf>
    <xf numFmtId="1" fontId="73" fillId="6" borderId="141" xfId="9" applyNumberFormat="1" applyFont="1" applyFill="1" applyBorder="1" applyAlignment="1" applyProtection="1">
      <alignment horizontal="center" vertical="center"/>
      <protection hidden="1"/>
    </xf>
    <xf numFmtId="0" fontId="266" fillId="6" borderId="0" xfId="9" applyFont="1" applyFill="1" applyBorder="1" applyAlignment="1" applyProtection="1">
      <alignment horizontal="center"/>
      <protection hidden="1"/>
    </xf>
    <xf numFmtId="0" fontId="45" fillId="6" borderId="43" xfId="18" applyFont="1" applyFill="1" applyBorder="1" applyAlignment="1" applyProtection="1">
      <alignment horizontal="center" vertical="center" wrapText="1"/>
      <protection hidden="1"/>
    </xf>
    <xf numFmtId="0" fontId="45" fillId="6" borderId="28" xfId="18" applyFont="1" applyFill="1" applyBorder="1" applyAlignment="1" applyProtection="1">
      <alignment horizontal="center" vertical="center" wrapText="1"/>
      <protection hidden="1"/>
    </xf>
    <xf numFmtId="0" fontId="45" fillId="6" borderId="47" xfId="18" applyFont="1" applyFill="1" applyBorder="1" applyAlignment="1" applyProtection="1">
      <alignment horizontal="center" vertical="center" wrapText="1"/>
      <protection hidden="1"/>
    </xf>
    <xf numFmtId="0" fontId="45" fillId="6" borderId="143" xfId="18" applyFont="1" applyFill="1" applyBorder="1" applyAlignment="1" applyProtection="1">
      <alignment horizontal="center" vertical="center" wrapText="1"/>
      <protection hidden="1"/>
    </xf>
    <xf numFmtId="0" fontId="45" fillId="6" borderId="142" xfId="18" applyFont="1" applyFill="1" applyBorder="1" applyAlignment="1" applyProtection="1">
      <alignment horizontal="center" vertical="center" wrapText="1"/>
      <protection hidden="1"/>
    </xf>
    <xf numFmtId="0" fontId="45" fillId="6" borderId="141" xfId="18" applyFont="1" applyFill="1" applyBorder="1" applyAlignment="1" applyProtection="1">
      <alignment horizontal="center" vertical="center" wrapText="1"/>
      <protection hidden="1"/>
    </xf>
    <xf numFmtId="0" fontId="12" fillId="6" borderId="159" xfId="9" applyFont="1" applyFill="1" applyBorder="1" applyAlignment="1" applyProtection="1">
      <alignment horizontal="center" vertical="center"/>
      <protection hidden="1"/>
    </xf>
    <xf numFmtId="0" fontId="233" fillId="6" borderId="0" xfId="9" applyFont="1" applyFill="1" applyBorder="1" applyAlignment="1" applyProtection="1">
      <alignment horizontal="left" vertical="center"/>
      <protection hidden="1"/>
    </xf>
    <xf numFmtId="0" fontId="267" fillId="6" borderId="0" xfId="9" applyFont="1" applyFill="1" applyBorder="1" applyAlignment="1" applyProtection="1">
      <alignment horizontal="left" vertical="center"/>
      <protection hidden="1"/>
    </xf>
    <xf numFmtId="1" fontId="166" fillId="6" borderId="159" xfId="9" applyNumberFormat="1" applyFont="1" applyFill="1" applyBorder="1" applyAlignment="1" applyProtection="1">
      <alignment horizontal="center" vertical="center"/>
      <protection hidden="1"/>
    </xf>
    <xf numFmtId="0" fontId="166" fillId="6" borderId="159" xfId="9" applyFont="1" applyFill="1" applyBorder="1" applyAlignment="1" applyProtection="1">
      <alignment horizontal="center" vertical="center"/>
      <protection hidden="1"/>
    </xf>
    <xf numFmtId="0" fontId="89" fillId="25" borderId="29" xfId="18" applyFont="1" applyFill="1" applyBorder="1" applyAlignment="1" applyProtection="1">
      <alignment horizontal="center" vertical="center" wrapText="1"/>
      <protection hidden="1"/>
    </xf>
    <xf numFmtId="0" fontId="88" fillId="6" borderId="159" xfId="17" applyFont="1" applyFill="1" applyBorder="1" applyAlignment="1" applyProtection="1">
      <alignment horizontal="center" vertical="center" wrapText="1"/>
      <protection hidden="1"/>
    </xf>
    <xf numFmtId="0" fontId="23" fillId="6" borderId="18" xfId="9" applyFont="1" applyFill="1" applyBorder="1" applyAlignment="1" applyProtection="1">
      <alignment horizontal="center" vertical="center"/>
      <protection hidden="1"/>
    </xf>
    <xf numFmtId="0" fontId="23" fillId="6" borderId="17" xfId="9" applyFont="1" applyFill="1" applyBorder="1" applyAlignment="1" applyProtection="1">
      <alignment horizontal="center" vertical="center"/>
      <protection hidden="1"/>
    </xf>
    <xf numFmtId="0" fontId="264" fillId="6" borderId="0" xfId="9" applyFont="1" applyFill="1" applyBorder="1" applyAlignment="1" applyProtection="1">
      <alignment horizontal="left" vertical="center"/>
      <protection hidden="1"/>
    </xf>
    <xf numFmtId="0" fontId="263" fillId="6" borderId="0" xfId="9" applyFont="1" applyFill="1" applyBorder="1" applyAlignment="1" applyProtection="1">
      <alignment horizontal="left" vertical="center"/>
      <protection hidden="1"/>
    </xf>
    <xf numFmtId="0" fontId="262" fillId="6" borderId="0" xfId="9" applyFont="1" applyFill="1" applyBorder="1" applyAlignment="1" applyProtection="1">
      <alignment horizontal="left" vertical="center"/>
      <protection hidden="1"/>
    </xf>
    <xf numFmtId="0" fontId="89" fillId="25" borderId="29" xfId="18" applyFont="1" applyFill="1" applyBorder="1" applyAlignment="1" applyProtection="1">
      <alignment horizontal="center" vertical="center"/>
      <protection hidden="1"/>
    </xf>
    <xf numFmtId="0" fontId="90" fillId="25" borderId="33" xfId="20" applyFont="1" applyFill="1" applyBorder="1" applyAlignment="1" applyProtection="1">
      <alignment horizontal="center" vertical="center" wrapText="1"/>
      <protection hidden="1"/>
    </xf>
    <xf numFmtId="0" fontId="90" fillId="25" borderId="140" xfId="20" applyFont="1" applyFill="1" applyBorder="1" applyAlignment="1" applyProtection="1">
      <alignment horizontal="center" vertical="center" wrapText="1"/>
      <protection hidden="1"/>
    </xf>
    <xf numFmtId="1" fontId="166" fillId="6" borderId="159" xfId="9" applyNumberFormat="1" applyFont="1" applyFill="1" applyBorder="1" applyAlignment="1" applyProtection="1">
      <alignment horizontal="center"/>
      <protection hidden="1"/>
    </xf>
    <xf numFmtId="0" fontId="166" fillId="6" borderId="159" xfId="9" applyFont="1" applyFill="1" applyBorder="1" applyAlignment="1" applyProtection="1">
      <alignment horizontal="center"/>
      <protection hidden="1"/>
    </xf>
    <xf numFmtId="0" fontId="40" fillId="6" borderId="26" xfId="9" applyFont="1" applyFill="1" applyBorder="1" applyAlignment="1" applyProtection="1">
      <alignment horizontal="center" vertical="center"/>
      <protection hidden="1"/>
    </xf>
    <xf numFmtId="0" fontId="40" fillId="6" borderId="21" xfId="9" applyFont="1" applyFill="1" applyBorder="1" applyAlignment="1" applyProtection="1">
      <alignment horizontal="center" vertical="center"/>
      <protection hidden="1"/>
    </xf>
    <xf numFmtId="0" fontId="256" fillId="6" borderId="0" xfId="9" applyFont="1" applyFill="1" applyBorder="1" applyAlignment="1" applyProtection="1">
      <alignment horizontal="left" vertical="center"/>
      <protection hidden="1"/>
    </xf>
    <xf numFmtId="0" fontId="179" fillId="6" borderId="50" xfId="9" applyFont="1" applyFill="1" applyBorder="1" applyAlignment="1" applyProtection="1">
      <alignment horizontal="center"/>
      <protection hidden="1"/>
    </xf>
    <xf numFmtId="0" fontId="40" fillId="6" borderId="125" xfId="20" applyFont="1" applyFill="1" applyBorder="1" applyAlignment="1" applyProtection="1">
      <alignment horizontal="center"/>
      <protection hidden="1"/>
    </xf>
    <xf numFmtId="0" fontId="72" fillId="6" borderId="0" xfId="20" applyFont="1" applyFill="1" applyAlignment="1" applyProtection="1">
      <alignment horizontal="center" vertical="center"/>
      <protection hidden="1"/>
    </xf>
    <xf numFmtId="0" fontId="40" fillId="6" borderId="0" xfId="20" applyFont="1" applyFill="1" applyBorder="1" applyAlignment="1" applyProtection="1">
      <alignment horizontal="center" vertical="center"/>
      <protection hidden="1"/>
    </xf>
    <xf numFmtId="0" fontId="244" fillId="6" borderId="0" xfId="20" applyFont="1" applyFill="1" applyBorder="1" applyAlignment="1" applyProtection="1">
      <alignment horizontal="center" vertical="center"/>
      <protection hidden="1"/>
    </xf>
    <xf numFmtId="0" fontId="244" fillId="6" borderId="39" xfId="20" applyFont="1" applyFill="1" applyBorder="1" applyAlignment="1" applyProtection="1">
      <alignment horizontal="center" vertical="center"/>
      <protection hidden="1"/>
    </xf>
    <xf numFmtId="1" fontId="204" fillId="6" borderId="43" xfId="20" applyNumberFormat="1" applyFont="1" applyFill="1" applyBorder="1" applyAlignment="1" applyProtection="1">
      <alignment horizontal="center" vertical="center"/>
      <protection hidden="1"/>
    </xf>
    <xf numFmtId="1" fontId="204" fillId="6" borderId="47" xfId="20" applyNumberFormat="1" applyFont="1" applyFill="1" applyBorder="1" applyAlignment="1" applyProtection="1">
      <alignment horizontal="center" vertical="center"/>
      <protection hidden="1"/>
    </xf>
    <xf numFmtId="1" fontId="204" fillId="6" borderId="143" xfId="20" applyNumberFormat="1" applyFont="1" applyFill="1" applyBorder="1" applyAlignment="1" applyProtection="1">
      <alignment horizontal="center" vertical="center"/>
      <protection hidden="1"/>
    </xf>
    <xf numFmtId="1" fontId="204" fillId="6" borderId="141" xfId="20" applyNumberFormat="1" applyFont="1" applyFill="1" applyBorder="1" applyAlignment="1" applyProtection="1">
      <alignment horizontal="center" vertical="center"/>
      <protection hidden="1"/>
    </xf>
    <xf numFmtId="0" fontId="253" fillId="6" borderId="0" xfId="20" applyFont="1" applyFill="1" applyAlignment="1" applyProtection="1">
      <alignment horizontal="center" vertical="center"/>
      <protection hidden="1"/>
    </xf>
    <xf numFmtId="0" fontId="253" fillId="6" borderId="31" xfId="20" applyFont="1" applyFill="1" applyBorder="1" applyAlignment="1" applyProtection="1">
      <alignment horizontal="center" vertical="center"/>
      <protection hidden="1"/>
    </xf>
    <xf numFmtId="0" fontId="253" fillId="6" borderId="0" xfId="20" applyFont="1" applyFill="1" applyAlignment="1" applyProtection="1">
      <alignment horizontal="left" vertical="center"/>
      <protection hidden="1"/>
    </xf>
    <xf numFmtId="0" fontId="72" fillId="6" borderId="0" xfId="20" applyFont="1" applyFill="1" applyBorder="1" applyAlignment="1" applyProtection="1">
      <alignment horizontal="left" vertical="center"/>
      <protection hidden="1"/>
    </xf>
    <xf numFmtId="0" fontId="40" fillId="6" borderId="40" xfId="20" applyFont="1" applyFill="1" applyBorder="1" applyAlignment="1" applyProtection="1">
      <alignment horizontal="right" vertical="center"/>
      <protection hidden="1"/>
    </xf>
    <xf numFmtId="0" fontId="73" fillId="6" borderId="40" xfId="20" applyFont="1" applyFill="1" applyBorder="1" applyAlignment="1" applyProtection="1">
      <alignment horizontal="center" vertical="center"/>
      <protection hidden="1"/>
    </xf>
    <xf numFmtId="0" fontId="109" fillId="6" borderId="36" xfId="20" applyFont="1" applyFill="1" applyBorder="1" applyAlignment="1" applyProtection="1">
      <alignment horizontal="center" vertical="center"/>
      <protection hidden="1"/>
    </xf>
    <xf numFmtId="0" fontId="109" fillId="6" borderId="35" xfId="20" applyFont="1" applyFill="1" applyBorder="1" applyAlignment="1" applyProtection="1">
      <alignment horizontal="center" vertical="center"/>
      <protection hidden="1"/>
    </xf>
    <xf numFmtId="0" fontId="109" fillId="6" borderId="34" xfId="20" applyFont="1" applyFill="1" applyBorder="1" applyAlignment="1" applyProtection="1">
      <alignment horizontal="center" vertical="center"/>
      <protection hidden="1"/>
    </xf>
    <xf numFmtId="0" fontId="243" fillId="6" borderId="0" xfId="20" applyFont="1" applyFill="1" applyBorder="1" applyAlignment="1" applyProtection="1">
      <alignment horizontal="center" vertical="center"/>
      <protection hidden="1"/>
    </xf>
    <xf numFmtId="0" fontId="8" fillId="6" borderId="0" xfId="9" applyFill="1" applyProtection="1">
      <protection hidden="1"/>
    </xf>
    <xf numFmtId="0" fontId="72" fillId="6" borderId="0" xfId="20" applyFont="1" applyFill="1" applyAlignment="1" applyProtection="1">
      <alignment horizontal="left" vertical="center"/>
      <protection hidden="1"/>
    </xf>
    <xf numFmtId="0" fontId="110" fillId="6" borderId="0" xfId="20" applyFont="1" applyFill="1" applyAlignment="1" applyProtection="1">
      <alignment horizontal="left" vertical="center"/>
      <protection hidden="1"/>
    </xf>
    <xf numFmtId="0" fontId="254" fillId="0" borderId="0" xfId="20" applyFont="1" applyAlignment="1" applyProtection="1">
      <alignment horizontal="center" vertical="center"/>
      <protection hidden="1"/>
    </xf>
    <xf numFmtId="0" fontId="89" fillId="0" borderId="0" xfId="18" applyFont="1" applyBorder="1" applyAlignment="1" applyProtection="1">
      <alignment horizontal="center" vertical="center" wrapText="1"/>
      <protection hidden="1"/>
    </xf>
    <xf numFmtId="0" fontId="122" fillId="6" borderId="29" xfId="18" applyFont="1" applyFill="1" applyBorder="1" applyAlignment="1" applyProtection="1">
      <alignment horizontal="center" vertical="center"/>
      <protection hidden="1"/>
    </xf>
    <xf numFmtId="0" fontId="191" fillId="6" borderId="33" xfId="20" applyFont="1" applyFill="1" applyBorder="1" applyAlignment="1" applyProtection="1">
      <alignment horizontal="center" vertical="center" wrapText="1"/>
      <protection hidden="1"/>
    </xf>
    <xf numFmtId="0" fontId="191" fillId="6" borderId="140" xfId="20" applyFont="1" applyFill="1" applyBorder="1" applyAlignment="1" applyProtection="1">
      <alignment horizontal="center" vertical="center" wrapText="1"/>
      <protection hidden="1"/>
    </xf>
    <xf numFmtId="0" fontId="234" fillId="6" borderId="33" xfId="18" applyFont="1" applyFill="1" applyBorder="1" applyAlignment="1" applyProtection="1">
      <alignment horizontal="center" vertical="center" wrapText="1"/>
      <protection hidden="1"/>
    </xf>
    <xf numFmtId="0" fontId="234" fillId="6" borderId="140" xfId="18" applyFont="1" applyFill="1" applyBorder="1" applyAlignment="1" applyProtection="1">
      <alignment horizontal="center" vertical="center" wrapText="1"/>
      <protection hidden="1"/>
    </xf>
    <xf numFmtId="0" fontId="234" fillId="6" borderId="29" xfId="18" applyFont="1" applyFill="1" applyBorder="1" applyAlignment="1" applyProtection="1">
      <alignment horizontal="center" vertical="center" wrapText="1"/>
      <protection hidden="1"/>
    </xf>
    <xf numFmtId="0" fontId="121" fillId="6" borderId="0" xfId="20" applyFont="1" applyFill="1" applyBorder="1" applyAlignment="1" applyProtection="1">
      <alignment horizontal="left" vertical="center"/>
      <protection hidden="1"/>
    </xf>
    <xf numFmtId="0" fontId="71" fillId="6" borderId="30" xfId="20" applyFont="1" applyFill="1" applyBorder="1" applyAlignment="1" applyProtection="1">
      <alignment horizontal="center" vertical="center"/>
      <protection hidden="1"/>
    </xf>
    <xf numFmtId="0" fontId="71" fillId="6" borderId="0" xfId="20" applyFont="1" applyFill="1" applyBorder="1" applyAlignment="1" applyProtection="1">
      <alignment horizontal="center" vertical="center"/>
      <protection hidden="1"/>
    </xf>
    <xf numFmtId="0" fontId="248" fillId="6" borderId="0" xfId="20" applyFont="1" applyFill="1" applyBorder="1" applyAlignment="1" applyProtection="1">
      <alignment horizontal="center"/>
      <protection hidden="1"/>
    </xf>
    <xf numFmtId="0" fontId="71" fillId="6" borderId="163" xfId="20" applyFont="1" applyFill="1" applyBorder="1" applyAlignment="1" applyProtection="1">
      <alignment horizontal="center" vertical="center"/>
      <protection hidden="1"/>
    </xf>
    <xf numFmtId="168" fontId="46" fillId="6" borderId="0" xfId="20" applyNumberFormat="1" applyFont="1" applyFill="1" applyBorder="1" applyAlignment="1" applyProtection="1">
      <alignment horizontal="center" vertical="center"/>
      <protection hidden="1"/>
    </xf>
    <xf numFmtId="0" fontId="245" fillId="6" borderId="0" xfId="20" applyFont="1" applyFill="1" applyBorder="1" applyAlignment="1" applyProtection="1">
      <alignment horizontal="center"/>
      <protection hidden="1"/>
    </xf>
    <xf numFmtId="0" fontId="231" fillId="6" borderId="19" xfId="18" applyFont="1" applyFill="1" applyBorder="1" applyAlignment="1" applyProtection="1">
      <alignment horizontal="center" vertical="center"/>
      <protection hidden="1"/>
    </xf>
    <xf numFmtId="0" fontId="231" fillId="6" borderId="27" xfId="18" applyFont="1" applyFill="1" applyBorder="1" applyAlignment="1" applyProtection="1">
      <alignment horizontal="center" vertical="center"/>
      <protection hidden="1"/>
    </xf>
    <xf numFmtId="0" fontId="231" fillId="6" borderId="26" xfId="18" applyFont="1" applyFill="1" applyBorder="1" applyAlignment="1" applyProtection="1">
      <alignment horizontal="center" vertical="center"/>
      <protection hidden="1"/>
    </xf>
    <xf numFmtId="0" fontId="231" fillId="6" borderId="25" xfId="18" applyFont="1" applyFill="1" applyBorder="1" applyAlignment="1" applyProtection="1">
      <alignment horizontal="center" vertical="center"/>
      <protection hidden="1"/>
    </xf>
    <xf numFmtId="1" fontId="186" fillId="6" borderId="0" xfId="9" applyNumberFormat="1" applyFont="1" applyFill="1" applyBorder="1" applyAlignment="1" applyProtection="1">
      <alignment horizontal="center" vertical="center" textRotation="45" wrapText="1"/>
      <protection hidden="1"/>
    </xf>
    <xf numFmtId="0" fontId="231" fillId="6" borderId="21" xfId="18" applyFont="1" applyFill="1" applyBorder="1" applyAlignment="1" applyProtection="1">
      <alignment horizontal="center" vertical="center"/>
      <protection hidden="1"/>
    </xf>
    <xf numFmtId="0" fontId="231" fillId="6" borderId="20" xfId="18" applyFont="1" applyFill="1" applyBorder="1" applyAlignment="1" applyProtection="1">
      <alignment horizontal="center" vertical="center"/>
      <protection hidden="1"/>
    </xf>
    <xf numFmtId="0" fontId="189" fillId="6" borderId="19" xfId="18" applyFont="1" applyFill="1" applyBorder="1" applyAlignment="1" applyProtection="1">
      <alignment horizontal="center" vertical="center"/>
      <protection hidden="1"/>
    </xf>
    <xf numFmtId="1" fontId="51" fillId="6" borderId="26" xfId="9" applyNumberFormat="1" applyFont="1" applyFill="1" applyBorder="1" applyAlignment="1" applyProtection="1">
      <alignment horizontal="center" vertical="center"/>
      <protection hidden="1"/>
    </xf>
    <xf numFmtId="0" fontId="51" fillId="6" borderId="26" xfId="9" applyFont="1" applyFill="1" applyBorder="1" applyAlignment="1" applyProtection="1">
      <alignment horizontal="center" vertical="center"/>
      <protection hidden="1"/>
    </xf>
    <xf numFmtId="0" fontId="51" fillId="6" borderId="25" xfId="9" applyFont="1" applyFill="1" applyBorder="1" applyAlignment="1" applyProtection="1">
      <alignment horizontal="center" vertical="center"/>
      <protection hidden="1"/>
    </xf>
    <xf numFmtId="0" fontId="51" fillId="6" borderId="21" xfId="9" applyFont="1" applyFill="1" applyBorder="1" applyAlignment="1" applyProtection="1">
      <alignment horizontal="center" vertical="center"/>
      <protection hidden="1"/>
    </xf>
    <xf numFmtId="0" fontId="51" fillId="6" borderId="20" xfId="9" applyFont="1" applyFill="1" applyBorder="1" applyAlignment="1" applyProtection="1">
      <alignment horizontal="center" vertical="center"/>
      <protection hidden="1"/>
    </xf>
    <xf numFmtId="0" fontId="72" fillId="6" borderId="0" xfId="5" applyFont="1" applyFill="1" applyAlignment="1" applyProtection="1">
      <alignment horizontal="center" vertical="center"/>
      <protection hidden="1"/>
    </xf>
    <xf numFmtId="0" fontId="40" fillId="6" borderId="144" xfId="20" applyFont="1" applyFill="1" applyBorder="1" applyAlignment="1" applyProtection="1">
      <alignment horizontal="center"/>
      <protection hidden="1"/>
    </xf>
    <xf numFmtId="0" fontId="73" fillId="6" borderId="144" xfId="20" applyFont="1" applyFill="1" applyBorder="1" applyAlignment="1" applyProtection="1">
      <alignment horizontal="center"/>
      <protection hidden="1"/>
    </xf>
    <xf numFmtId="0" fontId="43" fillId="6" borderId="0" xfId="5" applyFont="1" applyFill="1" applyBorder="1" applyAlignment="1" applyProtection="1">
      <alignment horizontal="center" vertical="center"/>
      <protection hidden="1"/>
    </xf>
    <xf numFmtId="0" fontId="42" fillId="6" borderId="47" xfId="18" applyFont="1" applyFill="1" applyBorder="1" applyAlignment="1" applyProtection="1">
      <alignment horizontal="center" vertical="center" wrapText="1"/>
      <protection hidden="1"/>
    </xf>
    <xf numFmtId="0" fontId="42" fillId="6" borderId="141" xfId="18" applyFont="1" applyFill="1" applyBorder="1" applyAlignment="1" applyProtection="1">
      <alignment horizontal="center" vertical="center" wrapText="1"/>
      <protection hidden="1"/>
    </xf>
    <xf numFmtId="0" fontId="72" fillId="6" borderId="0" xfId="5" applyFont="1" applyFill="1" applyBorder="1" applyAlignment="1" applyProtection="1">
      <alignment horizontal="center" vertical="center"/>
      <protection hidden="1"/>
    </xf>
    <xf numFmtId="0" fontId="40" fillId="6" borderId="144" xfId="5" applyFont="1" applyFill="1" applyBorder="1" applyAlignment="1" applyProtection="1">
      <alignment horizontal="right" vertical="center"/>
      <protection hidden="1"/>
    </xf>
    <xf numFmtId="0" fontId="73" fillId="6" borderId="144" xfId="5" applyFont="1" applyFill="1" applyBorder="1" applyAlignment="1" applyProtection="1">
      <alignment horizontal="center" vertical="center"/>
      <protection hidden="1"/>
    </xf>
    <xf numFmtId="0" fontId="42" fillId="6" borderId="33" xfId="18" applyFont="1" applyFill="1" applyBorder="1" applyAlignment="1" applyProtection="1">
      <alignment horizontal="center" vertical="center"/>
      <protection hidden="1"/>
    </xf>
    <xf numFmtId="0" fontId="42" fillId="6" borderId="140" xfId="18" applyFont="1" applyFill="1" applyBorder="1" applyAlignment="1" applyProtection="1">
      <alignment horizontal="center" vertical="center"/>
      <protection hidden="1"/>
    </xf>
    <xf numFmtId="0" fontId="97" fillId="33" borderId="0" xfId="5" applyFont="1" applyFill="1" applyBorder="1" applyAlignment="1" applyProtection="1">
      <alignment horizontal="center" vertical="center"/>
      <protection hidden="1"/>
    </xf>
    <xf numFmtId="0" fontId="97" fillId="33" borderId="39" xfId="5" applyFont="1" applyFill="1" applyBorder="1" applyAlignment="1" applyProtection="1">
      <alignment horizontal="center" vertical="center"/>
      <protection hidden="1"/>
    </xf>
    <xf numFmtId="0" fontId="207" fillId="6" borderId="0" xfId="5" applyFont="1" applyFill="1" applyAlignment="1" applyProtection="1">
      <alignment horizontal="left" vertical="center"/>
      <protection hidden="1"/>
    </xf>
    <xf numFmtId="1" fontId="42" fillId="6" borderId="30" xfId="18" applyNumberFormat="1" applyFont="1" applyFill="1" applyBorder="1" applyAlignment="1" applyProtection="1">
      <alignment horizontal="center"/>
      <protection hidden="1"/>
    </xf>
    <xf numFmtId="0" fontId="145" fillId="6" borderId="28" xfId="26" applyFont="1" applyFill="1" applyBorder="1" applyAlignment="1" applyProtection="1">
      <alignment horizontal="center" vertical="center"/>
      <protection hidden="1"/>
    </xf>
    <xf numFmtId="0" fontId="145" fillId="6" borderId="0" xfId="26" applyFont="1" applyFill="1" applyBorder="1" applyAlignment="1" applyProtection="1">
      <alignment horizontal="center" vertical="center"/>
      <protection hidden="1"/>
    </xf>
    <xf numFmtId="0" fontId="207" fillId="6" borderId="0" xfId="5" applyFont="1" applyFill="1" applyBorder="1" applyAlignment="1" applyProtection="1">
      <alignment horizontal="left" vertical="center"/>
      <protection hidden="1"/>
    </xf>
    <xf numFmtId="0" fontId="207" fillId="6" borderId="0" xfId="9" applyFont="1" applyFill="1" applyBorder="1" applyAlignment="1" applyProtection="1">
      <alignment horizontal="left" vertical="center" wrapText="1"/>
      <protection hidden="1"/>
    </xf>
    <xf numFmtId="0" fontId="210" fillId="6" borderId="0" xfId="18" applyFont="1" applyFill="1" applyBorder="1" applyAlignment="1" applyProtection="1">
      <alignment horizontal="center" vertical="center" wrapText="1"/>
      <protection hidden="1"/>
    </xf>
    <xf numFmtId="0" fontId="42" fillId="6" borderId="43" xfId="18" applyFont="1" applyFill="1" applyBorder="1" applyAlignment="1" applyProtection="1">
      <alignment horizontal="center" vertical="center" wrapText="1"/>
      <protection hidden="1"/>
    </xf>
    <xf numFmtId="0" fontId="42" fillId="6" borderId="28" xfId="18" applyFont="1" applyFill="1" applyBorder="1" applyAlignment="1" applyProtection="1">
      <alignment horizontal="center" vertical="center" wrapText="1"/>
      <protection hidden="1"/>
    </xf>
    <xf numFmtId="0" fontId="42" fillId="6" borderId="143" xfId="18" applyFont="1" applyFill="1" applyBorder="1" applyAlignment="1" applyProtection="1">
      <alignment horizontal="center" vertical="center" wrapText="1"/>
      <protection hidden="1"/>
    </xf>
    <xf numFmtId="0" fontId="42" fillId="6" borderId="142" xfId="18" applyFont="1" applyFill="1" applyBorder="1" applyAlignment="1" applyProtection="1">
      <alignment horizontal="center" vertical="center" wrapText="1"/>
      <protection hidden="1"/>
    </xf>
    <xf numFmtId="0" fontId="207" fillId="6" borderId="0" xfId="5" applyFont="1" applyFill="1" applyAlignment="1" applyProtection="1">
      <alignment horizontal="center"/>
      <protection hidden="1"/>
    </xf>
    <xf numFmtId="0" fontId="207" fillId="6" borderId="0" xfId="5" applyFont="1" applyFill="1" applyBorder="1" applyAlignment="1" applyProtection="1">
      <alignment horizontal="center" vertical="center"/>
      <protection hidden="1"/>
    </xf>
    <xf numFmtId="0" fontId="205" fillId="6" borderId="0" xfId="5" applyFont="1" applyFill="1" applyBorder="1" applyAlignment="1" applyProtection="1">
      <alignment horizontal="left" vertical="center"/>
      <protection hidden="1"/>
    </xf>
    <xf numFmtId="0" fontId="90" fillId="0" borderId="0" xfId="5" applyFont="1" applyBorder="1" applyAlignment="1" applyProtection="1">
      <alignment horizontal="center" vertical="center" wrapText="1"/>
      <protection hidden="1"/>
    </xf>
    <xf numFmtId="0" fontId="89" fillId="6" borderId="29" xfId="18" applyFont="1" applyFill="1" applyBorder="1" applyAlignment="1" applyProtection="1">
      <alignment horizontal="center" vertical="center"/>
      <protection hidden="1"/>
    </xf>
    <xf numFmtId="0" fontId="90" fillId="6" borderId="29" xfId="5" applyFont="1" applyFill="1" applyBorder="1" applyAlignment="1" applyProtection="1">
      <alignment horizontal="center" vertical="center" wrapText="1"/>
      <protection hidden="1"/>
    </xf>
    <xf numFmtId="0" fontId="90" fillId="6" borderId="33" xfId="9" applyFont="1" applyFill="1" applyBorder="1" applyAlignment="1" applyProtection="1">
      <alignment horizontal="center" vertical="center" wrapText="1"/>
      <protection hidden="1"/>
    </xf>
    <xf numFmtId="0" fontId="90" fillId="6" borderId="140" xfId="9" applyFont="1" applyFill="1" applyBorder="1" applyAlignment="1" applyProtection="1">
      <alignment horizontal="center" vertical="center" wrapText="1"/>
      <protection hidden="1"/>
    </xf>
    <xf numFmtId="0" fontId="89" fillId="6" borderId="29" xfId="18" applyFont="1" applyFill="1" applyBorder="1" applyAlignment="1" applyProtection="1">
      <alignment horizontal="center" vertical="center" wrapText="1"/>
      <protection hidden="1"/>
    </xf>
    <xf numFmtId="1" fontId="57" fillId="6" borderId="0" xfId="9" applyNumberFormat="1" applyFont="1" applyFill="1" applyBorder="1" applyAlignment="1" applyProtection="1">
      <alignment horizontal="left" vertical="center"/>
      <protection hidden="1"/>
    </xf>
    <xf numFmtId="0" fontId="57" fillId="6" borderId="0" xfId="9" applyFont="1" applyFill="1" applyBorder="1" applyAlignment="1" applyProtection="1">
      <alignment horizontal="left" vertical="center"/>
      <protection hidden="1"/>
    </xf>
    <xf numFmtId="0" fontId="40" fillId="6" borderId="30" xfId="9" applyFont="1" applyFill="1" applyBorder="1" applyAlignment="1" applyProtection="1">
      <alignment horizontal="center"/>
      <protection hidden="1"/>
    </xf>
    <xf numFmtId="10" fontId="82" fillId="6" borderId="0" xfId="5" applyNumberFormat="1" applyFont="1" applyFill="1" applyBorder="1" applyAlignment="1" applyProtection="1">
      <alignment horizontal="center" vertical="center" wrapText="1"/>
      <protection hidden="1"/>
    </xf>
    <xf numFmtId="10" fontId="82" fillId="6" borderId="137" xfId="5" applyNumberFormat="1" applyFont="1" applyFill="1" applyBorder="1" applyAlignment="1" applyProtection="1">
      <alignment horizontal="center" vertical="center" wrapText="1"/>
      <protection hidden="1"/>
    </xf>
    <xf numFmtId="0" fontId="189" fillId="6" borderId="131" xfId="5" applyFont="1" applyFill="1" applyBorder="1" applyAlignment="1" applyProtection="1">
      <alignment horizontal="right" vertical="center"/>
      <protection hidden="1"/>
    </xf>
    <xf numFmtId="0" fontId="189" fillId="6" borderId="130" xfId="5" applyFont="1" applyFill="1" applyBorder="1" applyAlignment="1" applyProtection="1">
      <alignment horizontal="right" vertical="center"/>
      <protection hidden="1"/>
    </xf>
    <xf numFmtId="0" fontId="189" fillId="6" borderId="139" xfId="5" applyFont="1" applyFill="1" applyBorder="1" applyAlignment="1" applyProtection="1">
      <alignment horizontal="right" vertical="center"/>
      <protection hidden="1"/>
    </xf>
    <xf numFmtId="0" fontId="189" fillId="6" borderId="138" xfId="5" applyFont="1" applyFill="1" applyBorder="1" applyAlignment="1" applyProtection="1">
      <alignment horizontal="right" vertical="center"/>
      <protection hidden="1"/>
    </xf>
    <xf numFmtId="0" fontId="189" fillId="6" borderId="137" xfId="5" applyFont="1" applyFill="1" applyBorder="1" applyAlignment="1" applyProtection="1">
      <alignment horizontal="right" vertical="center"/>
      <protection hidden="1"/>
    </xf>
    <xf numFmtId="0" fontId="189" fillId="6" borderId="136" xfId="5" applyFont="1" applyFill="1" applyBorder="1" applyAlignment="1" applyProtection="1">
      <alignment horizontal="right" vertical="center"/>
      <protection hidden="1"/>
    </xf>
    <xf numFmtId="0" fontId="40" fillId="6" borderId="133" xfId="5" applyFont="1" applyFill="1" applyBorder="1" applyAlignment="1" applyProtection="1">
      <alignment horizontal="center" vertical="center" wrapText="1"/>
      <protection hidden="1"/>
    </xf>
    <xf numFmtId="0" fontId="73" fillId="6" borderId="132" xfId="5" applyFont="1" applyFill="1" applyBorder="1" applyAlignment="1" applyProtection="1">
      <alignment horizontal="center" vertical="center"/>
      <protection hidden="1"/>
    </xf>
    <xf numFmtId="1" fontId="53" fillId="6" borderId="0" xfId="9" applyNumberFormat="1" applyFont="1" applyFill="1" applyBorder="1" applyAlignment="1" applyProtection="1">
      <alignment horizontal="left" vertical="center"/>
      <protection hidden="1"/>
    </xf>
    <xf numFmtId="0" fontId="53" fillId="6" borderId="0" xfId="9" applyFont="1" applyFill="1" applyBorder="1" applyAlignment="1" applyProtection="1">
      <alignment horizontal="left" vertical="center"/>
      <protection hidden="1"/>
    </xf>
    <xf numFmtId="0" fontId="178" fillId="6" borderId="0" xfId="5" applyFont="1" applyFill="1" applyBorder="1" applyAlignment="1" applyProtection="1">
      <alignment horizontal="left" vertical="center"/>
      <protection hidden="1"/>
    </xf>
    <xf numFmtId="0" fontId="49" fillId="6" borderId="133" xfId="5" applyFont="1" applyFill="1" applyBorder="1" applyAlignment="1" applyProtection="1">
      <alignment horizontal="right" vertical="center"/>
      <protection hidden="1"/>
    </xf>
    <xf numFmtId="0" fontId="51" fillId="6" borderId="132" xfId="5" applyFont="1" applyFill="1" applyBorder="1" applyAlignment="1" applyProtection="1">
      <alignment horizontal="center" vertical="center"/>
      <protection hidden="1"/>
    </xf>
    <xf numFmtId="0" fontId="79" fillId="6" borderId="0" xfId="5" applyFont="1" applyFill="1" applyBorder="1" applyAlignment="1" applyProtection="1">
      <alignment vertical="center"/>
      <protection hidden="1"/>
    </xf>
    <xf numFmtId="0" fontId="78" fillId="6" borderId="0" xfId="5" applyFont="1" applyFill="1" applyBorder="1" applyProtection="1">
      <protection hidden="1"/>
    </xf>
    <xf numFmtId="0" fontId="81" fillId="6" borderId="131" xfId="5" applyFont="1" applyFill="1" applyBorder="1" applyAlignment="1" applyProtection="1">
      <alignment horizontal="center" vertical="center"/>
      <protection hidden="1"/>
    </xf>
    <xf numFmtId="0" fontId="81" fillId="6" borderId="130" xfId="5" applyFont="1" applyFill="1" applyBorder="1" applyAlignment="1" applyProtection="1">
      <alignment horizontal="center" vertical="center"/>
      <protection hidden="1"/>
    </xf>
    <xf numFmtId="0" fontId="81" fillId="6" borderId="30" xfId="5" applyFont="1" applyFill="1" applyBorder="1" applyAlignment="1" applyProtection="1">
      <alignment horizontal="center" vertical="center"/>
      <protection hidden="1"/>
    </xf>
    <xf numFmtId="0" fontId="81" fillId="6" borderId="0" xfId="5" applyFont="1" applyFill="1" applyBorder="1" applyAlignment="1" applyProtection="1">
      <alignment horizontal="center" vertical="center"/>
      <protection hidden="1"/>
    </xf>
    <xf numFmtId="0" fontId="192" fillId="6" borderId="30" xfId="17" applyFont="1" applyFill="1" applyBorder="1" applyAlignment="1" applyProtection="1">
      <alignment horizontal="center" vertical="center"/>
      <protection hidden="1"/>
    </xf>
    <xf numFmtId="0" fontId="192" fillId="6" borderId="0" xfId="17" applyFont="1" applyFill="1" applyBorder="1" applyAlignment="1" applyProtection="1">
      <alignment horizontal="center" vertical="center"/>
      <protection hidden="1"/>
    </xf>
    <xf numFmtId="0" fontId="83" fillId="6" borderId="30" xfId="17" applyFont="1" applyFill="1" applyBorder="1" applyAlignment="1" applyProtection="1">
      <alignment horizontal="center" vertical="center" wrapText="1"/>
      <protection hidden="1"/>
    </xf>
    <xf numFmtId="0" fontId="83" fillId="6" borderId="0" xfId="17" applyFont="1" applyFill="1" applyBorder="1" applyAlignment="1" applyProtection="1">
      <alignment horizontal="center" vertical="center" wrapText="1"/>
      <protection hidden="1"/>
    </xf>
    <xf numFmtId="0" fontId="54" fillId="6" borderId="0" xfId="17" applyFont="1" applyFill="1" applyBorder="1" applyAlignment="1" applyProtection="1">
      <alignment horizontal="left" vertical="center" wrapText="1"/>
      <protection hidden="1"/>
    </xf>
    <xf numFmtId="0" fontId="56" fillId="6" borderId="30" xfId="17" applyFont="1" applyFill="1" applyBorder="1" applyAlignment="1" applyProtection="1">
      <alignment horizontal="center" vertical="center" wrapText="1"/>
      <protection hidden="1"/>
    </xf>
    <xf numFmtId="0" fontId="56" fillId="6" borderId="0" xfId="17" applyFont="1" applyFill="1" applyBorder="1" applyAlignment="1" applyProtection="1">
      <alignment horizontal="center" vertical="center" wrapText="1"/>
      <protection hidden="1"/>
    </xf>
    <xf numFmtId="0" fontId="87" fillId="6" borderId="36" xfId="5" applyFont="1" applyFill="1" applyBorder="1" applyAlignment="1" applyProtection="1">
      <alignment horizontal="center" vertical="center"/>
      <protection hidden="1"/>
    </xf>
    <xf numFmtId="0" fontId="87" fillId="6" borderId="34" xfId="5" applyFont="1" applyFill="1" applyBorder="1" applyAlignment="1" applyProtection="1">
      <alignment horizontal="center" vertical="center"/>
      <protection hidden="1"/>
    </xf>
    <xf numFmtId="1" fontId="204" fillId="6" borderId="36" xfId="5" applyNumberFormat="1" applyFont="1" applyFill="1" applyBorder="1" applyAlignment="1" applyProtection="1">
      <alignment horizontal="center" vertical="center"/>
      <protection hidden="1"/>
    </xf>
    <xf numFmtId="0" fontId="204" fillId="6" borderId="34" xfId="5" applyFont="1" applyFill="1" applyBorder="1" applyAlignment="1" applyProtection="1">
      <alignment horizontal="center" vertical="center"/>
      <protection hidden="1"/>
    </xf>
    <xf numFmtId="0" fontId="181" fillId="6" borderId="33" xfId="5" applyFont="1" applyFill="1" applyBorder="1" applyAlignment="1" applyProtection="1">
      <alignment horizontal="center" vertical="center"/>
      <protection hidden="1"/>
    </xf>
    <xf numFmtId="0" fontId="181" fillId="6" borderId="69" xfId="5" applyFont="1" applyFill="1" applyBorder="1" applyAlignment="1" applyProtection="1">
      <alignment horizontal="center" vertical="center"/>
      <protection hidden="1"/>
    </xf>
    <xf numFmtId="1" fontId="270" fillId="6" borderId="33" xfId="5" applyNumberFormat="1" applyFont="1" applyFill="1" applyBorder="1" applyAlignment="1" applyProtection="1">
      <alignment horizontal="center" vertical="center"/>
      <protection hidden="1"/>
    </xf>
    <xf numFmtId="0" fontId="270" fillId="6" borderId="43" xfId="5" applyFont="1" applyFill="1" applyBorder="1" applyAlignment="1" applyProtection="1">
      <alignment horizontal="center" vertical="center"/>
      <protection hidden="1"/>
    </xf>
    <xf numFmtId="0" fontId="270" fillId="6" borderId="69" xfId="5" applyFont="1" applyFill="1" applyBorder="1" applyAlignment="1" applyProtection="1">
      <alignment horizontal="center" vertical="center"/>
      <protection hidden="1"/>
    </xf>
    <xf numFmtId="0" fontId="270" fillId="6" borderId="30" xfId="5" applyFont="1" applyFill="1" applyBorder="1" applyAlignment="1" applyProtection="1">
      <alignment horizontal="center" vertical="center"/>
      <protection hidden="1"/>
    </xf>
    <xf numFmtId="0" fontId="88" fillId="6" borderId="0" xfId="17" applyFont="1" applyFill="1" applyBorder="1" applyAlignment="1" applyProtection="1">
      <alignment horizontal="center" vertical="center" wrapText="1"/>
      <protection hidden="1"/>
    </xf>
    <xf numFmtId="0" fontId="88" fillId="6" borderId="0" xfId="17" applyFont="1" applyFill="1" applyBorder="1" applyAlignment="1" applyProtection="1">
      <alignment horizontal="center" vertical="center"/>
      <protection hidden="1"/>
    </xf>
    <xf numFmtId="0" fontId="204" fillId="6" borderId="36" xfId="5" applyFont="1" applyFill="1" applyBorder="1" applyAlignment="1" applyProtection="1">
      <alignment horizontal="center" vertical="center"/>
      <protection hidden="1"/>
    </xf>
    <xf numFmtId="0" fontId="50" fillId="6" borderId="0" xfId="16" applyFont="1" applyFill="1" applyBorder="1" applyAlignment="1" applyProtection="1">
      <alignment horizontal="center"/>
      <protection hidden="1"/>
    </xf>
    <xf numFmtId="0" fontId="94" fillId="6" borderId="0" xfId="9" applyFont="1" applyFill="1" applyBorder="1" applyAlignment="1" applyProtection="1">
      <alignment horizontal="left" vertical="center"/>
      <protection hidden="1"/>
    </xf>
    <xf numFmtId="0" fontId="97" fillId="6" borderId="0" xfId="9" applyFont="1" applyFill="1" applyBorder="1" applyAlignment="1" applyProtection="1">
      <alignment horizontal="center" vertical="center"/>
      <protection hidden="1"/>
    </xf>
    <xf numFmtId="0" fontId="97" fillId="6" borderId="49" xfId="9" applyFont="1" applyFill="1" applyBorder="1" applyAlignment="1" applyProtection="1">
      <alignment horizontal="center" vertical="center"/>
      <protection hidden="1"/>
    </xf>
    <xf numFmtId="0" fontId="74" fillId="22" borderId="0" xfId="6" applyFont="1" applyFill="1" applyAlignment="1" applyProtection="1">
      <alignment horizontal="center" vertical="center"/>
      <protection hidden="1"/>
    </xf>
    <xf numFmtId="0" fontId="72" fillId="6" borderId="0" xfId="9" applyFont="1" applyFill="1" applyBorder="1" applyAlignment="1" applyProtection="1">
      <alignment horizontal="center" vertical="center"/>
      <protection hidden="1"/>
    </xf>
    <xf numFmtId="0" fontId="40" fillId="6" borderId="37" xfId="9" applyFont="1" applyFill="1" applyBorder="1" applyAlignment="1" applyProtection="1">
      <alignment horizontal="right" vertical="center"/>
      <protection hidden="1"/>
    </xf>
    <xf numFmtId="0" fontId="40" fillId="6" borderId="40" xfId="9" applyFont="1" applyFill="1" applyBorder="1" applyAlignment="1" applyProtection="1">
      <alignment horizontal="right" vertical="center"/>
      <protection hidden="1"/>
    </xf>
    <xf numFmtId="0" fontId="73" fillId="6" borderId="38" xfId="9" applyFont="1" applyFill="1" applyBorder="1" applyAlignment="1" applyProtection="1">
      <alignment horizontal="center" vertical="center"/>
      <protection hidden="1"/>
    </xf>
    <xf numFmtId="0" fontId="73" fillId="6" borderId="48" xfId="9" applyFont="1" applyFill="1" applyBorder="1" applyAlignment="1" applyProtection="1">
      <alignment horizontal="center" vertical="center"/>
      <protection hidden="1"/>
    </xf>
    <xf numFmtId="0" fontId="40" fillId="6" borderId="40" xfId="9" applyFont="1" applyFill="1" applyBorder="1" applyAlignment="1" applyProtection="1">
      <alignment horizontal="center" vertical="center"/>
      <protection hidden="1"/>
    </xf>
    <xf numFmtId="0" fontId="73" fillId="6" borderId="40" xfId="9" applyFont="1" applyFill="1" applyBorder="1" applyAlignment="1" applyProtection="1">
      <alignment horizontal="center" vertical="center"/>
      <protection hidden="1"/>
    </xf>
    <xf numFmtId="1" fontId="45" fillId="6" borderId="0" xfId="18" applyNumberFormat="1" applyFont="1" applyFill="1" applyBorder="1" applyAlignment="1" applyProtection="1">
      <alignment horizontal="center" vertical="center" wrapText="1"/>
      <protection hidden="1"/>
    </xf>
    <xf numFmtId="0" fontId="42" fillId="6" borderId="28" xfId="18" applyFont="1" applyFill="1" applyBorder="1" applyAlignment="1" applyProtection="1">
      <alignment horizontal="center" vertical="center"/>
      <protection hidden="1"/>
    </xf>
    <xf numFmtId="0" fontId="91" fillId="6" borderId="0" xfId="9" applyFont="1" applyFill="1" applyAlignment="1" applyProtection="1">
      <alignment horizontal="left" vertical="center"/>
      <protection hidden="1"/>
    </xf>
    <xf numFmtId="0" fontId="91" fillId="6" borderId="0" xfId="9" applyFont="1" applyFill="1" applyAlignment="1" applyProtection="1">
      <alignment horizontal="center"/>
      <protection hidden="1"/>
    </xf>
    <xf numFmtId="0" fontId="69" fillId="22" borderId="0" xfId="6" applyFont="1" applyFill="1" applyAlignment="1" applyProtection="1">
      <alignment horizontal="center" vertical="center"/>
      <protection hidden="1"/>
    </xf>
    <xf numFmtId="0" fontId="68" fillId="22" borderId="0" xfId="6" applyFont="1" applyFill="1" applyAlignment="1" applyProtection="1">
      <alignment horizontal="center" vertical="center"/>
      <protection hidden="1"/>
    </xf>
    <xf numFmtId="0" fontId="91" fillId="6" borderId="0" xfId="9" applyFont="1" applyFill="1" applyBorder="1" applyAlignment="1" applyProtection="1">
      <alignment horizontal="left" vertical="center"/>
      <protection hidden="1"/>
    </xf>
    <xf numFmtId="0" fontId="60" fillId="6" borderId="0" xfId="18" applyFont="1" applyFill="1" applyBorder="1" applyAlignment="1" applyProtection="1">
      <alignment horizontal="center" vertical="center" wrapText="1"/>
      <protection hidden="1"/>
    </xf>
    <xf numFmtId="0" fontId="90" fillId="6" borderId="29" xfId="9" applyFont="1" applyFill="1" applyBorder="1" applyAlignment="1" applyProtection="1">
      <alignment horizontal="center" vertical="center" wrapText="1"/>
      <protection hidden="1"/>
    </xf>
    <xf numFmtId="0" fontId="84" fillId="6" borderId="36" xfId="17" applyFont="1" applyFill="1" applyBorder="1" applyAlignment="1" applyProtection="1">
      <alignment horizontal="center" vertical="center"/>
      <protection hidden="1"/>
    </xf>
    <xf numFmtId="0" fontId="84" fillId="6" borderId="35" xfId="17" applyFont="1" applyFill="1" applyBorder="1" applyAlignment="1" applyProtection="1">
      <alignment horizontal="center" vertical="center"/>
      <protection hidden="1"/>
    </xf>
    <xf numFmtId="0" fontId="84" fillId="6" borderId="34" xfId="17" applyFont="1" applyFill="1" applyBorder="1" applyAlignment="1" applyProtection="1">
      <alignment horizontal="center" vertical="center"/>
      <protection hidden="1"/>
    </xf>
    <xf numFmtId="0" fontId="88" fillId="6" borderId="36" xfId="17" applyFont="1" applyFill="1" applyBorder="1" applyAlignment="1" applyProtection="1">
      <alignment horizontal="center" vertical="center" wrapText="1"/>
      <protection hidden="1"/>
    </xf>
    <xf numFmtId="0" fontId="88" fillId="6" borderId="35" xfId="17" applyFont="1" applyFill="1" applyBorder="1" applyAlignment="1" applyProtection="1">
      <alignment horizontal="center" vertical="center"/>
      <protection hidden="1"/>
    </xf>
    <xf numFmtId="0" fontId="88" fillId="6" borderId="35" xfId="17" applyFont="1" applyFill="1" applyBorder="1" applyAlignment="1" applyProtection="1">
      <alignment horizontal="center" vertical="center" wrapText="1"/>
      <protection hidden="1"/>
    </xf>
    <xf numFmtId="0" fontId="88" fillId="6" borderId="34" xfId="17" applyFont="1" applyFill="1" applyBorder="1" applyAlignment="1" applyProtection="1">
      <alignment horizontal="center" vertical="center" wrapText="1"/>
      <protection hidden="1"/>
    </xf>
    <xf numFmtId="0" fontId="87" fillId="6" borderId="36" xfId="9" applyFont="1" applyFill="1" applyBorder="1" applyAlignment="1" applyProtection="1">
      <alignment horizontal="center" vertical="center"/>
      <protection hidden="1"/>
    </xf>
    <xf numFmtId="0" fontId="87" fillId="6" borderId="34" xfId="9" applyFont="1" applyFill="1" applyBorder="1" applyAlignment="1" applyProtection="1">
      <alignment horizontal="center" vertical="center"/>
      <protection hidden="1"/>
    </xf>
    <xf numFmtId="0" fontId="71" fillId="6" borderId="29" xfId="9" applyFont="1" applyFill="1" applyBorder="1" applyAlignment="1" applyProtection="1">
      <alignment horizontal="center" vertical="center"/>
      <protection hidden="1"/>
    </xf>
    <xf numFmtId="1" fontId="71" fillId="6" borderId="29" xfId="9" applyNumberFormat="1" applyFont="1" applyFill="1" applyBorder="1" applyAlignment="1" applyProtection="1">
      <alignment horizontal="center" vertical="center"/>
      <protection hidden="1"/>
    </xf>
    <xf numFmtId="0" fontId="86" fillId="6" borderId="29" xfId="9" applyFont="1" applyFill="1" applyBorder="1" applyAlignment="1" applyProtection="1">
      <alignment horizontal="center"/>
      <protection hidden="1"/>
    </xf>
    <xf numFmtId="1" fontId="85" fillId="6" borderId="29" xfId="9" applyNumberFormat="1" applyFont="1" applyFill="1" applyBorder="1" applyAlignment="1" applyProtection="1">
      <alignment horizontal="center"/>
      <protection hidden="1"/>
    </xf>
    <xf numFmtId="0" fontId="85" fillId="6" borderId="29" xfId="9" applyFont="1" applyFill="1" applyBorder="1" applyAlignment="1" applyProtection="1">
      <alignment horizontal="center"/>
      <protection hidden="1"/>
    </xf>
    <xf numFmtId="10" fontId="51" fillId="6" borderId="0" xfId="9" applyNumberFormat="1" applyFont="1" applyFill="1" applyBorder="1" applyAlignment="1" applyProtection="1">
      <alignment horizontal="center" vertical="center" wrapText="1"/>
      <protection hidden="1"/>
    </xf>
    <xf numFmtId="0" fontId="81" fillId="6" borderId="30" xfId="9" applyFont="1" applyFill="1" applyBorder="1" applyAlignment="1" applyProtection="1">
      <alignment horizontal="center" vertical="center"/>
      <protection hidden="1"/>
    </xf>
    <xf numFmtId="0" fontId="81" fillId="6" borderId="0" xfId="9" applyFont="1" applyFill="1" applyBorder="1" applyAlignment="1" applyProtection="1">
      <alignment horizontal="center" vertical="center"/>
      <protection hidden="1"/>
    </xf>
    <xf numFmtId="0" fontId="38" fillId="6" borderId="0" xfId="9" applyFont="1" applyFill="1" applyBorder="1" applyAlignment="1" applyProtection="1">
      <alignment horizontal="left" vertical="center"/>
      <protection hidden="1"/>
    </xf>
    <xf numFmtId="0" fontId="79" fillId="6" borderId="0" xfId="9" applyFont="1" applyFill="1" applyBorder="1" applyAlignment="1" applyProtection="1">
      <alignment vertical="center"/>
      <protection hidden="1"/>
    </xf>
    <xf numFmtId="0" fontId="78" fillId="6" borderId="0" xfId="9" applyFont="1" applyFill="1" applyBorder="1" applyProtection="1">
      <protection hidden="1"/>
    </xf>
    <xf numFmtId="0" fontId="58" fillId="6" borderId="30" xfId="17" applyFont="1" applyFill="1" applyBorder="1" applyAlignment="1" applyProtection="1">
      <alignment horizontal="center" vertical="center" wrapText="1"/>
      <protection hidden="1"/>
    </xf>
    <xf numFmtId="0" fontId="58" fillId="6" borderId="0" xfId="17" applyFont="1" applyFill="1" applyBorder="1" applyAlignment="1" applyProtection="1">
      <alignment horizontal="center" vertical="center" wrapText="1"/>
      <protection hidden="1"/>
    </xf>
    <xf numFmtId="0" fontId="43" fillId="30" borderId="42" xfId="9" applyFont="1" applyFill="1" applyBorder="1" applyAlignment="1" applyProtection="1">
      <alignment horizontal="center" vertical="center"/>
      <protection hidden="1"/>
    </xf>
    <xf numFmtId="0" fontId="75" fillId="23" borderId="0" xfId="9" applyFont="1" applyFill="1" applyBorder="1" applyAlignment="1" applyProtection="1">
      <alignment horizontal="center" vertical="center"/>
      <protection hidden="1"/>
    </xf>
    <xf numFmtId="0" fontId="75" fillId="23" borderId="39" xfId="9" applyFont="1" applyFill="1" applyBorder="1" applyAlignment="1" applyProtection="1">
      <alignment horizontal="center" vertical="center"/>
      <protection hidden="1"/>
    </xf>
    <xf numFmtId="0" fontId="40" fillId="6" borderId="40" xfId="9" applyFont="1" applyFill="1" applyBorder="1" applyAlignment="1" applyProtection="1">
      <alignment horizontal="center"/>
      <protection hidden="1"/>
    </xf>
    <xf numFmtId="0" fontId="73" fillId="6" borderId="40" xfId="9" applyFont="1" applyFill="1" applyBorder="1" applyAlignment="1" applyProtection="1">
      <alignment horizontal="center"/>
      <protection hidden="1"/>
    </xf>
    <xf numFmtId="0" fontId="70" fillId="6" borderId="0" xfId="9" applyFont="1" applyFill="1" applyBorder="1" applyAlignment="1" applyProtection="1">
      <alignment horizontal="center" vertical="center"/>
      <protection hidden="1"/>
    </xf>
    <xf numFmtId="0" fontId="70" fillId="0" borderId="0" xfId="9" applyFont="1" applyBorder="1" applyAlignment="1" applyProtection="1">
      <alignment horizontal="right" vertical="center"/>
      <protection hidden="1"/>
    </xf>
    <xf numFmtId="0" fontId="123" fillId="0" borderId="0" xfId="9" applyFont="1" applyBorder="1" applyAlignment="1" applyProtection="1">
      <alignment horizontal="center" vertical="center"/>
      <protection hidden="1"/>
    </xf>
    <xf numFmtId="0" fontId="42" fillId="6" borderId="36" xfId="18" applyFont="1" applyFill="1" applyBorder="1" applyAlignment="1" applyProtection="1">
      <alignment horizontal="center" vertical="center"/>
      <protection hidden="1"/>
    </xf>
    <xf numFmtId="0" fontId="42" fillId="6" borderId="35" xfId="18" applyFont="1" applyFill="1" applyBorder="1" applyAlignment="1" applyProtection="1">
      <alignment horizontal="center" vertical="center"/>
      <protection hidden="1"/>
    </xf>
    <xf numFmtId="0" fontId="42" fillId="6" borderId="34" xfId="18" applyFont="1" applyFill="1" applyBorder="1" applyAlignment="1" applyProtection="1">
      <alignment horizontal="center" vertical="center"/>
      <protection hidden="1"/>
    </xf>
    <xf numFmtId="0" fontId="42" fillId="6" borderId="36" xfId="18" applyFont="1" applyFill="1" applyBorder="1" applyAlignment="1" applyProtection="1">
      <alignment horizontal="center" vertical="center" wrapText="1"/>
      <protection hidden="1"/>
    </xf>
    <xf numFmtId="0" fontId="42" fillId="6" borderId="35" xfId="18" applyFont="1" applyFill="1" applyBorder="1" applyAlignment="1" applyProtection="1">
      <alignment horizontal="center" vertical="center" wrapText="1"/>
      <protection hidden="1"/>
    </xf>
    <xf numFmtId="0" fontId="42" fillId="6" borderId="34" xfId="18" applyFont="1" applyFill="1" applyBorder="1" applyAlignment="1" applyProtection="1">
      <alignment horizontal="center" vertical="center" wrapText="1"/>
      <protection hidden="1"/>
    </xf>
    <xf numFmtId="0" fontId="70" fillId="6" borderId="0" xfId="9" applyFont="1" applyFill="1" applyBorder="1" applyAlignment="1" applyProtection="1">
      <alignment horizontal="left" vertical="center"/>
      <protection hidden="1"/>
    </xf>
    <xf numFmtId="0" fontId="227" fillId="6" borderId="0" xfId="18" applyFont="1" applyFill="1" applyBorder="1" applyAlignment="1" applyProtection="1">
      <alignment horizontal="center" vertical="center" wrapText="1"/>
      <protection hidden="1"/>
    </xf>
    <xf numFmtId="0" fontId="42" fillId="6" borderId="0" xfId="18" applyFont="1" applyFill="1" applyBorder="1" applyAlignment="1" applyProtection="1">
      <alignment horizontal="left" vertical="center" wrapText="1"/>
      <protection hidden="1"/>
    </xf>
    <xf numFmtId="0" fontId="43" fillId="6" borderId="0" xfId="9" applyFont="1" applyFill="1" applyBorder="1" applyAlignment="1" applyProtection="1">
      <alignment horizontal="left" vertical="center" wrapText="1"/>
      <protection hidden="1"/>
    </xf>
    <xf numFmtId="0" fontId="43" fillId="6" borderId="0" xfId="9" applyFont="1" applyFill="1" applyBorder="1" applyAlignment="1" applyProtection="1">
      <alignment horizontal="right" vertical="top" wrapText="1"/>
      <protection hidden="1"/>
    </xf>
    <xf numFmtId="0" fontId="225" fillId="6" borderId="0" xfId="18" applyFont="1" applyFill="1" applyBorder="1" applyAlignment="1" applyProtection="1">
      <alignment horizontal="left" vertical="center" wrapText="1"/>
      <protection hidden="1"/>
    </xf>
    <xf numFmtId="0" fontId="67" fillId="6" borderId="0" xfId="18" applyFont="1" applyFill="1" applyBorder="1" applyAlignment="1" applyProtection="1">
      <alignment horizontal="center" vertical="center"/>
      <protection hidden="1"/>
    </xf>
    <xf numFmtId="0" fontId="43" fillId="6" borderId="0" xfId="9" applyFont="1" applyFill="1" applyBorder="1" applyAlignment="1" applyProtection="1">
      <alignment horizontal="left" vertical="center"/>
      <protection hidden="1"/>
    </xf>
    <xf numFmtId="0" fontId="45" fillId="6" borderId="0" xfId="18" applyFont="1" applyFill="1" applyBorder="1" applyAlignment="1" applyProtection="1">
      <alignment horizontal="left" vertical="center"/>
      <protection hidden="1"/>
    </xf>
    <xf numFmtId="0" fontId="39" fillId="6" borderId="0" xfId="18" applyFont="1" applyFill="1" applyBorder="1" applyAlignment="1" applyProtection="1">
      <alignment horizontal="center" vertical="center" wrapText="1"/>
      <protection hidden="1"/>
    </xf>
    <xf numFmtId="0" fontId="90" fillId="25" borderId="33" xfId="9" applyFont="1" applyFill="1" applyBorder="1" applyAlignment="1" applyProtection="1">
      <alignment horizontal="center" vertical="center" wrapText="1"/>
      <protection hidden="1"/>
    </xf>
    <xf numFmtId="0" fontId="90" fillId="25" borderId="140" xfId="9" applyFont="1" applyFill="1" applyBorder="1" applyAlignment="1" applyProtection="1">
      <alignment horizontal="center" vertical="center" wrapText="1"/>
      <protection hidden="1"/>
    </xf>
    <xf numFmtId="0" fontId="224" fillId="25" borderId="29" xfId="18" applyFont="1" applyFill="1" applyBorder="1" applyAlignment="1" applyProtection="1">
      <alignment horizontal="center" vertical="center" wrapText="1"/>
      <protection hidden="1"/>
    </xf>
    <xf numFmtId="0" fontId="52" fillId="6" borderId="30" xfId="9" applyFont="1" applyFill="1" applyBorder="1" applyAlignment="1" applyProtection="1">
      <alignment horizontal="center" vertical="center" wrapText="1"/>
      <protection hidden="1"/>
    </xf>
    <xf numFmtId="0" fontId="52" fillId="6" borderId="0" xfId="9" applyFont="1" applyFill="1" applyBorder="1" applyAlignment="1" applyProtection="1">
      <alignment horizontal="center" vertical="center" wrapText="1"/>
      <protection hidden="1"/>
    </xf>
    <xf numFmtId="10" fontId="51" fillId="6" borderId="30" xfId="9" applyNumberFormat="1" applyFont="1" applyFill="1" applyBorder="1" applyAlignment="1" applyProtection="1">
      <alignment horizontal="center" vertical="center" wrapText="1"/>
      <protection hidden="1"/>
    </xf>
    <xf numFmtId="10" fontId="51" fillId="6" borderId="0" xfId="9" applyNumberFormat="1" applyFont="1" applyFill="1" applyAlignment="1" applyProtection="1">
      <alignment horizontal="center" vertical="center" wrapText="1"/>
      <protection hidden="1"/>
    </xf>
    <xf numFmtId="0" fontId="46" fillId="6" borderId="30" xfId="9" applyFont="1" applyFill="1" applyBorder="1" applyAlignment="1" applyProtection="1">
      <alignment horizontal="center" vertical="center"/>
      <protection hidden="1"/>
    </xf>
    <xf numFmtId="0" fontId="46" fillId="6" borderId="0" xfId="9" applyFont="1" applyFill="1" applyBorder="1" applyAlignment="1" applyProtection="1">
      <alignment horizontal="center" vertical="center"/>
      <protection hidden="1"/>
    </xf>
    <xf numFmtId="0" fontId="47" fillId="6" borderId="19" xfId="18" applyFont="1" applyFill="1" applyBorder="1" applyAlignment="1" applyProtection="1">
      <alignment horizontal="center" vertical="center"/>
      <protection hidden="1"/>
    </xf>
    <xf numFmtId="0" fontId="47" fillId="6" borderId="18" xfId="18" applyFont="1" applyFill="1" applyBorder="1" applyAlignment="1" applyProtection="1">
      <alignment horizontal="center" vertical="center"/>
      <protection hidden="1"/>
    </xf>
    <xf numFmtId="0" fontId="47" fillId="6" borderId="17" xfId="18" applyFont="1" applyFill="1" applyBorder="1" applyAlignment="1" applyProtection="1">
      <alignment horizontal="center" vertical="center"/>
      <protection hidden="1"/>
    </xf>
    <xf numFmtId="1" fontId="41" fillId="6" borderId="0" xfId="9" applyNumberFormat="1" applyFont="1" applyFill="1" applyBorder="1" applyAlignment="1" applyProtection="1">
      <alignment horizontal="center" vertical="center" textRotation="45" wrapText="1"/>
      <protection hidden="1"/>
    </xf>
    <xf numFmtId="0" fontId="44" fillId="6" borderId="19" xfId="18" applyFont="1" applyFill="1" applyBorder="1" applyAlignment="1" applyProtection="1">
      <alignment horizontal="center" vertical="center"/>
      <protection hidden="1"/>
    </xf>
    <xf numFmtId="0" fontId="46" fillId="6" borderId="18" xfId="9" applyFont="1" applyFill="1" applyBorder="1" applyAlignment="1" applyProtection="1">
      <alignment horizontal="left" vertical="center"/>
      <protection hidden="1"/>
    </xf>
    <xf numFmtId="0" fontId="46" fillId="6" borderId="17" xfId="9" applyFont="1" applyFill="1" applyBorder="1" applyAlignment="1" applyProtection="1">
      <alignment horizontal="left" vertical="center"/>
      <protection hidden="1"/>
    </xf>
    <xf numFmtId="0" fontId="38" fillId="6" borderId="0" xfId="18" applyFont="1" applyFill="1" applyBorder="1" applyAlignment="1" applyProtection="1">
      <alignment horizontal="left" vertical="center"/>
      <protection hidden="1"/>
    </xf>
    <xf numFmtId="0" fontId="38" fillId="6" borderId="0" xfId="9" applyFont="1" applyFill="1" applyBorder="1" applyProtection="1">
      <protection hidden="1"/>
    </xf>
    <xf numFmtId="0" fontId="70" fillId="0" borderId="0" xfId="9" applyFont="1" applyBorder="1" applyAlignment="1" applyProtection="1">
      <alignment horizontal="center" vertical="center"/>
      <protection hidden="1"/>
    </xf>
    <xf numFmtId="0" fontId="76" fillId="31" borderId="0" xfId="9" applyFont="1" applyFill="1" applyBorder="1" applyAlignment="1" applyProtection="1">
      <alignment horizontal="center" vertical="center"/>
      <protection hidden="1"/>
    </xf>
    <xf numFmtId="0" fontId="76" fillId="31" borderId="39" xfId="9" applyFont="1" applyFill="1" applyBorder="1" applyAlignment="1" applyProtection="1">
      <alignment horizontal="center" vertical="center"/>
      <protection hidden="1"/>
    </xf>
    <xf numFmtId="0" fontId="223" fillId="6" borderId="36" xfId="18" applyFont="1" applyFill="1" applyBorder="1" applyAlignment="1" applyProtection="1">
      <alignment horizontal="center" vertical="center" wrapText="1"/>
      <protection hidden="1"/>
    </xf>
    <xf numFmtId="0" fontId="224" fillId="6" borderId="29" xfId="18" applyFont="1" applyFill="1" applyBorder="1" applyAlignment="1" applyProtection="1">
      <alignment horizontal="center" vertical="center" wrapText="1"/>
      <protection hidden="1"/>
    </xf>
    <xf numFmtId="0" fontId="77" fillId="6" borderId="0" xfId="9" applyFont="1" applyFill="1" applyBorder="1" applyProtection="1">
      <protection hidden="1"/>
    </xf>
    <xf numFmtId="0" fontId="47" fillId="6" borderId="27" xfId="18" applyFont="1" applyFill="1" applyBorder="1" applyAlignment="1" applyProtection="1">
      <alignment horizontal="center" vertical="center"/>
      <protection hidden="1"/>
    </xf>
    <xf numFmtId="0" fontId="47" fillId="6" borderId="26" xfId="18" applyFont="1" applyFill="1" applyBorder="1" applyAlignment="1" applyProtection="1">
      <alignment horizontal="center" vertical="center"/>
      <protection hidden="1"/>
    </xf>
    <xf numFmtId="0" fontId="47" fillId="6" borderId="25" xfId="18" applyFont="1" applyFill="1" applyBorder="1" applyAlignment="1" applyProtection="1">
      <alignment horizontal="center" vertical="center"/>
      <protection hidden="1"/>
    </xf>
    <xf numFmtId="0" fontId="47" fillId="6" borderId="24" xfId="18" applyFont="1" applyFill="1" applyBorder="1" applyAlignment="1" applyProtection="1">
      <alignment horizontal="center" vertical="center"/>
      <protection hidden="1"/>
    </xf>
    <xf numFmtId="0" fontId="47" fillId="6" borderId="0" xfId="18" applyFont="1" applyFill="1" applyBorder="1" applyAlignment="1" applyProtection="1">
      <alignment horizontal="center" vertical="center"/>
      <protection hidden="1"/>
    </xf>
    <xf numFmtId="0" fontId="47" fillId="6" borderId="23" xfId="18" applyFont="1" applyFill="1" applyBorder="1" applyAlignment="1" applyProtection="1">
      <alignment horizontal="center" vertical="center"/>
      <protection hidden="1"/>
    </xf>
    <xf numFmtId="0" fontId="44" fillId="0" borderId="19" xfId="18" applyFont="1" applyBorder="1" applyAlignment="1" applyProtection="1">
      <alignment horizontal="center" vertical="center"/>
      <protection hidden="1"/>
    </xf>
    <xf numFmtId="0" fontId="222" fillId="6" borderId="26" xfId="18" applyFont="1" applyFill="1" applyBorder="1" applyAlignment="1" applyProtection="1">
      <alignment horizontal="left" vertical="center"/>
      <protection hidden="1"/>
    </xf>
    <xf numFmtId="0" fontId="222" fillId="6" borderId="25" xfId="18" applyFont="1" applyFill="1" applyBorder="1" applyAlignment="1" applyProtection="1">
      <alignment horizontal="left" vertical="center"/>
      <protection hidden="1"/>
    </xf>
    <xf numFmtId="0" fontId="222" fillId="6" borderId="21" xfId="18" applyFont="1" applyFill="1" applyBorder="1" applyAlignment="1" applyProtection="1">
      <alignment horizontal="left" vertical="center"/>
      <protection hidden="1"/>
    </xf>
    <xf numFmtId="0" fontId="222" fillId="6" borderId="20" xfId="18" applyFont="1" applyFill="1" applyBorder="1" applyAlignment="1" applyProtection="1">
      <alignment horizontal="left" vertical="center"/>
      <protection hidden="1"/>
    </xf>
    <xf numFmtId="14" fontId="98" fillId="0" borderId="0" xfId="9" applyNumberFormat="1" applyFont="1" applyBorder="1" applyAlignment="1" applyProtection="1">
      <alignment horizontal="right" vertical="center"/>
      <protection hidden="1"/>
    </xf>
    <xf numFmtId="0" fontId="89" fillId="6" borderId="30" xfId="18" applyFont="1" applyFill="1" applyBorder="1" applyAlignment="1" applyProtection="1">
      <alignment horizontal="center" vertical="center" wrapText="1"/>
      <protection hidden="1"/>
    </xf>
    <xf numFmtId="0" fontId="12" fillId="0" borderId="0" xfId="9" applyFont="1" applyFill="1" applyBorder="1" applyAlignment="1" applyProtection="1">
      <alignment horizontal="center" wrapText="1"/>
      <protection hidden="1"/>
    </xf>
    <xf numFmtId="0" fontId="183" fillId="0" borderId="0" xfId="20" applyFont="1" applyAlignment="1" applyProtection="1">
      <alignment horizontal="left" vertical="center" wrapText="1"/>
      <protection hidden="1"/>
    </xf>
    <xf numFmtId="0" fontId="173" fillId="6" borderId="107" xfId="20" applyFont="1" applyFill="1" applyBorder="1" applyAlignment="1" applyProtection="1">
      <alignment horizontal="center" vertical="center"/>
      <protection hidden="1"/>
    </xf>
    <xf numFmtId="0" fontId="173" fillId="6" borderId="106" xfId="20" applyFont="1" applyFill="1" applyBorder="1" applyAlignment="1" applyProtection="1">
      <alignment horizontal="center" vertical="center"/>
      <protection hidden="1"/>
    </xf>
    <xf numFmtId="0" fontId="173" fillId="6" borderId="105" xfId="20" applyFont="1" applyFill="1" applyBorder="1" applyAlignment="1" applyProtection="1">
      <alignment horizontal="center" vertical="center"/>
      <protection hidden="1"/>
    </xf>
    <xf numFmtId="0" fontId="180" fillId="6" borderId="0" xfId="20" applyFont="1" applyFill="1" applyBorder="1" applyAlignment="1" applyProtection="1">
      <alignment horizontal="center" wrapText="1"/>
      <protection hidden="1"/>
    </xf>
    <xf numFmtId="0" fontId="98" fillId="0" borderId="0" xfId="9" applyFont="1" applyBorder="1" applyAlignment="1" applyProtection="1">
      <alignment horizontal="center" vertical="center"/>
      <protection hidden="1"/>
    </xf>
    <xf numFmtId="0" fontId="98" fillId="6" borderId="72" xfId="9" applyFont="1" applyFill="1" applyBorder="1" applyAlignment="1" applyProtection="1">
      <alignment horizontal="center" vertical="center"/>
      <protection hidden="1"/>
    </xf>
    <xf numFmtId="0" fontId="173" fillId="6" borderId="0" xfId="20" applyFont="1" applyFill="1" applyBorder="1" applyAlignment="1" applyProtection="1">
      <alignment horizontal="center" vertical="center"/>
      <protection hidden="1"/>
    </xf>
    <xf numFmtId="0" fontId="163" fillId="6" borderId="75" xfId="9" applyFont="1" applyFill="1" applyBorder="1" applyAlignment="1" applyProtection="1">
      <alignment horizontal="center" vertical="center"/>
      <protection hidden="1"/>
    </xf>
    <xf numFmtId="0" fontId="163" fillId="6" borderId="72" xfId="9" applyFont="1" applyFill="1" applyBorder="1" applyAlignment="1" applyProtection="1">
      <alignment horizontal="center" vertical="center"/>
      <protection hidden="1"/>
    </xf>
    <xf numFmtId="0" fontId="104" fillId="6" borderId="0" xfId="9" applyFont="1" applyFill="1" applyBorder="1" applyAlignment="1" applyProtection="1">
      <alignment horizontal="left" vertical="center"/>
      <protection hidden="1"/>
    </xf>
    <xf numFmtId="0" fontId="119" fillId="0" borderId="0" xfId="9" applyFont="1" applyBorder="1" applyAlignment="1" applyProtection="1">
      <alignment horizontal="center" vertical="center" wrapText="1"/>
      <protection hidden="1"/>
    </xf>
    <xf numFmtId="0" fontId="131" fillId="6" borderId="103" xfId="20" applyFont="1" applyFill="1" applyBorder="1" applyAlignment="1" applyProtection="1">
      <alignment horizontal="center" wrapText="1"/>
      <protection hidden="1"/>
    </xf>
    <xf numFmtId="0" fontId="131" fillId="6" borderId="102" xfId="20" applyFont="1" applyFill="1" applyBorder="1" applyAlignment="1" applyProtection="1">
      <alignment horizontal="center" wrapText="1"/>
      <protection hidden="1"/>
    </xf>
    <xf numFmtId="0" fontId="109" fillId="6" borderId="98" xfId="18" applyFont="1" applyFill="1" applyBorder="1" applyAlignment="1" applyProtection="1">
      <alignment horizontal="center" vertical="center" wrapText="1"/>
      <protection hidden="1"/>
    </xf>
    <xf numFmtId="0" fontId="109" fillId="6" borderId="95" xfId="18" applyFont="1" applyFill="1" applyBorder="1" applyAlignment="1" applyProtection="1">
      <alignment horizontal="center" vertical="center" wrapText="1"/>
      <protection hidden="1"/>
    </xf>
    <xf numFmtId="1" fontId="124" fillId="6" borderId="98" xfId="7" applyNumberFormat="1" applyFont="1" applyFill="1" applyBorder="1" applyAlignment="1" applyProtection="1">
      <alignment horizontal="center" vertical="center"/>
      <protection hidden="1"/>
    </xf>
    <xf numFmtId="1" fontId="124" fillId="6" borderId="95" xfId="7" applyNumberFormat="1" applyFont="1" applyFill="1" applyBorder="1" applyAlignment="1" applyProtection="1">
      <alignment horizontal="center" vertical="center"/>
      <protection hidden="1"/>
    </xf>
    <xf numFmtId="0" fontId="89" fillId="6" borderId="33" xfId="18" applyFont="1" applyFill="1" applyBorder="1" applyAlignment="1" applyProtection="1">
      <alignment horizontal="center" vertical="center" wrapText="1"/>
      <protection hidden="1"/>
    </xf>
    <xf numFmtId="0" fontId="1" fillId="6" borderId="32" xfId="20" applyFill="1" applyBorder="1" applyProtection="1">
      <protection hidden="1"/>
    </xf>
    <xf numFmtId="0" fontId="89" fillId="6" borderId="0" xfId="18" applyFont="1" applyFill="1" applyBorder="1" applyAlignment="1" applyProtection="1">
      <alignment horizontal="center" vertical="center" wrapText="1"/>
      <protection hidden="1"/>
    </xf>
    <xf numFmtId="0" fontId="119" fillId="0" borderId="0" xfId="9" applyFont="1" applyFill="1" applyBorder="1" applyAlignment="1" applyProtection="1">
      <alignment horizontal="center" vertical="center"/>
      <protection hidden="1"/>
    </xf>
    <xf numFmtId="0" fontId="36" fillId="0" borderId="108" xfId="20" applyFont="1" applyBorder="1" applyAlignment="1" applyProtection="1">
      <alignment horizontal="center"/>
      <protection hidden="1"/>
    </xf>
    <xf numFmtId="0" fontId="102" fillId="0" borderId="0" xfId="20" applyFont="1" applyAlignment="1" applyProtection="1">
      <alignment horizontal="center" vertical="center"/>
      <protection hidden="1"/>
    </xf>
    <xf numFmtId="0" fontId="36" fillId="0" borderId="0" xfId="20" applyFont="1" applyAlignment="1" applyProtection="1">
      <alignment horizontal="center" vertical="center"/>
      <protection hidden="1"/>
    </xf>
    <xf numFmtId="0" fontId="87" fillId="0" borderId="0" xfId="20" applyFont="1" applyAlignment="1" applyProtection="1">
      <alignment horizontal="center" vertical="center"/>
      <protection hidden="1"/>
    </xf>
    <xf numFmtId="0" fontId="185" fillId="0" borderId="0" xfId="9" applyFont="1" applyBorder="1" applyAlignment="1" applyProtection="1">
      <alignment horizontal="center" vertical="center"/>
      <protection hidden="1"/>
    </xf>
    <xf numFmtId="0" fontId="185" fillId="0" borderId="109" xfId="9" applyFont="1" applyBorder="1" applyAlignment="1" applyProtection="1">
      <alignment horizontal="center" vertical="center"/>
      <protection hidden="1"/>
    </xf>
    <xf numFmtId="0" fontId="184" fillId="0" borderId="0" xfId="9" applyFont="1" applyBorder="1" applyAlignment="1" applyProtection="1">
      <alignment horizontal="center" vertical="center" wrapText="1"/>
      <protection hidden="1"/>
    </xf>
    <xf numFmtId="0" fontId="89" fillId="6" borderId="32" xfId="18" applyFont="1" applyFill="1" applyBorder="1" applyAlignment="1" applyProtection="1">
      <alignment horizontal="center" vertical="center" wrapText="1"/>
      <protection hidden="1"/>
    </xf>
    <xf numFmtId="0" fontId="89" fillId="6" borderId="43" xfId="18" applyFont="1" applyFill="1" applyBorder="1" applyAlignment="1" applyProtection="1">
      <alignment horizontal="center" vertical="center" wrapText="1"/>
      <protection hidden="1"/>
    </xf>
    <xf numFmtId="0" fontId="89" fillId="6" borderId="46" xfId="18" applyFont="1" applyFill="1" applyBorder="1" applyAlignment="1" applyProtection="1">
      <alignment horizontal="center" vertical="center" wrapText="1"/>
      <protection hidden="1"/>
    </xf>
    <xf numFmtId="0" fontId="181" fillId="0" borderId="94" xfId="20" applyFont="1" applyBorder="1" applyAlignment="1" applyProtection="1">
      <alignment horizontal="center" vertical="center"/>
      <protection hidden="1"/>
    </xf>
    <xf numFmtId="0" fontId="181" fillId="0" borderId="0" xfId="20" applyFont="1" applyBorder="1" applyAlignment="1" applyProtection="1">
      <alignment horizontal="center" vertical="center"/>
      <protection hidden="1"/>
    </xf>
    <xf numFmtId="0" fontId="147" fillId="6" borderId="30" xfId="9" applyFont="1" applyFill="1" applyBorder="1" applyAlignment="1" applyProtection="1">
      <alignment horizontal="center" vertical="center"/>
      <protection hidden="1"/>
    </xf>
    <xf numFmtId="0" fontId="147" fillId="6" borderId="0" xfId="9" applyFont="1" applyFill="1" applyBorder="1" applyAlignment="1" applyProtection="1">
      <alignment horizontal="center" vertical="center"/>
      <protection hidden="1"/>
    </xf>
    <xf numFmtId="1" fontId="98" fillId="6" borderId="0" xfId="9" applyNumberFormat="1" applyFont="1" applyFill="1" applyBorder="1" applyAlignment="1" applyProtection="1">
      <alignment horizontal="center"/>
      <protection hidden="1"/>
    </xf>
    <xf numFmtId="0" fontId="98" fillId="6" borderId="0" xfId="9" applyFont="1" applyFill="1" applyBorder="1" applyAlignment="1" applyProtection="1">
      <alignment horizontal="center"/>
      <protection hidden="1"/>
    </xf>
    <xf numFmtId="0" fontId="177" fillId="0" borderId="0" xfId="20" applyFont="1" applyAlignment="1" applyProtection="1">
      <alignment horizontal="left" vertical="center"/>
      <protection hidden="1"/>
    </xf>
    <xf numFmtId="0" fontId="179" fillId="6" borderId="0" xfId="5" applyFont="1" applyFill="1" applyBorder="1" applyAlignment="1" applyProtection="1">
      <alignment horizontal="left" vertical="center"/>
      <protection hidden="1"/>
    </xf>
    <xf numFmtId="0" fontId="49" fillId="6" borderId="0" xfId="20" applyFont="1" applyFill="1" applyBorder="1" applyAlignment="1" applyProtection="1">
      <alignment horizontal="center" vertical="center" wrapText="1"/>
      <protection hidden="1"/>
    </xf>
    <xf numFmtId="10" fontId="51" fillId="6" borderId="0" xfId="20" applyNumberFormat="1" applyFont="1" applyFill="1" applyBorder="1" applyAlignment="1" applyProtection="1">
      <alignment horizontal="center" vertical="center" wrapText="1"/>
      <protection hidden="1"/>
    </xf>
    <xf numFmtId="0" fontId="180" fillId="6" borderId="0" xfId="20" applyFont="1" applyFill="1" applyBorder="1" applyAlignment="1" applyProtection="1">
      <alignment horizontal="center" textRotation="45" wrapText="1"/>
      <protection hidden="1"/>
    </xf>
    <xf numFmtId="0" fontId="136" fillId="0" borderId="0" xfId="20" applyFont="1" applyBorder="1" applyAlignment="1" applyProtection="1">
      <alignment horizontal="left" vertical="center"/>
      <protection hidden="1"/>
    </xf>
    <xf numFmtId="0" fontId="167" fillId="0" borderId="0" xfId="29" applyFont="1" applyAlignment="1" applyProtection="1">
      <alignment horizontal="center" vertical="center"/>
      <protection hidden="1"/>
    </xf>
    <xf numFmtId="0" fontId="214" fillId="6" borderId="107" xfId="29" applyFont="1" applyFill="1" applyBorder="1" applyAlignment="1" applyProtection="1">
      <alignment horizontal="center" vertical="center" wrapText="1"/>
      <protection hidden="1"/>
    </xf>
    <xf numFmtId="0" fontId="214" fillId="6" borderId="105" xfId="29" applyFont="1" applyFill="1" applyBorder="1" applyAlignment="1" applyProtection="1">
      <alignment horizontal="center" vertical="center" wrapText="1"/>
      <protection hidden="1"/>
    </xf>
    <xf numFmtId="0" fontId="49" fillId="6" borderId="0" xfId="29" applyFont="1" applyFill="1" applyBorder="1" applyAlignment="1" applyProtection="1">
      <alignment horizontal="center" vertical="center" wrapText="1"/>
      <protection hidden="1"/>
    </xf>
    <xf numFmtId="0" fontId="89" fillId="6" borderId="140" xfId="18" applyFont="1" applyFill="1" applyBorder="1" applyAlignment="1" applyProtection="1">
      <alignment horizontal="center" vertical="center" wrapText="1"/>
      <protection hidden="1"/>
    </xf>
    <xf numFmtId="0" fontId="1" fillId="6" borderId="140" xfId="29" applyFill="1" applyBorder="1" applyProtection="1">
      <protection hidden="1"/>
    </xf>
    <xf numFmtId="0" fontId="133" fillId="0" borderId="0" xfId="29" applyFont="1" applyAlignment="1" applyProtection="1">
      <alignment horizontal="left" vertical="center"/>
      <protection hidden="1"/>
    </xf>
    <xf numFmtId="0" fontId="136" fillId="0" borderId="0" xfId="29" applyFont="1" applyAlignment="1" applyProtection="1">
      <alignment horizontal="left" vertical="center"/>
      <protection hidden="1"/>
    </xf>
    <xf numFmtId="0" fontId="109" fillId="6" borderId="107" xfId="29" applyFont="1" applyFill="1" applyBorder="1" applyAlignment="1" applyProtection="1">
      <alignment horizontal="center" vertical="center"/>
      <protection hidden="1"/>
    </xf>
    <xf numFmtId="0" fontId="109" fillId="6" borderId="105" xfId="29" applyFont="1" applyFill="1" applyBorder="1" applyAlignment="1" applyProtection="1">
      <alignment horizontal="center" vertical="center"/>
      <protection hidden="1"/>
    </xf>
    <xf numFmtId="0" fontId="109" fillId="6" borderId="150" xfId="29" applyFont="1" applyFill="1" applyBorder="1" applyAlignment="1" applyProtection="1">
      <alignment horizontal="right" vertical="center"/>
      <protection hidden="1"/>
    </xf>
    <xf numFmtId="0" fontId="109" fillId="6" borderId="148" xfId="29" applyFont="1" applyFill="1" applyBorder="1" applyAlignment="1" applyProtection="1">
      <alignment horizontal="right" vertical="center"/>
      <protection hidden="1"/>
    </xf>
    <xf numFmtId="0" fontId="109" fillId="6" borderId="149" xfId="29" applyFont="1" applyFill="1" applyBorder="1" applyAlignment="1" applyProtection="1">
      <alignment horizontal="right" vertical="center"/>
      <protection hidden="1"/>
    </xf>
    <xf numFmtId="0" fontId="109" fillId="6" borderId="152" xfId="29" applyFont="1" applyFill="1" applyBorder="1" applyAlignment="1" applyProtection="1">
      <alignment horizontal="right" vertical="center"/>
      <protection hidden="1"/>
    </xf>
    <xf numFmtId="0" fontId="213" fillId="6" borderId="0" xfId="20" applyFont="1" applyFill="1" applyBorder="1" applyAlignment="1" applyProtection="1">
      <alignment horizontal="left"/>
      <protection hidden="1"/>
    </xf>
    <xf numFmtId="0" fontId="123" fillId="6" borderId="149" xfId="9" applyFont="1" applyFill="1" applyBorder="1" applyAlignment="1" applyProtection="1">
      <alignment horizontal="center" vertical="center" wrapText="1"/>
      <protection hidden="1"/>
    </xf>
    <xf numFmtId="0" fontId="123" fillId="6" borderId="0" xfId="9" applyFont="1" applyFill="1" applyBorder="1" applyAlignment="1" applyProtection="1">
      <alignment horizontal="center" vertical="center" wrapText="1"/>
      <protection hidden="1"/>
    </xf>
    <xf numFmtId="10" fontId="46" fillId="6" borderId="149" xfId="5" applyNumberFormat="1" applyFont="1" applyFill="1" applyBorder="1" applyAlignment="1" applyProtection="1">
      <alignment horizontal="center" vertical="center" wrapText="1"/>
      <protection hidden="1"/>
    </xf>
    <xf numFmtId="10" fontId="46" fillId="6" borderId="0" xfId="5" applyNumberFormat="1" applyFont="1" applyFill="1" applyBorder="1" applyAlignment="1" applyProtection="1">
      <alignment horizontal="center" vertical="center" wrapText="1"/>
      <protection hidden="1"/>
    </xf>
    <xf numFmtId="0" fontId="109" fillId="6" borderId="156" xfId="29" applyFont="1" applyFill="1" applyBorder="1" applyAlignment="1" applyProtection="1">
      <alignment horizontal="right" vertical="center"/>
      <protection hidden="1"/>
    </xf>
    <xf numFmtId="0" fontId="109" fillId="6" borderId="155" xfId="29" applyFont="1" applyFill="1" applyBorder="1" applyAlignment="1" applyProtection="1">
      <alignment horizontal="right" vertical="center"/>
      <protection hidden="1"/>
    </xf>
    <xf numFmtId="0" fontId="74" fillId="22" borderId="0" xfId="29" applyFont="1" applyFill="1" applyAlignment="1" applyProtection="1">
      <alignment horizontal="center" vertical="center"/>
      <protection hidden="1"/>
    </xf>
    <xf numFmtId="0" fontId="69" fillId="22" borderId="0" xfId="29" applyFont="1" applyFill="1" applyAlignment="1" applyProtection="1">
      <alignment horizontal="center" vertical="center"/>
      <protection hidden="1"/>
    </xf>
    <xf numFmtId="0" fontId="68" fillId="22" borderId="0" xfId="29" applyFont="1" applyFill="1" applyAlignment="1" applyProtection="1">
      <alignment horizontal="center" vertical="center"/>
      <protection hidden="1"/>
    </xf>
    <xf numFmtId="0" fontId="183" fillId="0" borderId="0" xfId="29" applyFont="1" applyAlignment="1" applyProtection="1">
      <alignment horizontal="left" vertical="center" wrapText="1"/>
      <protection hidden="1"/>
    </xf>
    <xf numFmtId="0" fontId="69" fillId="0" borderId="0" xfId="9" applyFont="1" applyBorder="1" applyAlignment="1" applyProtection="1">
      <alignment horizontal="center"/>
      <protection hidden="1"/>
    </xf>
    <xf numFmtId="0" fontId="69" fillId="0" borderId="109" xfId="9" applyFont="1" applyBorder="1" applyAlignment="1" applyProtection="1">
      <alignment horizontal="center"/>
      <protection hidden="1"/>
    </xf>
    <xf numFmtId="0" fontId="131" fillId="6" borderId="103" xfId="29" applyFont="1" applyFill="1" applyBorder="1" applyAlignment="1" applyProtection="1">
      <alignment horizontal="center" wrapText="1"/>
      <protection hidden="1"/>
    </xf>
    <xf numFmtId="0" fontId="131" fillId="6" borderId="102" xfId="29" applyFont="1" applyFill="1" applyBorder="1" applyAlignment="1" applyProtection="1">
      <alignment horizontal="center" wrapText="1"/>
      <protection hidden="1"/>
    </xf>
    <xf numFmtId="0" fontId="36" fillId="0" borderId="0" xfId="29" applyFont="1" applyAlignment="1" applyProtection="1">
      <alignment horizontal="center" vertical="center"/>
      <protection hidden="1"/>
    </xf>
    <xf numFmtId="0" fontId="102" fillId="0" borderId="0" xfId="29" applyFont="1" applyAlignment="1" applyProtection="1">
      <alignment horizontal="center" vertical="center"/>
      <protection hidden="1"/>
    </xf>
    <xf numFmtId="0" fontId="87" fillId="0" borderId="0" xfId="29" applyFont="1" applyAlignment="1" applyProtection="1">
      <alignment horizontal="center" vertical="center"/>
      <protection hidden="1"/>
    </xf>
    <xf numFmtId="0" fontId="89" fillId="6" borderId="143" xfId="18" applyFont="1" applyFill="1" applyBorder="1" applyAlignment="1" applyProtection="1">
      <alignment horizontal="center" vertical="center" wrapText="1"/>
      <protection hidden="1"/>
    </xf>
    <xf numFmtId="0" fontId="181" fillId="0" borderId="0" xfId="29" applyFont="1" applyBorder="1" applyAlignment="1" applyProtection="1">
      <alignment horizontal="center" vertical="center"/>
      <protection hidden="1"/>
    </xf>
    <xf numFmtId="0" fontId="68" fillId="0" borderId="0" xfId="20" applyFont="1" applyAlignment="1" applyProtection="1">
      <alignment horizontal="left" vertical="center"/>
      <protection hidden="1"/>
    </xf>
    <xf numFmtId="0" fontId="119" fillId="0" borderId="0" xfId="20" applyFont="1" applyAlignment="1" applyProtection="1">
      <alignment horizontal="center" vertical="center"/>
      <protection hidden="1"/>
    </xf>
    <xf numFmtId="0" fontId="119" fillId="0" borderId="0" xfId="20" applyFont="1" applyAlignment="1" applyProtection="1">
      <alignment horizontal="center"/>
      <protection hidden="1"/>
    </xf>
    <xf numFmtId="0" fontId="150" fillId="6" borderId="0" xfId="18" applyFont="1" applyFill="1" applyBorder="1" applyAlignment="1" applyProtection="1">
      <alignment horizontal="center" vertical="center" wrapText="1"/>
      <protection hidden="1"/>
    </xf>
    <xf numFmtId="0" fontId="119" fillId="0" borderId="0" xfId="9" applyFont="1" applyBorder="1" applyAlignment="1" applyProtection="1">
      <alignment horizontal="center" wrapText="1"/>
      <protection hidden="1"/>
    </xf>
    <xf numFmtId="0" fontId="175" fillId="0" borderId="0" xfId="9" applyFont="1" applyBorder="1" applyAlignment="1" applyProtection="1">
      <alignment horizontal="center" vertical="center"/>
      <protection hidden="1"/>
    </xf>
    <xf numFmtId="0" fontId="174" fillId="0" borderId="0" xfId="9" applyFont="1" applyBorder="1" applyAlignment="1" applyProtection="1">
      <alignment horizontal="center" vertical="center"/>
      <protection hidden="1"/>
    </xf>
    <xf numFmtId="0" fontId="171" fillId="0" borderId="0" xfId="20" applyFont="1" applyBorder="1" applyProtection="1">
      <protection hidden="1"/>
    </xf>
    <xf numFmtId="0" fontId="171" fillId="0" borderId="104" xfId="20" applyFont="1" applyBorder="1" applyProtection="1">
      <protection hidden="1"/>
    </xf>
    <xf numFmtId="0" fontId="168" fillId="0" borderId="0" xfId="9" applyFont="1" applyBorder="1" applyAlignment="1" applyProtection="1">
      <alignment horizontal="center" vertical="center" wrapText="1"/>
      <protection hidden="1"/>
    </xf>
    <xf numFmtId="0" fontId="173" fillId="0" borderId="0" xfId="9" applyFont="1" applyBorder="1" applyAlignment="1" applyProtection="1">
      <alignment horizontal="center" vertical="center"/>
      <protection hidden="1"/>
    </xf>
    <xf numFmtId="0" fontId="102" fillId="0" borderId="0" xfId="9" applyFont="1" applyFill="1" applyBorder="1" applyAlignment="1" applyProtection="1">
      <alignment horizontal="center" vertical="center"/>
      <protection hidden="1"/>
    </xf>
    <xf numFmtId="0" fontId="167" fillId="0" borderId="0" xfId="20" applyFont="1" applyAlignment="1" applyProtection="1">
      <alignment horizontal="center" vertical="center"/>
      <protection hidden="1"/>
    </xf>
    <xf numFmtId="0" fontId="102" fillId="0" borderId="0" xfId="20" applyFont="1" applyAlignment="1" applyProtection="1">
      <alignment horizontal="center" vertical="center" wrapText="1"/>
      <protection hidden="1"/>
    </xf>
    <xf numFmtId="0" fontId="119" fillId="0" borderId="0" xfId="20" applyFont="1" applyAlignment="1" applyProtection="1">
      <alignment horizontal="left" vertical="center"/>
      <protection hidden="1"/>
    </xf>
    <xf numFmtId="0" fontId="87" fillId="6" borderId="103" xfId="20" applyFont="1" applyFill="1" applyBorder="1" applyAlignment="1" applyProtection="1">
      <alignment horizontal="center" wrapText="1"/>
      <protection hidden="1"/>
    </xf>
    <xf numFmtId="0" fontId="87" fillId="6" borderId="102" xfId="20" applyFont="1" applyFill="1" applyBorder="1" applyAlignment="1" applyProtection="1">
      <alignment horizontal="center" wrapText="1"/>
      <protection hidden="1"/>
    </xf>
    <xf numFmtId="0" fontId="150" fillId="25" borderId="43" xfId="18" applyFont="1" applyFill="1" applyBorder="1" applyAlignment="1" applyProtection="1">
      <alignment horizontal="center" vertical="center" wrapText="1"/>
      <protection hidden="1"/>
    </xf>
    <xf numFmtId="0" fontId="150" fillId="25" borderId="28" xfId="18" applyFont="1" applyFill="1" applyBorder="1" applyAlignment="1" applyProtection="1">
      <alignment horizontal="center" vertical="center" wrapText="1"/>
      <protection hidden="1"/>
    </xf>
    <xf numFmtId="0" fontId="150" fillId="25" borderId="47" xfId="18" applyFont="1" applyFill="1" applyBorder="1" applyAlignment="1" applyProtection="1">
      <alignment horizontal="center" vertical="center" wrapText="1"/>
      <protection hidden="1"/>
    </xf>
    <xf numFmtId="0" fontId="150" fillId="25" borderId="46" xfId="18" applyFont="1" applyFill="1" applyBorder="1" applyAlignment="1" applyProtection="1">
      <alignment horizontal="center" vertical="center" wrapText="1"/>
      <protection hidden="1"/>
    </xf>
    <xf numFmtId="0" fontId="150" fillId="25" borderId="45" xfId="18" applyFont="1" applyFill="1" applyBorder="1" applyAlignment="1" applyProtection="1">
      <alignment horizontal="center" vertical="center" wrapText="1"/>
      <protection hidden="1"/>
    </xf>
    <xf numFmtId="0" fontId="150" fillId="25" borderId="44" xfId="18" applyFont="1" applyFill="1" applyBorder="1" applyAlignment="1" applyProtection="1">
      <alignment horizontal="center" vertical="center" wrapText="1"/>
      <protection hidden="1"/>
    </xf>
    <xf numFmtId="0" fontId="149" fillId="0" borderId="35" xfId="20" applyFont="1" applyBorder="1" applyAlignment="1" applyProtection="1">
      <alignment horizontal="center" vertical="center"/>
      <protection hidden="1"/>
    </xf>
    <xf numFmtId="0" fontId="149" fillId="0" borderId="34" xfId="20" applyFont="1" applyBorder="1" applyAlignment="1" applyProtection="1">
      <alignment horizontal="center" vertical="center"/>
      <protection hidden="1"/>
    </xf>
    <xf numFmtId="0" fontId="109" fillId="6" borderId="100" xfId="18" applyFont="1" applyFill="1" applyBorder="1" applyAlignment="1" applyProtection="1">
      <alignment horizontal="center" vertical="center" wrapText="1"/>
      <protection hidden="1"/>
    </xf>
    <xf numFmtId="0" fontId="109" fillId="6" borderId="99" xfId="18" applyFont="1" applyFill="1" applyBorder="1" applyAlignment="1" applyProtection="1">
      <alignment horizontal="center" vertical="center" wrapText="1"/>
      <protection hidden="1"/>
    </xf>
    <xf numFmtId="0" fontId="109" fillId="6" borderId="97" xfId="18" applyFont="1" applyFill="1" applyBorder="1" applyAlignment="1" applyProtection="1">
      <alignment horizontal="center" vertical="center" wrapText="1"/>
      <protection hidden="1"/>
    </xf>
    <xf numFmtId="0" fontId="109" fillId="6" borderId="96" xfId="18" applyFont="1" applyFill="1" applyBorder="1" applyAlignment="1" applyProtection="1">
      <alignment horizontal="center" vertical="center" wrapText="1"/>
      <protection hidden="1"/>
    </xf>
    <xf numFmtId="0" fontId="159" fillId="0" borderId="0" xfId="9" applyFont="1" applyFill="1" applyBorder="1" applyAlignment="1" applyProtection="1">
      <alignment horizontal="center" vertical="center" wrapText="1"/>
      <protection hidden="1"/>
    </xf>
    <xf numFmtId="0" fontId="160" fillId="0" borderId="0" xfId="20" applyFont="1" applyBorder="1" applyAlignment="1" applyProtection="1">
      <alignment horizontal="center" vertical="center"/>
      <protection hidden="1"/>
    </xf>
    <xf numFmtId="0" fontId="156" fillId="0" borderId="0" xfId="20" applyFont="1" applyAlignment="1" applyProtection="1">
      <alignment horizontal="left" vertical="center"/>
      <protection hidden="1"/>
    </xf>
    <xf numFmtId="0" fontId="69" fillId="0" borderId="0" xfId="20" applyFont="1" applyAlignment="1" applyProtection="1">
      <alignment horizontal="left" vertical="center"/>
      <protection hidden="1"/>
    </xf>
    <xf numFmtId="0" fontId="149" fillId="0" borderId="0" xfId="20" applyFont="1" applyBorder="1" applyAlignment="1" applyProtection="1">
      <alignment horizontal="center" vertical="center"/>
      <protection hidden="1"/>
    </xf>
    <xf numFmtId="0" fontId="89" fillId="6" borderId="35" xfId="18" applyFont="1" applyFill="1" applyBorder="1" applyAlignment="1" applyProtection="1">
      <alignment horizontal="center" vertical="center" wrapText="1"/>
      <protection hidden="1"/>
    </xf>
    <xf numFmtId="0" fontId="89" fillId="6" borderId="34" xfId="18" applyFont="1" applyFill="1" applyBorder="1" applyAlignment="1" applyProtection="1">
      <alignment horizontal="center" vertical="center" wrapText="1"/>
      <protection hidden="1"/>
    </xf>
    <xf numFmtId="0" fontId="146" fillId="6" borderId="32" xfId="20" applyFont="1" applyFill="1" applyBorder="1" applyProtection="1">
      <protection hidden="1"/>
    </xf>
    <xf numFmtId="0" fontId="1" fillId="6" borderId="32" xfId="20" applyFill="1" applyBorder="1" applyAlignment="1" applyProtection="1">
      <alignment horizontal="center" vertical="center"/>
      <protection hidden="1"/>
    </xf>
    <xf numFmtId="0" fontId="148" fillId="0" borderId="0" xfId="20" applyFont="1" applyBorder="1" applyAlignment="1" applyProtection="1">
      <alignment horizontal="center" vertical="center"/>
      <protection hidden="1"/>
    </xf>
    <xf numFmtId="10" fontId="52" fillId="6" borderId="0" xfId="20" applyNumberFormat="1" applyFont="1" applyFill="1" applyBorder="1" applyAlignment="1" applyProtection="1">
      <alignment horizontal="center" vertical="center" wrapText="1"/>
      <protection hidden="1"/>
    </xf>
    <xf numFmtId="0" fontId="148" fillId="0" borderId="43" xfId="20" applyFont="1" applyBorder="1" applyAlignment="1" applyProtection="1">
      <alignment horizontal="center" vertical="center"/>
      <protection hidden="1"/>
    </xf>
    <xf numFmtId="0" fontId="148" fillId="0" borderId="28" xfId="20" applyFont="1" applyBorder="1" applyAlignment="1" applyProtection="1">
      <alignment horizontal="center" vertical="center"/>
      <protection hidden="1"/>
    </xf>
    <xf numFmtId="0" fontId="148" fillId="0" borderId="47" xfId="20" applyFont="1" applyBorder="1" applyAlignment="1" applyProtection="1">
      <alignment horizontal="center" vertical="center"/>
      <protection hidden="1"/>
    </xf>
    <xf numFmtId="0" fontId="148" fillId="0" borderId="46" xfId="20" applyFont="1" applyBorder="1" applyAlignment="1" applyProtection="1">
      <alignment horizontal="center" vertical="center"/>
      <protection hidden="1"/>
    </xf>
    <xf numFmtId="0" fontId="148" fillId="0" borderId="45" xfId="20" applyFont="1" applyBorder="1" applyAlignment="1" applyProtection="1">
      <alignment horizontal="center" vertical="center"/>
      <protection hidden="1"/>
    </xf>
    <xf numFmtId="0" fontId="148" fillId="0" borderId="44" xfId="20" applyFont="1" applyBorder="1" applyAlignment="1" applyProtection="1">
      <alignment horizontal="center" vertical="center"/>
      <protection hidden="1"/>
    </xf>
    <xf numFmtId="0" fontId="147" fillId="6" borderId="28" xfId="9" applyFont="1" applyFill="1" applyBorder="1" applyAlignment="1" applyProtection="1">
      <alignment horizontal="center" vertical="center"/>
      <protection hidden="1"/>
    </xf>
    <xf numFmtId="0" fontId="145" fillId="0" borderId="0" xfId="9" applyFont="1" applyBorder="1" applyAlignment="1" applyProtection="1">
      <alignment horizontal="center" vertical="center"/>
      <protection hidden="1"/>
    </xf>
    <xf numFmtId="0" fontId="136" fillId="0" borderId="0" xfId="20" applyFont="1" applyAlignment="1" applyProtection="1">
      <alignment horizontal="left" vertical="center"/>
      <protection hidden="1"/>
    </xf>
    <xf numFmtId="0" fontId="394" fillId="0" borderId="0" xfId="20" applyFont="1" applyAlignment="1" applyProtection="1">
      <alignment horizontal="left" vertical="center"/>
      <protection hidden="1"/>
    </xf>
    <xf numFmtId="0" fontId="133" fillId="0" borderId="0" xfId="20" applyFont="1" applyAlignment="1" applyProtection="1">
      <alignment horizontal="left" vertical="center"/>
      <protection hidden="1"/>
    </xf>
    <xf numFmtId="0" fontId="270" fillId="0" borderId="0" xfId="9" applyFont="1" applyBorder="1" applyAlignment="1" applyProtection="1">
      <alignment horizontal="center" vertical="center"/>
      <protection hidden="1"/>
    </xf>
    <xf numFmtId="0" fontId="143" fillId="0" borderId="0" xfId="9" applyFont="1" applyBorder="1" applyAlignment="1" applyProtection="1">
      <alignment horizontal="center" vertical="center" wrapText="1"/>
      <protection hidden="1"/>
    </xf>
    <xf numFmtId="0" fontId="137" fillId="0" borderId="0" xfId="9" applyFont="1" applyBorder="1" applyAlignment="1" applyProtection="1">
      <alignment horizontal="center" vertical="center" wrapText="1"/>
      <protection hidden="1"/>
    </xf>
    <xf numFmtId="0" fontId="139" fillId="0" borderId="88" xfId="9" applyFont="1" applyBorder="1" applyAlignment="1" applyProtection="1">
      <alignment horizontal="center" vertical="center" wrapText="1"/>
      <protection hidden="1"/>
    </xf>
    <xf numFmtId="0" fontId="139" fillId="0" borderId="87" xfId="9" applyFont="1" applyBorder="1" applyAlignment="1" applyProtection="1">
      <alignment horizontal="center" vertical="center" wrapText="1"/>
      <protection hidden="1"/>
    </xf>
    <xf numFmtId="0" fontId="132" fillId="0" borderId="76" xfId="9" applyFont="1" applyBorder="1" applyAlignment="1" applyProtection="1">
      <alignment horizontal="center"/>
      <protection hidden="1"/>
    </xf>
    <xf numFmtId="0" fontId="132" fillId="0" borderId="74" xfId="9" applyFont="1" applyBorder="1" applyAlignment="1" applyProtection="1">
      <alignment horizontal="center"/>
      <protection hidden="1"/>
    </xf>
    <xf numFmtId="0" fontId="137" fillId="0" borderId="91" xfId="9" applyFont="1" applyBorder="1" applyAlignment="1" applyProtection="1">
      <alignment horizontal="center"/>
      <protection hidden="1"/>
    </xf>
    <xf numFmtId="0" fontId="137" fillId="0" borderId="90" xfId="9" applyFont="1" applyBorder="1" applyAlignment="1" applyProtection="1">
      <alignment horizontal="center"/>
      <protection hidden="1"/>
    </xf>
    <xf numFmtId="0" fontId="132" fillId="0" borderId="91" xfId="9" applyFont="1" applyBorder="1" applyAlignment="1" applyProtection="1">
      <alignment horizontal="center"/>
      <protection hidden="1"/>
    </xf>
    <xf numFmtId="0" fontId="132" fillId="0" borderId="90" xfId="9" applyFont="1" applyBorder="1" applyAlignment="1" applyProtection="1">
      <alignment horizontal="center"/>
      <protection hidden="1"/>
    </xf>
    <xf numFmtId="0" fontId="135" fillId="0" borderId="0" xfId="20" applyFont="1" applyAlignment="1" applyProtection="1">
      <alignment horizontal="left" vertical="center"/>
      <protection hidden="1"/>
    </xf>
    <xf numFmtId="0" fontId="138" fillId="0" borderId="89" xfId="9" applyFont="1" applyBorder="1" applyAlignment="1" applyProtection="1">
      <alignment horizontal="center" vertical="center"/>
      <protection hidden="1"/>
    </xf>
    <xf numFmtId="0" fontId="137" fillId="0" borderId="88" xfId="9" applyFont="1" applyBorder="1" applyAlignment="1" applyProtection="1">
      <alignment horizontal="center" vertical="center"/>
      <protection hidden="1"/>
    </xf>
    <xf numFmtId="0" fontId="137" fillId="0" borderId="87" xfId="9" applyFont="1" applyBorder="1" applyAlignment="1" applyProtection="1">
      <alignment horizontal="center" vertical="center"/>
      <protection hidden="1"/>
    </xf>
    <xf numFmtId="0" fontId="194" fillId="6" borderId="0" xfId="26" applyFont="1" applyFill="1" applyBorder="1" applyAlignment="1" applyProtection="1">
      <alignment horizontal="center" vertical="center"/>
      <protection hidden="1"/>
    </xf>
    <xf numFmtId="0" fontId="379" fillId="21" borderId="70" xfId="21" applyFont="1" applyFill="1" applyBorder="1" applyAlignment="1" applyProtection="1">
      <alignment horizontal="center" vertical="center"/>
      <protection hidden="1"/>
    </xf>
    <xf numFmtId="0" fontId="71" fillId="6" borderId="0" xfId="9" applyFont="1" applyFill="1" applyBorder="1" applyAlignment="1" applyProtection="1">
      <alignment horizontal="center" vertical="center"/>
      <protection hidden="1"/>
    </xf>
    <xf numFmtId="0" fontId="40" fillId="6" borderId="0" xfId="9" applyFont="1" applyFill="1" applyAlignment="1" applyProtection="1">
      <alignment horizontal="right" vertical="center"/>
      <protection hidden="1"/>
    </xf>
    <xf numFmtId="0" fontId="89" fillId="6" borderId="43" xfId="9" applyFont="1" applyFill="1" applyBorder="1" applyAlignment="1" applyProtection="1">
      <alignment horizontal="center" vertical="center"/>
      <protection hidden="1"/>
    </xf>
    <xf numFmtId="0" fontId="89" fillId="6" borderId="28" xfId="9" applyFont="1" applyFill="1" applyBorder="1" applyAlignment="1" applyProtection="1">
      <alignment horizontal="center" vertical="center"/>
      <protection hidden="1"/>
    </xf>
    <xf numFmtId="0" fontId="89" fillId="6" borderId="47" xfId="9" applyFont="1" applyFill="1" applyBorder="1" applyAlignment="1" applyProtection="1">
      <alignment horizontal="center" vertical="center"/>
      <protection hidden="1"/>
    </xf>
    <xf numFmtId="0" fontId="89" fillId="6" borderId="46" xfId="9" applyFont="1" applyFill="1" applyBorder="1" applyAlignment="1" applyProtection="1">
      <alignment horizontal="center" vertical="center"/>
      <protection hidden="1"/>
    </xf>
    <xf numFmtId="0" fontId="89" fillId="6" borderId="45" xfId="9" applyFont="1" applyFill="1" applyBorder="1" applyAlignment="1" applyProtection="1">
      <alignment horizontal="center" vertical="center"/>
      <protection hidden="1"/>
    </xf>
    <xf numFmtId="0" fontId="89" fillId="6" borderId="44" xfId="9" applyFont="1" applyFill="1" applyBorder="1" applyAlignment="1" applyProtection="1">
      <alignment horizontal="center" vertical="center"/>
      <protection hidden="1"/>
    </xf>
    <xf numFmtId="0" fontId="88" fillId="6" borderId="0" xfId="15" applyFont="1" applyFill="1" applyBorder="1" applyAlignment="1" applyProtection="1">
      <alignment horizontal="center" vertical="center"/>
      <protection hidden="1"/>
    </xf>
    <xf numFmtId="0" fontId="88" fillId="6" borderId="31" xfId="15" applyFont="1" applyFill="1" applyBorder="1" applyAlignment="1" applyProtection="1">
      <alignment horizontal="center" vertical="center"/>
      <protection hidden="1"/>
    </xf>
    <xf numFmtId="0" fontId="196" fillId="6" borderId="0" xfId="9" applyFont="1" applyFill="1" applyBorder="1" applyAlignment="1" applyProtection="1">
      <alignment horizontal="center" vertical="center"/>
      <protection hidden="1"/>
    </xf>
    <xf numFmtId="0" fontId="196" fillId="6" borderId="39" xfId="9" applyFont="1" applyFill="1" applyBorder="1" applyAlignment="1" applyProtection="1">
      <alignment horizontal="center" vertical="center"/>
      <protection hidden="1"/>
    </xf>
    <xf numFmtId="0" fontId="42" fillId="6" borderId="46" xfId="18" applyFont="1" applyFill="1" applyBorder="1" applyAlignment="1" applyProtection="1">
      <alignment horizontal="center" vertical="center" wrapText="1"/>
      <protection hidden="1"/>
    </xf>
    <xf numFmtId="0" fontId="42" fillId="6" borderId="45" xfId="18" applyFont="1" applyFill="1" applyBorder="1" applyAlignment="1" applyProtection="1">
      <alignment horizontal="center" vertical="center" wrapText="1"/>
      <protection hidden="1"/>
    </xf>
    <xf numFmtId="0" fontId="42" fillId="6" borderId="44" xfId="18" applyFont="1" applyFill="1" applyBorder="1" applyAlignment="1" applyProtection="1">
      <alignment horizontal="center" vertical="center" wrapText="1"/>
      <protection hidden="1"/>
    </xf>
    <xf numFmtId="1" fontId="195" fillId="6" borderId="43" xfId="18" applyNumberFormat="1" applyFont="1" applyFill="1" applyBorder="1" applyAlignment="1" applyProtection="1">
      <alignment horizontal="center" vertical="center"/>
      <protection hidden="1"/>
    </xf>
    <xf numFmtId="1" fontId="195" fillId="6" borderId="47" xfId="18" applyNumberFormat="1" applyFont="1" applyFill="1" applyBorder="1" applyAlignment="1" applyProtection="1">
      <alignment horizontal="center" vertical="center"/>
      <protection hidden="1"/>
    </xf>
    <xf numFmtId="1" fontId="195" fillId="6" borderId="46" xfId="18" applyNumberFormat="1" applyFont="1" applyFill="1" applyBorder="1" applyAlignment="1" applyProtection="1">
      <alignment horizontal="center" vertical="center"/>
      <protection hidden="1"/>
    </xf>
    <xf numFmtId="1" fontId="195" fillId="6" borderId="44" xfId="18" applyNumberFormat="1" applyFont="1" applyFill="1" applyBorder="1" applyAlignment="1" applyProtection="1">
      <alignment horizontal="center" vertical="center"/>
      <protection hidden="1"/>
    </xf>
    <xf numFmtId="0" fontId="90" fillId="0" borderId="124" xfId="9" applyFont="1" applyBorder="1" applyAlignment="1" applyProtection="1">
      <alignment horizontal="center" vertical="center" wrapText="1"/>
      <protection hidden="1"/>
    </xf>
    <xf numFmtId="0" fontId="90" fillId="6" borderId="33" xfId="20" applyFont="1" applyFill="1" applyBorder="1" applyAlignment="1" applyProtection="1">
      <alignment horizontal="center" vertical="center" wrapText="1"/>
      <protection hidden="1"/>
    </xf>
    <xf numFmtId="0" fontId="90" fillId="6" borderId="32" xfId="20" applyFont="1" applyFill="1" applyBorder="1" applyAlignment="1" applyProtection="1">
      <alignment horizontal="center" vertical="center" wrapText="1"/>
      <protection hidden="1"/>
    </xf>
    <xf numFmtId="0" fontId="91" fillId="6" borderId="0" xfId="9" applyFont="1" applyFill="1" applyBorder="1" applyAlignment="1" applyProtection="1">
      <alignment horizontal="center" vertical="center"/>
      <protection hidden="1"/>
    </xf>
    <xf numFmtId="0" fontId="88" fillId="6" borderId="45" xfId="17" applyFont="1" applyFill="1" applyBorder="1" applyAlignment="1" applyProtection="1">
      <alignment horizontal="center" vertical="center" wrapText="1"/>
      <protection hidden="1"/>
    </xf>
    <xf numFmtId="0" fontId="87" fillId="0" borderId="29" xfId="9" applyFont="1" applyFill="1" applyBorder="1" applyAlignment="1" applyProtection="1">
      <alignment horizontal="center" vertical="center"/>
      <protection hidden="1"/>
    </xf>
    <xf numFmtId="0" fontId="73" fillId="0" borderId="29" xfId="9" applyFont="1" applyFill="1" applyBorder="1" applyAlignment="1" applyProtection="1">
      <alignment horizontal="center" vertical="center"/>
      <protection hidden="1"/>
    </xf>
    <xf numFmtId="0" fontId="191" fillId="0" borderId="29" xfId="9" applyFont="1" applyFill="1" applyBorder="1" applyAlignment="1" applyProtection="1">
      <alignment horizontal="center" vertical="center"/>
      <protection hidden="1"/>
    </xf>
    <xf numFmtId="0" fontId="73" fillId="6" borderId="29" xfId="9" applyNumberFormat="1" applyFont="1" applyFill="1" applyBorder="1" applyAlignment="1" applyProtection="1">
      <alignment horizontal="center" vertical="center"/>
      <protection hidden="1"/>
    </xf>
    <xf numFmtId="1" fontId="73" fillId="6" borderId="29" xfId="9" applyNumberFormat="1" applyFont="1" applyFill="1" applyBorder="1" applyAlignment="1" applyProtection="1">
      <alignment horizontal="center" vertical="center"/>
      <protection hidden="1"/>
    </xf>
    <xf numFmtId="0" fontId="73" fillId="6" borderId="29" xfId="9" applyFont="1" applyFill="1" applyBorder="1" applyAlignment="1" applyProtection="1">
      <alignment horizontal="center" vertical="center"/>
      <protection hidden="1"/>
    </xf>
    <xf numFmtId="1" fontId="189" fillId="26" borderId="128" xfId="9" applyNumberFormat="1" applyFont="1" applyFill="1" applyBorder="1" applyAlignment="1" applyProtection="1">
      <alignment horizontal="center" vertical="center"/>
      <protection hidden="1"/>
    </xf>
    <xf numFmtId="1" fontId="189" fillId="26" borderId="127" xfId="9" applyNumberFormat="1" applyFont="1" applyFill="1" applyBorder="1" applyAlignment="1" applyProtection="1">
      <alignment horizontal="center" vertical="center"/>
      <protection hidden="1"/>
    </xf>
    <xf numFmtId="1" fontId="189" fillId="26" borderId="126" xfId="9" applyNumberFormat="1" applyFont="1" applyFill="1" applyBorder="1" applyAlignment="1" applyProtection="1">
      <alignment horizontal="center" vertical="center"/>
      <protection hidden="1"/>
    </xf>
    <xf numFmtId="0" fontId="178" fillId="6" borderId="0" xfId="9" applyFont="1" applyFill="1" applyBorder="1" applyAlignment="1" applyProtection="1">
      <alignment horizontal="left" vertical="center"/>
      <protection hidden="1"/>
    </xf>
    <xf numFmtId="1" fontId="43" fillId="6" borderId="30" xfId="9" applyNumberFormat="1" applyFont="1" applyFill="1" applyBorder="1" applyAlignment="1" applyProtection="1">
      <alignment horizontal="center" vertical="center" wrapText="1"/>
      <protection hidden="1"/>
    </xf>
    <xf numFmtId="1" fontId="43" fillId="6" borderId="0" xfId="9" applyNumberFormat="1" applyFont="1" applyFill="1" applyBorder="1" applyAlignment="1" applyProtection="1">
      <alignment horizontal="center" vertical="center" wrapText="1"/>
      <protection hidden="1"/>
    </xf>
    <xf numFmtId="1" fontId="193" fillId="6" borderId="30" xfId="9" applyNumberFormat="1" applyFont="1" applyFill="1" applyBorder="1" applyAlignment="1" applyProtection="1">
      <alignment horizontal="center" vertical="center"/>
      <protection hidden="1"/>
    </xf>
    <xf numFmtId="1" fontId="193" fillId="6" borderId="0" xfId="9" applyNumberFormat="1" applyFont="1" applyFill="1" applyBorder="1" applyAlignment="1" applyProtection="1">
      <alignment horizontal="center" vertical="center"/>
      <protection hidden="1"/>
    </xf>
    <xf numFmtId="0" fontId="188" fillId="0" borderId="111" xfId="9" applyFont="1" applyBorder="1" applyAlignment="1" applyProtection="1">
      <alignment horizontal="center" vertical="center" wrapText="1"/>
      <protection hidden="1"/>
    </xf>
    <xf numFmtId="1" fontId="43" fillId="0" borderId="112" xfId="9" applyNumberFormat="1" applyFont="1" applyBorder="1" applyAlignment="1" applyProtection="1">
      <alignment horizontal="center" vertical="center"/>
      <protection hidden="1"/>
    </xf>
    <xf numFmtId="1" fontId="43" fillId="0" borderId="111" xfId="9" applyNumberFormat="1" applyFont="1" applyBorder="1" applyAlignment="1" applyProtection="1">
      <alignment horizontal="center" vertical="center"/>
      <protection hidden="1"/>
    </xf>
    <xf numFmtId="0" fontId="40" fillId="0" borderId="122" xfId="9" applyFont="1" applyBorder="1" applyAlignment="1" applyProtection="1">
      <alignment horizontal="center"/>
      <protection hidden="1"/>
    </xf>
    <xf numFmtId="0" fontId="73" fillId="6" borderId="122" xfId="9" applyFont="1" applyFill="1" applyBorder="1" applyAlignment="1" applyProtection="1">
      <alignment horizontal="center"/>
      <protection hidden="1"/>
    </xf>
    <xf numFmtId="1" fontId="111" fillId="27" borderId="30" xfId="9" applyNumberFormat="1" applyFont="1" applyFill="1" applyBorder="1" applyAlignment="1" applyProtection="1">
      <alignment horizontal="center" vertical="center"/>
      <protection hidden="1"/>
    </xf>
    <xf numFmtId="1" fontId="111" fillId="27" borderId="0" xfId="9" applyNumberFormat="1" applyFont="1" applyFill="1" applyBorder="1" applyAlignment="1" applyProtection="1">
      <alignment horizontal="center" vertical="center"/>
      <protection hidden="1"/>
    </xf>
    <xf numFmtId="1" fontId="111" fillId="27" borderId="121" xfId="9" applyNumberFormat="1" applyFont="1" applyFill="1" applyBorder="1" applyAlignment="1" applyProtection="1">
      <alignment horizontal="center" vertical="center"/>
      <protection hidden="1"/>
    </xf>
    <xf numFmtId="1" fontId="111" fillId="27" borderId="118" xfId="9" applyNumberFormat="1" applyFont="1" applyFill="1" applyBorder="1" applyAlignment="1" applyProtection="1">
      <alignment horizontal="center" vertical="center"/>
      <protection hidden="1"/>
    </xf>
    <xf numFmtId="1" fontId="111" fillId="27" borderId="117" xfId="9" applyNumberFormat="1" applyFont="1" applyFill="1" applyBorder="1" applyAlignment="1" applyProtection="1">
      <alignment horizontal="center" vertical="center"/>
      <protection hidden="1"/>
    </xf>
    <xf numFmtId="1" fontId="111" fillId="27" borderId="115" xfId="9" applyNumberFormat="1" applyFont="1" applyFill="1" applyBorder="1" applyAlignment="1" applyProtection="1">
      <alignment horizontal="center" vertical="center"/>
      <protection hidden="1"/>
    </xf>
    <xf numFmtId="1" fontId="190" fillId="27" borderId="120" xfId="9" applyNumberFormat="1" applyFont="1" applyFill="1" applyBorder="1" applyAlignment="1" applyProtection="1">
      <alignment horizontal="center" vertical="center"/>
      <protection hidden="1"/>
    </xf>
    <xf numFmtId="0" fontId="190" fillId="27" borderId="119" xfId="9" applyFont="1" applyFill="1" applyBorder="1" applyAlignment="1" applyProtection="1">
      <alignment horizontal="center" vertical="center"/>
      <protection hidden="1"/>
    </xf>
    <xf numFmtId="0" fontId="190" fillId="27" borderId="116" xfId="9" applyFont="1" applyFill="1" applyBorder="1" applyAlignment="1" applyProtection="1">
      <alignment horizontal="center" vertical="center"/>
      <protection hidden="1"/>
    </xf>
    <xf numFmtId="0" fontId="190" fillId="27" borderId="115" xfId="9" applyFont="1" applyFill="1" applyBorder="1" applyAlignment="1" applyProtection="1">
      <alignment horizontal="center" vertical="center"/>
      <protection hidden="1"/>
    </xf>
    <xf numFmtId="0" fontId="97" fillId="6" borderId="39" xfId="9" applyFont="1" applyFill="1" applyBorder="1" applyAlignment="1" applyProtection="1">
      <alignment horizontal="center" vertical="center"/>
      <protection hidden="1"/>
    </xf>
    <xf numFmtId="0" fontId="43" fillId="6" borderId="125" xfId="9" applyFont="1" applyFill="1" applyBorder="1" applyAlignment="1" applyProtection="1">
      <alignment horizontal="center"/>
      <protection hidden="1"/>
    </xf>
    <xf numFmtId="0" fontId="88" fillId="6" borderId="45" xfId="15" applyFont="1" applyFill="1" applyBorder="1" applyAlignment="1" applyProtection="1">
      <alignment horizontal="center" vertical="center"/>
      <protection hidden="1"/>
    </xf>
    <xf numFmtId="0" fontId="42" fillId="6" borderId="36" xfId="18" applyFont="1" applyFill="1" applyBorder="1" applyAlignment="1" applyProtection="1">
      <alignment horizontal="center"/>
      <protection hidden="1"/>
    </xf>
    <xf numFmtId="0" fontId="42" fillId="6" borderId="35" xfId="18" applyFont="1" applyFill="1" applyBorder="1" applyAlignment="1" applyProtection="1">
      <alignment horizontal="center"/>
      <protection hidden="1"/>
    </xf>
    <xf numFmtId="0" fontId="42" fillId="6" borderId="34" xfId="18" applyFont="1" applyFill="1" applyBorder="1" applyAlignment="1" applyProtection="1">
      <alignment horizontal="center"/>
      <protection hidden="1"/>
    </xf>
    <xf numFmtId="1" fontId="42" fillId="6" borderId="32" xfId="18" applyNumberFormat="1" applyFont="1" applyFill="1" applyBorder="1" applyAlignment="1" applyProtection="1">
      <alignment horizontal="center" vertical="center"/>
      <protection hidden="1"/>
    </xf>
    <xf numFmtId="0" fontId="194" fillId="6" borderId="28" xfId="26" applyFont="1" applyFill="1" applyBorder="1" applyAlignment="1" applyProtection="1">
      <alignment horizontal="center" vertical="center"/>
      <protection hidden="1"/>
    </xf>
    <xf numFmtId="0" fontId="366" fillId="6" borderId="0" xfId="9" applyFont="1" applyFill="1" applyBorder="1" applyAlignment="1" applyProtection="1">
      <alignment horizontal="center" vertical="center" wrapText="1"/>
      <protection hidden="1"/>
    </xf>
    <xf numFmtId="0" fontId="90" fillId="6" borderId="32" xfId="9" applyFont="1" applyFill="1" applyBorder="1" applyAlignment="1" applyProtection="1">
      <alignment horizontal="center" vertical="center" wrapText="1"/>
      <protection hidden="1"/>
    </xf>
    <xf numFmtId="0" fontId="192" fillId="6" borderId="43" xfId="17" applyFont="1" applyFill="1" applyBorder="1" applyAlignment="1" applyProtection="1">
      <alignment horizontal="center" vertical="center"/>
      <protection hidden="1"/>
    </xf>
    <xf numFmtId="0" fontId="192" fillId="6" borderId="28" xfId="17" applyFont="1" applyFill="1" applyBorder="1" applyAlignment="1" applyProtection="1">
      <alignment horizontal="center" vertical="center"/>
      <protection hidden="1"/>
    </xf>
    <xf numFmtId="0" fontId="192" fillId="6" borderId="47" xfId="17" applyFont="1" applyFill="1" applyBorder="1" applyAlignment="1" applyProtection="1">
      <alignment horizontal="center" vertical="center"/>
      <protection hidden="1"/>
    </xf>
    <xf numFmtId="0" fontId="192" fillId="6" borderId="31" xfId="17" applyFont="1" applyFill="1" applyBorder="1" applyAlignment="1" applyProtection="1">
      <alignment horizontal="center" vertical="center"/>
      <protection hidden="1"/>
    </xf>
    <xf numFmtId="0" fontId="88" fillId="6" borderId="30" xfId="17" applyFont="1" applyFill="1" applyBorder="1" applyAlignment="1" applyProtection="1">
      <alignment horizontal="center" vertical="center"/>
      <protection hidden="1"/>
    </xf>
    <xf numFmtId="0" fontId="88" fillId="6" borderId="46" xfId="17" applyFont="1" applyFill="1" applyBorder="1" applyAlignment="1" applyProtection="1">
      <alignment horizontal="center" vertical="center"/>
      <protection hidden="1"/>
    </xf>
    <xf numFmtId="0" fontId="88" fillId="6" borderId="45" xfId="17" applyFont="1" applyFill="1" applyBorder="1" applyAlignment="1" applyProtection="1">
      <alignment horizontal="center" vertical="center"/>
      <protection hidden="1"/>
    </xf>
    <xf numFmtId="0" fontId="88" fillId="6" borderId="31" xfId="17" applyFont="1" applyFill="1" applyBorder="1" applyAlignment="1" applyProtection="1">
      <alignment horizontal="center" vertical="center" wrapText="1"/>
      <protection hidden="1"/>
    </xf>
    <xf numFmtId="0" fontId="88" fillId="6" borderId="44" xfId="17" applyFont="1" applyFill="1" applyBorder="1" applyAlignment="1" applyProtection="1">
      <alignment horizontal="center" vertical="center" wrapText="1"/>
      <protection hidden="1"/>
    </xf>
    <xf numFmtId="0" fontId="87" fillId="6" borderId="29" xfId="9" applyFont="1" applyFill="1" applyBorder="1" applyAlignment="1" applyProtection="1">
      <alignment horizontal="center" vertical="center"/>
      <protection hidden="1"/>
    </xf>
    <xf numFmtId="1" fontId="189" fillId="26" borderId="114" xfId="9" applyNumberFormat="1" applyFont="1" applyFill="1" applyBorder="1" applyAlignment="1" applyProtection="1">
      <alignment horizontal="center" vertical="center"/>
      <protection hidden="1"/>
    </xf>
    <xf numFmtId="1" fontId="189" fillId="26" borderId="113" xfId="9" applyNumberFormat="1" applyFont="1" applyFill="1" applyBorder="1" applyAlignment="1" applyProtection="1">
      <alignment horizontal="center" vertical="center"/>
      <protection hidden="1"/>
    </xf>
    <xf numFmtId="0" fontId="40" fillId="6" borderId="122" xfId="9" applyFont="1" applyFill="1" applyBorder="1" applyAlignment="1" applyProtection="1">
      <alignment horizontal="center"/>
      <protection hidden="1"/>
    </xf>
    <xf numFmtId="1" fontId="91" fillId="27" borderId="30" xfId="9" applyNumberFormat="1" applyFont="1" applyFill="1" applyBorder="1" applyAlignment="1" applyProtection="1">
      <alignment horizontal="center" vertical="center"/>
      <protection hidden="1"/>
    </xf>
    <xf numFmtId="1" fontId="91" fillId="27" borderId="0" xfId="9" applyNumberFormat="1" applyFont="1" applyFill="1" applyBorder="1" applyAlignment="1" applyProtection="1">
      <alignment horizontal="center" vertical="center"/>
      <protection hidden="1"/>
    </xf>
    <xf numFmtId="1" fontId="91" fillId="27" borderId="121" xfId="9" applyNumberFormat="1" applyFont="1" applyFill="1" applyBorder="1" applyAlignment="1" applyProtection="1">
      <alignment horizontal="center" vertical="center"/>
      <protection hidden="1"/>
    </xf>
    <xf numFmtId="1" fontId="91" fillId="27" borderId="118" xfId="9" applyNumberFormat="1" applyFont="1" applyFill="1" applyBorder="1" applyAlignment="1" applyProtection="1">
      <alignment horizontal="center" vertical="center"/>
      <protection hidden="1"/>
    </xf>
    <xf numFmtId="1" fontId="91" fillId="27" borderId="117" xfId="9" applyNumberFormat="1" applyFont="1" applyFill="1" applyBorder="1" applyAlignment="1" applyProtection="1">
      <alignment horizontal="center" vertical="center"/>
      <protection hidden="1"/>
    </xf>
    <xf numFmtId="1" fontId="91" fillId="27" borderId="115" xfId="9" applyNumberFormat="1" applyFont="1" applyFill="1" applyBorder="1" applyAlignment="1" applyProtection="1">
      <alignment horizontal="center" vertical="center"/>
      <protection hidden="1"/>
    </xf>
    <xf numFmtId="0" fontId="191" fillId="6" borderId="29" xfId="9" applyFont="1" applyFill="1" applyBorder="1" applyAlignment="1" applyProtection="1">
      <alignment horizontal="center" vertical="center"/>
      <protection hidden="1"/>
    </xf>
    <xf numFmtId="0" fontId="102" fillId="30" borderId="0" xfId="20" applyFont="1" applyFill="1" applyBorder="1" applyAlignment="1" applyProtection="1">
      <alignment horizontal="center" vertical="center"/>
      <protection hidden="1"/>
    </xf>
    <xf numFmtId="0" fontId="74" fillId="6" borderId="0" xfId="20" applyFont="1" applyFill="1" applyBorder="1" applyAlignment="1" applyProtection="1">
      <alignment horizontal="center" vertical="center"/>
      <protection hidden="1"/>
    </xf>
    <xf numFmtId="0" fontId="74" fillId="6" borderId="160" xfId="20" applyFont="1" applyFill="1" applyBorder="1" applyAlignment="1" applyProtection="1">
      <alignment horizontal="center" vertical="center"/>
      <protection hidden="1"/>
    </xf>
    <xf numFmtId="0" fontId="102" fillId="6" borderId="66" xfId="20" applyFont="1" applyFill="1" applyBorder="1" applyAlignment="1" applyProtection="1">
      <alignment horizontal="center"/>
      <protection hidden="1"/>
    </xf>
    <xf numFmtId="0" fontId="102" fillId="6" borderId="0" xfId="20" applyFont="1" applyFill="1" applyBorder="1" applyAlignment="1" applyProtection="1">
      <alignment horizontal="center" vertical="center"/>
      <protection hidden="1"/>
    </xf>
    <xf numFmtId="0" fontId="87" fillId="6" borderId="0" xfId="20" applyFont="1" applyFill="1" applyAlignment="1" applyProtection="1">
      <alignment horizontal="right" vertical="center"/>
      <protection hidden="1"/>
    </xf>
    <xf numFmtId="0" fontId="119" fillId="6" borderId="0" xfId="20" applyFont="1" applyFill="1" applyAlignment="1" applyProtection="1">
      <alignment horizontal="center" vertical="center"/>
      <protection hidden="1"/>
    </xf>
    <xf numFmtId="0" fontId="87" fillId="6" borderId="36" xfId="18" applyFont="1" applyFill="1" applyBorder="1" applyAlignment="1" applyProtection="1">
      <alignment horizontal="center"/>
      <protection hidden="1"/>
    </xf>
    <xf numFmtId="0" fontId="87" fillId="6" borderId="35" xfId="18" applyFont="1" applyFill="1" applyBorder="1" applyAlignment="1" applyProtection="1">
      <alignment horizontal="center"/>
      <protection hidden="1"/>
    </xf>
    <xf numFmtId="0" fontId="87" fillId="6" borderId="34" xfId="18" applyFont="1" applyFill="1" applyBorder="1" applyAlignment="1" applyProtection="1">
      <alignment horizontal="center"/>
      <protection hidden="1"/>
    </xf>
    <xf numFmtId="1" fontId="87" fillId="6" borderId="0" xfId="18" applyNumberFormat="1" applyFont="1" applyFill="1" applyBorder="1" applyAlignment="1" applyProtection="1">
      <alignment horizontal="center" vertical="center" wrapText="1"/>
      <protection hidden="1"/>
    </xf>
    <xf numFmtId="0" fontId="102" fillId="6" borderId="0" xfId="18" applyFont="1" applyFill="1" applyBorder="1" applyAlignment="1" applyProtection="1">
      <alignment horizontal="left" vertical="center"/>
      <protection hidden="1"/>
    </xf>
    <xf numFmtId="0" fontId="87" fillId="6" borderId="43" xfId="18" applyFont="1" applyFill="1" applyBorder="1" applyAlignment="1" applyProtection="1">
      <alignment horizontal="center" vertical="center" wrapText="1"/>
      <protection hidden="1"/>
    </xf>
    <xf numFmtId="0" fontId="87" fillId="6" borderId="28" xfId="18" applyFont="1" applyFill="1" applyBorder="1" applyAlignment="1" applyProtection="1">
      <alignment horizontal="center" vertical="center" wrapText="1"/>
      <protection hidden="1"/>
    </xf>
    <xf numFmtId="0" fontId="87" fillId="6" borderId="47" xfId="18" applyFont="1" applyFill="1" applyBorder="1" applyAlignment="1" applyProtection="1">
      <alignment horizontal="center" vertical="center" wrapText="1"/>
      <protection hidden="1"/>
    </xf>
    <xf numFmtId="0" fontId="87" fillId="6" borderId="143" xfId="18" applyFont="1" applyFill="1" applyBorder="1" applyAlignment="1" applyProtection="1">
      <alignment horizontal="center" vertical="center" wrapText="1"/>
      <protection hidden="1"/>
    </xf>
    <xf numFmtId="0" fontId="87" fillId="6" borderId="142" xfId="18" applyFont="1" applyFill="1" applyBorder="1" applyAlignment="1" applyProtection="1">
      <alignment horizontal="center" vertical="center" wrapText="1"/>
      <protection hidden="1"/>
    </xf>
    <xf numFmtId="0" fontId="87" fillId="6" borderId="141" xfId="18" applyFont="1" applyFill="1" applyBorder="1" applyAlignment="1" applyProtection="1">
      <alignment horizontal="center" vertical="center" wrapText="1"/>
      <protection hidden="1"/>
    </xf>
    <xf numFmtId="1" fontId="87" fillId="6" borderId="33" xfId="18" applyNumberFormat="1" applyFont="1" applyFill="1" applyBorder="1" applyAlignment="1" applyProtection="1">
      <alignment horizontal="center" vertical="center"/>
      <protection hidden="1"/>
    </xf>
    <xf numFmtId="1" fontId="87" fillId="6" borderId="140" xfId="18" applyNumberFormat="1" applyFont="1" applyFill="1" applyBorder="1" applyAlignment="1" applyProtection="1">
      <alignment horizontal="center" vertical="center"/>
      <protection hidden="1"/>
    </xf>
    <xf numFmtId="0" fontId="427" fillId="6" borderId="0" xfId="20" applyFont="1" applyFill="1" applyAlignment="1" applyProtection="1">
      <alignment horizontal="left" vertical="center"/>
      <protection hidden="1"/>
    </xf>
    <xf numFmtId="0" fontId="87" fillId="6" borderId="0" xfId="18" applyFont="1" applyFill="1" applyBorder="1" applyAlignment="1" applyProtection="1">
      <alignment horizontal="left" vertical="center" wrapText="1"/>
      <protection hidden="1"/>
    </xf>
    <xf numFmtId="0" fontId="87" fillId="6" borderId="0" xfId="18" applyFont="1" applyFill="1" applyBorder="1" applyAlignment="1" applyProtection="1">
      <alignment horizontal="left" vertical="center"/>
      <protection hidden="1"/>
    </xf>
    <xf numFmtId="0" fontId="87" fillId="25" borderId="29" xfId="18" applyFont="1" applyFill="1" applyBorder="1" applyAlignment="1" applyProtection="1">
      <alignment horizontal="center" vertical="center"/>
      <protection hidden="1"/>
    </xf>
    <xf numFmtId="0" fontId="87" fillId="25" borderId="29" xfId="18" applyFont="1" applyFill="1" applyBorder="1" applyAlignment="1" applyProtection="1">
      <alignment horizontal="center" vertical="center" wrapText="1"/>
      <protection hidden="1"/>
    </xf>
    <xf numFmtId="0" fontId="55" fillId="6" borderId="19" xfId="20" applyFont="1" applyFill="1" applyBorder="1" applyAlignment="1" applyProtection="1">
      <alignment horizontal="center" vertical="center"/>
      <protection hidden="1"/>
    </xf>
    <xf numFmtId="0" fontId="55" fillId="6" borderId="17" xfId="20" applyFont="1" applyFill="1" applyBorder="1" applyAlignment="1" applyProtection="1">
      <alignment horizontal="center" vertical="center"/>
      <protection hidden="1"/>
    </xf>
    <xf numFmtId="0" fontId="32" fillId="6" borderId="18" xfId="18" applyFont="1" applyFill="1" applyBorder="1" applyAlignment="1" applyProtection="1">
      <alignment horizontal="center" vertical="center"/>
      <protection hidden="1"/>
    </xf>
    <xf numFmtId="0" fontId="32" fillId="6" borderId="17" xfId="18" applyFont="1" applyFill="1" applyBorder="1" applyAlignment="1" applyProtection="1">
      <alignment horizontal="center" vertical="center"/>
      <protection hidden="1"/>
    </xf>
    <xf numFmtId="0" fontId="12" fillId="6" borderId="159" xfId="18" applyFont="1" applyFill="1" applyBorder="1" applyAlignment="1" applyProtection="1">
      <alignment horizontal="center" vertical="center"/>
      <protection hidden="1"/>
    </xf>
    <xf numFmtId="0" fontId="102" fillId="6" borderId="0" xfId="9" applyFont="1" applyFill="1" applyAlignment="1" applyProtection="1">
      <alignment horizontal="left" vertical="center"/>
      <protection hidden="1"/>
    </xf>
    <xf numFmtId="0" fontId="55" fillId="6" borderId="159" xfId="18" applyFont="1" applyFill="1" applyBorder="1" applyAlignment="1" applyProtection="1">
      <alignment horizontal="center" vertical="center"/>
      <protection hidden="1"/>
    </xf>
    <xf numFmtId="1" fontId="55" fillId="6" borderId="19" xfId="20" applyNumberFormat="1" applyFont="1" applyFill="1" applyBorder="1" applyAlignment="1" applyProtection="1">
      <alignment horizontal="center" vertical="center"/>
      <protection hidden="1"/>
    </xf>
    <xf numFmtId="0" fontId="428" fillId="6" borderId="0" xfId="20" applyFont="1" applyFill="1" applyAlignment="1" applyProtection="1">
      <alignment horizontal="center" vertical="center"/>
      <protection hidden="1"/>
    </xf>
    <xf numFmtId="0" fontId="167" fillId="6" borderId="272" xfId="20" applyFont="1" applyFill="1" applyBorder="1" applyAlignment="1" applyProtection="1">
      <alignment horizontal="center" vertical="center" wrapText="1"/>
      <protection hidden="1"/>
    </xf>
    <xf numFmtId="0" fontId="167" fillId="6" borderId="273" xfId="20" applyFont="1" applyFill="1" applyBorder="1" applyAlignment="1" applyProtection="1">
      <alignment horizontal="center" vertical="center" wrapText="1"/>
      <protection hidden="1"/>
    </xf>
    <xf numFmtId="0" fontId="167" fillId="6" borderId="274" xfId="20" applyFont="1" applyFill="1" applyBorder="1" applyAlignment="1" applyProtection="1">
      <alignment horizontal="center" vertical="center" wrapText="1"/>
      <protection hidden="1"/>
    </xf>
    <xf numFmtId="0" fontId="167" fillId="6" borderId="275" xfId="20" applyFont="1" applyFill="1" applyBorder="1" applyAlignment="1" applyProtection="1">
      <alignment horizontal="center" vertical="center" wrapText="1"/>
      <protection hidden="1"/>
    </xf>
    <xf numFmtId="0" fontId="167" fillId="6" borderId="276" xfId="20" applyFont="1" applyFill="1" applyBorder="1" applyAlignment="1" applyProtection="1">
      <alignment horizontal="center" vertical="center" wrapText="1"/>
      <protection hidden="1"/>
    </xf>
    <xf numFmtId="0" fontId="167" fillId="6" borderId="277" xfId="20" applyFont="1" applyFill="1" applyBorder="1" applyAlignment="1" applyProtection="1">
      <alignment horizontal="center" vertical="center" wrapText="1"/>
      <protection hidden="1"/>
    </xf>
    <xf numFmtId="0" fontId="39" fillId="6" borderId="0" xfId="0" applyFont="1" applyFill="1" applyAlignment="1" applyProtection="1">
      <alignment horizontal="center"/>
      <protection hidden="1"/>
    </xf>
    <xf numFmtId="0" fontId="39" fillId="6" borderId="0" xfId="0" applyFont="1" applyFill="1" applyBorder="1" applyAlignment="1" applyProtection="1">
      <alignment horizontal="center" vertical="center" wrapText="1"/>
      <protection hidden="1"/>
    </xf>
    <xf numFmtId="0" fontId="39" fillId="6" borderId="0" xfId="0" applyFont="1" applyFill="1" applyBorder="1" applyAlignment="1" applyProtection="1">
      <alignment horizontal="center"/>
      <protection hidden="1"/>
    </xf>
    <xf numFmtId="0" fontId="28" fillId="15" borderId="16" xfId="0" applyFont="1" applyFill="1" applyBorder="1" applyAlignment="1" applyProtection="1">
      <alignment horizontal="center" vertical="center" wrapText="1"/>
      <protection hidden="1"/>
    </xf>
    <xf numFmtId="0" fontId="27" fillId="15" borderId="16" xfId="0" applyFont="1" applyFill="1" applyBorder="1" applyAlignment="1" applyProtection="1">
      <alignment horizontal="center" vertical="center" wrapText="1"/>
      <protection hidden="1"/>
    </xf>
    <xf numFmtId="0" fontId="277" fillId="15" borderId="271" xfId="0" applyFont="1" applyFill="1" applyBorder="1" applyAlignment="1" applyProtection="1">
      <alignment horizontal="center" vertical="center" textRotation="45"/>
      <protection hidden="1"/>
    </xf>
    <xf numFmtId="0" fontId="277" fillId="15" borderId="0" xfId="0" applyFont="1" applyFill="1" applyBorder="1" applyAlignment="1" applyProtection="1">
      <alignment horizontal="center" vertical="center" textRotation="45"/>
      <protection hidden="1"/>
    </xf>
    <xf numFmtId="0" fontId="28" fillId="15" borderId="0" xfId="17" applyFont="1" applyFill="1" applyBorder="1" applyAlignment="1" applyProtection="1">
      <alignment horizontal="center" vertical="center"/>
      <protection hidden="1"/>
    </xf>
    <xf numFmtId="0" fontId="277" fillId="15" borderId="0" xfId="17" applyFont="1" applyFill="1" applyBorder="1" applyAlignment="1" applyProtection="1">
      <alignment horizontal="center" vertical="center"/>
      <protection hidden="1"/>
    </xf>
    <xf numFmtId="0" fontId="26" fillId="15" borderId="16" xfId="0" applyFont="1" applyFill="1" applyBorder="1" applyAlignment="1" applyProtection="1">
      <alignment horizontal="center" vertical="center"/>
      <protection hidden="1"/>
    </xf>
    <xf numFmtId="0" fontId="27" fillId="15" borderId="16" xfId="0" applyFont="1" applyFill="1" applyBorder="1" applyAlignment="1" applyProtection="1">
      <alignment horizontal="right" vertical="center"/>
      <protection hidden="1"/>
    </xf>
    <xf numFmtId="0" fontId="27" fillId="15" borderId="16" xfId="0" applyFont="1" applyFill="1" applyBorder="1" applyAlignment="1" applyProtection="1">
      <alignment horizontal="right" vertical="center" wrapText="1"/>
      <protection hidden="1"/>
    </xf>
    <xf numFmtId="0" fontId="95" fillId="17" borderId="0" xfId="0" applyFont="1" applyFill="1" applyAlignment="1" applyProtection="1">
      <alignment horizontal="center" vertical="center"/>
      <protection hidden="1"/>
    </xf>
    <xf numFmtId="0" fontId="95" fillId="17" borderId="0" xfId="0" applyFont="1" applyFill="1" applyAlignment="1" applyProtection="1">
      <alignment horizontal="center" vertical="center" wrapText="1"/>
      <protection hidden="1"/>
    </xf>
    <xf numFmtId="0" fontId="95" fillId="17" borderId="11" xfId="0" applyFont="1" applyFill="1" applyBorder="1" applyAlignment="1" applyProtection="1">
      <alignment horizontal="center" vertical="center" wrapText="1"/>
      <protection hidden="1"/>
    </xf>
    <xf numFmtId="0" fontId="26" fillId="15" borderId="16" xfId="0" applyFont="1" applyFill="1" applyBorder="1" applyAlignment="1" applyProtection="1">
      <alignment horizontal="center" vertical="center" wrapText="1"/>
      <protection hidden="1"/>
    </xf>
    <xf numFmtId="10" fontId="465" fillId="17" borderId="15" xfId="0" applyNumberFormat="1" applyFont="1" applyFill="1" applyBorder="1" applyAlignment="1" applyProtection="1">
      <alignment horizontal="center" vertical="center"/>
      <protection hidden="1"/>
    </xf>
    <xf numFmtId="10" fontId="465" fillId="17" borderId="0" xfId="0" applyNumberFormat="1" applyFont="1" applyFill="1" applyAlignment="1" applyProtection="1">
      <alignment horizontal="center" vertical="center"/>
      <protection hidden="1"/>
    </xf>
    <xf numFmtId="0" fontId="194" fillId="17" borderId="72" xfId="0" applyFont="1" applyFill="1" applyBorder="1" applyAlignment="1" applyProtection="1">
      <alignment horizontal="center" vertical="top"/>
      <protection hidden="1"/>
    </xf>
    <xf numFmtId="0" fontId="466" fillId="6" borderId="0" xfId="3" applyFont="1" applyFill="1" applyAlignment="1" applyProtection="1">
      <alignment horizontal="center" vertical="center"/>
      <protection hidden="1"/>
    </xf>
    <xf numFmtId="10" fontId="30" fillId="13" borderId="3" xfId="0" applyNumberFormat="1" applyFont="1" applyFill="1" applyBorder="1" applyAlignment="1" applyProtection="1">
      <alignment horizontal="center" vertical="center"/>
      <protection hidden="1"/>
    </xf>
    <xf numFmtId="10" fontId="30" fillId="13" borderId="5" xfId="0" applyNumberFormat="1" applyFont="1" applyFill="1" applyBorder="1" applyAlignment="1" applyProtection="1">
      <alignment horizontal="center" vertical="center"/>
      <protection hidden="1"/>
    </xf>
    <xf numFmtId="0" fontId="29" fillId="64" borderId="89" xfId="0" applyFont="1" applyFill="1" applyBorder="1" applyAlignment="1" applyProtection="1">
      <alignment horizontal="center" vertical="center"/>
      <protection hidden="1"/>
    </xf>
    <xf numFmtId="0" fontId="202" fillId="15" borderId="221" xfId="21" applyFont="1" applyFill="1" applyBorder="1" applyAlignment="1" applyProtection="1">
      <alignment horizontal="center" vertical="center" wrapText="1"/>
      <protection hidden="1"/>
    </xf>
    <xf numFmtId="0" fontId="202" fillId="15" borderId="0" xfId="21" applyFont="1" applyFill="1" applyBorder="1" applyAlignment="1" applyProtection="1">
      <alignment horizontal="center" vertical="center" wrapText="1"/>
      <protection hidden="1"/>
    </xf>
    <xf numFmtId="0" fontId="20" fillId="13" borderId="263" xfId="0" applyFont="1" applyFill="1" applyBorder="1" applyAlignment="1" applyProtection="1">
      <alignment horizontal="center" vertical="center"/>
      <protection hidden="1"/>
    </xf>
    <xf numFmtId="0" fontId="20" fillId="13" borderId="264" xfId="0" applyFont="1" applyFill="1" applyBorder="1" applyAlignment="1" applyProtection="1">
      <alignment horizontal="center" vertical="center"/>
      <protection hidden="1"/>
    </xf>
    <xf numFmtId="0" fontId="32" fillId="12" borderId="263" xfId="14" applyFont="1" applyFill="1" applyBorder="1" applyAlignment="1" applyProtection="1">
      <alignment horizontal="center" vertical="center"/>
      <protection hidden="1"/>
    </xf>
    <xf numFmtId="0" fontId="32" fillId="12" borderId="264" xfId="14" applyFont="1" applyFill="1" applyBorder="1" applyAlignment="1" applyProtection="1">
      <alignment horizontal="center" vertical="center"/>
      <protection hidden="1"/>
    </xf>
    <xf numFmtId="0" fontId="22" fillId="14" borderId="15" xfId="0" applyFont="1" applyFill="1" applyBorder="1" applyAlignment="1" applyProtection="1">
      <alignment horizontal="center" vertical="center" wrapText="1"/>
      <protection hidden="1"/>
    </xf>
    <xf numFmtId="0" fontId="22" fillId="14" borderId="13" xfId="0" applyFont="1" applyFill="1" applyBorder="1" applyAlignment="1" applyProtection="1">
      <alignment horizontal="center" vertical="center" wrapText="1"/>
      <protection hidden="1"/>
    </xf>
    <xf numFmtId="0" fontId="25" fillId="15" borderId="16" xfId="0" applyFont="1" applyFill="1" applyBorder="1" applyAlignment="1" applyProtection="1">
      <alignment horizontal="center" vertical="center"/>
      <protection hidden="1"/>
    </xf>
    <xf numFmtId="0" fontId="26" fillId="16" borderId="16" xfId="0" applyFont="1" applyFill="1" applyBorder="1" applyAlignment="1" applyProtection="1">
      <alignment horizontal="center" vertical="center"/>
      <protection hidden="1"/>
    </xf>
    <xf numFmtId="0" fontId="0" fillId="17" borderId="0" xfId="0" applyFill="1" applyAlignment="1" applyProtection="1">
      <alignment horizontal="center"/>
      <protection hidden="1"/>
    </xf>
    <xf numFmtId="0" fontId="468" fillId="64" borderId="89" xfId="0" applyFont="1" applyFill="1" applyBorder="1" applyAlignment="1" applyProtection="1">
      <alignment horizontal="center"/>
      <protection hidden="1"/>
    </xf>
    <xf numFmtId="0" fontId="415" fillId="17" borderId="0" xfId="21" applyFont="1" applyFill="1" applyAlignment="1" applyProtection="1">
      <alignment horizontal="center" vertical="center"/>
      <protection hidden="1"/>
    </xf>
    <xf numFmtId="1" fontId="20" fillId="13" borderId="6" xfId="0" applyNumberFormat="1" applyFont="1" applyFill="1" applyBorder="1" applyAlignment="1" applyProtection="1">
      <alignment horizontal="center" vertical="center"/>
      <protection hidden="1"/>
    </xf>
    <xf numFmtId="0" fontId="20" fillId="13" borderId="10" xfId="0" applyFont="1" applyFill="1" applyBorder="1" applyAlignment="1" applyProtection="1">
      <alignment horizontal="center" vertical="center"/>
      <protection hidden="1"/>
    </xf>
    <xf numFmtId="0" fontId="19" fillId="17" borderId="0" xfId="0" applyFont="1" applyFill="1" applyAlignment="1" applyProtection="1">
      <alignment horizontal="center" vertical="center" wrapText="1"/>
      <protection hidden="1"/>
    </xf>
    <xf numFmtId="0" fontId="20" fillId="13" borderId="6" xfId="0" applyFont="1" applyFill="1" applyBorder="1" applyAlignment="1" applyProtection="1">
      <alignment horizontal="center" vertical="center" wrapText="1"/>
      <protection hidden="1"/>
    </xf>
    <xf numFmtId="0" fontId="20" fillId="13" borderId="9" xfId="0" applyFont="1" applyFill="1" applyBorder="1" applyAlignment="1" applyProtection="1">
      <alignment horizontal="center" vertical="center" wrapText="1"/>
      <protection hidden="1"/>
    </xf>
    <xf numFmtId="0" fontId="20" fillId="13" borderId="10" xfId="0" applyFont="1" applyFill="1" applyBorder="1" applyAlignment="1" applyProtection="1">
      <alignment horizontal="center" vertical="center" wrapText="1"/>
      <protection hidden="1"/>
    </xf>
    <xf numFmtId="0" fontId="20" fillId="13" borderId="7" xfId="0" applyFont="1" applyFill="1" applyBorder="1" applyAlignment="1" applyProtection="1">
      <alignment horizontal="center" vertical="center" wrapText="1"/>
      <protection hidden="1"/>
    </xf>
    <xf numFmtId="0" fontId="20" fillId="13" borderId="11" xfId="0" applyFont="1" applyFill="1" applyBorder="1" applyAlignment="1" applyProtection="1">
      <alignment horizontal="center" vertical="center" wrapText="1"/>
      <protection hidden="1"/>
    </xf>
    <xf numFmtId="0" fontId="20" fillId="13" borderId="12" xfId="0" applyFont="1" applyFill="1" applyBorder="1" applyAlignment="1" applyProtection="1">
      <alignment horizontal="center" vertical="center" wrapText="1"/>
      <protection hidden="1"/>
    </xf>
    <xf numFmtId="0" fontId="33" fillId="17" borderId="0" xfId="0" applyFont="1" applyFill="1" applyBorder="1" applyAlignment="1" applyProtection="1">
      <alignment horizontal="center" vertical="center"/>
      <protection hidden="1"/>
    </xf>
    <xf numFmtId="0" fontId="12" fillId="12" borderId="6" xfId="0" applyFont="1" applyFill="1" applyBorder="1" applyAlignment="1" applyProtection="1">
      <alignment horizontal="center"/>
      <protection hidden="1"/>
    </xf>
    <xf numFmtId="0" fontId="12" fillId="12" borderId="10" xfId="0" applyFont="1" applyFill="1" applyBorder="1" applyAlignment="1" applyProtection="1">
      <alignment horizontal="center"/>
      <protection hidden="1"/>
    </xf>
    <xf numFmtId="0" fontId="12" fillId="12" borderId="7" xfId="0" applyFont="1" applyFill="1" applyBorder="1" applyAlignment="1" applyProtection="1">
      <alignment horizontal="center"/>
      <protection hidden="1"/>
    </xf>
    <xf numFmtId="0" fontId="12" fillId="12" borderId="12" xfId="0" applyFont="1" applyFill="1" applyBorder="1" applyAlignment="1" applyProtection="1">
      <alignment horizontal="center"/>
      <protection hidden="1"/>
    </xf>
    <xf numFmtId="0" fontId="12" fillId="12" borderId="3" xfId="0" applyFont="1" applyFill="1" applyBorder="1" applyAlignment="1" applyProtection="1">
      <alignment horizontal="center"/>
      <protection hidden="1"/>
    </xf>
    <xf numFmtId="0" fontId="12" fillId="12" borderId="5" xfId="0" applyFont="1" applyFill="1" applyBorder="1" applyAlignment="1" applyProtection="1">
      <alignment horizontal="center"/>
      <protection hidden="1"/>
    </xf>
    <xf numFmtId="0" fontId="12" fillId="12" borderId="3" xfId="0" applyFont="1" applyFill="1" applyBorder="1" applyAlignment="1" applyProtection="1">
      <alignment horizontal="left" vertical="center"/>
      <protection hidden="1"/>
    </xf>
    <xf numFmtId="0" fontId="12" fillId="12" borderId="4" xfId="0" applyFont="1" applyFill="1" applyBorder="1" applyAlignment="1" applyProtection="1">
      <alignment horizontal="left" vertical="center"/>
      <protection hidden="1"/>
    </xf>
    <xf numFmtId="0" fontId="12" fillId="12" borderId="5" xfId="0" applyFont="1" applyFill="1" applyBorder="1" applyAlignment="1" applyProtection="1">
      <alignment horizontal="left" vertical="center"/>
      <protection hidden="1"/>
    </xf>
    <xf numFmtId="0" fontId="189" fillId="17" borderId="0" xfId="0" applyFont="1" applyFill="1" applyAlignment="1" applyProtection="1">
      <alignment horizontal="center" vertical="center" wrapText="1"/>
      <protection hidden="1"/>
    </xf>
    <xf numFmtId="0" fontId="29" fillId="17" borderId="0" xfId="0" applyFont="1" applyFill="1" applyAlignment="1" applyProtection="1">
      <alignment horizontal="center" vertical="center"/>
      <protection hidden="1"/>
    </xf>
    <xf numFmtId="0" fontId="63" fillId="17" borderId="0" xfId="21" applyFill="1" applyAlignment="1" applyProtection="1">
      <alignment horizontal="center"/>
      <protection hidden="1"/>
    </xf>
    <xf numFmtId="0" fontId="467" fillId="6" borderId="0" xfId="0" applyFont="1" applyFill="1" applyAlignment="1" applyProtection="1">
      <alignment horizontal="center" vertical="center" wrapText="1"/>
      <protection hidden="1"/>
    </xf>
    <xf numFmtId="0" fontId="28" fillId="15" borderId="270" xfId="0" applyFont="1" applyFill="1" applyBorder="1" applyAlignment="1" applyProtection="1">
      <alignment horizontal="left" vertical="center"/>
      <protection hidden="1"/>
    </xf>
    <xf numFmtId="0" fontId="277" fillId="15" borderId="0" xfId="0" applyFont="1" applyFill="1" applyAlignment="1" applyProtection="1">
      <alignment horizontal="center" vertical="center"/>
      <protection hidden="1"/>
    </xf>
    <xf numFmtId="0" fontId="95" fillId="64" borderId="89" xfId="0" applyFont="1" applyFill="1" applyBorder="1" applyAlignment="1" applyProtection="1">
      <alignment horizontal="center" vertical="center"/>
      <protection hidden="1"/>
    </xf>
    <xf numFmtId="0" fontId="463" fillId="6" borderId="0" xfId="3" applyFont="1" applyFill="1" applyAlignment="1" applyProtection="1">
      <alignment horizontal="left" vertical="center"/>
      <protection hidden="1"/>
    </xf>
    <xf numFmtId="0" fontId="464" fillId="6" borderId="0" xfId="3" applyFont="1" applyFill="1" applyAlignment="1" applyProtection="1">
      <alignment horizontal="center" vertical="center"/>
      <protection hidden="1"/>
    </xf>
    <xf numFmtId="0" fontId="276" fillId="71" borderId="0" xfId="17" applyFont="1" applyFill="1" applyBorder="1" applyAlignment="1" applyProtection="1">
      <alignment horizontal="right" vertical="center"/>
      <protection hidden="1"/>
    </xf>
    <xf numFmtId="0" fontId="274" fillId="71" borderId="0" xfId="17" applyFont="1" applyFill="1" applyBorder="1" applyAlignment="1" applyProtection="1">
      <alignment horizontal="right" vertical="center"/>
      <protection hidden="1"/>
    </xf>
    <xf numFmtId="0" fontId="272" fillId="10" borderId="164" xfId="14" applyFont="1" applyBorder="1" applyAlignment="1" applyProtection="1">
      <alignment horizontal="left" vertical="center"/>
      <protection hidden="1"/>
    </xf>
    <xf numFmtId="0" fontId="272" fillId="10" borderId="165" xfId="14" applyFont="1" applyBorder="1" applyAlignment="1" applyProtection="1">
      <alignment horizontal="left" vertical="center"/>
      <protection hidden="1"/>
    </xf>
    <xf numFmtId="0" fontId="119" fillId="71" borderId="0" xfId="24" applyFont="1" applyFill="1" applyAlignment="1" applyProtection="1">
      <alignment horizontal="left" vertical="center" wrapText="1"/>
      <protection hidden="1"/>
    </xf>
    <xf numFmtId="0" fontId="119" fillId="71" borderId="0" xfId="0" applyFont="1" applyFill="1" applyAlignment="1" applyProtection="1">
      <alignment horizontal="center" vertical="top"/>
      <protection hidden="1"/>
    </xf>
    <xf numFmtId="0" fontId="119" fillId="34" borderId="0" xfId="24" applyFont="1" applyFill="1" applyAlignment="1" applyProtection="1">
      <alignment horizontal="right" vertical="center"/>
      <protection hidden="1"/>
    </xf>
    <xf numFmtId="0" fontId="273" fillId="15" borderId="0" xfId="24" applyFont="1" applyFill="1" applyAlignment="1" applyProtection="1">
      <alignment horizontal="left" vertical="center"/>
      <protection hidden="1"/>
    </xf>
    <xf numFmtId="0" fontId="124" fillId="71" borderId="0" xfId="24" applyFont="1" applyFill="1" applyAlignment="1" applyProtection="1">
      <alignment horizontal="center" vertical="center"/>
      <protection hidden="1"/>
    </xf>
    <xf numFmtId="0" fontId="461" fillId="6" borderId="0" xfId="0" applyFont="1" applyFill="1" applyAlignment="1" applyProtection="1">
      <alignment horizontal="center"/>
      <protection hidden="1"/>
    </xf>
    <xf numFmtId="0" fontId="414" fillId="71" borderId="0" xfId="17" applyFont="1" applyFill="1" applyBorder="1" applyAlignment="1" applyProtection="1">
      <alignment horizontal="center" vertical="center"/>
      <protection hidden="1"/>
    </xf>
    <xf numFmtId="0" fontId="462" fillId="71" borderId="0" xfId="0" applyFont="1" applyFill="1" applyAlignment="1" applyProtection="1">
      <alignment horizontal="center"/>
      <protection hidden="1"/>
    </xf>
    <xf numFmtId="0" fontId="0" fillId="71" borderId="0" xfId="0" applyFill="1" applyAlignment="1" applyProtection="1">
      <alignment horizontal="center"/>
      <protection hidden="1"/>
    </xf>
    <xf numFmtId="0" fontId="275" fillId="71" borderId="0" xfId="9" applyFont="1" applyFill="1" applyAlignment="1" applyProtection="1">
      <alignment horizontal="center" vertical="center" wrapText="1"/>
      <protection hidden="1"/>
    </xf>
    <xf numFmtId="0" fontId="100" fillId="71" borderId="0" xfId="9" applyFont="1" applyFill="1" applyAlignment="1" applyProtection="1">
      <alignment horizontal="center"/>
      <protection hidden="1"/>
    </xf>
    <xf numFmtId="0" fontId="274" fillId="71" borderId="0" xfId="17" applyFont="1" applyFill="1" applyBorder="1" applyAlignment="1" applyProtection="1">
      <alignment horizontal="center" vertical="center"/>
      <protection hidden="1"/>
    </xf>
    <xf numFmtId="0" fontId="232" fillId="71" borderId="0" xfId="24" applyFont="1" applyFill="1" applyBorder="1" applyAlignment="1" applyProtection="1">
      <alignment horizontal="left" vertical="center" wrapText="1"/>
      <protection hidden="1"/>
    </xf>
    <xf numFmtId="0" fontId="276" fillId="71" borderId="0" xfId="17" applyFont="1" applyFill="1" applyBorder="1" applyAlignment="1" applyProtection="1">
      <alignment horizontal="center" vertical="center"/>
      <protection hidden="1"/>
    </xf>
    <xf numFmtId="0" fontId="403" fillId="0" borderId="0" xfId="9" applyFont="1" applyBorder="1" applyAlignment="1" applyProtection="1">
      <alignment horizontal="left" vertical="top" wrapText="1"/>
      <protection hidden="1"/>
    </xf>
    <xf numFmtId="0" fontId="403" fillId="0" borderId="232" xfId="9" applyFont="1" applyBorder="1" applyAlignment="1" applyProtection="1">
      <alignment horizontal="left" vertical="top" wrapText="1"/>
      <protection hidden="1"/>
    </xf>
    <xf numFmtId="0" fontId="87" fillId="6" borderId="256" xfId="18" applyFont="1" applyFill="1" applyBorder="1" applyAlignment="1" applyProtection="1">
      <alignment horizontal="center" vertical="center" wrapText="1"/>
      <protection hidden="1"/>
    </xf>
    <xf numFmtId="0" fontId="93" fillId="0" borderId="0" xfId="9" applyFont="1" applyBorder="1" applyAlignment="1" applyProtection="1">
      <alignment horizontal="left" vertical="center"/>
      <protection hidden="1"/>
    </xf>
    <xf numFmtId="0" fontId="93" fillId="0" borderId="232" xfId="9" applyFont="1" applyBorder="1" applyAlignment="1" applyProtection="1">
      <alignment horizontal="left" vertical="center"/>
      <protection hidden="1"/>
    </xf>
    <xf numFmtId="0" fontId="93" fillId="0" borderId="0" xfId="9" applyFont="1" applyBorder="1" applyAlignment="1" applyProtection="1">
      <alignment horizontal="left" vertical="center" wrapText="1"/>
      <protection hidden="1"/>
    </xf>
    <xf numFmtId="0" fontId="93" fillId="0" borderId="232" xfId="9" applyFont="1" applyBorder="1" applyAlignment="1" applyProtection="1">
      <alignment horizontal="left" vertical="center" wrapText="1"/>
      <protection hidden="1"/>
    </xf>
    <xf numFmtId="0" fontId="403" fillId="0" borderId="0" xfId="9" applyFont="1" applyBorder="1" applyAlignment="1" applyProtection="1">
      <alignment horizontal="left" vertical="center" wrapText="1"/>
      <protection hidden="1"/>
    </xf>
    <xf numFmtId="0" fontId="403" fillId="0" borderId="232" xfId="9" applyFont="1" applyBorder="1" applyAlignment="1" applyProtection="1">
      <alignment horizontal="left" vertical="center" wrapText="1"/>
      <protection hidden="1"/>
    </xf>
    <xf numFmtId="0" fontId="344" fillId="0" borderId="0" xfId="29" applyFont="1" applyBorder="1" applyAlignment="1" applyProtection="1">
      <alignment horizontal="center" vertical="center"/>
      <protection hidden="1"/>
    </xf>
    <xf numFmtId="0" fontId="344" fillId="0" borderId="232" xfId="29" applyFont="1" applyBorder="1" applyAlignment="1" applyProtection="1">
      <alignment horizontal="center" vertical="center"/>
      <protection hidden="1"/>
    </xf>
    <xf numFmtId="0" fontId="401" fillId="0" borderId="0" xfId="9" applyFont="1" applyBorder="1" applyAlignment="1" applyProtection="1">
      <alignment horizontal="left" vertical="center"/>
      <protection hidden="1"/>
    </xf>
    <xf numFmtId="0" fontId="401" fillId="0" borderId="232" xfId="9" applyFont="1" applyBorder="1" applyAlignment="1" applyProtection="1">
      <alignment horizontal="left" vertical="center"/>
      <protection hidden="1"/>
    </xf>
    <xf numFmtId="0" fontId="343" fillId="0" borderId="0" xfId="9" applyFont="1" applyBorder="1" applyAlignment="1" applyProtection="1">
      <alignment horizontal="left" vertical="center"/>
      <protection hidden="1"/>
    </xf>
    <xf numFmtId="0" fontId="343" fillId="0" borderId="232" xfId="9" applyFont="1" applyBorder="1" applyAlignment="1" applyProtection="1">
      <alignment horizontal="left" vertical="center"/>
      <protection hidden="1"/>
    </xf>
    <xf numFmtId="0" fontId="402" fillId="0" borderId="0" xfId="9" applyFont="1" applyBorder="1" applyAlignment="1" applyProtection="1">
      <alignment horizontal="left" vertical="center"/>
      <protection hidden="1"/>
    </xf>
    <xf numFmtId="0" fontId="402" fillId="0" borderId="232" xfId="9" applyFont="1" applyBorder="1" applyAlignment="1" applyProtection="1">
      <alignment horizontal="left" vertical="center"/>
      <protection hidden="1"/>
    </xf>
    <xf numFmtId="0" fontId="400" fillId="0" borderId="0" xfId="9" applyFont="1" applyBorder="1" applyAlignment="1" applyProtection="1">
      <alignment horizontal="left" vertical="center"/>
      <protection hidden="1"/>
    </xf>
    <xf numFmtId="0" fontId="400" fillId="0" borderId="232" xfId="9" applyFont="1" applyBorder="1" applyAlignment="1" applyProtection="1">
      <alignment horizontal="left" vertical="center"/>
      <protection hidden="1"/>
    </xf>
    <xf numFmtId="0" fontId="360" fillId="22" borderId="0" xfId="29" applyFont="1" applyFill="1" applyAlignment="1" applyProtection="1">
      <alignment horizontal="center" vertical="center"/>
      <protection hidden="1"/>
    </xf>
    <xf numFmtId="0" fontId="359" fillId="0" borderId="0" xfId="29" applyFont="1" applyAlignment="1" applyProtection="1">
      <alignment horizontal="center" vertical="center"/>
      <protection hidden="1"/>
    </xf>
    <xf numFmtId="0" fontId="407" fillId="0" borderId="0" xfId="29" applyFont="1" applyAlignment="1" applyProtection="1">
      <alignment horizontal="left" vertical="center" wrapText="1"/>
      <protection hidden="1"/>
    </xf>
    <xf numFmtId="0" fontId="406" fillId="0" borderId="0" xfId="29" applyFont="1" applyAlignment="1" applyProtection="1">
      <alignment horizontal="left" vertical="top" wrapText="1"/>
      <protection hidden="1"/>
    </xf>
    <xf numFmtId="0" fontId="358" fillId="0" borderId="0" xfId="29" applyFont="1" applyBorder="1" applyAlignment="1" applyProtection="1">
      <alignment horizontal="center" vertical="center"/>
      <protection hidden="1"/>
    </xf>
    <xf numFmtId="0" fontId="173" fillId="6" borderId="76" xfId="18" applyFont="1" applyFill="1" applyBorder="1" applyAlignment="1" applyProtection="1">
      <alignment horizontal="center" vertical="top" wrapText="1"/>
      <protection hidden="1"/>
    </xf>
    <xf numFmtId="0" fontId="173" fillId="6" borderId="75" xfId="18" applyFont="1" applyFill="1" applyBorder="1" applyAlignment="1" applyProtection="1">
      <alignment horizontal="center" vertical="top" wrapText="1"/>
      <protection hidden="1"/>
    </xf>
    <xf numFmtId="0" fontId="173" fillId="6" borderId="74" xfId="18" applyFont="1" applyFill="1" applyBorder="1" applyAlignment="1" applyProtection="1">
      <alignment horizontal="center" vertical="top" wrapText="1"/>
      <protection hidden="1"/>
    </xf>
    <xf numFmtId="0" fontId="173" fillId="6" borderId="73" xfId="18" applyFont="1" applyFill="1" applyBorder="1" applyAlignment="1" applyProtection="1">
      <alignment horizontal="center" vertical="top" wrapText="1"/>
      <protection hidden="1"/>
    </xf>
    <xf numFmtId="0" fontId="173" fillId="6" borderId="72" xfId="18" applyFont="1" applyFill="1" applyBorder="1" applyAlignment="1" applyProtection="1">
      <alignment horizontal="center" vertical="top" wrapText="1"/>
      <protection hidden="1"/>
    </xf>
    <xf numFmtId="0" fontId="173" fillId="6" borderId="71" xfId="18" applyFont="1" applyFill="1" applyBorder="1" applyAlignment="1" applyProtection="1">
      <alignment horizontal="center" vertical="top" wrapText="1"/>
      <protection hidden="1"/>
    </xf>
    <xf numFmtId="0" fontId="109" fillId="6" borderId="89" xfId="18" applyFont="1" applyFill="1" applyBorder="1" applyAlignment="1" applyProtection="1">
      <alignment horizontal="center" vertical="center" wrapText="1"/>
      <protection hidden="1"/>
    </xf>
    <xf numFmtId="0" fontId="87" fillId="6" borderId="255" xfId="18" applyFont="1" applyFill="1" applyBorder="1" applyAlignment="1" applyProtection="1">
      <alignment horizontal="center" vertical="center" wrapText="1"/>
      <protection hidden="1"/>
    </xf>
    <xf numFmtId="0" fontId="405" fillId="0" borderId="0" xfId="9" applyFont="1" applyBorder="1" applyAlignment="1" applyProtection="1">
      <alignment horizontal="left" vertical="center"/>
      <protection hidden="1"/>
    </xf>
    <xf numFmtId="0" fontId="364" fillId="0" borderId="0" xfId="9" applyFont="1" applyFill="1" applyBorder="1" applyAlignment="1" applyProtection="1">
      <alignment horizontal="center" vertical="center" wrapText="1"/>
      <protection hidden="1"/>
    </xf>
    <xf numFmtId="0" fontId="406" fillId="0" borderId="91" xfId="29" applyFont="1" applyBorder="1" applyAlignment="1" applyProtection="1">
      <alignment horizontal="left" vertical="center" wrapText="1"/>
      <protection hidden="1"/>
    </xf>
    <xf numFmtId="0" fontId="406" fillId="0" borderId="0" xfId="29" applyFont="1" applyAlignment="1" applyProtection="1">
      <alignment horizontal="left" vertical="center" wrapText="1"/>
      <protection hidden="1"/>
    </xf>
    <xf numFmtId="0" fontId="409" fillId="0" borderId="0" xfId="9" applyFont="1" applyBorder="1" applyAlignment="1" applyProtection="1">
      <alignment horizontal="center" vertical="center" wrapText="1"/>
      <protection hidden="1"/>
    </xf>
    <xf numFmtId="14" fontId="203" fillId="0" borderId="0" xfId="9" applyNumberFormat="1" applyFont="1" applyBorder="1" applyAlignment="1" applyProtection="1">
      <alignment horizontal="center" vertical="center"/>
      <protection hidden="1"/>
    </xf>
    <xf numFmtId="0" fontId="362" fillId="0" borderId="0" xfId="9" applyFont="1" applyBorder="1" applyAlignment="1" applyProtection="1">
      <alignment horizontal="left" vertical="center" wrapText="1"/>
      <protection hidden="1"/>
    </xf>
    <xf numFmtId="0" fontId="399" fillId="53" borderId="230" xfId="3" applyFont="1" applyFill="1" applyBorder="1" applyAlignment="1" applyProtection="1">
      <alignment horizontal="center" vertical="center" wrapText="1"/>
      <protection hidden="1"/>
    </xf>
    <xf numFmtId="0" fontId="399" fillId="53" borderId="233" xfId="3" applyFont="1" applyFill="1" applyBorder="1" applyAlignment="1" applyProtection="1">
      <alignment horizontal="center" vertical="center" wrapText="1"/>
      <protection hidden="1"/>
    </xf>
    <xf numFmtId="1" fontId="412" fillId="0" borderId="252" xfId="9" applyNumberFormat="1" applyFont="1" applyBorder="1" applyAlignment="1" applyProtection="1">
      <alignment horizontal="center" vertical="center"/>
      <protection hidden="1"/>
    </xf>
    <xf numFmtId="1" fontId="412" fillId="0" borderId="0" xfId="9" applyNumberFormat="1" applyFont="1" applyBorder="1" applyAlignment="1" applyProtection="1">
      <alignment horizontal="center" vertical="center"/>
      <protection hidden="1"/>
    </xf>
    <xf numFmtId="14" fontId="346" fillId="0" borderId="253" xfId="9" applyNumberFormat="1" applyFont="1" applyBorder="1" applyAlignment="1" applyProtection="1">
      <alignment horizontal="center" vertical="center"/>
      <protection hidden="1"/>
    </xf>
    <xf numFmtId="14" fontId="346" fillId="0" borderId="254" xfId="9" applyNumberFormat="1" applyFont="1" applyBorder="1" applyAlignment="1" applyProtection="1">
      <alignment horizontal="center" vertical="center"/>
      <protection hidden="1"/>
    </xf>
    <xf numFmtId="14" fontId="411" fillId="0" borderId="0" xfId="9" applyNumberFormat="1" applyFont="1" applyBorder="1" applyAlignment="1" applyProtection="1">
      <alignment horizontal="center" vertical="center" wrapText="1"/>
      <protection hidden="1"/>
    </xf>
    <xf numFmtId="14" fontId="346" fillId="0" borderId="253" xfId="9" applyNumberFormat="1" applyFont="1" applyBorder="1" applyAlignment="1" applyProtection="1">
      <alignment horizontal="center" vertical="center" wrapText="1"/>
      <protection hidden="1"/>
    </xf>
    <xf numFmtId="14" fontId="346" fillId="0" borderId="254" xfId="9" applyNumberFormat="1" applyFont="1" applyBorder="1" applyAlignment="1" applyProtection="1">
      <alignment horizontal="center" vertical="center" wrapText="1"/>
      <protection hidden="1"/>
    </xf>
    <xf numFmtId="0" fontId="345" fillId="0" borderId="0" xfId="9" applyFont="1" applyBorder="1" applyAlignment="1" applyProtection="1">
      <alignment horizontal="center" vertical="center" wrapText="1"/>
      <protection hidden="1"/>
    </xf>
    <xf numFmtId="1" fontId="348" fillId="0" borderId="0" xfId="9" applyNumberFormat="1" applyFont="1" applyBorder="1" applyAlignment="1" applyProtection="1">
      <alignment horizontal="center" vertical="center"/>
      <protection hidden="1"/>
    </xf>
    <xf numFmtId="0" fontId="342" fillId="0" borderId="252" xfId="9" applyFont="1" applyBorder="1" applyAlignment="1" applyProtection="1">
      <alignment horizontal="left" vertical="center" wrapText="1"/>
      <protection hidden="1"/>
    </xf>
    <xf numFmtId="0" fontId="342" fillId="0" borderId="0" xfId="9" applyFont="1" applyBorder="1" applyAlignment="1" applyProtection="1">
      <alignment horizontal="left" vertical="center" wrapText="1"/>
      <protection hidden="1"/>
    </xf>
    <xf numFmtId="0" fontId="342" fillId="0" borderId="252" xfId="9" applyFont="1" applyBorder="1" applyAlignment="1" applyProtection="1">
      <alignment horizontal="left" vertical="top" wrapText="1"/>
      <protection hidden="1"/>
    </xf>
    <xf numFmtId="0" fontId="342" fillId="0" borderId="0" xfId="9" applyFont="1" applyBorder="1" applyAlignment="1" applyProtection="1">
      <alignment horizontal="left" vertical="top" wrapText="1"/>
      <protection hidden="1"/>
    </xf>
    <xf numFmtId="0" fontId="410" fillId="0" borderId="261" xfId="9" applyFont="1" applyBorder="1" applyAlignment="1" applyProtection="1">
      <alignment horizontal="center" vertical="center"/>
      <protection hidden="1"/>
    </xf>
    <xf numFmtId="0" fontId="410" fillId="0" borderId="262" xfId="9" applyFont="1" applyBorder="1" applyAlignment="1" applyProtection="1">
      <alignment horizontal="center" vertical="center"/>
      <protection hidden="1"/>
    </xf>
    <xf numFmtId="0" fontId="410" fillId="0" borderId="252" xfId="9" applyFont="1" applyBorder="1" applyAlignment="1" applyProtection="1">
      <alignment horizontal="center" vertical="center"/>
      <protection hidden="1"/>
    </xf>
    <xf numFmtId="0" fontId="410" fillId="0" borderId="0" xfId="9" applyFont="1" applyBorder="1" applyAlignment="1" applyProtection="1">
      <alignment horizontal="center" vertical="center"/>
      <protection hidden="1"/>
    </xf>
    <xf numFmtId="0" fontId="410" fillId="0" borderId="259" xfId="9" applyFont="1" applyBorder="1" applyAlignment="1" applyProtection="1">
      <alignment horizontal="center" vertical="center"/>
      <protection hidden="1"/>
    </xf>
    <xf numFmtId="0" fontId="410" fillId="0" borderId="260" xfId="9" applyFont="1" applyBorder="1" applyAlignment="1" applyProtection="1">
      <alignment horizontal="center" vertical="center"/>
      <protection hidden="1"/>
    </xf>
    <xf numFmtId="0" fontId="342" fillId="0" borderId="261" xfId="9" applyFont="1" applyBorder="1" applyAlignment="1" applyProtection="1">
      <alignment horizontal="left" vertical="center" wrapText="1"/>
      <protection hidden="1"/>
    </xf>
    <xf numFmtId="0" fontId="342" fillId="0" borderId="262" xfId="9" applyFont="1" applyBorder="1" applyAlignment="1" applyProtection="1">
      <alignment horizontal="left" vertical="center" wrapText="1"/>
      <protection hidden="1"/>
    </xf>
    <xf numFmtId="0" fontId="369" fillId="15" borderId="240" xfId="0" applyFont="1" applyFill="1" applyBorder="1" applyAlignment="1" applyProtection="1">
      <alignment horizontal="right" vertical="center"/>
      <protection hidden="1"/>
    </xf>
    <xf numFmtId="0" fontId="460" fillId="15" borderId="240" xfId="0" applyFont="1" applyFill="1" applyBorder="1" applyAlignment="1" applyProtection="1">
      <alignment horizontal="right" vertical="center"/>
      <protection hidden="1"/>
    </xf>
    <xf numFmtId="0" fontId="299" fillId="34" borderId="240" xfId="0" applyFont="1" applyFill="1" applyBorder="1" applyAlignment="1" applyProtection="1">
      <alignment horizontal="left" vertical="center"/>
      <protection hidden="1"/>
    </xf>
    <xf numFmtId="0" fontId="285" fillId="34" borderId="240" xfId="0" applyFont="1" applyFill="1" applyBorder="1" applyAlignment="1" applyProtection="1">
      <alignment horizontal="left" vertical="center"/>
      <protection hidden="1"/>
    </xf>
    <xf numFmtId="0" fontId="27" fillId="15" borderId="223" xfId="0" applyFont="1" applyFill="1" applyBorder="1" applyAlignment="1" applyProtection="1">
      <alignment horizontal="center" vertical="center" wrapText="1"/>
      <protection hidden="1"/>
    </xf>
    <xf numFmtId="0" fontId="27" fillId="15" borderId="283" xfId="0" applyFont="1" applyFill="1" applyBorder="1" applyAlignment="1" applyProtection="1">
      <alignment horizontal="center" vertical="center" wrapText="1"/>
      <protection hidden="1"/>
    </xf>
    <xf numFmtId="0" fontId="27" fillId="15" borderId="222" xfId="0" applyFont="1" applyFill="1" applyBorder="1" applyAlignment="1" applyProtection="1">
      <alignment horizontal="center" vertical="center" wrapText="1"/>
      <protection hidden="1"/>
    </xf>
    <xf numFmtId="0" fontId="28" fillId="15" borderId="223" xfId="0" applyFont="1" applyFill="1" applyBorder="1" applyAlignment="1" applyProtection="1">
      <alignment horizontal="center" vertical="center" wrapText="1"/>
      <protection hidden="1"/>
    </xf>
    <xf numFmtId="0" fontId="28" fillId="15" borderId="283" xfId="0" applyFont="1" applyFill="1" applyBorder="1" applyAlignment="1" applyProtection="1">
      <alignment horizontal="center" vertical="center" wrapText="1"/>
      <protection hidden="1"/>
    </xf>
    <xf numFmtId="0" fontId="28" fillId="15" borderId="222" xfId="0" applyFont="1" applyFill="1" applyBorder="1" applyAlignment="1" applyProtection="1">
      <alignment horizontal="center" vertical="center" wrapText="1"/>
      <protection hidden="1"/>
    </xf>
    <xf numFmtId="0" fontId="27" fillId="15" borderId="229" xfId="0" applyFont="1" applyFill="1" applyBorder="1" applyAlignment="1" applyProtection="1">
      <alignment horizontal="center" vertical="center" wrapText="1"/>
      <protection hidden="1"/>
    </xf>
    <xf numFmtId="0" fontId="27" fillId="15" borderId="228" xfId="0" applyFont="1" applyFill="1" applyBorder="1" applyAlignment="1" applyProtection="1">
      <alignment horizontal="center" vertical="center" wrapText="1"/>
      <protection hidden="1"/>
    </xf>
    <xf numFmtId="0" fontId="27" fillId="15" borderId="227" xfId="0" applyFont="1" applyFill="1" applyBorder="1" applyAlignment="1" applyProtection="1">
      <alignment horizontal="center" vertical="center" wrapText="1"/>
      <protection hidden="1"/>
    </xf>
    <xf numFmtId="0" fontId="27" fillId="15" borderId="226" xfId="0" applyFont="1" applyFill="1" applyBorder="1" applyAlignment="1" applyProtection="1">
      <alignment horizontal="center" vertical="center" wrapText="1"/>
      <protection hidden="1"/>
    </xf>
    <xf numFmtId="0" fontId="27" fillId="15" borderId="225" xfId="0" applyFont="1" applyFill="1" applyBorder="1" applyAlignment="1" applyProtection="1">
      <alignment horizontal="center" vertical="center" wrapText="1"/>
      <protection hidden="1"/>
    </xf>
    <xf numFmtId="0" fontId="27" fillId="15" borderId="224" xfId="0" applyFont="1" applyFill="1" applyBorder="1" applyAlignment="1" applyProtection="1">
      <alignment horizontal="center" vertical="center" wrapText="1"/>
      <protection hidden="1"/>
    </xf>
    <xf numFmtId="0" fontId="26" fillId="15" borderId="229" xfId="0" applyFont="1" applyFill="1" applyBorder="1" applyAlignment="1" applyProtection="1">
      <alignment horizontal="center" vertical="center"/>
      <protection hidden="1"/>
    </xf>
    <xf numFmtId="0" fontId="26" fillId="15" borderId="228" xfId="0" applyFont="1" applyFill="1" applyBorder="1" applyAlignment="1" applyProtection="1">
      <alignment horizontal="center" vertical="center"/>
      <protection hidden="1"/>
    </xf>
    <xf numFmtId="0" fontId="26" fillId="15" borderId="227" xfId="0" applyFont="1" applyFill="1" applyBorder="1" applyAlignment="1" applyProtection="1">
      <alignment horizontal="center" vertical="center"/>
      <protection hidden="1"/>
    </xf>
    <xf numFmtId="0" fontId="26" fillId="15" borderId="226" xfId="0" applyFont="1" applyFill="1" applyBorder="1" applyAlignment="1" applyProtection="1">
      <alignment horizontal="center" vertical="center"/>
      <protection hidden="1"/>
    </xf>
    <xf numFmtId="0" fontId="26" fillId="15" borderId="225" xfId="0" applyFont="1" applyFill="1" applyBorder="1" applyAlignment="1" applyProtection="1">
      <alignment horizontal="center" vertical="center"/>
      <protection hidden="1"/>
    </xf>
    <xf numFmtId="0" fontId="26" fillId="15" borderId="224" xfId="0" applyFont="1" applyFill="1" applyBorder="1" applyAlignment="1" applyProtection="1">
      <alignment horizontal="center" vertical="center"/>
      <protection hidden="1"/>
    </xf>
    <xf numFmtId="0" fontId="27" fillId="15" borderId="223" xfId="0" applyFont="1" applyFill="1" applyBorder="1" applyAlignment="1" applyProtection="1">
      <alignment horizontal="right" vertical="center"/>
      <protection hidden="1"/>
    </xf>
    <xf numFmtId="0" fontId="27" fillId="15" borderId="283" xfId="0" applyFont="1" applyFill="1" applyBorder="1" applyAlignment="1" applyProtection="1">
      <alignment horizontal="right" vertical="center"/>
      <protection hidden="1"/>
    </xf>
    <xf numFmtId="0" fontId="27" fillId="15" borderId="222" xfId="0" applyFont="1" applyFill="1" applyBorder="1" applyAlignment="1" applyProtection="1">
      <alignment horizontal="right" vertical="center"/>
      <protection hidden="1"/>
    </xf>
    <xf numFmtId="0" fontId="26" fillId="15" borderId="223" xfId="0" applyFont="1" applyFill="1" applyBorder="1" applyAlignment="1" applyProtection="1">
      <alignment horizontal="center" vertical="center" wrapText="1"/>
      <protection hidden="1"/>
    </xf>
    <xf numFmtId="0" fontId="26" fillId="15" borderId="283" xfId="0" applyFont="1" applyFill="1" applyBorder="1" applyAlignment="1" applyProtection="1">
      <alignment horizontal="center" vertical="center" wrapText="1"/>
      <protection hidden="1"/>
    </xf>
    <xf numFmtId="0" fontId="26" fillId="15" borderId="222" xfId="0" applyFont="1" applyFill="1" applyBorder="1" applyAlignment="1" applyProtection="1">
      <alignment horizontal="center" vertical="center" wrapText="1"/>
      <protection hidden="1"/>
    </xf>
    <xf numFmtId="0" fontId="450" fillId="14" borderId="0" xfId="21" applyFont="1" applyFill="1" applyAlignment="1" applyProtection="1">
      <alignment horizontal="left" vertical="center"/>
      <protection hidden="1"/>
    </xf>
    <xf numFmtId="0" fontId="392" fillId="27" borderId="244" xfId="0" applyFont="1" applyFill="1" applyBorder="1" applyAlignment="1" applyProtection="1">
      <alignment horizontal="center"/>
      <protection hidden="1"/>
    </xf>
    <xf numFmtId="0" fontId="371" fillId="27" borderId="237" xfId="60" applyFont="1" applyFill="1" applyBorder="1" applyAlignment="1" applyProtection="1">
      <alignment horizontal="center" vertical="center"/>
      <protection hidden="1"/>
    </xf>
    <xf numFmtId="0" fontId="371" fillId="27" borderId="236" xfId="60" applyFont="1" applyFill="1" applyBorder="1" applyAlignment="1" applyProtection="1">
      <alignment horizontal="center" vertical="center"/>
      <protection hidden="1"/>
    </xf>
    <xf numFmtId="1" fontId="392" fillId="27" borderId="244" xfId="0" applyNumberFormat="1" applyFont="1" applyFill="1" applyBorder="1" applyAlignment="1" applyProtection="1">
      <alignment horizontal="center"/>
      <protection hidden="1"/>
    </xf>
    <xf numFmtId="0" fontId="371" fillId="27" borderId="243" xfId="60" applyFont="1" applyFill="1" applyBorder="1" applyAlignment="1" applyProtection="1">
      <alignment horizontal="center" vertical="center"/>
      <protection hidden="1"/>
    </xf>
    <xf numFmtId="0" fontId="371" fillId="27" borderId="238" xfId="60" applyFont="1" applyFill="1" applyBorder="1" applyAlignment="1" applyProtection="1">
      <alignment horizontal="center" vertical="center"/>
      <protection hidden="1"/>
    </xf>
    <xf numFmtId="10" fontId="388" fillId="54" borderId="237" xfId="60" applyNumberFormat="1" applyFont="1" applyFill="1" applyBorder="1" applyAlignment="1" applyProtection="1">
      <alignment horizontal="center" vertical="center"/>
      <protection hidden="1"/>
    </xf>
    <xf numFmtId="10" fontId="388" fillId="54" borderId="238" xfId="60" applyNumberFormat="1" applyFont="1" applyFill="1" applyBorder="1" applyAlignment="1" applyProtection="1">
      <alignment horizontal="center" vertical="center"/>
      <protection hidden="1"/>
    </xf>
    <xf numFmtId="10" fontId="388" fillId="54" borderId="235" xfId="60" applyNumberFormat="1" applyFont="1" applyFill="1" applyBorder="1" applyAlignment="1" applyProtection="1">
      <alignment horizontal="center" vertical="center"/>
      <protection hidden="1"/>
    </xf>
    <xf numFmtId="0" fontId="377" fillId="61" borderId="250" xfId="50" applyFont="1" applyFill="1" applyBorder="1" applyAlignment="1" applyProtection="1">
      <alignment horizontal="center" vertical="center"/>
      <protection hidden="1"/>
    </xf>
    <xf numFmtId="0" fontId="377" fillId="61" borderId="248" xfId="50" applyFont="1" applyFill="1" applyBorder="1" applyAlignment="1" applyProtection="1">
      <alignment horizontal="center" vertical="center"/>
      <protection hidden="1"/>
    </xf>
    <xf numFmtId="0" fontId="377" fillId="61" borderId="249" xfId="50" applyFont="1" applyFill="1" applyBorder="1" applyAlignment="1" applyProtection="1">
      <alignment horizontal="center" vertical="center"/>
      <protection hidden="1"/>
    </xf>
    <xf numFmtId="10" fontId="46" fillId="57" borderId="250" xfId="50" applyNumberFormat="1" applyFont="1" applyFill="1" applyBorder="1" applyAlignment="1" applyProtection="1">
      <alignment horizontal="center" vertical="center"/>
      <protection hidden="1"/>
    </xf>
    <xf numFmtId="10" fontId="46" fillId="57" borderId="249" xfId="50" applyNumberFormat="1" applyFont="1" applyFill="1" applyBorder="1" applyAlignment="1" applyProtection="1">
      <alignment horizontal="center" vertical="center"/>
      <protection hidden="1"/>
    </xf>
    <xf numFmtId="10" fontId="389" fillId="27" borderId="237" xfId="60" applyNumberFormat="1" applyFont="1" applyFill="1" applyBorder="1" applyAlignment="1" applyProtection="1">
      <alignment horizontal="center" vertical="center"/>
      <protection hidden="1"/>
    </xf>
    <xf numFmtId="0" fontId="389" fillId="27" borderId="238" xfId="60" applyFont="1" applyFill="1" applyBorder="1" applyAlignment="1" applyProtection="1">
      <alignment horizontal="center" vertical="center"/>
      <protection hidden="1"/>
    </xf>
    <xf numFmtId="1" fontId="372" fillId="62" borderId="237" xfId="60" applyNumberFormat="1" applyFont="1" applyFill="1" applyBorder="1" applyAlignment="1" applyProtection="1">
      <alignment horizontal="center" vertical="center"/>
      <protection hidden="1"/>
    </xf>
    <xf numFmtId="1" fontId="372" fillId="62" borderId="238" xfId="60" applyNumberFormat="1" applyFont="1" applyFill="1" applyBorder="1" applyAlignment="1" applyProtection="1">
      <alignment horizontal="center" vertical="center"/>
      <protection hidden="1"/>
    </xf>
    <xf numFmtId="1" fontId="372" fillId="62" borderId="239" xfId="60" applyNumberFormat="1" applyFont="1" applyFill="1" applyBorder="1" applyAlignment="1" applyProtection="1">
      <alignment horizontal="center" vertical="center"/>
      <protection hidden="1"/>
    </xf>
    <xf numFmtId="0" fontId="285" fillId="0" borderId="0" xfId="0" applyFont="1" applyAlignment="1" applyProtection="1">
      <alignment horizontal="center" vertical="center" wrapText="1"/>
      <protection hidden="1"/>
    </xf>
    <xf numFmtId="0" fontId="449" fillId="60" borderId="237" xfId="60" applyFont="1" applyFill="1" applyBorder="1" applyAlignment="1" applyProtection="1">
      <alignment horizontal="center" vertical="center"/>
      <protection hidden="1"/>
    </xf>
    <xf numFmtId="0" fontId="449" fillId="60" borderId="236" xfId="60" applyFont="1" applyFill="1" applyBorder="1" applyAlignment="1" applyProtection="1">
      <alignment horizontal="center" vertical="center"/>
      <protection hidden="1"/>
    </xf>
    <xf numFmtId="10" fontId="389" fillId="27" borderId="238" xfId="60" applyNumberFormat="1" applyFont="1" applyFill="1" applyBorder="1" applyAlignment="1" applyProtection="1">
      <alignment horizontal="center" vertical="center"/>
      <protection hidden="1"/>
    </xf>
    <xf numFmtId="10" fontId="371" fillId="27" borderId="237" xfId="60" applyNumberFormat="1" applyFont="1" applyFill="1" applyBorder="1" applyAlignment="1" applyProtection="1">
      <alignment horizontal="center" vertical="center"/>
      <protection hidden="1"/>
    </xf>
    <xf numFmtId="0" fontId="371" fillId="60" borderId="237" xfId="60" applyFont="1" applyFill="1" applyBorder="1" applyAlignment="1" applyProtection="1">
      <alignment horizontal="center" vertical="center"/>
      <protection hidden="1"/>
    </xf>
    <xf numFmtId="0" fontId="371" fillId="60" borderId="236" xfId="60" applyFont="1" applyFill="1" applyBorder="1" applyAlignment="1" applyProtection="1">
      <alignment horizontal="center" vertical="center"/>
      <protection hidden="1"/>
    </xf>
    <xf numFmtId="0" fontId="372" fillId="54" borderId="237" xfId="60" applyFont="1" applyFill="1" applyBorder="1" applyAlignment="1" applyProtection="1">
      <alignment horizontal="center" vertical="center"/>
      <protection hidden="1"/>
    </xf>
    <xf numFmtId="0" fontId="372" fillId="54" borderId="238" xfId="60" applyFont="1" applyFill="1" applyBorder="1" applyAlignment="1" applyProtection="1">
      <alignment horizontal="center" vertical="center"/>
      <protection hidden="1"/>
    </xf>
    <xf numFmtId="0" fontId="372" fillId="54" borderId="236" xfId="60" applyFont="1" applyFill="1" applyBorder="1" applyAlignment="1" applyProtection="1">
      <alignment horizontal="center" vertical="center"/>
      <protection hidden="1"/>
    </xf>
    <xf numFmtId="0" fontId="248" fillId="27" borderId="237" xfId="60" applyFont="1" applyFill="1" applyBorder="1" applyAlignment="1" applyProtection="1">
      <alignment horizontal="center" vertical="center"/>
      <protection hidden="1"/>
    </xf>
    <xf numFmtId="0" fontId="248" fillId="27" borderId="236" xfId="60" applyFont="1" applyFill="1" applyBorder="1" applyAlignment="1" applyProtection="1">
      <alignment horizontal="center" vertical="center"/>
      <protection hidden="1"/>
    </xf>
    <xf numFmtId="1" fontId="372" fillId="54" borderId="237" xfId="60" applyNumberFormat="1" applyFont="1" applyFill="1" applyBorder="1" applyAlignment="1" applyProtection="1">
      <alignment horizontal="center" vertical="center"/>
      <protection hidden="1"/>
    </xf>
    <xf numFmtId="1" fontId="372" fillId="54" borderId="238" xfId="60" applyNumberFormat="1" applyFont="1" applyFill="1" applyBorder="1" applyAlignment="1" applyProtection="1">
      <alignment horizontal="center" vertical="center"/>
      <protection hidden="1"/>
    </xf>
    <xf numFmtId="1" fontId="372" fillId="54" borderId="236" xfId="60" applyNumberFormat="1" applyFont="1" applyFill="1" applyBorder="1" applyAlignment="1" applyProtection="1">
      <alignment horizontal="center" vertical="center"/>
      <protection hidden="1"/>
    </xf>
    <xf numFmtId="0" fontId="273" fillId="15" borderId="0" xfId="0" applyFont="1" applyFill="1" applyAlignment="1" applyProtection="1">
      <alignment horizontal="center" vertical="center"/>
      <protection hidden="1"/>
    </xf>
    <xf numFmtId="0" fontId="274" fillId="63" borderId="0" xfId="17" applyFont="1" applyFill="1" applyBorder="1" applyAlignment="1" applyProtection="1">
      <alignment horizontal="center" vertical="center"/>
      <protection hidden="1"/>
    </xf>
    <xf numFmtId="0" fontId="451" fillId="14" borderId="0" xfId="21" applyFont="1" applyFill="1" applyAlignment="1" applyProtection="1">
      <alignment horizontal="center" vertical="center"/>
      <protection hidden="1"/>
    </xf>
    <xf numFmtId="0" fontId="449" fillId="60" borderId="241" xfId="60" applyFont="1" applyFill="1" applyBorder="1" applyAlignment="1" applyProtection="1">
      <alignment horizontal="center" vertical="center"/>
      <protection hidden="1"/>
    </xf>
    <xf numFmtId="0" fontId="449" fillId="60" borderId="240" xfId="60" applyFont="1" applyFill="1" applyBorder="1" applyAlignment="1" applyProtection="1">
      <alignment horizontal="center" vertical="center"/>
      <protection hidden="1"/>
    </xf>
    <xf numFmtId="0" fontId="449" fillId="60" borderId="239" xfId="60" applyFont="1" applyFill="1" applyBorder="1" applyAlignment="1" applyProtection="1">
      <alignment horizontal="center" vertical="center"/>
      <protection hidden="1"/>
    </xf>
    <xf numFmtId="0" fontId="276" fillId="63" borderId="0" xfId="17" applyFont="1" applyFill="1" applyBorder="1" applyAlignment="1" applyProtection="1">
      <alignment horizontal="center" vertical="center"/>
      <protection hidden="1"/>
    </xf>
    <xf numFmtId="0" fontId="102" fillId="0" borderId="0" xfId="20" applyFont="1" applyAlignment="1" applyProtection="1">
      <alignment horizontal="right" vertical="center"/>
      <protection hidden="1"/>
    </xf>
    <xf numFmtId="14" fontId="98" fillId="0" borderId="0" xfId="9" applyNumberFormat="1" applyFont="1" applyBorder="1" applyAlignment="1" applyProtection="1">
      <alignment horizontal="right"/>
      <protection hidden="1"/>
    </xf>
    <xf numFmtId="0" fontId="282" fillId="6" borderId="0" xfId="50" applyFont="1" applyFill="1" applyAlignment="1" applyProtection="1">
      <alignment horizontal="center" vertical="center"/>
      <protection hidden="1"/>
    </xf>
    <xf numFmtId="0" fontId="458" fillId="55" borderId="0" xfId="21" applyFont="1" applyFill="1" applyAlignment="1" applyProtection="1">
      <alignment horizontal="center" vertical="center"/>
      <protection hidden="1"/>
    </xf>
    <xf numFmtId="0" fontId="457" fillId="6" borderId="0" xfId="50" applyFont="1" applyFill="1" applyAlignment="1" applyProtection="1">
      <alignment horizontal="center" vertical="center"/>
      <protection hidden="1"/>
    </xf>
    <xf numFmtId="0" fontId="272" fillId="6" borderId="0" xfId="50" applyFont="1" applyFill="1" applyAlignment="1" applyProtection="1">
      <alignment horizontal="center" vertical="center" wrapText="1"/>
      <protection hidden="1"/>
    </xf>
    <xf numFmtId="0" fontId="202" fillId="55" borderId="0" xfId="21" applyFont="1" applyFill="1" applyAlignment="1" applyProtection="1">
      <alignment horizontal="center" vertical="center"/>
      <protection hidden="1"/>
    </xf>
    <xf numFmtId="0" fontId="119" fillId="0" borderId="0" xfId="9" applyFont="1" applyBorder="1" applyAlignment="1" applyProtection="1">
      <alignment horizontal="center" vertical="center"/>
      <protection hidden="1"/>
    </xf>
    <xf numFmtId="0" fontId="396" fillId="6" borderId="0" xfId="51" applyFont="1" applyFill="1" applyBorder="1" applyAlignment="1" applyProtection="1">
      <alignment horizontal="left" vertical="center"/>
      <protection hidden="1"/>
    </xf>
    <xf numFmtId="0" fontId="49" fillId="6" borderId="0" xfId="51" applyFont="1" applyFill="1" applyBorder="1" applyAlignment="1" applyProtection="1">
      <alignment horizontal="center"/>
      <protection hidden="1"/>
    </xf>
    <xf numFmtId="0" fontId="72" fillId="6" borderId="39" xfId="9" applyFont="1" applyFill="1" applyBorder="1" applyAlignment="1" applyProtection="1">
      <alignment horizontal="center" vertical="center"/>
      <protection hidden="1"/>
    </xf>
    <xf numFmtId="0" fontId="72" fillId="6" borderId="125" xfId="9" applyFont="1" applyFill="1" applyBorder="1" applyAlignment="1" applyProtection="1">
      <alignment horizontal="center" vertical="center"/>
      <protection hidden="1"/>
    </xf>
    <xf numFmtId="0" fontId="119" fillId="6" borderId="0" xfId="50" applyFont="1" applyFill="1" applyAlignment="1" applyProtection="1">
      <alignment horizontal="left" vertical="top" wrapText="1"/>
      <protection hidden="1"/>
    </xf>
    <xf numFmtId="0" fontId="181" fillId="6" borderId="0" xfId="9" applyFont="1" applyFill="1" applyBorder="1" applyAlignment="1" applyProtection="1">
      <alignment horizontal="center" vertical="center" wrapText="1"/>
      <protection hidden="1"/>
    </xf>
    <xf numFmtId="0" fontId="181" fillId="6" borderId="288" xfId="9" applyFont="1" applyFill="1" applyBorder="1" applyAlignment="1" applyProtection="1">
      <alignment horizontal="center" vertical="center" wrapText="1"/>
      <protection hidden="1"/>
    </xf>
    <xf numFmtId="0" fontId="119" fillId="6" borderId="0" xfId="50" applyFont="1" applyFill="1" applyAlignment="1" applyProtection="1">
      <alignment horizontal="left" vertical="center" wrapText="1" readingOrder="1"/>
      <protection hidden="1"/>
    </xf>
    <xf numFmtId="0" fontId="119" fillId="6" borderId="287" xfId="9" applyFont="1" applyFill="1" applyBorder="1" applyAlignment="1" applyProtection="1">
      <alignment horizontal="center" vertical="center"/>
      <protection hidden="1"/>
    </xf>
    <xf numFmtId="0" fontId="119" fillId="6" borderId="286" xfId="9" applyFont="1" applyFill="1" applyBorder="1" applyAlignment="1" applyProtection="1">
      <alignment horizontal="center" vertical="center"/>
      <protection hidden="1"/>
    </xf>
    <xf numFmtId="0" fontId="119" fillId="6" borderId="287" xfId="9" applyFont="1" applyFill="1" applyBorder="1" applyAlignment="1" applyProtection="1">
      <alignment horizontal="center" vertical="center" wrapText="1"/>
      <protection hidden="1"/>
    </xf>
    <xf numFmtId="1" fontId="382" fillId="6" borderId="0" xfId="50" applyNumberFormat="1" applyFont="1" applyFill="1" applyBorder="1" applyAlignment="1" applyProtection="1">
      <alignment horizontal="center" vertical="center"/>
      <protection hidden="1"/>
    </xf>
    <xf numFmtId="0" fontId="459" fillId="6" borderId="0" xfId="9" applyFont="1" applyFill="1" applyBorder="1" applyAlignment="1" applyProtection="1">
      <alignment horizontal="center" vertical="center" wrapText="1"/>
      <protection hidden="1"/>
    </xf>
    <xf numFmtId="0" fontId="157" fillId="6" borderId="0" xfId="50" applyFont="1" applyFill="1" applyAlignment="1" applyProtection="1">
      <alignment horizontal="center" vertical="center"/>
      <protection hidden="1"/>
    </xf>
    <xf numFmtId="0" fontId="203" fillId="0" borderId="0" xfId="29" applyFont="1" applyBorder="1" applyAlignment="1" applyProtection="1">
      <alignment horizontal="left" vertical="center" wrapText="1"/>
      <protection hidden="1"/>
    </xf>
    <xf numFmtId="0" fontId="119" fillId="6" borderId="0" xfId="50" applyFont="1" applyFill="1" applyAlignment="1" applyProtection="1">
      <alignment horizontal="left" vertical="center" wrapText="1"/>
      <protection hidden="1"/>
    </xf>
    <xf numFmtId="0" fontId="119" fillId="6" borderId="0" xfId="50" applyFont="1" applyFill="1" applyAlignment="1" applyProtection="1">
      <alignment horizontal="left" vertical="center"/>
      <protection hidden="1"/>
    </xf>
    <xf numFmtId="1" fontId="363" fillId="6" borderId="0" xfId="9" applyNumberFormat="1" applyFont="1" applyFill="1" applyBorder="1" applyAlignment="1" applyProtection="1">
      <alignment horizontal="left" vertical="center" wrapText="1"/>
      <protection hidden="1"/>
    </xf>
    <xf numFmtId="0" fontId="363" fillId="6" borderId="0" xfId="9" applyFont="1" applyFill="1" applyBorder="1" applyAlignment="1" applyProtection="1">
      <alignment horizontal="left" vertical="center" wrapText="1"/>
      <protection hidden="1"/>
    </xf>
    <xf numFmtId="1" fontId="383" fillId="6" borderId="0" xfId="50" applyNumberFormat="1" applyFont="1" applyFill="1" applyBorder="1" applyAlignment="1" applyProtection="1">
      <alignment horizontal="center" vertical="center"/>
      <protection hidden="1"/>
    </xf>
    <xf numFmtId="1" fontId="98" fillId="6" borderId="0" xfId="9" applyNumberFormat="1" applyFont="1" applyFill="1" applyBorder="1" applyAlignment="1" applyProtection="1">
      <alignment horizontal="center" vertical="center" wrapText="1"/>
      <protection hidden="1"/>
    </xf>
    <xf numFmtId="0" fontId="98" fillId="6" borderId="0" xfId="9" applyFont="1" applyFill="1" applyBorder="1" applyAlignment="1" applyProtection="1">
      <alignment horizontal="center" vertical="center" wrapText="1"/>
      <protection hidden="1"/>
    </xf>
    <xf numFmtId="1" fontId="98" fillId="6" borderId="75" xfId="50" applyNumberFormat="1" applyFont="1" applyFill="1" applyBorder="1" applyAlignment="1" applyProtection="1">
      <alignment horizontal="center" vertical="top" wrapText="1"/>
      <protection hidden="1"/>
    </xf>
    <xf numFmtId="0" fontId="98" fillId="6" borderId="75" xfId="50" applyFont="1" applyFill="1" applyBorder="1" applyAlignment="1" applyProtection="1">
      <alignment horizontal="center" vertical="top" wrapText="1"/>
      <protection hidden="1"/>
    </xf>
    <xf numFmtId="0" fontId="102" fillId="6" borderId="0" xfId="50" applyFont="1" applyFill="1" applyBorder="1" applyAlignment="1" applyProtection="1">
      <alignment horizontal="right" vertical="center" wrapText="1"/>
      <protection hidden="1"/>
    </xf>
    <xf numFmtId="0" fontId="121" fillId="6" borderId="281" xfId="18" applyFont="1" applyFill="1" applyBorder="1" applyAlignment="1" applyProtection="1">
      <alignment horizontal="center" vertical="center" wrapText="1"/>
      <protection hidden="1"/>
    </xf>
    <xf numFmtId="0" fontId="121" fillId="6" borderId="282" xfId="18" applyFont="1" applyFill="1" applyBorder="1" applyAlignment="1" applyProtection="1">
      <alignment horizontal="center" vertical="center" wrapText="1"/>
      <protection hidden="1"/>
    </xf>
    <xf numFmtId="0" fontId="109" fillId="6" borderId="279" xfId="18" applyFont="1" applyFill="1" applyBorder="1" applyAlignment="1" applyProtection="1">
      <alignment horizontal="center" vertical="center" wrapText="1"/>
      <protection hidden="1"/>
    </xf>
    <xf numFmtId="0" fontId="382" fillId="6" borderId="0" xfId="50" applyFont="1" applyFill="1" applyAlignment="1" applyProtection="1">
      <alignment horizontal="center"/>
      <protection hidden="1"/>
    </xf>
    <xf numFmtId="0" fontId="0" fillId="6" borderId="0" xfId="50" applyFont="1" applyFill="1" applyBorder="1" applyAlignment="1" applyProtection="1">
      <alignment horizontal="center" vertical="top" wrapText="1"/>
      <protection hidden="1"/>
    </xf>
    <xf numFmtId="0" fontId="90" fillId="6" borderId="0" xfId="9" applyFont="1" applyFill="1" applyBorder="1" applyAlignment="1" applyProtection="1">
      <alignment horizontal="right" vertical="center" wrapText="1"/>
      <protection hidden="1"/>
    </xf>
    <xf numFmtId="0" fontId="456" fillId="6" borderId="0" xfId="9" applyFont="1" applyFill="1" applyBorder="1" applyAlignment="1" applyProtection="1">
      <alignment horizontal="right" vertical="center" wrapText="1"/>
      <protection hidden="1"/>
    </xf>
    <xf numFmtId="0" fontId="129" fillId="6" borderId="0" xfId="50" applyFont="1" applyFill="1" applyAlignment="1" applyProtection="1">
      <alignment horizontal="center" vertical="center" wrapText="1"/>
      <protection hidden="1"/>
    </xf>
    <xf numFmtId="1" fontId="142" fillId="6" borderId="281" xfId="50" applyNumberFormat="1" applyFont="1" applyFill="1" applyBorder="1" applyAlignment="1" applyProtection="1">
      <alignment horizontal="center" vertical="center"/>
      <protection hidden="1"/>
    </xf>
    <xf numFmtId="1" fontId="142" fillId="6" borderId="282" xfId="50" applyNumberFormat="1" applyFont="1" applyFill="1" applyBorder="1" applyAlignment="1" applyProtection="1">
      <alignment horizontal="center" vertical="center"/>
      <protection hidden="1"/>
    </xf>
    <xf numFmtId="1" fontId="430" fillId="6" borderId="281" xfId="50" applyNumberFormat="1" applyFont="1" applyFill="1" applyBorder="1" applyAlignment="1" applyProtection="1">
      <alignment horizontal="center" vertical="center"/>
      <protection hidden="1"/>
    </xf>
    <xf numFmtId="1" fontId="430" fillId="6" borderId="282" xfId="50" applyNumberFormat="1" applyFont="1" applyFill="1" applyBorder="1" applyAlignment="1" applyProtection="1">
      <alignment horizontal="center" vertical="center"/>
      <protection hidden="1"/>
    </xf>
    <xf numFmtId="0" fontId="109" fillId="6" borderId="278" xfId="18" applyFont="1" applyFill="1" applyBorder="1" applyAlignment="1" applyProtection="1">
      <alignment horizontal="center" vertical="center"/>
      <protection hidden="1"/>
    </xf>
    <xf numFmtId="0" fontId="87" fillId="6" borderId="278" xfId="9" applyFont="1" applyFill="1" applyBorder="1" applyAlignment="1" applyProtection="1">
      <alignment horizontal="center" vertical="center" wrapText="1"/>
      <protection hidden="1"/>
    </xf>
    <xf numFmtId="0" fontId="109" fillId="6" borderId="280" xfId="18" applyFont="1" applyFill="1" applyBorder="1" applyAlignment="1" applyProtection="1">
      <alignment horizontal="center" vertical="center" wrapText="1"/>
      <protection hidden="1"/>
    </xf>
    <xf numFmtId="1" fontId="142" fillId="6" borderId="285" xfId="50" applyNumberFormat="1" applyFont="1" applyFill="1" applyBorder="1" applyAlignment="1" applyProtection="1">
      <alignment horizontal="center" vertical="center"/>
      <protection hidden="1"/>
    </xf>
    <xf numFmtId="0" fontId="90" fillId="6" borderId="285" xfId="50" applyFont="1" applyFill="1" applyBorder="1" applyAlignment="1" applyProtection="1">
      <alignment horizontal="center" vertical="center"/>
      <protection hidden="1"/>
    </xf>
    <xf numFmtId="0" fontId="90" fillId="6" borderId="0" xfId="50" applyFont="1" applyFill="1" applyBorder="1" applyAlignment="1" applyProtection="1">
      <alignment horizontal="center" vertical="center"/>
      <protection hidden="1"/>
    </xf>
    <xf numFmtId="1" fontId="142" fillId="6" borderId="0" xfId="50" applyNumberFormat="1" applyFont="1" applyFill="1" applyBorder="1" applyAlignment="1" applyProtection="1">
      <alignment horizontal="center" vertical="center"/>
      <protection hidden="1"/>
    </xf>
    <xf numFmtId="0" fontId="455" fillId="6" borderId="0" xfId="50" applyFont="1" applyFill="1" applyBorder="1" applyAlignment="1" applyProtection="1">
      <alignment horizontal="right" vertical="center"/>
      <protection hidden="1"/>
    </xf>
    <xf numFmtId="0" fontId="455" fillId="6" borderId="142" xfId="50" applyFont="1" applyFill="1" applyBorder="1" applyAlignment="1" applyProtection="1">
      <alignment horizontal="right" vertical="center"/>
      <protection hidden="1"/>
    </xf>
    <xf numFmtId="1" fontId="430" fillId="6" borderId="0" xfId="50" applyNumberFormat="1" applyFont="1" applyFill="1" applyBorder="1" applyAlignment="1" applyProtection="1">
      <alignment horizontal="center" vertical="center"/>
      <protection hidden="1"/>
    </xf>
    <xf numFmtId="1" fontId="430" fillId="6" borderId="142" xfId="50" applyNumberFormat="1" applyFont="1" applyFill="1" applyBorder="1" applyAlignment="1" applyProtection="1">
      <alignment horizontal="center" vertical="center"/>
      <protection hidden="1"/>
    </xf>
    <xf numFmtId="0" fontId="79" fillId="0" borderId="0" xfId="50" applyFont="1" applyFill="1" applyBorder="1" applyAlignment="1" applyProtection="1">
      <alignment vertical="center"/>
      <protection hidden="1"/>
    </xf>
    <xf numFmtId="0" fontId="381" fillId="0" borderId="0" xfId="50" applyFont="1" applyAlignment="1" applyProtection="1">
      <alignment horizontal="left" vertical="center"/>
      <protection hidden="1"/>
    </xf>
    <xf numFmtId="0" fontId="381" fillId="6" borderId="0" xfId="50" applyFont="1" applyFill="1" applyBorder="1" applyAlignment="1" applyProtection="1">
      <alignment horizontal="left" vertical="center"/>
      <protection hidden="1"/>
    </xf>
    <xf numFmtId="0" fontId="381" fillId="6" borderId="0" xfId="50" applyFont="1" applyFill="1" applyBorder="1" applyAlignment="1" applyProtection="1">
      <alignment horizontal="left" vertical="top" wrapText="1"/>
      <protection hidden="1"/>
    </xf>
    <xf numFmtId="0" fontId="381" fillId="6" borderId="0" xfId="50" applyFont="1" applyFill="1" applyBorder="1" applyAlignment="1" applyProtection="1">
      <alignment horizontal="left" vertical="top"/>
      <protection hidden="1"/>
    </xf>
    <xf numFmtId="0" fontId="0" fillId="6" borderId="0" xfId="0" applyFill="1" applyAlignment="1">
      <alignment horizontal="center"/>
    </xf>
    <xf numFmtId="0" fontId="434" fillId="17" borderId="0" xfId="17" applyFont="1" applyFill="1" applyBorder="1" applyAlignment="1" applyProtection="1">
      <alignment horizontal="right" vertical="top"/>
      <protection hidden="1"/>
    </xf>
    <xf numFmtId="0" fontId="494" fillId="6" borderId="0" xfId="0" applyFont="1" applyFill="1" applyAlignment="1">
      <alignment horizontal="center" wrapText="1"/>
    </xf>
    <xf numFmtId="0" fontId="434" fillId="17" borderId="0" xfId="17" applyFont="1" applyFill="1" applyBorder="1" applyAlignment="1" applyProtection="1">
      <alignment horizontal="right" vertical="center"/>
      <protection hidden="1"/>
    </xf>
    <xf numFmtId="0" fontId="300" fillId="17" borderId="0" xfId="17" applyFont="1" applyFill="1" applyBorder="1" applyAlignment="1" applyProtection="1">
      <alignment horizontal="center" vertical="center"/>
      <protection hidden="1"/>
    </xf>
    <xf numFmtId="0" fontId="480" fillId="6" borderId="0" xfId="0" applyFont="1" applyFill="1" applyAlignment="1">
      <alignment horizontal="center" vertical="center"/>
    </xf>
    <xf numFmtId="0" fontId="300" fillId="17" borderId="0" xfId="17" applyFont="1" applyFill="1" applyBorder="1" applyAlignment="1" applyProtection="1">
      <alignment horizontal="left" vertical="center"/>
      <protection hidden="1"/>
    </xf>
    <xf numFmtId="0" fontId="471" fillId="6" borderId="0" xfId="17" applyFont="1" applyFill="1" applyBorder="1" applyAlignment="1" applyProtection="1">
      <alignment horizontal="center" vertical="center"/>
      <protection hidden="1"/>
    </xf>
    <xf numFmtId="0" fontId="471" fillId="17" borderId="0" xfId="17" applyFont="1" applyFill="1" applyBorder="1" applyAlignment="1" applyProtection="1">
      <alignment horizontal="center" vertical="center"/>
      <protection hidden="1"/>
    </xf>
    <xf numFmtId="0" fontId="435" fillId="17" borderId="0" xfId="17" applyFont="1" applyFill="1" applyBorder="1" applyAlignment="1" applyProtection="1">
      <alignment horizontal="center" vertical="center"/>
      <protection hidden="1"/>
    </xf>
    <xf numFmtId="0" fontId="387" fillId="66" borderId="250" xfId="50" applyFont="1" applyFill="1" applyBorder="1" applyAlignment="1" applyProtection="1">
      <alignment horizontal="center" vertical="center"/>
      <protection hidden="1"/>
    </xf>
    <xf numFmtId="0" fontId="387" fillId="66" borderId="248" xfId="50" applyFont="1" applyFill="1" applyBorder="1" applyAlignment="1" applyProtection="1">
      <alignment horizontal="center" vertical="center"/>
      <protection hidden="1"/>
    </xf>
    <xf numFmtId="0" fontId="387" fillId="66" borderId="249" xfId="50" applyFont="1" applyFill="1" applyBorder="1" applyAlignment="1" applyProtection="1">
      <alignment horizontal="center" vertical="center"/>
      <protection hidden="1"/>
    </xf>
    <xf numFmtId="0" fontId="481" fillId="6" borderId="0" xfId="3" applyFont="1" applyFill="1" applyAlignment="1" applyProtection="1">
      <alignment horizontal="center" vertical="top"/>
      <protection hidden="1"/>
    </xf>
    <xf numFmtId="0" fontId="389" fillId="59" borderId="243" xfId="60" applyFont="1" applyFill="1" applyBorder="1" applyAlignment="1" applyProtection="1">
      <alignment horizontal="center" vertical="center" wrapText="1"/>
      <protection hidden="1"/>
    </xf>
    <xf numFmtId="0" fontId="389" fillId="59" borderId="242" xfId="60" applyFont="1" applyFill="1" applyBorder="1" applyAlignment="1" applyProtection="1">
      <alignment horizontal="center" vertical="center" wrapText="1"/>
      <protection hidden="1"/>
    </xf>
    <xf numFmtId="0" fontId="389" fillId="59" borderId="235" xfId="60" applyFont="1" applyFill="1" applyBorder="1" applyAlignment="1" applyProtection="1">
      <alignment horizontal="center" vertical="center" wrapText="1"/>
      <protection hidden="1"/>
    </xf>
    <xf numFmtId="0" fontId="389" fillId="59" borderId="241" xfId="60" applyFont="1" applyFill="1" applyBorder="1" applyAlignment="1" applyProtection="1">
      <alignment horizontal="center" vertical="center" wrapText="1"/>
      <protection hidden="1"/>
    </xf>
    <xf numFmtId="0" fontId="389" fillId="59" borderId="240" xfId="60" applyFont="1" applyFill="1" applyBorder="1" applyAlignment="1" applyProtection="1">
      <alignment horizontal="center" vertical="center" wrapText="1"/>
      <protection hidden="1"/>
    </xf>
    <xf numFmtId="0" fontId="389" fillId="59" borderId="239" xfId="60" applyFont="1" applyFill="1" applyBorder="1" applyAlignment="1" applyProtection="1">
      <alignment horizontal="center" vertical="center" wrapText="1"/>
      <protection hidden="1"/>
    </xf>
    <xf numFmtId="0" fontId="495" fillId="55" borderId="0" xfId="21" applyFont="1" applyFill="1" applyAlignment="1" applyProtection="1">
      <alignment horizontal="left" vertical="center"/>
      <protection hidden="1"/>
    </xf>
    <xf numFmtId="0" fontId="479" fillId="65" borderId="266" xfId="0" applyFont="1" applyFill="1" applyBorder="1" applyAlignment="1">
      <alignment horizontal="center" vertical="center"/>
    </xf>
    <xf numFmtId="0" fontId="176" fillId="6" borderId="265" xfId="0" applyFont="1" applyFill="1" applyBorder="1"/>
    <xf numFmtId="0" fontId="26" fillId="15" borderId="0" xfId="0" applyFont="1" applyFill="1" applyBorder="1" applyAlignment="1" applyProtection="1">
      <alignment horizontal="right" vertical="center"/>
      <protection hidden="1"/>
    </xf>
    <xf numFmtId="0" fontId="299" fillId="34" borderId="0" xfId="0" applyFont="1" applyFill="1" applyBorder="1" applyAlignment="1" applyProtection="1">
      <alignment horizontal="left" vertical="center"/>
      <protection hidden="1"/>
    </xf>
    <xf numFmtId="0" fontId="389" fillId="68" borderId="237" xfId="60" applyFont="1" applyFill="1" applyBorder="1" applyAlignment="1" applyProtection="1">
      <alignment horizontal="center" vertical="center"/>
      <protection hidden="1"/>
    </xf>
    <xf numFmtId="0" fontId="389" fillId="68" borderId="236" xfId="60" applyFont="1" applyFill="1" applyBorder="1" applyAlignment="1" applyProtection="1">
      <alignment horizontal="center" vertical="center"/>
      <protection hidden="1"/>
    </xf>
    <xf numFmtId="0" fontId="478" fillId="54" borderId="237" xfId="60" applyFont="1" applyFill="1" applyBorder="1" applyAlignment="1" applyProtection="1">
      <alignment horizontal="center" vertical="center"/>
      <protection hidden="1"/>
    </xf>
    <xf numFmtId="0" fontId="478" fillId="54" borderId="238" xfId="60" applyFont="1" applyFill="1" applyBorder="1" applyAlignment="1" applyProtection="1">
      <alignment horizontal="center" vertical="center"/>
      <protection hidden="1"/>
    </xf>
    <xf numFmtId="0" fontId="478" fillId="54" borderId="236" xfId="60" applyFont="1" applyFill="1" applyBorder="1" applyAlignment="1" applyProtection="1">
      <alignment horizontal="center" vertical="center"/>
      <protection hidden="1"/>
    </xf>
    <xf numFmtId="0" fontId="25" fillId="15" borderId="16" xfId="0" applyFont="1" applyFill="1" applyBorder="1" applyAlignment="1" applyProtection="1">
      <alignment horizontal="center" vertical="top"/>
      <protection hidden="1"/>
    </xf>
    <xf numFmtId="0" fontId="25" fillId="16" borderId="16" xfId="0" applyFont="1" applyFill="1" applyBorder="1" applyAlignment="1" applyProtection="1">
      <alignment horizontal="center" vertical="center"/>
      <protection hidden="1"/>
    </xf>
    <xf numFmtId="0" fontId="25" fillId="15" borderId="16" xfId="0" applyFont="1" applyFill="1" applyBorder="1" applyAlignment="1" applyProtection="1">
      <alignment horizontal="center" vertical="top" wrapText="1"/>
      <protection hidden="1"/>
    </xf>
    <xf numFmtId="0" fontId="25" fillId="15" borderId="16" xfId="0" applyFont="1" applyFill="1" applyBorder="1" applyAlignment="1" applyProtection="1">
      <alignment horizontal="left" vertical="top"/>
      <protection hidden="1"/>
    </xf>
    <xf numFmtId="0" fontId="25" fillId="15" borderId="0" xfId="0" applyFont="1" applyFill="1" applyBorder="1" applyAlignment="1" applyProtection="1">
      <alignment horizontal="center" vertical="center"/>
      <protection hidden="1"/>
    </xf>
    <xf numFmtId="0" fontId="25" fillId="15" borderId="225" xfId="0" applyFont="1" applyFill="1" applyBorder="1" applyAlignment="1" applyProtection="1">
      <alignment horizontal="center" vertical="center"/>
      <protection hidden="1"/>
    </xf>
    <xf numFmtId="0" fontId="25" fillId="15" borderId="229" xfId="0" applyFont="1" applyFill="1" applyBorder="1" applyAlignment="1" applyProtection="1">
      <alignment horizontal="center" vertical="top" wrapText="1"/>
      <protection hidden="1"/>
    </xf>
    <xf numFmtId="0" fontId="25" fillId="15" borderId="228" xfId="0" applyFont="1" applyFill="1" applyBorder="1" applyAlignment="1" applyProtection="1">
      <alignment horizontal="center" vertical="top" wrapText="1"/>
      <protection hidden="1"/>
    </xf>
    <xf numFmtId="0" fontId="25" fillId="15" borderId="227" xfId="0" applyFont="1" applyFill="1" applyBorder="1" applyAlignment="1" applyProtection="1">
      <alignment horizontal="center" vertical="top" wrapText="1"/>
      <protection hidden="1"/>
    </xf>
    <xf numFmtId="0" fontId="25" fillId="15" borderId="226" xfId="0" applyFont="1" applyFill="1" applyBorder="1" applyAlignment="1" applyProtection="1">
      <alignment horizontal="center" vertical="top" wrapText="1"/>
      <protection hidden="1"/>
    </xf>
    <xf numFmtId="0" fontId="25" fillId="15" borderId="225" xfId="0" applyFont="1" applyFill="1" applyBorder="1" applyAlignment="1" applyProtection="1">
      <alignment horizontal="center" vertical="top" wrapText="1"/>
      <protection hidden="1"/>
    </xf>
    <xf numFmtId="0" fontId="25" fillId="15" borderId="224" xfId="0" applyFont="1" applyFill="1" applyBorder="1" applyAlignment="1" applyProtection="1">
      <alignment horizontal="center" vertical="top" wrapText="1"/>
      <protection hidden="1"/>
    </xf>
    <xf numFmtId="0" fontId="51" fillId="59" borderId="243" xfId="0" applyFont="1" applyFill="1" applyBorder="1" applyAlignment="1">
      <alignment horizontal="center" vertical="center"/>
    </xf>
    <xf numFmtId="0" fontId="51" fillId="59" borderId="242" xfId="0" applyFont="1" applyFill="1" applyBorder="1" applyAlignment="1">
      <alignment horizontal="center" vertical="center"/>
    </xf>
    <xf numFmtId="0" fontId="51" fillId="59" borderId="235" xfId="0" applyFont="1" applyFill="1" applyBorder="1" applyAlignment="1">
      <alignment horizontal="center" vertical="center"/>
    </xf>
    <xf numFmtId="0" fontId="51" fillId="59" borderId="241" xfId="0" applyFont="1" applyFill="1" applyBorder="1" applyAlignment="1">
      <alignment horizontal="center" vertical="center"/>
    </xf>
    <xf numFmtId="0" fontId="51" fillId="59" borderId="240" xfId="0" applyFont="1" applyFill="1" applyBorder="1" applyAlignment="1">
      <alignment horizontal="center" vertical="center"/>
    </xf>
    <xf numFmtId="0" fontId="51" fillId="59" borderId="239" xfId="0" applyFont="1" applyFill="1" applyBorder="1" applyAlignment="1">
      <alignment horizontal="center" vertical="center"/>
    </xf>
    <xf numFmtId="0" fontId="339" fillId="6" borderId="0" xfId="0" applyFont="1" applyFill="1" applyAlignment="1">
      <alignment horizontal="center" wrapText="1"/>
    </xf>
    <xf numFmtId="0" fontId="389" fillId="59" borderId="237" xfId="60" applyFont="1" applyFill="1" applyBorder="1" applyAlignment="1" applyProtection="1">
      <alignment horizontal="center" vertical="center"/>
      <protection hidden="1"/>
    </xf>
    <xf numFmtId="0" fontId="389" fillId="59" borderId="238" xfId="60" applyFont="1" applyFill="1" applyBorder="1" applyAlignment="1" applyProtection="1">
      <alignment horizontal="center" vertical="center"/>
      <protection hidden="1"/>
    </xf>
    <xf numFmtId="0" fontId="389" fillId="59" borderId="236" xfId="60" applyFont="1" applyFill="1" applyBorder="1" applyAlignment="1" applyProtection="1">
      <alignment horizontal="center" vertical="center"/>
      <protection hidden="1"/>
    </xf>
    <xf numFmtId="1" fontId="432" fillId="54" borderId="237" xfId="60" applyNumberFormat="1" applyFont="1" applyFill="1" applyBorder="1" applyAlignment="1" applyProtection="1">
      <alignment horizontal="center" vertical="center"/>
      <protection hidden="1"/>
    </xf>
    <xf numFmtId="1" fontId="432" fillId="54" borderId="238" xfId="60" applyNumberFormat="1" applyFont="1" applyFill="1" applyBorder="1" applyAlignment="1" applyProtection="1">
      <alignment horizontal="center" vertical="center"/>
      <protection hidden="1"/>
    </xf>
    <xf numFmtId="1" fontId="432" fillId="54" borderId="236" xfId="60" applyNumberFormat="1" applyFont="1" applyFill="1" applyBorder="1" applyAlignment="1" applyProtection="1">
      <alignment horizontal="center" vertical="center"/>
      <protection hidden="1"/>
    </xf>
    <xf numFmtId="0" fontId="476" fillId="59" borderId="243" xfId="60" applyFont="1" applyFill="1" applyBorder="1" applyAlignment="1" applyProtection="1">
      <alignment horizontal="center" vertical="center" wrapText="1"/>
      <protection hidden="1"/>
    </xf>
    <xf numFmtId="0" fontId="476" fillId="59" borderId="242" xfId="60" applyFont="1" applyFill="1" applyBorder="1" applyAlignment="1" applyProtection="1">
      <alignment horizontal="center" vertical="center" wrapText="1"/>
      <protection hidden="1"/>
    </xf>
    <xf numFmtId="0" fontId="476" fillId="59" borderId="235" xfId="60" applyFont="1" applyFill="1" applyBorder="1" applyAlignment="1" applyProtection="1">
      <alignment horizontal="center" vertical="center" wrapText="1"/>
      <protection hidden="1"/>
    </xf>
    <xf numFmtId="0" fontId="476" fillId="59" borderId="300" xfId="60" applyFont="1" applyFill="1" applyBorder="1" applyAlignment="1" applyProtection="1">
      <alignment horizontal="center" vertical="center" wrapText="1"/>
      <protection hidden="1"/>
    </xf>
    <xf numFmtId="0" fontId="476" fillId="59" borderId="299" xfId="60" applyFont="1" applyFill="1" applyBorder="1" applyAlignment="1" applyProtection="1">
      <alignment horizontal="center" vertical="center" wrapText="1"/>
      <protection hidden="1"/>
    </xf>
    <xf numFmtId="0" fontId="476" fillId="59" borderId="298" xfId="60" applyFont="1" applyFill="1" applyBorder="1" applyAlignment="1" applyProtection="1">
      <alignment horizontal="center" vertical="center" wrapText="1"/>
      <protection hidden="1"/>
    </xf>
    <xf numFmtId="10" fontId="389" fillId="59" borderId="238" xfId="60" applyNumberFormat="1" applyFont="1" applyFill="1" applyBorder="1" applyAlignment="1" applyProtection="1">
      <alignment horizontal="center" vertical="center"/>
      <protection hidden="1"/>
    </xf>
    <xf numFmtId="0" fontId="387" fillId="66" borderId="251" xfId="50" applyFont="1" applyFill="1" applyBorder="1" applyAlignment="1" applyProtection="1">
      <alignment horizontal="center" vertical="center" wrapText="1"/>
      <protection hidden="1"/>
    </xf>
    <xf numFmtId="0" fontId="387" fillId="66" borderId="247" xfId="50" applyFont="1" applyFill="1" applyBorder="1" applyAlignment="1" applyProtection="1">
      <alignment horizontal="center" vertical="center" wrapText="1"/>
      <protection hidden="1"/>
    </xf>
    <xf numFmtId="0" fontId="387" fillId="66" borderId="297" xfId="50" applyFont="1" applyFill="1" applyBorder="1" applyAlignment="1" applyProtection="1">
      <alignment horizontal="center" vertical="center" wrapText="1"/>
      <protection hidden="1"/>
    </xf>
    <xf numFmtId="0" fontId="387" fillId="66" borderId="292" xfId="50" applyFont="1" applyFill="1" applyBorder="1" applyAlignment="1" applyProtection="1">
      <alignment horizontal="center" vertical="center" wrapText="1"/>
      <protection hidden="1"/>
    </xf>
    <xf numFmtId="0" fontId="387" fillId="66" borderId="0" xfId="50" applyFont="1" applyFill="1" applyBorder="1" applyAlignment="1" applyProtection="1">
      <alignment horizontal="center" vertical="center" wrapText="1"/>
      <protection hidden="1"/>
    </xf>
    <xf numFmtId="0" fontId="387" fillId="66" borderId="293" xfId="50" applyFont="1" applyFill="1" applyBorder="1" applyAlignment="1" applyProtection="1">
      <alignment horizontal="center" vertical="center" wrapText="1"/>
      <protection hidden="1"/>
    </xf>
    <xf numFmtId="0" fontId="388" fillId="59" borderId="241" xfId="60" applyFont="1" applyFill="1" applyBorder="1" applyAlignment="1" applyProtection="1">
      <alignment horizontal="center" vertical="center"/>
      <protection hidden="1"/>
    </xf>
    <xf numFmtId="0" fontId="388" fillId="59" borderId="239" xfId="60" applyFont="1" applyFill="1" applyBorder="1" applyAlignment="1" applyProtection="1">
      <alignment horizontal="center" vertical="center"/>
      <protection hidden="1"/>
    </xf>
    <xf numFmtId="0" fontId="289" fillId="59" borderId="291" xfId="0" applyFont="1" applyFill="1" applyBorder="1" applyAlignment="1">
      <alignment horizontal="center"/>
    </xf>
    <xf numFmtId="0" fontId="289" fillId="59" borderId="0" xfId="0" applyFont="1" applyFill="1" applyBorder="1" applyAlignment="1">
      <alignment horizontal="center"/>
    </xf>
    <xf numFmtId="10" fontId="432" fillId="54" borderId="296" xfId="60" applyNumberFormat="1" applyFont="1" applyFill="1" applyBorder="1" applyAlignment="1" applyProtection="1">
      <alignment horizontal="center" vertical="center"/>
      <protection hidden="1"/>
    </xf>
    <xf numFmtId="10" fontId="432" fillId="54" borderId="295" xfId="60" applyNumberFormat="1" applyFont="1" applyFill="1" applyBorder="1" applyAlignment="1" applyProtection="1">
      <alignment horizontal="center" vertical="center"/>
      <protection hidden="1"/>
    </xf>
    <xf numFmtId="10" fontId="432" fillId="54" borderId="294" xfId="60" applyNumberFormat="1" applyFont="1" applyFill="1" applyBorder="1" applyAlignment="1" applyProtection="1">
      <alignment horizontal="center" vertical="center"/>
      <protection hidden="1"/>
    </xf>
    <xf numFmtId="0" fontId="389" fillId="59" borderId="251" xfId="60" applyFont="1" applyFill="1" applyBorder="1" applyAlignment="1" applyProtection="1">
      <alignment horizontal="center" vertical="center"/>
      <protection hidden="1"/>
    </xf>
    <xf numFmtId="0" fontId="389" fillId="59" borderId="247" xfId="60" applyFont="1" applyFill="1" applyBorder="1" applyAlignment="1" applyProtection="1">
      <alignment horizontal="center" vertical="center"/>
      <protection hidden="1"/>
    </xf>
    <xf numFmtId="0" fontId="389" fillId="59" borderId="291" xfId="60" applyFont="1" applyFill="1" applyBorder="1" applyAlignment="1" applyProtection="1">
      <alignment horizontal="center" vertical="center"/>
      <protection hidden="1"/>
    </xf>
    <xf numFmtId="0" fontId="389" fillId="59" borderId="0" xfId="60" applyFont="1" applyFill="1" applyBorder="1" applyAlignment="1" applyProtection="1">
      <alignment horizontal="center" vertical="center"/>
      <protection hidden="1"/>
    </xf>
    <xf numFmtId="0" fontId="473" fillId="59" borderId="0" xfId="14" applyFont="1" applyFill="1" applyBorder="1" applyAlignment="1" applyProtection="1">
      <alignment horizontal="center" vertical="center"/>
      <protection hidden="1"/>
    </xf>
    <xf numFmtId="0" fontId="389" fillId="59" borderId="292" xfId="60" applyFont="1" applyFill="1" applyBorder="1" applyAlignment="1" applyProtection="1">
      <alignment horizontal="center" vertical="center"/>
      <protection hidden="1"/>
    </xf>
    <xf numFmtId="0" fontId="477" fillId="15" borderId="229" xfId="0" applyFont="1" applyFill="1" applyBorder="1" applyAlignment="1" applyProtection="1">
      <alignment horizontal="center" vertical="top" wrapText="1"/>
      <protection hidden="1"/>
    </xf>
    <xf numFmtId="0" fontId="477" fillId="15" borderId="228" xfId="0" applyFont="1" applyFill="1" applyBorder="1" applyAlignment="1" applyProtection="1">
      <alignment horizontal="center" vertical="top" wrapText="1"/>
      <protection hidden="1"/>
    </xf>
    <xf numFmtId="0" fontId="477" fillId="15" borderId="227" xfId="0" applyFont="1" applyFill="1" applyBorder="1" applyAlignment="1" applyProtection="1">
      <alignment horizontal="center" vertical="top" wrapText="1"/>
      <protection hidden="1"/>
    </xf>
    <xf numFmtId="0" fontId="477" fillId="15" borderId="226" xfId="0" applyFont="1" applyFill="1" applyBorder="1" applyAlignment="1" applyProtection="1">
      <alignment horizontal="center" vertical="top" wrapText="1"/>
      <protection hidden="1"/>
    </xf>
    <xf numFmtId="0" fontId="477" fillId="15" borderId="225" xfId="0" applyFont="1" applyFill="1" applyBorder="1" applyAlignment="1" applyProtection="1">
      <alignment horizontal="center" vertical="top" wrapText="1"/>
      <protection hidden="1"/>
    </xf>
    <xf numFmtId="0" fontId="477" fillId="15" borderId="224" xfId="0" applyFont="1" applyFill="1" applyBorder="1" applyAlignment="1" applyProtection="1">
      <alignment horizontal="center" vertical="top" wrapText="1"/>
      <protection hidden="1"/>
    </xf>
    <xf numFmtId="0" fontId="272" fillId="69" borderId="0" xfId="50" applyFont="1" applyFill="1" applyAlignment="1" applyProtection="1">
      <alignment horizontal="left" vertical="center"/>
      <protection hidden="1"/>
    </xf>
    <xf numFmtId="0" fontId="380" fillId="70" borderId="0" xfId="69" applyFont="1" applyFill="1" applyBorder="1" applyAlignment="1" applyProtection="1">
      <alignment horizontal="center" vertical="center"/>
      <protection hidden="1"/>
    </xf>
    <xf numFmtId="0" fontId="25" fillId="15" borderId="229" xfId="0" applyFont="1" applyFill="1" applyBorder="1" applyAlignment="1" applyProtection="1">
      <alignment horizontal="center" vertical="center" wrapText="1"/>
      <protection hidden="1"/>
    </xf>
    <xf numFmtId="0" fontId="25" fillId="15" borderId="228" xfId="0" applyFont="1" applyFill="1" applyBorder="1" applyAlignment="1" applyProtection="1">
      <alignment horizontal="center" vertical="center" wrapText="1"/>
      <protection hidden="1"/>
    </xf>
    <xf numFmtId="0" fontId="25" fillId="15" borderId="227" xfId="0" applyFont="1" applyFill="1" applyBorder="1" applyAlignment="1" applyProtection="1">
      <alignment horizontal="center" vertical="center" wrapText="1"/>
      <protection hidden="1"/>
    </xf>
    <xf numFmtId="0" fontId="25" fillId="15" borderId="226" xfId="0" applyFont="1" applyFill="1" applyBorder="1" applyAlignment="1" applyProtection="1">
      <alignment horizontal="center" vertical="center" wrapText="1"/>
      <protection hidden="1"/>
    </xf>
    <xf numFmtId="0" fontId="25" fillId="15" borderId="225" xfId="0" applyFont="1" applyFill="1" applyBorder="1" applyAlignment="1" applyProtection="1">
      <alignment horizontal="center" vertical="center" wrapText="1"/>
      <protection hidden="1"/>
    </xf>
    <xf numFmtId="0" fontId="25" fillId="15" borderId="224" xfId="0" applyFont="1" applyFill="1" applyBorder="1" applyAlignment="1" applyProtection="1">
      <alignment horizontal="center" vertical="center" wrapText="1"/>
      <protection hidden="1"/>
    </xf>
    <xf numFmtId="0" fontId="477" fillId="15" borderId="16" xfId="0" applyFont="1" applyFill="1" applyBorder="1" applyAlignment="1" applyProtection="1">
      <alignment horizontal="center" vertical="center" wrapText="1"/>
      <protection hidden="1"/>
    </xf>
    <xf numFmtId="0" fontId="486" fillId="6" borderId="0" xfId="20" applyFont="1" applyFill="1" applyBorder="1" applyAlignment="1" applyProtection="1">
      <alignment horizontal="left" vertical="center"/>
      <protection hidden="1"/>
    </xf>
    <xf numFmtId="0" fontId="105" fillId="6" borderId="0" xfId="0" applyFont="1" applyFill="1" applyAlignment="1">
      <alignment horizontal="center" vertical="center"/>
    </xf>
    <xf numFmtId="0" fontId="106" fillId="6" borderId="0" xfId="0" applyFont="1" applyFill="1" applyAlignment="1">
      <alignment horizontal="center" vertical="center"/>
    </xf>
    <xf numFmtId="0" fontId="106" fillId="6" borderId="0" xfId="0" applyFont="1" applyFill="1" applyAlignment="1">
      <alignment horizontal="left" vertical="center"/>
    </xf>
    <xf numFmtId="0" fontId="145" fillId="6" borderId="0" xfId="0" applyFont="1" applyFill="1" applyBorder="1" applyAlignment="1" applyProtection="1">
      <alignment horizontal="center" vertical="center"/>
      <protection hidden="1"/>
    </xf>
    <xf numFmtId="0" fontId="119" fillId="6" borderId="0" xfId="0" applyFont="1" applyFill="1" applyAlignment="1">
      <alignment horizontal="center" vertical="center"/>
    </xf>
    <xf numFmtId="0" fontId="486" fillId="6" borderId="0" xfId="0" applyFont="1" applyFill="1" applyAlignment="1">
      <alignment horizontal="left" vertical="center"/>
    </xf>
    <xf numFmtId="0" fontId="486" fillId="6" borderId="0" xfId="0" applyFont="1" applyFill="1" applyAlignment="1">
      <alignment horizontal="left" vertical="center" wrapText="1"/>
    </xf>
    <xf numFmtId="0" fontId="87" fillId="59" borderId="279" xfId="18" applyFont="1" applyFill="1" applyBorder="1" applyAlignment="1" applyProtection="1">
      <alignment horizontal="center" vertical="center"/>
      <protection hidden="1"/>
    </xf>
    <xf numFmtId="0" fontId="87" fillId="59" borderId="278" xfId="20" applyFont="1" applyFill="1" applyBorder="1" applyAlignment="1" applyProtection="1">
      <alignment horizontal="center" vertical="center" wrapText="1"/>
      <protection hidden="1"/>
    </xf>
    <xf numFmtId="0" fontId="87" fillId="59" borderId="140" xfId="20" applyFont="1" applyFill="1" applyBorder="1" applyAlignment="1" applyProtection="1">
      <alignment horizontal="center" vertical="center" wrapText="1"/>
      <protection hidden="1"/>
    </xf>
    <xf numFmtId="0" fontId="487" fillId="6" borderId="0" xfId="0" applyFont="1" applyFill="1" applyAlignment="1">
      <alignment horizontal="center" vertical="center" wrapText="1"/>
    </xf>
    <xf numFmtId="0" fontId="87" fillId="59" borderId="279" xfId="18" applyFont="1" applyFill="1" applyBorder="1" applyAlignment="1" applyProtection="1">
      <alignment horizontal="center" vertical="center" wrapText="1"/>
      <protection hidden="1"/>
    </xf>
    <xf numFmtId="0" fontId="87" fillId="59" borderId="303" xfId="18" applyFont="1" applyFill="1" applyBorder="1" applyAlignment="1" applyProtection="1">
      <alignment horizontal="center" vertical="center" wrapText="1"/>
      <protection hidden="1"/>
    </xf>
    <xf numFmtId="0" fontId="87" fillId="59" borderId="280" xfId="18" applyFont="1" applyFill="1" applyBorder="1" applyAlignment="1" applyProtection="1">
      <alignment horizontal="center" vertical="center" wrapText="1"/>
      <protection hidden="1"/>
    </xf>
    <xf numFmtId="0" fontId="488" fillId="6" borderId="0" xfId="20" applyFont="1" applyFill="1" applyBorder="1" applyAlignment="1" applyProtection="1">
      <alignment horizontal="left" vertical="center"/>
      <protection hidden="1"/>
    </xf>
    <xf numFmtId="0" fontId="490" fillId="6" borderId="0" xfId="50" applyFont="1" applyFill="1" applyAlignment="1" applyProtection="1">
      <alignment horizontal="center" vertical="center"/>
      <protection hidden="1"/>
    </xf>
    <xf numFmtId="0" fontId="203" fillId="6" borderId="307" xfId="0" applyFont="1" applyFill="1" applyBorder="1" applyAlignment="1">
      <alignment horizontal="right" vertical="center"/>
    </xf>
    <xf numFmtId="0" fontId="493" fillId="6" borderId="0" xfId="50" applyFont="1" applyFill="1" applyAlignment="1" applyProtection="1">
      <alignment horizontal="center" vertical="center"/>
      <protection hidden="1"/>
    </xf>
    <xf numFmtId="0" fontId="493" fillId="6" borderId="0" xfId="50" applyFont="1" applyFill="1" applyAlignment="1" applyProtection="1">
      <alignment horizontal="left" vertical="center"/>
      <protection hidden="1"/>
    </xf>
    <xf numFmtId="0" fontId="72" fillId="6" borderId="125" xfId="9" applyFont="1" applyFill="1" applyBorder="1" applyAlignment="1" applyProtection="1">
      <alignment horizontal="center" vertical="center" wrapText="1"/>
      <protection hidden="1"/>
    </xf>
    <xf numFmtId="0" fontId="72" fillId="6" borderId="39" xfId="9" applyFont="1" applyFill="1" applyBorder="1" applyAlignment="1" applyProtection="1">
      <alignment horizontal="center" vertical="center" wrapText="1"/>
      <protection hidden="1"/>
    </xf>
    <xf numFmtId="0" fontId="69" fillId="22" borderId="0" xfId="20" applyFont="1" applyFill="1" applyAlignment="1" applyProtection="1">
      <alignment horizontal="center" vertical="top"/>
      <protection hidden="1"/>
    </xf>
    <xf numFmtId="0" fontId="491" fillId="21" borderId="0" xfId="21" applyFont="1" applyFill="1" applyBorder="1" applyAlignment="1" applyProtection="1">
      <alignment horizontal="center" vertical="center"/>
      <protection hidden="1"/>
    </xf>
    <xf numFmtId="0" fontId="119" fillId="6" borderId="306" xfId="20" applyFont="1" applyFill="1" applyBorder="1" applyAlignment="1" applyProtection="1">
      <alignment horizontal="center" vertical="center"/>
      <protection hidden="1"/>
    </xf>
    <xf numFmtId="0" fontId="119" fillId="6" borderId="305" xfId="20" applyFont="1" applyFill="1" applyBorder="1" applyAlignment="1" applyProtection="1">
      <alignment horizontal="center" vertical="center"/>
      <protection hidden="1"/>
    </xf>
    <xf numFmtId="0" fontId="119" fillId="6" borderId="304" xfId="20" applyFont="1" applyFill="1" applyBorder="1" applyAlignment="1" applyProtection="1">
      <alignment horizontal="center" vertical="center"/>
      <protection hidden="1"/>
    </xf>
    <xf numFmtId="14" fontId="98" fillId="0" borderId="0" xfId="9" applyNumberFormat="1" applyFont="1" applyBorder="1" applyAlignment="1" applyProtection="1">
      <alignment horizontal="center"/>
      <protection hidden="1"/>
    </xf>
    <xf numFmtId="0" fontId="272" fillId="22" borderId="0" xfId="50" applyFont="1" applyFill="1" applyAlignment="1" applyProtection="1">
      <alignment horizontal="center" vertical="center"/>
      <protection hidden="1"/>
    </xf>
    <xf numFmtId="0" fontId="121" fillId="0" borderId="306" xfId="0" applyFont="1" applyBorder="1" applyAlignment="1">
      <alignment horizontal="center" vertical="center"/>
    </xf>
    <xf numFmtId="0" fontId="121" fillId="0" borderId="305" xfId="0" applyFont="1" applyBorder="1" applyAlignment="1">
      <alignment horizontal="center" vertical="center"/>
    </xf>
    <xf numFmtId="0" fontId="121" fillId="0" borderId="304" xfId="0" applyFont="1" applyBorder="1" applyAlignment="1">
      <alignment horizontal="center" vertical="center"/>
    </xf>
    <xf numFmtId="0" fontId="486" fillId="6" borderId="0" xfId="20" applyFont="1" applyFill="1" applyAlignment="1" applyProtection="1">
      <alignment horizontal="left" vertical="center"/>
      <protection hidden="1"/>
    </xf>
    <xf numFmtId="0" fontId="486" fillId="6" borderId="302" xfId="20" applyFont="1" applyFill="1" applyBorder="1" applyAlignment="1" applyProtection="1">
      <alignment horizontal="left" vertical="center"/>
      <protection hidden="1"/>
    </xf>
    <xf numFmtId="0" fontId="489" fillId="6" borderId="0" xfId="51" applyFont="1" applyFill="1" applyBorder="1" applyAlignment="1" applyProtection="1">
      <alignment horizontal="left" vertical="center"/>
      <protection hidden="1"/>
    </xf>
    <xf numFmtId="0" fontId="482" fillId="6" borderId="0" xfId="0" applyFont="1" applyFill="1" applyAlignment="1">
      <alignment horizontal="center" vertical="center"/>
    </xf>
    <xf numFmtId="0" fontId="403" fillId="6" borderId="0" xfId="20" applyFont="1" applyFill="1" applyBorder="1" applyAlignment="1" applyProtection="1">
      <alignment horizontal="center"/>
      <protection hidden="1"/>
    </xf>
    <xf numFmtId="0" fontId="203" fillId="6" borderId="302" xfId="0" applyFont="1" applyFill="1" applyBorder="1" applyAlignment="1">
      <alignment horizontal="right" vertical="center"/>
    </xf>
    <xf numFmtId="0" fontId="203" fillId="6" borderId="301" xfId="0" applyFont="1" applyFill="1" applyBorder="1" applyAlignment="1">
      <alignment horizontal="right" vertical="center"/>
    </xf>
    <xf numFmtId="0" fontId="483" fillId="6" borderId="302" xfId="0" applyFont="1" applyFill="1" applyBorder="1" applyAlignment="1">
      <alignment horizontal="right" vertical="center"/>
    </xf>
    <xf numFmtId="0" fontId="483" fillId="6" borderId="301" xfId="0" applyFont="1" applyFill="1" applyBorder="1" applyAlignment="1">
      <alignment horizontal="right" vertical="center"/>
    </xf>
    <xf numFmtId="0" fontId="102" fillId="6" borderId="0" xfId="0" applyFont="1" applyFill="1" applyAlignment="1">
      <alignment horizontal="center" vertical="center"/>
    </xf>
    <xf numFmtId="0" fontId="87" fillId="6" borderId="0" xfId="0" applyFont="1" applyFill="1" applyAlignment="1">
      <alignment horizontal="left" vertical="center"/>
    </xf>
  </cellXfs>
  <cellStyles count="75">
    <cellStyle name="20% - Accent2" xfId="28" builtinId="34"/>
    <cellStyle name="20% - Accent2 10" xfId="55"/>
    <cellStyle name="20% - Accent2 2" xfId="39"/>
    <cellStyle name="20% - Accent2 3 2" xfId="72"/>
    <cellStyle name="20% - Accent2 4" xfId="48"/>
    <cellStyle name="20% - Accent2 4 2" xfId="74"/>
    <cellStyle name="20% - Accent2 4 3" xfId="68"/>
    <cellStyle name="20% - Accent2 4 4" xfId="66"/>
    <cellStyle name="20% - Accent2 7 2" xfId="61"/>
    <cellStyle name="20% - Accent2 8 2" xfId="23"/>
    <cellStyle name="20% - Accent4" xfId="33" builtinId="42"/>
    <cellStyle name="20% - Accent5 2" xfId="11"/>
    <cellStyle name="20% - Accent5 2 2" xfId="47"/>
    <cellStyle name="40% - Accent2" xfId="16" builtinId="35"/>
    <cellStyle name="40% - Accent2 2" xfId="38"/>
    <cellStyle name="40% - Accent2 3" xfId="26"/>
    <cellStyle name="40% - Accent2 3 2 2" xfId="54"/>
    <cellStyle name="40% - Accent2 3 2 3" xfId="67"/>
    <cellStyle name="40% - Accent2 3 2 4" xfId="37"/>
    <cellStyle name="40% - Accent2 4 2" xfId="73"/>
    <cellStyle name="40% - Accent2 5 2" xfId="51"/>
    <cellStyle name="40% - Accent2 5 3" xfId="70"/>
    <cellStyle name="60% - Accent5" xfId="34" builtinId="48"/>
    <cellStyle name="60% - Accent6" xfId="35" builtinId="52"/>
    <cellStyle name="Accent1" xfId="15" builtinId="29"/>
    <cellStyle name="Accent4" xfId="17" builtinId="41"/>
    <cellStyle name="Accent4 2" xfId="10"/>
    <cellStyle name="Bad" xfId="2" builtinId="27"/>
    <cellStyle name="Check Cell" xfId="32" builtinId="23"/>
    <cellStyle name="Excel Built-in Normal 2" xfId="18"/>
    <cellStyle name="Good" xfId="1" builtinId="26"/>
    <cellStyle name="Heading 1" xfId="31" builtinId="16"/>
    <cellStyle name="Hyperlink" xfId="21" builtinId="8"/>
    <cellStyle name="Neutral" xfId="14" builtinId="28"/>
    <cellStyle name="Normal" xfId="0" builtinId="0"/>
    <cellStyle name="Normal 10 3" xfId="50"/>
    <cellStyle name="Normal 10 4" xfId="69"/>
    <cellStyle name="Normal 11 2" xfId="52"/>
    <cellStyle name="Normal 11 3" xfId="19"/>
    <cellStyle name="Normal 11 4" xfId="64"/>
    <cellStyle name="Normal 12" xfId="12"/>
    <cellStyle name="Normal 12 2" xfId="43"/>
    <cellStyle name="Normal 13 2" xfId="46"/>
    <cellStyle name="Normal 14 2" xfId="56"/>
    <cellStyle name="Normal 15 2" xfId="27"/>
    <cellStyle name="Normal 15 4" xfId="60"/>
    <cellStyle name="Normal 16" xfId="25"/>
    <cellStyle name="Normal 17" xfId="41"/>
    <cellStyle name="Normal 18" xfId="3"/>
    <cellStyle name="Normal 2 2 2" xfId="9"/>
    <cellStyle name="Normal 2 2 2 2" xfId="6"/>
    <cellStyle name="Normal 2 3 2 2" xfId="53"/>
    <cellStyle name="Normal 2 3 2 3" xfId="65"/>
    <cellStyle name="Normal 2 3 3 2" xfId="58"/>
    <cellStyle name="Normal 2 3 4 2" xfId="63"/>
    <cellStyle name="Normal 2 3 5" xfId="45"/>
    <cellStyle name="Normal 2 4" xfId="8"/>
    <cellStyle name="Normal 2 5" xfId="4"/>
    <cellStyle name="Normal 3" xfId="5"/>
    <cellStyle name="Normal 3 2" xfId="7"/>
    <cellStyle name="Normal 3 3 2" xfId="59"/>
    <cellStyle name="Normal 4" xfId="24"/>
    <cellStyle name="Normal 4 2 2" xfId="44"/>
    <cellStyle name="Normal 5" xfId="20"/>
    <cellStyle name="Normal 5 2" xfId="49"/>
    <cellStyle name="Normal 5 3 2" xfId="57"/>
    <cellStyle name="Normal 5 4 2" xfId="62"/>
    <cellStyle name="Normal 5 5 2" xfId="42"/>
    <cellStyle name="Normal 5 6 2" xfId="22"/>
    <cellStyle name="Normal 6" xfId="36"/>
    <cellStyle name="Normal 7" xfId="30"/>
    <cellStyle name="Normal 8" xfId="29"/>
    <cellStyle name="Normal 9" xfId="13"/>
    <cellStyle name="Normal 9 2" xfId="71"/>
    <cellStyle name="Title 2" xfId="40"/>
  </cellStyles>
  <dxfs count="179">
    <dxf>
      <font>
        <b/>
        <i/>
        <color theme="0"/>
      </font>
      <fill>
        <patternFill>
          <bgColor rgb="FFFF0000"/>
        </patternFill>
      </fill>
    </dxf>
    <dxf>
      <font>
        <b/>
        <i val="0"/>
        <color rgb="FF00B050"/>
      </font>
      <fill>
        <patternFill>
          <bgColor rgb="FFFFFF94"/>
        </patternFill>
      </fill>
      <border>
        <left style="thin">
          <color auto="1"/>
        </left>
        <right style="thin">
          <color auto="1"/>
        </right>
        <top style="thin">
          <color auto="1"/>
        </top>
        <bottom style="thin">
          <color auto="1"/>
        </bottom>
        <vertical/>
        <horizontal/>
      </border>
    </dxf>
    <dxf>
      <font>
        <b/>
        <i val="0"/>
        <color rgb="FF00B050"/>
      </font>
      <fill>
        <patternFill>
          <bgColor rgb="FFFFFF94"/>
        </patternFill>
      </fill>
      <border>
        <left style="thin">
          <color auto="1"/>
        </left>
        <right style="thin">
          <color auto="1"/>
        </right>
        <top style="thin">
          <color auto="1"/>
        </top>
        <bottom style="thin">
          <color auto="1"/>
        </bottom>
        <vertical/>
        <horizontal/>
      </border>
    </dxf>
    <dxf>
      <font>
        <b/>
        <i val="0"/>
        <color rgb="FF00B050"/>
      </font>
      <fill>
        <patternFill>
          <bgColor rgb="FFFFFF94"/>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dotted">
          <color auto="1"/>
        </left>
        <right style="dotted">
          <color auto="1"/>
        </right>
        <top style="dotted">
          <color auto="1"/>
        </top>
        <bottom style="dotted">
          <color auto="1"/>
        </bottom>
        <vertical/>
        <horizontal/>
      </border>
    </dxf>
    <dxf>
      <font>
        <b/>
        <i val="0"/>
        <color rgb="FF7030A0"/>
      </font>
      <fill>
        <patternFill>
          <bgColor rgb="FFFFFF9A"/>
        </patternFill>
      </fill>
      <border>
        <left style="dotted">
          <color auto="1"/>
        </left>
        <right style="dotted">
          <color auto="1"/>
        </right>
        <top style="dotted">
          <color auto="1"/>
        </top>
        <bottom style="dotted">
          <color auto="1"/>
        </bottom>
        <vertical/>
        <horizontal/>
      </border>
    </dxf>
    <dxf>
      <font>
        <b/>
        <i val="0"/>
        <color rgb="FF7030A0"/>
      </font>
      <fill>
        <patternFill>
          <bgColor rgb="FFFFFF9A"/>
        </patternFill>
      </fill>
      <border>
        <left style="dotted">
          <color auto="1"/>
        </left>
        <right style="dotted">
          <color auto="1"/>
        </right>
        <top style="dotted">
          <color auto="1"/>
        </top>
        <bottom style="dotted">
          <color auto="1"/>
        </bottom>
        <vertical/>
        <horizontal/>
      </border>
    </dxf>
    <dxf>
      <font>
        <b/>
        <i val="0"/>
        <color theme="0"/>
      </font>
      <fill>
        <patternFill>
          <bgColor rgb="FFFF0000"/>
        </patternFill>
      </fill>
      <border>
        <left style="dotted">
          <color auto="1"/>
        </left>
        <right style="dotted">
          <color auto="1"/>
        </right>
        <top style="dotted">
          <color auto="1"/>
        </top>
        <bottom style="dotted">
          <color auto="1"/>
        </bottom>
        <vertical/>
        <horizontal/>
      </border>
    </dxf>
    <dxf>
      <font>
        <b/>
        <i val="0"/>
        <color theme="0"/>
      </font>
      <fill>
        <patternFill>
          <bgColor rgb="FFFF0000"/>
        </patternFill>
      </fill>
      <border>
        <left style="dotted">
          <color auto="1"/>
        </left>
        <right style="dotted">
          <color auto="1"/>
        </right>
        <top style="dotted">
          <color auto="1"/>
        </top>
        <bottom style="dotted">
          <color auto="1"/>
        </bottom>
        <vertical/>
        <horizontal/>
      </border>
    </dxf>
    <dxf>
      <font>
        <b/>
        <i val="0"/>
        <color theme="0"/>
      </font>
      <fill>
        <patternFill>
          <bgColor rgb="FFFF0000"/>
        </patternFill>
      </fill>
      <border>
        <left style="dotted">
          <color auto="1"/>
        </left>
        <right style="dotted">
          <color auto="1"/>
        </right>
        <top style="dotted">
          <color auto="1"/>
        </top>
        <bottom style="dotted">
          <color auto="1"/>
        </bottom>
        <vertical/>
        <horizontal/>
      </border>
    </dxf>
    <dxf>
      <font>
        <b/>
        <i val="0"/>
        <color theme="0"/>
      </font>
      <fill>
        <patternFill>
          <bgColor rgb="FFFF0000"/>
        </patternFill>
      </fill>
      <border>
        <left style="dotted">
          <color auto="1"/>
        </left>
        <right style="dotted">
          <color auto="1"/>
        </right>
        <top style="dotted">
          <color auto="1"/>
        </top>
        <bottom style="dotted">
          <color auto="1"/>
        </bottom>
        <vertical/>
        <horizontal/>
      </border>
    </dxf>
    <dxf>
      <font>
        <b/>
        <i val="0"/>
        <color theme="0"/>
      </font>
      <fill>
        <patternFill>
          <bgColor rgb="FFFF0000"/>
        </patternFill>
      </fill>
      <border>
        <left style="hair">
          <color auto="1"/>
        </left>
        <top style="hair">
          <color auto="1"/>
        </top>
        <bottom style="hair">
          <color auto="1"/>
        </bottom>
        <vertical/>
        <horizontal/>
      </border>
    </dxf>
    <dxf>
      <font>
        <b/>
        <i val="0"/>
        <color theme="0"/>
      </font>
      <fill>
        <patternFill>
          <bgColor rgb="FFFF0000"/>
        </patternFill>
      </fill>
      <border>
        <left style="dotted">
          <color auto="1"/>
        </left>
        <right style="dotted">
          <color auto="1"/>
        </right>
        <top style="dotted">
          <color auto="1"/>
        </top>
        <bottom style="dotted">
          <color auto="1"/>
        </bottom>
        <vertical/>
        <horizontal/>
      </border>
    </dxf>
    <dxf>
      <font>
        <b/>
        <i val="0"/>
        <color theme="0"/>
      </font>
      <fill>
        <patternFill>
          <bgColor rgb="FFFF0000"/>
        </patternFill>
      </fill>
      <border>
        <left style="dotted">
          <color auto="1"/>
        </left>
        <right style="dotted">
          <color auto="1"/>
        </right>
        <top style="dotted">
          <color auto="1"/>
        </top>
        <bottom style="dotted">
          <color auto="1"/>
        </bottom>
        <vertical/>
        <horizontal/>
      </border>
    </dxf>
    <dxf>
      <font>
        <b/>
        <i val="0"/>
        <color theme="0"/>
      </font>
      <fill>
        <patternFill>
          <bgColor rgb="FFFF0000"/>
        </patternFill>
      </fill>
      <border>
        <left style="dotted">
          <color auto="1"/>
        </left>
        <right style="dotted">
          <color auto="1"/>
        </right>
        <top style="dotted">
          <color auto="1"/>
        </top>
        <bottom style="dotted">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9"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color theme="0"/>
      </font>
      <fill>
        <patternFill patternType="solid">
          <fgColor auto="1"/>
          <bgColor theme="8" tint="-0.499984740745262"/>
        </patternFill>
      </fill>
      <border>
        <left style="thin">
          <color auto="1"/>
        </left>
        <right style="thin">
          <color auto="1"/>
        </right>
        <top style="thin">
          <color auto="1"/>
        </top>
        <bottom style="thin">
          <color auto="1"/>
        </bottom>
        <vertical/>
        <horizontal/>
      </border>
    </dxf>
    <dxf>
      <font>
        <b/>
        <i val="0"/>
        <color theme="0"/>
      </font>
      <fill>
        <patternFill patternType="solid">
          <fgColor auto="1"/>
          <bgColor theme="8" tint="-0.499984740745262"/>
        </patternFill>
      </fill>
      <border>
        <left style="thin">
          <color auto="1"/>
        </left>
        <right style="thin">
          <color auto="1"/>
        </right>
        <top style="thin">
          <color auto="1"/>
        </top>
        <bottom style="thin">
          <color auto="1"/>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92"/>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190"/>
        </patternFill>
      </fill>
      <border>
        <left style="thin">
          <color auto="1"/>
        </left>
        <right style="thin">
          <color auto="1"/>
        </right>
        <top style="thin">
          <color auto="1"/>
        </top>
        <bottom style="thin">
          <color auto="1"/>
        </bottom>
        <vertical/>
        <horizontal/>
      </border>
    </dxf>
    <dxf>
      <font>
        <b/>
        <i val="0"/>
        <color rgb="FF7030A0"/>
      </font>
      <fill>
        <patternFill>
          <bgColor rgb="FFFFE1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theme="0"/>
      </font>
      <fill>
        <patternFill>
          <bgColor theme="8" tint="-0.499984740745262"/>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B90"/>
        </patternFill>
      </fill>
      <border>
        <left style="thin">
          <color auto="1"/>
        </left>
        <right style="thin">
          <color auto="1"/>
        </right>
        <top style="thin">
          <color auto="1"/>
        </top>
        <bottom style="thin">
          <color auto="1"/>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92"/>
        </patternFill>
      </fill>
      <border>
        <left style="thin">
          <color auto="1"/>
        </left>
        <right style="thin">
          <color auto="1"/>
        </right>
        <top style="thin">
          <color auto="1"/>
        </top>
        <bottom style="thin">
          <color auto="1"/>
        </bottom>
        <vertical/>
        <horizontal/>
      </border>
    </dxf>
    <dxf>
      <font>
        <b/>
        <i val="0"/>
        <color rgb="FF7030A0"/>
      </font>
      <fill>
        <patternFill>
          <bgColor rgb="FFFFE190"/>
        </patternFill>
      </fill>
      <border>
        <left style="thin">
          <color auto="1"/>
        </left>
        <right style="thin">
          <color auto="1"/>
        </right>
        <top style="thin">
          <color auto="1"/>
        </top>
        <bottom style="thin">
          <color auto="1"/>
        </bottom>
        <vertical/>
        <horizontal/>
      </border>
    </dxf>
    <dxf>
      <font>
        <b/>
        <i val="0"/>
        <color rgb="FF7030A0"/>
      </font>
      <fill>
        <patternFill>
          <bgColor rgb="FFFFE190"/>
        </patternFill>
      </fill>
      <border>
        <left style="thin">
          <color auto="1"/>
        </left>
        <right style="thin">
          <color auto="1"/>
        </right>
        <top style="thin">
          <color auto="1"/>
        </top>
        <bottom style="thin">
          <color auto="1"/>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8F"/>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b/>
        <i val="0"/>
        <color rgb="FF7030A0"/>
      </font>
      <fill>
        <patternFill>
          <bgColor rgb="FFFFE492"/>
        </patternFill>
      </fill>
      <border>
        <left style="thin">
          <color auto="1"/>
        </left>
        <right style="thin">
          <color auto="1"/>
        </right>
        <top style="thin">
          <color auto="1"/>
        </top>
        <bottom style="thin">
          <color auto="1"/>
        </bottom>
        <vertical/>
        <horizontal/>
      </border>
    </dxf>
    <dxf>
      <font>
        <b/>
        <i val="0"/>
        <color rgb="FF7030A0"/>
      </font>
      <fill>
        <patternFill patternType="solid">
          <fgColor auto="1"/>
          <bgColor rgb="FFFFE190"/>
        </patternFill>
      </fill>
      <border>
        <left style="thin">
          <color auto="1"/>
        </left>
        <right style="thin">
          <color auto="1"/>
        </right>
        <top style="thin">
          <color auto="1"/>
        </top>
        <bottom style="thin">
          <color auto="1"/>
        </bottom>
        <vertical/>
        <horizontal/>
      </border>
    </dxf>
    <dxf>
      <font>
        <b/>
        <i val="0"/>
        <color rgb="FF7030A0"/>
      </font>
      <fill>
        <patternFill>
          <bgColor rgb="FFFFE19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border>
        <left style="thin">
          <color auto="1"/>
        </left>
        <right style="thin">
          <color auto="1"/>
        </right>
        <top style="thin">
          <color auto="1"/>
        </top>
        <bottom style="thin">
          <color auto="1"/>
        </bottom>
        <vertical/>
        <horizontal/>
      </border>
    </dxf>
    <dxf>
      <font>
        <b/>
        <i val="0"/>
        <color theme="0"/>
      </font>
      <fill>
        <patternFill>
          <bgColor rgb="FFFF0000"/>
        </patternFill>
      </fill>
    </dxf>
    <dxf>
      <font>
        <b/>
        <i val="0"/>
        <color theme="0"/>
      </font>
      <fill>
        <patternFill>
          <bgColor rgb="FFFF0000"/>
        </patternFill>
      </fill>
    </dxf>
    <dxf>
      <font>
        <sz val="10"/>
        <name val="Arial"/>
      </font>
    </dxf>
  </dxfs>
  <tableStyles count="0" defaultTableStyle="TableStyleMedium2" defaultPivotStyle="PivotStyleMedium9"/>
  <colors>
    <mruColors>
      <color rgb="FFCCFF66"/>
      <color rgb="FFC4EB45"/>
      <color rgb="FFFFCCFF"/>
      <color rgb="FF086E20"/>
      <color rgb="FFCCFFCC"/>
      <color rgb="FF59D7F5"/>
      <color rgb="FF252CB1"/>
      <color rgb="FFFC24ED"/>
      <color rgb="FF0B8F2A"/>
      <color rgb="FFDA914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0.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hyperlink" Target="#'VASANTHAM HOME'!A1"/><Relationship Id="rId5" Type="http://schemas.openxmlformats.org/officeDocument/2006/relationships/image" Target="../media/image5.jpeg"/><Relationship Id="rId10" Type="http://schemas.openxmlformats.org/officeDocument/2006/relationships/image" Target="../media/image9.jpeg"/><Relationship Id="rId4" Type="http://schemas.openxmlformats.org/officeDocument/2006/relationships/image" Target="../media/image4.jpeg"/><Relationship Id="rId9" Type="http://schemas.openxmlformats.org/officeDocument/2006/relationships/hyperlink" Target="#EPLUS!A1"/></Relationships>
</file>

<file path=xl/drawings/_rels/drawing2.xml.rels><?xml version="1.0" encoding="UTF-8" standalone="yes"?>
<Relationships xmlns="http://schemas.openxmlformats.org/package/2006/relationships"><Relationship Id="rId3" Type="http://schemas.openxmlformats.org/officeDocument/2006/relationships/hyperlink" Target="#'LIC VASANTHAM - HOME'!A1"/><Relationship Id="rId2" Type="http://schemas.openxmlformats.org/officeDocument/2006/relationships/image" Target="../media/image11.jpeg"/><Relationship Id="rId1" Type="http://schemas.openxmlformats.org/officeDocument/2006/relationships/hyperlink" Target="#'Print EPLUS'!A1"/><Relationship Id="rId5" Type="http://schemas.openxmlformats.org/officeDocument/2006/relationships/image" Target="../media/image13.png"/><Relationship Id="rId4" Type="http://schemas.openxmlformats.org/officeDocument/2006/relationships/image" Target="../media/image12.jpeg"/></Relationships>
</file>

<file path=xl/drawings/_rels/drawing3.xml.rels><?xml version="1.0" encoding="UTF-8" standalone="yes"?>
<Relationships xmlns="http://schemas.openxmlformats.org/package/2006/relationships"><Relationship Id="rId8" Type="http://schemas.openxmlformats.org/officeDocument/2006/relationships/hyperlink" Target="#'Jeevan Arogya'!A1"/><Relationship Id="rId3" Type="http://schemas.openxmlformats.org/officeDocument/2006/relationships/image" Target="../media/image16.png"/><Relationship Id="rId7" Type="http://schemas.openxmlformats.org/officeDocument/2006/relationships/image" Target="../media/image19.jpeg"/><Relationship Id="rId2" Type="http://schemas.openxmlformats.org/officeDocument/2006/relationships/image" Target="../media/image15.jpeg"/><Relationship Id="rId1" Type="http://schemas.openxmlformats.org/officeDocument/2006/relationships/image" Target="../media/image14.jpeg"/><Relationship Id="rId6" Type="http://schemas.openxmlformats.org/officeDocument/2006/relationships/hyperlink" Target="#'VASANTHAM HOME'!A1"/><Relationship Id="rId5" Type="http://schemas.openxmlformats.org/officeDocument/2006/relationships/image" Target="../media/image18.jpeg"/><Relationship Id="rId4" Type="http://schemas.openxmlformats.org/officeDocument/2006/relationships/image" Target="../media/image17.png"/><Relationship Id="rId9" Type="http://schemas.openxmlformats.org/officeDocument/2006/relationships/image" Target="../media/image20.jpeg"/></Relationships>
</file>

<file path=xl/drawings/_rels/drawing4.xml.rels><?xml version="1.0" encoding="UTF-8" standalone="yes"?>
<Relationships xmlns="http://schemas.openxmlformats.org/package/2006/relationships"><Relationship Id="rId8" Type="http://schemas.openxmlformats.org/officeDocument/2006/relationships/hyperlink" Target="#'VASANTHAM HOME'!A1"/><Relationship Id="rId3" Type="http://schemas.openxmlformats.org/officeDocument/2006/relationships/image" Target="../media/image21.jpeg"/><Relationship Id="rId7" Type="http://schemas.openxmlformats.org/officeDocument/2006/relationships/hyperlink" Target="#'VASANTHAM HOME'!A1"/><Relationship Id="rId2" Type="http://schemas.openxmlformats.org/officeDocument/2006/relationships/hyperlink" Target="#PRJA!A1"/><Relationship Id="rId1" Type="http://schemas.openxmlformats.org/officeDocument/2006/relationships/image" Target="../media/image18.jpeg"/><Relationship Id="rId6" Type="http://schemas.openxmlformats.org/officeDocument/2006/relationships/image" Target="../media/image13.png"/><Relationship Id="rId5" Type="http://schemas.openxmlformats.org/officeDocument/2006/relationships/image" Target="../media/image22.jpeg"/><Relationship Id="rId4" Type="http://schemas.openxmlformats.org/officeDocument/2006/relationships/hyperlink" Target="#PRJA!A1"/><Relationship Id="rId9" Type="http://schemas.openxmlformats.org/officeDocument/2006/relationships/image" Target="../media/image23.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6.jpeg"/><Relationship Id="rId3" Type="http://schemas.openxmlformats.org/officeDocument/2006/relationships/image" Target="../media/image2.png"/><Relationship Id="rId7" Type="http://schemas.openxmlformats.org/officeDocument/2006/relationships/hyperlink" Target="#Main!A1"/><Relationship Id="rId2" Type="http://schemas.openxmlformats.org/officeDocument/2006/relationships/image" Target="../media/image25.jpeg"/><Relationship Id="rId1" Type="http://schemas.openxmlformats.org/officeDocument/2006/relationships/image" Target="../media/image24.jpeg"/><Relationship Id="rId6" Type="http://schemas.openxmlformats.org/officeDocument/2006/relationships/image" Target="../media/image19.jpeg"/><Relationship Id="rId5" Type="http://schemas.openxmlformats.org/officeDocument/2006/relationships/hyperlink" Target="#'VASANTHAM HOME'!A1"/><Relationship Id="rId4" Type="http://schemas.openxmlformats.org/officeDocument/2006/relationships/image" Target="../media/image3.png"/><Relationship Id="rId9" Type="http://schemas.openxmlformats.org/officeDocument/2006/relationships/image" Target="../media/image2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png"/><Relationship Id="rId7" Type="http://schemas.openxmlformats.org/officeDocument/2006/relationships/hyperlink" Target="#'VASANTHAM HOME'!A1"/><Relationship Id="rId2" Type="http://schemas.openxmlformats.org/officeDocument/2006/relationships/image" Target="../media/image29.jpeg"/><Relationship Id="rId1" Type="http://schemas.openxmlformats.org/officeDocument/2006/relationships/image" Target="../media/image28.jpeg"/><Relationship Id="rId6" Type="http://schemas.openxmlformats.org/officeDocument/2006/relationships/image" Target="../media/image19.jpeg"/><Relationship Id="rId5" Type="http://schemas.openxmlformats.org/officeDocument/2006/relationships/hyperlink" Target="#Main!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VASANTHAM HOME'!A1"/><Relationship Id="rId3" Type="http://schemas.openxmlformats.org/officeDocument/2006/relationships/image" Target="../media/image2.png"/><Relationship Id="rId7" Type="http://schemas.openxmlformats.org/officeDocument/2006/relationships/image" Target="../media/image26.jpeg"/><Relationship Id="rId2" Type="http://schemas.openxmlformats.org/officeDocument/2006/relationships/image" Target="../media/image31.jpeg"/><Relationship Id="rId1" Type="http://schemas.openxmlformats.org/officeDocument/2006/relationships/image" Target="../media/image24.jpeg"/><Relationship Id="rId6" Type="http://schemas.openxmlformats.org/officeDocument/2006/relationships/hyperlink" Target="#Main!A1"/><Relationship Id="rId11" Type="http://schemas.openxmlformats.org/officeDocument/2006/relationships/image" Target="../media/image35.jpeg"/><Relationship Id="rId5" Type="http://schemas.openxmlformats.org/officeDocument/2006/relationships/image" Target="../media/image32.jpeg"/><Relationship Id="rId10" Type="http://schemas.openxmlformats.org/officeDocument/2006/relationships/image" Target="../media/image34.jpeg"/><Relationship Id="rId4" Type="http://schemas.openxmlformats.org/officeDocument/2006/relationships/image" Target="../media/image3.png"/><Relationship Id="rId9" Type="http://schemas.openxmlformats.org/officeDocument/2006/relationships/image" Target="../media/image33.jpeg"/></Relationships>
</file>

<file path=xl/drawings/_rels/drawing8.xml.rels><?xml version="1.0" encoding="UTF-8" standalone="yes"?>
<Relationships xmlns="http://schemas.openxmlformats.org/package/2006/relationships"><Relationship Id="rId8" Type="http://schemas.openxmlformats.org/officeDocument/2006/relationships/hyperlink" Target="#'VASANTHAM HOME'!A1"/><Relationship Id="rId3" Type="http://schemas.openxmlformats.org/officeDocument/2006/relationships/image" Target="../media/image32.jpeg"/><Relationship Id="rId7" Type="http://schemas.openxmlformats.org/officeDocument/2006/relationships/image" Target="../media/image20.jpeg"/><Relationship Id="rId2" Type="http://schemas.openxmlformats.org/officeDocument/2006/relationships/image" Target="../media/image37.jpeg"/><Relationship Id="rId1" Type="http://schemas.openxmlformats.org/officeDocument/2006/relationships/image" Target="../media/image36.jpeg"/><Relationship Id="rId6" Type="http://schemas.openxmlformats.org/officeDocument/2006/relationships/hyperlink" Target="#Main!A1"/><Relationship Id="rId5" Type="http://schemas.openxmlformats.org/officeDocument/2006/relationships/image" Target="../media/image3.png"/><Relationship Id="rId10" Type="http://schemas.openxmlformats.org/officeDocument/2006/relationships/image" Target="../media/image39.jpeg"/><Relationship Id="rId4" Type="http://schemas.openxmlformats.org/officeDocument/2006/relationships/image" Target="../media/image2.png"/><Relationship Id="rId9" Type="http://schemas.openxmlformats.org/officeDocument/2006/relationships/image" Target="../media/image38.jpeg"/></Relationships>
</file>

<file path=xl/drawings/_rels/drawing9.xml.rels><?xml version="1.0" encoding="UTF-8" standalone="yes"?>
<Relationships xmlns="http://schemas.openxmlformats.org/package/2006/relationships"><Relationship Id="rId8" Type="http://schemas.openxmlformats.org/officeDocument/2006/relationships/image" Target="../media/image42.jpeg"/><Relationship Id="rId13" Type="http://schemas.openxmlformats.org/officeDocument/2006/relationships/image" Target="../media/image34.jpeg"/><Relationship Id="rId3" Type="http://schemas.openxmlformats.org/officeDocument/2006/relationships/image" Target="../media/image2.png"/><Relationship Id="rId7" Type="http://schemas.openxmlformats.org/officeDocument/2006/relationships/image" Target="../media/image41.jpeg"/><Relationship Id="rId12" Type="http://schemas.openxmlformats.org/officeDocument/2006/relationships/image" Target="../media/image45.jpeg"/><Relationship Id="rId2" Type="http://schemas.openxmlformats.org/officeDocument/2006/relationships/image" Target="../media/image32.jpeg"/><Relationship Id="rId1" Type="http://schemas.openxmlformats.org/officeDocument/2006/relationships/image" Target="../media/image40.jpeg"/><Relationship Id="rId6" Type="http://schemas.openxmlformats.org/officeDocument/2006/relationships/image" Target="../media/image20.jpeg"/><Relationship Id="rId11" Type="http://schemas.openxmlformats.org/officeDocument/2006/relationships/hyperlink" Target="#'VASANTHAM HOME'!A1"/><Relationship Id="rId5" Type="http://schemas.openxmlformats.org/officeDocument/2006/relationships/hyperlink" Target="#Main!A1"/><Relationship Id="rId10" Type="http://schemas.openxmlformats.org/officeDocument/2006/relationships/image" Target="../media/image44.jpeg"/><Relationship Id="rId4" Type="http://schemas.openxmlformats.org/officeDocument/2006/relationships/image" Target="../media/image3.png"/><Relationship Id="rId9" Type="http://schemas.openxmlformats.org/officeDocument/2006/relationships/image" Target="../media/image43.jpeg"/><Relationship Id="rId14" Type="http://schemas.openxmlformats.org/officeDocument/2006/relationships/image" Target="../media/image35.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47.jpeg"/><Relationship Id="rId3" Type="http://schemas.openxmlformats.org/officeDocument/2006/relationships/image" Target="../media/image2.png"/><Relationship Id="rId7" Type="http://schemas.openxmlformats.org/officeDocument/2006/relationships/image" Target="../media/image46.png"/><Relationship Id="rId2" Type="http://schemas.openxmlformats.org/officeDocument/2006/relationships/image" Target="../media/image32.jpeg"/><Relationship Id="rId1" Type="http://schemas.openxmlformats.org/officeDocument/2006/relationships/image" Target="../media/image40.jpeg"/><Relationship Id="rId6" Type="http://schemas.openxmlformats.org/officeDocument/2006/relationships/image" Target="../media/image19.jpeg"/><Relationship Id="rId11" Type="http://schemas.openxmlformats.org/officeDocument/2006/relationships/image" Target="../media/image34.jpeg"/><Relationship Id="rId5" Type="http://schemas.openxmlformats.org/officeDocument/2006/relationships/hyperlink" Target="#Main!A1"/><Relationship Id="rId10" Type="http://schemas.openxmlformats.org/officeDocument/2006/relationships/image" Target="../media/image20.jpeg"/><Relationship Id="rId4" Type="http://schemas.openxmlformats.org/officeDocument/2006/relationships/image" Target="../media/image3.png"/><Relationship Id="rId9" Type="http://schemas.openxmlformats.org/officeDocument/2006/relationships/hyperlink" Target="#'VASANTHAM HOME'!A1"/></Relationships>
</file>

<file path=xl/drawings/_rels/drawing11.xml.rels><?xml version="1.0" encoding="UTF-8" standalone="yes"?>
<Relationships xmlns="http://schemas.openxmlformats.org/package/2006/relationships"><Relationship Id="rId8" Type="http://schemas.openxmlformats.org/officeDocument/2006/relationships/image" Target="../media/image51.jpeg"/><Relationship Id="rId3" Type="http://schemas.openxmlformats.org/officeDocument/2006/relationships/image" Target="../media/image49.jpeg"/><Relationship Id="rId7" Type="http://schemas.openxmlformats.org/officeDocument/2006/relationships/hyperlink" Target="#'VASANTHAM HOME'!A1"/><Relationship Id="rId2" Type="http://schemas.openxmlformats.org/officeDocument/2006/relationships/image" Target="../media/image48.jpeg"/><Relationship Id="rId1" Type="http://schemas.openxmlformats.org/officeDocument/2006/relationships/image" Target="../media/image24.jpeg"/><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image" Target="../media/image45.jpeg"/><Relationship Id="rId4" Type="http://schemas.openxmlformats.org/officeDocument/2006/relationships/image" Target="../media/image50.png"/><Relationship Id="rId9" Type="http://schemas.openxmlformats.org/officeDocument/2006/relationships/hyperlink" Target="#Main!A1"/></Relationships>
</file>

<file path=xl/drawings/_rels/drawing12.xml.rels><?xml version="1.0" encoding="UTF-8" standalone="yes"?>
<Relationships xmlns="http://schemas.openxmlformats.org/package/2006/relationships"><Relationship Id="rId8" Type="http://schemas.openxmlformats.org/officeDocument/2006/relationships/hyperlink" Target="#Main!A1"/><Relationship Id="rId3" Type="http://schemas.openxmlformats.org/officeDocument/2006/relationships/image" Target="../media/image53.jpeg"/><Relationship Id="rId7" Type="http://schemas.openxmlformats.org/officeDocument/2006/relationships/image" Target="../media/image51.jpeg"/><Relationship Id="rId2" Type="http://schemas.openxmlformats.org/officeDocument/2006/relationships/image" Target="../media/image52.jpeg"/><Relationship Id="rId1" Type="http://schemas.openxmlformats.org/officeDocument/2006/relationships/image" Target="../media/image24.jpeg"/><Relationship Id="rId6" Type="http://schemas.openxmlformats.org/officeDocument/2006/relationships/hyperlink" Target="#'VASANTHAM HOME'!A1"/><Relationship Id="rId5" Type="http://schemas.openxmlformats.org/officeDocument/2006/relationships/image" Target="../media/image3.png"/><Relationship Id="rId10" Type="http://schemas.openxmlformats.org/officeDocument/2006/relationships/image" Target="../media/image35.jpeg"/><Relationship Id="rId4" Type="http://schemas.openxmlformats.org/officeDocument/2006/relationships/image" Target="../media/image2.png"/><Relationship Id="rId9" Type="http://schemas.openxmlformats.org/officeDocument/2006/relationships/image" Target="../media/image45.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54.jpeg"/><Relationship Id="rId3" Type="http://schemas.openxmlformats.org/officeDocument/2006/relationships/image" Target="../media/image2.png"/><Relationship Id="rId7" Type="http://schemas.openxmlformats.org/officeDocument/2006/relationships/hyperlink" Target="#Main!A1"/><Relationship Id="rId2" Type="http://schemas.openxmlformats.org/officeDocument/2006/relationships/image" Target="../media/image32.jpeg"/><Relationship Id="rId1" Type="http://schemas.openxmlformats.org/officeDocument/2006/relationships/image" Target="../media/image24.jpeg"/><Relationship Id="rId6" Type="http://schemas.openxmlformats.org/officeDocument/2006/relationships/image" Target="../media/image51.jpeg"/><Relationship Id="rId11" Type="http://schemas.openxmlformats.org/officeDocument/2006/relationships/image" Target="../media/image57.jpeg"/><Relationship Id="rId5" Type="http://schemas.openxmlformats.org/officeDocument/2006/relationships/hyperlink" Target="#'VASANTHAM HOME'!A1"/><Relationship Id="rId10" Type="http://schemas.openxmlformats.org/officeDocument/2006/relationships/image" Target="../media/image56.jpeg"/><Relationship Id="rId4" Type="http://schemas.openxmlformats.org/officeDocument/2006/relationships/image" Target="../media/image3.png"/><Relationship Id="rId9" Type="http://schemas.openxmlformats.org/officeDocument/2006/relationships/image" Target="../media/image5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image" Target="../media/image59.jpeg"/><Relationship Id="rId7" Type="http://schemas.openxmlformats.org/officeDocument/2006/relationships/hyperlink" Target="#Main!A1"/><Relationship Id="rId2" Type="http://schemas.openxmlformats.org/officeDocument/2006/relationships/image" Target="../media/image58.jpeg"/><Relationship Id="rId1" Type="http://schemas.openxmlformats.org/officeDocument/2006/relationships/image" Target="../media/image24.jpeg"/><Relationship Id="rId6" Type="http://schemas.openxmlformats.org/officeDocument/2006/relationships/image" Target="../media/image3.png"/><Relationship Id="rId11" Type="http://schemas.openxmlformats.org/officeDocument/2006/relationships/image" Target="../media/image34.jpeg"/><Relationship Id="rId5" Type="http://schemas.openxmlformats.org/officeDocument/2006/relationships/image" Target="../media/image2.png"/><Relationship Id="rId10" Type="http://schemas.openxmlformats.org/officeDocument/2006/relationships/image" Target="../media/image60.jpeg"/><Relationship Id="rId4" Type="http://schemas.openxmlformats.org/officeDocument/2006/relationships/image" Target="../media/image32.jpeg"/><Relationship Id="rId9" Type="http://schemas.openxmlformats.org/officeDocument/2006/relationships/hyperlink" Target="#'VASANTHAM HOME'!A1"/></Relationships>
</file>

<file path=xl/drawings/_rels/drawing15.xml.rels><?xml version="1.0" encoding="UTF-8" standalone="yes"?>
<Relationships xmlns="http://schemas.openxmlformats.org/package/2006/relationships"><Relationship Id="rId8" Type="http://schemas.openxmlformats.org/officeDocument/2006/relationships/image" Target="../media/image51.jpeg"/><Relationship Id="rId3" Type="http://schemas.openxmlformats.org/officeDocument/2006/relationships/image" Target="../media/image62.jpeg"/><Relationship Id="rId7" Type="http://schemas.openxmlformats.org/officeDocument/2006/relationships/hyperlink" Target="#'VASANTHAM HOME'!A1"/><Relationship Id="rId2" Type="http://schemas.openxmlformats.org/officeDocument/2006/relationships/image" Target="../media/image61.jpeg"/><Relationship Id="rId1" Type="http://schemas.openxmlformats.org/officeDocument/2006/relationships/image" Target="../media/image24.jpeg"/><Relationship Id="rId6" Type="http://schemas.openxmlformats.org/officeDocument/2006/relationships/image" Target="../media/image3.png"/><Relationship Id="rId11" Type="http://schemas.openxmlformats.org/officeDocument/2006/relationships/image" Target="../media/image35.jpeg"/><Relationship Id="rId5" Type="http://schemas.openxmlformats.org/officeDocument/2006/relationships/image" Target="../media/image2.png"/><Relationship Id="rId10" Type="http://schemas.openxmlformats.org/officeDocument/2006/relationships/image" Target="../media/image64.jpeg"/><Relationship Id="rId4" Type="http://schemas.openxmlformats.org/officeDocument/2006/relationships/image" Target="../media/image32.jpeg"/><Relationship Id="rId9" Type="http://schemas.openxmlformats.org/officeDocument/2006/relationships/image" Target="../media/image63.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20.jpeg"/><Relationship Id="rId3" Type="http://schemas.openxmlformats.org/officeDocument/2006/relationships/image" Target="../media/image32.jpeg"/><Relationship Id="rId7" Type="http://schemas.openxmlformats.org/officeDocument/2006/relationships/hyperlink" Target="#'VASANTHAM HOME'!A1"/><Relationship Id="rId2" Type="http://schemas.openxmlformats.org/officeDocument/2006/relationships/image" Target="../media/image61.jpeg"/><Relationship Id="rId1" Type="http://schemas.openxmlformats.org/officeDocument/2006/relationships/image" Target="../media/image24.jpeg"/><Relationship Id="rId6" Type="http://schemas.openxmlformats.org/officeDocument/2006/relationships/image" Target="../media/image3.png"/><Relationship Id="rId11" Type="http://schemas.openxmlformats.org/officeDocument/2006/relationships/image" Target="../media/image35.jpeg"/><Relationship Id="rId5" Type="http://schemas.openxmlformats.org/officeDocument/2006/relationships/image" Target="../media/image2.png"/><Relationship Id="rId10" Type="http://schemas.openxmlformats.org/officeDocument/2006/relationships/image" Target="../media/image64.jpeg"/><Relationship Id="rId4" Type="http://schemas.openxmlformats.org/officeDocument/2006/relationships/image" Target="../media/image65.png"/><Relationship Id="rId9" Type="http://schemas.openxmlformats.org/officeDocument/2006/relationships/image" Target="../media/image19.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image" Target="../media/image1.jpeg"/><Relationship Id="rId7" Type="http://schemas.openxmlformats.org/officeDocument/2006/relationships/hyperlink" Target="#'VASANTHAM HOME'!A1"/><Relationship Id="rId12" Type="http://schemas.openxmlformats.org/officeDocument/2006/relationships/image" Target="../media/image70.jpe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2.jpeg"/><Relationship Id="rId11" Type="http://schemas.openxmlformats.org/officeDocument/2006/relationships/image" Target="../media/image69.jpeg"/><Relationship Id="rId5" Type="http://schemas.openxmlformats.org/officeDocument/2006/relationships/image" Target="../media/image67.jpeg"/><Relationship Id="rId10" Type="http://schemas.openxmlformats.org/officeDocument/2006/relationships/image" Target="../media/image68.jpeg"/><Relationship Id="rId4" Type="http://schemas.openxmlformats.org/officeDocument/2006/relationships/image" Target="../media/image66.jpeg"/><Relationship Id="rId9" Type="http://schemas.openxmlformats.org/officeDocument/2006/relationships/hyperlink" Target="#Main!A1"/></Relationships>
</file>

<file path=xl/drawings/_rels/drawing18.xml.rels><?xml version="1.0" encoding="UTF-8" standalone="yes"?>
<Relationships xmlns="http://schemas.openxmlformats.org/package/2006/relationships"><Relationship Id="rId8" Type="http://schemas.openxmlformats.org/officeDocument/2006/relationships/hyperlink" Target="#'VASANTHAM HOME'!A1"/><Relationship Id="rId13" Type="http://schemas.openxmlformats.org/officeDocument/2006/relationships/image" Target="../media/image35.jpeg"/><Relationship Id="rId3" Type="http://schemas.openxmlformats.org/officeDocument/2006/relationships/image" Target="../media/image1.jpeg"/><Relationship Id="rId7" Type="http://schemas.openxmlformats.org/officeDocument/2006/relationships/image" Target="../media/image32.jpeg"/><Relationship Id="rId12" Type="http://schemas.openxmlformats.org/officeDocument/2006/relationships/image" Target="../media/image34.jpe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1.jpeg"/><Relationship Id="rId11" Type="http://schemas.openxmlformats.org/officeDocument/2006/relationships/image" Target="../media/image72.jpeg"/><Relationship Id="rId5" Type="http://schemas.openxmlformats.org/officeDocument/2006/relationships/image" Target="../media/image67.jpeg"/><Relationship Id="rId10" Type="http://schemas.openxmlformats.org/officeDocument/2006/relationships/image" Target="../media/image19.jpeg"/><Relationship Id="rId4" Type="http://schemas.openxmlformats.org/officeDocument/2006/relationships/image" Target="../media/image66.jpeg"/><Relationship Id="rId9" Type="http://schemas.openxmlformats.org/officeDocument/2006/relationships/image" Target="../media/image20.jpeg"/></Relationships>
</file>

<file path=xl/drawings/_rels/drawing19.xml.rels><?xml version="1.0" encoding="UTF-8" standalone="yes"?>
<Relationships xmlns="http://schemas.openxmlformats.org/package/2006/relationships"><Relationship Id="rId8" Type="http://schemas.openxmlformats.org/officeDocument/2006/relationships/image" Target="../media/image77.jpeg"/><Relationship Id="rId13" Type="http://schemas.openxmlformats.org/officeDocument/2006/relationships/image" Target="../media/image80.jpeg"/><Relationship Id="rId3" Type="http://schemas.openxmlformats.org/officeDocument/2006/relationships/image" Target="../media/image1.jpeg"/><Relationship Id="rId7" Type="http://schemas.openxmlformats.org/officeDocument/2006/relationships/image" Target="../media/image76.jpeg"/><Relationship Id="rId12" Type="http://schemas.openxmlformats.org/officeDocument/2006/relationships/hyperlink" Target="#'VASANTHAM HOME'!A1"/><Relationship Id="rId2" Type="http://schemas.openxmlformats.org/officeDocument/2006/relationships/image" Target="../media/image3.png"/><Relationship Id="rId16" Type="http://schemas.openxmlformats.org/officeDocument/2006/relationships/image" Target="../media/image34.jpeg"/><Relationship Id="rId1" Type="http://schemas.openxmlformats.org/officeDocument/2006/relationships/image" Target="../media/image2.png"/><Relationship Id="rId6" Type="http://schemas.openxmlformats.org/officeDocument/2006/relationships/image" Target="../media/image75.jpeg"/><Relationship Id="rId11" Type="http://schemas.openxmlformats.org/officeDocument/2006/relationships/image" Target="../media/image32.jpeg"/><Relationship Id="rId5" Type="http://schemas.openxmlformats.org/officeDocument/2006/relationships/image" Target="../media/image74.jpeg"/><Relationship Id="rId15" Type="http://schemas.openxmlformats.org/officeDocument/2006/relationships/image" Target="../media/image20.jpeg"/><Relationship Id="rId10" Type="http://schemas.openxmlformats.org/officeDocument/2006/relationships/image" Target="../media/image79.jpeg"/><Relationship Id="rId4" Type="http://schemas.openxmlformats.org/officeDocument/2006/relationships/image" Target="../media/image73.wmf"/><Relationship Id="rId9" Type="http://schemas.openxmlformats.org/officeDocument/2006/relationships/image" Target="../media/image78.jpeg"/><Relationship Id="rId14" Type="http://schemas.openxmlformats.org/officeDocument/2006/relationships/hyperlink" Target="#Main!A1"/></Relationships>
</file>

<file path=xl/drawings/_rels/drawing20.xml.rels><?xml version="1.0" encoding="UTF-8" standalone="yes"?>
<Relationships xmlns="http://schemas.openxmlformats.org/package/2006/relationships"><Relationship Id="rId8" Type="http://schemas.openxmlformats.org/officeDocument/2006/relationships/hyperlink" Target="#'VASANTHAM HOME'!A1"/><Relationship Id="rId3" Type="http://schemas.openxmlformats.org/officeDocument/2006/relationships/image" Target="../media/image82.jpeg"/><Relationship Id="rId7" Type="http://schemas.openxmlformats.org/officeDocument/2006/relationships/image" Target="../media/image83.jpeg"/><Relationship Id="rId2" Type="http://schemas.openxmlformats.org/officeDocument/2006/relationships/image" Target="../media/image81.jpeg"/><Relationship Id="rId1" Type="http://schemas.openxmlformats.org/officeDocument/2006/relationships/image" Target="../media/image24.jpeg"/><Relationship Id="rId6" Type="http://schemas.openxmlformats.org/officeDocument/2006/relationships/hyperlink" Target="#Main!A1"/><Relationship Id="rId5" Type="http://schemas.openxmlformats.org/officeDocument/2006/relationships/image" Target="../media/image3.png"/><Relationship Id="rId4" Type="http://schemas.openxmlformats.org/officeDocument/2006/relationships/image" Target="../media/image2.png"/><Relationship Id="rId9"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image" Target="../media/image85.jpeg"/><Relationship Id="rId7" Type="http://schemas.openxmlformats.org/officeDocument/2006/relationships/hyperlink" Target="#Main!A1"/><Relationship Id="rId2" Type="http://schemas.openxmlformats.org/officeDocument/2006/relationships/image" Target="../media/image84.jpeg"/><Relationship Id="rId1" Type="http://schemas.openxmlformats.org/officeDocument/2006/relationships/image" Target="../media/image24.jpeg"/><Relationship Id="rId6" Type="http://schemas.openxmlformats.org/officeDocument/2006/relationships/image" Target="../media/image32.jpeg"/><Relationship Id="rId5" Type="http://schemas.openxmlformats.org/officeDocument/2006/relationships/image" Target="../media/image3.png"/><Relationship Id="rId4" Type="http://schemas.openxmlformats.org/officeDocument/2006/relationships/image" Target="../media/image2.png"/><Relationship Id="rId9" Type="http://schemas.openxmlformats.org/officeDocument/2006/relationships/hyperlink" Target="#'VASANTHAM HOME'!A1"/></Relationships>
</file>

<file path=xl/drawings/_rels/drawing22.xml.rels><?xml version="1.0" encoding="UTF-8" standalone="yes"?>
<Relationships xmlns="http://schemas.openxmlformats.org/package/2006/relationships"><Relationship Id="rId8" Type="http://schemas.openxmlformats.org/officeDocument/2006/relationships/image" Target="../media/image35.jpeg"/><Relationship Id="rId3" Type="http://schemas.openxmlformats.org/officeDocument/2006/relationships/image" Target="../media/image3.png"/><Relationship Id="rId7" Type="http://schemas.openxmlformats.org/officeDocument/2006/relationships/image" Target="../media/image34.jpeg"/><Relationship Id="rId12" Type="http://schemas.openxmlformats.org/officeDocument/2006/relationships/image" Target="../media/image88.jpeg"/><Relationship Id="rId2" Type="http://schemas.openxmlformats.org/officeDocument/2006/relationships/image" Target="../media/image2.png"/><Relationship Id="rId1" Type="http://schemas.openxmlformats.org/officeDocument/2006/relationships/image" Target="../media/image24.jpeg"/><Relationship Id="rId6" Type="http://schemas.openxmlformats.org/officeDocument/2006/relationships/image" Target="../media/image20.jpeg"/><Relationship Id="rId11" Type="http://schemas.openxmlformats.org/officeDocument/2006/relationships/image" Target="../media/image87.jpeg"/><Relationship Id="rId5" Type="http://schemas.openxmlformats.org/officeDocument/2006/relationships/hyperlink" Target="#'VASANTHAM HOME'!A1"/><Relationship Id="rId10" Type="http://schemas.openxmlformats.org/officeDocument/2006/relationships/image" Target="../media/image86.jpeg"/><Relationship Id="rId4" Type="http://schemas.openxmlformats.org/officeDocument/2006/relationships/image" Target="../media/image32.jpeg"/><Relationship Id="rId9" Type="http://schemas.openxmlformats.org/officeDocument/2006/relationships/hyperlink" Target="#Main!A1"/></Relationships>
</file>

<file path=xl/drawings/_rels/drawing23.xml.rels><?xml version="1.0" encoding="UTF-8" standalone="yes"?>
<Relationships xmlns="http://schemas.openxmlformats.org/package/2006/relationships"><Relationship Id="rId8" Type="http://schemas.openxmlformats.org/officeDocument/2006/relationships/image" Target="../media/image35.jpeg"/><Relationship Id="rId3" Type="http://schemas.openxmlformats.org/officeDocument/2006/relationships/image" Target="../media/image3.png"/><Relationship Id="rId7" Type="http://schemas.openxmlformats.org/officeDocument/2006/relationships/image" Target="../media/image34.jpeg"/><Relationship Id="rId2" Type="http://schemas.openxmlformats.org/officeDocument/2006/relationships/image" Target="../media/image2.png"/><Relationship Id="rId1" Type="http://schemas.openxmlformats.org/officeDocument/2006/relationships/image" Target="../media/image24.jpeg"/><Relationship Id="rId6" Type="http://schemas.openxmlformats.org/officeDocument/2006/relationships/image" Target="../media/image20.jpeg"/><Relationship Id="rId11" Type="http://schemas.openxmlformats.org/officeDocument/2006/relationships/image" Target="../media/image90.jpeg"/><Relationship Id="rId5" Type="http://schemas.openxmlformats.org/officeDocument/2006/relationships/hyperlink" Target="#'VASANTHAM HOME'!A1"/><Relationship Id="rId10" Type="http://schemas.openxmlformats.org/officeDocument/2006/relationships/image" Target="../media/image89.jpeg"/><Relationship Id="rId4" Type="http://schemas.openxmlformats.org/officeDocument/2006/relationships/image" Target="../media/image32.jpeg"/><Relationship Id="rId9" Type="http://schemas.openxmlformats.org/officeDocument/2006/relationships/hyperlink" Target="#Main!A1"/></Relationships>
</file>

<file path=xl/drawings/_rels/drawing24.xml.rels><?xml version="1.0" encoding="UTF-8" standalone="yes"?>
<Relationships xmlns="http://schemas.openxmlformats.org/package/2006/relationships"><Relationship Id="rId8" Type="http://schemas.openxmlformats.org/officeDocument/2006/relationships/image" Target="../media/image94.jpeg"/><Relationship Id="rId3" Type="http://schemas.openxmlformats.org/officeDocument/2006/relationships/image" Target="../media/image92.jpeg"/><Relationship Id="rId7" Type="http://schemas.openxmlformats.org/officeDocument/2006/relationships/image" Target="../media/image13.png"/><Relationship Id="rId2" Type="http://schemas.openxmlformats.org/officeDocument/2006/relationships/hyperlink" Target="#'VASANTHAM HOME'!A1"/><Relationship Id="rId1" Type="http://schemas.openxmlformats.org/officeDocument/2006/relationships/image" Target="../media/image91.jpeg"/><Relationship Id="rId6" Type="http://schemas.openxmlformats.org/officeDocument/2006/relationships/image" Target="../media/image18.jpeg"/><Relationship Id="rId5" Type="http://schemas.openxmlformats.org/officeDocument/2006/relationships/image" Target="../media/image93.jpeg"/><Relationship Id="rId4" Type="http://schemas.openxmlformats.org/officeDocument/2006/relationships/hyperlink" Target="#'VASANTHAM HOME'!A1"/></Relationships>
</file>

<file path=xl/drawings/_rels/drawing25.xml.rels><?xml version="1.0" encoding="UTF-8" standalone="yes"?>
<Relationships xmlns="http://schemas.openxmlformats.org/package/2006/relationships"><Relationship Id="rId8" Type="http://schemas.openxmlformats.org/officeDocument/2006/relationships/hyperlink" Target="#EPLUS!A1"/><Relationship Id="rId13" Type="http://schemas.openxmlformats.org/officeDocument/2006/relationships/image" Target="../media/image99.png"/><Relationship Id="rId18" Type="http://schemas.openxmlformats.org/officeDocument/2006/relationships/hyperlink" Target="#JU!A1"/><Relationship Id="rId3" Type="http://schemas.openxmlformats.org/officeDocument/2006/relationships/image" Target="../media/image18.jpeg"/><Relationship Id="rId7" Type="http://schemas.openxmlformats.org/officeDocument/2006/relationships/hyperlink" Target="#EPLUS!A1"/><Relationship Id="rId12" Type="http://schemas.openxmlformats.org/officeDocument/2006/relationships/hyperlink" Target="#Main!A1"/><Relationship Id="rId17" Type="http://schemas.openxmlformats.org/officeDocument/2006/relationships/image" Target="../media/image101.jpeg"/><Relationship Id="rId2" Type="http://schemas.openxmlformats.org/officeDocument/2006/relationships/image" Target="../media/image13.png"/><Relationship Id="rId16" Type="http://schemas.openxmlformats.org/officeDocument/2006/relationships/image" Target="../media/image100.png"/><Relationship Id="rId20" Type="http://schemas.openxmlformats.org/officeDocument/2006/relationships/image" Target="../media/image102.png"/><Relationship Id="rId1" Type="http://schemas.openxmlformats.org/officeDocument/2006/relationships/image" Target="../media/image95.gif"/><Relationship Id="rId6" Type="http://schemas.openxmlformats.org/officeDocument/2006/relationships/hyperlink" Target="#'Jeevan Arogya'!A1"/><Relationship Id="rId11" Type="http://schemas.openxmlformats.org/officeDocument/2006/relationships/image" Target="../media/image98.png"/><Relationship Id="rId5" Type="http://schemas.openxmlformats.org/officeDocument/2006/relationships/hyperlink" Target="#Main!A1"/><Relationship Id="rId15" Type="http://schemas.openxmlformats.org/officeDocument/2006/relationships/hyperlink" Target="#UMANG!A1"/><Relationship Id="rId10" Type="http://schemas.openxmlformats.org/officeDocument/2006/relationships/hyperlink" Target="#'Jeevan Arogya'!A1"/><Relationship Id="rId19" Type="http://schemas.openxmlformats.org/officeDocument/2006/relationships/hyperlink" Target="#JU!A1"/><Relationship Id="rId4" Type="http://schemas.openxmlformats.org/officeDocument/2006/relationships/image" Target="../media/image96.jpeg"/><Relationship Id="rId9" Type="http://schemas.openxmlformats.org/officeDocument/2006/relationships/image" Target="../media/image97.png"/><Relationship Id="rId14" Type="http://schemas.openxmlformats.org/officeDocument/2006/relationships/hyperlink" Target="#UMANG!A1"/></Relationships>
</file>

<file path=xl/drawings/_rels/drawing26.xml.rels><?xml version="1.0" encoding="UTF-8" standalone="yes"?>
<Relationships xmlns="http://schemas.openxmlformats.org/package/2006/relationships"><Relationship Id="rId8" Type="http://schemas.openxmlformats.org/officeDocument/2006/relationships/image" Target="../media/image104.jpeg"/><Relationship Id="rId3" Type="http://schemas.openxmlformats.org/officeDocument/2006/relationships/image" Target="../media/image1.jpeg"/><Relationship Id="rId7" Type="http://schemas.openxmlformats.org/officeDocument/2006/relationships/image" Target="../media/image19.jpeg"/><Relationship Id="rId12" Type="http://schemas.openxmlformats.org/officeDocument/2006/relationships/image" Target="../media/image51.jpe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hyperlink" Target="#Main!A1"/><Relationship Id="rId11" Type="http://schemas.openxmlformats.org/officeDocument/2006/relationships/hyperlink" Target="#'VASANTHAM HOME'!A1"/><Relationship Id="rId5" Type="http://schemas.openxmlformats.org/officeDocument/2006/relationships/image" Target="../media/image103.jpeg"/><Relationship Id="rId10" Type="http://schemas.openxmlformats.org/officeDocument/2006/relationships/image" Target="../media/image106.jpeg"/><Relationship Id="rId4" Type="http://schemas.openxmlformats.org/officeDocument/2006/relationships/image" Target="../media/image66.jpeg"/><Relationship Id="rId9" Type="http://schemas.openxmlformats.org/officeDocument/2006/relationships/image" Target="../media/image10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hyperlink" Target="#PrintU!A1"/><Relationship Id="rId1" Type="http://schemas.openxmlformats.org/officeDocument/2006/relationships/image" Target="../media/image107.png"/><Relationship Id="rId6" Type="http://schemas.openxmlformats.org/officeDocument/2006/relationships/image" Target="../media/image108.jpeg"/><Relationship Id="rId5" Type="http://schemas.openxmlformats.org/officeDocument/2006/relationships/image" Target="../media/image19.jpeg"/><Relationship Id="rId4" Type="http://schemas.openxmlformats.org/officeDocument/2006/relationships/hyperlink" Target="#'VASANTHAM HOME'!A1"/></Relationships>
</file>

<file path=xl/drawings/_rels/drawing28.xml.rels><?xml version="1.0" encoding="UTF-8" standalone="yes"?>
<Relationships xmlns="http://schemas.openxmlformats.org/package/2006/relationships"><Relationship Id="rId8" Type="http://schemas.openxmlformats.org/officeDocument/2006/relationships/image" Target="../media/image51.jpeg"/><Relationship Id="rId13" Type="http://schemas.openxmlformats.org/officeDocument/2006/relationships/image" Target="../media/image112.jpeg"/><Relationship Id="rId3" Type="http://schemas.openxmlformats.org/officeDocument/2006/relationships/image" Target="../media/image2.png"/><Relationship Id="rId7" Type="http://schemas.openxmlformats.org/officeDocument/2006/relationships/hyperlink" Target="#UMANG!A1"/><Relationship Id="rId12" Type="http://schemas.openxmlformats.org/officeDocument/2006/relationships/image" Target="../media/image74.jpeg"/><Relationship Id="rId2" Type="http://schemas.openxmlformats.org/officeDocument/2006/relationships/image" Target="../media/image109.jpeg"/><Relationship Id="rId1" Type="http://schemas.openxmlformats.org/officeDocument/2006/relationships/image" Target="../media/image24.jpeg"/><Relationship Id="rId6" Type="http://schemas.openxmlformats.org/officeDocument/2006/relationships/image" Target="../media/image111.jpeg"/><Relationship Id="rId11" Type="http://schemas.openxmlformats.org/officeDocument/2006/relationships/image" Target="../media/image32.jpeg"/><Relationship Id="rId5" Type="http://schemas.openxmlformats.org/officeDocument/2006/relationships/image" Target="../media/image110.jpeg"/><Relationship Id="rId10" Type="http://schemas.openxmlformats.org/officeDocument/2006/relationships/image" Target="../media/image86.jpeg"/><Relationship Id="rId4" Type="http://schemas.openxmlformats.org/officeDocument/2006/relationships/image" Target="../media/image3.png"/><Relationship Id="rId9" Type="http://schemas.openxmlformats.org/officeDocument/2006/relationships/hyperlink" Target="#'VASANTHAM HOME'!A1"/><Relationship Id="rId14" Type="http://schemas.openxmlformats.org/officeDocument/2006/relationships/image" Target="../media/image113.jpeg"/></Relationships>
</file>

<file path=xl/drawings/_rels/drawing29.xml.rels><?xml version="1.0" encoding="UTF-8" standalone="yes"?>
<Relationships xmlns="http://schemas.openxmlformats.org/package/2006/relationships"><Relationship Id="rId3" Type="http://schemas.openxmlformats.org/officeDocument/2006/relationships/image" Target="../media/image115.jpeg"/><Relationship Id="rId7" Type="http://schemas.openxmlformats.org/officeDocument/2006/relationships/image" Target="../media/image20.jpeg"/><Relationship Id="rId2" Type="http://schemas.openxmlformats.org/officeDocument/2006/relationships/image" Target="../media/image13.png"/><Relationship Id="rId1" Type="http://schemas.openxmlformats.org/officeDocument/2006/relationships/image" Target="../media/image114.png"/><Relationship Id="rId6" Type="http://schemas.openxmlformats.org/officeDocument/2006/relationships/hyperlink" Target="#'VASANTHAM HOME'!A1"/><Relationship Id="rId5" Type="http://schemas.openxmlformats.org/officeDocument/2006/relationships/image" Target="../media/image19.jpeg"/><Relationship Id="rId4" Type="http://schemas.openxmlformats.org/officeDocument/2006/relationships/hyperlink" Target="#PRJU!A1"/></Relationships>
</file>

<file path=xl/drawings/_rels/drawing30.xml.rels><?xml version="1.0" encoding="UTF-8" standalone="yes"?>
<Relationships xmlns="http://schemas.openxmlformats.org/package/2006/relationships"><Relationship Id="rId8" Type="http://schemas.openxmlformats.org/officeDocument/2006/relationships/image" Target="../media/image35.jpeg"/><Relationship Id="rId3" Type="http://schemas.openxmlformats.org/officeDocument/2006/relationships/image" Target="../media/image3.png"/><Relationship Id="rId7" Type="http://schemas.openxmlformats.org/officeDocument/2006/relationships/image" Target="../media/image117.png"/><Relationship Id="rId12" Type="http://schemas.openxmlformats.org/officeDocument/2006/relationships/image" Target="../media/image119.jpeg"/><Relationship Id="rId2" Type="http://schemas.openxmlformats.org/officeDocument/2006/relationships/image" Target="../media/image2.png"/><Relationship Id="rId1" Type="http://schemas.openxmlformats.org/officeDocument/2006/relationships/image" Target="../media/image24.jpeg"/><Relationship Id="rId6" Type="http://schemas.openxmlformats.org/officeDocument/2006/relationships/image" Target="../media/image116.jpeg"/><Relationship Id="rId11" Type="http://schemas.openxmlformats.org/officeDocument/2006/relationships/hyperlink" Target="#'VASANTHAM HOME'!A1"/><Relationship Id="rId5" Type="http://schemas.openxmlformats.org/officeDocument/2006/relationships/image" Target="../media/image109.jpeg"/><Relationship Id="rId10" Type="http://schemas.openxmlformats.org/officeDocument/2006/relationships/image" Target="../media/image118.jpeg"/><Relationship Id="rId4" Type="http://schemas.openxmlformats.org/officeDocument/2006/relationships/image" Target="../media/image74.jpeg"/><Relationship Id="rId9" Type="http://schemas.openxmlformats.org/officeDocument/2006/relationships/hyperlink" Target="#JU!A1"/></Relationships>
</file>

<file path=xl/drawings/drawing1.xml><?xml version="1.0" encoding="utf-8"?>
<xdr:wsDr xmlns:xdr="http://schemas.openxmlformats.org/drawingml/2006/spreadsheetDrawing" xmlns:a="http://schemas.openxmlformats.org/drawingml/2006/main">
  <xdr:oneCellAnchor>
    <xdr:from>
      <xdr:col>1</xdr:col>
      <xdr:colOff>247650</xdr:colOff>
      <xdr:row>0</xdr:row>
      <xdr:rowOff>76200</xdr:rowOff>
    </xdr:from>
    <xdr:ext cx="1047749" cy="542925"/>
    <xdr:pic>
      <xdr:nvPicPr>
        <xdr:cNvPr id="2" name="image00.jp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xfrm>
          <a:off x="180975" y="76200"/>
          <a:ext cx="1047749" cy="542925"/>
        </a:xfrm>
        <a:prstGeom prst="rect">
          <a:avLst/>
        </a:prstGeom>
        <a:noFill/>
      </xdr:spPr>
    </xdr:pic>
    <xdr:clientData fLocksWithSheet="0"/>
  </xdr:oneCellAnchor>
  <xdr:twoCellAnchor>
    <xdr:from>
      <xdr:col>6</xdr:col>
      <xdr:colOff>104775</xdr:colOff>
      <xdr:row>0</xdr:row>
      <xdr:rowOff>66675</xdr:rowOff>
    </xdr:from>
    <xdr:to>
      <xdr:col>11</xdr:col>
      <xdr:colOff>400050</xdr:colOff>
      <xdr:row>1</xdr:row>
      <xdr:rowOff>161925</xdr:rowOff>
    </xdr:to>
    <xdr:pic>
      <xdr:nvPicPr>
        <xdr:cNvPr id="3" name="Picture 2">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981200" y="66675"/>
          <a:ext cx="2724150" cy="285750"/>
        </a:xfrm>
        <a:prstGeom prst="rect">
          <a:avLst/>
        </a:prstGeom>
        <a:noFill/>
        <a:ln w="9525">
          <a:noFill/>
          <a:round/>
          <a:headEnd/>
          <a:tailEnd/>
        </a:ln>
        <a:effectLst/>
      </xdr:spPr>
    </xdr:pic>
    <xdr:clientData/>
  </xdr:twoCellAnchor>
  <xdr:twoCellAnchor>
    <xdr:from>
      <xdr:col>4</xdr:col>
      <xdr:colOff>371475</xdr:colOff>
      <xdr:row>1</xdr:row>
      <xdr:rowOff>180975</xdr:rowOff>
    </xdr:from>
    <xdr:to>
      <xdr:col>12</xdr:col>
      <xdr:colOff>533400</xdr:colOff>
      <xdr:row>3</xdr:row>
      <xdr:rowOff>104775</xdr:rowOff>
    </xdr:to>
    <xdr:pic>
      <xdr:nvPicPr>
        <xdr:cNvPr id="4" name="Picture 3">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314450" y="371475"/>
          <a:ext cx="4048125" cy="304800"/>
        </a:xfrm>
        <a:prstGeom prst="rect">
          <a:avLst/>
        </a:prstGeom>
        <a:noFill/>
        <a:ln w="9525">
          <a:noFill/>
          <a:round/>
          <a:headEnd/>
          <a:tailEnd/>
        </a:ln>
        <a:effectLst/>
      </xdr:spPr>
    </xdr:pic>
    <xdr:clientData/>
  </xdr:twoCellAnchor>
  <xdr:twoCellAnchor>
    <xdr:from>
      <xdr:col>3</xdr:col>
      <xdr:colOff>438150</xdr:colOff>
      <xdr:row>4</xdr:row>
      <xdr:rowOff>76200</xdr:rowOff>
    </xdr:from>
    <xdr:to>
      <xdr:col>3</xdr:col>
      <xdr:colOff>638175</xdr:colOff>
      <xdr:row>5</xdr:row>
      <xdr:rowOff>76200</xdr:rowOff>
    </xdr:to>
    <xdr:sp macro="" textlink="">
      <xdr:nvSpPr>
        <xdr:cNvPr id="5" name="Smiley Face 4">
          <a:extLst>
            <a:ext uri="{FF2B5EF4-FFF2-40B4-BE49-F238E27FC236}">
              <a16:creationId xmlns:a16="http://schemas.microsoft.com/office/drawing/2014/main" xmlns="" id="{00000000-0008-0000-0000-000005000000}"/>
            </a:ext>
          </a:extLst>
        </xdr:cNvPr>
        <xdr:cNvSpPr/>
      </xdr:nvSpPr>
      <xdr:spPr>
        <a:xfrm>
          <a:off x="942975" y="838200"/>
          <a:ext cx="0" cy="190500"/>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rtlCol="0" anchor="ctr"/>
        <a:lstStyle/>
        <a:p>
          <a:pPr algn="ctr"/>
          <a:endParaRPr lang="en-US" sz="1100"/>
        </a:p>
      </xdr:txBody>
    </xdr:sp>
    <xdr:clientData/>
  </xdr:twoCellAnchor>
  <xdr:twoCellAnchor>
    <xdr:from>
      <xdr:col>2</xdr:col>
      <xdr:colOff>361950</xdr:colOff>
      <xdr:row>4</xdr:row>
      <xdr:rowOff>0</xdr:rowOff>
    </xdr:from>
    <xdr:to>
      <xdr:col>10</xdr:col>
      <xdr:colOff>85725</xdr:colOff>
      <xdr:row>6</xdr:row>
      <xdr:rowOff>38100</xdr:rowOff>
    </xdr:to>
    <xdr:sp macro="" textlink="">
      <xdr:nvSpPr>
        <xdr:cNvPr id="6" name="Rounded Rectangle 5">
          <a:extLst>
            <a:ext uri="{FF2B5EF4-FFF2-40B4-BE49-F238E27FC236}">
              <a16:creationId xmlns:a16="http://schemas.microsoft.com/office/drawing/2014/main" xmlns="" id="{00000000-0008-0000-0000-000006000000}"/>
            </a:ext>
          </a:extLst>
        </xdr:cNvPr>
        <xdr:cNvSpPr/>
      </xdr:nvSpPr>
      <xdr:spPr>
        <a:xfrm>
          <a:off x="542925" y="762000"/>
          <a:ext cx="3352800" cy="419100"/>
        </a:xfrm>
        <a:prstGeom prst="roundRect">
          <a:avLst/>
        </a:prstGeom>
        <a:noFill/>
        <a:ln w="28575">
          <a:solidFill>
            <a:schemeClr val="accent3">
              <a:lumMod val="50000"/>
            </a:schemeClr>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endParaRPr lang="en-US" sz="1100"/>
        </a:p>
      </xdr:txBody>
    </xdr:sp>
    <xdr:clientData/>
  </xdr:twoCellAnchor>
  <xdr:twoCellAnchor>
    <xdr:from>
      <xdr:col>2</xdr:col>
      <xdr:colOff>438150</xdr:colOff>
      <xdr:row>4</xdr:row>
      <xdr:rowOff>85725</xdr:rowOff>
    </xdr:from>
    <xdr:to>
      <xdr:col>3</xdr:col>
      <xdr:colOff>142875</xdr:colOff>
      <xdr:row>5</xdr:row>
      <xdr:rowOff>85725</xdr:rowOff>
    </xdr:to>
    <xdr:sp macro="" textlink="">
      <xdr:nvSpPr>
        <xdr:cNvPr id="7" name="Smiley Face 6">
          <a:extLst>
            <a:ext uri="{FF2B5EF4-FFF2-40B4-BE49-F238E27FC236}">
              <a16:creationId xmlns:a16="http://schemas.microsoft.com/office/drawing/2014/main" xmlns="" id="{00000000-0008-0000-0000-000007000000}"/>
            </a:ext>
          </a:extLst>
        </xdr:cNvPr>
        <xdr:cNvSpPr/>
      </xdr:nvSpPr>
      <xdr:spPr>
        <a:xfrm>
          <a:off x="619125" y="847725"/>
          <a:ext cx="200025" cy="190500"/>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rtlCol="0" anchor="ctr"/>
        <a:lstStyle/>
        <a:p>
          <a:pPr algn="ctr"/>
          <a:endParaRPr lang="en-US" sz="1100"/>
        </a:p>
      </xdr:txBody>
    </xdr:sp>
    <xdr:clientData/>
  </xdr:twoCellAnchor>
  <xdr:twoCellAnchor>
    <xdr:from>
      <xdr:col>9</xdr:col>
      <xdr:colOff>390525</xdr:colOff>
      <xdr:row>4</xdr:row>
      <xdr:rowOff>95250</xdr:rowOff>
    </xdr:from>
    <xdr:to>
      <xdr:col>10</xdr:col>
      <xdr:colOff>47625</xdr:colOff>
      <xdr:row>5</xdr:row>
      <xdr:rowOff>95250</xdr:rowOff>
    </xdr:to>
    <xdr:sp macro="" textlink="">
      <xdr:nvSpPr>
        <xdr:cNvPr id="8" name="Smiley Face 7">
          <a:extLst>
            <a:ext uri="{FF2B5EF4-FFF2-40B4-BE49-F238E27FC236}">
              <a16:creationId xmlns:a16="http://schemas.microsoft.com/office/drawing/2014/main" xmlns="" id="{00000000-0008-0000-0000-000008000000}"/>
            </a:ext>
          </a:extLst>
        </xdr:cNvPr>
        <xdr:cNvSpPr/>
      </xdr:nvSpPr>
      <xdr:spPr>
        <a:xfrm>
          <a:off x="3657600" y="857250"/>
          <a:ext cx="200025" cy="190500"/>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285750</xdr:colOff>
      <xdr:row>8</xdr:row>
      <xdr:rowOff>133353</xdr:rowOff>
    </xdr:from>
    <xdr:ext cx="356616" cy="218335"/>
    <xdr:pic>
      <xdr:nvPicPr>
        <xdr:cNvPr id="9" name="Picture 1" descr="Large View">
          <a:extLst>
            <a:ext uri="{FF2B5EF4-FFF2-40B4-BE49-F238E27FC236}">
              <a16:creationId xmlns:a16="http://schemas.microsoft.com/office/drawing/2014/main" xmlns="" id="{00000000-0008-0000-0000-00000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66725" y="1657353"/>
          <a:ext cx="356616" cy="218335"/>
        </a:xfrm>
        <a:prstGeom prst="rect">
          <a:avLst/>
        </a:prstGeom>
        <a:noFill/>
      </xdr:spPr>
    </xdr:pic>
    <xdr:clientData/>
  </xdr:oneCellAnchor>
  <xdr:oneCellAnchor>
    <xdr:from>
      <xdr:col>7</xdr:col>
      <xdr:colOff>247650</xdr:colOff>
      <xdr:row>8</xdr:row>
      <xdr:rowOff>137562</xdr:rowOff>
    </xdr:from>
    <xdr:ext cx="358535" cy="245745"/>
    <xdr:pic>
      <xdr:nvPicPr>
        <xdr:cNvPr id="10" name="Picture 1" descr="Large View">
          <a:extLst>
            <a:ext uri="{FF2B5EF4-FFF2-40B4-BE49-F238E27FC236}">
              <a16:creationId xmlns:a16="http://schemas.microsoft.com/office/drawing/2014/main" xmlns="" id="{00000000-0008-0000-0000-00000A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flipH="1">
          <a:off x="2647950" y="1661562"/>
          <a:ext cx="358535" cy="245745"/>
        </a:xfrm>
        <a:prstGeom prst="rect">
          <a:avLst/>
        </a:prstGeom>
        <a:noFill/>
      </xdr:spPr>
    </xdr:pic>
    <xdr:clientData/>
  </xdr:oneCellAnchor>
  <xdr:oneCellAnchor>
    <xdr:from>
      <xdr:col>13</xdr:col>
      <xdr:colOff>171450</xdr:colOff>
      <xdr:row>9</xdr:row>
      <xdr:rowOff>95250</xdr:rowOff>
    </xdr:from>
    <xdr:ext cx="1714500" cy="419100"/>
    <xdr:pic>
      <xdr:nvPicPr>
        <xdr:cNvPr id="11" name="Picture 10">
          <a:extLst>
            <a:ext uri="{FF2B5EF4-FFF2-40B4-BE49-F238E27FC236}">
              <a16:creationId xmlns:a16="http://schemas.microsoft.com/office/drawing/2014/main" xmlns="" id="{00000000-0008-0000-0000-00000B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562600" y="1809750"/>
          <a:ext cx="1714500" cy="419100"/>
        </a:xfrm>
        <a:prstGeom prst="rect">
          <a:avLst/>
        </a:prstGeom>
        <a:noFill/>
      </xdr:spPr>
    </xdr:pic>
    <xdr:clientData/>
  </xdr:oneCellAnchor>
  <xdr:oneCellAnchor>
    <xdr:from>
      <xdr:col>13</xdr:col>
      <xdr:colOff>228600</xdr:colOff>
      <xdr:row>21</xdr:row>
      <xdr:rowOff>161925</xdr:rowOff>
    </xdr:from>
    <xdr:ext cx="1600199" cy="442924"/>
    <xdr:pic>
      <xdr:nvPicPr>
        <xdr:cNvPr id="12" name="Picture 6">
          <a:extLst>
            <a:ext uri="{FF2B5EF4-FFF2-40B4-BE49-F238E27FC236}">
              <a16:creationId xmlns:a16="http://schemas.microsoft.com/office/drawing/2014/main" xmlns="" id="{00000000-0008-0000-0000-00000C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5619750" y="4162425"/>
          <a:ext cx="1600199" cy="442924"/>
        </a:xfrm>
        <a:prstGeom prst="rect">
          <a:avLst/>
        </a:prstGeom>
        <a:noFill/>
      </xdr:spPr>
    </xdr:pic>
    <xdr:clientData/>
  </xdr:oneCellAnchor>
  <xdr:oneCellAnchor>
    <xdr:from>
      <xdr:col>12</xdr:col>
      <xdr:colOff>514350</xdr:colOff>
      <xdr:row>11</xdr:row>
      <xdr:rowOff>123825</xdr:rowOff>
    </xdr:from>
    <xdr:ext cx="2066925" cy="2028825"/>
    <xdr:pic>
      <xdr:nvPicPr>
        <xdr:cNvPr id="13" name="Picture 2">
          <a:extLst>
            <a:ext uri="{FF2B5EF4-FFF2-40B4-BE49-F238E27FC236}">
              <a16:creationId xmlns:a16="http://schemas.microsoft.com/office/drawing/2014/main" xmlns="" id="{00000000-0008-0000-0000-00000D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5343525" y="2219325"/>
          <a:ext cx="2066925" cy="2028825"/>
        </a:xfrm>
        <a:prstGeom prst="ellipse">
          <a:avLst/>
        </a:prstGeom>
        <a:ln>
          <a:noFill/>
        </a:ln>
        <a:effectLst>
          <a:softEdge rad="112500"/>
        </a:effectLst>
      </xdr:spPr>
    </xdr:pic>
    <xdr:clientData/>
  </xdr:oneCellAnchor>
  <xdr:twoCellAnchor>
    <xdr:from>
      <xdr:col>19</xdr:col>
      <xdr:colOff>266700</xdr:colOff>
      <xdr:row>1</xdr:row>
      <xdr:rowOff>123825</xdr:rowOff>
    </xdr:from>
    <xdr:to>
      <xdr:col>22</xdr:col>
      <xdr:colOff>457200</xdr:colOff>
      <xdr:row>4</xdr:row>
      <xdr:rowOff>190500</xdr:rowOff>
    </xdr:to>
    <xdr:sp macro="" textlink="">
      <xdr:nvSpPr>
        <xdr:cNvPr id="14" name="Left Arrow 13">
          <a:extLst>
            <a:ext uri="{FF2B5EF4-FFF2-40B4-BE49-F238E27FC236}">
              <a16:creationId xmlns:a16="http://schemas.microsoft.com/office/drawing/2014/main" xmlns="" id="{00000000-0008-0000-0000-00000E000000}"/>
            </a:ext>
          </a:extLst>
        </xdr:cNvPr>
        <xdr:cNvSpPr/>
      </xdr:nvSpPr>
      <xdr:spPr>
        <a:xfrm>
          <a:off x="8191500" y="314325"/>
          <a:ext cx="1733550" cy="638175"/>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oneCellAnchor>
    <xdr:from>
      <xdr:col>19</xdr:col>
      <xdr:colOff>47624</xdr:colOff>
      <xdr:row>19</xdr:row>
      <xdr:rowOff>180975</xdr:rowOff>
    </xdr:from>
    <xdr:ext cx="409575" cy="323850"/>
    <xdr:pic>
      <xdr:nvPicPr>
        <xdr:cNvPr id="15" name="Picture 2">
          <a:hlinkClick xmlns:r="http://schemas.openxmlformats.org/officeDocument/2006/relationships" r:id="rId9"/>
          <a:extLst>
            <a:ext uri="{FF2B5EF4-FFF2-40B4-BE49-F238E27FC236}">
              <a16:creationId xmlns:a16="http://schemas.microsoft.com/office/drawing/2014/main" xmlns="" id="{00000000-0008-0000-0000-00000F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7972424" y="3800475"/>
          <a:ext cx="409575" cy="323850"/>
        </a:xfrm>
        <a:prstGeom prst="rect">
          <a:avLst/>
        </a:prstGeom>
        <a:noFill/>
      </xdr:spPr>
    </xdr:pic>
    <xdr:clientData/>
  </xdr:oneCellAnchor>
  <xdr:oneCellAnchor>
    <xdr:from>
      <xdr:col>19</xdr:col>
      <xdr:colOff>66674</xdr:colOff>
      <xdr:row>12</xdr:row>
      <xdr:rowOff>28576</xdr:rowOff>
    </xdr:from>
    <xdr:ext cx="409575" cy="333375"/>
    <xdr:pic>
      <xdr:nvPicPr>
        <xdr:cNvPr id="16" name="Picture 2">
          <a:hlinkClick xmlns:r="http://schemas.openxmlformats.org/officeDocument/2006/relationships" r:id="rId11"/>
          <a:extLst>
            <a:ext uri="{FF2B5EF4-FFF2-40B4-BE49-F238E27FC236}">
              <a16:creationId xmlns:a16="http://schemas.microsoft.com/office/drawing/2014/main" xmlns="" id="{00000000-0008-0000-0000-000010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7991474" y="2314576"/>
          <a:ext cx="409575" cy="333375"/>
        </a:xfrm>
        <a:prstGeom prst="rect">
          <a:avLst/>
        </a:prstGeom>
        <a:noFill/>
      </xdr:spPr>
    </xdr:pic>
    <xdr:clientData/>
  </xdr:oneCellAnchor>
  <xdr:twoCellAnchor>
    <xdr:from>
      <xdr:col>12</xdr:col>
      <xdr:colOff>409576</xdr:colOff>
      <xdr:row>49</xdr:row>
      <xdr:rowOff>152400</xdr:rowOff>
    </xdr:from>
    <xdr:to>
      <xdr:col>17</xdr:col>
      <xdr:colOff>314326</xdr:colOff>
      <xdr:row>56</xdr:row>
      <xdr:rowOff>180975</xdr:rowOff>
    </xdr:to>
    <xdr:sp macro="" textlink="">
      <xdr:nvSpPr>
        <xdr:cNvPr id="17" name="Round Diagonal Corner Rectangle 16">
          <a:extLst>
            <a:ext uri="{FF2B5EF4-FFF2-40B4-BE49-F238E27FC236}">
              <a16:creationId xmlns:a16="http://schemas.microsoft.com/office/drawing/2014/main" xmlns="" id="{00000000-0008-0000-0000-000011000000}"/>
            </a:ext>
          </a:extLst>
        </xdr:cNvPr>
        <xdr:cNvSpPr/>
      </xdr:nvSpPr>
      <xdr:spPr>
        <a:xfrm>
          <a:off x="5238751" y="9772650"/>
          <a:ext cx="2209800" cy="1343025"/>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12</xdr:col>
      <xdr:colOff>457200</xdr:colOff>
      <xdr:row>51</xdr:row>
      <xdr:rowOff>28575</xdr:rowOff>
    </xdr:from>
    <xdr:to>
      <xdr:col>13</xdr:col>
      <xdr:colOff>57150</xdr:colOff>
      <xdr:row>55</xdr:row>
      <xdr:rowOff>142875</xdr:rowOff>
    </xdr:to>
    <xdr:grpSp>
      <xdr:nvGrpSpPr>
        <xdr:cNvPr id="18" name="Group 38">
          <a:extLst>
            <a:ext uri="{FF2B5EF4-FFF2-40B4-BE49-F238E27FC236}">
              <a16:creationId xmlns:a16="http://schemas.microsoft.com/office/drawing/2014/main" xmlns="" id="{00000000-0008-0000-0000-000012000000}"/>
            </a:ext>
          </a:extLst>
        </xdr:cNvPr>
        <xdr:cNvGrpSpPr>
          <a:grpSpLocks/>
        </xdr:cNvGrpSpPr>
      </xdr:nvGrpSpPr>
      <xdr:grpSpPr bwMode="auto">
        <a:xfrm>
          <a:off x="5286375" y="10020300"/>
          <a:ext cx="161925" cy="866775"/>
          <a:chOff x="112842675" y="108899325"/>
          <a:chExt cx="762763" cy="1285875"/>
        </a:xfrm>
      </xdr:grpSpPr>
      <xdr:sp macro="" textlink="">
        <xdr:nvSpPr>
          <xdr:cNvPr id="19" name="Oval 39">
            <a:extLst>
              <a:ext uri="{FF2B5EF4-FFF2-40B4-BE49-F238E27FC236}">
                <a16:creationId xmlns:a16="http://schemas.microsoft.com/office/drawing/2014/main" xmlns="" id="{00000000-0008-0000-0000-000013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20" name="Oval 40">
            <a:extLst>
              <a:ext uri="{FF2B5EF4-FFF2-40B4-BE49-F238E27FC236}">
                <a16:creationId xmlns:a16="http://schemas.microsoft.com/office/drawing/2014/main" xmlns="" id="{00000000-0008-0000-0000-000014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21" name="Oval 41">
            <a:extLst>
              <a:ext uri="{FF2B5EF4-FFF2-40B4-BE49-F238E27FC236}">
                <a16:creationId xmlns:a16="http://schemas.microsoft.com/office/drawing/2014/main" xmlns="" id="{00000000-0008-0000-0000-000015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22" name="Oval 42">
            <a:extLst>
              <a:ext uri="{FF2B5EF4-FFF2-40B4-BE49-F238E27FC236}">
                <a16:creationId xmlns:a16="http://schemas.microsoft.com/office/drawing/2014/main" xmlns="" id="{00000000-0008-0000-0000-000016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23" name="Oval 43">
            <a:extLst>
              <a:ext uri="{FF2B5EF4-FFF2-40B4-BE49-F238E27FC236}">
                <a16:creationId xmlns:a16="http://schemas.microsoft.com/office/drawing/2014/main" xmlns="" id="{00000000-0008-0000-0000-000017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24" name="Oval 44">
            <a:extLst>
              <a:ext uri="{FF2B5EF4-FFF2-40B4-BE49-F238E27FC236}">
                <a16:creationId xmlns:a16="http://schemas.microsoft.com/office/drawing/2014/main" xmlns="" id="{00000000-0008-0000-0000-000018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25" name="Oval 45">
            <a:extLst>
              <a:ext uri="{FF2B5EF4-FFF2-40B4-BE49-F238E27FC236}">
                <a16:creationId xmlns:a16="http://schemas.microsoft.com/office/drawing/2014/main" xmlns="" id="{00000000-0008-0000-0000-000019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26" name="Oval 46">
            <a:extLst>
              <a:ext uri="{FF2B5EF4-FFF2-40B4-BE49-F238E27FC236}">
                <a16:creationId xmlns:a16="http://schemas.microsoft.com/office/drawing/2014/main" xmlns="" id="{00000000-0008-0000-0000-00001A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27" name="Oval 47">
            <a:extLst>
              <a:ext uri="{FF2B5EF4-FFF2-40B4-BE49-F238E27FC236}">
                <a16:creationId xmlns:a16="http://schemas.microsoft.com/office/drawing/2014/main" xmlns="" id="{00000000-0008-0000-0000-00001B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8" name="Oval 48">
            <a:extLst>
              <a:ext uri="{FF2B5EF4-FFF2-40B4-BE49-F238E27FC236}">
                <a16:creationId xmlns:a16="http://schemas.microsoft.com/office/drawing/2014/main" xmlns="" id="{00000000-0008-0000-0000-00001C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9" name="Oval 49">
            <a:extLst>
              <a:ext uri="{FF2B5EF4-FFF2-40B4-BE49-F238E27FC236}">
                <a16:creationId xmlns:a16="http://schemas.microsoft.com/office/drawing/2014/main" xmlns="" id="{00000000-0008-0000-0000-00001D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30" name="Oval 50">
            <a:extLst>
              <a:ext uri="{FF2B5EF4-FFF2-40B4-BE49-F238E27FC236}">
                <a16:creationId xmlns:a16="http://schemas.microsoft.com/office/drawing/2014/main" xmlns="" id="{00000000-0008-0000-0000-00001E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31" name="Oval 51">
            <a:extLst>
              <a:ext uri="{FF2B5EF4-FFF2-40B4-BE49-F238E27FC236}">
                <a16:creationId xmlns:a16="http://schemas.microsoft.com/office/drawing/2014/main" xmlns="" id="{00000000-0008-0000-0000-00001F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32" name="Oval 52">
            <a:extLst>
              <a:ext uri="{FF2B5EF4-FFF2-40B4-BE49-F238E27FC236}">
                <a16:creationId xmlns:a16="http://schemas.microsoft.com/office/drawing/2014/main" xmlns="" id="{00000000-0008-0000-0000-000020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33" name="Oval 53">
            <a:extLst>
              <a:ext uri="{FF2B5EF4-FFF2-40B4-BE49-F238E27FC236}">
                <a16:creationId xmlns:a16="http://schemas.microsoft.com/office/drawing/2014/main" xmlns="" id="{00000000-0008-0000-0000-000021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34" name="Oval 54">
            <a:extLst>
              <a:ext uri="{FF2B5EF4-FFF2-40B4-BE49-F238E27FC236}">
                <a16:creationId xmlns:a16="http://schemas.microsoft.com/office/drawing/2014/main" xmlns="" id="{00000000-0008-0000-0000-000022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35" name="Oval 55">
            <a:extLst>
              <a:ext uri="{FF2B5EF4-FFF2-40B4-BE49-F238E27FC236}">
                <a16:creationId xmlns:a16="http://schemas.microsoft.com/office/drawing/2014/main" xmlns="" id="{00000000-0008-0000-0000-000023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36" name="Oval 56">
            <a:extLst>
              <a:ext uri="{FF2B5EF4-FFF2-40B4-BE49-F238E27FC236}">
                <a16:creationId xmlns:a16="http://schemas.microsoft.com/office/drawing/2014/main" xmlns="" id="{00000000-0008-0000-0000-000024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37" name="Oval 57">
            <a:extLst>
              <a:ext uri="{FF2B5EF4-FFF2-40B4-BE49-F238E27FC236}">
                <a16:creationId xmlns:a16="http://schemas.microsoft.com/office/drawing/2014/main" xmlns="" id="{00000000-0008-0000-0000-000025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8" name="Oval 58">
            <a:extLst>
              <a:ext uri="{FF2B5EF4-FFF2-40B4-BE49-F238E27FC236}">
                <a16:creationId xmlns:a16="http://schemas.microsoft.com/office/drawing/2014/main" xmlns="" id="{00000000-0008-0000-0000-000026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9" name="Oval 59">
            <a:extLst>
              <a:ext uri="{FF2B5EF4-FFF2-40B4-BE49-F238E27FC236}">
                <a16:creationId xmlns:a16="http://schemas.microsoft.com/office/drawing/2014/main" xmlns="" id="{00000000-0008-0000-0000-000027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40" name="Oval 60">
            <a:extLst>
              <a:ext uri="{FF2B5EF4-FFF2-40B4-BE49-F238E27FC236}">
                <a16:creationId xmlns:a16="http://schemas.microsoft.com/office/drawing/2014/main" xmlns="" id="{00000000-0008-0000-0000-000028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41" name="Oval 61">
            <a:extLst>
              <a:ext uri="{FF2B5EF4-FFF2-40B4-BE49-F238E27FC236}">
                <a16:creationId xmlns:a16="http://schemas.microsoft.com/office/drawing/2014/main" xmlns="" id="{00000000-0008-0000-0000-000029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42" name="Oval 62">
            <a:extLst>
              <a:ext uri="{FF2B5EF4-FFF2-40B4-BE49-F238E27FC236}">
                <a16:creationId xmlns:a16="http://schemas.microsoft.com/office/drawing/2014/main" xmlns="" id="{00000000-0008-0000-0000-00002A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43" name="Oval 63">
            <a:extLst>
              <a:ext uri="{FF2B5EF4-FFF2-40B4-BE49-F238E27FC236}">
                <a16:creationId xmlns:a16="http://schemas.microsoft.com/office/drawing/2014/main" xmlns="" id="{00000000-0008-0000-0000-00002B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44" name="Oval 64">
            <a:extLst>
              <a:ext uri="{FF2B5EF4-FFF2-40B4-BE49-F238E27FC236}">
                <a16:creationId xmlns:a16="http://schemas.microsoft.com/office/drawing/2014/main" xmlns="" id="{00000000-0008-0000-0000-00002C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45" name="Oval 65">
            <a:extLst>
              <a:ext uri="{FF2B5EF4-FFF2-40B4-BE49-F238E27FC236}">
                <a16:creationId xmlns:a16="http://schemas.microsoft.com/office/drawing/2014/main" xmlns="" id="{00000000-0008-0000-0000-00002D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46" name="Oval 66">
            <a:extLst>
              <a:ext uri="{FF2B5EF4-FFF2-40B4-BE49-F238E27FC236}">
                <a16:creationId xmlns:a16="http://schemas.microsoft.com/office/drawing/2014/main" xmlns="" id="{00000000-0008-0000-0000-00002E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47" name="Oval 67">
            <a:extLst>
              <a:ext uri="{FF2B5EF4-FFF2-40B4-BE49-F238E27FC236}">
                <a16:creationId xmlns:a16="http://schemas.microsoft.com/office/drawing/2014/main" xmlns="" id="{00000000-0008-0000-0000-00002F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8" name="Oval 68">
            <a:extLst>
              <a:ext uri="{FF2B5EF4-FFF2-40B4-BE49-F238E27FC236}">
                <a16:creationId xmlns:a16="http://schemas.microsoft.com/office/drawing/2014/main" xmlns="" id="{00000000-0008-0000-0000-000030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9" name="Oval 69">
            <a:extLst>
              <a:ext uri="{FF2B5EF4-FFF2-40B4-BE49-F238E27FC236}">
                <a16:creationId xmlns:a16="http://schemas.microsoft.com/office/drawing/2014/main" xmlns="" id="{00000000-0008-0000-0000-000031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295274</xdr:colOff>
      <xdr:row>15</xdr:row>
      <xdr:rowOff>123825</xdr:rowOff>
    </xdr:from>
    <xdr:to>
      <xdr:col>17</xdr:col>
      <xdr:colOff>101726</xdr:colOff>
      <xdr:row>17</xdr:row>
      <xdr:rowOff>9144</xdr:rowOff>
    </xdr:to>
    <xdr:sp macro="" textlink="">
      <xdr:nvSpPr>
        <xdr:cNvPr id="2" name="Rectangle 3">
          <a:extLst>
            <a:ext uri="{FF2B5EF4-FFF2-40B4-BE49-F238E27FC236}">
              <a16:creationId xmlns:a16="http://schemas.microsoft.com/office/drawing/2014/main" xmlns="" id="{00000000-0008-0000-0200-000002000000}"/>
            </a:ext>
          </a:extLst>
        </xdr:cNvPr>
        <xdr:cNvSpPr>
          <a:spLocks noChangeArrowheads="1" noChangeShapeType="1"/>
        </xdr:cNvSpPr>
      </xdr:nvSpPr>
      <xdr:spPr bwMode="auto">
        <a:xfrm flipH="1">
          <a:off x="4095749" y="2981325"/>
          <a:ext cx="2130552" cy="266319"/>
        </a:xfrm>
        <a:prstGeom prst="rect">
          <a:avLst/>
        </a:prstGeom>
        <a:solidFill>
          <a:srgbClr val="FFC000"/>
        </a:solidFill>
        <a:ln w="0" algn="in">
          <a:noFill/>
          <a:miter lim="800000"/>
          <a:headEnd/>
          <a:tailEnd/>
        </a:ln>
        <a:effectLst/>
      </xdr:spPr>
    </xdr:sp>
    <xdr:clientData/>
  </xdr:twoCellAnchor>
  <xdr:twoCellAnchor>
    <xdr:from>
      <xdr:col>5</xdr:col>
      <xdr:colOff>9525</xdr:colOff>
      <xdr:row>15</xdr:row>
      <xdr:rowOff>133350</xdr:rowOff>
    </xdr:from>
    <xdr:to>
      <xdr:col>11</xdr:col>
      <xdr:colOff>295275</xdr:colOff>
      <xdr:row>17</xdr:row>
      <xdr:rowOff>19050</xdr:rowOff>
    </xdr:to>
    <xdr:sp macro="" textlink="">
      <xdr:nvSpPr>
        <xdr:cNvPr id="3" name="Rectangle 4">
          <a:extLst>
            <a:ext uri="{FF2B5EF4-FFF2-40B4-BE49-F238E27FC236}">
              <a16:creationId xmlns:a16="http://schemas.microsoft.com/office/drawing/2014/main" xmlns="" id="{00000000-0008-0000-0200-000003000000}"/>
            </a:ext>
          </a:extLst>
        </xdr:cNvPr>
        <xdr:cNvSpPr>
          <a:spLocks noChangeArrowheads="1" noChangeShapeType="1"/>
        </xdr:cNvSpPr>
      </xdr:nvSpPr>
      <xdr:spPr bwMode="auto">
        <a:xfrm flipH="1">
          <a:off x="1695450" y="2990850"/>
          <a:ext cx="2400300" cy="266700"/>
        </a:xfrm>
        <a:prstGeom prst="rect">
          <a:avLst/>
        </a:prstGeom>
        <a:solidFill>
          <a:srgbClr val="002060"/>
        </a:solidFill>
        <a:ln w="0" algn="in">
          <a:noFill/>
          <a:miter lim="800000"/>
          <a:headEnd/>
          <a:tailEnd/>
        </a:ln>
        <a:effectLst/>
      </xdr:spPr>
    </xdr:sp>
    <xdr:clientData/>
  </xdr:twoCellAnchor>
  <xdr:twoCellAnchor>
    <xdr:from>
      <xdr:col>17</xdr:col>
      <xdr:colOff>3320</xdr:colOff>
      <xdr:row>15</xdr:row>
      <xdr:rowOff>114299</xdr:rowOff>
    </xdr:from>
    <xdr:to>
      <xdr:col>18</xdr:col>
      <xdr:colOff>22151</xdr:colOff>
      <xdr:row>26</xdr:row>
      <xdr:rowOff>44301</xdr:rowOff>
    </xdr:to>
    <xdr:sp macro="" textlink="">
      <xdr:nvSpPr>
        <xdr:cNvPr id="4" name="Rectangle 10">
          <a:extLst>
            <a:ext uri="{FF2B5EF4-FFF2-40B4-BE49-F238E27FC236}">
              <a16:creationId xmlns:a16="http://schemas.microsoft.com/office/drawing/2014/main" xmlns="" id="{00000000-0008-0000-0200-000004000000}"/>
            </a:ext>
          </a:extLst>
        </xdr:cNvPr>
        <xdr:cNvSpPr>
          <a:spLocks noChangeArrowheads="1" noChangeShapeType="1"/>
        </xdr:cNvSpPr>
      </xdr:nvSpPr>
      <xdr:spPr bwMode="auto">
        <a:xfrm flipH="1">
          <a:off x="6139192" y="834212"/>
          <a:ext cx="306796" cy="2222647"/>
        </a:xfrm>
        <a:prstGeom prst="rect">
          <a:avLst/>
        </a:prstGeom>
        <a:solidFill>
          <a:srgbClr val="FFC000"/>
        </a:solidFill>
        <a:ln w="0" algn="in">
          <a:noFill/>
          <a:miter lim="800000"/>
          <a:headEnd/>
          <a:tailEnd/>
        </a:ln>
        <a:effectLst/>
      </xdr:spPr>
    </xdr:sp>
    <xdr:clientData/>
  </xdr:twoCellAnchor>
  <xdr:twoCellAnchor>
    <xdr:from>
      <xdr:col>5</xdr:col>
      <xdr:colOff>19049</xdr:colOff>
      <xdr:row>16</xdr:row>
      <xdr:rowOff>190499</xdr:rowOff>
    </xdr:from>
    <xdr:to>
      <xdr:col>5</xdr:col>
      <xdr:colOff>287964</xdr:colOff>
      <xdr:row>26</xdr:row>
      <xdr:rowOff>44301</xdr:rowOff>
    </xdr:to>
    <xdr:sp macro="" textlink="">
      <xdr:nvSpPr>
        <xdr:cNvPr id="5" name="Rectangle 9">
          <a:extLst>
            <a:ext uri="{FF2B5EF4-FFF2-40B4-BE49-F238E27FC236}">
              <a16:creationId xmlns:a16="http://schemas.microsoft.com/office/drawing/2014/main" xmlns="" id="{00000000-0008-0000-0200-000005000000}"/>
            </a:ext>
          </a:extLst>
        </xdr:cNvPr>
        <xdr:cNvSpPr>
          <a:spLocks noChangeArrowheads="1" noChangeShapeType="1"/>
        </xdr:cNvSpPr>
      </xdr:nvSpPr>
      <xdr:spPr bwMode="auto">
        <a:xfrm flipH="1">
          <a:off x="1713613" y="1054394"/>
          <a:ext cx="268915" cy="2002465"/>
        </a:xfrm>
        <a:prstGeom prst="rect">
          <a:avLst/>
        </a:prstGeom>
        <a:solidFill>
          <a:srgbClr val="002060"/>
        </a:solidFill>
        <a:ln w="0" algn="in">
          <a:noFill/>
          <a:miter lim="800000"/>
          <a:headEnd/>
          <a:tailEnd/>
        </a:ln>
        <a:effectLst/>
      </xdr:spPr>
    </xdr:sp>
    <xdr:clientData/>
  </xdr:twoCellAnchor>
  <xdr:twoCellAnchor>
    <xdr:from>
      <xdr:col>5</xdr:col>
      <xdr:colOff>7973</xdr:colOff>
      <xdr:row>26</xdr:row>
      <xdr:rowOff>47625</xdr:rowOff>
    </xdr:from>
    <xdr:to>
      <xdr:col>6</xdr:col>
      <xdr:colOff>11075</xdr:colOff>
      <xdr:row>40</xdr:row>
      <xdr:rowOff>22151</xdr:rowOff>
    </xdr:to>
    <xdr:sp macro="" textlink="">
      <xdr:nvSpPr>
        <xdr:cNvPr id="6" name="Rectangle 10">
          <a:extLst>
            <a:ext uri="{FF2B5EF4-FFF2-40B4-BE49-F238E27FC236}">
              <a16:creationId xmlns:a16="http://schemas.microsoft.com/office/drawing/2014/main" xmlns="" id="{00000000-0008-0000-0200-000006000000}"/>
            </a:ext>
          </a:extLst>
        </xdr:cNvPr>
        <xdr:cNvSpPr>
          <a:spLocks noChangeArrowheads="1" noChangeShapeType="1"/>
        </xdr:cNvSpPr>
      </xdr:nvSpPr>
      <xdr:spPr bwMode="auto">
        <a:xfrm flipH="1">
          <a:off x="1702537" y="3060183"/>
          <a:ext cx="291067" cy="2245020"/>
        </a:xfrm>
        <a:prstGeom prst="rect">
          <a:avLst/>
        </a:prstGeom>
        <a:solidFill>
          <a:srgbClr val="FFC000"/>
        </a:solidFill>
        <a:ln w="0" algn="in">
          <a:noFill/>
          <a:miter lim="800000"/>
          <a:headEnd/>
          <a:tailEnd/>
        </a:ln>
        <a:effectLst/>
      </xdr:spPr>
    </xdr:sp>
    <xdr:clientData/>
  </xdr:twoCellAnchor>
  <xdr:twoCellAnchor>
    <xdr:from>
      <xdr:col>4</xdr:col>
      <xdr:colOff>287964</xdr:colOff>
      <xdr:row>39</xdr:row>
      <xdr:rowOff>132906</xdr:rowOff>
    </xdr:from>
    <xdr:to>
      <xdr:col>12</xdr:col>
      <xdr:colOff>33226</xdr:colOff>
      <xdr:row>41</xdr:row>
      <xdr:rowOff>132906</xdr:rowOff>
    </xdr:to>
    <xdr:sp macro="" textlink="">
      <xdr:nvSpPr>
        <xdr:cNvPr id="7" name="Rectangle 3">
          <a:extLst>
            <a:ext uri="{FF2B5EF4-FFF2-40B4-BE49-F238E27FC236}">
              <a16:creationId xmlns:a16="http://schemas.microsoft.com/office/drawing/2014/main" xmlns="" id="{00000000-0008-0000-0200-000007000000}"/>
            </a:ext>
          </a:extLst>
        </xdr:cNvPr>
        <xdr:cNvSpPr>
          <a:spLocks noChangeArrowheads="1" noChangeShapeType="1"/>
        </xdr:cNvSpPr>
      </xdr:nvSpPr>
      <xdr:spPr bwMode="auto">
        <a:xfrm flipH="1">
          <a:off x="1683487" y="5271976"/>
          <a:ext cx="2480931" cy="287965"/>
        </a:xfrm>
        <a:prstGeom prst="rect">
          <a:avLst/>
        </a:prstGeom>
        <a:solidFill>
          <a:srgbClr val="FFC000"/>
        </a:solidFill>
        <a:ln w="0" algn="in">
          <a:noFill/>
          <a:miter lim="800000"/>
          <a:headEnd/>
          <a:tailEnd/>
        </a:ln>
        <a:effectLst/>
      </xdr:spPr>
    </xdr:sp>
    <xdr:clientData/>
  </xdr:twoCellAnchor>
  <xdr:twoCellAnchor>
    <xdr:from>
      <xdr:col>12</xdr:col>
      <xdr:colOff>7309</xdr:colOff>
      <xdr:row>40</xdr:row>
      <xdr:rowOff>5316</xdr:rowOff>
    </xdr:from>
    <xdr:to>
      <xdr:col>18</xdr:col>
      <xdr:colOff>22151</xdr:colOff>
      <xdr:row>41</xdr:row>
      <xdr:rowOff>118729</xdr:rowOff>
    </xdr:to>
    <xdr:sp macro="" textlink="">
      <xdr:nvSpPr>
        <xdr:cNvPr id="8" name="Rectangle 4">
          <a:extLst>
            <a:ext uri="{FF2B5EF4-FFF2-40B4-BE49-F238E27FC236}">
              <a16:creationId xmlns:a16="http://schemas.microsoft.com/office/drawing/2014/main" xmlns="" id="{00000000-0008-0000-0200-000008000000}"/>
            </a:ext>
          </a:extLst>
        </xdr:cNvPr>
        <xdr:cNvSpPr>
          <a:spLocks noChangeArrowheads="1" noChangeShapeType="1"/>
        </xdr:cNvSpPr>
      </xdr:nvSpPr>
      <xdr:spPr bwMode="auto">
        <a:xfrm flipH="1">
          <a:off x="4138501" y="5288368"/>
          <a:ext cx="2307487" cy="257396"/>
        </a:xfrm>
        <a:prstGeom prst="rect">
          <a:avLst/>
        </a:prstGeom>
        <a:solidFill>
          <a:srgbClr val="002060"/>
        </a:solidFill>
        <a:ln w="0" algn="in">
          <a:noFill/>
          <a:miter lim="800000"/>
          <a:headEnd/>
          <a:tailEnd/>
        </a:ln>
        <a:effectLst/>
      </xdr:spPr>
    </xdr:sp>
    <xdr:clientData/>
  </xdr:twoCellAnchor>
  <xdr:twoCellAnchor>
    <xdr:from>
      <xdr:col>16</xdr:col>
      <xdr:colOff>517450</xdr:colOff>
      <xdr:row>26</xdr:row>
      <xdr:rowOff>31676</xdr:rowOff>
    </xdr:from>
    <xdr:to>
      <xdr:col>18</xdr:col>
      <xdr:colOff>22151</xdr:colOff>
      <xdr:row>40</xdr:row>
      <xdr:rowOff>55378</xdr:rowOff>
    </xdr:to>
    <xdr:sp macro="" textlink="">
      <xdr:nvSpPr>
        <xdr:cNvPr id="9" name="Rectangle 9">
          <a:extLst>
            <a:ext uri="{FF2B5EF4-FFF2-40B4-BE49-F238E27FC236}">
              <a16:creationId xmlns:a16="http://schemas.microsoft.com/office/drawing/2014/main" xmlns="" id="{00000000-0008-0000-0200-000009000000}"/>
            </a:ext>
          </a:extLst>
        </xdr:cNvPr>
        <xdr:cNvSpPr>
          <a:spLocks noChangeArrowheads="1" noChangeShapeType="1"/>
        </xdr:cNvSpPr>
      </xdr:nvSpPr>
      <xdr:spPr bwMode="auto">
        <a:xfrm flipH="1">
          <a:off x="6132770" y="3044234"/>
          <a:ext cx="313218" cy="2294196"/>
        </a:xfrm>
        <a:prstGeom prst="rect">
          <a:avLst/>
        </a:prstGeom>
        <a:solidFill>
          <a:srgbClr val="002060"/>
        </a:solidFill>
        <a:ln w="0" algn="in">
          <a:noFill/>
          <a:miter lim="800000"/>
          <a:headEnd/>
          <a:tailEnd/>
        </a:ln>
        <a:effectLst/>
      </xdr:spPr>
    </xdr:sp>
    <xdr:clientData/>
  </xdr:twoCellAnchor>
  <xdr:oneCellAnchor>
    <xdr:from>
      <xdr:col>13</xdr:col>
      <xdr:colOff>9525</xdr:colOff>
      <xdr:row>25</xdr:row>
      <xdr:rowOff>104775</xdr:rowOff>
    </xdr:from>
    <xdr:ext cx="1697665" cy="272238"/>
    <xdr:pic>
      <xdr:nvPicPr>
        <xdr:cNvPr id="10" name="Picture 2">
          <a:hlinkClick xmlns:r="http://schemas.openxmlformats.org/officeDocument/2006/relationships" r:id="rId1"/>
          <a:extLst>
            <a:ext uri="{FF2B5EF4-FFF2-40B4-BE49-F238E27FC236}">
              <a16:creationId xmlns:a16="http://schemas.microsoft.com/office/drawing/2014/main" xmlns="" id="{00000000-0008-0000-0200-00000A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62450" y="4867275"/>
          <a:ext cx="1697665" cy="272238"/>
        </a:xfrm>
        <a:prstGeom prst="rect">
          <a:avLst/>
        </a:prstGeom>
        <a:noFill/>
      </xdr:spPr>
    </xdr:pic>
    <xdr:clientData/>
  </xdr:oneCellAnchor>
  <xdr:oneCellAnchor>
    <xdr:from>
      <xdr:col>18</xdr:col>
      <xdr:colOff>66675</xdr:colOff>
      <xdr:row>28</xdr:row>
      <xdr:rowOff>0</xdr:rowOff>
    </xdr:from>
    <xdr:ext cx="320971" cy="344479"/>
    <xdr:pic>
      <xdr:nvPicPr>
        <xdr:cNvPr id="13" name="Picture 12">
          <a:hlinkClick xmlns:r="http://schemas.openxmlformats.org/officeDocument/2006/relationships" r:id="rId3"/>
          <a:extLst>
            <a:ext uri="{FF2B5EF4-FFF2-40B4-BE49-F238E27FC236}">
              <a16:creationId xmlns:a16="http://schemas.microsoft.com/office/drawing/2014/main" xmlns="" id="{00000000-0008-0000-0200-00000D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6490512" y="3577413"/>
          <a:ext cx="320971" cy="344479"/>
        </a:xfrm>
        <a:prstGeom prst="rect">
          <a:avLst/>
        </a:prstGeom>
        <a:noFill/>
      </xdr:spPr>
    </xdr:pic>
    <xdr:clientData/>
  </xdr:oneCellAnchor>
  <xdr:twoCellAnchor>
    <xdr:from>
      <xdr:col>2</xdr:col>
      <xdr:colOff>142875</xdr:colOff>
      <xdr:row>10</xdr:row>
      <xdr:rowOff>57150</xdr:rowOff>
    </xdr:from>
    <xdr:to>
      <xdr:col>5</xdr:col>
      <xdr:colOff>219075</xdr:colOff>
      <xdr:row>15</xdr:row>
      <xdr:rowOff>47625</xdr:rowOff>
    </xdr:to>
    <xdr:pic>
      <xdr:nvPicPr>
        <xdr:cNvPr id="14" name="image02.gif">
          <a:extLst>
            <a:ext uri="{FF2B5EF4-FFF2-40B4-BE49-F238E27FC236}">
              <a16:creationId xmlns:a16="http://schemas.microsoft.com/office/drawing/2014/main" xmlns="" id="{00000000-0008-0000-02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971550" y="1962150"/>
          <a:ext cx="933450" cy="942975"/>
        </a:xfrm>
        <a:prstGeom prst="ellipse">
          <a:avLst/>
        </a:prstGeom>
        <a:ln w="6350" cap="rnd" cmpd="dbl">
          <a:solidFill>
            <a:srgbClr val="FFFF00"/>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9524</xdr:rowOff>
    </xdr:from>
    <xdr:to>
      <xdr:col>10</xdr:col>
      <xdr:colOff>866775</xdr:colOff>
      <xdr:row>57</xdr:row>
      <xdr:rowOff>57150</xdr:rowOff>
    </xdr:to>
    <xdr:sp macro="" textlink="">
      <xdr:nvSpPr>
        <xdr:cNvPr id="2" name="Snip Single Corner Rectangle 1">
          <a:extLst>
            <a:ext uri="{FF2B5EF4-FFF2-40B4-BE49-F238E27FC236}">
              <a16:creationId xmlns:a16="http://schemas.microsoft.com/office/drawing/2014/main" xmlns="" id="{00000000-0008-0000-0300-000002000000}"/>
            </a:ext>
          </a:extLst>
        </xdr:cNvPr>
        <xdr:cNvSpPr/>
      </xdr:nvSpPr>
      <xdr:spPr>
        <a:xfrm>
          <a:off x="0" y="200024"/>
          <a:ext cx="6781800" cy="10715626"/>
        </a:xfrm>
        <a:prstGeom prst="snip1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oneCellAnchor>
    <xdr:from>
      <xdr:col>0</xdr:col>
      <xdr:colOff>9524</xdr:colOff>
      <xdr:row>43</xdr:row>
      <xdr:rowOff>76199</xdr:rowOff>
    </xdr:from>
    <xdr:ext cx="2162175" cy="781051"/>
    <xdr:pic>
      <xdr:nvPicPr>
        <xdr:cNvPr id="3" name="Picture 2" descr="index.jpg">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cstate="print"/>
        <a:stretch>
          <a:fillRect/>
        </a:stretch>
      </xdr:blipFill>
      <xdr:spPr>
        <a:xfrm>
          <a:off x="9524" y="8267699"/>
          <a:ext cx="2162175" cy="781051"/>
        </a:xfrm>
        <a:prstGeom prst="rect">
          <a:avLst/>
        </a:prstGeom>
      </xdr:spPr>
    </xdr:pic>
    <xdr:clientData/>
  </xdr:oneCellAnchor>
  <xdr:oneCellAnchor>
    <xdr:from>
      <xdr:col>0</xdr:col>
      <xdr:colOff>0</xdr:colOff>
      <xdr:row>14</xdr:row>
      <xdr:rowOff>38100</xdr:rowOff>
    </xdr:from>
    <xdr:ext cx="2143125" cy="3686175"/>
    <xdr:pic>
      <xdr:nvPicPr>
        <xdr:cNvPr id="4" name="Picture 2">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2705100"/>
          <a:ext cx="2143125" cy="3686175"/>
        </a:xfrm>
        <a:prstGeom prst="rect">
          <a:avLst/>
        </a:prstGeom>
        <a:noFill/>
      </xdr:spPr>
    </xdr:pic>
    <xdr:clientData/>
  </xdr:oneCellAnchor>
  <xdr:oneCellAnchor>
    <xdr:from>
      <xdr:col>8</xdr:col>
      <xdr:colOff>19050</xdr:colOff>
      <xdr:row>3</xdr:row>
      <xdr:rowOff>28576</xdr:rowOff>
    </xdr:from>
    <xdr:ext cx="990600" cy="723899"/>
    <xdr:pic>
      <xdr:nvPicPr>
        <xdr:cNvPr id="5" name="Picture 2">
          <a:extLst>
            <a:ext uri="{FF2B5EF4-FFF2-40B4-BE49-F238E27FC236}">
              <a16:creationId xmlns:a16="http://schemas.microsoft.com/office/drawing/2014/main" xmlns="" id="{00000000-0008-0000-0300-000005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714875" y="600076"/>
          <a:ext cx="990600" cy="723899"/>
        </a:xfrm>
        <a:prstGeom prst="rect">
          <a:avLst/>
        </a:prstGeom>
        <a:noFill/>
      </xdr:spPr>
    </xdr:pic>
    <xdr:clientData/>
  </xdr:oneCellAnchor>
  <xdr:oneCellAnchor>
    <xdr:from>
      <xdr:col>8</xdr:col>
      <xdr:colOff>104775</xdr:colOff>
      <xdr:row>60</xdr:row>
      <xdr:rowOff>85725</xdr:rowOff>
    </xdr:from>
    <xdr:ext cx="895350" cy="809625"/>
    <xdr:pic>
      <xdr:nvPicPr>
        <xdr:cNvPr id="6" name="Picture 4">
          <a:extLst>
            <a:ext uri="{FF2B5EF4-FFF2-40B4-BE49-F238E27FC236}">
              <a16:creationId xmlns:a16="http://schemas.microsoft.com/office/drawing/2014/main" xmlns="" id="{00000000-0008-0000-0300-000006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800600" y="11515725"/>
          <a:ext cx="895350" cy="809625"/>
        </a:xfrm>
        <a:prstGeom prst="rect">
          <a:avLst/>
        </a:prstGeom>
        <a:noFill/>
      </xdr:spPr>
    </xdr:pic>
    <xdr:clientData/>
  </xdr:oneCellAnchor>
  <xdr:oneCellAnchor>
    <xdr:from>
      <xdr:col>6</xdr:col>
      <xdr:colOff>295275</xdr:colOff>
      <xdr:row>3</xdr:row>
      <xdr:rowOff>123825</xdr:rowOff>
    </xdr:from>
    <xdr:ext cx="895350" cy="523875"/>
    <xdr:pic>
      <xdr:nvPicPr>
        <xdr:cNvPr id="7" name="Picture 6" descr="lic.bmp.jpg">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5" cstate="print"/>
        <a:stretch>
          <a:fillRect/>
        </a:stretch>
      </xdr:blipFill>
      <xdr:spPr>
        <a:xfrm>
          <a:off x="3771900" y="695325"/>
          <a:ext cx="895350" cy="523875"/>
        </a:xfrm>
        <a:prstGeom prst="rect">
          <a:avLst/>
        </a:prstGeom>
      </xdr:spPr>
    </xdr:pic>
    <xdr:clientData/>
  </xdr:oneCellAnchor>
  <xdr:oneCellAnchor>
    <xdr:from>
      <xdr:col>0</xdr:col>
      <xdr:colOff>66675</xdr:colOff>
      <xdr:row>61</xdr:row>
      <xdr:rowOff>123825</xdr:rowOff>
    </xdr:from>
    <xdr:ext cx="838200" cy="485775"/>
    <xdr:pic>
      <xdr:nvPicPr>
        <xdr:cNvPr id="8" name="Picture 7" descr="lic.bmp.jpg">
          <a:extLst>
            <a:ext uri="{FF2B5EF4-FFF2-40B4-BE49-F238E27FC236}">
              <a16:creationId xmlns:a16="http://schemas.microsoft.com/office/drawing/2014/main" xmlns="" id="{00000000-0008-0000-0300-000008000000}"/>
            </a:ext>
          </a:extLst>
        </xdr:cNvPr>
        <xdr:cNvPicPr>
          <a:picLocks noChangeAspect="1"/>
        </xdr:cNvPicPr>
      </xdr:nvPicPr>
      <xdr:blipFill>
        <a:blip xmlns:r="http://schemas.openxmlformats.org/officeDocument/2006/relationships" r:embed="rId5" cstate="print"/>
        <a:stretch>
          <a:fillRect/>
        </a:stretch>
      </xdr:blipFill>
      <xdr:spPr>
        <a:xfrm>
          <a:off x="66675" y="11744325"/>
          <a:ext cx="838200" cy="485775"/>
        </a:xfrm>
        <a:prstGeom prst="rect">
          <a:avLst/>
        </a:prstGeom>
      </xdr:spPr>
    </xdr:pic>
    <xdr:clientData/>
  </xdr:oneCellAnchor>
  <xdr:twoCellAnchor>
    <xdr:from>
      <xdr:col>7</xdr:col>
      <xdr:colOff>485775</xdr:colOff>
      <xdr:row>2</xdr:row>
      <xdr:rowOff>142876</xdr:rowOff>
    </xdr:from>
    <xdr:to>
      <xdr:col>10</xdr:col>
      <xdr:colOff>419100</xdr:colOff>
      <xdr:row>8</xdr:row>
      <xdr:rowOff>142876</xdr:rowOff>
    </xdr:to>
    <xdr:grpSp>
      <xdr:nvGrpSpPr>
        <xdr:cNvPr id="9" name="Group 93">
          <a:extLst>
            <a:ext uri="{FF2B5EF4-FFF2-40B4-BE49-F238E27FC236}">
              <a16:creationId xmlns:a16="http://schemas.microsoft.com/office/drawing/2014/main" xmlns="" id="{00000000-0008-0000-0300-000009000000}"/>
            </a:ext>
          </a:extLst>
        </xdr:cNvPr>
        <xdr:cNvGrpSpPr>
          <a:grpSpLocks/>
        </xdr:cNvGrpSpPr>
      </xdr:nvGrpSpPr>
      <xdr:grpSpPr bwMode="auto">
        <a:xfrm>
          <a:off x="4572000" y="342901"/>
          <a:ext cx="1762125" cy="971550"/>
          <a:chOff x="105219594" y="105543444"/>
          <a:chExt cx="2514600" cy="2459736"/>
        </a:xfrm>
      </xdr:grpSpPr>
      <xdr:sp macro="" textlink="">
        <xdr:nvSpPr>
          <xdr:cNvPr id="10" name="AutoShape 94">
            <a:extLst>
              <a:ext uri="{FF2B5EF4-FFF2-40B4-BE49-F238E27FC236}">
                <a16:creationId xmlns:a16="http://schemas.microsoft.com/office/drawing/2014/main" xmlns="" id="{00000000-0008-0000-0300-00000A000000}"/>
              </a:ext>
            </a:extLst>
          </xdr:cNvPr>
          <xdr:cNvSpPr>
            <a:spLocks noChangeArrowheads="1" noChangeShapeType="1"/>
          </xdr:cNvSpPr>
        </xdr:nvSpPr>
        <xdr:spPr bwMode="auto">
          <a:xfrm>
            <a:off x="105774635" y="106043621"/>
            <a:ext cx="1959559" cy="1959559"/>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11" name="AutoShape 95">
            <a:extLst>
              <a:ext uri="{FF2B5EF4-FFF2-40B4-BE49-F238E27FC236}">
                <a16:creationId xmlns:a16="http://schemas.microsoft.com/office/drawing/2014/main" xmlns="" id="{00000000-0008-0000-0300-00000B000000}"/>
              </a:ext>
            </a:extLst>
          </xdr:cNvPr>
          <xdr:cNvSpPr>
            <a:spLocks noChangeArrowheads="1" noChangeShapeType="1"/>
          </xdr:cNvSpPr>
        </xdr:nvSpPr>
        <xdr:spPr bwMode="auto">
          <a:xfrm>
            <a:off x="105219594" y="105543444"/>
            <a:ext cx="2269541" cy="2269541"/>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0</xdr:col>
      <xdr:colOff>152402</xdr:colOff>
      <xdr:row>2</xdr:row>
      <xdr:rowOff>47625</xdr:rowOff>
    </xdr:from>
    <xdr:to>
      <xdr:col>0</xdr:col>
      <xdr:colOff>504826</xdr:colOff>
      <xdr:row>8</xdr:row>
      <xdr:rowOff>104775</xdr:rowOff>
    </xdr:to>
    <xdr:grpSp>
      <xdr:nvGrpSpPr>
        <xdr:cNvPr id="12" name="Group 38">
          <a:extLst>
            <a:ext uri="{FF2B5EF4-FFF2-40B4-BE49-F238E27FC236}">
              <a16:creationId xmlns:a16="http://schemas.microsoft.com/office/drawing/2014/main" xmlns="" id="{00000000-0008-0000-0300-00000C000000}"/>
            </a:ext>
          </a:extLst>
        </xdr:cNvPr>
        <xdr:cNvGrpSpPr>
          <a:grpSpLocks/>
        </xdr:cNvGrpSpPr>
      </xdr:nvGrpSpPr>
      <xdr:grpSpPr bwMode="auto">
        <a:xfrm>
          <a:off x="152402" y="247650"/>
          <a:ext cx="352424" cy="1028700"/>
          <a:chOff x="112842675" y="108899325"/>
          <a:chExt cx="762763" cy="1285875"/>
        </a:xfrm>
      </xdr:grpSpPr>
      <xdr:sp macro="" textlink="">
        <xdr:nvSpPr>
          <xdr:cNvPr id="13" name="Oval 39">
            <a:extLst>
              <a:ext uri="{FF2B5EF4-FFF2-40B4-BE49-F238E27FC236}">
                <a16:creationId xmlns:a16="http://schemas.microsoft.com/office/drawing/2014/main" xmlns="" id="{00000000-0008-0000-0300-00000D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4" name="Oval 40">
            <a:extLst>
              <a:ext uri="{FF2B5EF4-FFF2-40B4-BE49-F238E27FC236}">
                <a16:creationId xmlns:a16="http://schemas.microsoft.com/office/drawing/2014/main" xmlns="" id="{00000000-0008-0000-0300-00000E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5" name="Oval 41">
            <a:extLst>
              <a:ext uri="{FF2B5EF4-FFF2-40B4-BE49-F238E27FC236}">
                <a16:creationId xmlns:a16="http://schemas.microsoft.com/office/drawing/2014/main" xmlns="" id="{00000000-0008-0000-0300-00000F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6" name="Oval 42">
            <a:extLst>
              <a:ext uri="{FF2B5EF4-FFF2-40B4-BE49-F238E27FC236}">
                <a16:creationId xmlns:a16="http://schemas.microsoft.com/office/drawing/2014/main" xmlns="" id="{00000000-0008-0000-0300-000010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7" name="Oval 43">
            <a:extLst>
              <a:ext uri="{FF2B5EF4-FFF2-40B4-BE49-F238E27FC236}">
                <a16:creationId xmlns:a16="http://schemas.microsoft.com/office/drawing/2014/main" xmlns="" id="{00000000-0008-0000-0300-000011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8" name="Oval 44">
            <a:extLst>
              <a:ext uri="{FF2B5EF4-FFF2-40B4-BE49-F238E27FC236}">
                <a16:creationId xmlns:a16="http://schemas.microsoft.com/office/drawing/2014/main" xmlns="" id="{00000000-0008-0000-0300-000012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9" name="Oval 45">
            <a:extLst>
              <a:ext uri="{FF2B5EF4-FFF2-40B4-BE49-F238E27FC236}">
                <a16:creationId xmlns:a16="http://schemas.microsoft.com/office/drawing/2014/main" xmlns="" id="{00000000-0008-0000-0300-000013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20" name="Oval 46">
            <a:extLst>
              <a:ext uri="{FF2B5EF4-FFF2-40B4-BE49-F238E27FC236}">
                <a16:creationId xmlns:a16="http://schemas.microsoft.com/office/drawing/2014/main" xmlns="" id="{00000000-0008-0000-0300-000014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21" name="Oval 47">
            <a:extLst>
              <a:ext uri="{FF2B5EF4-FFF2-40B4-BE49-F238E27FC236}">
                <a16:creationId xmlns:a16="http://schemas.microsoft.com/office/drawing/2014/main" xmlns="" id="{00000000-0008-0000-0300-000015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2" name="Oval 48">
            <a:extLst>
              <a:ext uri="{FF2B5EF4-FFF2-40B4-BE49-F238E27FC236}">
                <a16:creationId xmlns:a16="http://schemas.microsoft.com/office/drawing/2014/main" xmlns="" id="{00000000-0008-0000-0300-000016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3" name="Oval 49">
            <a:extLst>
              <a:ext uri="{FF2B5EF4-FFF2-40B4-BE49-F238E27FC236}">
                <a16:creationId xmlns:a16="http://schemas.microsoft.com/office/drawing/2014/main" xmlns="" id="{00000000-0008-0000-0300-000017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4" name="Oval 50">
            <a:extLst>
              <a:ext uri="{FF2B5EF4-FFF2-40B4-BE49-F238E27FC236}">
                <a16:creationId xmlns:a16="http://schemas.microsoft.com/office/drawing/2014/main" xmlns="" id="{00000000-0008-0000-0300-000018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5" name="Oval 51">
            <a:extLst>
              <a:ext uri="{FF2B5EF4-FFF2-40B4-BE49-F238E27FC236}">
                <a16:creationId xmlns:a16="http://schemas.microsoft.com/office/drawing/2014/main" xmlns="" id="{00000000-0008-0000-0300-000019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6" name="Oval 52">
            <a:extLst>
              <a:ext uri="{FF2B5EF4-FFF2-40B4-BE49-F238E27FC236}">
                <a16:creationId xmlns:a16="http://schemas.microsoft.com/office/drawing/2014/main" xmlns="" id="{00000000-0008-0000-0300-00001A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7" name="Oval 53">
            <a:extLst>
              <a:ext uri="{FF2B5EF4-FFF2-40B4-BE49-F238E27FC236}">
                <a16:creationId xmlns:a16="http://schemas.microsoft.com/office/drawing/2014/main" xmlns="" id="{00000000-0008-0000-0300-00001B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8" name="Oval 54">
            <a:extLst>
              <a:ext uri="{FF2B5EF4-FFF2-40B4-BE49-F238E27FC236}">
                <a16:creationId xmlns:a16="http://schemas.microsoft.com/office/drawing/2014/main" xmlns="" id="{00000000-0008-0000-0300-00001C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9" name="Oval 55">
            <a:extLst>
              <a:ext uri="{FF2B5EF4-FFF2-40B4-BE49-F238E27FC236}">
                <a16:creationId xmlns:a16="http://schemas.microsoft.com/office/drawing/2014/main" xmlns="" id="{00000000-0008-0000-0300-00001D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30" name="Oval 56">
            <a:extLst>
              <a:ext uri="{FF2B5EF4-FFF2-40B4-BE49-F238E27FC236}">
                <a16:creationId xmlns:a16="http://schemas.microsoft.com/office/drawing/2014/main" xmlns="" id="{00000000-0008-0000-0300-00001E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31" name="Oval 57">
            <a:extLst>
              <a:ext uri="{FF2B5EF4-FFF2-40B4-BE49-F238E27FC236}">
                <a16:creationId xmlns:a16="http://schemas.microsoft.com/office/drawing/2014/main" xmlns="" id="{00000000-0008-0000-0300-00001F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2" name="Oval 58">
            <a:extLst>
              <a:ext uri="{FF2B5EF4-FFF2-40B4-BE49-F238E27FC236}">
                <a16:creationId xmlns:a16="http://schemas.microsoft.com/office/drawing/2014/main" xmlns="" id="{00000000-0008-0000-0300-000020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3" name="Oval 59">
            <a:extLst>
              <a:ext uri="{FF2B5EF4-FFF2-40B4-BE49-F238E27FC236}">
                <a16:creationId xmlns:a16="http://schemas.microsoft.com/office/drawing/2014/main" xmlns="" id="{00000000-0008-0000-0300-000021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4" name="Oval 60">
            <a:extLst>
              <a:ext uri="{FF2B5EF4-FFF2-40B4-BE49-F238E27FC236}">
                <a16:creationId xmlns:a16="http://schemas.microsoft.com/office/drawing/2014/main" xmlns="" id="{00000000-0008-0000-0300-000022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5" name="Oval 61">
            <a:extLst>
              <a:ext uri="{FF2B5EF4-FFF2-40B4-BE49-F238E27FC236}">
                <a16:creationId xmlns:a16="http://schemas.microsoft.com/office/drawing/2014/main" xmlns="" id="{00000000-0008-0000-0300-000023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6" name="Oval 62">
            <a:extLst>
              <a:ext uri="{FF2B5EF4-FFF2-40B4-BE49-F238E27FC236}">
                <a16:creationId xmlns:a16="http://schemas.microsoft.com/office/drawing/2014/main" xmlns="" id="{00000000-0008-0000-0300-000024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7" name="Oval 63">
            <a:extLst>
              <a:ext uri="{FF2B5EF4-FFF2-40B4-BE49-F238E27FC236}">
                <a16:creationId xmlns:a16="http://schemas.microsoft.com/office/drawing/2014/main" xmlns="" id="{00000000-0008-0000-0300-000025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8" name="Oval 64">
            <a:extLst>
              <a:ext uri="{FF2B5EF4-FFF2-40B4-BE49-F238E27FC236}">
                <a16:creationId xmlns:a16="http://schemas.microsoft.com/office/drawing/2014/main" xmlns="" id="{00000000-0008-0000-0300-000026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9" name="Oval 65">
            <a:extLst>
              <a:ext uri="{FF2B5EF4-FFF2-40B4-BE49-F238E27FC236}">
                <a16:creationId xmlns:a16="http://schemas.microsoft.com/office/drawing/2014/main" xmlns="" id="{00000000-0008-0000-0300-000027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40" name="Oval 66">
            <a:extLst>
              <a:ext uri="{FF2B5EF4-FFF2-40B4-BE49-F238E27FC236}">
                <a16:creationId xmlns:a16="http://schemas.microsoft.com/office/drawing/2014/main" xmlns="" id="{00000000-0008-0000-0300-000028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41" name="Oval 67">
            <a:extLst>
              <a:ext uri="{FF2B5EF4-FFF2-40B4-BE49-F238E27FC236}">
                <a16:creationId xmlns:a16="http://schemas.microsoft.com/office/drawing/2014/main" xmlns="" id="{00000000-0008-0000-0300-000029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2" name="Oval 68">
            <a:extLst>
              <a:ext uri="{FF2B5EF4-FFF2-40B4-BE49-F238E27FC236}">
                <a16:creationId xmlns:a16="http://schemas.microsoft.com/office/drawing/2014/main" xmlns="" id="{00000000-0008-0000-0300-00002A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3" name="Oval 69">
            <a:extLst>
              <a:ext uri="{FF2B5EF4-FFF2-40B4-BE49-F238E27FC236}">
                <a16:creationId xmlns:a16="http://schemas.microsoft.com/office/drawing/2014/main" xmlns="" id="{00000000-0008-0000-0300-00002B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5</xdr:col>
      <xdr:colOff>152400</xdr:colOff>
      <xdr:row>3</xdr:row>
      <xdr:rowOff>9525</xdr:rowOff>
    </xdr:from>
    <xdr:to>
      <xdr:col>6</xdr:col>
      <xdr:colOff>266682</xdr:colOff>
      <xdr:row>7</xdr:row>
      <xdr:rowOff>123826</xdr:rowOff>
    </xdr:to>
    <xdr:grpSp>
      <xdr:nvGrpSpPr>
        <xdr:cNvPr id="44" name="Group 89">
          <a:extLst>
            <a:ext uri="{FF2B5EF4-FFF2-40B4-BE49-F238E27FC236}">
              <a16:creationId xmlns:a16="http://schemas.microsoft.com/office/drawing/2014/main" xmlns="" id="{00000000-0008-0000-0300-00002C000000}"/>
            </a:ext>
          </a:extLst>
        </xdr:cNvPr>
        <xdr:cNvGrpSpPr>
          <a:grpSpLocks/>
        </xdr:cNvGrpSpPr>
      </xdr:nvGrpSpPr>
      <xdr:grpSpPr bwMode="auto">
        <a:xfrm>
          <a:off x="3019425" y="371475"/>
          <a:ext cx="723882" cy="762001"/>
          <a:chOff x="111280308" y="106475244"/>
          <a:chExt cx="1389054" cy="941228"/>
        </a:xfrm>
        <a:solidFill>
          <a:schemeClr val="accent4">
            <a:lumMod val="60000"/>
            <a:lumOff val="40000"/>
          </a:schemeClr>
        </a:solidFill>
      </xdr:grpSpPr>
      <xdr:sp macro="" textlink="">
        <xdr:nvSpPr>
          <xdr:cNvPr id="45" name="Rectangle 90" hidden="1">
            <a:extLst>
              <a:ext uri="{FF2B5EF4-FFF2-40B4-BE49-F238E27FC236}">
                <a16:creationId xmlns:a16="http://schemas.microsoft.com/office/drawing/2014/main" xmlns="" id="{00000000-0008-0000-0300-00002D000000}"/>
              </a:ext>
            </a:extLst>
          </xdr:cNvPr>
          <xdr:cNvSpPr>
            <a:spLocks noChangeArrowheads="1" noChangeShapeType="1"/>
          </xdr:cNvSpPr>
        </xdr:nvSpPr>
        <xdr:spPr bwMode="auto">
          <a:xfrm>
            <a:off x="111347250" y="106561683"/>
            <a:ext cx="1322112" cy="854789"/>
          </a:xfrm>
          <a:prstGeom prst="rect">
            <a:avLst/>
          </a:prstGeom>
          <a:grpFill/>
          <a:ln w="9525" algn="ctr">
            <a:noFill/>
            <a:round/>
            <a:headEnd/>
            <a:tailEnd/>
          </a:ln>
          <a:effectLst/>
        </xdr:spPr>
      </xdr:sp>
      <xdr:sp macro="" textlink="">
        <xdr:nvSpPr>
          <xdr:cNvPr id="46" name="AutoShape 91">
            <a:extLst>
              <a:ext uri="{FF2B5EF4-FFF2-40B4-BE49-F238E27FC236}">
                <a16:creationId xmlns:a16="http://schemas.microsoft.com/office/drawing/2014/main" xmlns="" id="{00000000-0008-0000-0300-00002E000000}"/>
              </a:ext>
            </a:extLst>
          </xdr:cNvPr>
          <xdr:cNvSpPr>
            <a:spLocks noChangeArrowheads="1" noChangeShapeType="1"/>
          </xdr:cNvSpPr>
        </xdr:nvSpPr>
        <xdr:spPr bwMode="auto">
          <a:xfrm>
            <a:off x="111280308" y="106475244"/>
            <a:ext cx="1322112" cy="854789"/>
          </a:xfrm>
          <a:custGeom>
            <a:avLst/>
            <a:gdLst>
              <a:gd name="G0" fmla="*/ 0 1 2"/>
              <a:gd name="G1" fmla="*/ G0 10763 21600"/>
              <a:gd name="G2" fmla="+- 0 0 G1"/>
              <a:gd name="G3" fmla="+- 0 0 0"/>
              <a:gd name="G4" fmla="+- G0 10800 0"/>
              <a:gd name="G5" fmla="*/ 10763 1 2"/>
              <a:gd name="G6" fmla="+- 10763 0 0"/>
              <a:gd name="G7" fmla="+- G1 G5 G0"/>
              <a:gd name="G8" fmla="+- G7 10800 0"/>
              <a:gd name="G9" fmla="+- G5 10800 0"/>
              <a:gd name="T0" fmla="*/ 0 w 21600"/>
              <a:gd name="T1" fmla="*/ 0 h 21600"/>
              <a:gd name="T2" fmla="*/ 0 w 21600"/>
              <a:gd name="T3" fmla="*/ 10800 h 21600"/>
              <a:gd name="T4" fmla="*/ 0 w 21600"/>
              <a:gd name="T5" fmla="*/ 21600 h 21600"/>
              <a:gd name="T6" fmla="*/ 10800 w 21600"/>
              <a:gd name="T7" fmla="*/ 16182 h 21600"/>
              <a:gd name="T8" fmla="*/ 21600 w 21600"/>
              <a:gd name="T9" fmla="*/ 10763 h 21600"/>
              <a:gd name="T10" fmla="*/ 10800 w 21600"/>
              <a:gd name="T11" fmla="*/ 5382 h 21600"/>
              <a:gd name="T12" fmla="*/ G2 w 21600"/>
              <a:gd name="T13" fmla="*/ G5 h 21600"/>
              <a:gd name="T14" fmla="*/ G4 w 21600"/>
              <a:gd name="T15" fmla="*/ G8 h 21600"/>
            </a:gdLst>
            <a:ahLst/>
            <a:cxnLst>
              <a:cxn ang="0">
                <a:pos x="T0" y="T1"/>
              </a:cxn>
              <a:cxn ang="0">
                <a:pos x="T2" y="T3"/>
              </a:cxn>
              <a:cxn ang="0">
                <a:pos x="T4" y="T5"/>
              </a:cxn>
              <a:cxn ang="0">
                <a:pos x="T6" y="T7"/>
              </a:cxn>
              <a:cxn ang="0">
                <a:pos x="T8" y="T9"/>
              </a:cxn>
              <a:cxn ang="0">
                <a:pos x="T10" y="T11"/>
              </a:cxn>
            </a:cxnLst>
            <a:rect l="T12" t="T13" r="T14" b="T15"/>
            <a:pathLst>
              <a:path w="21600" h="21600">
                <a:moveTo>
                  <a:pt x="0" y="0"/>
                </a:moveTo>
                <a:lnTo>
                  <a:pt x="0" y="21600"/>
                </a:lnTo>
                <a:lnTo>
                  <a:pt x="21600" y="10763"/>
                </a:lnTo>
                <a:close/>
              </a:path>
            </a:pathLst>
          </a:custGeom>
          <a:solidFill>
            <a:schemeClr val="accent6"/>
          </a:solidFill>
          <a:ln w="0" algn="in">
            <a:noFill/>
            <a:miter lim="800000"/>
            <a:headEnd/>
            <a:tailEnd/>
          </a:ln>
          <a:effectLst/>
        </xdr:spPr>
      </xdr:sp>
    </xdr:grpSp>
    <xdr:clientData/>
  </xdr:twoCellAnchor>
  <xdr:oneCellAnchor>
    <xdr:from>
      <xdr:col>9</xdr:col>
      <xdr:colOff>466725</xdr:colOff>
      <xdr:row>60</xdr:row>
      <xdr:rowOff>104775</xdr:rowOff>
    </xdr:from>
    <xdr:ext cx="990600" cy="723899"/>
    <xdr:pic>
      <xdr:nvPicPr>
        <xdr:cNvPr id="47" name="Picture 2">
          <a:extLst>
            <a:ext uri="{FF2B5EF4-FFF2-40B4-BE49-F238E27FC236}">
              <a16:creationId xmlns:a16="http://schemas.microsoft.com/office/drawing/2014/main" xmlns="" id="{00000000-0008-0000-0300-00002F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772150" y="11534775"/>
          <a:ext cx="990600" cy="723899"/>
        </a:xfrm>
        <a:prstGeom prst="rect">
          <a:avLst/>
        </a:prstGeom>
        <a:noFill/>
      </xdr:spPr>
    </xdr:pic>
    <xdr:clientData/>
  </xdr:oneCellAnchor>
  <xdr:twoCellAnchor>
    <xdr:from>
      <xdr:col>3</xdr:col>
      <xdr:colOff>609601</xdr:colOff>
      <xdr:row>14</xdr:row>
      <xdr:rowOff>9528</xdr:rowOff>
    </xdr:from>
    <xdr:to>
      <xdr:col>3</xdr:col>
      <xdr:colOff>619125</xdr:colOff>
      <xdr:row>56</xdr:row>
      <xdr:rowOff>57153</xdr:rowOff>
    </xdr:to>
    <xdr:cxnSp macro="">
      <xdr:nvCxnSpPr>
        <xdr:cNvPr id="48" name="Straight Arrow Connector 47">
          <a:extLst>
            <a:ext uri="{FF2B5EF4-FFF2-40B4-BE49-F238E27FC236}">
              <a16:creationId xmlns:a16="http://schemas.microsoft.com/office/drawing/2014/main" xmlns="" id="{00000000-0008-0000-0300-000030000000}"/>
            </a:ext>
          </a:extLst>
        </xdr:cNvPr>
        <xdr:cNvCxnSpPr/>
      </xdr:nvCxnSpPr>
      <xdr:spPr>
        <a:xfrm flipH="1" flipV="1">
          <a:off x="2209801" y="2676528"/>
          <a:ext cx="9524" cy="8048625"/>
        </a:xfrm>
        <a:prstGeom prst="straightConnector1">
          <a:avLst/>
        </a:prstGeom>
        <a:ln w="38100">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0</xdr:col>
      <xdr:colOff>85725</xdr:colOff>
      <xdr:row>1</xdr:row>
      <xdr:rowOff>66675</xdr:rowOff>
    </xdr:from>
    <xdr:to>
      <xdr:col>5</xdr:col>
      <xdr:colOff>76199</xdr:colOff>
      <xdr:row>8</xdr:row>
      <xdr:rowOff>142875</xdr:rowOff>
    </xdr:to>
    <xdr:sp macro="" textlink="">
      <xdr:nvSpPr>
        <xdr:cNvPr id="49" name="Rounded Rectangle 48">
          <a:extLst>
            <a:ext uri="{FF2B5EF4-FFF2-40B4-BE49-F238E27FC236}">
              <a16:creationId xmlns:a16="http://schemas.microsoft.com/office/drawing/2014/main" xmlns="" id="{00000000-0008-0000-0300-000031000000}"/>
            </a:ext>
          </a:extLst>
        </xdr:cNvPr>
        <xdr:cNvSpPr/>
      </xdr:nvSpPr>
      <xdr:spPr>
        <a:xfrm>
          <a:off x="85725" y="152400"/>
          <a:ext cx="2857499" cy="1162050"/>
        </a:xfrm>
        <a:prstGeom prst="roundRect">
          <a:avLst/>
        </a:prstGeom>
        <a:noFill/>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twoCellAnchor>
    <xdr:from>
      <xdr:col>13</xdr:col>
      <xdr:colOff>161925</xdr:colOff>
      <xdr:row>1</xdr:row>
      <xdr:rowOff>38100</xdr:rowOff>
    </xdr:from>
    <xdr:to>
      <xdr:col>15</xdr:col>
      <xdr:colOff>381000</xdr:colOff>
      <xdr:row>5</xdr:row>
      <xdr:rowOff>104775</xdr:rowOff>
    </xdr:to>
    <xdr:sp macro="" textlink="">
      <xdr:nvSpPr>
        <xdr:cNvPr id="50" name="Left Arrow 49">
          <a:extLst>
            <a:ext uri="{FF2B5EF4-FFF2-40B4-BE49-F238E27FC236}">
              <a16:creationId xmlns:a16="http://schemas.microsoft.com/office/drawing/2014/main" xmlns="" id="{00000000-0008-0000-0300-000032000000}"/>
            </a:ext>
          </a:extLst>
        </xdr:cNvPr>
        <xdr:cNvSpPr/>
      </xdr:nvSpPr>
      <xdr:spPr>
        <a:xfrm>
          <a:off x="7419975" y="228600"/>
          <a:ext cx="1438275" cy="828675"/>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oneCellAnchor>
    <xdr:from>
      <xdr:col>13</xdr:col>
      <xdr:colOff>9524</xdr:colOff>
      <xdr:row>12</xdr:row>
      <xdr:rowOff>47625</xdr:rowOff>
    </xdr:from>
    <xdr:ext cx="409575" cy="323850"/>
    <xdr:pic>
      <xdr:nvPicPr>
        <xdr:cNvPr id="51" name="Picture 2">
          <a:hlinkClick xmlns:r="http://schemas.openxmlformats.org/officeDocument/2006/relationships" r:id="rId6"/>
          <a:extLst>
            <a:ext uri="{FF2B5EF4-FFF2-40B4-BE49-F238E27FC236}">
              <a16:creationId xmlns:a16="http://schemas.microsoft.com/office/drawing/2014/main" xmlns="" id="{00000000-0008-0000-0300-000033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7267574" y="2333625"/>
          <a:ext cx="409575" cy="323850"/>
        </a:xfrm>
        <a:prstGeom prst="rect">
          <a:avLst/>
        </a:prstGeom>
        <a:noFill/>
      </xdr:spPr>
    </xdr:pic>
    <xdr:clientData/>
  </xdr:oneCellAnchor>
  <xdr:oneCellAnchor>
    <xdr:from>
      <xdr:col>13</xdr:col>
      <xdr:colOff>9524</xdr:colOff>
      <xdr:row>20</xdr:row>
      <xdr:rowOff>47625</xdr:rowOff>
    </xdr:from>
    <xdr:ext cx="409575" cy="304800"/>
    <xdr:pic>
      <xdr:nvPicPr>
        <xdr:cNvPr id="52" name="Picture 2">
          <a:hlinkClick xmlns:r="http://schemas.openxmlformats.org/officeDocument/2006/relationships" r:id="rId8"/>
          <a:extLst>
            <a:ext uri="{FF2B5EF4-FFF2-40B4-BE49-F238E27FC236}">
              <a16:creationId xmlns:a16="http://schemas.microsoft.com/office/drawing/2014/main" xmlns="" id="{00000000-0008-0000-0300-000034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7267574" y="3857625"/>
          <a:ext cx="409575" cy="3048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9</xdr:col>
      <xdr:colOff>190172</xdr:colOff>
      <xdr:row>0</xdr:row>
      <xdr:rowOff>21896</xdr:rowOff>
    </xdr:from>
    <xdr:ext cx="948449" cy="503621"/>
    <xdr:pic>
      <xdr:nvPicPr>
        <xdr:cNvPr id="2" name="Picture 1" descr="lic.bmp.jpg">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6146034" y="21896"/>
          <a:ext cx="948449" cy="503621"/>
        </a:xfrm>
        <a:prstGeom prst="rect">
          <a:avLst/>
        </a:prstGeom>
      </xdr:spPr>
    </xdr:pic>
    <xdr:clientData/>
  </xdr:oneCellAnchor>
  <xdr:twoCellAnchor>
    <xdr:from>
      <xdr:col>1</xdr:col>
      <xdr:colOff>200463</xdr:colOff>
      <xdr:row>17</xdr:row>
      <xdr:rowOff>88573</xdr:rowOff>
    </xdr:from>
    <xdr:to>
      <xdr:col>4</xdr:col>
      <xdr:colOff>175171</xdr:colOff>
      <xdr:row>22</xdr:row>
      <xdr:rowOff>65690</xdr:rowOff>
    </xdr:to>
    <xdr:sp macro="" textlink="">
      <xdr:nvSpPr>
        <xdr:cNvPr id="3" name="Flowchart: Alternate Process 2">
          <a:hlinkClick xmlns:r="http://schemas.openxmlformats.org/officeDocument/2006/relationships" r:id="rId2"/>
          <a:extLst>
            <a:ext uri="{FF2B5EF4-FFF2-40B4-BE49-F238E27FC236}">
              <a16:creationId xmlns:a16="http://schemas.microsoft.com/office/drawing/2014/main" xmlns="" id="{00000000-0008-0000-0500-000003000000}"/>
            </a:ext>
          </a:extLst>
        </xdr:cNvPr>
        <xdr:cNvSpPr/>
      </xdr:nvSpPr>
      <xdr:spPr>
        <a:xfrm>
          <a:off x="507015" y="3789090"/>
          <a:ext cx="1912553" cy="820134"/>
        </a:xfrm>
        <a:prstGeom prst="flowChartAlternateProcess">
          <a:avLst/>
        </a:prstGeom>
        <a:solidFill>
          <a:schemeClr val="accent3">
            <a:lumMod val="75000"/>
          </a:schemeClr>
        </a:solidFill>
        <a:scene3d>
          <a:camera prst="orthographicFront"/>
          <a:lightRig rig="threePt" dir="t"/>
        </a:scene3d>
        <a:sp3d>
          <a:bevelT/>
        </a:sp3d>
      </xdr:spPr>
      <xdr:style>
        <a:lnRef idx="1">
          <a:schemeClr val="accent3"/>
        </a:lnRef>
        <a:fillRef idx="3">
          <a:schemeClr val="accent3"/>
        </a:fillRef>
        <a:effectRef idx="2">
          <a:schemeClr val="accent3"/>
        </a:effectRef>
        <a:fontRef idx="minor">
          <a:schemeClr val="lt1"/>
        </a:fontRef>
      </xdr:style>
      <xdr:txBody>
        <a:bodyPr rtlCol="0" anchor="t"/>
        <a:lstStyle/>
        <a:p>
          <a:pPr algn="ctr"/>
          <a:r>
            <a:rPr lang="en-US" sz="1600" b="1"/>
            <a:t>VIEW  REPORT</a:t>
          </a:r>
        </a:p>
      </xdr:txBody>
    </xdr:sp>
    <xdr:clientData/>
  </xdr:twoCellAnchor>
  <xdr:twoCellAnchor>
    <xdr:from>
      <xdr:col>2</xdr:col>
      <xdr:colOff>794627</xdr:colOff>
      <xdr:row>0</xdr:row>
      <xdr:rowOff>73794</xdr:rowOff>
    </xdr:from>
    <xdr:to>
      <xdr:col>8</xdr:col>
      <xdr:colOff>405087</xdr:colOff>
      <xdr:row>0</xdr:row>
      <xdr:rowOff>664344</xdr:rowOff>
    </xdr:to>
    <xdr:sp macro="" textlink="">
      <xdr:nvSpPr>
        <xdr:cNvPr id="4" name="Pentagon 3">
          <a:extLst>
            <a:ext uri="{FF2B5EF4-FFF2-40B4-BE49-F238E27FC236}">
              <a16:creationId xmlns:a16="http://schemas.microsoft.com/office/drawing/2014/main" xmlns="" id="{00000000-0008-0000-0500-000004000000}"/>
            </a:ext>
          </a:extLst>
        </xdr:cNvPr>
        <xdr:cNvSpPr/>
      </xdr:nvSpPr>
      <xdr:spPr>
        <a:xfrm>
          <a:off x="1347077" y="73794"/>
          <a:ext cx="3706210" cy="114300"/>
        </a:xfrm>
        <a:prstGeom prst="homePlate">
          <a:avLst/>
        </a:prstGeom>
        <a:solidFill>
          <a:srgbClr val="008000"/>
        </a:solidFill>
      </xdr:spPr>
      <xdr:style>
        <a:lnRef idx="3">
          <a:schemeClr val="lt1"/>
        </a:lnRef>
        <a:fillRef idx="1">
          <a:schemeClr val="accent4"/>
        </a:fillRef>
        <a:effectRef idx="1">
          <a:schemeClr val="accent4"/>
        </a:effectRef>
        <a:fontRef idx="minor">
          <a:schemeClr val="lt1"/>
        </a:fontRef>
      </xdr:style>
      <xdr:txBody>
        <a:bodyPr vertOverflow="clip" rtlCol="0" anchor="ctr"/>
        <a:lstStyle/>
        <a:p>
          <a:pPr algn="ctr"/>
          <a:r>
            <a:rPr lang="en-US" sz="2000" b="1"/>
            <a:t> VASANTHAM  SMART HEALTH                                                                                </a:t>
          </a:r>
          <a:r>
            <a:rPr lang="en-US" sz="1200" b="1"/>
            <a:t>(A Benefit Illustration for Jeevan</a:t>
          </a:r>
          <a:r>
            <a:rPr lang="en-US" sz="1200" b="1" baseline="0"/>
            <a:t> Arogya</a:t>
          </a:r>
          <a:r>
            <a:rPr lang="en-US" sz="1200" b="1"/>
            <a:t> )</a:t>
          </a:r>
        </a:p>
      </xdr:txBody>
    </xdr:sp>
    <xdr:clientData/>
  </xdr:twoCellAnchor>
  <xdr:oneCellAnchor>
    <xdr:from>
      <xdr:col>15</xdr:col>
      <xdr:colOff>197069</xdr:colOff>
      <xdr:row>0</xdr:row>
      <xdr:rowOff>54742</xdr:rowOff>
    </xdr:from>
    <xdr:ext cx="1970689" cy="1259052"/>
    <xdr:pic>
      <xdr:nvPicPr>
        <xdr:cNvPr id="7" name="Picture 12">
          <a:extLst>
            <a:ext uri="{FF2B5EF4-FFF2-40B4-BE49-F238E27FC236}">
              <a16:creationId xmlns:a16="http://schemas.microsoft.com/office/drawing/2014/main" xmlns="" id="{00000000-0008-0000-0500-000007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9032328" y="54742"/>
          <a:ext cx="1970689" cy="1259052"/>
        </a:xfrm>
        <a:prstGeom prst="snip2DiagRect">
          <a:avLst>
            <a:gd name="adj1" fmla="val 4844"/>
            <a:gd name="adj2" fmla="val 16667"/>
          </a:avLst>
        </a:prstGeom>
        <a:solidFill>
          <a:srgbClr val="FFFFFF">
            <a:shade val="85000"/>
          </a:srgbClr>
        </a:solidFill>
        <a:ln w="88900" cap="sq">
          <a:solidFill>
            <a:srgbClr val="FFFFFF"/>
          </a:solidFill>
          <a:miter lim="800000"/>
        </a:ln>
        <a:effectLst>
          <a:outerShdw blurRad="88900" algn="tl" rotWithShape="0">
            <a:srgbClr val="000000">
              <a:alpha val="45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2</xdr:col>
      <xdr:colOff>112440</xdr:colOff>
      <xdr:row>20</xdr:row>
      <xdr:rowOff>22883</xdr:rowOff>
    </xdr:from>
    <xdr:ext cx="1616729" cy="355599"/>
    <xdr:pic>
      <xdr:nvPicPr>
        <xdr:cNvPr id="8" name="Picture 8">
          <a:hlinkClick xmlns:r="http://schemas.openxmlformats.org/officeDocument/2006/relationships" r:id="rId4"/>
          <a:extLst>
            <a:ext uri="{FF2B5EF4-FFF2-40B4-BE49-F238E27FC236}">
              <a16:creationId xmlns:a16="http://schemas.microsoft.com/office/drawing/2014/main" xmlns="" id="{00000000-0008-0000-0500-000008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670802" y="4150383"/>
          <a:ext cx="1616729" cy="355599"/>
        </a:xfrm>
        <a:prstGeom prst="rect">
          <a:avLst/>
        </a:prstGeom>
        <a:noFill/>
      </xdr:spPr>
    </xdr:pic>
    <xdr:clientData/>
  </xdr:oneCellAnchor>
  <xdr:twoCellAnchor>
    <xdr:from>
      <xdr:col>1</xdr:col>
      <xdr:colOff>87585</xdr:colOff>
      <xdr:row>0</xdr:row>
      <xdr:rowOff>10949</xdr:rowOff>
    </xdr:from>
    <xdr:to>
      <xdr:col>2</xdr:col>
      <xdr:colOff>746890</xdr:colOff>
      <xdr:row>0</xdr:row>
      <xdr:rowOff>711639</xdr:rowOff>
    </xdr:to>
    <xdr:pic>
      <xdr:nvPicPr>
        <xdr:cNvPr id="10" name="image02.gif">
          <a:extLst>
            <a:ext uri="{FF2B5EF4-FFF2-40B4-BE49-F238E27FC236}">
              <a16:creationId xmlns:a16="http://schemas.microsoft.com/office/drawing/2014/main" xmlns="" id="{00000000-0008-0000-0500-00000A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116723" y="10949"/>
          <a:ext cx="911115" cy="700690"/>
        </a:xfrm>
        <a:prstGeom prst="ellipse">
          <a:avLst/>
        </a:prstGeom>
        <a:ln w="6350" cap="rnd" cmpd="dbl">
          <a:solidFill>
            <a:srgbClr val="FFFF00"/>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xdr:spPr>
    </xdr:pic>
    <xdr:clientData/>
  </xdr:twoCellAnchor>
  <xdr:twoCellAnchor>
    <xdr:from>
      <xdr:col>8</xdr:col>
      <xdr:colOff>361293</xdr:colOff>
      <xdr:row>18</xdr:row>
      <xdr:rowOff>10949</xdr:rowOff>
    </xdr:from>
    <xdr:to>
      <xdr:col>11</xdr:col>
      <xdr:colOff>554967</xdr:colOff>
      <xdr:row>22</xdr:row>
      <xdr:rowOff>97549</xdr:rowOff>
    </xdr:to>
    <xdr:sp macro="" textlink="">
      <xdr:nvSpPr>
        <xdr:cNvPr id="15" name="Flowchart: Alternate Process 14">
          <a:hlinkClick xmlns:r="http://schemas.openxmlformats.org/officeDocument/2006/relationships" r:id="rId7"/>
          <a:extLst>
            <a:ext uri="{FF2B5EF4-FFF2-40B4-BE49-F238E27FC236}">
              <a16:creationId xmlns:a16="http://schemas.microsoft.com/office/drawing/2014/main" xmlns="" id="{00000000-0008-0000-0500-00000F000000}"/>
            </a:ext>
          </a:extLst>
        </xdr:cNvPr>
        <xdr:cNvSpPr/>
      </xdr:nvSpPr>
      <xdr:spPr>
        <a:xfrm>
          <a:off x="5025259" y="3820949"/>
          <a:ext cx="1912553" cy="820134"/>
        </a:xfrm>
        <a:prstGeom prst="flowChartAlternateProcess">
          <a:avLst/>
        </a:prstGeom>
        <a:solidFill>
          <a:srgbClr val="BE1222"/>
        </a:solidFill>
        <a:scene3d>
          <a:camera prst="orthographicFront"/>
          <a:lightRig rig="threePt" dir="t"/>
        </a:scene3d>
        <a:sp3d>
          <a:bevelT/>
        </a:sp3d>
      </xdr:spPr>
      <xdr:style>
        <a:lnRef idx="1">
          <a:schemeClr val="accent3"/>
        </a:lnRef>
        <a:fillRef idx="3">
          <a:schemeClr val="accent3"/>
        </a:fillRef>
        <a:effectRef idx="2">
          <a:schemeClr val="accent3"/>
        </a:effectRef>
        <a:fontRef idx="minor">
          <a:schemeClr val="lt1"/>
        </a:fontRef>
      </xdr:style>
      <xdr:txBody>
        <a:bodyPr rtlCol="0" anchor="t"/>
        <a:lstStyle/>
        <a:p>
          <a:pPr algn="ctr"/>
          <a:r>
            <a:rPr lang="en-US" sz="1600" b="1"/>
            <a:t>GO</a:t>
          </a:r>
          <a:r>
            <a:rPr lang="en-US" sz="1600" b="1" baseline="0"/>
            <a:t> TO HOME</a:t>
          </a:r>
          <a:endParaRPr lang="en-US" sz="1600" b="1"/>
        </a:p>
      </xdr:txBody>
    </xdr:sp>
    <xdr:clientData/>
  </xdr:twoCellAnchor>
  <xdr:oneCellAnchor>
    <xdr:from>
      <xdr:col>8</xdr:col>
      <xdr:colOff>459829</xdr:colOff>
      <xdr:row>20</xdr:row>
      <xdr:rowOff>87586</xdr:rowOff>
    </xdr:from>
    <xdr:ext cx="1756979" cy="333703"/>
    <xdr:pic>
      <xdr:nvPicPr>
        <xdr:cNvPr id="19" name="Picture 2">
          <a:hlinkClick xmlns:r="http://schemas.openxmlformats.org/officeDocument/2006/relationships" r:id="rId8"/>
          <a:extLst>
            <a:ext uri="{FF2B5EF4-FFF2-40B4-BE49-F238E27FC236}">
              <a16:creationId xmlns:a16="http://schemas.microsoft.com/office/drawing/2014/main" xmlns="" id="{00000000-0008-0000-0500-000013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5123795" y="4215086"/>
          <a:ext cx="1756979" cy="333703"/>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twoCellAnchor>
    <xdr:from>
      <xdr:col>1</xdr:col>
      <xdr:colOff>95251</xdr:colOff>
      <xdr:row>0</xdr:row>
      <xdr:rowOff>133350</xdr:rowOff>
    </xdr:from>
    <xdr:to>
      <xdr:col>3</xdr:col>
      <xdr:colOff>457200</xdr:colOff>
      <xdr:row>4</xdr:row>
      <xdr:rowOff>28576</xdr:rowOff>
    </xdr:to>
    <xdr:pic>
      <xdr:nvPicPr>
        <xdr:cNvPr id="2" name="image00.jpg">
          <a:extLst>
            <a:ext uri="{FF2B5EF4-FFF2-40B4-BE49-F238E27FC236}">
              <a16:creationId xmlns:a16="http://schemas.microsoft.com/office/drawing/2014/main" xmlns="" id="{00000000-0008-0000-0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1" y="133350"/>
          <a:ext cx="1123949" cy="695326"/>
        </a:xfrm>
        <a:prstGeom prst="rect">
          <a:avLst/>
        </a:prstGeom>
        <a:noFill/>
        <a:ln w="9525">
          <a:noFill/>
          <a:round/>
          <a:headEnd/>
          <a:tailEnd/>
        </a:ln>
      </xdr:spPr>
    </xdr:pic>
    <xdr:clientData/>
  </xdr:twoCellAnchor>
  <xdr:twoCellAnchor>
    <xdr:from>
      <xdr:col>2</xdr:col>
      <xdr:colOff>1</xdr:colOff>
      <xdr:row>6</xdr:row>
      <xdr:rowOff>19050</xdr:rowOff>
    </xdr:from>
    <xdr:to>
      <xdr:col>6</xdr:col>
      <xdr:colOff>628650</xdr:colOff>
      <xdr:row>10</xdr:row>
      <xdr:rowOff>238125</xdr:rowOff>
    </xdr:to>
    <xdr:sp macro="" textlink="">
      <xdr:nvSpPr>
        <xdr:cNvPr id="3" name="Rounded Rectangle 2">
          <a:extLst>
            <a:ext uri="{FF2B5EF4-FFF2-40B4-BE49-F238E27FC236}">
              <a16:creationId xmlns:a16="http://schemas.microsoft.com/office/drawing/2014/main" xmlns="" id="{00000000-0008-0000-0600-000003000000}"/>
            </a:ext>
          </a:extLst>
        </xdr:cNvPr>
        <xdr:cNvSpPr/>
      </xdr:nvSpPr>
      <xdr:spPr bwMode="auto">
        <a:xfrm>
          <a:off x="314326" y="1162050"/>
          <a:ext cx="3362324" cy="933450"/>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8</xdr:col>
      <xdr:colOff>85723</xdr:colOff>
      <xdr:row>15</xdr:row>
      <xdr:rowOff>190500</xdr:rowOff>
    </xdr:from>
    <xdr:to>
      <xdr:col>10</xdr:col>
      <xdr:colOff>276225</xdr:colOff>
      <xdr:row>22</xdr:row>
      <xdr:rowOff>47625</xdr:rowOff>
    </xdr:to>
    <xdr:sp macro="" textlink="">
      <xdr:nvSpPr>
        <xdr:cNvPr id="4" name="16-Point Star 3">
          <a:extLst>
            <a:ext uri="{FF2B5EF4-FFF2-40B4-BE49-F238E27FC236}">
              <a16:creationId xmlns:a16="http://schemas.microsoft.com/office/drawing/2014/main" xmlns="" id="{00000000-0008-0000-0600-000004000000}"/>
            </a:ext>
          </a:extLst>
        </xdr:cNvPr>
        <xdr:cNvSpPr/>
      </xdr:nvSpPr>
      <xdr:spPr bwMode="auto">
        <a:xfrm>
          <a:off x="4190998" y="3048000"/>
          <a:ext cx="1514477" cy="1190625"/>
        </a:xfrm>
        <a:prstGeom prst="star16">
          <a:avLst/>
        </a:prstGeom>
        <a:ln>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18288" tIns="0" rIns="0" bIns="0" rtlCol="0" anchor="ctr" upright="1"/>
        <a:lstStyle/>
        <a:p>
          <a:pPr algn="ctr"/>
          <a:r>
            <a:rPr lang="en-US" sz="1200" b="1">
              <a:solidFill>
                <a:srgbClr val="FF0000"/>
              </a:solidFill>
              <a:latin typeface="+mn-lt"/>
              <a:ea typeface="+mn-ea"/>
              <a:cs typeface="+mn-cs"/>
            </a:rPr>
            <a:t>WITH             RISK</a:t>
          </a:r>
          <a:r>
            <a:rPr lang="en-US" sz="1200" b="1" baseline="0">
              <a:solidFill>
                <a:srgbClr val="FF0000"/>
              </a:solidFill>
              <a:latin typeface="+mn-lt"/>
              <a:ea typeface="+mn-ea"/>
              <a:cs typeface="+mn-cs"/>
            </a:rPr>
            <a:t> COVERAGE</a:t>
          </a:r>
        </a:p>
        <a:p>
          <a:pPr algn="ctr"/>
          <a:endParaRPr lang="en-US" sz="1200" b="1">
            <a:solidFill>
              <a:srgbClr val="FF0000"/>
            </a:solidFill>
          </a:endParaRPr>
        </a:p>
        <a:p>
          <a:pPr algn="ctr"/>
          <a:endParaRPr lang="en-US" sz="1100"/>
        </a:p>
      </xdr:txBody>
    </xdr:sp>
    <xdr:clientData/>
  </xdr:twoCellAnchor>
  <xdr:twoCellAnchor>
    <xdr:from>
      <xdr:col>8</xdr:col>
      <xdr:colOff>47626</xdr:colOff>
      <xdr:row>6</xdr:row>
      <xdr:rowOff>47625</xdr:rowOff>
    </xdr:from>
    <xdr:to>
      <xdr:col>11</xdr:col>
      <xdr:colOff>657225</xdr:colOff>
      <xdr:row>9</xdr:row>
      <xdr:rowOff>276225</xdr:rowOff>
    </xdr:to>
    <xdr:sp macro="" textlink="">
      <xdr:nvSpPr>
        <xdr:cNvPr id="5" name="Rounded Rectangle 4">
          <a:extLst>
            <a:ext uri="{FF2B5EF4-FFF2-40B4-BE49-F238E27FC236}">
              <a16:creationId xmlns:a16="http://schemas.microsoft.com/office/drawing/2014/main" xmlns="" id="{00000000-0008-0000-0600-000005000000}"/>
            </a:ext>
          </a:extLst>
        </xdr:cNvPr>
        <xdr:cNvSpPr/>
      </xdr:nvSpPr>
      <xdr:spPr>
        <a:xfrm>
          <a:off x="4152901" y="1190625"/>
          <a:ext cx="2857499" cy="714375"/>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oneCellAnchor>
    <xdr:from>
      <xdr:col>8</xdr:col>
      <xdr:colOff>28575</xdr:colOff>
      <xdr:row>23</xdr:row>
      <xdr:rowOff>47625</xdr:rowOff>
    </xdr:from>
    <xdr:ext cx="2914650" cy="3762375"/>
    <xdr:pic>
      <xdr:nvPicPr>
        <xdr:cNvPr id="6" name="Picture 2">
          <a:extLst>
            <a:ext uri="{FF2B5EF4-FFF2-40B4-BE49-F238E27FC236}">
              <a16:creationId xmlns:a16="http://schemas.microsoft.com/office/drawing/2014/main" xmlns="" id="{00000000-0008-0000-0600-000006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133850" y="4429125"/>
          <a:ext cx="2914650" cy="3762375"/>
        </a:xfrm>
        <a:prstGeom prst="rect">
          <a:avLst/>
        </a:prstGeom>
        <a:noFill/>
      </xdr:spPr>
    </xdr:pic>
    <xdr:clientData/>
  </xdr:oneCellAnchor>
  <xdr:twoCellAnchor>
    <xdr:from>
      <xdr:col>8</xdr:col>
      <xdr:colOff>57150</xdr:colOff>
      <xdr:row>46</xdr:row>
      <xdr:rowOff>123824</xdr:rowOff>
    </xdr:from>
    <xdr:to>
      <xdr:col>11</xdr:col>
      <xdr:colOff>857250</xdr:colOff>
      <xdr:row>53</xdr:row>
      <xdr:rowOff>171449</xdr:rowOff>
    </xdr:to>
    <xdr:sp macro="" textlink="">
      <xdr:nvSpPr>
        <xdr:cNvPr id="7" name="Round Diagonal Corner Rectangle 6">
          <a:extLst>
            <a:ext uri="{FF2B5EF4-FFF2-40B4-BE49-F238E27FC236}">
              <a16:creationId xmlns:a16="http://schemas.microsoft.com/office/drawing/2014/main" xmlns="" id="{00000000-0008-0000-0600-000007000000}"/>
            </a:ext>
          </a:extLst>
        </xdr:cNvPr>
        <xdr:cNvSpPr/>
      </xdr:nvSpPr>
      <xdr:spPr>
        <a:xfrm>
          <a:off x="4162425" y="8524874"/>
          <a:ext cx="3048000" cy="1323975"/>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8</xdr:col>
      <xdr:colOff>133350</xdr:colOff>
      <xdr:row>47</xdr:row>
      <xdr:rowOff>171450</xdr:rowOff>
    </xdr:from>
    <xdr:to>
      <xdr:col>8</xdr:col>
      <xdr:colOff>514350</xdr:colOff>
      <xdr:row>53</xdr:row>
      <xdr:rowOff>66675</xdr:rowOff>
    </xdr:to>
    <xdr:grpSp>
      <xdr:nvGrpSpPr>
        <xdr:cNvPr id="8" name="Group 38">
          <a:extLst>
            <a:ext uri="{FF2B5EF4-FFF2-40B4-BE49-F238E27FC236}">
              <a16:creationId xmlns:a16="http://schemas.microsoft.com/office/drawing/2014/main" xmlns="" id="{00000000-0008-0000-0600-000008000000}"/>
            </a:ext>
          </a:extLst>
        </xdr:cNvPr>
        <xdr:cNvGrpSpPr>
          <a:grpSpLocks/>
        </xdr:cNvGrpSpPr>
      </xdr:nvGrpSpPr>
      <xdr:grpSpPr bwMode="auto">
        <a:xfrm>
          <a:off x="4238625" y="8763000"/>
          <a:ext cx="381000" cy="981075"/>
          <a:chOff x="112842675" y="108899325"/>
          <a:chExt cx="762763" cy="1285875"/>
        </a:xfrm>
      </xdr:grpSpPr>
      <xdr:sp macro="" textlink="">
        <xdr:nvSpPr>
          <xdr:cNvPr id="9" name="Oval 39">
            <a:extLst>
              <a:ext uri="{FF2B5EF4-FFF2-40B4-BE49-F238E27FC236}">
                <a16:creationId xmlns:a16="http://schemas.microsoft.com/office/drawing/2014/main" xmlns="" id="{00000000-0008-0000-0600-000009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0" name="Oval 40">
            <a:extLst>
              <a:ext uri="{FF2B5EF4-FFF2-40B4-BE49-F238E27FC236}">
                <a16:creationId xmlns:a16="http://schemas.microsoft.com/office/drawing/2014/main" xmlns="" id="{00000000-0008-0000-0600-00000A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1" name="Oval 41">
            <a:extLst>
              <a:ext uri="{FF2B5EF4-FFF2-40B4-BE49-F238E27FC236}">
                <a16:creationId xmlns:a16="http://schemas.microsoft.com/office/drawing/2014/main" xmlns="" id="{00000000-0008-0000-0600-00000B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2" name="Oval 42">
            <a:extLst>
              <a:ext uri="{FF2B5EF4-FFF2-40B4-BE49-F238E27FC236}">
                <a16:creationId xmlns:a16="http://schemas.microsoft.com/office/drawing/2014/main" xmlns="" id="{00000000-0008-0000-0600-00000C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3" name="Oval 43">
            <a:extLst>
              <a:ext uri="{FF2B5EF4-FFF2-40B4-BE49-F238E27FC236}">
                <a16:creationId xmlns:a16="http://schemas.microsoft.com/office/drawing/2014/main" xmlns="" id="{00000000-0008-0000-0600-00000D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4" name="Oval 44">
            <a:extLst>
              <a:ext uri="{FF2B5EF4-FFF2-40B4-BE49-F238E27FC236}">
                <a16:creationId xmlns:a16="http://schemas.microsoft.com/office/drawing/2014/main" xmlns="" id="{00000000-0008-0000-0600-00000E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5" name="Oval 45">
            <a:extLst>
              <a:ext uri="{FF2B5EF4-FFF2-40B4-BE49-F238E27FC236}">
                <a16:creationId xmlns:a16="http://schemas.microsoft.com/office/drawing/2014/main" xmlns="" id="{00000000-0008-0000-0600-00000F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6" name="Oval 46">
            <a:extLst>
              <a:ext uri="{FF2B5EF4-FFF2-40B4-BE49-F238E27FC236}">
                <a16:creationId xmlns:a16="http://schemas.microsoft.com/office/drawing/2014/main" xmlns="" id="{00000000-0008-0000-0600-000010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7" name="Oval 47">
            <a:extLst>
              <a:ext uri="{FF2B5EF4-FFF2-40B4-BE49-F238E27FC236}">
                <a16:creationId xmlns:a16="http://schemas.microsoft.com/office/drawing/2014/main" xmlns="" id="{00000000-0008-0000-0600-000011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18" name="Oval 48">
            <a:extLst>
              <a:ext uri="{FF2B5EF4-FFF2-40B4-BE49-F238E27FC236}">
                <a16:creationId xmlns:a16="http://schemas.microsoft.com/office/drawing/2014/main" xmlns="" id="{00000000-0008-0000-0600-000012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19" name="Oval 49">
            <a:extLst>
              <a:ext uri="{FF2B5EF4-FFF2-40B4-BE49-F238E27FC236}">
                <a16:creationId xmlns:a16="http://schemas.microsoft.com/office/drawing/2014/main" xmlns="" id="{00000000-0008-0000-0600-000013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0" name="Oval 50">
            <a:extLst>
              <a:ext uri="{FF2B5EF4-FFF2-40B4-BE49-F238E27FC236}">
                <a16:creationId xmlns:a16="http://schemas.microsoft.com/office/drawing/2014/main" xmlns="" id="{00000000-0008-0000-0600-000014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1" name="Oval 51">
            <a:extLst>
              <a:ext uri="{FF2B5EF4-FFF2-40B4-BE49-F238E27FC236}">
                <a16:creationId xmlns:a16="http://schemas.microsoft.com/office/drawing/2014/main" xmlns="" id="{00000000-0008-0000-0600-000015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2" name="Oval 52">
            <a:extLst>
              <a:ext uri="{FF2B5EF4-FFF2-40B4-BE49-F238E27FC236}">
                <a16:creationId xmlns:a16="http://schemas.microsoft.com/office/drawing/2014/main" xmlns="" id="{00000000-0008-0000-0600-000016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3" name="Oval 53">
            <a:extLst>
              <a:ext uri="{FF2B5EF4-FFF2-40B4-BE49-F238E27FC236}">
                <a16:creationId xmlns:a16="http://schemas.microsoft.com/office/drawing/2014/main" xmlns="" id="{00000000-0008-0000-0600-000017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4" name="Oval 54">
            <a:extLst>
              <a:ext uri="{FF2B5EF4-FFF2-40B4-BE49-F238E27FC236}">
                <a16:creationId xmlns:a16="http://schemas.microsoft.com/office/drawing/2014/main" xmlns="" id="{00000000-0008-0000-0600-000018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5" name="Oval 55">
            <a:extLst>
              <a:ext uri="{FF2B5EF4-FFF2-40B4-BE49-F238E27FC236}">
                <a16:creationId xmlns:a16="http://schemas.microsoft.com/office/drawing/2014/main" xmlns="" id="{00000000-0008-0000-0600-000019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6" name="Oval 56">
            <a:extLst>
              <a:ext uri="{FF2B5EF4-FFF2-40B4-BE49-F238E27FC236}">
                <a16:creationId xmlns:a16="http://schemas.microsoft.com/office/drawing/2014/main" xmlns="" id="{00000000-0008-0000-0600-00001A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7" name="Oval 57">
            <a:extLst>
              <a:ext uri="{FF2B5EF4-FFF2-40B4-BE49-F238E27FC236}">
                <a16:creationId xmlns:a16="http://schemas.microsoft.com/office/drawing/2014/main" xmlns="" id="{00000000-0008-0000-0600-00001B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28" name="Oval 58">
            <a:extLst>
              <a:ext uri="{FF2B5EF4-FFF2-40B4-BE49-F238E27FC236}">
                <a16:creationId xmlns:a16="http://schemas.microsoft.com/office/drawing/2014/main" xmlns="" id="{00000000-0008-0000-0600-00001C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29" name="Oval 59">
            <a:extLst>
              <a:ext uri="{FF2B5EF4-FFF2-40B4-BE49-F238E27FC236}">
                <a16:creationId xmlns:a16="http://schemas.microsoft.com/office/drawing/2014/main" xmlns="" id="{00000000-0008-0000-0600-00001D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0" name="Oval 60">
            <a:extLst>
              <a:ext uri="{FF2B5EF4-FFF2-40B4-BE49-F238E27FC236}">
                <a16:creationId xmlns:a16="http://schemas.microsoft.com/office/drawing/2014/main" xmlns="" id="{00000000-0008-0000-0600-00001E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1" name="Oval 61">
            <a:extLst>
              <a:ext uri="{FF2B5EF4-FFF2-40B4-BE49-F238E27FC236}">
                <a16:creationId xmlns:a16="http://schemas.microsoft.com/office/drawing/2014/main" xmlns="" id="{00000000-0008-0000-0600-00001F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2" name="Oval 62">
            <a:extLst>
              <a:ext uri="{FF2B5EF4-FFF2-40B4-BE49-F238E27FC236}">
                <a16:creationId xmlns:a16="http://schemas.microsoft.com/office/drawing/2014/main" xmlns="" id="{00000000-0008-0000-0600-000020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3" name="Oval 63">
            <a:extLst>
              <a:ext uri="{FF2B5EF4-FFF2-40B4-BE49-F238E27FC236}">
                <a16:creationId xmlns:a16="http://schemas.microsoft.com/office/drawing/2014/main" xmlns="" id="{00000000-0008-0000-0600-000021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4" name="Oval 64">
            <a:extLst>
              <a:ext uri="{FF2B5EF4-FFF2-40B4-BE49-F238E27FC236}">
                <a16:creationId xmlns:a16="http://schemas.microsoft.com/office/drawing/2014/main" xmlns="" id="{00000000-0008-0000-0600-000022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5" name="Oval 65">
            <a:extLst>
              <a:ext uri="{FF2B5EF4-FFF2-40B4-BE49-F238E27FC236}">
                <a16:creationId xmlns:a16="http://schemas.microsoft.com/office/drawing/2014/main" xmlns="" id="{00000000-0008-0000-0600-000023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6" name="Oval 66">
            <a:extLst>
              <a:ext uri="{FF2B5EF4-FFF2-40B4-BE49-F238E27FC236}">
                <a16:creationId xmlns:a16="http://schemas.microsoft.com/office/drawing/2014/main" xmlns="" id="{00000000-0008-0000-0600-000024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7" name="Oval 67">
            <a:extLst>
              <a:ext uri="{FF2B5EF4-FFF2-40B4-BE49-F238E27FC236}">
                <a16:creationId xmlns:a16="http://schemas.microsoft.com/office/drawing/2014/main" xmlns="" id="{00000000-0008-0000-0600-000025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38" name="Oval 68">
            <a:extLst>
              <a:ext uri="{FF2B5EF4-FFF2-40B4-BE49-F238E27FC236}">
                <a16:creationId xmlns:a16="http://schemas.microsoft.com/office/drawing/2014/main" xmlns="" id="{00000000-0008-0000-0600-000026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39" name="Oval 69">
            <a:extLst>
              <a:ext uri="{FF2B5EF4-FFF2-40B4-BE49-F238E27FC236}">
                <a16:creationId xmlns:a16="http://schemas.microsoft.com/office/drawing/2014/main" xmlns="" id="{00000000-0008-0000-0600-000027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4</xdr:col>
      <xdr:colOff>371475</xdr:colOff>
      <xdr:row>0</xdr:row>
      <xdr:rowOff>104775</xdr:rowOff>
    </xdr:from>
    <xdr:to>
      <xdr:col>8</xdr:col>
      <xdr:colOff>66675</xdr:colOff>
      <xdr:row>2</xdr:row>
      <xdr:rowOff>0</xdr:rowOff>
    </xdr:to>
    <xdr:pic>
      <xdr:nvPicPr>
        <xdr:cNvPr id="40" name="Picture 39">
          <a:extLst>
            <a:ext uri="{FF2B5EF4-FFF2-40B4-BE49-F238E27FC236}">
              <a16:creationId xmlns:a16="http://schemas.microsoft.com/office/drawing/2014/main" xmlns="" id="{00000000-0008-0000-0600-000028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981200" y="104775"/>
          <a:ext cx="2190750" cy="266700"/>
        </a:xfrm>
        <a:prstGeom prst="rect">
          <a:avLst/>
        </a:prstGeom>
        <a:noFill/>
        <a:ln w="9525">
          <a:noFill/>
          <a:round/>
          <a:headEnd/>
          <a:tailEnd/>
        </a:ln>
        <a:effectLst/>
      </xdr:spPr>
    </xdr:pic>
    <xdr:clientData/>
  </xdr:twoCellAnchor>
  <xdr:twoCellAnchor>
    <xdr:from>
      <xdr:col>3</xdr:col>
      <xdr:colOff>428625</xdr:colOff>
      <xdr:row>2</xdr:row>
      <xdr:rowOff>0</xdr:rowOff>
    </xdr:from>
    <xdr:to>
      <xdr:col>10</xdr:col>
      <xdr:colOff>19049</xdr:colOff>
      <xdr:row>3</xdr:row>
      <xdr:rowOff>85726</xdr:rowOff>
    </xdr:to>
    <xdr:pic>
      <xdr:nvPicPr>
        <xdr:cNvPr id="41" name="Picture 40">
          <a:extLst>
            <a:ext uri="{FF2B5EF4-FFF2-40B4-BE49-F238E27FC236}">
              <a16:creationId xmlns:a16="http://schemas.microsoft.com/office/drawing/2014/main" xmlns="" id="{00000000-0008-0000-0600-00002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190625" y="371475"/>
          <a:ext cx="4257674" cy="285751"/>
        </a:xfrm>
        <a:prstGeom prst="rect">
          <a:avLst/>
        </a:prstGeom>
        <a:noFill/>
        <a:ln w="9525">
          <a:noFill/>
          <a:round/>
          <a:headEnd/>
          <a:tailEnd/>
        </a:ln>
        <a:effectLst/>
      </xdr:spPr>
    </xdr:pic>
    <xdr:clientData/>
  </xdr:twoCellAnchor>
  <xdr:oneCellAnchor>
    <xdr:from>
      <xdr:col>12</xdr:col>
      <xdr:colOff>28575</xdr:colOff>
      <xdr:row>7</xdr:row>
      <xdr:rowOff>66676</xdr:rowOff>
    </xdr:from>
    <xdr:ext cx="361949" cy="295275"/>
    <xdr:pic>
      <xdr:nvPicPr>
        <xdr:cNvPr id="42" name="Picture 2">
          <a:hlinkClick xmlns:r="http://schemas.openxmlformats.org/officeDocument/2006/relationships" r:id="rId5"/>
          <a:extLst>
            <a:ext uri="{FF2B5EF4-FFF2-40B4-BE49-F238E27FC236}">
              <a16:creationId xmlns:a16="http://schemas.microsoft.com/office/drawing/2014/main" xmlns="" id="{00000000-0008-0000-0600-00002A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248525" y="1400176"/>
          <a:ext cx="361949" cy="295275"/>
        </a:xfrm>
        <a:prstGeom prst="rect">
          <a:avLst/>
        </a:prstGeom>
        <a:noFill/>
      </xdr:spPr>
    </xdr:pic>
    <xdr:clientData/>
  </xdr:oneCellAnchor>
  <xdr:oneCellAnchor>
    <xdr:from>
      <xdr:col>12</xdr:col>
      <xdr:colOff>28575</xdr:colOff>
      <xdr:row>14</xdr:row>
      <xdr:rowOff>66676</xdr:rowOff>
    </xdr:from>
    <xdr:ext cx="361949" cy="266700"/>
    <xdr:pic>
      <xdr:nvPicPr>
        <xdr:cNvPr id="43" name="Picture 2">
          <a:hlinkClick xmlns:r="http://schemas.openxmlformats.org/officeDocument/2006/relationships" r:id="rId7"/>
          <a:extLst>
            <a:ext uri="{FF2B5EF4-FFF2-40B4-BE49-F238E27FC236}">
              <a16:creationId xmlns:a16="http://schemas.microsoft.com/office/drawing/2014/main" xmlns="" id="{00000000-0008-0000-0600-00002B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7248525" y="2733676"/>
          <a:ext cx="361949" cy="266700"/>
        </a:xfrm>
        <a:prstGeom prst="rect">
          <a:avLst/>
        </a:prstGeom>
        <a:noFill/>
      </xdr:spPr>
    </xdr:pic>
    <xdr:clientData/>
  </xdr:oneCellAnchor>
  <xdr:twoCellAnchor>
    <xdr:from>
      <xdr:col>12</xdr:col>
      <xdr:colOff>114300</xdr:colOff>
      <xdr:row>0</xdr:row>
      <xdr:rowOff>0</xdr:rowOff>
    </xdr:from>
    <xdr:to>
      <xdr:col>14</xdr:col>
      <xdr:colOff>333375</xdr:colOff>
      <xdr:row>3</xdr:row>
      <xdr:rowOff>95250</xdr:rowOff>
    </xdr:to>
    <xdr:sp macro="" textlink="">
      <xdr:nvSpPr>
        <xdr:cNvPr id="44" name="Left Arrow 43">
          <a:extLst>
            <a:ext uri="{FF2B5EF4-FFF2-40B4-BE49-F238E27FC236}">
              <a16:creationId xmlns:a16="http://schemas.microsoft.com/office/drawing/2014/main" xmlns="" id="{00000000-0008-0000-0600-00002C000000}"/>
            </a:ext>
          </a:extLst>
        </xdr:cNvPr>
        <xdr:cNvSpPr/>
      </xdr:nvSpPr>
      <xdr:spPr>
        <a:xfrm>
          <a:off x="7334250" y="0"/>
          <a:ext cx="1438275" cy="6667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152400</xdr:colOff>
      <xdr:row>7</xdr:row>
      <xdr:rowOff>114300</xdr:rowOff>
    </xdr:from>
    <xdr:to>
      <xdr:col>2</xdr:col>
      <xdr:colOff>323850</xdr:colOff>
      <xdr:row>8</xdr:row>
      <xdr:rowOff>66675</xdr:rowOff>
    </xdr:to>
    <xdr:sp macro="" textlink="">
      <xdr:nvSpPr>
        <xdr:cNvPr id="45" name="Smiley Face 44">
          <a:extLst>
            <a:ext uri="{FF2B5EF4-FFF2-40B4-BE49-F238E27FC236}">
              <a16:creationId xmlns:a16="http://schemas.microsoft.com/office/drawing/2014/main" xmlns="" id="{00000000-0008-0000-0600-00002D000000}"/>
            </a:ext>
          </a:extLst>
        </xdr:cNvPr>
        <xdr:cNvSpPr/>
      </xdr:nvSpPr>
      <xdr:spPr>
        <a:xfrm>
          <a:off x="466725" y="1447800"/>
          <a:ext cx="171450" cy="142875"/>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rtlCol="0" anchor="ctr"/>
        <a:lstStyle/>
        <a:p>
          <a:pPr algn="ctr"/>
          <a:endParaRPr lang="en-US" sz="1100"/>
        </a:p>
      </xdr:txBody>
    </xdr:sp>
    <xdr:clientData/>
  </xdr:twoCellAnchor>
  <xdr:twoCellAnchor>
    <xdr:from>
      <xdr:col>6</xdr:col>
      <xdr:colOff>247650</xdr:colOff>
      <xdr:row>7</xdr:row>
      <xdr:rowOff>142875</xdr:rowOff>
    </xdr:from>
    <xdr:to>
      <xdr:col>6</xdr:col>
      <xdr:colOff>419100</xdr:colOff>
      <xdr:row>8</xdr:row>
      <xdr:rowOff>95250</xdr:rowOff>
    </xdr:to>
    <xdr:sp macro="" textlink="">
      <xdr:nvSpPr>
        <xdr:cNvPr id="46" name="Smiley Face 45">
          <a:extLst>
            <a:ext uri="{FF2B5EF4-FFF2-40B4-BE49-F238E27FC236}">
              <a16:creationId xmlns:a16="http://schemas.microsoft.com/office/drawing/2014/main" xmlns="" id="{00000000-0008-0000-0600-00002E000000}"/>
            </a:ext>
          </a:extLst>
        </xdr:cNvPr>
        <xdr:cNvSpPr/>
      </xdr:nvSpPr>
      <xdr:spPr>
        <a:xfrm>
          <a:off x="3295650" y="1476375"/>
          <a:ext cx="171450" cy="142875"/>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rtlCol="0" anchor="ctr"/>
        <a:lstStyle/>
        <a:p>
          <a:pPr algn="ctr"/>
          <a:endParaRPr lang="en-US" sz="1100"/>
        </a:p>
      </xdr:txBody>
    </xdr:sp>
    <xdr:clientData/>
  </xdr:twoCellAnchor>
  <xdr:oneCellAnchor>
    <xdr:from>
      <xdr:col>10</xdr:col>
      <xdr:colOff>619125</xdr:colOff>
      <xdr:row>16</xdr:row>
      <xdr:rowOff>95250</xdr:rowOff>
    </xdr:from>
    <xdr:ext cx="1057275" cy="885825"/>
    <xdr:pic>
      <xdr:nvPicPr>
        <xdr:cNvPr id="47" name="Picture 2">
          <a:extLst>
            <a:ext uri="{FF2B5EF4-FFF2-40B4-BE49-F238E27FC236}">
              <a16:creationId xmlns:a16="http://schemas.microsoft.com/office/drawing/2014/main" xmlns="" id="{00000000-0008-0000-0600-00002F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6048375" y="3143250"/>
          <a:ext cx="1057275" cy="885825"/>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twoCellAnchor>
    <xdr:from>
      <xdr:col>1</xdr:col>
      <xdr:colOff>95251</xdr:colOff>
      <xdr:row>0</xdr:row>
      <xdr:rowOff>85725</xdr:rowOff>
    </xdr:from>
    <xdr:to>
      <xdr:col>3</xdr:col>
      <xdr:colOff>342900</xdr:colOff>
      <xdr:row>4</xdr:row>
      <xdr:rowOff>57150</xdr:rowOff>
    </xdr:to>
    <xdr:pic>
      <xdr:nvPicPr>
        <xdr:cNvPr id="2" name="image00.jpg">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1" y="85725"/>
          <a:ext cx="1038224" cy="733425"/>
        </a:xfrm>
        <a:prstGeom prst="rect">
          <a:avLst/>
        </a:prstGeom>
        <a:noFill/>
        <a:ln w="9525">
          <a:noFill/>
          <a:round/>
          <a:headEnd/>
          <a:tailEnd/>
        </a:ln>
      </xdr:spPr>
    </xdr:pic>
    <xdr:clientData/>
  </xdr:twoCellAnchor>
  <xdr:twoCellAnchor>
    <xdr:from>
      <xdr:col>8</xdr:col>
      <xdr:colOff>666750</xdr:colOff>
      <xdr:row>16</xdr:row>
      <xdr:rowOff>38102</xdr:rowOff>
    </xdr:from>
    <xdr:to>
      <xdr:col>10</xdr:col>
      <xdr:colOff>619125</xdr:colOff>
      <xdr:row>21</xdr:row>
      <xdr:rowOff>85725</xdr:rowOff>
    </xdr:to>
    <xdr:sp macro="" textlink="">
      <xdr:nvSpPr>
        <xdr:cNvPr id="3" name="16-Point Star 2">
          <a:extLst>
            <a:ext uri="{FF2B5EF4-FFF2-40B4-BE49-F238E27FC236}">
              <a16:creationId xmlns:a16="http://schemas.microsoft.com/office/drawing/2014/main" xmlns="" id="{00000000-0008-0000-0700-000003000000}"/>
            </a:ext>
          </a:extLst>
        </xdr:cNvPr>
        <xdr:cNvSpPr/>
      </xdr:nvSpPr>
      <xdr:spPr bwMode="auto">
        <a:xfrm>
          <a:off x="4743450" y="3086102"/>
          <a:ext cx="1276350" cy="1000123"/>
        </a:xfrm>
        <a:prstGeom prst="star16">
          <a:avLst/>
        </a:prstGeom>
        <a:ln>
          <a:solidFill>
            <a:srgbClr val="7030A0"/>
          </a:solidFill>
          <a:headEnd type="none" w="med" len="med"/>
          <a:tailEnd type="none" w="med" len="med"/>
        </a:ln>
      </xdr:spPr>
      <xdr:style>
        <a:lnRef idx="1">
          <a:schemeClr val="dk1"/>
        </a:lnRef>
        <a:fillRef idx="2">
          <a:schemeClr val="dk1"/>
        </a:fillRef>
        <a:effectRef idx="1">
          <a:schemeClr val="dk1"/>
        </a:effectRef>
        <a:fontRef idx="minor">
          <a:schemeClr val="dk1"/>
        </a:fontRef>
      </xdr:style>
      <xdr:txBody>
        <a:bodyPr vertOverflow="clip" wrap="square" lIns="18288" tIns="0" rIns="0" bIns="0" rtlCol="0" anchor="ctr" upright="1"/>
        <a:lstStyle/>
        <a:p>
          <a:pPr algn="ctr"/>
          <a:r>
            <a:rPr lang="en-US" sz="1000" b="1">
              <a:solidFill>
                <a:srgbClr val="FF0000"/>
              </a:solidFill>
              <a:latin typeface="+mn-lt"/>
              <a:ea typeface="+mn-ea"/>
              <a:cs typeface="+mn-cs"/>
            </a:rPr>
            <a:t>WITH             RISK</a:t>
          </a:r>
          <a:r>
            <a:rPr lang="en-US" sz="1000" b="1" baseline="0">
              <a:solidFill>
                <a:srgbClr val="FF0000"/>
              </a:solidFill>
              <a:latin typeface="+mn-lt"/>
              <a:ea typeface="+mn-ea"/>
              <a:cs typeface="+mn-cs"/>
            </a:rPr>
            <a:t> COVERAGE</a:t>
          </a:r>
        </a:p>
        <a:p>
          <a:pPr algn="ctr"/>
          <a:endParaRPr lang="en-US" sz="1200" b="1">
            <a:solidFill>
              <a:srgbClr val="FF0000"/>
            </a:solidFill>
          </a:endParaRPr>
        </a:p>
        <a:p>
          <a:pPr algn="ctr"/>
          <a:endParaRPr lang="en-US" sz="1100"/>
        </a:p>
      </xdr:txBody>
    </xdr:sp>
    <xdr:clientData/>
  </xdr:twoCellAnchor>
  <xdr:twoCellAnchor>
    <xdr:from>
      <xdr:col>8</xdr:col>
      <xdr:colOff>47626</xdr:colOff>
      <xdr:row>9</xdr:row>
      <xdr:rowOff>9525</xdr:rowOff>
    </xdr:from>
    <xdr:to>
      <xdr:col>11</xdr:col>
      <xdr:colOff>733425</xdr:colOff>
      <xdr:row>12</xdr:row>
      <xdr:rowOff>0</xdr:rowOff>
    </xdr:to>
    <xdr:sp macro="" textlink="">
      <xdr:nvSpPr>
        <xdr:cNvPr id="4" name="Rounded Rectangle 3">
          <a:extLst>
            <a:ext uri="{FF2B5EF4-FFF2-40B4-BE49-F238E27FC236}">
              <a16:creationId xmlns:a16="http://schemas.microsoft.com/office/drawing/2014/main" xmlns="" id="{00000000-0008-0000-0700-000004000000}"/>
            </a:ext>
          </a:extLst>
        </xdr:cNvPr>
        <xdr:cNvSpPr/>
      </xdr:nvSpPr>
      <xdr:spPr>
        <a:xfrm>
          <a:off x="4124326" y="1724025"/>
          <a:ext cx="2933699" cy="561975"/>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oneCellAnchor>
    <xdr:from>
      <xdr:col>7</xdr:col>
      <xdr:colOff>381000</xdr:colOff>
      <xdr:row>22</xdr:row>
      <xdr:rowOff>171450</xdr:rowOff>
    </xdr:from>
    <xdr:ext cx="2905125" cy="3848100"/>
    <xdr:pic>
      <xdr:nvPicPr>
        <xdr:cNvPr id="5" name="Picture 2">
          <a:extLst>
            <a:ext uri="{FF2B5EF4-FFF2-40B4-BE49-F238E27FC236}">
              <a16:creationId xmlns:a16="http://schemas.microsoft.com/office/drawing/2014/main" xmlns="" id="{00000000-0008-0000-07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067175" y="4200525"/>
          <a:ext cx="2905125" cy="3848100"/>
        </a:xfrm>
        <a:prstGeom prst="rect">
          <a:avLst/>
        </a:prstGeom>
        <a:noFill/>
      </xdr:spPr>
    </xdr:pic>
    <xdr:clientData/>
  </xdr:oneCellAnchor>
  <xdr:twoCellAnchor>
    <xdr:from>
      <xdr:col>7</xdr:col>
      <xdr:colOff>381000</xdr:colOff>
      <xdr:row>50</xdr:row>
      <xdr:rowOff>142875</xdr:rowOff>
    </xdr:from>
    <xdr:to>
      <xdr:col>11</xdr:col>
      <xdr:colOff>847725</xdr:colOff>
      <xdr:row>58</xdr:row>
      <xdr:rowOff>57150</xdr:rowOff>
    </xdr:to>
    <xdr:sp macro="" textlink="">
      <xdr:nvSpPr>
        <xdr:cNvPr id="6" name="Round Diagonal Corner Rectangle 5">
          <a:extLst>
            <a:ext uri="{FF2B5EF4-FFF2-40B4-BE49-F238E27FC236}">
              <a16:creationId xmlns:a16="http://schemas.microsoft.com/office/drawing/2014/main" xmlns="" id="{00000000-0008-0000-0700-000006000000}"/>
            </a:ext>
          </a:extLst>
        </xdr:cNvPr>
        <xdr:cNvSpPr/>
      </xdr:nvSpPr>
      <xdr:spPr>
        <a:xfrm>
          <a:off x="4067175" y="9105900"/>
          <a:ext cx="3105150" cy="1285875"/>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8</xdr:col>
      <xdr:colOff>85726</xdr:colOff>
      <xdr:row>51</xdr:row>
      <xdr:rowOff>161925</xdr:rowOff>
    </xdr:from>
    <xdr:to>
      <xdr:col>8</xdr:col>
      <xdr:colOff>466726</xdr:colOff>
      <xdr:row>56</xdr:row>
      <xdr:rowOff>161925</xdr:rowOff>
    </xdr:to>
    <xdr:grpSp>
      <xdr:nvGrpSpPr>
        <xdr:cNvPr id="7" name="Group 38">
          <a:extLst>
            <a:ext uri="{FF2B5EF4-FFF2-40B4-BE49-F238E27FC236}">
              <a16:creationId xmlns:a16="http://schemas.microsoft.com/office/drawing/2014/main" xmlns="" id="{00000000-0008-0000-0700-000007000000}"/>
            </a:ext>
          </a:extLst>
        </xdr:cNvPr>
        <xdr:cNvGrpSpPr>
          <a:grpSpLocks/>
        </xdr:cNvGrpSpPr>
      </xdr:nvGrpSpPr>
      <xdr:grpSpPr bwMode="auto">
        <a:xfrm>
          <a:off x="4162426" y="9296400"/>
          <a:ext cx="381000" cy="857250"/>
          <a:chOff x="112842675" y="108899325"/>
          <a:chExt cx="762763" cy="1285875"/>
        </a:xfrm>
      </xdr:grpSpPr>
      <xdr:sp macro="" textlink="">
        <xdr:nvSpPr>
          <xdr:cNvPr id="8" name="Oval 39">
            <a:extLst>
              <a:ext uri="{FF2B5EF4-FFF2-40B4-BE49-F238E27FC236}">
                <a16:creationId xmlns:a16="http://schemas.microsoft.com/office/drawing/2014/main" xmlns="" id="{00000000-0008-0000-0700-000008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9" name="Oval 40">
            <a:extLst>
              <a:ext uri="{FF2B5EF4-FFF2-40B4-BE49-F238E27FC236}">
                <a16:creationId xmlns:a16="http://schemas.microsoft.com/office/drawing/2014/main" xmlns="" id="{00000000-0008-0000-0700-000009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0" name="Oval 41">
            <a:extLst>
              <a:ext uri="{FF2B5EF4-FFF2-40B4-BE49-F238E27FC236}">
                <a16:creationId xmlns:a16="http://schemas.microsoft.com/office/drawing/2014/main" xmlns="" id="{00000000-0008-0000-0700-00000A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1" name="Oval 42">
            <a:extLst>
              <a:ext uri="{FF2B5EF4-FFF2-40B4-BE49-F238E27FC236}">
                <a16:creationId xmlns:a16="http://schemas.microsoft.com/office/drawing/2014/main" xmlns="" id="{00000000-0008-0000-0700-00000B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2" name="Oval 43">
            <a:extLst>
              <a:ext uri="{FF2B5EF4-FFF2-40B4-BE49-F238E27FC236}">
                <a16:creationId xmlns:a16="http://schemas.microsoft.com/office/drawing/2014/main" xmlns="" id="{00000000-0008-0000-0700-00000C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3" name="Oval 44">
            <a:extLst>
              <a:ext uri="{FF2B5EF4-FFF2-40B4-BE49-F238E27FC236}">
                <a16:creationId xmlns:a16="http://schemas.microsoft.com/office/drawing/2014/main" xmlns="" id="{00000000-0008-0000-0700-00000D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4" name="Oval 45">
            <a:extLst>
              <a:ext uri="{FF2B5EF4-FFF2-40B4-BE49-F238E27FC236}">
                <a16:creationId xmlns:a16="http://schemas.microsoft.com/office/drawing/2014/main" xmlns="" id="{00000000-0008-0000-0700-00000E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5" name="Oval 46">
            <a:extLst>
              <a:ext uri="{FF2B5EF4-FFF2-40B4-BE49-F238E27FC236}">
                <a16:creationId xmlns:a16="http://schemas.microsoft.com/office/drawing/2014/main" xmlns="" id="{00000000-0008-0000-0700-00000F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6" name="Oval 47">
            <a:extLst>
              <a:ext uri="{FF2B5EF4-FFF2-40B4-BE49-F238E27FC236}">
                <a16:creationId xmlns:a16="http://schemas.microsoft.com/office/drawing/2014/main" xmlns="" id="{00000000-0008-0000-0700-000010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17" name="Oval 48">
            <a:extLst>
              <a:ext uri="{FF2B5EF4-FFF2-40B4-BE49-F238E27FC236}">
                <a16:creationId xmlns:a16="http://schemas.microsoft.com/office/drawing/2014/main" xmlns="" id="{00000000-0008-0000-0700-000011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18" name="Oval 49">
            <a:extLst>
              <a:ext uri="{FF2B5EF4-FFF2-40B4-BE49-F238E27FC236}">
                <a16:creationId xmlns:a16="http://schemas.microsoft.com/office/drawing/2014/main" xmlns="" id="{00000000-0008-0000-0700-000012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19" name="Oval 50">
            <a:extLst>
              <a:ext uri="{FF2B5EF4-FFF2-40B4-BE49-F238E27FC236}">
                <a16:creationId xmlns:a16="http://schemas.microsoft.com/office/drawing/2014/main" xmlns="" id="{00000000-0008-0000-0700-000013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0" name="Oval 51">
            <a:extLst>
              <a:ext uri="{FF2B5EF4-FFF2-40B4-BE49-F238E27FC236}">
                <a16:creationId xmlns:a16="http://schemas.microsoft.com/office/drawing/2014/main" xmlns="" id="{00000000-0008-0000-0700-000014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1" name="Oval 52">
            <a:extLst>
              <a:ext uri="{FF2B5EF4-FFF2-40B4-BE49-F238E27FC236}">
                <a16:creationId xmlns:a16="http://schemas.microsoft.com/office/drawing/2014/main" xmlns="" id="{00000000-0008-0000-0700-000015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2" name="Oval 53">
            <a:extLst>
              <a:ext uri="{FF2B5EF4-FFF2-40B4-BE49-F238E27FC236}">
                <a16:creationId xmlns:a16="http://schemas.microsoft.com/office/drawing/2014/main" xmlns="" id="{00000000-0008-0000-0700-000016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3" name="Oval 54">
            <a:extLst>
              <a:ext uri="{FF2B5EF4-FFF2-40B4-BE49-F238E27FC236}">
                <a16:creationId xmlns:a16="http://schemas.microsoft.com/office/drawing/2014/main" xmlns="" id="{00000000-0008-0000-0700-000017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4" name="Oval 55">
            <a:extLst>
              <a:ext uri="{FF2B5EF4-FFF2-40B4-BE49-F238E27FC236}">
                <a16:creationId xmlns:a16="http://schemas.microsoft.com/office/drawing/2014/main" xmlns="" id="{00000000-0008-0000-0700-000018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5" name="Oval 56">
            <a:extLst>
              <a:ext uri="{FF2B5EF4-FFF2-40B4-BE49-F238E27FC236}">
                <a16:creationId xmlns:a16="http://schemas.microsoft.com/office/drawing/2014/main" xmlns="" id="{00000000-0008-0000-0700-000019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6" name="Oval 57">
            <a:extLst>
              <a:ext uri="{FF2B5EF4-FFF2-40B4-BE49-F238E27FC236}">
                <a16:creationId xmlns:a16="http://schemas.microsoft.com/office/drawing/2014/main" xmlns="" id="{00000000-0008-0000-0700-00001A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27" name="Oval 58">
            <a:extLst>
              <a:ext uri="{FF2B5EF4-FFF2-40B4-BE49-F238E27FC236}">
                <a16:creationId xmlns:a16="http://schemas.microsoft.com/office/drawing/2014/main" xmlns="" id="{00000000-0008-0000-0700-00001B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28" name="Oval 59">
            <a:extLst>
              <a:ext uri="{FF2B5EF4-FFF2-40B4-BE49-F238E27FC236}">
                <a16:creationId xmlns:a16="http://schemas.microsoft.com/office/drawing/2014/main" xmlns="" id="{00000000-0008-0000-0700-00001C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29" name="Oval 60">
            <a:extLst>
              <a:ext uri="{FF2B5EF4-FFF2-40B4-BE49-F238E27FC236}">
                <a16:creationId xmlns:a16="http://schemas.microsoft.com/office/drawing/2014/main" xmlns="" id="{00000000-0008-0000-0700-00001D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0" name="Oval 61">
            <a:extLst>
              <a:ext uri="{FF2B5EF4-FFF2-40B4-BE49-F238E27FC236}">
                <a16:creationId xmlns:a16="http://schemas.microsoft.com/office/drawing/2014/main" xmlns="" id="{00000000-0008-0000-0700-00001E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1" name="Oval 62">
            <a:extLst>
              <a:ext uri="{FF2B5EF4-FFF2-40B4-BE49-F238E27FC236}">
                <a16:creationId xmlns:a16="http://schemas.microsoft.com/office/drawing/2014/main" xmlns="" id="{00000000-0008-0000-0700-00001F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2" name="Oval 63">
            <a:extLst>
              <a:ext uri="{FF2B5EF4-FFF2-40B4-BE49-F238E27FC236}">
                <a16:creationId xmlns:a16="http://schemas.microsoft.com/office/drawing/2014/main" xmlns="" id="{00000000-0008-0000-0700-000020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3" name="Oval 64">
            <a:extLst>
              <a:ext uri="{FF2B5EF4-FFF2-40B4-BE49-F238E27FC236}">
                <a16:creationId xmlns:a16="http://schemas.microsoft.com/office/drawing/2014/main" xmlns="" id="{00000000-0008-0000-0700-000021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4" name="Oval 65">
            <a:extLst>
              <a:ext uri="{FF2B5EF4-FFF2-40B4-BE49-F238E27FC236}">
                <a16:creationId xmlns:a16="http://schemas.microsoft.com/office/drawing/2014/main" xmlns="" id="{00000000-0008-0000-0700-000022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5" name="Oval 66">
            <a:extLst>
              <a:ext uri="{FF2B5EF4-FFF2-40B4-BE49-F238E27FC236}">
                <a16:creationId xmlns:a16="http://schemas.microsoft.com/office/drawing/2014/main" xmlns="" id="{00000000-0008-0000-0700-000023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6" name="Oval 67">
            <a:extLst>
              <a:ext uri="{FF2B5EF4-FFF2-40B4-BE49-F238E27FC236}">
                <a16:creationId xmlns:a16="http://schemas.microsoft.com/office/drawing/2014/main" xmlns="" id="{00000000-0008-0000-0700-000024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37" name="Oval 68">
            <a:extLst>
              <a:ext uri="{FF2B5EF4-FFF2-40B4-BE49-F238E27FC236}">
                <a16:creationId xmlns:a16="http://schemas.microsoft.com/office/drawing/2014/main" xmlns="" id="{00000000-0008-0000-0700-000025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38" name="Oval 69">
            <a:extLst>
              <a:ext uri="{FF2B5EF4-FFF2-40B4-BE49-F238E27FC236}">
                <a16:creationId xmlns:a16="http://schemas.microsoft.com/office/drawing/2014/main" xmlns="" id="{00000000-0008-0000-0700-000026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2</xdr:col>
      <xdr:colOff>9525</xdr:colOff>
      <xdr:row>6</xdr:row>
      <xdr:rowOff>9526</xdr:rowOff>
    </xdr:from>
    <xdr:to>
      <xdr:col>7</xdr:col>
      <xdr:colOff>0</xdr:colOff>
      <xdr:row>11</xdr:row>
      <xdr:rowOff>1</xdr:rowOff>
    </xdr:to>
    <xdr:sp macro="" textlink="">
      <xdr:nvSpPr>
        <xdr:cNvPr id="39" name="Rounded Rectangle 38">
          <a:extLst>
            <a:ext uri="{FF2B5EF4-FFF2-40B4-BE49-F238E27FC236}">
              <a16:creationId xmlns:a16="http://schemas.microsoft.com/office/drawing/2014/main" xmlns="" id="{00000000-0008-0000-0700-000027000000}"/>
            </a:ext>
          </a:extLst>
        </xdr:cNvPr>
        <xdr:cNvSpPr/>
      </xdr:nvSpPr>
      <xdr:spPr>
        <a:xfrm>
          <a:off x="323850" y="1152526"/>
          <a:ext cx="3362325" cy="942975"/>
        </a:xfrm>
        <a:prstGeom prst="roundRect">
          <a:avLst/>
        </a:prstGeom>
        <a:noFill/>
        <a:ln w="3810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4</xdr:col>
      <xdr:colOff>495300</xdr:colOff>
      <xdr:row>0</xdr:row>
      <xdr:rowOff>9525</xdr:rowOff>
    </xdr:from>
    <xdr:to>
      <xdr:col>8</xdr:col>
      <xdr:colOff>276225</xdr:colOff>
      <xdr:row>1</xdr:row>
      <xdr:rowOff>114300</xdr:rowOff>
    </xdr:to>
    <xdr:pic>
      <xdr:nvPicPr>
        <xdr:cNvPr id="40" name="Picture 39">
          <a:extLst>
            <a:ext uri="{FF2B5EF4-FFF2-40B4-BE49-F238E27FC236}">
              <a16:creationId xmlns:a16="http://schemas.microsoft.com/office/drawing/2014/main" xmlns="" id="{00000000-0008-0000-0700-000028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095500" y="9525"/>
          <a:ext cx="2257425" cy="266700"/>
        </a:xfrm>
        <a:prstGeom prst="rect">
          <a:avLst/>
        </a:prstGeom>
        <a:noFill/>
        <a:ln w="9525">
          <a:noFill/>
          <a:round/>
          <a:headEnd/>
          <a:tailEnd/>
        </a:ln>
        <a:effectLst/>
      </xdr:spPr>
    </xdr:pic>
    <xdr:clientData/>
  </xdr:twoCellAnchor>
  <xdr:twoCellAnchor>
    <xdr:from>
      <xdr:col>3</xdr:col>
      <xdr:colOff>342901</xdr:colOff>
      <xdr:row>1</xdr:row>
      <xdr:rowOff>133349</xdr:rowOff>
    </xdr:from>
    <xdr:to>
      <xdr:col>10</xdr:col>
      <xdr:colOff>200025</xdr:colOff>
      <xdr:row>3</xdr:row>
      <xdr:rowOff>95250</xdr:rowOff>
    </xdr:to>
    <xdr:pic>
      <xdr:nvPicPr>
        <xdr:cNvPr id="41" name="Picture 40">
          <a:extLst>
            <a:ext uri="{FF2B5EF4-FFF2-40B4-BE49-F238E27FC236}">
              <a16:creationId xmlns:a16="http://schemas.microsoft.com/office/drawing/2014/main" xmlns="" id="{00000000-0008-0000-0700-00002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133476" y="295274"/>
          <a:ext cx="4467224" cy="285751"/>
        </a:xfrm>
        <a:prstGeom prst="rect">
          <a:avLst/>
        </a:prstGeom>
        <a:noFill/>
        <a:ln w="9525">
          <a:noFill/>
          <a:round/>
          <a:headEnd/>
          <a:tailEnd/>
        </a:ln>
        <a:effectLst/>
      </xdr:spPr>
    </xdr:pic>
    <xdr:clientData/>
  </xdr:twoCellAnchor>
  <xdr:oneCellAnchor>
    <xdr:from>
      <xdr:col>12</xdr:col>
      <xdr:colOff>57150</xdr:colOff>
      <xdr:row>15</xdr:row>
      <xdr:rowOff>66676</xdr:rowOff>
    </xdr:from>
    <xdr:ext cx="361949" cy="323850"/>
    <xdr:pic>
      <xdr:nvPicPr>
        <xdr:cNvPr id="42" name="Picture 2">
          <a:hlinkClick xmlns:r="http://schemas.openxmlformats.org/officeDocument/2006/relationships" r:id="rId5"/>
          <a:extLst>
            <a:ext uri="{FF2B5EF4-FFF2-40B4-BE49-F238E27FC236}">
              <a16:creationId xmlns:a16="http://schemas.microsoft.com/office/drawing/2014/main" xmlns="" id="{00000000-0008-0000-0700-00002A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248525" y="2924176"/>
          <a:ext cx="361949" cy="323850"/>
        </a:xfrm>
        <a:prstGeom prst="rect">
          <a:avLst/>
        </a:prstGeom>
        <a:noFill/>
      </xdr:spPr>
    </xdr:pic>
    <xdr:clientData/>
  </xdr:oneCellAnchor>
  <xdr:oneCellAnchor>
    <xdr:from>
      <xdr:col>12</xdr:col>
      <xdr:colOff>28575</xdr:colOff>
      <xdr:row>8</xdr:row>
      <xdr:rowOff>66676</xdr:rowOff>
    </xdr:from>
    <xdr:ext cx="361949" cy="257175"/>
    <xdr:pic>
      <xdr:nvPicPr>
        <xdr:cNvPr id="43" name="Picture 2">
          <a:hlinkClick xmlns:r="http://schemas.openxmlformats.org/officeDocument/2006/relationships" r:id="rId7"/>
          <a:extLst>
            <a:ext uri="{FF2B5EF4-FFF2-40B4-BE49-F238E27FC236}">
              <a16:creationId xmlns:a16="http://schemas.microsoft.com/office/drawing/2014/main" xmlns="" id="{00000000-0008-0000-0700-00002B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219950" y="1590676"/>
          <a:ext cx="361949" cy="257175"/>
        </a:xfrm>
        <a:prstGeom prst="rect">
          <a:avLst/>
        </a:prstGeom>
        <a:noFill/>
      </xdr:spPr>
    </xdr:pic>
    <xdr:clientData/>
  </xdr:oneCellAnchor>
  <xdr:twoCellAnchor>
    <xdr:from>
      <xdr:col>12</xdr:col>
      <xdr:colOff>247650</xdr:colOff>
      <xdr:row>0</xdr:row>
      <xdr:rowOff>0</xdr:rowOff>
    </xdr:from>
    <xdr:to>
      <xdr:col>14</xdr:col>
      <xdr:colOff>466725</xdr:colOff>
      <xdr:row>4</xdr:row>
      <xdr:rowOff>19050</xdr:rowOff>
    </xdr:to>
    <xdr:sp macro="" textlink="">
      <xdr:nvSpPr>
        <xdr:cNvPr id="44" name="Left Arrow 43">
          <a:extLst>
            <a:ext uri="{FF2B5EF4-FFF2-40B4-BE49-F238E27FC236}">
              <a16:creationId xmlns:a16="http://schemas.microsoft.com/office/drawing/2014/main" xmlns="" id="{00000000-0008-0000-0700-00002C000000}"/>
            </a:ext>
          </a:extLst>
        </xdr:cNvPr>
        <xdr:cNvSpPr/>
      </xdr:nvSpPr>
      <xdr:spPr>
        <a:xfrm>
          <a:off x="7439025" y="0"/>
          <a:ext cx="1438275" cy="7810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85725</xdr:colOff>
      <xdr:row>7</xdr:row>
      <xdr:rowOff>9525</xdr:rowOff>
    </xdr:from>
    <xdr:to>
      <xdr:col>2</xdr:col>
      <xdr:colOff>247650</xdr:colOff>
      <xdr:row>8</xdr:row>
      <xdr:rowOff>28575</xdr:rowOff>
    </xdr:to>
    <xdr:sp macro="" textlink="">
      <xdr:nvSpPr>
        <xdr:cNvPr id="45" name="Smiley Face 44">
          <a:extLst>
            <a:ext uri="{FF2B5EF4-FFF2-40B4-BE49-F238E27FC236}">
              <a16:creationId xmlns:a16="http://schemas.microsoft.com/office/drawing/2014/main" xmlns="" id="{00000000-0008-0000-0700-00002D000000}"/>
            </a:ext>
          </a:extLst>
        </xdr:cNvPr>
        <xdr:cNvSpPr/>
      </xdr:nvSpPr>
      <xdr:spPr>
        <a:xfrm>
          <a:off x="400050" y="1343025"/>
          <a:ext cx="161925" cy="209550"/>
        </a:xfrm>
        <a:prstGeom prst="smileyFace">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endParaRPr lang="en-US" sz="1100"/>
        </a:p>
      </xdr:txBody>
    </xdr:sp>
    <xdr:clientData/>
  </xdr:twoCellAnchor>
  <xdr:twoCellAnchor>
    <xdr:from>
      <xdr:col>6</xdr:col>
      <xdr:colOff>352425</xdr:colOff>
      <xdr:row>7</xdr:row>
      <xdr:rowOff>19050</xdr:rowOff>
    </xdr:from>
    <xdr:to>
      <xdr:col>6</xdr:col>
      <xdr:colOff>514350</xdr:colOff>
      <xdr:row>8</xdr:row>
      <xdr:rowOff>38100</xdr:rowOff>
    </xdr:to>
    <xdr:sp macro="" textlink="">
      <xdr:nvSpPr>
        <xdr:cNvPr id="46" name="Smiley Face 45">
          <a:extLst>
            <a:ext uri="{FF2B5EF4-FFF2-40B4-BE49-F238E27FC236}">
              <a16:creationId xmlns:a16="http://schemas.microsoft.com/office/drawing/2014/main" xmlns="" id="{00000000-0008-0000-0700-00002E000000}"/>
            </a:ext>
          </a:extLst>
        </xdr:cNvPr>
        <xdr:cNvSpPr/>
      </xdr:nvSpPr>
      <xdr:spPr>
        <a:xfrm>
          <a:off x="3390900" y="1352550"/>
          <a:ext cx="161925" cy="209550"/>
        </a:xfrm>
        <a:prstGeom prst="smileyFace">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endParaRPr lang="en-US" sz="1100"/>
        </a:p>
      </xdr:txBody>
    </xdr:sp>
    <xdr:clientData/>
  </xdr:twoCellAnchor>
  <xdr:oneCellAnchor>
    <xdr:from>
      <xdr:col>10</xdr:col>
      <xdr:colOff>619125</xdr:colOff>
      <xdr:row>16</xdr:row>
      <xdr:rowOff>114300</xdr:rowOff>
    </xdr:from>
    <xdr:ext cx="1143000" cy="790575"/>
    <xdr:pic>
      <xdr:nvPicPr>
        <xdr:cNvPr id="47" name="Picture 2">
          <a:extLst>
            <a:ext uri="{FF2B5EF4-FFF2-40B4-BE49-F238E27FC236}">
              <a16:creationId xmlns:a16="http://schemas.microsoft.com/office/drawing/2014/main" xmlns="" id="{00000000-0008-0000-0700-00002F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6019800" y="3162300"/>
          <a:ext cx="1143000" cy="790575"/>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xdr:from>
      <xdr:col>1</xdr:col>
      <xdr:colOff>209551</xdr:colOff>
      <xdr:row>0</xdr:row>
      <xdr:rowOff>66675</xdr:rowOff>
    </xdr:from>
    <xdr:to>
      <xdr:col>4</xdr:col>
      <xdr:colOff>219075</xdr:colOff>
      <xdr:row>4</xdr:row>
      <xdr:rowOff>66675</xdr:rowOff>
    </xdr:to>
    <xdr:pic>
      <xdr:nvPicPr>
        <xdr:cNvPr id="2" name="image00.jpg">
          <a:extLst>
            <a:ext uri="{FF2B5EF4-FFF2-40B4-BE49-F238E27FC236}">
              <a16:creationId xmlns:a16="http://schemas.microsoft.com/office/drawing/2014/main" xmlns="" id="{00000000-0008-0000-0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09551" y="66675"/>
          <a:ext cx="1304924" cy="762000"/>
        </a:xfrm>
        <a:prstGeom prst="rect">
          <a:avLst/>
        </a:prstGeom>
        <a:noFill/>
        <a:ln w="9525">
          <a:noFill/>
          <a:round/>
          <a:headEnd/>
          <a:tailEnd/>
        </a:ln>
      </xdr:spPr>
    </xdr:pic>
    <xdr:clientData/>
  </xdr:twoCellAnchor>
  <xdr:twoCellAnchor>
    <xdr:from>
      <xdr:col>2</xdr:col>
      <xdr:colOff>19052</xdr:colOff>
      <xdr:row>5</xdr:row>
      <xdr:rowOff>0</xdr:rowOff>
    </xdr:from>
    <xdr:to>
      <xdr:col>7</xdr:col>
      <xdr:colOff>9525</xdr:colOff>
      <xdr:row>9</xdr:row>
      <xdr:rowOff>76199</xdr:rowOff>
    </xdr:to>
    <xdr:sp macro="" textlink="">
      <xdr:nvSpPr>
        <xdr:cNvPr id="3" name="Rounded Rectangle 2">
          <a:extLst>
            <a:ext uri="{FF2B5EF4-FFF2-40B4-BE49-F238E27FC236}">
              <a16:creationId xmlns:a16="http://schemas.microsoft.com/office/drawing/2014/main" xmlns="" id="{00000000-0008-0000-0800-000003000000}"/>
            </a:ext>
          </a:extLst>
        </xdr:cNvPr>
        <xdr:cNvSpPr/>
      </xdr:nvSpPr>
      <xdr:spPr bwMode="auto">
        <a:xfrm>
          <a:off x="295277" y="952500"/>
          <a:ext cx="2981323" cy="838199"/>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7</xdr:col>
      <xdr:colOff>161925</xdr:colOff>
      <xdr:row>5</xdr:row>
      <xdr:rowOff>0</xdr:rowOff>
    </xdr:from>
    <xdr:to>
      <xdr:col>8</xdr:col>
      <xdr:colOff>638176</xdr:colOff>
      <xdr:row>9</xdr:row>
      <xdr:rowOff>133350</xdr:rowOff>
    </xdr:to>
    <xdr:sp macro="" textlink="">
      <xdr:nvSpPr>
        <xdr:cNvPr id="4" name="16-Point Star 3">
          <a:extLst>
            <a:ext uri="{FF2B5EF4-FFF2-40B4-BE49-F238E27FC236}">
              <a16:creationId xmlns:a16="http://schemas.microsoft.com/office/drawing/2014/main" xmlns="" id="{00000000-0008-0000-0800-000004000000}"/>
            </a:ext>
          </a:extLst>
        </xdr:cNvPr>
        <xdr:cNvSpPr/>
      </xdr:nvSpPr>
      <xdr:spPr bwMode="auto">
        <a:xfrm>
          <a:off x="3429000" y="952500"/>
          <a:ext cx="1228726" cy="895350"/>
        </a:xfrm>
        <a:prstGeom prst="star16">
          <a:avLst/>
        </a:prstGeom>
        <a:ln>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18288" tIns="0" rIns="0" bIns="0" rtlCol="0" anchor="ctr" upright="1"/>
        <a:lstStyle/>
        <a:p>
          <a:pPr algn="ctr"/>
          <a:r>
            <a:rPr lang="en-US" sz="1000" b="1">
              <a:solidFill>
                <a:srgbClr val="FF0000"/>
              </a:solidFill>
              <a:latin typeface="+mn-lt"/>
              <a:ea typeface="+mn-ea"/>
              <a:cs typeface="+mn-cs"/>
            </a:rPr>
            <a:t>WITH             LOYALTY ADDITIONS</a:t>
          </a:r>
          <a:endParaRPr lang="en-US" sz="1000" b="1">
            <a:solidFill>
              <a:srgbClr val="FF0000"/>
            </a:solidFill>
          </a:endParaRPr>
        </a:p>
        <a:p>
          <a:pPr algn="ctr"/>
          <a:endParaRPr lang="en-US" sz="1100"/>
        </a:p>
      </xdr:txBody>
    </xdr:sp>
    <xdr:clientData/>
  </xdr:twoCellAnchor>
  <xdr:oneCellAnchor>
    <xdr:from>
      <xdr:col>9</xdr:col>
      <xdr:colOff>76200</xdr:colOff>
      <xdr:row>16</xdr:row>
      <xdr:rowOff>123824</xdr:rowOff>
    </xdr:from>
    <xdr:ext cx="2286000" cy="3200401"/>
    <xdr:pic>
      <xdr:nvPicPr>
        <xdr:cNvPr id="5" name="Picture 2">
          <a:extLst>
            <a:ext uri="{FF2B5EF4-FFF2-40B4-BE49-F238E27FC236}">
              <a16:creationId xmlns:a16="http://schemas.microsoft.com/office/drawing/2014/main" xmlns="" id="{00000000-0008-0000-08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800600" y="3076574"/>
          <a:ext cx="2286000" cy="3200401"/>
        </a:xfrm>
        <a:prstGeom prst="rect">
          <a:avLst/>
        </a:prstGeom>
        <a:noFill/>
      </xdr:spPr>
    </xdr:pic>
    <xdr:clientData/>
  </xdr:oneCellAnchor>
  <xdr:twoCellAnchor>
    <xdr:from>
      <xdr:col>9</xdr:col>
      <xdr:colOff>9524</xdr:colOff>
      <xdr:row>45</xdr:row>
      <xdr:rowOff>180976</xdr:rowOff>
    </xdr:from>
    <xdr:to>
      <xdr:col>13</xdr:col>
      <xdr:colOff>581025</xdr:colOff>
      <xdr:row>53</xdr:row>
      <xdr:rowOff>0</xdr:rowOff>
    </xdr:to>
    <xdr:sp macro="" textlink="">
      <xdr:nvSpPr>
        <xdr:cNvPr id="6" name="Round Diagonal Corner Rectangle 5">
          <a:extLst>
            <a:ext uri="{FF2B5EF4-FFF2-40B4-BE49-F238E27FC236}">
              <a16:creationId xmlns:a16="http://schemas.microsoft.com/office/drawing/2014/main" xmlns="" id="{00000000-0008-0000-0800-000006000000}"/>
            </a:ext>
          </a:extLst>
        </xdr:cNvPr>
        <xdr:cNvSpPr/>
      </xdr:nvSpPr>
      <xdr:spPr>
        <a:xfrm>
          <a:off x="4733924" y="8839201"/>
          <a:ext cx="2371726" cy="1371599"/>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9</xdr:col>
      <xdr:colOff>28575</xdr:colOff>
      <xdr:row>6</xdr:row>
      <xdr:rowOff>0</xdr:rowOff>
    </xdr:from>
    <xdr:to>
      <xdr:col>13</xdr:col>
      <xdr:colOff>561976</xdr:colOff>
      <xdr:row>9</xdr:row>
      <xdr:rowOff>104775</xdr:rowOff>
    </xdr:to>
    <xdr:sp macro="" textlink="">
      <xdr:nvSpPr>
        <xdr:cNvPr id="7" name="Rounded Rectangle 6">
          <a:extLst>
            <a:ext uri="{FF2B5EF4-FFF2-40B4-BE49-F238E27FC236}">
              <a16:creationId xmlns:a16="http://schemas.microsoft.com/office/drawing/2014/main" xmlns="" id="{00000000-0008-0000-0800-000007000000}"/>
            </a:ext>
          </a:extLst>
        </xdr:cNvPr>
        <xdr:cNvSpPr/>
      </xdr:nvSpPr>
      <xdr:spPr>
        <a:xfrm>
          <a:off x="4752975" y="1143000"/>
          <a:ext cx="2333626" cy="676275"/>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5</xdr:col>
      <xdr:colOff>504825</xdr:colOff>
      <xdr:row>0</xdr:row>
      <xdr:rowOff>47625</xdr:rowOff>
    </xdr:from>
    <xdr:to>
      <xdr:col>8</xdr:col>
      <xdr:colOff>657225</xdr:colOff>
      <xdr:row>1</xdr:row>
      <xdr:rowOff>142875</xdr:rowOff>
    </xdr:to>
    <xdr:pic>
      <xdr:nvPicPr>
        <xdr:cNvPr id="8" name="Picture 7">
          <a:extLst>
            <a:ext uri="{FF2B5EF4-FFF2-40B4-BE49-F238E27FC236}">
              <a16:creationId xmlns:a16="http://schemas.microsoft.com/office/drawing/2014/main" xmlns="" id="{00000000-0008-0000-0800-000008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457450" y="47625"/>
          <a:ext cx="2219325" cy="285750"/>
        </a:xfrm>
        <a:prstGeom prst="rect">
          <a:avLst/>
        </a:prstGeom>
        <a:noFill/>
        <a:ln w="9525">
          <a:noFill/>
          <a:round/>
          <a:headEnd/>
          <a:tailEnd/>
        </a:ln>
        <a:effectLst/>
      </xdr:spPr>
    </xdr:pic>
    <xdr:clientData/>
  </xdr:twoCellAnchor>
  <xdr:twoCellAnchor>
    <xdr:from>
      <xdr:col>4</xdr:col>
      <xdr:colOff>104775</xdr:colOff>
      <xdr:row>1</xdr:row>
      <xdr:rowOff>76200</xdr:rowOff>
    </xdr:from>
    <xdr:to>
      <xdr:col>11</xdr:col>
      <xdr:colOff>590549</xdr:colOff>
      <xdr:row>3</xdr:row>
      <xdr:rowOff>19051</xdr:rowOff>
    </xdr:to>
    <xdr:pic>
      <xdr:nvPicPr>
        <xdr:cNvPr id="9" name="Picture 8">
          <a:extLst>
            <a:ext uri="{FF2B5EF4-FFF2-40B4-BE49-F238E27FC236}">
              <a16:creationId xmlns:a16="http://schemas.microsoft.com/office/drawing/2014/main" xmlns="" id="{00000000-0008-0000-0800-00000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400175" y="266700"/>
          <a:ext cx="4600574" cy="323851"/>
        </a:xfrm>
        <a:prstGeom prst="rect">
          <a:avLst/>
        </a:prstGeom>
        <a:noFill/>
        <a:ln w="9525">
          <a:noFill/>
          <a:round/>
          <a:headEnd/>
          <a:tailEnd/>
        </a:ln>
        <a:effectLst/>
      </xdr:spPr>
    </xdr:pic>
    <xdr:clientData/>
  </xdr:twoCellAnchor>
  <xdr:twoCellAnchor>
    <xdr:from>
      <xdr:col>9</xdr:col>
      <xdr:colOff>57150</xdr:colOff>
      <xdr:row>47</xdr:row>
      <xdr:rowOff>28575</xdr:rowOff>
    </xdr:from>
    <xdr:to>
      <xdr:col>9</xdr:col>
      <xdr:colOff>400050</xdr:colOff>
      <xdr:row>52</xdr:row>
      <xdr:rowOff>66675</xdr:rowOff>
    </xdr:to>
    <xdr:grpSp>
      <xdr:nvGrpSpPr>
        <xdr:cNvPr id="10" name="Group 38">
          <a:extLst>
            <a:ext uri="{FF2B5EF4-FFF2-40B4-BE49-F238E27FC236}">
              <a16:creationId xmlns:a16="http://schemas.microsoft.com/office/drawing/2014/main" xmlns="" id="{00000000-0008-0000-0800-00000A000000}"/>
            </a:ext>
          </a:extLst>
        </xdr:cNvPr>
        <xdr:cNvGrpSpPr>
          <a:grpSpLocks/>
        </xdr:cNvGrpSpPr>
      </xdr:nvGrpSpPr>
      <xdr:grpSpPr bwMode="auto">
        <a:xfrm>
          <a:off x="4781550" y="9067800"/>
          <a:ext cx="342900" cy="1019175"/>
          <a:chOff x="112842675" y="108899325"/>
          <a:chExt cx="762763" cy="1285875"/>
        </a:xfrm>
      </xdr:grpSpPr>
      <xdr:sp macro="" textlink="">
        <xdr:nvSpPr>
          <xdr:cNvPr id="11" name="Oval 39">
            <a:extLst>
              <a:ext uri="{FF2B5EF4-FFF2-40B4-BE49-F238E27FC236}">
                <a16:creationId xmlns:a16="http://schemas.microsoft.com/office/drawing/2014/main" xmlns="" id="{00000000-0008-0000-0800-00000B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2" name="Oval 40">
            <a:extLst>
              <a:ext uri="{FF2B5EF4-FFF2-40B4-BE49-F238E27FC236}">
                <a16:creationId xmlns:a16="http://schemas.microsoft.com/office/drawing/2014/main" xmlns="" id="{00000000-0008-0000-0800-00000C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3" name="Oval 41">
            <a:extLst>
              <a:ext uri="{FF2B5EF4-FFF2-40B4-BE49-F238E27FC236}">
                <a16:creationId xmlns:a16="http://schemas.microsoft.com/office/drawing/2014/main" xmlns="" id="{00000000-0008-0000-0800-00000D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4" name="Oval 42">
            <a:extLst>
              <a:ext uri="{FF2B5EF4-FFF2-40B4-BE49-F238E27FC236}">
                <a16:creationId xmlns:a16="http://schemas.microsoft.com/office/drawing/2014/main" xmlns="" id="{00000000-0008-0000-0800-00000E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5" name="Oval 43">
            <a:extLst>
              <a:ext uri="{FF2B5EF4-FFF2-40B4-BE49-F238E27FC236}">
                <a16:creationId xmlns:a16="http://schemas.microsoft.com/office/drawing/2014/main" xmlns="" id="{00000000-0008-0000-0800-00000F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6" name="Oval 44">
            <a:extLst>
              <a:ext uri="{FF2B5EF4-FFF2-40B4-BE49-F238E27FC236}">
                <a16:creationId xmlns:a16="http://schemas.microsoft.com/office/drawing/2014/main" xmlns="" id="{00000000-0008-0000-0800-000010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7" name="Oval 45">
            <a:extLst>
              <a:ext uri="{FF2B5EF4-FFF2-40B4-BE49-F238E27FC236}">
                <a16:creationId xmlns:a16="http://schemas.microsoft.com/office/drawing/2014/main" xmlns="" id="{00000000-0008-0000-0800-000011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8" name="Oval 46">
            <a:extLst>
              <a:ext uri="{FF2B5EF4-FFF2-40B4-BE49-F238E27FC236}">
                <a16:creationId xmlns:a16="http://schemas.microsoft.com/office/drawing/2014/main" xmlns="" id="{00000000-0008-0000-0800-000012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9" name="Oval 47">
            <a:extLst>
              <a:ext uri="{FF2B5EF4-FFF2-40B4-BE49-F238E27FC236}">
                <a16:creationId xmlns:a16="http://schemas.microsoft.com/office/drawing/2014/main" xmlns="" id="{00000000-0008-0000-0800-000013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0" name="Oval 48">
            <a:extLst>
              <a:ext uri="{FF2B5EF4-FFF2-40B4-BE49-F238E27FC236}">
                <a16:creationId xmlns:a16="http://schemas.microsoft.com/office/drawing/2014/main" xmlns="" id="{00000000-0008-0000-0800-000014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1" name="Oval 49">
            <a:extLst>
              <a:ext uri="{FF2B5EF4-FFF2-40B4-BE49-F238E27FC236}">
                <a16:creationId xmlns:a16="http://schemas.microsoft.com/office/drawing/2014/main" xmlns="" id="{00000000-0008-0000-0800-000015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2" name="Oval 50">
            <a:extLst>
              <a:ext uri="{FF2B5EF4-FFF2-40B4-BE49-F238E27FC236}">
                <a16:creationId xmlns:a16="http://schemas.microsoft.com/office/drawing/2014/main" xmlns="" id="{00000000-0008-0000-0800-000016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3" name="Oval 51">
            <a:extLst>
              <a:ext uri="{FF2B5EF4-FFF2-40B4-BE49-F238E27FC236}">
                <a16:creationId xmlns:a16="http://schemas.microsoft.com/office/drawing/2014/main" xmlns="" id="{00000000-0008-0000-0800-000017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4" name="Oval 52">
            <a:extLst>
              <a:ext uri="{FF2B5EF4-FFF2-40B4-BE49-F238E27FC236}">
                <a16:creationId xmlns:a16="http://schemas.microsoft.com/office/drawing/2014/main" xmlns="" id="{00000000-0008-0000-0800-000018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5" name="Oval 53">
            <a:extLst>
              <a:ext uri="{FF2B5EF4-FFF2-40B4-BE49-F238E27FC236}">
                <a16:creationId xmlns:a16="http://schemas.microsoft.com/office/drawing/2014/main" xmlns="" id="{00000000-0008-0000-0800-000019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6" name="Oval 54">
            <a:extLst>
              <a:ext uri="{FF2B5EF4-FFF2-40B4-BE49-F238E27FC236}">
                <a16:creationId xmlns:a16="http://schemas.microsoft.com/office/drawing/2014/main" xmlns="" id="{00000000-0008-0000-0800-00001A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7" name="Oval 55">
            <a:extLst>
              <a:ext uri="{FF2B5EF4-FFF2-40B4-BE49-F238E27FC236}">
                <a16:creationId xmlns:a16="http://schemas.microsoft.com/office/drawing/2014/main" xmlns="" id="{00000000-0008-0000-0800-00001B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8" name="Oval 56">
            <a:extLst>
              <a:ext uri="{FF2B5EF4-FFF2-40B4-BE49-F238E27FC236}">
                <a16:creationId xmlns:a16="http://schemas.microsoft.com/office/drawing/2014/main" xmlns="" id="{00000000-0008-0000-0800-00001C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9" name="Oval 57">
            <a:extLst>
              <a:ext uri="{FF2B5EF4-FFF2-40B4-BE49-F238E27FC236}">
                <a16:creationId xmlns:a16="http://schemas.microsoft.com/office/drawing/2014/main" xmlns="" id="{00000000-0008-0000-0800-00001D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0" name="Oval 58">
            <a:extLst>
              <a:ext uri="{FF2B5EF4-FFF2-40B4-BE49-F238E27FC236}">
                <a16:creationId xmlns:a16="http://schemas.microsoft.com/office/drawing/2014/main" xmlns="" id="{00000000-0008-0000-0800-00001E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1" name="Oval 59">
            <a:extLst>
              <a:ext uri="{FF2B5EF4-FFF2-40B4-BE49-F238E27FC236}">
                <a16:creationId xmlns:a16="http://schemas.microsoft.com/office/drawing/2014/main" xmlns="" id="{00000000-0008-0000-0800-00001F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2" name="Oval 60">
            <a:extLst>
              <a:ext uri="{FF2B5EF4-FFF2-40B4-BE49-F238E27FC236}">
                <a16:creationId xmlns:a16="http://schemas.microsoft.com/office/drawing/2014/main" xmlns="" id="{00000000-0008-0000-0800-000020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3" name="Oval 61">
            <a:extLst>
              <a:ext uri="{FF2B5EF4-FFF2-40B4-BE49-F238E27FC236}">
                <a16:creationId xmlns:a16="http://schemas.microsoft.com/office/drawing/2014/main" xmlns="" id="{00000000-0008-0000-0800-000021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4" name="Oval 62">
            <a:extLst>
              <a:ext uri="{FF2B5EF4-FFF2-40B4-BE49-F238E27FC236}">
                <a16:creationId xmlns:a16="http://schemas.microsoft.com/office/drawing/2014/main" xmlns="" id="{00000000-0008-0000-0800-000022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5" name="Oval 63">
            <a:extLst>
              <a:ext uri="{FF2B5EF4-FFF2-40B4-BE49-F238E27FC236}">
                <a16:creationId xmlns:a16="http://schemas.microsoft.com/office/drawing/2014/main" xmlns="" id="{00000000-0008-0000-0800-000023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6" name="Oval 64">
            <a:extLst>
              <a:ext uri="{FF2B5EF4-FFF2-40B4-BE49-F238E27FC236}">
                <a16:creationId xmlns:a16="http://schemas.microsoft.com/office/drawing/2014/main" xmlns="" id="{00000000-0008-0000-0800-000024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7" name="Oval 65">
            <a:extLst>
              <a:ext uri="{FF2B5EF4-FFF2-40B4-BE49-F238E27FC236}">
                <a16:creationId xmlns:a16="http://schemas.microsoft.com/office/drawing/2014/main" xmlns="" id="{00000000-0008-0000-0800-000025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8" name="Oval 66">
            <a:extLst>
              <a:ext uri="{FF2B5EF4-FFF2-40B4-BE49-F238E27FC236}">
                <a16:creationId xmlns:a16="http://schemas.microsoft.com/office/drawing/2014/main" xmlns="" id="{00000000-0008-0000-0800-000026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9" name="Oval 67">
            <a:extLst>
              <a:ext uri="{FF2B5EF4-FFF2-40B4-BE49-F238E27FC236}">
                <a16:creationId xmlns:a16="http://schemas.microsoft.com/office/drawing/2014/main" xmlns="" id="{00000000-0008-0000-0800-000027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0" name="Oval 68">
            <a:extLst>
              <a:ext uri="{FF2B5EF4-FFF2-40B4-BE49-F238E27FC236}">
                <a16:creationId xmlns:a16="http://schemas.microsoft.com/office/drawing/2014/main" xmlns="" id="{00000000-0008-0000-0800-000028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1" name="Oval 69">
            <a:extLst>
              <a:ext uri="{FF2B5EF4-FFF2-40B4-BE49-F238E27FC236}">
                <a16:creationId xmlns:a16="http://schemas.microsoft.com/office/drawing/2014/main" xmlns="" id="{00000000-0008-0000-0800-000029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11</xdr:col>
      <xdr:colOff>19050</xdr:colOff>
      <xdr:row>12</xdr:row>
      <xdr:rowOff>0</xdr:rowOff>
    </xdr:from>
    <xdr:to>
      <xdr:col>12</xdr:col>
      <xdr:colOff>571500</xdr:colOff>
      <xdr:row>16</xdr:row>
      <xdr:rowOff>28575</xdr:rowOff>
    </xdr:to>
    <xdr:sp macro="" textlink="">
      <xdr:nvSpPr>
        <xdr:cNvPr id="42" name="Oval 41">
          <a:extLst>
            <a:ext uri="{FF2B5EF4-FFF2-40B4-BE49-F238E27FC236}">
              <a16:creationId xmlns:a16="http://schemas.microsoft.com/office/drawing/2014/main" xmlns="" id="{00000000-0008-0000-0800-00002A000000}"/>
            </a:ext>
          </a:extLst>
        </xdr:cNvPr>
        <xdr:cNvSpPr/>
      </xdr:nvSpPr>
      <xdr:spPr>
        <a:xfrm>
          <a:off x="5467350" y="2286000"/>
          <a:ext cx="1057275" cy="790575"/>
        </a:xfrm>
        <a:prstGeom prst="ellipse">
          <a:avLst/>
        </a:prstGeom>
        <a:noFill/>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9</xdr:col>
      <xdr:colOff>57150</xdr:colOff>
      <xdr:row>11</xdr:row>
      <xdr:rowOff>38100</xdr:rowOff>
    </xdr:from>
    <xdr:ext cx="676275" cy="866775"/>
    <xdr:pic>
      <xdr:nvPicPr>
        <xdr:cNvPr id="43" name="Picture 1" descr="savings image க்கான பட முடிவு">
          <a:extLst>
            <a:ext uri="{FF2B5EF4-FFF2-40B4-BE49-F238E27FC236}">
              <a16:creationId xmlns:a16="http://schemas.microsoft.com/office/drawing/2014/main" xmlns="" id="{00000000-0008-0000-0800-00002B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781550" y="2133600"/>
          <a:ext cx="676275" cy="866775"/>
        </a:xfrm>
        <a:prstGeom prst="rect">
          <a:avLst/>
        </a:prstGeom>
        <a:noFill/>
      </xdr:spPr>
    </xdr:pic>
    <xdr:clientData/>
  </xdr:oneCellAnchor>
  <xdr:twoCellAnchor>
    <xdr:from>
      <xdr:col>9</xdr:col>
      <xdr:colOff>419101</xdr:colOff>
      <xdr:row>40</xdr:row>
      <xdr:rowOff>114300</xdr:rowOff>
    </xdr:from>
    <xdr:to>
      <xdr:col>13</xdr:col>
      <xdr:colOff>133350</xdr:colOff>
      <xdr:row>45</xdr:row>
      <xdr:rowOff>28575</xdr:rowOff>
    </xdr:to>
    <xdr:sp macro="" textlink="">
      <xdr:nvSpPr>
        <xdr:cNvPr id="44" name="Rounded Rectangle 43">
          <a:extLst>
            <a:ext uri="{FF2B5EF4-FFF2-40B4-BE49-F238E27FC236}">
              <a16:creationId xmlns:a16="http://schemas.microsoft.com/office/drawing/2014/main" xmlns="" id="{00000000-0008-0000-0800-00002C000000}"/>
            </a:ext>
          </a:extLst>
        </xdr:cNvPr>
        <xdr:cNvSpPr/>
      </xdr:nvSpPr>
      <xdr:spPr>
        <a:xfrm>
          <a:off x="5143501" y="7772400"/>
          <a:ext cx="1514474" cy="914400"/>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14</xdr:col>
      <xdr:colOff>66675</xdr:colOff>
      <xdr:row>13</xdr:row>
      <xdr:rowOff>38101</xdr:rowOff>
    </xdr:from>
    <xdr:ext cx="361949" cy="276225"/>
    <xdr:pic>
      <xdr:nvPicPr>
        <xdr:cNvPr id="45" name="Picture 2">
          <a:hlinkClick xmlns:r="http://schemas.openxmlformats.org/officeDocument/2006/relationships" r:id="rId6"/>
          <a:extLst>
            <a:ext uri="{FF2B5EF4-FFF2-40B4-BE49-F238E27FC236}">
              <a16:creationId xmlns:a16="http://schemas.microsoft.com/office/drawing/2014/main" xmlns="" id="{00000000-0008-0000-0800-00002D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7200900" y="2514601"/>
          <a:ext cx="361949" cy="276225"/>
        </a:xfrm>
        <a:prstGeom prst="rect">
          <a:avLst/>
        </a:prstGeom>
        <a:noFill/>
      </xdr:spPr>
    </xdr:pic>
    <xdr:clientData/>
  </xdr:oneCellAnchor>
  <xdr:oneCellAnchor>
    <xdr:from>
      <xdr:col>14</xdr:col>
      <xdr:colOff>66675</xdr:colOff>
      <xdr:row>5</xdr:row>
      <xdr:rowOff>66676</xdr:rowOff>
    </xdr:from>
    <xdr:ext cx="361949" cy="257175"/>
    <xdr:pic>
      <xdr:nvPicPr>
        <xdr:cNvPr id="46" name="Picture 2">
          <a:hlinkClick xmlns:r="http://schemas.openxmlformats.org/officeDocument/2006/relationships" r:id="rId8"/>
          <a:extLst>
            <a:ext uri="{FF2B5EF4-FFF2-40B4-BE49-F238E27FC236}">
              <a16:creationId xmlns:a16="http://schemas.microsoft.com/office/drawing/2014/main" xmlns="" id="{00000000-0008-0000-0800-00002E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7200900" y="1019176"/>
          <a:ext cx="361949" cy="257175"/>
        </a:xfrm>
        <a:prstGeom prst="rect">
          <a:avLst/>
        </a:prstGeom>
        <a:noFill/>
      </xdr:spPr>
    </xdr:pic>
    <xdr:clientData/>
  </xdr:oneCellAnchor>
  <xdr:twoCellAnchor>
    <xdr:from>
      <xdr:col>14</xdr:col>
      <xdr:colOff>257175</xdr:colOff>
      <xdr:row>0</xdr:row>
      <xdr:rowOff>1</xdr:rowOff>
    </xdr:from>
    <xdr:to>
      <xdr:col>16</xdr:col>
      <xdr:colOff>419100</xdr:colOff>
      <xdr:row>2</xdr:row>
      <xdr:rowOff>133351</xdr:rowOff>
    </xdr:to>
    <xdr:sp macro="" textlink="">
      <xdr:nvSpPr>
        <xdr:cNvPr id="47" name="Left Arrow 46">
          <a:extLst>
            <a:ext uri="{FF2B5EF4-FFF2-40B4-BE49-F238E27FC236}">
              <a16:creationId xmlns:a16="http://schemas.microsoft.com/office/drawing/2014/main" xmlns="" id="{00000000-0008-0000-0800-00002F000000}"/>
            </a:ext>
          </a:extLst>
        </xdr:cNvPr>
        <xdr:cNvSpPr/>
      </xdr:nvSpPr>
      <xdr:spPr>
        <a:xfrm>
          <a:off x="7391400" y="1"/>
          <a:ext cx="1514475" cy="5143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133350</xdr:colOff>
      <xdr:row>5</xdr:row>
      <xdr:rowOff>95250</xdr:rowOff>
    </xdr:from>
    <xdr:to>
      <xdr:col>3</xdr:col>
      <xdr:colOff>38100</xdr:colOff>
      <xdr:row>6</xdr:row>
      <xdr:rowOff>123825</xdr:rowOff>
    </xdr:to>
    <xdr:sp macro="" textlink="">
      <xdr:nvSpPr>
        <xdr:cNvPr id="48" name="Smiley Face 47">
          <a:extLst>
            <a:ext uri="{FF2B5EF4-FFF2-40B4-BE49-F238E27FC236}">
              <a16:creationId xmlns:a16="http://schemas.microsoft.com/office/drawing/2014/main" xmlns="" id="{00000000-0008-0000-0800-000030000000}"/>
            </a:ext>
          </a:extLst>
        </xdr:cNvPr>
        <xdr:cNvSpPr/>
      </xdr:nvSpPr>
      <xdr:spPr>
        <a:xfrm>
          <a:off x="409575" y="1047750"/>
          <a:ext cx="200025" cy="219075"/>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6</xdr:col>
      <xdr:colOff>342900</xdr:colOff>
      <xdr:row>5</xdr:row>
      <xdr:rowOff>85725</xdr:rowOff>
    </xdr:from>
    <xdr:to>
      <xdr:col>6</xdr:col>
      <xdr:colOff>542925</xdr:colOff>
      <xdr:row>6</xdr:row>
      <xdr:rowOff>114300</xdr:rowOff>
    </xdr:to>
    <xdr:sp macro="" textlink="">
      <xdr:nvSpPr>
        <xdr:cNvPr id="49" name="Smiley Face 48">
          <a:extLst>
            <a:ext uri="{FF2B5EF4-FFF2-40B4-BE49-F238E27FC236}">
              <a16:creationId xmlns:a16="http://schemas.microsoft.com/office/drawing/2014/main" xmlns="" id="{00000000-0008-0000-0800-000031000000}"/>
            </a:ext>
          </a:extLst>
        </xdr:cNvPr>
        <xdr:cNvSpPr/>
      </xdr:nvSpPr>
      <xdr:spPr>
        <a:xfrm>
          <a:off x="2952750" y="1038225"/>
          <a:ext cx="200025" cy="219075"/>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9</xdr:col>
      <xdr:colOff>66675</xdr:colOff>
      <xdr:row>33</xdr:row>
      <xdr:rowOff>123824</xdr:rowOff>
    </xdr:from>
    <xdr:to>
      <xdr:col>14</xdr:col>
      <xdr:colOff>0</xdr:colOff>
      <xdr:row>40</xdr:row>
      <xdr:rowOff>19050</xdr:rowOff>
    </xdr:to>
    <xdr:sp macro="" textlink="">
      <xdr:nvSpPr>
        <xdr:cNvPr id="51" name="Rounded Rectangle 50">
          <a:extLst>
            <a:ext uri="{FF2B5EF4-FFF2-40B4-BE49-F238E27FC236}">
              <a16:creationId xmlns:a16="http://schemas.microsoft.com/office/drawing/2014/main" xmlns="" id="{00000000-0008-0000-0800-000033000000}"/>
            </a:ext>
          </a:extLst>
        </xdr:cNvPr>
        <xdr:cNvSpPr/>
      </xdr:nvSpPr>
      <xdr:spPr>
        <a:xfrm>
          <a:off x="4791075" y="6410324"/>
          <a:ext cx="2343150" cy="1228726"/>
        </a:xfrm>
        <a:prstGeom prst="roundRect">
          <a:avLst/>
        </a:prstGeom>
        <a:noFill/>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9</xdr:col>
      <xdr:colOff>171450</xdr:colOff>
      <xdr:row>37</xdr:row>
      <xdr:rowOff>57150</xdr:rowOff>
    </xdr:from>
    <xdr:ext cx="600075" cy="552450"/>
    <xdr:pic>
      <xdr:nvPicPr>
        <xdr:cNvPr id="52" name="Picture 51">
          <a:extLst>
            <a:ext uri="{FF2B5EF4-FFF2-40B4-BE49-F238E27FC236}">
              <a16:creationId xmlns:a16="http://schemas.microsoft.com/office/drawing/2014/main" xmlns="" id="{00000000-0008-0000-0800-00003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895850" y="7105650"/>
          <a:ext cx="600075" cy="552450"/>
        </a:xfrm>
        <a:prstGeom prst="rect">
          <a:avLst/>
        </a:prstGeom>
      </xdr:spPr>
    </xdr:pic>
    <xdr:clientData/>
  </xdr:oneCellAnchor>
  <xdr:twoCellAnchor editAs="oneCell">
    <xdr:from>
      <xdr:col>7</xdr:col>
      <xdr:colOff>38100</xdr:colOff>
      <xdr:row>44</xdr:row>
      <xdr:rowOff>38100</xdr:rowOff>
    </xdr:from>
    <xdr:to>
      <xdr:col>8</xdr:col>
      <xdr:colOff>619125</xdr:colOff>
      <xdr:row>49</xdr:row>
      <xdr:rowOff>76200</xdr:rowOff>
    </xdr:to>
    <xdr:pic>
      <xdr:nvPicPr>
        <xdr:cNvPr id="53" name="Picture 52">
          <a:extLst>
            <a:ext uri="{FF2B5EF4-FFF2-40B4-BE49-F238E27FC236}">
              <a16:creationId xmlns:a16="http://schemas.microsoft.com/office/drawing/2014/main" xmlns="" id="{00000000-0008-0000-0800-00003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3305175" y="8477250"/>
          <a:ext cx="1333500" cy="1019175"/>
        </a:xfrm>
        <a:prstGeom prst="ellipse">
          <a:avLst/>
        </a:prstGeom>
        <a:ln>
          <a:noFill/>
        </a:ln>
        <a:effectLst>
          <a:softEdge rad="112500"/>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104775</xdr:colOff>
      <xdr:row>0</xdr:row>
      <xdr:rowOff>19049</xdr:rowOff>
    </xdr:from>
    <xdr:to>
      <xdr:col>3</xdr:col>
      <xdr:colOff>85725</xdr:colOff>
      <xdr:row>3</xdr:row>
      <xdr:rowOff>47624</xdr:rowOff>
    </xdr:to>
    <xdr:pic>
      <xdr:nvPicPr>
        <xdr:cNvPr id="2" name="image00.jpg">
          <a:extLst>
            <a:ext uri="{FF2B5EF4-FFF2-40B4-BE49-F238E27FC236}">
              <a16:creationId xmlns:a16="http://schemas.microsoft.com/office/drawing/2014/main" xmlns="" id="{00000000-0008-0000-09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4775" y="19049"/>
          <a:ext cx="1200150" cy="600075"/>
        </a:xfrm>
        <a:prstGeom prst="rect">
          <a:avLst/>
        </a:prstGeom>
        <a:noFill/>
        <a:ln w="9525">
          <a:noFill/>
          <a:round/>
          <a:headEnd/>
          <a:tailEnd/>
        </a:ln>
      </xdr:spPr>
    </xdr:pic>
    <xdr:clientData/>
  </xdr:twoCellAnchor>
  <xdr:twoCellAnchor>
    <xdr:from>
      <xdr:col>7</xdr:col>
      <xdr:colOff>47625</xdr:colOff>
      <xdr:row>3</xdr:row>
      <xdr:rowOff>57150</xdr:rowOff>
    </xdr:from>
    <xdr:to>
      <xdr:col>8</xdr:col>
      <xdr:colOff>409575</xdr:colOff>
      <xdr:row>7</xdr:row>
      <xdr:rowOff>142875</xdr:rowOff>
    </xdr:to>
    <xdr:sp macro="" textlink="">
      <xdr:nvSpPr>
        <xdr:cNvPr id="3" name="16-Point Star 2">
          <a:extLst>
            <a:ext uri="{FF2B5EF4-FFF2-40B4-BE49-F238E27FC236}">
              <a16:creationId xmlns:a16="http://schemas.microsoft.com/office/drawing/2014/main" xmlns="" id="{00000000-0008-0000-0900-000003000000}"/>
            </a:ext>
          </a:extLst>
        </xdr:cNvPr>
        <xdr:cNvSpPr/>
      </xdr:nvSpPr>
      <xdr:spPr bwMode="auto">
        <a:xfrm>
          <a:off x="4238625" y="628650"/>
          <a:ext cx="1133475" cy="847725"/>
        </a:xfrm>
        <a:prstGeom prst="star16">
          <a:avLst/>
        </a:prstGeom>
        <a:ln>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18288" tIns="0" rIns="0" bIns="0" rtlCol="0" anchor="ctr" upright="1"/>
        <a:lstStyle/>
        <a:p>
          <a:pPr algn="ctr"/>
          <a:r>
            <a:rPr lang="en-US" sz="1400" b="1">
              <a:solidFill>
                <a:srgbClr val="FF0000"/>
              </a:solidFill>
              <a:latin typeface="+mn-lt"/>
              <a:ea typeface="+mn-ea"/>
              <a:cs typeface="+mn-cs"/>
            </a:rPr>
            <a:t>WITH        </a:t>
          </a:r>
          <a:r>
            <a:rPr lang="en-US" sz="1400" b="1" baseline="0">
              <a:solidFill>
                <a:srgbClr val="FF0000"/>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2</xdr:col>
      <xdr:colOff>142875</xdr:colOff>
      <xdr:row>3</xdr:row>
      <xdr:rowOff>180974</xdr:rowOff>
    </xdr:from>
    <xdr:to>
      <xdr:col>7</xdr:col>
      <xdr:colOff>0</xdr:colOff>
      <xdr:row>6</xdr:row>
      <xdr:rowOff>161924</xdr:rowOff>
    </xdr:to>
    <xdr:sp macro="" textlink="">
      <xdr:nvSpPr>
        <xdr:cNvPr id="4" name="Rounded Rectangle 3">
          <a:extLst>
            <a:ext uri="{FF2B5EF4-FFF2-40B4-BE49-F238E27FC236}">
              <a16:creationId xmlns:a16="http://schemas.microsoft.com/office/drawing/2014/main" xmlns="" id="{00000000-0008-0000-0900-000004000000}"/>
            </a:ext>
          </a:extLst>
        </xdr:cNvPr>
        <xdr:cNvSpPr/>
      </xdr:nvSpPr>
      <xdr:spPr>
        <a:xfrm>
          <a:off x="676275" y="752474"/>
          <a:ext cx="3514725" cy="552450"/>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6</xdr:col>
      <xdr:colOff>142875</xdr:colOff>
      <xdr:row>4</xdr:row>
      <xdr:rowOff>57150</xdr:rowOff>
    </xdr:from>
    <xdr:to>
      <xdr:col>6</xdr:col>
      <xdr:colOff>657225</xdr:colOff>
      <xdr:row>6</xdr:row>
      <xdr:rowOff>104775</xdr:rowOff>
    </xdr:to>
    <xdr:grpSp>
      <xdr:nvGrpSpPr>
        <xdr:cNvPr id="5" name="Group 9">
          <a:extLst>
            <a:ext uri="{FF2B5EF4-FFF2-40B4-BE49-F238E27FC236}">
              <a16:creationId xmlns:a16="http://schemas.microsoft.com/office/drawing/2014/main" xmlns="" id="{00000000-0008-0000-0900-000005000000}"/>
            </a:ext>
          </a:extLst>
        </xdr:cNvPr>
        <xdr:cNvGrpSpPr>
          <a:grpSpLocks/>
        </xdr:cNvGrpSpPr>
      </xdr:nvGrpSpPr>
      <xdr:grpSpPr bwMode="auto">
        <a:xfrm>
          <a:off x="3581400" y="809625"/>
          <a:ext cx="514350" cy="447675"/>
          <a:chOff x="105763081" y="105237244"/>
          <a:chExt cx="1752163" cy="1883105"/>
        </a:xfrm>
        <a:scene3d>
          <a:camera prst="orthographicFront">
            <a:rot lat="298850" lon="26213" rev="301140"/>
          </a:camera>
          <a:lightRig rig="threePt" dir="t"/>
        </a:scene3d>
      </xdr:grpSpPr>
      <xdr:sp macro="" textlink="">
        <xdr:nvSpPr>
          <xdr:cNvPr id="6" name="AutoShape 10">
            <a:extLst>
              <a:ext uri="{FF2B5EF4-FFF2-40B4-BE49-F238E27FC236}">
                <a16:creationId xmlns:a16="http://schemas.microsoft.com/office/drawing/2014/main" xmlns="" id="{00000000-0008-0000-0900-000006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7" name="AutoShape 11">
            <a:extLst>
              <a:ext uri="{FF2B5EF4-FFF2-40B4-BE49-F238E27FC236}">
                <a16:creationId xmlns:a16="http://schemas.microsoft.com/office/drawing/2014/main" xmlns="" id="{00000000-0008-0000-0900-000007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2</xdr:col>
      <xdr:colOff>57150</xdr:colOff>
      <xdr:row>4</xdr:row>
      <xdr:rowOff>28575</xdr:rowOff>
    </xdr:from>
    <xdr:to>
      <xdr:col>2</xdr:col>
      <xdr:colOff>457200</xdr:colOff>
      <xdr:row>6</xdr:row>
      <xdr:rowOff>76200</xdr:rowOff>
    </xdr:to>
    <xdr:grpSp>
      <xdr:nvGrpSpPr>
        <xdr:cNvPr id="8" name="Group 9">
          <a:extLst>
            <a:ext uri="{FF2B5EF4-FFF2-40B4-BE49-F238E27FC236}">
              <a16:creationId xmlns:a16="http://schemas.microsoft.com/office/drawing/2014/main" xmlns="" id="{00000000-0008-0000-0900-000008000000}"/>
            </a:ext>
          </a:extLst>
        </xdr:cNvPr>
        <xdr:cNvGrpSpPr>
          <a:grpSpLocks/>
        </xdr:cNvGrpSpPr>
      </xdr:nvGrpSpPr>
      <xdr:grpSpPr bwMode="auto">
        <a:xfrm>
          <a:off x="590550" y="781050"/>
          <a:ext cx="400050" cy="447675"/>
          <a:chOff x="105763081" y="105237244"/>
          <a:chExt cx="1752163" cy="1883105"/>
        </a:xfrm>
        <a:scene3d>
          <a:camera prst="orthographicFront">
            <a:rot lat="298850" lon="26213" rev="11101140"/>
          </a:camera>
          <a:lightRig rig="threePt" dir="t"/>
        </a:scene3d>
      </xdr:grpSpPr>
      <xdr:sp macro="" textlink="">
        <xdr:nvSpPr>
          <xdr:cNvPr id="9" name="AutoShape 10">
            <a:extLst>
              <a:ext uri="{FF2B5EF4-FFF2-40B4-BE49-F238E27FC236}">
                <a16:creationId xmlns:a16="http://schemas.microsoft.com/office/drawing/2014/main" xmlns="" id="{00000000-0008-0000-0900-000009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10" name="AutoShape 11">
            <a:extLst>
              <a:ext uri="{FF2B5EF4-FFF2-40B4-BE49-F238E27FC236}">
                <a16:creationId xmlns:a16="http://schemas.microsoft.com/office/drawing/2014/main" xmlns="" id="{00000000-0008-0000-0900-00000A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8</xdr:col>
      <xdr:colOff>47623</xdr:colOff>
      <xdr:row>44</xdr:row>
      <xdr:rowOff>152400</xdr:rowOff>
    </xdr:from>
    <xdr:to>
      <xdr:col>11</xdr:col>
      <xdr:colOff>323850</xdr:colOff>
      <xdr:row>52</xdr:row>
      <xdr:rowOff>0</xdr:rowOff>
    </xdr:to>
    <xdr:sp macro="" textlink="">
      <xdr:nvSpPr>
        <xdr:cNvPr id="11" name="Round Diagonal Corner Rectangle 10">
          <a:extLst>
            <a:ext uri="{FF2B5EF4-FFF2-40B4-BE49-F238E27FC236}">
              <a16:creationId xmlns:a16="http://schemas.microsoft.com/office/drawing/2014/main" xmlns="" id="{00000000-0008-0000-0900-00000B000000}"/>
            </a:ext>
          </a:extLst>
        </xdr:cNvPr>
        <xdr:cNvSpPr/>
      </xdr:nvSpPr>
      <xdr:spPr>
        <a:xfrm>
          <a:off x="5010148" y="8429625"/>
          <a:ext cx="2486027" cy="1447800"/>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8</xdr:col>
      <xdr:colOff>104777</xdr:colOff>
      <xdr:row>45</xdr:row>
      <xdr:rowOff>180976</xdr:rowOff>
    </xdr:from>
    <xdr:to>
      <xdr:col>8</xdr:col>
      <xdr:colOff>419100</xdr:colOff>
      <xdr:row>51</xdr:row>
      <xdr:rowOff>28576</xdr:rowOff>
    </xdr:to>
    <xdr:grpSp>
      <xdr:nvGrpSpPr>
        <xdr:cNvPr id="12" name="Group 38">
          <a:extLst>
            <a:ext uri="{FF2B5EF4-FFF2-40B4-BE49-F238E27FC236}">
              <a16:creationId xmlns:a16="http://schemas.microsoft.com/office/drawing/2014/main" xmlns="" id="{00000000-0008-0000-0900-00000C000000}"/>
            </a:ext>
          </a:extLst>
        </xdr:cNvPr>
        <xdr:cNvGrpSpPr>
          <a:grpSpLocks/>
        </xdr:cNvGrpSpPr>
      </xdr:nvGrpSpPr>
      <xdr:grpSpPr bwMode="auto">
        <a:xfrm>
          <a:off x="5067302" y="8629651"/>
          <a:ext cx="314323" cy="1076325"/>
          <a:chOff x="112842675" y="108899325"/>
          <a:chExt cx="762763" cy="1285875"/>
        </a:xfrm>
      </xdr:grpSpPr>
      <xdr:sp macro="" textlink="">
        <xdr:nvSpPr>
          <xdr:cNvPr id="13" name="Oval 39">
            <a:extLst>
              <a:ext uri="{FF2B5EF4-FFF2-40B4-BE49-F238E27FC236}">
                <a16:creationId xmlns:a16="http://schemas.microsoft.com/office/drawing/2014/main" xmlns="" id="{00000000-0008-0000-0900-00000D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4" name="Oval 40">
            <a:extLst>
              <a:ext uri="{FF2B5EF4-FFF2-40B4-BE49-F238E27FC236}">
                <a16:creationId xmlns:a16="http://schemas.microsoft.com/office/drawing/2014/main" xmlns="" id="{00000000-0008-0000-0900-00000E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5" name="Oval 41">
            <a:extLst>
              <a:ext uri="{FF2B5EF4-FFF2-40B4-BE49-F238E27FC236}">
                <a16:creationId xmlns:a16="http://schemas.microsoft.com/office/drawing/2014/main" xmlns="" id="{00000000-0008-0000-0900-00000F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6" name="Oval 42">
            <a:extLst>
              <a:ext uri="{FF2B5EF4-FFF2-40B4-BE49-F238E27FC236}">
                <a16:creationId xmlns:a16="http://schemas.microsoft.com/office/drawing/2014/main" xmlns="" id="{00000000-0008-0000-0900-000010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7" name="Oval 43">
            <a:extLst>
              <a:ext uri="{FF2B5EF4-FFF2-40B4-BE49-F238E27FC236}">
                <a16:creationId xmlns:a16="http://schemas.microsoft.com/office/drawing/2014/main" xmlns="" id="{00000000-0008-0000-0900-000011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8" name="Oval 44">
            <a:extLst>
              <a:ext uri="{FF2B5EF4-FFF2-40B4-BE49-F238E27FC236}">
                <a16:creationId xmlns:a16="http://schemas.microsoft.com/office/drawing/2014/main" xmlns="" id="{00000000-0008-0000-0900-000012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9" name="Oval 45">
            <a:extLst>
              <a:ext uri="{FF2B5EF4-FFF2-40B4-BE49-F238E27FC236}">
                <a16:creationId xmlns:a16="http://schemas.microsoft.com/office/drawing/2014/main" xmlns="" id="{00000000-0008-0000-0900-000013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20" name="Oval 46">
            <a:extLst>
              <a:ext uri="{FF2B5EF4-FFF2-40B4-BE49-F238E27FC236}">
                <a16:creationId xmlns:a16="http://schemas.microsoft.com/office/drawing/2014/main" xmlns="" id="{00000000-0008-0000-0900-000014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21" name="Oval 47">
            <a:extLst>
              <a:ext uri="{FF2B5EF4-FFF2-40B4-BE49-F238E27FC236}">
                <a16:creationId xmlns:a16="http://schemas.microsoft.com/office/drawing/2014/main" xmlns="" id="{00000000-0008-0000-0900-000015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2" name="Oval 48">
            <a:extLst>
              <a:ext uri="{FF2B5EF4-FFF2-40B4-BE49-F238E27FC236}">
                <a16:creationId xmlns:a16="http://schemas.microsoft.com/office/drawing/2014/main" xmlns="" id="{00000000-0008-0000-0900-000016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3" name="Oval 49">
            <a:extLst>
              <a:ext uri="{FF2B5EF4-FFF2-40B4-BE49-F238E27FC236}">
                <a16:creationId xmlns:a16="http://schemas.microsoft.com/office/drawing/2014/main" xmlns="" id="{00000000-0008-0000-0900-000017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4" name="Oval 50">
            <a:extLst>
              <a:ext uri="{FF2B5EF4-FFF2-40B4-BE49-F238E27FC236}">
                <a16:creationId xmlns:a16="http://schemas.microsoft.com/office/drawing/2014/main" xmlns="" id="{00000000-0008-0000-0900-000018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5" name="Oval 51">
            <a:extLst>
              <a:ext uri="{FF2B5EF4-FFF2-40B4-BE49-F238E27FC236}">
                <a16:creationId xmlns:a16="http://schemas.microsoft.com/office/drawing/2014/main" xmlns="" id="{00000000-0008-0000-0900-000019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6" name="Oval 52">
            <a:extLst>
              <a:ext uri="{FF2B5EF4-FFF2-40B4-BE49-F238E27FC236}">
                <a16:creationId xmlns:a16="http://schemas.microsoft.com/office/drawing/2014/main" xmlns="" id="{00000000-0008-0000-0900-00001A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7" name="Oval 53">
            <a:extLst>
              <a:ext uri="{FF2B5EF4-FFF2-40B4-BE49-F238E27FC236}">
                <a16:creationId xmlns:a16="http://schemas.microsoft.com/office/drawing/2014/main" xmlns="" id="{00000000-0008-0000-0900-00001B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8" name="Oval 54">
            <a:extLst>
              <a:ext uri="{FF2B5EF4-FFF2-40B4-BE49-F238E27FC236}">
                <a16:creationId xmlns:a16="http://schemas.microsoft.com/office/drawing/2014/main" xmlns="" id="{00000000-0008-0000-0900-00001C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9" name="Oval 55">
            <a:extLst>
              <a:ext uri="{FF2B5EF4-FFF2-40B4-BE49-F238E27FC236}">
                <a16:creationId xmlns:a16="http://schemas.microsoft.com/office/drawing/2014/main" xmlns="" id="{00000000-0008-0000-0900-00001D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30" name="Oval 56">
            <a:extLst>
              <a:ext uri="{FF2B5EF4-FFF2-40B4-BE49-F238E27FC236}">
                <a16:creationId xmlns:a16="http://schemas.microsoft.com/office/drawing/2014/main" xmlns="" id="{00000000-0008-0000-0900-00001E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31" name="Oval 57">
            <a:extLst>
              <a:ext uri="{FF2B5EF4-FFF2-40B4-BE49-F238E27FC236}">
                <a16:creationId xmlns:a16="http://schemas.microsoft.com/office/drawing/2014/main" xmlns="" id="{00000000-0008-0000-0900-00001F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2" name="Oval 58">
            <a:extLst>
              <a:ext uri="{FF2B5EF4-FFF2-40B4-BE49-F238E27FC236}">
                <a16:creationId xmlns:a16="http://schemas.microsoft.com/office/drawing/2014/main" xmlns="" id="{00000000-0008-0000-0900-000020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3" name="Oval 59">
            <a:extLst>
              <a:ext uri="{FF2B5EF4-FFF2-40B4-BE49-F238E27FC236}">
                <a16:creationId xmlns:a16="http://schemas.microsoft.com/office/drawing/2014/main" xmlns="" id="{00000000-0008-0000-0900-000021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4" name="Oval 60">
            <a:extLst>
              <a:ext uri="{FF2B5EF4-FFF2-40B4-BE49-F238E27FC236}">
                <a16:creationId xmlns:a16="http://schemas.microsoft.com/office/drawing/2014/main" xmlns="" id="{00000000-0008-0000-0900-000022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5" name="Oval 61">
            <a:extLst>
              <a:ext uri="{FF2B5EF4-FFF2-40B4-BE49-F238E27FC236}">
                <a16:creationId xmlns:a16="http://schemas.microsoft.com/office/drawing/2014/main" xmlns="" id="{00000000-0008-0000-0900-000023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6" name="Oval 62">
            <a:extLst>
              <a:ext uri="{FF2B5EF4-FFF2-40B4-BE49-F238E27FC236}">
                <a16:creationId xmlns:a16="http://schemas.microsoft.com/office/drawing/2014/main" xmlns="" id="{00000000-0008-0000-0900-000024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7" name="Oval 63">
            <a:extLst>
              <a:ext uri="{FF2B5EF4-FFF2-40B4-BE49-F238E27FC236}">
                <a16:creationId xmlns:a16="http://schemas.microsoft.com/office/drawing/2014/main" xmlns="" id="{00000000-0008-0000-0900-000025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8" name="Oval 64">
            <a:extLst>
              <a:ext uri="{FF2B5EF4-FFF2-40B4-BE49-F238E27FC236}">
                <a16:creationId xmlns:a16="http://schemas.microsoft.com/office/drawing/2014/main" xmlns="" id="{00000000-0008-0000-0900-000026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9" name="Oval 65">
            <a:extLst>
              <a:ext uri="{FF2B5EF4-FFF2-40B4-BE49-F238E27FC236}">
                <a16:creationId xmlns:a16="http://schemas.microsoft.com/office/drawing/2014/main" xmlns="" id="{00000000-0008-0000-0900-000027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40" name="Oval 66">
            <a:extLst>
              <a:ext uri="{FF2B5EF4-FFF2-40B4-BE49-F238E27FC236}">
                <a16:creationId xmlns:a16="http://schemas.microsoft.com/office/drawing/2014/main" xmlns="" id="{00000000-0008-0000-0900-000028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41" name="Oval 67">
            <a:extLst>
              <a:ext uri="{FF2B5EF4-FFF2-40B4-BE49-F238E27FC236}">
                <a16:creationId xmlns:a16="http://schemas.microsoft.com/office/drawing/2014/main" xmlns="" id="{00000000-0008-0000-0900-000029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2" name="Oval 68">
            <a:extLst>
              <a:ext uri="{FF2B5EF4-FFF2-40B4-BE49-F238E27FC236}">
                <a16:creationId xmlns:a16="http://schemas.microsoft.com/office/drawing/2014/main" xmlns="" id="{00000000-0008-0000-0900-00002A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3" name="Oval 69">
            <a:extLst>
              <a:ext uri="{FF2B5EF4-FFF2-40B4-BE49-F238E27FC236}">
                <a16:creationId xmlns:a16="http://schemas.microsoft.com/office/drawing/2014/main" xmlns="" id="{00000000-0008-0000-0900-00002B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oneCellAnchor>
    <xdr:from>
      <xdr:col>8</xdr:col>
      <xdr:colOff>76199</xdr:colOff>
      <xdr:row>18</xdr:row>
      <xdr:rowOff>1</xdr:rowOff>
    </xdr:from>
    <xdr:ext cx="2466975" cy="2933700"/>
    <xdr:pic>
      <xdr:nvPicPr>
        <xdr:cNvPr id="44" name="Picture 533">
          <a:extLst>
            <a:ext uri="{FF2B5EF4-FFF2-40B4-BE49-F238E27FC236}">
              <a16:creationId xmlns:a16="http://schemas.microsoft.com/office/drawing/2014/main" xmlns="" id="{00000000-0008-0000-0900-00002C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038724" y="3581401"/>
          <a:ext cx="2466975" cy="2933700"/>
        </a:xfrm>
        <a:prstGeom prst="rect">
          <a:avLst/>
        </a:prstGeom>
        <a:ln>
          <a:noFill/>
        </a:ln>
        <a:effectLst>
          <a:softEdge rad="112500"/>
        </a:effectLst>
      </xdr:spPr>
    </xdr:pic>
    <xdr:clientData/>
  </xdr:oneCellAnchor>
  <xdr:twoCellAnchor>
    <xdr:from>
      <xdr:col>9</xdr:col>
      <xdr:colOff>19050</xdr:colOff>
      <xdr:row>14</xdr:row>
      <xdr:rowOff>0</xdr:rowOff>
    </xdr:from>
    <xdr:to>
      <xdr:col>10</xdr:col>
      <xdr:colOff>571500</xdr:colOff>
      <xdr:row>18</xdr:row>
      <xdr:rowOff>28575</xdr:rowOff>
    </xdr:to>
    <xdr:sp macro="" textlink="">
      <xdr:nvSpPr>
        <xdr:cNvPr id="45" name="Oval 44">
          <a:extLst>
            <a:ext uri="{FF2B5EF4-FFF2-40B4-BE49-F238E27FC236}">
              <a16:creationId xmlns:a16="http://schemas.microsoft.com/office/drawing/2014/main" xmlns="" id="{00000000-0008-0000-0900-00002D000000}"/>
            </a:ext>
          </a:extLst>
        </xdr:cNvPr>
        <xdr:cNvSpPr/>
      </xdr:nvSpPr>
      <xdr:spPr>
        <a:xfrm>
          <a:off x="6000750" y="2667000"/>
          <a:ext cx="1104900" cy="790575"/>
        </a:xfrm>
        <a:prstGeom prst="ellipse">
          <a:avLst/>
        </a:prstGeom>
        <a:noFill/>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8</xdr:col>
      <xdr:colOff>57150</xdr:colOff>
      <xdr:row>13</xdr:row>
      <xdr:rowOff>47625</xdr:rowOff>
    </xdr:from>
    <xdr:ext cx="981075" cy="952500"/>
    <xdr:pic>
      <xdr:nvPicPr>
        <xdr:cNvPr id="46" name="Picture 1" descr="savings image க்கான பட முடிவு">
          <a:extLst>
            <a:ext uri="{FF2B5EF4-FFF2-40B4-BE49-F238E27FC236}">
              <a16:creationId xmlns:a16="http://schemas.microsoft.com/office/drawing/2014/main" xmlns="" id="{00000000-0008-0000-0900-00002E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019675" y="2524125"/>
          <a:ext cx="981075" cy="952500"/>
        </a:xfrm>
        <a:prstGeom prst="rect">
          <a:avLst/>
        </a:prstGeom>
        <a:noFill/>
      </xdr:spPr>
    </xdr:pic>
    <xdr:clientData/>
  </xdr:oneCellAnchor>
  <xdr:twoCellAnchor>
    <xdr:from>
      <xdr:col>4</xdr:col>
      <xdr:colOff>19050</xdr:colOff>
      <xdr:row>0</xdr:row>
      <xdr:rowOff>0</xdr:rowOff>
    </xdr:from>
    <xdr:to>
      <xdr:col>6</xdr:col>
      <xdr:colOff>742950</xdr:colOff>
      <xdr:row>1</xdr:row>
      <xdr:rowOff>47625</xdr:rowOff>
    </xdr:to>
    <xdr:pic>
      <xdr:nvPicPr>
        <xdr:cNvPr id="47" name="Picture 46">
          <a:extLst>
            <a:ext uri="{FF2B5EF4-FFF2-40B4-BE49-F238E27FC236}">
              <a16:creationId xmlns:a16="http://schemas.microsoft.com/office/drawing/2014/main" xmlns="" id="{00000000-0008-0000-0900-00002F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962150" y="0"/>
          <a:ext cx="2219325" cy="238125"/>
        </a:xfrm>
        <a:prstGeom prst="rect">
          <a:avLst/>
        </a:prstGeom>
        <a:noFill/>
        <a:ln w="9525">
          <a:noFill/>
          <a:round/>
          <a:headEnd/>
          <a:tailEnd/>
        </a:ln>
        <a:effectLst/>
      </xdr:spPr>
    </xdr:pic>
    <xdr:clientData/>
  </xdr:twoCellAnchor>
  <xdr:twoCellAnchor>
    <xdr:from>
      <xdr:col>3</xdr:col>
      <xdr:colOff>66675</xdr:colOff>
      <xdr:row>1</xdr:row>
      <xdr:rowOff>0</xdr:rowOff>
    </xdr:from>
    <xdr:to>
      <xdr:col>8</xdr:col>
      <xdr:colOff>809625</xdr:colOff>
      <xdr:row>2</xdr:row>
      <xdr:rowOff>85725</xdr:rowOff>
    </xdr:to>
    <xdr:pic>
      <xdr:nvPicPr>
        <xdr:cNvPr id="48" name="Picture 47">
          <a:extLst>
            <a:ext uri="{FF2B5EF4-FFF2-40B4-BE49-F238E27FC236}">
              <a16:creationId xmlns:a16="http://schemas.microsoft.com/office/drawing/2014/main" xmlns="" id="{00000000-0008-0000-0900-000030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285875" y="190500"/>
          <a:ext cx="4486275" cy="276225"/>
        </a:xfrm>
        <a:prstGeom prst="rect">
          <a:avLst/>
        </a:prstGeom>
        <a:noFill/>
        <a:ln w="9525">
          <a:noFill/>
          <a:round/>
          <a:headEnd/>
          <a:tailEnd/>
        </a:ln>
        <a:effectLst/>
      </xdr:spPr>
    </xdr:pic>
    <xdr:clientData/>
  </xdr:twoCellAnchor>
  <xdr:twoCellAnchor>
    <xdr:from>
      <xdr:col>5</xdr:col>
      <xdr:colOff>66674</xdr:colOff>
      <xdr:row>45</xdr:row>
      <xdr:rowOff>190500</xdr:rowOff>
    </xdr:from>
    <xdr:to>
      <xdr:col>7</xdr:col>
      <xdr:colOff>38099</xdr:colOff>
      <xdr:row>50</xdr:row>
      <xdr:rowOff>19050</xdr:rowOff>
    </xdr:to>
    <xdr:sp macro="" textlink="">
      <xdr:nvSpPr>
        <xdr:cNvPr id="49" name="Rounded Rectangle 48">
          <a:extLst>
            <a:ext uri="{FF2B5EF4-FFF2-40B4-BE49-F238E27FC236}">
              <a16:creationId xmlns:a16="http://schemas.microsoft.com/office/drawing/2014/main" xmlns="" id="{00000000-0008-0000-0900-000031000000}"/>
            </a:ext>
          </a:extLst>
        </xdr:cNvPr>
        <xdr:cNvSpPr/>
      </xdr:nvSpPr>
      <xdr:spPr>
        <a:xfrm>
          <a:off x="2733674" y="8763000"/>
          <a:ext cx="1495425" cy="781050"/>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12</xdr:col>
      <xdr:colOff>28575</xdr:colOff>
      <xdr:row>14</xdr:row>
      <xdr:rowOff>66676</xdr:rowOff>
    </xdr:from>
    <xdr:ext cx="361949" cy="295275"/>
    <xdr:pic>
      <xdr:nvPicPr>
        <xdr:cNvPr id="50" name="Picture 2">
          <a:hlinkClick xmlns:r="http://schemas.openxmlformats.org/officeDocument/2006/relationships" r:id="rId6"/>
          <a:extLst>
            <a:ext uri="{FF2B5EF4-FFF2-40B4-BE49-F238E27FC236}">
              <a16:creationId xmlns:a16="http://schemas.microsoft.com/office/drawing/2014/main" xmlns="" id="{00000000-0008-0000-0900-000032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7543800" y="2733676"/>
          <a:ext cx="361949" cy="295275"/>
        </a:xfrm>
        <a:prstGeom prst="rect">
          <a:avLst/>
        </a:prstGeom>
        <a:noFill/>
      </xdr:spPr>
    </xdr:pic>
    <xdr:clientData/>
  </xdr:oneCellAnchor>
  <xdr:oneCellAnchor>
    <xdr:from>
      <xdr:col>12</xdr:col>
      <xdr:colOff>28575</xdr:colOff>
      <xdr:row>6</xdr:row>
      <xdr:rowOff>28576</xdr:rowOff>
    </xdr:from>
    <xdr:ext cx="361949" cy="295275"/>
    <xdr:pic>
      <xdr:nvPicPr>
        <xdr:cNvPr id="51" name="Picture 2">
          <a:hlinkClick xmlns:r="http://schemas.openxmlformats.org/officeDocument/2006/relationships" r:id="rId8"/>
          <a:extLst>
            <a:ext uri="{FF2B5EF4-FFF2-40B4-BE49-F238E27FC236}">
              <a16:creationId xmlns:a16="http://schemas.microsoft.com/office/drawing/2014/main" xmlns="" id="{00000000-0008-0000-0900-000033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7543800" y="1171576"/>
          <a:ext cx="361949" cy="295275"/>
        </a:xfrm>
        <a:prstGeom prst="rect">
          <a:avLst/>
        </a:prstGeom>
        <a:noFill/>
      </xdr:spPr>
    </xdr:pic>
    <xdr:clientData/>
  </xdr:oneCellAnchor>
  <xdr:twoCellAnchor>
    <xdr:from>
      <xdr:col>12</xdr:col>
      <xdr:colOff>142875</xdr:colOff>
      <xdr:row>0</xdr:row>
      <xdr:rowOff>0</xdr:rowOff>
    </xdr:from>
    <xdr:to>
      <xdr:col>15</xdr:col>
      <xdr:colOff>438150</xdr:colOff>
      <xdr:row>3</xdr:row>
      <xdr:rowOff>95250</xdr:rowOff>
    </xdr:to>
    <xdr:sp macro="" textlink="">
      <xdr:nvSpPr>
        <xdr:cNvPr id="52" name="Left Arrow 51">
          <a:extLst>
            <a:ext uri="{FF2B5EF4-FFF2-40B4-BE49-F238E27FC236}">
              <a16:creationId xmlns:a16="http://schemas.microsoft.com/office/drawing/2014/main" xmlns="" id="{00000000-0008-0000-0900-000034000000}"/>
            </a:ext>
          </a:extLst>
        </xdr:cNvPr>
        <xdr:cNvSpPr/>
      </xdr:nvSpPr>
      <xdr:spPr>
        <a:xfrm>
          <a:off x="7658100" y="0"/>
          <a:ext cx="1438275" cy="6667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8</xdr:col>
      <xdr:colOff>57150</xdr:colOff>
      <xdr:row>34</xdr:row>
      <xdr:rowOff>85725</xdr:rowOff>
    </xdr:from>
    <xdr:to>
      <xdr:col>11</xdr:col>
      <xdr:colOff>276225</xdr:colOff>
      <xdr:row>41</xdr:row>
      <xdr:rowOff>104775</xdr:rowOff>
    </xdr:to>
    <xdr:sp macro="" textlink="">
      <xdr:nvSpPr>
        <xdr:cNvPr id="53" name="Rounded Rectangle 52">
          <a:extLst>
            <a:ext uri="{FF2B5EF4-FFF2-40B4-BE49-F238E27FC236}">
              <a16:creationId xmlns:a16="http://schemas.microsoft.com/office/drawing/2014/main" xmlns="" id="{00000000-0008-0000-0900-000035000000}"/>
            </a:ext>
          </a:extLst>
        </xdr:cNvPr>
        <xdr:cNvSpPr/>
      </xdr:nvSpPr>
      <xdr:spPr>
        <a:xfrm>
          <a:off x="5019675" y="6562725"/>
          <a:ext cx="2428875" cy="1352550"/>
        </a:xfrm>
        <a:prstGeom prst="roundRect">
          <a:avLst/>
        </a:prstGeom>
        <a:noFill/>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8</xdr:col>
      <xdr:colOff>152399</xdr:colOff>
      <xdr:row>38</xdr:row>
      <xdr:rowOff>66673</xdr:rowOff>
    </xdr:from>
    <xdr:ext cx="523875" cy="561977"/>
    <xdr:pic>
      <xdr:nvPicPr>
        <xdr:cNvPr id="54" name="Picture 53">
          <a:extLst>
            <a:ext uri="{FF2B5EF4-FFF2-40B4-BE49-F238E27FC236}">
              <a16:creationId xmlns:a16="http://schemas.microsoft.com/office/drawing/2014/main" xmlns="" id="{00000000-0008-0000-0900-00003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5114924" y="7305673"/>
          <a:ext cx="523875" cy="561977"/>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0</xdr:col>
      <xdr:colOff>57150</xdr:colOff>
      <xdr:row>0</xdr:row>
      <xdr:rowOff>1</xdr:rowOff>
    </xdr:from>
    <xdr:to>
      <xdr:col>3</xdr:col>
      <xdr:colOff>38100</xdr:colOff>
      <xdr:row>3</xdr:row>
      <xdr:rowOff>28576</xdr:rowOff>
    </xdr:to>
    <xdr:pic>
      <xdr:nvPicPr>
        <xdr:cNvPr id="2" name="image00.jpg">
          <a:extLst>
            <a:ext uri="{FF2B5EF4-FFF2-40B4-BE49-F238E27FC236}">
              <a16:creationId xmlns:a16="http://schemas.microsoft.com/office/drawing/2014/main" xmlns="" id="{00000000-0008-0000-0A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1"/>
          <a:ext cx="1200150" cy="600075"/>
        </a:xfrm>
        <a:prstGeom prst="rect">
          <a:avLst/>
        </a:prstGeom>
        <a:noFill/>
        <a:ln w="9525">
          <a:noFill/>
          <a:round/>
          <a:headEnd/>
          <a:tailEnd/>
        </a:ln>
      </xdr:spPr>
    </xdr:pic>
    <xdr:clientData/>
  </xdr:twoCellAnchor>
  <xdr:twoCellAnchor>
    <xdr:from>
      <xdr:col>1</xdr:col>
      <xdr:colOff>152399</xdr:colOff>
      <xdr:row>3</xdr:row>
      <xdr:rowOff>142875</xdr:rowOff>
    </xdr:from>
    <xdr:to>
      <xdr:col>6</xdr:col>
      <xdr:colOff>381000</xdr:colOff>
      <xdr:row>7</xdr:row>
      <xdr:rowOff>66675</xdr:rowOff>
    </xdr:to>
    <xdr:sp macro="" textlink="">
      <xdr:nvSpPr>
        <xdr:cNvPr id="3" name="Rounded Rectangle 2">
          <a:extLst>
            <a:ext uri="{FF2B5EF4-FFF2-40B4-BE49-F238E27FC236}">
              <a16:creationId xmlns:a16="http://schemas.microsoft.com/office/drawing/2014/main" xmlns="" id="{00000000-0008-0000-0A00-000003000000}"/>
            </a:ext>
          </a:extLst>
        </xdr:cNvPr>
        <xdr:cNvSpPr/>
      </xdr:nvSpPr>
      <xdr:spPr>
        <a:xfrm>
          <a:off x="371474" y="714375"/>
          <a:ext cx="3371851" cy="685800"/>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5</xdr:col>
      <xdr:colOff>552450</xdr:colOff>
      <xdr:row>4</xdr:row>
      <xdr:rowOff>0</xdr:rowOff>
    </xdr:from>
    <xdr:to>
      <xdr:col>6</xdr:col>
      <xdr:colOff>295275</xdr:colOff>
      <xdr:row>7</xdr:row>
      <xdr:rowOff>47625</xdr:rowOff>
    </xdr:to>
    <xdr:grpSp>
      <xdr:nvGrpSpPr>
        <xdr:cNvPr id="4" name="Group 9">
          <a:extLst>
            <a:ext uri="{FF2B5EF4-FFF2-40B4-BE49-F238E27FC236}">
              <a16:creationId xmlns:a16="http://schemas.microsoft.com/office/drawing/2014/main" xmlns="" id="{00000000-0008-0000-0A00-000004000000}"/>
            </a:ext>
          </a:extLst>
        </xdr:cNvPr>
        <xdr:cNvGrpSpPr>
          <a:grpSpLocks/>
        </xdr:cNvGrpSpPr>
      </xdr:nvGrpSpPr>
      <xdr:grpSpPr bwMode="auto">
        <a:xfrm>
          <a:off x="3152775" y="685800"/>
          <a:ext cx="504825" cy="638175"/>
          <a:chOff x="105763081" y="105237244"/>
          <a:chExt cx="1752163" cy="1883105"/>
        </a:xfrm>
        <a:scene3d>
          <a:camera prst="orthographicFront">
            <a:rot lat="298850" lon="26213" rev="301140"/>
          </a:camera>
          <a:lightRig rig="threePt" dir="t"/>
        </a:scene3d>
      </xdr:grpSpPr>
      <xdr:sp macro="" textlink="">
        <xdr:nvSpPr>
          <xdr:cNvPr id="5" name="AutoShape 10">
            <a:extLst>
              <a:ext uri="{FF2B5EF4-FFF2-40B4-BE49-F238E27FC236}">
                <a16:creationId xmlns:a16="http://schemas.microsoft.com/office/drawing/2014/main" xmlns="" id="{00000000-0008-0000-0A00-000005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6" name="AutoShape 11">
            <a:extLst>
              <a:ext uri="{FF2B5EF4-FFF2-40B4-BE49-F238E27FC236}">
                <a16:creationId xmlns:a16="http://schemas.microsoft.com/office/drawing/2014/main" xmlns="" id="{00000000-0008-0000-0A00-000006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8</xdr:col>
      <xdr:colOff>19049</xdr:colOff>
      <xdr:row>48</xdr:row>
      <xdr:rowOff>152400</xdr:rowOff>
    </xdr:from>
    <xdr:to>
      <xdr:col>11</xdr:col>
      <xdr:colOff>295275</xdr:colOff>
      <xdr:row>56</xdr:row>
      <xdr:rowOff>0</xdr:rowOff>
    </xdr:to>
    <xdr:sp macro="" textlink="">
      <xdr:nvSpPr>
        <xdr:cNvPr id="7" name="Round Diagonal Corner Rectangle 6">
          <a:extLst>
            <a:ext uri="{FF2B5EF4-FFF2-40B4-BE49-F238E27FC236}">
              <a16:creationId xmlns:a16="http://schemas.microsoft.com/office/drawing/2014/main" xmlns="" id="{00000000-0008-0000-0A00-000007000000}"/>
            </a:ext>
          </a:extLst>
        </xdr:cNvPr>
        <xdr:cNvSpPr/>
      </xdr:nvSpPr>
      <xdr:spPr>
        <a:xfrm>
          <a:off x="4981574" y="8943975"/>
          <a:ext cx="2486026" cy="1447800"/>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8</xdr:col>
      <xdr:colOff>85728</xdr:colOff>
      <xdr:row>50</xdr:row>
      <xdr:rowOff>66675</xdr:rowOff>
    </xdr:from>
    <xdr:to>
      <xdr:col>8</xdr:col>
      <xdr:colOff>361950</xdr:colOff>
      <xdr:row>54</xdr:row>
      <xdr:rowOff>152400</xdr:rowOff>
    </xdr:to>
    <xdr:grpSp>
      <xdr:nvGrpSpPr>
        <xdr:cNvPr id="8" name="Group 38">
          <a:extLst>
            <a:ext uri="{FF2B5EF4-FFF2-40B4-BE49-F238E27FC236}">
              <a16:creationId xmlns:a16="http://schemas.microsoft.com/office/drawing/2014/main" xmlns="" id="{00000000-0008-0000-0A00-000008000000}"/>
            </a:ext>
          </a:extLst>
        </xdr:cNvPr>
        <xdr:cNvGrpSpPr>
          <a:grpSpLocks/>
        </xdr:cNvGrpSpPr>
      </xdr:nvGrpSpPr>
      <xdr:grpSpPr bwMode="auto">
        <a:xfrm>
          <a:off x="5048253" y="9229725"/>
          <a:ext cx="276222" cy="914400"/>
          <a:chOff x="112842675" y="108899325"/>
          <a:chExt cx="762763" cy="1285875"/>
        </a:xfrm>
      </xdr:grpSpPr>
      <xdr:sp macro="" textlink="">
        <xdr:nvSpPr>
          <xdr:cNvPr id="9" name="Oval 39">
            <a:extLst>
              <a:ext uri="{FF2B5EF4-FFF2-40B4-BE49-F238E27FC236}">
                <a16:creationId xmlns:a16="http://schemas.microsoft.com/office/drawing/2014/main" xmlns="" id="{00000000-0008-0000-0A00-000009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0" name="Oval 40">
            <a:extLst>
              <a:ext uri="{FF2B5EF4-FFF2-40B4-BE49-F238E27FC236}">
                <a16:creationId xmlns:a16="http://schemas.microsoft.com/office/drawing/2014/main" xmlns="" id="{00000000-0008-0000-0A00-00000A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1" name="Oval 41">
            <a:extLst>
              <a:ext uri="{FF2B5EF4-FFF2-40B4-BE49-F238E27FC236}">
                <a16:creationId xmlns:a16="http://schemas.microsoft.com/office/drawing/2014/main" xmlns="" id="{00000000-0008-0000-0A00-00000B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2" name="Oval 42">
            <a:extLst>
              <a:ext uri="{FF2B5EF4-FFF2-40B4-BE49-F238E27FC236}">
                <a16:creationId xmlns:a16="http://schemas.microsoft.com/office/drawing/2014/main" xmlns="" id="{00000000-0008-0000-0A00-00000C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3" name="Oval 43">
            <a:extLst>
              <a:ext uri="{FF2B5EF4-FFF2-40B4-BE49-F238E27FC236}">
                <a16:creationId xmlns:a16="http://schemas.microsoft.com/office/drawing/2014/main" xmlns="" id="{00000000-0008-0000-0A00-00000D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4" name="Oval 44">
            <a:extLst>
              <a:ext uri="{FF2B5EF4-FFF2-40B4-BE49-F238E27FC236}">
                <a16:creationId xmlns:a16="http://schemas.microsoft.com/office/drawing/2014/main" xmlns="" id="{00000000-0008-0000-0A00-00000E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5" name="Oval 45">
            <a:extLst>
              <a:ext uri="{FF2B5EF4-FFF2-40B4-BE49-F238E27FC236}">
                <a16:creationId xmlns:a16="http://schemas.microsoft.com/office/drawing/2014/main" xmlns="" id="{00000000-0008-0000-0A00-00000F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6" name="Oval 46">
            <a:extLst>
              <a:ext uri="{FF2B5EF4-FFF2-40B4-BE49-F238E27FC236}">
                <a16:creationId xmlns:a16="http://schemas.microsoft.com/office/drawing/2014/main" xmlns="" id="{00000000-0008-0000-0A00-000010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7" name="Oval 47">
            <a:extLst>
              <a:ext uri="{FF2B5EF4-FFF2-40B4-BE49-F238E27FC236}">
                <a16:creationId xmlns:a16="http://schemas.microsoft.com/office/drawing/2014/main" xmlns="" id="{00000000-0008-0000-0A00-000011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18" name="Oval 48">
            <a:extLst>
              <a:ext uri="{FF2B5EF4-FFF2-40B4-BE49-F238E27FC236}">
                <a16:creationId xmlns:a16="http://schemas.microsoft.com/office/drawing/2014/main" xmlns="" id="{00000000-0008-0000-0A00-000012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19" name="Oval 49">
            <a:extLst>
              <a:ext uri="{FF2B5EF4-FFF2-40B4-BE49-F238E27FC236}">
                <a16:creationId xmlns:a16="http://schemas.microsoft.com/office/drawing/2014/main" xmlns="" id="{00000000-0008-0000-0A00-000013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0" name="Oval 50">
            <a:extLst>
              <a:ext uri="{FF2B5EF4-FFF2-40B4-BE49-F238E27FC236}">
                <a16:creationId xmlns:a16="http://schemas.microsoft.com/office/drawing/2014/main" xmlns="" id="{00000000-0008-0000-0A00-000014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1" name="Oval 51">
            <a:extLst>
              <a:ext uri="{FF2B5EF4-FFF2-40B4-BE49-F238E27FC236}">
                <a16:creationId xmlns:a16="http://schemas.microsoft.com/office/drawing/2014/main" xmlns="" id="{00000000-0008-0000-0A00-000015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2" name="Oval 52">
            <a:extLst>
              <a:ext uri="{FF2B5EF4-FFF2-40B4-BE49-F238E27FC236}">
                <a16:creationId xmlns:a16="http://schemas.microsoft.com/office/drawing/2014/main" xmlns="" id="{00000000-0008-0000-0A00-000016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3" name="Oval 53">
            <a:extLst>
              <a:ext uri="{FF2B5EF4-FFF2-40B4-BE49-F238E27FC236}">
                <a16:creationId xmlns:a16="http://schemas.microsoft.com/office/drawing/2014/main" xmlns="" id="{00000000-0008-0000-0A00-000017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4" name="Oval 54">
            <a:extLst>
              <a:ext uri="{FF2B5EF4-FFF2-40B4-BE49-F238E27FC236}">
                <a16:creationId xmlns:a16="http://schemas.microsoft.com/office/drawing/2014/main" xmlns="" id="{00000000-0008-0000-0A00-000018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5" name="Oval 55">
            <a:extLst>
              <a:ext uri="{FF2B5EF4-FFF2-40B4-BE49-F238E27FC236}">
                <a16:creationId xmlns:a16="http://schemas.microsoft.com/office/drawing/2014/main" xmlns="" id="{00000000-0008-0000-0A00-000019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6" name="Oval 56">
            <a:extLst>
              <a:ext uri="{FF2B5EF4-FFF2-40B4-BE49-F238E27FC236}">
                <a16:creationId xmlns:a16="http://schemas.microsoft.com/office/drawing/2014/main" xmlns="" id="{00000000-0008-0000-0A00-00001A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7" name="Oval 57">
            <a:extLst>
              <a:ext uri="{FF2B5EF4-FFF2-40B4-BE49-F238E27FC236}">
                <a16:creationId xmlns:a16="http://schemas.microsoft.com/office/drawing/2014/main" xmlns="" id="{00000000-0008-0000-0A00-00001B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28" name="Oval 58">
            <a:extLst>
              <a:ext uri="{FF2B5EF4-FFF2-40B4-BE49-F238E27FC236}">
                <a16:creationId xmlns:a16="http://schemas.microsoft.com/office/drawing/2014/main" xmlns="" id="{00000000-0008-0000-0A00-00001C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29" name="Oval 59">
            <a:extLst>
              <a:ext uri="{FF2B5EF4-FFF2-40B4-BE49-F238E27FC236}">
                <a16:creationId xmlns:a16="http://schemas.microsoft.com/office/drawing/2014/main" xmlns="" id="{00000000-0008-0000-0A00-00001D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0" name="Oval 60">
            <a:extLst>
              <a:ext uri="{FF2B5EF4-FFF2-40B4-BE49-F238E27FC236}">
                <a16:creationId xmlns:a16="http://schemas.microsoft.com/office/drawing/2014/main" xmlns="" id="{00000000-0008-0000-0A00-00001E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1" name="Oval 61">
            <a:extLst>
              <a:ext uri="{FF2B5EF4-FFF2-40B4-BE49-F238E27FC236}">
                <a16:creationId xmlns:a16="http://schemas.microsoft.com/office/drawing/2014/main" xmlns="" id="{00000000-0008-0000-0A00-00001F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2" name="Oval 62">
            <a:extLst>
              <a:ext uri="{FF2B5EF4-FFF2-40B4-BE49-F238E27FC236}">
                <a16:creationId xmlns:a16="http://schemas.microsoft.com/office/drawing/2014/main" xmlns="" id="{00000000-0008-0000-0A00-000020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3" name="Oval 63">
            <a:extLst>
              <a:ext uri="{FF2B5EF4-FFF2-40B4-BE49-F238E27FC236}">
                <a16:creationId xmlns:a16="http://schemas.microsoft.com/office/drawing/2014/main" xmlns="" id="{00000000-0008-0000-0A00-000021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4" name="Oval 64">
            <a:extLst>
              <a:ext uri="{FF2B5EF4-FFF2-40B4-BE49-F238E27FC236}">
                <a16:creationId xmlns:a16="http://schemas.microsoft.com/office/drawing/2014/main" xmlns="" id="{00000000-0008-0000-0A00-000022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5" name="Oval 65">
            <a:extLst>
              <a:ext uri="{FF2B5EF4-FFF2-40B4-BE49-F238E27FC236}">
                <a16:creationId xmlns:a16="http://schemas.microsoft.com/office/drawing/2014/main" xmlns="" id="{00000000-0008-0000-0A00-000023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6" name="Oval 66">
            <a:extLst>
              <a:ext uri="{FF2B5EF4-FFF2-40B4-BE49-F238E27FC236}">
                <a16:creationId xmlns:a16="http://schemas.microsoft.com/office/drawing/2014/main" xmlns="" id="{00000000-0008-0000-0A00-000024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7" name="Oval 67">
            <a:extLst>
              <a:ext uri="{FF2B5EF4-FFF2-40B4-BE49-F238E27FC236}">
                <a16:creationId xmlns:a16="http://schemas.microsoft.com/office/drawing/2014/main" xmlns="" id="{00000000-0008-0000-0A00-000025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38" name="Oval 68">
            <a:extLst>
              <a:ext uri="{FF2B5EF4-FFF2-40B4-BE49-F238E27FC236}">
                <a16:creationId xmlns:a16="http://schemas.microsoft.com/office/drawing/2014/main" xmlns="" id="{00000000-0008-0000-0A00-000026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39" name="Oval 69">
            <a:extLst>
              <a:ext uri="{FF2B5EF4-FFF2-40B4-BE49-F238E27FC236}">
                <a16:creationId xmlns:a16="http://schemas.microsoft.com/office/drawing/2014/main" xmlns="" id="{00000000-0008-0000-0A00-000027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8</xdr:col>
      <xdr:colOff>9525</xdr:colOff>
      <xdr:row>13</xdr:row>
      <xdr:rowOff>161925</xdr:rowOff>
    </xdr:from>
    <xdr:to>
      <xdr:col>9</xdr:col>
      <xdr:colOff>171450</xdr:colOff>
      <xdr:row>19</xdr:row>
      <xdr:rowOff>76199</xdr:rowOff>
    </xdr:to>
    <xdr:sp macro="" textlink="">
      <xdr:nvSpPr>
        <xdr:cNvPr id="40" name="Oval 39">
          <a:extLst>
            <a:ext uri="{FF2B5EF4-FFF2-40B4-BE49-F238E27FC236}">
              <a16:creationId xmlns:a16="http://schemas.microsoft.com/office/drawing/2014/main" xmlns="" id="{00000000-0008-0000-0A00-000028000000}"/>
            </a:ext>
          </a:extLst>
        </xdr:cNvPr>
        <xdr:cNvSpPr/>
      </xdr:nvSpPr>
      <xdr:spPr>
        <a:xfrm>
          <a:off x="4972050" y="2638425"/>
          <a:ext cx="1181100" cy="1057274"/>
        </a:xfrm>
        <a:prstGeom prst="ellipse">
          <a:avLst/>
        </a:prstGeom>
        <a:noFill/>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9</xdr:col>
      <xdr:colOff>276226</xdr:colOff>
      <xdr:row>13</xdr:row>
      <xdr:rowOff>0</xdr:rowOff>
    </xdr:from>
    <xdr:ext cx="909635" cy="959644"/>
    <xdr:pic>
      <xdr:nvPicPr>
        <xdr:cNvPr id="41" name="Picture 1" descr="savings image க்கான பட முடிவு">
          <a:extLst>
            <a:ext uri="{FF2B5EF4-FFF2-40B4-BE49-F238E27FC236}">
              <a16:creationId xmlns:a16="http://schemas.microsoft.com/office/drawing/2014/main" xmlns="" id="{00000000-0008-0000-0A00-000029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257926" y="2476500"/>
          <a:ext cx="909635" cy="959644"/>
        </a:xfrm>
        <a:prstGeom prst="rect">
          <a:avLst/>
        </a:prstGeom>
        <a:noFill/>
      </xdr:spPr>
    </xdr:pic>
    <xdr:clientData/>
  </xdr:oneCellAnchor>
  <xdr:twoCellAnchor>
    <xdr:from>
      <xdr:col>4</xdr:col>
      <xdr:colOff>76200</xdr:colOff>
      <xdr:row>0</xdr:row>
      <xdr:rowOff>28575</xdr:rowOff>
    </xdr:from>
    <xdr:to>
      <xdr:col>7</xdr:col>
      <xdr:colOff>533400</xdr:colOff>
      <xdr:row>1</xdr:row>
      <xdr:rowOff>76200</xdr:rowOff>
    </xdr:to>
    <xdr:pic>
      <xdr:nvPicPr>
        <xdr:cNvPr id="42" name="Picture 41">
          <a:extLst>
            <a:ext uri="{FF2B5EF4-FFF2-40B4-BE49-F238E27FC236}">
              <a16:creationId xmlns:a16="http://schemas.microsoft.com/office/drawing/2014/main" xmlns="" id="{00000000-0008-0000-0A00-00002A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952625" y="28575"/>
          <a:ext cx="2771775" cy="238125"/>
        </a:xfrm>
        <a:prstGeom prst="rect">
          <a:avLst/>
        </a:prstGeom>
        <a:noFill/>
        <a:ln w="9525">
          <a:noFill/>
          <a:round/>
          <a:headEnd/>
          <a:tailEnd/>
        </a:ln>
        <a:effectLst/>
      </xdr:spPr>
    </xdr:pic>
    <xdr:clientData/>
  </xdr:twoCellAnchor>
  <xdr:twoCellAnchor>
    <xdr:from>
      <xdr:col>3</xdr:col>
      <xdr:colOff>104775</xdr:colOff>
      <xdr:row>1</xdr:row>
      <xdr:rowOff>19050</xdr:rowOff>
    </xdr:from>
    <xdr:to>
      <xdr:col>8</xdr:col>
      <xdr:colOff>847725</xdr:colOff>
      <xdr:row>2</xdr:row>
      <xdr:rowOff>104775</xdr:rowOff>
    </xdr:to>
    <xdr:pic>
      <xdr:nvPicPr>
        <xdr:cNvPr id="43" name="Picture 42">
          <a:extLst>
            <a:ext uri="{FF2B5EF4-FFF2-40B4-BE49-F238E27FC236}">
              <a16:creationId xmlns:a16="http://schemas.microsoft.com/office/drawing/2014/main" xmlns="" id="{00000000-0008-0000-0A00-00002B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323975" y="209550"/>
          <a:ext cx="4486275" cy="276225"/>
        </a:xfrm>
        <a:prstGeom prst="rect">
          <a:avLst/>
        </a:prstGeom>
        <a:noFill/>
        <a:ln w="9525">
          <a:noFill/>
          <a:round/>
          <a:headEnd/>
          <a:tailEnd/>
        </a:ln>
        <a:effectLst/>
      </xdr:spPr>
    </xdr:pic>
    <xdr:clientData/>
  </xdr:twoCellAnchor>
  <xdr:twoCellAnchor>
    <xdr:from>
      <xdr:col>5</xdr:col>
      <xdr:colOff>752475</xdr:colOff>
      <xdr:row>49</xdr:row>
      <xdr:rowOff>202405</xdr:rowOff>
    </xdr:from>
    <xdr:to>
      <xdr:col>7</xdr:col>
      <xdr:colOff>704850</xdr:colOff>
      <xdr:row>53</xdr:row>
      <xdr:rowOff>202405</xdr:rowOff>
    </xdr:to>
    <xdr:sp macro="" textlink="">
      <xdr:nvSpPr>
        <xdr:cNvPr id="44" name="Rounded Rectangle 43">
          <a:extLst>
            <a:ext uri="{FF2B5EF4-FFF2-40B4-BE49-F238E27FC236}">
              <a16:creationId xmlns:a16="http://schemas.microsoft.com/office/drawing/2014/main" xmlns="" id="{00000000-0008-0000-0A00-00002C000000}"/>
            </a:ext>
          </a:extLst>
        </xdr:cNvPr>
        <xdr:cNvSpPr/>
      </xdr:nvSpPr>
      <xdr:spPr>
        <a:xfrm>
          <a:off x="3352800" y="9527380"/>
          <a:ext cx="1543050" cy="762000"/>
        </a:xfrm>
        <a:prstGeom prst="roundRect">
          <a:avLst/>
        </a:prstGeom>
        <a:noFill/>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12</xdr:col>
      <xdr:colOff>28575</xdr:colOff>
      <xdr:row>15</xdr:row>
      <xdr:rowOff>28576</xdr:rowOff>
    </xdr:from>
    <xdr:ext cx="333375" cy="345280"/>
    <xdr:pic>
      <xdr:nvPicPr>
        <xdr:cNvPr id="45" name="Picture 2">
          <a:hlinkClick xmlns:r="http://schemas.openxmlformats.org/officeDocument/2006/relationships" r:id="rId5"/>
          <a:extLst>
            <a:ext uri="{FF2B5EF4-FFF2-40B4-BE49-F238E27FC236}">
              <a16:creationId xmlns:a16="http://schemas.microsoft.com/office/drawing/2014/main" xmlns="" id="{00000000-0008-0000-0A00-00002D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543800" y="2886076"/>
          <a:ext cx="333375" cy="345280"/>
        </a:xfrm>
        <a:prstGeom prst="rect">
          <a:avLst/>
        </a:prstGeom>
        <a:noFill/>
      </xdr:spPr>
    </xdr:pic>
    <xdr:clientData/>
  </xdr:oneCellAnchor>
  <xdr:twoCellAnchor>
    <xdr:from>
      <xdr:col>12</xdr:col>
      <xdr:colOff>142875</xdr:colOff>
      <xdr:row>0</xdr:row>
      <xdr:rowOff>0</xdr:rowOff>
    </xdr:from>
    <xdr:to>
      <xdr:col>15</xdr:col>
      <xdr:colOff>438150</xdr:colOff>
      <xdr:row>3</xdr:row>
      <xdr:rowOff>95250</xdr:rowOff>
    </xdr:to>
    <xdr:sp macro="" textlink="">
      <xdr:nvSpPr>
        <xdr:cNvPr id="46" name="Left Arrow 45">
          <a:extLst>
            <a:ext uri="{FF2B5EF4-FFF2-40B4-BE49-F238E27FC236}">
              <a16:creationId xmlns:a16="http://schemas.microsoft.com/office/drawing/2014/main" xmlns="" id="{00000000-0008-0000-0A00-00002E000000}"/>
            </a:ext>
          </a:extLst>
        </xdr:cNvPr>
        <xdr:cNvSpPr/>
      </xdr:nvSpPr>
      <xdr:spPr>
        <a:xfrm>
          <a:off x="7658100" y="0"/>
          <a:ext cx="1352550" cy="6667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13</xdr:col>
      <xdr:colOff>180975</xdr:colOff>
      <xdr:row>13</xdr:row>
      <xdr:rowOff>114300</xdr:rowOff>
    </xdr:from>
    <xdr:to>
      <xdr:col>13</xdr:col>
      <xdr:colOff>438150</xdr:colOff>
      <xdr:row>15</xdr:row>
      <xdr:rowOff>47625</xdr:rowOff>
    </xdr:to>
    <xdr:sp macro="" textlink="">
      <xdr:nvSpPr>
        <xdr:cNvPr id="47" name="Down Arrow 46">
          <a:extLst>
            <a:ext uri="{FF2B5EF4-FFF2-40B4-BE49-F238E27FC236}">
              <a16:creationId xmlns:a16="http://schemas.microsoft.com/office/drawing/2014/main" xmlns="" id="{00000000-0008-0000-0A00-00002F000000}"/>
            </a:ext>
          </a:extLst>
        </xdr:cNvPr>
        <xdr:cNvSpPr/>
      </xdr:nvSpPr>
      <xdr:spPr>
        <a:xfrm>
          <a:off x="8305800" y="2590800"/>
          <a:ext cx="257175" cy="314325"/>
        </a:xfrm>
        <a:prstGeom prst="down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oneCellAnchor>
    <xdr:from>
      <xdr:col>0</xdr:col>
      <xdr:colOff>209551</xdr:colOff>
      <xdr:row>14</xdr:row>
      <xdr:rowOff>95250</xdr:rowOff>
    </xdr:from>
    <xdr:ext cx="409575" cy="247650"/>
    <xdr:pic>
      <xdr:nvPicPr>
        <xdr:cNvPr id="48" name="Picture 1" descr="Large View">
          <a:extLst>
            <a:ext uri="{FF2B5EF4-FFF2-40B4-BE49-F238E27FC236}">
              <a16:creationId xmlns:a16="http://schemas.microsoft.com/office/drawing/2014/main" xmlns="" id="{00000000-0008-0000-0A00-000030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209551" y="2762250"/>
          <a:ext cx="409575" cy="247650"/>
        </a:xfrm>
        <a:prstGeom prst="rect">
          <a:avLst/>
        </a:prstGeom>
        <a:noFill/>
      </xdr:spPr>
    </xdr:pic>
    <xdr:clientData/>
  </xdr:oneCellAnchor>
  <xdr:oneCellAnchor>
    <xdr:from>
      <xdr:col>4</xdr:col>
      <xdr:colOff>304800</xdr:colOff>
      <xdr:row>14</xdr:row>
      <xdr:rowOff>123825</xdr:rowOff>
    </xdr:from>
    <xdr:ext cx="417811" cy="246888"/>
    <xdr:pic>
      <xdr:nvPicPr>
        <xdr:cNvPr id="49" name="Picture 1" descr="Large View">
          <a:extLst>
            <a:ext uri="{FF2B5EF4-FFF2-40B4-BE49-F238E27FC236}">
              <a16:creationId xmlns:a16="http://schemas.microsoft.com/office/drawing/2014/main" xmlns="" id="{00000000-0008-0000-0A00-000031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flipH="1">
          <a:off x="2181225" y="2790825"/>
          <a:ext cx="417811" cy="246888"/>
        </a:xfrm>
        <a:prstGeom prst="rect">
          <a:avLst/>
        </a:prstGeom>
        <a:noFill/>
      </xdr:spPr>
    </xdr:pic>
    <xdr:clientData/>
  </xdr:oneCellAnchor>
  <xdr:oneCellAnchor>
    <xdr:from>
      <xdr:col>2</xdr:col>
      <xdr:colOff>104774</xdr:colOff>
      <xdr:row>3</xdr:row>
      <xdr:rowOff>161925</xdr:rowOff>
    </xdr:from>
    <xdr:ext cx="2700338" cy="640557"/>
    <xdr:pic>
      <xdr:nvPicPr>
        <xdr:cNvPr id="50" name="Picture 4">
          <a:extLst>
            <a:ext uri="{FF2B5EF4-FFF2-40B4-BE49-F238E27FC236}">
              <a16:creationId xmlns:a16="http://schemas.microsoft.com/office/drawing/2014/main" xmlns="" id="{00000000-0008-0000-0A00-000032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638174" y="733425"/>
          <a:ext cx="2700338" cy="640557"/>
        </a:xfrm>
        <a:prstGeom prst="rect">
          <a:avLst/>
        </a:prstGeom>
        <a:noFill/>
      </xdr:spPr>
    </xdr:pic>
    <xdr:clientData/>
  </xdr:oneCellAnchor>
  <xdr:oneCellAnchor>
    <xdr:from>
      <xdr:col>8</xdr:col>
      <xdr:colOff>61913</xdr:colOff>
      <xdr:row>20</xdr:row>
      <xdr:rowOff>66676</xdr:rowOff>
    </xdr:from>
    <xdr:ext cx="2443163" cy="3095624"/>
    <xdr:pic>
      <xdr:nvPicPr>
        <xdr:cNvPr id="51" name="Picture 6">
          <a:extLst>
            <a:ext uri="{FF2B5EF4-FFF2-40B4-BE49-F238E27FC236}">
              <a16:creationId xmlns:a16="http://schemas.microsoft.com/office/drawing/2014/main" xmlns="" id="{00000000-0008-0000-0A00-000033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5024438" y="3829051"/>
          <a:ext cx="2443163" cy="3095624"/>
        </a:xfrm>
        <a:prstGeom prst="rect">
          <a:avLst/>
        </a:prstGeom>
        <a:ln>
          <a:noFill/>
        </a:ln>
        <a:effectLst>
          <a:softEdge rad="112500"/>
        </a:effectLst>
      </xdr:spPr>
    </xdr:pic>
    <xdr:clientData/>
  </xdr:oneCellAnchor>
  <xdr:twoCellAnchor>
    <xdr:from>
      <xdr:col>1</xdr:col>
      <xdr:colOff>295272</xdr:colOff>
      <xdr:row>4</xdr:row>
      <xdr:rowOff>38100</xdr:rowOff>
    </xdr:from>
    <xdr:to>
      <xdr:col>2</xdr:col>
      <xdr:colOff>457198</xdr:colOff>
      <xdr:row>7</xdr:row>
      <xdr:rowOff>57150</xdr:rowOff>
    </xdr:to>
    <xdr:grpSp>
      <xdr:nvGrpSpPr>
        <xdr:cNvPr id="52" name="Group 9">
          <a:extLst>
            <a:ext uri="{FF2B5EF4-FFF2-40B4-BE49-F238E27FC236}">
              <a16:creationId xmlns:a16="http://schemas.microsoft.com/office/drawing/2014/main" xmlns="" id="{00000000-0008-0000-0A00-000034000000}"/>
            </a:ext>
          </a:extLst>
        </xdr:cNvPr>
        <xdr:cNvGrpSpPr>
          <a:grpSpLocks/>
        </xdr:cNvGrpSpPr>
      </xdr:nvGrpSpPr>
      <xdr:grpSpPr bwMode="auto">
        <a:xfrm flipH="1">
          <a:off x="514347" y="723900"/>
          <a:ext cx="476251" cy="609600"/>
          <a:chOff x="105763081" y="105237244"/>
          <a:chExt cx="1752163" cy="1883105"/>
        </a:xfrm>
        <a:scene3d>
          <a:camera prst="orthographicFront">
            <a:rot lat="298850" lon="26213" rev="301140"/>
          </a:camera>
          <a:lightRig rig="threePt" dir="t"/>
        </a:scene3d>
      </xdr:grpSpPr>
      <xdr:sp macro="" textlink="">
        <xdr:nvSpPr>
          <xdr:cNvPr id="53" name="AutoShape 10">
            <a:extLst>
              <a:ext uri="{FF2B5EF4-FFF2-40B4-BE49-F238E27FC236}">
                <a16:creationId xmlns:a16="http://schemas.microsoft.com/office/drawing/2014/main" xmlns="" id="{00000000-0008-0000-0A00-000035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54" name="AutoShape 11">
            <a:extLst>
              <a:ext uri="{FF2B5EF4-FFF2-40B4-BE49-F238E27FC236}">
                <a16:creationId xmlns:a16="http://schemas.microsoft.com/office/drawing/2014/main" xmlns="" id="{00000000-0008-0000-0A00-000036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1</xdr:col>
      <xdr:colOff>171450</xdr:colOff>
      <xdr:row>20</xdr:row>
      <xdr:rowOff>209550</xdr:rowOff>
    </xdr:from>
    <xdr:to>
      <xdr:col>7</xdr:col>
      <xdr:colOff>428625</xdr:colOff>
      <xdr:row>22</xdr:row>
      <xdr:rowOff>123825</xdr:rowOff>
    </xdr:to>
    <xdr:sp macro="" textlink="">
      <xdr:nvSpPr>
        <xdr:cNvPr id="55" name="Double Wave 54">
          <a:extLst>
            <a:ext uri="{FF2B5EF4-FFF2-40B4-BE49-F238E27FC236}">
              <a16:creationId xmlns:a16="http://schemas.microsoft.com/office/drawing/2014/main" xmlns="" id="{00000000-0008-0000-0A00-000037000000}"/>
            </a:ext>
          </a:extLst>
        </xdr:cNvPr>
        <xdr:cNvSpPr/>
      </xdr:nvSpPr>
      <xdr:spPr>
        <a:xfrm>
          <a:off x="390525" y="3971925"/>
          <a:ext cx="4229100" cy="342900"/>
        </a:xfrm>
        <a:prstGeom prst="doubleWave">
          <a:avLst/>
        </a:prstGeom>
        <a:noFill/>
      </xdr:spPr>
      <xdr:style>
        <a:lnRef idx="3">
          <a:schemeClr val="lt1"/>
        </a:lnRef>
        <a:fillRef idx="1">
          <a:schemeClr val="accent6"/>
        </a:fillRef>
        <a:effectRef idx="1">
          <a:schemeClr val="accent6"/>
        </a:effectRef>
        <a:fontRef idx="minor">
          <a:schemeClr val="lt1"/>
        </a:fontRef>
      </xdr:style>
      <xdr:txBody>
        <a:bodyPr vertOverflow="clip" rtlCol="0" anchor="ctr">
          <a:prstTxWarp prst="textWave2">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n-US" sz="1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The promise of increasing security</a:t>
          </a:r>
        </a:p>
      </xdr:txBody>
    </xdr:sp>
    <xdr:clientData/>
  </xdr:twoCellAnchor>
  <xdr:oneCellAnchor>
    <xdr:from>
      <xdr:col>12</xdr:col>
      <xdr:colOff>9525</xdr:colOff>
      <xdr:row>7</xdr:row>
      <xdr:rowOff>47624</xdr:rowOff>
    </xdr:from>
    <xdr:ext cx="361950" cy="271462"/>
    <xdr:pic>
      <xdr:nvPicPr>
        <xdr:cNvPr id="57" name="Picture 2">
          <a:hlinkClick xmlns:r="http://schemas.openxmlformats.org/officeDocument/2006/relationships" r:id="rId11"/>
          <a:extLst>
            <a:ext uri="{FF2B5EF4-FFF2-40B4-BE49-F238E27FC236}">
              <a16:creationId xmlns:a16="http://schemas.microsoft.com/office/drawing/2014/main" xmlns="" id="{00000000-0008-0000-0A00-000039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7524750" y="1381124"/>
          <a:ext cx="361950" cy="271462"/>
        </a:xfrm>
        <a:prstGeom prst="rect">
          <a:avLst/>
        </a:prstGeom>
        <a:noFill/>
        <a:ln w="9525">
          <a:noFill/>
          <a:miter lim="800000"/>
          <a:headEnd/>
          <a:tailEnd/>
        </a:ln>
      </xdr:spPr>
    </xdr:pic>
    <xdr:clientData/>
  </xdr:oneCellAnchor>
  <xdr:twoCellAnchor>
    <xdr:from>
      <xdr:col>6</xdr:col>
      <xdr:colOff>647700</xdr:colOff>
      <xdr:row>3</xdr:row>
      <xdr:rowOff>57149</xdr:rowOff>
    </xdr:from>
    <xdr:to>
      <xdr:col>8</xdr:col>
      <xdr:colOff>257175</xdr:colOff>
      <xdr:row>8</xdr:row>
      <xdr:rowOff>104774</xdr:rowOff>
    </xdr:to>
    <xdr:sp macro="" textlink="">
      <xdr:nvSpPr>
        <xdr:cNvPr id="58" name="16-Point Star 57">
          <a:extLst>
            <a:ext uri="{FF2B5EF4-FFF2-40B4-BE49-F238E27FC236}">
              <a16:creationId xmlns:a16="http://schemas.microsoft.com/office/drawing/2014/main" xmlns="" id="{00000000-0008-0000-0A00-00003A000000}"/>
            </a:ext>
          </a:extLst>
        </xdr:cNvPr>
        <xdr:cNvSpPr/>
      </xdr:nvSpPr>
      <xdr:spPr bwMode="auto">
        <a:xfrm>
          <a:off x="4010025" y="561974"/>
          <a:ext cx="1209675" cy="942975"/>
        </a:xfrm>
        <a:prstGeom prst="star16">
          <a:avLst/>
        </a:prstGeom>
        <a:solidFill>
          <a:sysClr val="window" lastClr="FFFFFF"/>
        </a:solidFill>
        <a:ln>
          <a:solidFill>
            <a:schemeClr val="accent5">
              <a:lumMod val="20000"/>
              <a:lumOff val="80000"/>
            </a:schemeClr>
          </a:solidFill>
          <a:headEnd type="none" w="med" len="med"/>
          <a:tailEnd type="non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US" sz="1400" b="1">
              <a:solidFill>
                <a:srgbClr val="FF0000"/>
              </a:solidFill>
              <a:latin typeface="+mn-lt"/>
              <a:ea typeface="+mn-ea"/>
              <a:cs typeface="+mn-cs"/>
            </a:rPr>
            <a:t>WITH        </a:t>
          </a:r>
          <a:r>
            <a:rPr lang="en-US" sz="1400" b="1" baseline="0">
              <a:solidFill>
                <a:srgbClr val="FF0000"/>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8</xdr:col>
      <xdr:colOff>83344</xdr:colOff>
      <xdr:row>38</xdr:row>
      <xdr:rowOff>104775</xdr:rowOff>
    </xdr:from>
    <xdr:to>
      <xdr:col>11</xdr:col>
      <xdr:colOff>285751</xdr:colOff>
      <xdr:row>45</xdr:row>
      <xdr:rowOff>152400</xdr:rowOff>
    </xdr:to>
    <xdr:sp macro="" textlink="">
      <xdr:nvSpPr>
        <xdr:cNvPr id="59" name="Rounded Rectangle 58">
          <a:extLst>
            <a:ext uri="{FF2B5EF4-FFF2-40B4-BE49-F238E27FC236}">
              <a16:creationId xmlns:a16="http://schemas.microsoft.com/office/drawing/2014/main" xmlns="" id="{00000000-0008-0000-0A00-00003B000000}"/>
            </a:ext>
          </a:extLst>
        </xdr:cNvPr>
        <xdr:cNvSpPr/>
      </xdr:nvSpPr>
      <xdr:spPr>
        <a:xfrm>
          <a:off x="5045869" y="7343775"/>
          <a:ext cx="2412207" cy="1381125"/>
        </a:xfrm>
        <a:prstGeom prst="roundRect">
          <a:avLst/>
        </a:prstGeom>
        <a:noFill/>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8</xdr:col>
      <xdr:colOff>90488</xdr:colOff>
      <xdr:row>42</xdr:row>
      <xdr:rowOff>123823</xdr:rowOff>
    </xdr:from>
    <xdr:ext cx="671511" cy="483395"/>
    <xdr:pic>
      <xdr:nvPicPr>
        <xdr:cNvPr id="60" name="Picture 59">
          <a:extLst>
            <a:ext uri="{FF2B5EF4-FFF2-40B4-BE49-F238E27FC236}">
              <a16:creationId xmlns:a16="http://schemas.microsoft.com/office/drawing/2014/main" xmlns="" id="{00000000-0008-0000-0A00-00003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5053013" y="8124823"/>
          <a:ext cx="671511" cy="483395"/>
        </a:xfrm>
        <a:prstGeom prst="rect">
          <a:avLst/>
        </a:prstGeom>
      </xdr:spPr>
    </xdr:pic>
    <xdr:clientData/>
  </xdr:oneCellAnchor>
  <xdr:twoCellAnchor editAs="oneCell">
    <xdr:from>
      <xdr:col>2</xdr:col>
      <xdr:colOff>0</xdr:colOff>
      <xdr:row>45</xdr:row>
      <xdr:rowOff>19050</xdr:rowOff>
    </xdr:from>
    <xdr:to>
      <xdr:col>4</xdr:col>
      <xdr:colOff>323850</xdr:colOff>
      <xdr:row>50</xdr:row>
      <xdr:rowOff>0</xdr:rowOff>
    </xdr:to>
    <xdr:pic>
      <xdr:nvPicPr>
        <xdr:cNvPr id="62" name="Picture 61">
          <a:extLst>
            <a:ext uri="{FF2B5EF4-FFF2-40B4-BE49-F238E27FC236}">
              <a16:creationId xmlns:a16="http://schemas.microsoft.com/office/drawing/2014/main" xmlns="" id="{00000000-0008-0000-0A00-00003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val="0"/>
            </a:ext>
          </a:extLst>
        </a:blip>
        <a:stretch>
          <a:fillRect/>
        </a:stretch>
      </xdr:blipFill>
      <xdr:spPr>
        <a:xfrm>
          <a:off x="533400" y="8296275"/>
          <a:ext cx="1666875" cy="866775"/>
        </a:xfrm>
        <a:prstGeom prst="ellipse">
          <a:avLst/>
        </a:prstGeom>
        <a:ln>
          <a:noFill/>
        </a:ln>
        <a:effectLst>
          <a:softEdge rad="112500"/>
        </a:effec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1</xdr:rowOff>
    </xdr:from>
    <xdr:to>
      <xdr:col>3</xdr:col>
      <xdr:colOff>38100</xdr:colOff>
      <xdr:row>3</xdr:row>
      <xdr:rowOff>28576</xdr:rowOff>
    </xdr:to>
    <xdr:pic>
      <xdr:nvPicPr>
        <xdr:cNvPr id="2" name="image00.jpg">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1"/>
          <a:ext cx="1200150" cy="600075"/>
        </a:xfrm>
        <a:prstGeom prst="rect">
          <a:avLst/>
        </a:prstGeom>
        <a:noFill/>
        <a:ln w="9525">
          <a:noFill/>
          <a:round/>
          <a:headEnd/>
          <a:tailEnd/>
        </a:ln>
      </xdr:spPr>
    </xdr:pic>
    <xdr:clientData/>
  </xdr:twoCellAnchor>
  <xdr:twoCellAnchor>
    <xdr:from>
      <xdr:col>6</xdr:col>
      <xdr:colOff>647700</xdr:colOff>
      <xdr:row>2</xdr:row>
      <xdr:rowOff>114299</xdr:rowOff>
    </xdr:from>
    <xdr:to>
      <xdr:col>8</xdr:col>
      <xdr:colOff>276225</xdr:colOff>
      <xdr:row>8</xdr:row>
      <xdr:rowOff>85725</xdr:rowOff>
    </xdr:to>
    <xdr:sp macro="" textlink="">
      <xdr:nvSpPr>
        <xdr:cNvPr id="3" name="16-Point Star 2">
          <a:extLst>
            <a:ext uri="{FF2B5EF4-FFF2-40B4-BE49-F238E27FC236}">
              <a16:creationId xmlns:a16="http://schemas.microsoft.com/office/drawing/2014/main" xmlns="" id="{00000000-0008-0000-0B00-000003000000}"/>
            </a:ext>
          </a:extLst>
        </xdr:cNvPr>
        <xdr:cNvSpPr/>
      </xdr:nvSpPr>
      <xdr:spPr bwMode="auto">
        <a:xfrm>
          <a:off x="4057650" y="495299"/>
          <a:ext cx="1228725" cy="990601"/>
        </a:xfrm>
        <a:prstGeom prst="star16">
          <a:avLst/>
        </a:prstGeom>
        <a:solidFill>
          <a:sysClr val="window" lastClr="FFFFFF"/>
        </a:solidFill>
        <a:ln>
          <a:solidFill>
            <a:schemeClr val="accent4">
              <a:lumMod val="20000"/>
              <a:lumOff val="80000"/>
            </a:schemeClr>
          </a:solidFill>
          <a:headEnd type="none" w="med" len="med"/>
          <a:tailEnd type="non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US" sz="1400" b="1">
              <a:solidFill>
                <a:srgbClr val="FF0000"/>
              </a:solidFill>
              <a:latin typeface="+mn-lt"/>
              <a:ea typeface="+mn-ea"/>
              <a:cs typeface="+mn-cs"/>
            </a:rPr>
            <a:t>WITH        </a:t>
          </a:r>
          <a:r>
            <a:rPr lang="en-US" sz="1400" b="1" baseline="0">
              <a:solidFill>
                <a:srgbClr val="FF0000"/>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1</xdr:col>
      <xdr:colOff>123826</xdr:colOff>
      <xdr:row>3</xdr:row>
      <xdr:rowOff>114300</xdr:rowOff>
    </xdr:from>
    <xdr:to>
      <xdr:col>6</xdr:col>
      <xdr:colOff>371476</xdr:colOff>
      <xdr:row>6</xdr:row>
      <xdr:rowOff>85725</xdr:rowOff>
    </xdr:to>
    <xdr:sp macro="" textlink="">
      <xdr:nvSpPr>
        <xdr:cNvPr id="4" name="Rounded Rectangle 3">
          <a:extLst>
            <a:ext uri="{FF2B5EF4-FFF2-40B4-BE49-F238E27FC236}">
              <a16:creationId xmlns:a16="http://schemas.microsoft.com/office/drawing/2014/main" xmlns="" id="{00000000-0008-0000-0B00-000004000000}"/>
            </a:ext>
          </a:extLst>
        </xdr:cNvPr>
        <xdr:cNvSpPr/>
      </xdr:nvSpPr>
      <xdr:spPr>
        <a:xfrm>
          <a:off x="342901" y="685800"/>
          <a:ext cx="3438525" cy="542925"/>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5</xdr:col>
      <xdr:colOff>571500</xdr:colOff>
      <xdr:row>4</xdr:row>
      <xdr:rowOff>0</xdr:rowOff>
    </xdr:from>
    <xdr:to>
      <xdr:col>6</xdr:col>
      <xdr:colOff>314325</xdr:colOff>
      <xdr:row>6</xdr:row>
      <xdr:rowOff>47625</xdr:rowOff>
    </xdr:to>
    <xdr:grpSp>
      <xdr:nvGrpSpPr>
        <xdr:cNvPr id="5" name="Group 9">
          <a:extLst>
            <a:ext uri="{FF2B5EF4-FFF2-40B4-BE49-F238E27FC236}">
              <a16:creationId xmlns:a16="http://schemas.microsoft.com/office/drawing/2014/main" xmlns="" id="{00000000-0008-0000-0B00-000005000000}"/>
            </a:ext>
          </a:extLst>
        </xdr:cNvPr>
        <xdr:cNvGrpSpPr>
          <a:grpSpLocks/>
        </xdr:cNvGrpSpPr>
      </xdr:nvGrpSpPr>
      <xdr:grpSpPr bwMode="auto">
        <a:xfrm>
          <a:off x="3600450" y="685800"/>
          <a:ext cx="619125" cy="447675"/>
          <a:chOff x="105763081" y="105237244"/>
          <a:chExt cx="1752163" cy="1883105"/>
        </a:xfrm>
        <a:scene3d>
          <a:camera prst="orthographicFront">
            <a:rot lat="298850" lon="26213" rev="301140"/>
          </a:camera>
          <a:lightRig rig="threePt" dir="t"/>
        </a:scene3d>
      </xdr:grpSpPr>
      <xdr:sp macro="" textlink="">
        <xdr:nvSpPr>
          <xdr:cNvPr id="6" name="AutoShape 10">
            <a:extLst>
              <a:ext uri="{FF2B5EF4-FFF2-40B4-BE49-F238E27FC236}">
                <a16:creationId xmlns:a16="http://schemas.microsoft.com/office/drawing/2014/main" xmlns="" id="{00000000-0008-0000-0B00-000006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7" name="AutoShape 11">
            <a:extLst>
              <a:ext uri="{FF2B5EF4-FFF2-40B4-BE49-F238E27FC236}">
                <a16:creationId xmlns:a16="http://schemas.microsoft.com/office/drawing/2014/main" xmlns="" id="{00000000-0008-0000-0B00-000007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0</xdr:col>
      <xdr:colOff>200025</xdr:colOff>
      <xdr:row>3</xdr:row>
      <xdr:rowOff>171450</xdr:rowOff>
    </xdr:from>
    <xdr:to>
      <xdr:col>2</xdr:col>
      <xdr:colOff>66675</xdr:colOff>
      <xdr:row>6</xdr:row>
      <xdr:rowOff>38100</xdr:rowOff>
    </xdr:to>
    <xdr:grpSp>
      <xdr:nvGrpSpPr>
        <xdr:cNvPr id="8" name="Group 9">
          <a:extLst>
            <a:ext uri="{FF2B5EF4-FFF2-40B4-BE49-F238E27FC236}">
              <a16:creationId xmlns:a16="http://schemas.microsoft.com/office/drawing/2014/main" xmlns="" id="{00000000-0008-0000-0B00-000008000000}"/>
            </a:ext>
          </a:extLst>
        </xdr:cNvPr>
        <xdr:cNvGrpSpPr>
          <a:grpSpLocks/>
        </xdr:cNvGrpSpPr>
      </xdr:nvGrpSpPr>
      <xdr:grpSpPr bwMode="auto">
        <a:xfrm>
          <a:off x="200025" y="676275"/>
          <a:ext cx="476250" cy="447675"/>
          <a:chOff x="105763081" y="105237244"/>
          <a:chExt cx="1752163" cy="1883105"/>
        </a:xfrm>
        <a:scene3d>
          <a:camera prst="orthographicFront">
            <a:rot lat="298850" lon="26213" rev="11101140"/>
          </a:camera>
          <a:lightRig rig="threePt" dir="t"/>
        </a:scene3d>
      </xdr:grpSpPr>
      <xdr:sp macro="" textlink="">
        <xdr:nvSpPr>
          <xdr:cNvPr id="9" name="AutoShape 10">
            <a:extLst>
              <a:ext uri="{FF2B5EF4-FFF2-40B4-BE49-F238E27FC236}">
                <a16:creationId xmlns:a16="http://schemas.microsoft.com/office/drawing/2014/main" xmlns="" id="{00000000-0008-0000-0B00-000009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10" name="AutoShape 11">
            <a:extLst>
              <a:ext uri="{FF2B5EF4-FFF2-40B4-BE49-F238E27FC236}">
                <a16:creationId xmlns:a16="http://schemas.microsoft.com/office/drawing/2014/main" xmlns="" id="{00000000-0008-0000-0B00-00000A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8</xdr:col>
      <xdr:colOff>47623</xdr:colOff>
      <xdr:row>49</xdr:row>
      <xdr:rowOff>142875</xdr:rowOff>
    </xdr:from>
    <xdr:to>
      <xdr:col>12</xdr:col>
      <xdr:colOff>19050</xdr:colOff>
      <xdr:row>56</xdr:row>
      <xdr:rowOff>190500</xdr:rowOff>
    </xdr:to>
    <xdr:sp macro="" textlink="">
      <xdr:nvSpPr>
        <xdr:cNvPr id="11" name="Round Diagonal Corner Rectangle 10">
          <a:extLst>
            <a:ext uri="{FF2B5EF4-FFF2-40B4-BE49-F238E27FC236}">
              <a16:creationId xmlns:a16="http://schemas.microsoft.com/office/drawing/2014/main" xmlns="" id="{00000000-0008-0000-0B00-00000B000000}"/>
            </a:ext>
          </a:extLst>
        </xdr:cNvPr>
        <xdr:cNvSpPr/>
      </xdr:nvSpPr>
      <xdr:spPr>
        <a:xfrm>
          <a:off x="5057773" y="9105900"/>
          <a:ext cx="2495552" cy="1447800"/>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8</xdr:col>
      <xdr:colOff>104776</xdr:colOff>
      <xdr:row>50</xdr:row>
      <xdr:rowOff>180977</xdr:rowOff>
    </xdr:from>
    <xdr:to>
      <xdr:col>8</xdr:col>
      <xdr:colOff>428625</xdr:colOff>
      <xdr:row>55</xdr:row>
      <xdr:rowOff>133351</xdr:rowOff>
    </xdr:to>
    <xdr:grpSp>
      <xdr:nvGrpSpPr>
        <xdr:cNvPr id="12" name="Group 38">
          <a:extLst>
            <a:ext uri="{FF2B5EF4-FFF2-40B4-BE49-F238E27FC236}">
              <a16:creationId xmlns:a16="http://schemas.microsoft.com/office/drawing/2014/main" xmlns="" id="{00000000-0008-0000-0B00-00000C000000}"/>
            </a:ext>
          </a:extLst>
        </xdr:cNvPr>
        <xdr:cNvGrpSpPr>
          <a:grpSpLocks/>
        </xdr:cNvGrpSpPr>
      </xdr:nvGrpSpPr>
      <xdr:grpSpPr bwMode="auto">
        <a:xfrm>
          <a:off x="5838826" y="9315452"/>
          <a:ext cx="323849" cy="981074"/>
          <a:chOff x="112842675" y="108899325"/>
          <a:chExt cx="762763" cy="1285875"/>
        </a:xfrm>
      </xdr:grpSpPr>
      <xdr:sp macro="" textlink="">
        <xdr:nvSpPr>
          <xdr:cNvPr id="13" name="Oval 39">
            <a:extLst>
              <a:ext uri="{FF2B5EF4-FFF2-40B4-BE49-F238E27FC236}">
                <a16:creationId xmlns:a16="http://schemas.microsoft.com/office/drawing/2014/main" xmlns="" id="{00000000-0008-0000-0B00-00000D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4" name="Oval 40">
            <a:extLst>
              <a:ext uri="{FF2B5EF4-FFF2-40B4-BE49-F238E27FC236}">
                <a16:creationId xmlns:a16="http://schemas.microsoft.com/office/drawing/2014/main" xmlns="" id="{00000000-0008-0000-0B00-00000E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5" name="Oval 41">
            <a:extLst>
              <a:ext uri="{FF2B5EF4-FFF2-40B4-BE49-F238E27FC236}">
                <a16:creationId xmlns:a16="http://schemas.microsoft.com/office/drawing/2014/main" xmlns="" id="{00000000-0008-0000-0B00-00000F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6" name="Oval 42">
            <a:extLst>
              <a:ext uri="{FF2B5EF4-FFF2-40B4-BE49-F238E27FC236}">
                <a16:creationId xmlns:a16="http://schemas.microsoft.com/office/drawing/2014/main" xmlns="" id="{00000000-0008-0000-0B00-000010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7" name="Oval 43">
            <a:extLst>
              <a:ext uri="{FF2B5EF4-FFF2-40B4-BE49-F238E27FC236}">
                <a16:creationId xmlns:a16="http://schemas.microsoft.com/office/drawing/2014/main" xmlns="" id="{00000000-0008-0000-0B00-000011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8" name="Oval 44">
            <a:extLst>
              <a:ext uri="{FF2B5EF4-FFF2-40B4-BE49-F238E27FC236}">
                <a16:creationId xmlns:a16="http://schemas.microsoft.com/office/drawing/2014/main" xmlns="" id="{00000000-0008-0000-0B00-000012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9" name="Oval 45">
            <a:extLst>
              <a:ext uri="{FF2B5EF4-FFF2-40B4-BE49-F238E27FC236}">
                <a16:creationId xmlns:a16="http://schemas.microsoft.com/office/drawing/2014/main" xmlns="" id="{00000000-0008-0000-0B00-000013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20" name="Oval 46">
            <a:extLst>
              <a:ext uri="{FF2B5EF4-FFF2-40B4-BE49-F238E27FC236}">
                <a16:creationId xmlns:a16="http://schemas.microsoft.com/office/drawing/2014/main" xmlns="" id="{00000000-0008-0000-0B00-000014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21" name="Oval 47">
            <a:extLst>
              <a:ext uri="{FF2B5EF4-FFF2-40B4-BE49-F238E27FC236}">
                <a16:creationId xmlns:a16="http://schemas.microsoft.com/office/drawing/2014/main" xmlns="" id="{00000000-0008-0000-0B00-000015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2" name="Oval 48">
            <a:extLst>
              <a:ext uri="{FF2B5EF4-FFF2-40B4-BE49-F238E27FC236}">
                <a16:creationId xmlns:a16="http://schemas.microsoft.com/office/drawing/2014/main" xmlns="" id="{00000000-0008-0000-0B00-000016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3" name="Oval 49">
            <a:extLst>
              <a:ext uri="{FF2B5EF4-FFF2-40B4-BE49-F238E27FC236}">
                <a16:creationId xmlns:a16="http://schemas.microsoft.com/office/drawing/2014/main" xmlns="" id="{00000000-0008-0000-0B00-000017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4" name="Oval 50">
            <a:extLst>
              <a:ext uri="{FF2B5EF4-FFF2-40B4-BE49-F238E27FC236}">
                <a16:creationId xmlns:a16="http://schemas.microsoft.com/office/drawing/2014/main" xmlns="" id="{00000000-0008-0000-0B00-000018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5" name="Oval 51">
            <a:extLst>
              <a:ext uri="{FF2B5EF4-FFF2-40B4-BE49-F238E27FC236}">
                <a16:creationId xmlns:a16="http://schemas.microsoft.com/office/drawing/2014/main" xmlns="" id="{00000000-0008-0000-0B00-000019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6" name="Oval 52">
            <a:extLst>
              <a:ext uri="{FF2B5EF4-FFF2-40B4-BE49-F238E27FC236}">
                <a16:creationId xmlns:a16="http://schemas.microsoft.com/office/drawing/2014/main" xmlns="" id="{00000000-0008-0000-0B00-00001A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7" name="Oval 53">
            <a:extLst>
              <a:ext uri="{FF2B5EF4-FFF2-40B4-BE49-F238E27FC236}">
                <a16:creationId xmlns:a16="http://schemas.microsoft.com/office/drawing/2014/main" xmlns="" id="{00000000-0008-0000-0B00-00001B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8" name="Oval 54">
            <a:extLst>
              <a:ext uri="{FF2B5EF4-FFF2-40B4-BE49-F238E27FC236}">
                <a16:creationId xmlns:a16="http://schemas.microsoft.com/office/drawing/2014/main" xmlns="" id="{00000000-0008-0000-0B00-00001C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9" name="Oval 55">
            <a:extLst>
              <a:ext uri="{FF2B5EF4-FFF2-40B4-BE49-F238E27FC236}">
                <a16:creationId xmlns:a16="http://schemas.microsoft.com/office/drawing/2014/main" xmlns="" id="{00000000-0008-0000-0B00-00001D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30" name="Oval 56">
            <a:extLst>
              <a:ext uri="{FF2B5EF4-FFF2-40B4-BE49-F238E27FC236}">
                <a16:creationId xmlns:a16="http://schemas.microsoft.com/office/drawing/2014/main" xmlns="" id="{00000000-0008-0000-0B00-00001E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31" name="Oval 57">
            <a:extLst>
              <a:ext uri="{FF2B5EF4-FFF2-40B4-BE49-F238E27FC236}">
                <a16:creationId xmlns:a16="http://schemas.microsoft.com/office/drawing/2014/main" xmlns="" id="{00000000-0008-0000-0B00-00001F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2" name="Oval 58">
            <a:extLst>
              <a:ext uri="{FF2B5EF4-FFF2-40B4-BE49-F238E27FC236}">
                <a16:creationId xmlns:a16="http://schemas.microsoft.com/office/drawing/2014/main" xmlns="" id="{00000000-0008-0000-0B00-000020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3" name="Oval 59">
            <a:extLst>
              <a:ext uri="{FF2B5EF4-FFF2-40B4-BE49-F238E27FC236}">
                <a16:creationId xmlns:a16="http://schemas.microsoft.com/office/drawing/2014/main" xmlns="" id="{00000000-0008-0000-0B00-000021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4" name="Oval 60">
            <a:extLst>
              <a:ext uri="{FF2B5EF4-FFF2-40B4-BE49-F238E27FC236}">
                <a16:creationId xmlns:a16="http://schemas.microsoft.com/office/drawing/2014/main" xmlns="" id="{00000000-0008-0000-0B00-000022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5" name="Oval 61">
            <a:extLst>
              <a:ext uri="{FF2B5EF4-FFF2-40B4-BE49-F238E27FC236}">
                <a16:creationId xmlns:a16="http://schemas.microsoft.com/office/drawing/2014/main" xmlns="" id="{00000000-0008-0000-0B00-000023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6" name="Oval 62">
            <a:extLst>
              <a:ext uri="{FF2B5EF4-FFF2-40B4-BE49-F238E27FC236}">
                <a16:creationId xmlns:a16="http://schemas.microsoft.com/office/drawing/2014/main" xmlns="" id="{00000000-0008-0000-0B00-000024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7" name="Oval 63">
            <a:extLst>
              <a:ext uri="{FF2B5EF4-FFF2-40B4-BE49-F238E27FC236}">
                <a16:creationId xmlns:a16="http://schemas.microsoft.com/office/drawing/2014/main" xmlns="" id="{00000000-0008-0000-0B00-000025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8" name="Oval 64">
            <a:extLst>
              <a:ext uri="{FF2B5EF4-FFF2-40B4-BE49-F238E27FC236}">
                <a16:creationId xmlns:a16="http://schemas.microsoft.com/office/drawing/2014/main" xmlns="" id="{00000000-0008-0000-0B00-000026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9" name="Oval 65">
            <a:extLst>
              <a:ext uri="{FF2B5EF4-FFF2-40B4-BE49-F238E27FC236}">
                <a16:creationId xmlns:a16="http://schemas.microsoft.com/office/drawing/2014/main" xmlns="" id="{00000000-0008-0000-0B00-000027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40" name="Oval 66">
            <a:extLst>
              <a:ext uri="{FF2B5EF4-FFF2-40B4-BE49-F238E27FC236}">
                <a16:creationId xmlns:a16="http://schemas.microsoft.com/office/drawing/2014/main" xmlns="" id="{00000000-0008-0000-0B00-000028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41" name="Oval 67">
            <a:extLst>
              <a:ext uri="{FF2B5EF4-FFF2-40B4-BE49-F238E27FC236}">
                <a16:creationId xmlns:a16="http://schemas.microsoft.com/office/drawing/2014/main" xmlns="" id="{00000000-0008-0000-0B00-000029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2" name="Oval 68">
            <a:extLst>
              <a:ext uri="{FF2B5EF4-FFF2-40B4-BE49-F238E27FC236}">
                <a16:creationId xmlns:a16="http://schemas.microsoft.com/office/drawing/2014/main" xmlns="" id="{00000000-0008-0000-0B00-00002A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3" name="Oval 69">
            <a:extLst>
              <a:ext uri="{FF2B5EF4-FFF2-40B4-BE49-F238E27FC236}">
                <a16:creationId xmlns:a16="http://schemas.microsoft.com/office/drawing/2014/main" xmlns="" id="{00000000-0008-0000-0B00-00002B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8</xdr:col>
      <xdr:colOff>9525</xdr:colOff>
      <xdr:row>13</xdr:row>
      <xdr:rowOff>161925</xdr:rowOff>
    </xdr:from>
    <xdr:to>
      <xdr:col>9</xdr:col>
      <xdr:colOff>171450</xdr:colOff>
      <xdr:row>19</xdr:row>
      <xdr:rowOff>76199</xdr:rowOff>
    </xdr:to>
    <xdr:sp macro="" textlink="">
      <xdr:nvSpPr>
        <xdr:cNvPr id="44" name="Oval 43">
          <a:extLst>
            <a:ext uri="{FF2B5EF4-FFF2-40B4-BE49-F238E27FC236}">
              <a16:creationId xmlns:a16="http://schemas.microsoft.com/office/drawing/2014/main" xmlns="" id="{00000000-0008-0000-0B00-00002C000000}"/>
            </a:ext>
          </a:extLst>
        </xdr:cNvPr>
        <xdr:cNvSpPr/>
      </xdr:nvSpPr>
      <xdr:spPr>
        <a:xfrm>
          <a:off x="5019675" y="2638425"/>
          <a:ext cx="1181100" cy="1057274"/>
        </a:xfrm>
        <a:prstGeom prst="ellipse">
          <a:avLst/>
        </a:prstGeom>
        <a:noFill/>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9</xdr:col>
      <xdr:colOff>295276</xdr:colOff>
      <xdr:row>13</xdr:row>
      <xdr:rowOff>114300</xdr:rowOff>
    </xdr:from>
    <xdr:ext cx="914398" cy="952500"/>
    <xdr:pic>
      <xdr:nvPicPr>
        <xdr:cNvPr id="45" name="Picture 1" descr="savings image க்கான பட முடிவு">
          <a:extLst>
            <a:ext uri="{FF2B5EF4-FFF2-40B4-BE49-F238E27FC236}">
              <a16:creationId xmlns:a16="http://schemas.microsoft.com/office/drawing/2014/main" xmlns="" id="{00000000-0008-0000-0B00-00002D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324601" y="2590800"/>
          <a:ext cx="914398" cy="952500"/>
        </a:xfrm>
        <a:prstGeom prst="rect">
          <a:avLst/>
        </a:prstGeom>
        <a:noFill/>
      </xdr:spPr>
    </xdr:pic>
    <xdr:clientData/>
  </xdr:oneCellAnchor>
  <xdr:twoCellAnchor>
    <xdr:from>
      <xdr:col>4</xdr:col>
      <xdr:colOff>19050</xdr:colOff>
      <xdr:row>0</xdr:row>
      <xdr:rowOff>0</xdr:rowOff>
    </xdr:from>
    <xdr:to>
      <xdr:col>6</xdr:col>
      <xdr:colOff>742950</xdr:colOff>
      <xdr:row>1</xdr:row>
      <xdr:rowOff>47625</xdr:rowOff>
    </xdr:to>
    <xdr:pic>
      <xdr:nvPicPr>
        <xdr:cNvPr id="46" name="Picture 45">
          <a:extLst>
            <a:ext uri="{FF2B5EF4-FFF2-40B4-BE49-F238E27FC236}">
              <a16:creationId xmlns:a16="http://schemas.microsoft.com/office/drawing/2014/main" xmlns="" id="{00000000-0008-0000-0B00-00002E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933575" y="0"/>
          <a:ext cx="2219325" cy="238125"/>
        </a:xfrm>
        <a:prstGeom prst="rect">
          <a:avLst/>
        </a:prstGeom>
        <a:noFill/>
        <a:ln w="9525">
          <a:noFill/>
          <a:round/>
          <a:headEnd/>
          <a:tailEnd/>
        </a:ln>
        <a:effectLst/>
      </xdr:spPr>
    </xdr:pic>
    <xdr:clientData/>
  </xdr:twoCellAnchor>
  <xdr:twoCellAnchor>
    <xdr:from>
      <xdr:col>3</xdr:col>
      <xdr:colOff>66675</xdr:colOff>
      <xdr:row>1</xdr:row>
      <xdr:rowOff>0</xdr:rowOff>
    </xdr:from>
    <xdr:to>
      <xdr:col>8</xdr:col>
      <xdr:colOff>809625</xdr:colOff>
      <xdr:row>2</xdr:row>
      <xdr:rowOff>85725</xdr:rowOff>
    </xdr:to>
    <xdr:pic>
      <xdr:nvPicPr>
        <xdr:cNvPr id="47" name="Picture 46">
          <a:extLst>
            <a:ext uri="{FF2B5EF4-FFF2-40B4-BE49-F238E27FC236}">
              <a16:creationId xmlns:a16="http://schemas.microsoft.com/office/drawing/2014/main" xmlns="" id="{00000000-0008-0000-0B00-00002F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85875" y="190500"/>
          <a:ext cx="4533900" cy="276225"/>
        </a:xfrm>
        <a:prstGeom prst="rect">
          <a:avLst/>
        </a:prstGeom>
        <a:noFill/>
        <a:ln w="9525">
          <a:noFill/>
          <a:round/>
          <a:headEnd/>
          <a:tailEnd/>
        </a:ln>
        <a:effectLst/>
      </xdr:spPr>
    </xdr:pic>
    <xdr:clientData/>
  </xdr:twoCellAnchor>
  <xdr:twoCellAnchor>
    <xdr:from>
      <xdr:col>5</xdr:col>
      <xdr:colOff>742950</xdr:colOff>
      <xdr:row>51</xdr:row>
      <xdr:rowOff>0</xdr:rowOff>
    </xdr:from>
    <xdr:to>
      <xdr:col>7</xdr:col>
      <xdr:colOff>695326</xdr:colOff>
      <xdr:row>54</xdr:row>
      <xdr:rowOff>219075</xdr:rowOff>
    </xdr:to>
    <xdr:sp macro="" textlink="">
      <xdr:nvSpPr>
        <xdr:cNvPr id="48" name="Rounded Rectangle 47">
          <a:extLst>
            <a:ext uri="{FF2B5EF4-FFF2-40B4-BE49-F238E27FC236}">
              <a16:creationId xmlns:a16="http://schemas.microsoft.com/office/drawing/2014/main" xmlns="" id="{00000000-0008-0000-0B00-000030000000}"/>
            </a:ext>
          </a:extLst>
        </xdr:cNvPr>
        <xdr:cNvSpPr/>
      </xdr:nvSpPr>
      <xdr:spPr>
        <a:xfrm>
          <a:off x="3381375" y="9715500"/>
          <a:ext cx="1552576" cy="762000"/>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12</xdr:col>
      <xdr:colOff>9525</xdr:colOff>
      <xdr:row>15</xdr:row>
      <xdr:rowOff>28576</xdr:rowOff>
    </xdr:from>
    <xdr:ext cx="390525" cy="342899"/>
    <xdr:pic>
      <xdr:nvPicPr>
        <xdr:cNvPr id="49" name="Picture 2">
          <a:hlinkClick xmlns:r="http://schemas.openxmlformats.org/officeDocument/2006/relationships" r:id="rId5"/>
          <a:extLst>
            <a:ext uri="{FF2B5EF4-FFF2-40B4-BE49-F238E27FC236}">
              <a16:creationId xmlns:a16="http://schemas.microsoft.com/office/drawing/2014/main" xmlns="" id="{00000000-0008-0000-0B00-000031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543800" y="2886076"/>
          <a:ext cx="390525" cy="342899"/>
        </a:xfrm>
        <a:prstGeom prst="rect">
          <a:avLst/>
        </a:prstGeom>
        <a:noFill/>
      </xdr:spPr>
    </xdr:pic>
    <xdr:clientData/>
  </xdr:oneCellAnchor>
  <xdr:twoCellAnchor>
    <xdr:from>
      <xdr:col>12</xdr:col>
      <xdr:colOff>142875</xdr:colOff>
      <xdr:row>0</xdr:row>
      <xdr:rowOff>0</xdr:rowOff>
    </xdr:from>
    <xdr:to>
      <xdr:col>15</xdr:col>
      <xdr:colOff>438150</xdr:colOff>
      <xdr:row>3</xdr:row>
      <xdr:rowOff>95250</xdr:rowOff>
    </xdr:to>
    <xdr:sp macro="" textlink="">
      <xdr:nvSpPr>
        <xdr:cNvPr id="50" name="Left Arrow 49">
          <a:extLst>
            <a:ext uri="{FF2B5EF4-FFF2-40B4-BE49-F238E27FC236}">
              <a16:creationId xmlns:a16="http://schemas.microsoft.com/office/drawing/2014/main" xmlns="" id="{00000000-0008-0000-0B00-000032000000}"/>
            </a:ext>
          </a:extLst>
        </xdr:cNvPr>
        <xdr:cNvSpPr/>
      </xdr:nvSpPr>
      <xdr:spPr>
        <a:xfrm>
          <a:off x="7677150" y="0"/>
          <a:ext cx="1676400" cy="6667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123825</xdr:colOff>
      <xdr:row>3</xdr:row>
      <xdr:rowOff>142876</xdr:rowOff>
    </xdr:from>
    <xdr:to>
      <xdr:col>6</xdr:col>
      <xdr:colOff>19050</xdr:colOff>
      <xdr:row>6</xdr:row>
      <xdr:rowOff>66675</xdr:rowOff>
    </xdr:to>
    <xdr:pic>
      <xdr:nvPicPr>
        <xdr:cNvPr id="51" name="Picture 79">
          <a:extLst>
            <a:ext uri="{FF2B5EF4-FFF2-40B4-BE49-F238E27FC236}">
              <a16:creationId xmlns:a16="http://schemas.microsoft.com/office/drawing/2014/main" xmlns="" id="{00000000-0008-0000-0B00-000033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657225" y="714376"/>
          <a:ext cx="2771775" cy="495299"/>
        </a:xfrm>
        <a:prstGeom prst="rect">
          <a:avLst/>
        </a:prstGeom>
        <a:noFill/>
      </xdr:spPr>
    </xdr:pic>
    <xdr:clientData/>
  </xdr:twoCellAnchor>
  <xdr:twoCellAnchor>
    <xdr:from>
      <xdr:col>8</xdr:col>
      <xdr:colOff>66675</xdr:colOff>
      <xdr:row>19</xdr:row>
      <xdr:rowOff>114300</xdr:rowOff>
    </xdr:from>
    <xdr:to>
      <xdr:col>11</xdr:col>
      <xdr:colOff>304800</xdr:colOff>
      <xdr:row>39</xdr:row>
      <xdr:rowOff>133350</xdr:rowOff>
    </xdr:to>
    <xdr:pic>
      <xdr:nvPicPr>
        <xdr:cNvPr id="52" name="Picture 80">
          <a:extLst>
            <a:ext uri="{FF2B5EF4-FFF2-40B4-BE49-F238E27FC236}">
              <a16:creationId xmlns:a16="http://schemas.microsoft.com/office/drawing/2014/main" xmlns="" id="{00000000-0008-0000-0B00-000034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5076825" y="3733800"/>
          <a:ext cx="2409825" cy="3829050"/>
        </a:xfrm>
        <a:prstGeom prst="rect">
          <a:avLst/>
        </a:prstGeom>
        <a:noFill/>
      </xdr:spPr>
    </xdr:pic>
    <xdr:clientData/>
  </xdr:twoCellAnchor>
  <xdr:twoCellAnchor>
    <xdr:from>
      <xdr:col>13</xdr:col>
      <xdr:colOff>38100</xdr:colOff>
      <xdr:row>13</xdr:row>
      <xdr:rowOff>114300</xdr:rowOff>
    </xdr:from>
    <xdr:to>
      <xdr:col>14</xdr:col>
      <xdr:colOff>0</xdr:colOff>
      <xdr:row>15</xdr:row>
      <xdr:rowOff>47625</xdr:rowOff>
    </xdr:to>
    <xdr:sp macro="" textlink="">
      <xdr:nvSpPr>
        <xdr:cNvPr id="53" name="Down Arrow 52">
          <a:extLst>
            <a:ext uri="{FF2B5EF4-FFF2-40B4-BE49-F238E27FC236}">
              <a16:creationId xmlns:a16="http://schemas.microsoft.com/office/drawing/2014/main" xmlns="" id="{00000000-0008-0000-0B00-000035000000}"/>
            </a:ext>
          </a:extLst>
        </xdr:cNvPr>
        <xdr:cNvSpPr/>
      </xdr:nvSpPr>
      <xdr:spPr>
        <a:xfrm>
          <a:off x="8401050" y="2590800"/>
          <a:ext cx="314325" cy="314325"/>
        </a:xfrm>
        <a:prstGeom prst="down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12</xdr:col>
      <xdr:colOff>28575</xdr:colOff>
      <xdr:row>6</xdr:row>
      <xdr:rowOff>9526</xdr:rowOff>
    </xdr:from>
    <xdr:to>
      <xdr:col>12</xdr:col>
      <xdr:colOff>400050</xdr:colOff>
      <xdr:row>8</xdr:row>
      <xdr:rowOff>9525</xdr:rowOff>
    </xdr:to>
    <xdr:pic>
      <xdr:nvPicPr>
        <xdr:cNvPr id="54" name="image20.png">
          <a:hlinkClick xmlns:r="http://schemas.openxmlformats.org/officeDocument/2006/relationships" r:id="rId9"/>
          <a:extLst>
            <a:ext uri="{FF2B5EF4-FFF2-40B4-BE49-F238E27FC236}">
              <a16:creationId xmlns:a16="http://schemas.microsoft.com/office/drawing/2014/main" xmlns="" id="{00000000-0008-0000-0B00-000036000000}"/>
            </a:ext>
          </a:extLst>
        </xdr:cNvPr>
        <xdr:cNvPicPr preferRelativeResize="0"/>
      </xdr:nvPicPr>
      <xdr:blipFill>
        <a:blip xmlns:r="http://schemas.openxmlformats.org/officeDocument/2006/relationships" r:embed="rId10" cstate="print"/>
        <a:stretch>
          <a:fillRect/>
        </a:stretch>
      </xdr:blipFill>
      <xdr:spPr>
        <a:xfrm>
          <a:off x="7562850" y="1152526"/>
          <a:ext cx="371475" cy="380999"/>
        </a:xfrm>
        <a:prstGeom prst="rect">
          <a:avLst/>
        </a:prstGeom>
        <a:noFill/>
      </xdr:spPr>
    </xdr:pic>
    <xdr:clientData fLocksWithSheet="0"/>
  </xdr:twoCellAnchor>
  <xdr:twoCellAnchor>
    <xdr:from>
      <xdr:col>8</xdr:col>
      <xdr:colOff>95249</xdr:colOff>
      <xdr:row>40</xdr:row>
      <xdr:rowOff>123825</xdr:rowOff>
    </xdr:from>
    <xdr:to>
      <xdr:col>11</xdr:col>
      <xdr:colOff>247650</xdr:colOff>
      <xdr:row>47</xdr:row>
      <xdr:rowOff>85726</xdr:rowOff>
    </xdr:to>
    <xdr:sp macro="" textlink="">
      <xdr:nvSpPr>
        <xdr:cNvPr id="55" name="Round Diagonal Corner Rectangle 54">
          <a:extLst>
            <a:ext uri="{FF2B5EF4-FFF2-40B4-BE49-F238E27FC236}">
              <a16:creationId xmlns:a16="http://schemas.microsoft.com/office/drawing/2014/main" xmlns="" id="{00000000-0008-0000-0B00-000037000000}"/>
            </a:ext>
          </a:extLst>
        </xdr:cNvPr>
        <xdr:cNvSpPr/>
      </xdr:nvSpPr>
      <xdr:spPr bwMode="auto">
        <a:xfrm>
          <a:off x="5105399" y="7743825"/>
          <a:ext cx="2324101" cy="1295401"/>
        </a:xfrm>
        <a:prstGeom prst="round2DiagRect">
          <a:avLst/>
        </a:prstGeom>
        <a:noFill/>
        <a:ln>
          <a:solidFill>
            <a:srgbClr val="FFC000"/>
          </a:solidFill>
          <a:headEnd type="none" w="med" len="med"/>
          <a:tailEnd type="none" w="med" len="med"/>
        </a:ln>
        <a:effectLst>
          <a:outerShdw blurRad="50800" dist="38100" dir="13500000" algn="br"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wrap="square" lIns="18288" tIns="0" rIns="0" bIns="0" rtlCol="0" anchor="ctr" upright="1"/>
        <a:lstStyle/>
        <a:p>
          <a:pPr algn="ctr"/>
          <a:endParaRPr lang="en-US" sz="1100"/>
        </a:p>
      </xdr:txBody>
    </xdr:sp>
    <xdr:clientData/>
  </xdr:twoCellAnchor>
  <xdr:oneCellAnchor>
    <xdr:from>
      <xdr:col>8</xdr:col>
      <xdr:colOff>142875</xdr:colOff>
      <xdr:row>44</xdr:row>
      <xdr:rowOff>38098</xdr:rowOff>
    </xdr:from>
    <xdr:ext cx="638175" cy="485777"/>
    <xdr:pic>
      <xdr:nvPicPr>
        <xdr:cNvPr id="56" name="Picture 55">
          <a:extLst>
            <a:ext uri="{FF2B5EF4-FFF2-40B4-BE49-F238E27FC236}">
              <a16:creationId xmlns:a16="http://schemas.microsoft.com/office/drawing/2014/main" xmlns="" id="{00000000-0008-0000-0B00-00003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5153025" y="8420098"/>
          <a:ext cx="638175" cy="485777"/>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xdr:from>
      <xdr:col>1</xdr:col>
      <xdr:colOff>38100</xdr:colOff>
      <xdr:row>0</xdr:row>
      <xdr:rowOff>47625</xdr:rowOff>
    </xdr:from>
    <xdr:to>
      <xdr:col>3</xdr:col>
      <xdr:colOff>676275</xdr:colOff>
      <xdr:row>4</xdr:row>
      <xdr:rowOff>28574</xdr:rowOff>
    </xdr:to>
    <xdr:pic>
      <xdr:nvPicPr>
        <xdr:cNvPr id="2" name="image00.jpg">
          <a:extLst>
            <a:ext uri="{FF2B5EF4-FFF2-40B4-BE49-F238E27FC236}">
              <a16:creationId xmlns:a16="http://schemas.microsoft.com/office/drawing/2014/main" xmlns="" id="{00000000-0008-0000-0C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47625"/>
          <a:ext cx="1285875" cy="742949"/>
        </a:xfrm>
        <a:prstGeom prst="rect">
          <a:avLst/>
        </a:prstGeom>
        <a:noFill/>
        <a:ln w="9525">
          <a:noFill/>
          <a:round/>
          <a:headEnd/>
          <a:tailEnd/>
        </a:ln>
      </xdr:spPr>
    </xdr:pic>
    <xdr:clientData/>
  </xdr:twoCellAnchor>
  <xdr:twoCellAnchor>
    <xdr:from>
      <xdr:col>2</xdr:col>
      <xdr:colOff>19051</xdr:colOff>
      <xdr:row>5</xdr:row>
      <xdr:rowOff>171450</xdr:rowOff>
    </xdr:from>
    <xdr:to>
      <xdr:col>7</xdr:col>
      <xdr:colOff>28575</xdr:colOff>
      <xdr:row>10</xdr:row>
      <xdr:rowOff>0</xdr:rowOff>
    </xdr:to>
    <xdr:sp macro="" textlink="">
      <xdr:nvSpPr>
        <xdr:cNvPr id="3" name="Rounded Rectangle 2">
          <a:extLst>
            <a:ext uri="{FF2B5EF4-FFF2-40B4-BE49-F238E27FC236}">
              <a16:creationId xmlns:a16="http://schemas.microsoft.com/office/drawing/2014/main" xmlns="" id="{00000000-0008-0000-0C00-000003000000}"/>
            </a:ext>
          </a:extLst>
        </xdr:cNvPr>
        <xdr:cNvSpPr/>
      </xdr:nvSpPr>
      <xdr:spPr bwMode="auto">
        <a:xfrm>
          <a:off x="285751" y="1123950"/>
          <a:ext cx="3467099" cy="781050"/>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7</xdr:col>
      <xdr:colOff>38100</xdr:colOff>
      <xdr:row>5</xdr:row>
      <xdr:rowOff>28575</xdr:rowOff>
    </xdr:from>
    <xdr:to>
      <xdr:col>8</xdr:col>
      <xdr:colOff>428625</xdr:colOff>
      <xdr:row>9</xdr:row>
      <xdr:rowOff>161925</xdr:rowOff>
    </xdr:to>
    <xdr:sp macro="" textlink="">
      <xdr:nvSpPr>
        <xdr:cNvPr id="4" name="16-Point Star 3">
          <a:extLst>
            <a:ext uri="{FF2B5EF4-FFF2-40B4-BE49-F238E27FC236}">
              <a16:creationId xmlns:a16="http://schemas.microsoft.com/office/drawing/2014/main" xmlns="" id="{00000000-0008-0000-0C00-000004000000}"/>
            </a:ext>
          </a:extLst>
        </xdr:cNvPr>
        <xdr:cNvSpPr/>
      </xdr:nvSpPr>
      <xdr:spPr bwMode="auto">
        <a:xfrm>
          <a:off x="3762375" y="914400"/>
          <a:ext cx="1114425" cy="876300"/>
        </a:xfrm>
        <a:prstGeom prst="star16">
          <a:avLst/>
        </a:prstGeom>
        <a:ln>
          <a:headEnd type="none" w="med" len="med"/>
          <a:tailEnd type="none" w="med" len="med"/>
        </a:ln>
      </xdr:spPr>
      <xdr:style>
        <a:lnRef idx="1">
          <a:schemeClr val="accent4"/>
        </a:lnRef>
        <a:fillRef idx="2">
          <a:schemeClr val="accent4"/>
        </a:fillRef>
        <a:effectRef idx="1">
          <a:schemeClr val="accent4"/>
        </a:effectRef>
        <a:fontRef idx="minor">
          <a:schemeClr val="dk1"/>
        </a:fontRef>
      </xdr:style>
      <xdr:txBody>
        <a:bodyPr vertOverflow="clip" wrap="square" lIns="18288" tIns="0" rIns="0" bIns="0" rtlCol="0" anchor="ctr" upright="1"/>
        <a:lstStyle/>
        <a:p>
          <a:pPr algn="ctr"/>
          <a:r>
            <a:rPr lang="en-US" sz="1400" b="1">
              <a:solidFill>
                <a:srgbClr val="FF0000"/>
              </a:solidFill>
              <a:latin typeface="+mn-lt"/>
              <a:ea typeface="+mn-ea"/>
              <a:cs typeface="+mn-cs"/>
            </a:rPr>
            <a:t>WITH           PROFIT</a:t>
          </a:r>
        </a:p>
        <a:p>
          <a:pPr algn="ctr"/>
          <a:endParaRPr lang="en-US" sz="1200" b="1">
            <a:solidFill>
              <a:srgbClr val="FF0000"/>
            </a:solidFill>
          </a:endParaRPr>
        </a:p>
        <a:p>
          <a:pPr algn="ctr"/>
          <a:endParaRPr lang="en-US" sz="1100"/>
        </a:p>
      </xdr:txBody>
    </xdr:sp>
    <xdr:clientData/>
  </xdr:twoCellAnchor>
  <xdr:oneCellAnchor>
    <xdr:from>
      <xdr:col>7</xdr:col>
      <xdr:colOff>619125</xdr:colOff>
      <xdr:row>18</xdr:row>
      <xdr:rowOff>9525</xdr:rowOff>
    </xdr:from>
    <xdr:ext cx="3028950" cy="2047875"/>
    <xdr:pic>
      <xdr:nvPicPr>
        <xdr:cNvPr id="5" name="Picture 4" descr="817.jpg">
          <a:extLst>
            <a:ext uri="{FF2B5EF4-FFF2-40B4-BE49-F238E27FC236}">
              <a16:creationId xmlns:a16="http://schemas.microsoft.com/office/drawing/2014/main" xmlns="" id="{00000000-0008-0000-0C00-000005000000}"/>
            </a:ext>
          </a:extLst>
        </xdr:cNvPr>
        <xdr:cNvPicPr>
          <a:picLocks noChangeAspect="1"/>
        </xdr:cNvPicPr>
      </xdr:nvPicPr>
      <xdr:blipFill>
        <a:blip xmlns:r="http://schemas.openxmlformats.org/officeDocument/2006/relationships" r:embed="rId2" cstate="print"/>
        <a:stretch>
          <a:fillRect/>
        </a:stretch>
      </xdr:blipFill>
      <xdr:spPr>
        <a:xfrm>
          <a:off x="4343400" y="3438525"/>
          <a:ext cx="3028950" cy="2047875"/>
        </a:xfrm>
        <a:prstGeom prst="rect">
          <a:avLst/>
        </a:prstGeom>
      </xdr:spPr>
    </xdr:pic>
    <xdr:clientData/>
  </xdr:oneCellAnchor>
  <xdr:twoCellAnchor>
    <xdr:from>
      <xdr:col>8</xdr:col>
      <xdr:colOff>47625</xdr:colOff>
      <xdr:row>13</xdr:row>
      <xdr:rowOff>114300</xdr:rowOff>
    </xdr:from>
    <xdr:to>
      <xdr:col>12</xdr:col>
      <xdr:colOff>466725</xdr:colOff>
      <xdr:row>18</xdr:row>
      <xdr:rowOff>66675</xdr:rowOff>
    </xdr:to>
    <xdr:pic>
      <xdr:nvPicPr>
        <xdr:cNvPr id="6" name="Picture 5">
          <a:extLst>
            <a:ext uri="{FF2B5EF4-FFF2-40B4-BE49-F238E27FC236}">
              <a16:creationId xmlns:a16="http://schemas.microsoft.com/office/drawing/2014/main" xmlns="" id="{00000000-0008-0000-0C00-000006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495800" y="2590800"/>
          <a:ext cx="2819400" cy="904875"/>
        </a:xfrm>
        <a:prstGeom prst="rect">
          <a:avLst/>
        </a:prstGeom>
        <a:noFill/>
        <a:ln w="9360">
          <a:noFill/>
          <a:round/>
          <a:headEnd/>
          <a:tailEnd/>
        </a:ln>
      </xdr:spPr>
    </xdr:pic>
    <xdr:clientData/>
  </xdr:twoCellAnchor>
  <xdr:twoCellAnchor>
    <xdr:from>
      <xdr:col>8</xdr:col>
      <xdr:colOff>257174</xdr:colOff>
      <xdr:row>28</xdr:row>
      <xdr:rowOff>152400</xdr:rowOff>
    </xdr:from>
    <xdr:to>
      <xdr:col>12</xdr:col>
      <xdr:colOff>466724</xdr:colOff>
      <xdr:row>32</xdr:row>
      <xdr:rowOff>142875</xdr:rowOff>
    </xdr:to>
    <xdr:pic>
      <xdr:nvPicPr>
        <xdr:cNvPr id="7" name="Picture 6">
          <a:extLst>
            <a:ext uri="{FF2B5EF4-FFF2-40B4-BE49-F238E27FC236}">
              <a16:creationId xmlns:a16="http://schemas.microsoft.com/office/drawing/2014/main" xmlns="" id="{00000000-0008-0000-0C00-000007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705349" y="5486400"/>
          <a:ext cx="2609850" cy="752475"/>
        </a:xfrm>
        <a:prstGeom prst="rect">
          <a:avLst/>
        </a:prstGeom>
        <a:noFill/>
        <a:ln w="9360">
          <a:noFill/>
          <a:round/>
          <a:headEnd/>
          <a:tailEnd/>
        </a:ln>
      </xdr:spPr>
    </xdr:pic>
    <xdr:clientData/>
  </xdr:twoCellAnchor>
  <xdr:twoCellAnchor>
    <xdr:from>
      <xdr:col>8</xdr:col>
      <xdr:colOff>419098</xdr:colOff>
      <xdr:row>45</xdr:row>
      <xdr:rowOff>161925</xdr:rowOff>
    </xdr:from>
    <xdr:to>
      <xdr:col>12</xdr:col>
      <xdr:colOff>504825</xdr:colOff>
      <xdr:row>53</xdr:row>
      <xdr:rowOff>9524</xdr:rowOff>
    </xdr:to>
    <xdr:sp macro="" textlink="">
      <xdr:nvSpPr>
        <xdr:cNvPr id="8" name="Round Diagonal Corner Rectangle 7">
          <a:extLst>
            <a:ext uri="{FF2B5EF4-FFF2-40B4-BE49-F238E27FC236}">
              <a16:creationId xmlns:a16="http://schemas.microsoft.com/office/drawing/2014/main" xmlns="" id="{00000000-0008-0000-0C00-000008000000}"/>
            </a:ext>
          </a:extLst>
        </xdr:cNvPr>
        <xdr:cNvSpPr/>
      </xdr:nvSpPr>
      <xdr:spPr>
        <a:xfrm>
          <a:off x="4867273" y="8734425"/>
          <a:ext cx="2486027" cy="1371599"/>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8</xdr:col>
      <xdr:colOff>419100</xdr:colOff>
      <xdr:row>5</xdr:row>
      <xdr:rowOff>142875</xdr:rowOff>
    </xdr:from>
    <xdr:to>
      <xdr:col>12</xdr:col>
      <xdr:colOff>523875</xdr:colOff>
      <xdr:row>9</xdr:row>
      <xdr:rowOff>19050</xdr:rowOff>
    </xdr:to>
    <xdr:sp macro="" textlink="">
      <xdr:nvSpPr>
        <xdr:cNvPr id="9" name="Rounded Rectangle 8">
          <a:extLst>
            <a:ext uri="{FF2B5EF4-FFF2-40B4-BE49-F238E27FC236}">
              <a16:creationId xmlns:a16="http://schemas.microsoft.com/office/drawing/2014/main" xmlns="" id="{00000000-0008-0000-0C00-000009000000}"/>
            </a:ext>
          </a:extLst>
        </xdr:cNvPr>
        <xdr:cNvSpPr/>
      </xdr:nvSpPr>
      <xdr:spPr>
        <a:xfrm>
          <a:off x="4867275" y="1095375"/>
          <a:ext cx="2505075" cy="638175"/>
        </a:xfrm>
        <a:prstGeom prst="roundRect">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twoCellAnchor>
    <xdr:from>
      <xdr:col>9</xdr:col>
      <xdr:colOff>19051</xdr:colOff>
      <xdr:row>46</xdr:row>
      <xdr:rowOff>104775</xdr:rowOff>
    </xdr:from>
    <xdr:to>
      <xdr:col>9</xdr:col>
      <xdr:colOff>333375</xdr:colOff>
      <xdr:row>52</xdr:row>
      <xdr:rowOff>0</xdr:rowOff>
    </xdr:to>
    <xdr:grpSp>
      <xdr:nvGrpSpPr>
        <xdr:cNvPr id="10" name="Group 38">
          <a:extLst>
            <a:ext uri="{FF2B5EF4-FFF2-40B4-BE49-F238E27FC236}">
              <a16:creationId xmlns:a16="http://schemas.microsoft.com/office/drawing/2014/main" xmlns="" id="{00000000-0008-0000-0C00-00000A000000}"/>
            </a:ext>
          </a:extLst>
        </xdr:cNvPr>
        <xdr:cNvGrpSpPr>
          <a:grpSpLocks/>
        </xdr:cNvGrpSpPr>
      </xdr:nvGrpSpPr>
      <xdr:grpSpPr bwMode="auto">
        <a:xfrm>
          <a:off x="4924426" y="8543925"/>
          <a:ext cx="314324" cy="866775"/>
          <a:chOff x="112842675" y="108899325"/>
          <a:chExt cx="762763" cy="1285875"/>
        </a:xfrm>
      </xdr:grpSpPr>
      <xdr:sp macro="" textlink="">
        <xdr:nvSpPr>
          <xdr:cNvPr id="11" name="Oval 39">
            <a:extLst>
              <a:ext uri="{FF2B5EF4-FFF2-40B4-BE49-F238E27FC236}">
                <a16:creationId xmlns:a16="http://schemas.microsoft.com/office/drawing/2014/main" xmlns="" id="{00000000-0008-0000-0C00-00000B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2" name="Oval 40">
            <a:extLst>
              <a:ext uri="{FF2B5EF4-FFF2-40B4-BE49-F238E27FC236}">
                <a16:creationId xmlns:a16="http://schemas.microsoft.com/office/drawing/2014/main" xmlns="" id="{00000000-0008-0000-0C00-00000C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3" name="Oval 41">
            <a:extLst>
              <a:ext uri="{FF2B5EF4-FFF2-40B4-BE49-F238E27FC236}">
                <a16:creationId xmlns:a16="http://schemas.microsoft.com/office/drawing/2014/main" xmlns="" id="{00000000-0008-0000-0C00-00000D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4" name="Oval 42">
            <a:extLst>
              <a:ext uri="{FF2B5EF4-FFF2-40B4-BE49-F238E27FC236}">
                <a16:creationId xmlns:a16="http://schemas.microsoft.com/office/drawing/2014/main" xmlns="" id="{00000000-0008-0000-0C00-00000E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5" name="Oval 43">
            <a:extLst>
              <a:ext uri="{FF2B5EF4-FFF2-40B4-BE49-F238E27FC236}">
                <a16:creationId xmlns:a16="http://schemas.microsoft.com/office/drawing/2014/main" xmlns="" id="{00000000-0008-0000-0C00-00000F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6" name="Oval 44">
            <a:extLst>
              <a:ext uri="{FF2B5EF4-FFF2-40B4-BE49-F238E27FC236}">
                <a16:creationId xmlns:a16="http://schemas.microsoft.com/office/drawing/2014/main" xmlns="" id="{00000000-0008-0000-0C00-000010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7" name="Oval 45">
            <a:extLst>
              <a:ext uri="{FF2B5EF4-FFF2-40B4-BE49-F238E27FC236}">
                <a16:creationId xmlns:a16="http://schemas.microsoft.com/office/drawing/2014/main" xmlns="" id="{00000000-0008-0000-0C00-000011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8" name="Oval 46">
            <a:extLst>
              <a:ext uri="{FF2B5EF4-FFF2-40B4-BE49-F238E27FC236}">
                <a16:creationId xmlns:a16="http://schemas.microsoft.com/office/drawing/2014/main" xmlns="" id="{00000000-0008-0000-0C00-000012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9" name="Oval 47">
            <a:extLst>
              <a:ext uri="{FF2B5EF4-FFF2-40B4-BE49-F238E27FC236}">
                <a16:creationId xmlns:a16="http://schemas.microsoft.com/office/drawing/2014/main" xmlns="" id="{00000000-0008-0000-0C00-000013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0" name="Oval 48">
            <a:extLst>
              <a:ext uri="{FF2B5EF4-FFF2-40B4-BE49-F238E27FC236}">
                <a16:creationId xmlns:a16="http://schemas.microsoft.com/office/drawing/2014/main" xmlns="" id="{00000000-0008-0000-0C00-000014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1" name="Oval 49">
            <a:extLst>
              <a:ext uri="{FF2B5EF4-FFF2-40B4-BE49-F238E27FC236}">
                <a16:creationId xmlns:a16="http://schemas.microsoft.com/office/drawing/2014/main" xmlns="" id="{00000000-0008-0000-0C00-000015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2" name="Oval 50">
            <a:extLst>
              <a:ext uri="{FF2B5EF4-FFF2-40B4-BE49-F238E27FC236}">
                <a16:creationId xmlns:a16="http://schemas.microsoft.com/office/drawing/2014/main" xmlns="" id="{00000000-0008-0000-0C00-000016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3" name="Oval 51">
            <a:extLst>
              <a:ext uri="{FF2B5EF4-FFF2-40B4-BE49-F238E27FC236}">
                <a16:creationId xmlns:a16="http://schemas.microsoft.com/office/drawing/2014/main" xmlns="" id="{00000000-0008-0000-0C00-000017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4" name="Oval 52">
            <a:extLst>
              <a:ext uri="{FF2B5EF4-FFF2-40B4-BE49-F238E27FC236}">
                <a16:creationId xmlns:a16="http://schemas.microsoft.com/office/drawing/2014/main" xmlns="" id="{00000000-0008-0000-0C00-000018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5" name="Oval 53">
            <a:extLst>
              <a:ext uri="{FF2B5EF4-FFF2-40B4-BE49-F238E27FC236}">
                <a16:creationId xmlns:a16="http://schemas.microsoft.com/office/drawing/2014/main" xmlns="" id="{00000000-0008-0000-0C00-000019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6" name="Oval 54">
            <a:extLst>
              <a:ext uri="{FF2B5EF4-FFF2-40B4-BE49-F238E27FC236}">
                <a16:creationId xmlns:a16="http://schemas.microsoft.com/office/drawing/2014/main" xmlns="" id="{00000000-0008-0000-0C00-00001A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7" name="Oval 55">
            <a:extLst>
              <a:ext uri="{FF2B5EF4-FFF2-40B4-BE49-F238E27FC236}">
                <a16:creationId xmlns:a16="http://schemas.microsoft.com/office/drawing/2014/main" xmlns="" id="{00000000-0008-0000-0C00-00001B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8" name="Oval 56">
            <a:extLst>
              <a:ext uri="{FF2B5EF4-FFF2-40B4-BE49-F238E27FC236}">
                <a16:creationId xmlns:a16="http://schemas.microsoft.com/office/drawing/2014/main" xmlns="" id="{00000000-0008-0000-0C00-00001C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9" name="Oval 57">
            <a:extLst>
              <a:ext uri="{FF2B5EF4-FFF2-40B4-BE49-F238E27FC236}">
                <a16:creationId xmlns:a16="http://schemas.microsoft.com/office/drawing/2014/main" xmlns="" id="{00000000-0008-0000-0C00-00001D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0" name="Oval 58">
            <a:extLst>
              <a:ext uri="{FF2B5EF4-FFF2-40B4-BE49-F238E27FC236}">
                <a16:creationId xmlns:a16="http://schemas.microsoft.com/office/drawing/2014/main" xmlns="" id="{00000000-0008-0000-0C00-00001E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1" name="Oval 59">
            <a:extLst>
              <a:ext uri="{FF2B5EF4-FFF2-40B4-BE49-F238E27FC236}">
                <a16:creationId xmlns:a16="http://schemas.microsoft.com/office/drawing/2014/main" xmlns="" id="{00000000-0008-0000-0C00-00001F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2" name="Oval 60">
            <a:extLst>
              <a:ext uri="{FF2B5EF4-FFF2-40B4-BE49-F238E27FC236}">
                <a16:creationId xmlns:a16="http://schemas.microsoft.com/office/drawing/2014/main" xmlns="" id="{00000000-0008-0000-0C00-000020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3" name="Oval 61">
            <a:extLst>
              <a:ext uri="{FF2B5EF4-FFF2-40B4-BE49-F238E27FC236}">
                <a16:creationId xmlns:a16="http://schemas.microsoft.com/office/drawing/2014/main" xmlns="" id="{00000000-0008-0000-0C00-000021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4" name="Oval 62">
            <a:extLst>
              <a:ext uri="{FF2B5EF4-FFF2-40B4-BE49-F238E27FC236}">
                <a16:creationId xmlns:a16="http://schemas.microsoft.com/office/drawing/2014/main" xmlns="" id="{00000000-0008-0000-0C00-000022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5" name="Oval 63">
            <a:extLst>
              <a:ext uri="{FF2B5EF4-FFF2-40B4-BE49-F238E27FC236}">
                <a16:creationId xmlns:a16="http://schemas.microsoft.com/office/drawing/2014/main" xmlns="" id="{00000000-0008-0000-0C00-000023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6" name="Oval 64">
            <a:extLst>
              <a:ext uri="{FF2B5EF4-FFF2-40B4-BE49-F238E27FC236}">
                <a16:creationId xmlns:a16="http://schemas.microsoft.com/office/drawing/2014/main" xmlns="" id="{00000000-0008-0000-0C00-000024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7" name="Oval 65">
            <a:extLst>
              <a:ext uri="{FF2B5EF4-FFF2-40B4-BE49-F238E27FC236}">
                <a16:creationId xmlns:a16="http://schemas.microsoft.com/office/drawing/2014/main" xmlns="" id="{00000000-0008-0000-0C00-000025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8" name="Oval 66">
            <a:extLst>
              <a:ext uri="{FF2B5EF4-FFF2-40B4-BE49-F238E27FC236}">
                <a16:creationId xmlns:a16="http://schemas.microsoft.com/office/drawing/2014/main" xmlns="" id="{00000000-0008-0000-0C00-000026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9" name="Oval 67">
            <a:extLst>
              <a:ext uri="{FF2B5EF4-FFF2-40B4-BE49-F238E27FC236}">
                <a16:creationId xmlns:a16="http://schemas.microsoft.com/office/drawing/2014/main" xmlns="" id="{00000000-0008-0000-0C00-000027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0" name="Oval 68">
            <a:extLst>
              <a:ext uri="{FF2B5EF4-FFF2-40B4-BE49-F238E27FC236}">
                <a16:creationId xmlns:a16="http://schemas.microsoft.com/office/drawing/2014/main" xmlns="" id="{00000000-0008-0000-0C00-000028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1" name="Oval 69">
            <a:extLst>
              <a:ext uri="{FF2B5EF4-FFF2-40B4-BE49-F238E27FC236}">
                <a16:creationId xmlns:a16="http://schemas.microsoft.com/office/drawing/2014/main" xmlns="" id="{00000000-0008-0000-0C00-000029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2</xdr:col>
      <xdr:colOff>171450</xdr:colOff>
      <xdr:row>6</xdr:row>
      <xdr:rowOff>57150</xdr:rowOff>
    </xdr:from>
    <xdr:to>
      <xdr:col>3</xdr:col>
      <xdr:colOff>104775</xdr:colOff>
      <xdr:row>7</xdr:row>
      <xdr:rowOff>142875</xdr:rowOff>
    </xdr:to>
    <xdr:sp macro="" textlink="">
      <xdr:nvSpPr>
        <xdr:cNvPr id="42" name="Quad Arrow 41">
          <a:extLst>
            <a:ext uri="{FF2B5EF4-FFF2-40B4-BE49-F238E27FC236}">
              <a16:creationId xmlns:a16="http://schemas.microsoft.com/office/drawing/2014/main" xmlns="" id="{00000000-0008-0000-0C00-00002A000000}"/>
            </a:ext>
          </a:extLst>
        </xdr:cNvPr>
        <xdr:cNvSpPr/>
      </xdr:nvSpPr>
      <xdr:spPr>
        <a:xfrm>
          <a:off x="438150" y="1200150"/>
          <a:ext cx="314325" cy="276225"/>
        </a:xfrm>
        <a:prstGeom prst="quadArrow">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US" sz="1100"/>
        </a:p>
      </xdr:txBody>
    </xdr:sp>
    <xdr:clientData/>
  </xdr:twoCellAnchor>
  <xdr:twoCellAnchor>
    <xdr:from>
      <xdr:col>4</xdr:col>
      <xdr:colOff>428625</xdr:colOff>
      <xdr:row>0</xdr:row>
      <xdr:rowOff>9525</xdr:rowOff>
    </xdr:from>
    <xdr:to>
      <xdr:col>7</xdr:col>
      <xdr:colOff>352425</xdr:colOff>
      <xdr:row>1</xdr:row>
      <xdr:rowOff>171450</xdr:rowOff>
    </xdr:to>
    <xdr:pic>
      <xdr:nvPicPr>
        <xdr:cNvPr id="43" name="Picture 42">
          <a:extLst>
            <a:ext uri="{FF2B5EF4-FFF2-40B4-BE49-F238E27FC236}">
              <a16:creationId xmlns:a16="http://schemas.microsoft.com/office/drawing/2014/main" xmlns="" id="{00000000-0008-0000-0C00-00002B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819275" y="9525"/>
          <a:ext cx="2257425" cy="352425"/>
        </a:xfrm>
        <a:prstGeom prst="rect">
          <a:avLst/>
        </a:prstGeom>
        <a:noFill/>
        <a:ln w="9525">
          <a:noFill/>
          <a:round/>
          <a:headEnd/>
          <a:tailEnd/>
        </a:ln>
        <a:effectLst/>
      </xdr:spPr>
    </xdr:pic>
    <xdr:clientData/>
  </xdr:twoCellAnchor>
  <xdr:twoCellAnchor>
    <xdr:from>
      <xdr:col>3</xdr:col>
      <xdr:colOff>542925</xdr:colOff>
      <xdr:row>1</xdr:row>
      <xdr:rowOff>161926</xdr:rowOff>
    </xdr:from>
    <xdr:to>
      <xdr:col>10</xdr:col>
      <xdr:colOff>123825</xdr:colOff>
      <xdr:row>2</xdr:row>
      <xdr:rowOff>190500</xdr:rowOff>
    </xdr:to>
    <xdr:pic>
      <xdr:nvPicPr>
        <xdr:cNvPr id="44" name="Picture 43">
          <a:extLst>
            <a:ext uri="{FF2B5EF4-FFF2-40B4-BE49-F238E27FC236}">
              <a16:creationId xmlns:a16="http://schemas.microsoft.com/office/drawing/2014/main" xmlns="" id="{00000000-0008-0000-0C00-00002C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190625" y="285751"/>
          <a:ext cx="4448175" cy="238124"/>
        </a:xfrm>
        <a:prstGeom prst="rect">
          <a:avLst/>
        </a:prstGeom>
        <a:noFill/>
        <a:ln w="9525">
          <a:noFill/>
          <a:round/>
          <a:headEnd/>
          <a:tailEnd/>
        </a:ln>
        <a:effectLst/>
      </xdr:spPr>
    </xdr:pic>
    <xdr:clientData/>
  </xdr:twoCellAnchor>
  <xdr:oneCellAnchor>
    <xdr:from>
      <xdr:col>14</xdr:col>
      <xdr:colOff>19049</xdr:colOff>
      <xdr:row>8</xdr:row>
      <xdr:rowOff>28576</xdr:rowOff>
    </xdr:from>
    <xdr:ext cx="409575" cy="361950"/>
    <xdr:pic>
      <xdr:nvPicPr>
        <xdr:cNvPr id="45" name="Picture 2">
          <a:hlinkClick xmlns:r="http://schemas.openxmlformats.org/officeDocument/2006/relationships" r:id="rId7"/>
          <a:extLst>
            <a:ext uri="{FF2B5EF4-FFF2-40B4-BE49-F238E27FC236}">
              <a16:creationId xmlns:a16="http://schemas.microsoft.com/office/drawing/2014/main" xmlns="" id="{00000000-0008-0000-0C00-00002D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7600949" y="1552576"/>
          <a:ext cx="409575" cy="361950"/>
        </a:xfrm>
        <a:prstGeom prst="rect">
          <a:avLst/>
        </a:prstGeom>
        <a:noFill/>
      </xdr:spPr>
    </xdr:pic>
    <xdr:clientData/>
  </xdr:oneCellAnchor>
  <xdr:oneCellAnchor>
    <xdr:from>
      <xdr:col>14</xdr:col>
      <xdr:colOff>9524</xdr:colOff>
      <xdr:row>15</xdr:row>
      <xdr:rowOff>19050</xdr:rowOff>
    </xdr:from>
    <xdr:ext cx="409575" cy="333375"/>
    <xdr:pic>
      <xdr:nvPicPr>
        <xdr:cNvPr id="46" name="Picture 2">
          <a:hlinkClick xmlns:r="http://schemas.openxmlformats.org/officeDocument/2006/relationships" r:id="rId9"/>
          <a:extLst>
            <a:ext uri="{FF2B5EF4-FFF2-40B4-BE49-F238E27FC236}">
              <a16:creationId xmlns:a16="http://schemas.microsoft.com/office/drawing/2014/main" xmlns="" id="{00000000-0008-0000-0C00-00002E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7591424" y="2628900"/>
          <a:ext cx="409575" cy="333375"/>
        </a:xfrm>
        <a:prstGeom prst="rect">
          <a:avLst/>
        </a:prstGeom>
        <a:noFill/>
      </xdr:spPr>
    </xdr:pic>
    <xdr:clientData/>
  </xdr:oneCellAnchor>
  <xdr:twoCellAnchor>
    <xdr:from>
      <xdr:col>14</xdr:col>
      <xdr:colOff>190500</xdr:colOff>
      <xdr:row>0</xdr:row>
      <xdr:rowOff>76200</xdr:rowOff>
    </xdr:from>
    <xdr:to>
      <xdr:col>16</xdr:col>
      <xdr:colOff>409575</xdr:colOff>
      <xdr:row>4</xdr:row>
      <xdr:rowOff>47625</xdr:rowOff>
    </xdr:to>
    <xdr:sp macro="" textlink="">
      <xdr:nvSpPr>
        <xdr:cNvPr id="47" name="Left Arrow 46">
          <a:extLst>
            <a:ext uri="{FF2B5EF4-FFF2-40B4-BE49-F238E27FC236}">
              <a16:creationId xmlns:a16="http://schemas.microsoft.com/office/drawing/2014/main" xmlns="" id="{00000000-0008-0000-0C00-00002F000000}"/>
            </a:ext>
          </a:extLst>
        </xdr:cNvPr>
        <xdr:cNvSpPr/>
      </xdr:nvSpPr>
      <xdr:spPr>
        <a:xfrm>
          <a:off x="7772400" y="76200"/>
          <a:ext cx="1438275" cy="733425"/>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6</xdr:col>
      <xdr:colOff>323850</xdr:colOff>
      <xdr:row>6</xdr:row>
      <xdr:rowOff>76200</xdr:rowOff>
    </xdr:from>
    <xdr:to>
      <xdr:col>6</xdr:col>
      <xdr:colOff>619125</xdr:colOff>
      <xdr:row>7</xdr:row>
      <xdr:rowOff>161925</xdr:rowOff>
    </xdr:to>
    <xdr:sp macro="" textlink="">
      <xdr:nvSpPr>
        <xdr:cNvPr id="48" name="Quad Arrow 47">
          <a:extLst>
            <a:ext uri="{FF2B5EF4-FFF2-40B4-BE49-F238E27FC236}">
              <a16:creationId xmlns:a16="http://schemas.microsoft.com/office/drawing/2014/main" xmlns="" id="{00000000-0008-0000-0C00-000030000000}"/>
            </a:ext>
          </a:extLst>
        </xdr:cNvPr>
        <xdr:cNvSpPr/>
      </xdr:nvSpPr>
      <xdr:spPr>
        <a:xfrm>
          <a:off x="3286125" y="1219200"/>
          <a:ext cx="295275" cy="276225"/>
        </a:xfrm>
        <a:prstGeom prst="quadArrow">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114301</xdr:colOff>
      <xdr:row>0</xdr:row>
      <xdr:rowOff>28576</xdr:rowOff>
    </xdr:from>
    <xdr:to>
      <xdr:col>4</xdr:col>
      <xdr:colOff>66675</xdr:colOff>
      <xdr:row>3</xdr:row>
      <xdr:rowOff>180975</xdr:rowOff>
    </xdr:to>
    <xdr:pic>
      <xdr:nvPicPr>
        <xdr:cNvPr id="2" name="image00.jpg">
          <a:extLst>
            <a:ext uri="{FF2B5EF4-FFF2-40B4-BE49-F238E27FC236}">
              <a16:creationId xmlns:a16="http://schemas.microsoft.com/office/drawing/2014/main" xmlns="" id="{00000000-0008-0000-0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301" y="28576"/>
          <a:ext cx="1381124" cy="723899"/>
        </a:xfrm>
        <a:prstGeom prst="rect">
          <a:avLst/>
        </a:prstGeom>
        <a:noFill/>
        <a:ln w="9525">
          <a:noFill/>
          <a:round/>
          <a:headEnd/>
          <a:tailEnd/>
        </a:ln>
      </xdr:spPr>
    </xdr:pic>
    <xdr:clientData/>
  </xdr:twoCellAnchor>
  <xdr:twoCellAnchor>
    <xdr:from>
      <xdr:col>1</xdr:col>
      <xdr:colOff>285750</xdr:colOff>
      <xdr:row>5</xdr:row>
      <xdr:rowOff>38100</xdr:rowOff>
    </xdr:from>
    <xdr:to>
      <xdr:col>6</xdr:col>
      <xdr:colOff>685801</xdr:colOff>
      <xdr:row>10</xdr:row>
      <xdr:rowOff>9525</xdr:rowOff>
    </xdr:to>
    <xdr:sp macro="" textlink="">
      <xdr:nvSpPr>
        <xdr:cNvPr id="3" name="Rounded Rectangle 2">
          <a:extLst>
            <a:ext uri="{FF2B5EF4-FFF2-40B4-BE49-F238E27FC236}">
              <a16:creationId xmlns:a16="http://schemas.microsoft.com/office/drawing/2014/main" xmlns="" id="{00000000-0008-0000-0D00-000003000000}"/>
            </a:ext>
          </a:extLst>
        </xdr:cNvPr>
        <xdr:cNvSpPr/>
      </xdr:nvSpPr>
      <xdr:spPr bwMode="auto">
        <a:xfrm>
          <a:off x="285750" y="990600"/>
          <a:ext cx="3267076" cy="923925"/>
        </a:xfrm>
        <a:prstGeom prst="roundRect">
          <a:avLst/>
        </a:prstGeom>
        <a:noFill/>
        <a:ln w="127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9</xdr:col>
      <xdr:colOff>323851</xdr:colOff>
      <xdr:row>20</xdr:row>
      <xdr:rowOff>28574</xdr:rowOff>
    </xdr:from>
    <xdr:to>
      <xdr:col>11</xdr:col>
      <xdr:colOff>419100</xdr:colOff>
      <xdr:row>24</xdr:row>
      <xdr:rowOff>66675</xdr:rowOff>
    </xdr:to>
    <xdr:sp macro="" textlink="">
      <xdr:nvSpPr>
        <xdr:cNvPr id="4" name="16-Point Star 3">
          <a:extLst>
            <a:ext uri="{FF2B5EF4-FFF2-40B4-BE49-F238E27FC236}">
              <a16:creationId xmlns:a16="http://schemas.microsoft.com/office/drawing/2014/main" xmlns="" id="{00000000-0008-0000-0D00-000004000000}"/>
            </a:ext>
          </a:extLst>
        </xdr:cNvPr>
        <xdr:cNvSpPr/>
      </xdr:nvSpPr>
      <xdr:spPr bwMode="auto">
        <a:xfrm>
          <a:off x="5486401" y="4048124"/>
          <a:ext cx="1323974" cy="952501"/>
        </a:xfrm>
        <a:prstGeom prst="star16">
          <a:avLst/>
        </a:prstGeom>
        <a:ln>
          <a:headEnd type="none" w="med" len="med"/>
          <a:tailEnd type="none" w="med" len="med"/>
        </a:ln>
        <a:effectLst>
          <a:outerShdw blurRad="50800" dist="38100" dir="18900000" algn="bl" rotWithShape="0">
            <a:prstClr val="black">
              <a:alpha val="40000"/>
            </a:prstClr>
          </a:outerShdw>
        </a:effectLst>
      </xdr:spPr>
      <xdr:style>
        <a:lnRef idx="1">
          <a:schemeClr val="accent4"/>
        </a:lnRef>
        <a:fillRef idx="2">
          <a:schemeClr val="accent4"/>
        </a:fillRef>
        <a:effectRef idx="1">
          <a:schemeClr val="accent4"/>
        </a:effectRef>
        <a:fontRef idx="minor">
          <a:schemeClr val="dk1"/>
        </a:fontRef>
      </xdr:style>
      <xdr:txBody>
        <a:bodyPr vertOverflow="clip" wrap="square" lIns="18288" tIns="0" rIns="0" bIns="0" rtlCol="0" anchor="ctr" upright="1"/>
        <a:lstStyle/>
        <a:p>
          <a:pPr algn="ctr"/>
          <a:r>
            <a:rPr lang="en-US" sz="1000" b="1">
              <a:solidFill>
                <a:srgbClr val="FF0000"/>
              </a:solidFill>
              <a:latin typeface="+mn-lt"/>
              <a:ea typeface="+mn-ea"/>
              <a:cs typeface="+mn-cs"/>
            </a:rPr>
            <a:t>WITH             LOYALTY ADDITIONS</a:t>
          </a:r>
          <a:endParaRPr lang="en-US" sz="1000" b="1">
            <a:solidFill>
              <a:srgbClr val="FF0000"/>
            </a:solidFill>
          </a:endParaRPr>
        </a:p>
        <a:p>
          <a:pPr algn="ctr"/>
          <a:endParaRPr lang="en-US" sz="1100"/>
        </a:p>
      </xdr:txBody>
    </xdr:sp>
    <xdr:clientData/>
  </xdr:twoCellAnchor>
  <xdr:oneCellAnchor>
    <xdr:from>
      <xdr:col>8</xdr:col>
      <xdr:colOff>761999</xdr:colOff>
      <xdr:row>24</xdr:row>
      <xdr:rowOff>171451</xdr:rowOff>
    </xdr:from>
    <xdr:ext cx="2028825" cy="2314574"/>
    <xdr:pic>
      <xdr:nvPicPr>
        <xdr:cNvPr id="5" name="Picture 2">
          <a:extLst>
            <a:ext uri="{FF2B5EF4-FFF2-40B4-BE49-F238E27FC236}">
              <a16:creationId xmlns:a16="http://schemas.microsoft.com/office/drawing/2014/main" xmlns="" id="{00000000-0008-0000-0D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153024" y="5105401"/>
          <a:ext cx="2028825" cy="2314574"/>
        </a:xfrm>
        <a:prstGeom prst="rect">
          <a:avLst/>
        </a:prstGeom>
        <a:ln>
          <a:noFill/>
        </a:ln>
        <a:effectLst>
          <a:softEdge rad="112500"/>
        </a:effectLst>
      </xdr:spPr>
    </xdr:pic>
    <xdr:clientData/>
  </xdr:oneCellAnchor>
  <xdr:oneCellAnchor>
    <xdr:from>
      <xdr:col>9</xdr:col>
      <xdr:colOff>104775</xdr:colOff>
      <xdr:row>15</xdr:row>
      <xdr:rowOff>57150</xdr:rowOff>
    </xdr:from>
    <xdr:ext cx="1504950" cy="1028700"/>
    <xdr:pic>
      <xdr:nvPicPr>
        <xdr:cNvPr id="6" name="Picture 4">
          <a:extLst>
            <a:ext uri="{FF2B5EF4-FFF2-40B4-BE49-F238E27FC236}">
              <a16:creationId xmlns:a16="http://schemas.microsoft.com/office/drawing/2014/main" xmlns="" id="{00000000-0008-0000-0D00-000006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267325" y="3009900"/>
          <a:ext cx="1504950" cy="1028700"/>
        </a:xfrm>
        <a:prstGeom prst="ellipse">
          <a:avLst/>
        </a:prstGeom>
        <a:ln>
          <a:noFill/>
        </a:ln>
        <a:effectLst>
          <a:softEdge rad="112500"/>
        </a:effectLst>
      </xdr:spPr>
    </xdr:pic>
    <xdr:clientData/>
  </xdr:oneCellAnchor>
  <xdr:twoCellAnchor>
    <xdr:from>
      <xdr:col>8</xdr:col>
      <xdr:colOff>19051</xdr:colOff>
      <xdr:row>8</xdr:row>
      <xdr:rowOff>0</xdr:rowOff>
    </xdr:from>
    <xdr:to>
      <xdr:col>12</xdr:col>
      <xdr:colOff>1</xdr:colOff>
      <xdr:row>10</xdr:row>
      <xdr:rowOff>190500</xdr:rowOff>
    </xdr:to>
    <xdr:sp macro="" textlink="">
      <xdr:nvSpPr>
        <xdr:cNvPr id="7" name="Rounded Rectangle 6">
          <a:extLst>
            <a:ext uri="{FF2B5EF4-FFF2-40B4-BE49-F238E27FC236}">
              <a16:creationId xmlns:a16="http://schemas.microsoft.com/office/drawing/2014/main" xmlns="" id="{00000000-0008-0000-0D00-000007000000}"/>
            </a:ext>
          </a:extLst>
        </xdr:cNvPr>
        <xdr:cNvSpPr/>
      </xdr:nvSpPr>
      <xdr:spPr>
        <a:xfrm>
          <a:off x="4410076" y="1524000"/>
          <a:ext cx="2476500" cy="571500"/>
        </a:xfrm>
        <a:prstGeom prst="roundRect">
          <a:avLst/>
        </a:prstGeom>
        <a:noFill/>
        <a:ln w="12700"/>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5</xdr:col>
      <xdr:colOff>9525</xdr:colOff>
      <xdr:row>0</xdr:row>
      <xdr:rowOff>66675</xdr:rowOff>
    </xdr:from>
    <xdr:to>
      <xdr:col>7</xdr:col>
      <xdr:colOff>781050</xdr:colOff>
      <xdr:row>1</xdr:row>
      <xdr:rowOff>114300</xdr:rowOff>
    </xdr:to>
    <xdr:pic>
      <xdr:nvPicPr>
        <xdr:cNvPr id="8" name="Picture 7">
          <a:extLst>
            <a:ext uri="{FF2B5EF4-FFF2-40B4-BE49-F238E27FC236}">
              <a16:creationId xmlns:a16="http://schemas.microsoft.com/office/drawing/2014/main" xmlns="" id="{00000000-0008-0000-0D00-000008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133600" y="66675"/>
          <a:ext cx="2219325" cy="238125"/>
        </a:xfrm>
        <a:prstGeom prst="rect">
          <a:avLst/>
        </a:prstGeom>
        <a:noFill/>
        <a:ln w="9525">
          <a:noFill/>
          <a:round/>
          <a:headEnd/>
          <a:tailEnd/>
        </a:ln>
        <a:effectLst/>
      </xdr:spPr>
    </xdr:pic>
    <xdr:clientData/>
  </xdr:twoCellAnchor>
  <xdr:twoCellAnchor>
    <xdr:from>
      <xdr:col>4</xdr:col>
      <xdr:colOff>19050</xdr:colOff>
      <xdr:row>1</xdr:row>
      <xdr:rowOff>142875</xdr:rowOff>
    </xdr:from>
    <xdr:to>
      <xdr:col>10</xdr:col>
      <xdr:colOff>266700</xdr:colOff>
      <xdr:row>3</xdr:row>
      <xdr:rowOff>28575</xdr:rowOff>
    </xdr:to>
    <xdr:pic>
      <xdr:nvPicPr>
        <xdr:cNvPr id="9" name="Picture 8">
          <a:extLst>
            <a:ext uri="{FF2B5EF4-FFF2-40B4-BE49-F238E27FC236}">
              <a16:creationId xmlns:a16="http://schemas.microsoft.com/office/drawing/2014/main" xmlns="" id="{00000000-0008-0000-0D00-000009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47800" y="333375"/>
          <a:ext cx="4600575" cy="266700"/>
        </a:xfrm>
        <a:prstGeom prst="rect">
          <a:avLst/>
        </a:prstGeom>
        <a:noFill/>
        <a:ln w="9525">
          <a:noFill/>
          <a:round/>
          <a:headEnd/>
          <a:tailEnd/>
        </a:ln>
        <a:effectLst/>
      </xdr:spPr>
    </xdr:pic>
    <xdr:clientData/>
  </xdr:twoCellAnchor>
  <xdr:twoCellAnchor>
    <xdr:from>
      <xdr:col>8</xdr:col>
      <xdr:colOff>47625</xdr:colOff>
      <xdr:row>44</xdr:row>
      <xdr:rowOff>9525</xdr:rowOff>
    </xdr:from>
    <xdr:to>
      <xdr:col>12</xdr:col>
      <xdr:colOff>123825</xdr:colOff>
      <xdr:row>51</xdr:row>
      <xdr:rowOff>0</xdr:rowOff>
    </xdr:to>
    <xdr:sp macro="" textlink="">
      <xdr:nvSpPr>
        <xdr:cNvPr id="10" name="Round Diagonal Corner Rectangle 9">
          <a:extLst>
            <a:ext uri="{FF2B5EF4-FFF2-40B4-BE49-F238E27FC236}">
              <a16:creationId xmlns:a16="http://schemas.microsoft.com/office/drawing/2014/main" xmlns="" id="{00000000-0008-0000-0D00-00000A000000}"/>
            </a:ext>
          </a:extLst>
        </xdr:cNvPr>
        <xdr:cNvSpPr/>
      </xdr:nvSpPr>
      <xdr:spPr>
        <a:xfrm>
          <a:off x="4438650" y="8829675"/>
          <a:ext cx="2571750" cy="1409700"/>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8</xdr:col>
      <xdr:colOff>57151</xdr:colOff>
      <xdr:row>45</xdr:row>
      <xdr:rowOff>57150</xdr:rowOff>
    </xdr:from>
    <xdr:to>
      <xdr:col>8</xdr:col>
      <xdr:colOff>419100</xdr:colOff>
      <xdr:row>50</xdr:row>
      <xdr:rowOff>47625</xdr:rowOff>
    </xdr:to>
    <xdr:grpSp>
      <xdr:nvGrpSpPr>
        <xdr:cNvPr id="11" name="Group 38">
          <a:extLst>
            <a:ext uri="{FF2B5EF4-FFF2-40B4-BE49-F238E27FC236}">
              <a16:creationId xmlns:a16="http://schemas.microsoft.com/office/drawing/2014/main" xmlns="" id="{00000000-0008-0000-0D00-00000B000000}"/>
            </a:ext>
          </a:extLst>
        </xdr:cNvPr>
        <xdr:cNvGrpSpPr>
          <a:grpSpLocks/>
        </xdr:cNvGrpSpPr>
      </xdr:nvGrpSpPr>
      <xdr:grpSpPr bwMode="auto">
        <a:xfrm>
          <a:off x="4448176" y="9086850"/>
          <a:ext cx="361949" cy="1009650"/>
          <a:chOff x="112842675" y="108899325"/>
          <a:chExt cx="762763" cy="1285875"/>
        </a:xfrm>
      </xdr:grpSpPr>
      <xdr:sp macro="" textlink="">
        <xdr:nvSpPr>
          <xdr:cNvPr id="12" name="Oval 39">
            <a:extLst>
              <a:ext uri="{FF2B5EF4-FFF2-40B4-BE49-F238E27FC236}">
                <a16:creationId xmlns:a16="http://schemas.microsoft.com/office/drawing/2014/main" xmlns="" id="{00000000-0008-0000-0D00-00000C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3" name="Oval 40">
            <a:extLst>
              <a:ext uri="{FF2B5EF4-FFF2-40B4-BE49-F238E27FC236}">
                <a16:creationId xmlns:a16="http://schemas.microsoft.com/office/drawing/2014/main" xmlns="" id="{00000000-0008-0000-0D00-00000D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4" name="Oval 41">
            <a:extLst>
              <a:ext uri="{FF2B5EF4-FFF2-40B4-BE49-F238E27FC236}">
                <a16:creationId xmlns:a16="http://schemas.microsoft.com/office/drawing/2014/main" xmlns="" id="{00000000-0008-0000-0D00-00000E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5" name="Oval 42">
            <a:extLst>
              <a:ext uri="{FF2B5EF4-FFF2-40B4-BE49-F238E27FC236}">
                <a16:creationId xmlns:a16="http://schemas.microsoft.com/office/drawing/2014/main" xmlns="" id="{00000000-0008-0000-0D00-00000F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6" name="Oval 43">
            <a:extLst>
              <a:ext uri="{FF2B5EF4-FFF2-40B4-BE49-F238E27FC236}">
                <a16:creationId xmlns:a16="http://schemas.microsoft.com/office/drawing/2014/main" xmlns="" id="{00000000-0008-0000-0D00-000010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7" name="Oval 44">
            <a:extLst>
              <a:ext uri="{FF2B5EF4-FFF2-40B4-BE49-F238E27FC236}">
                <a16:creationId xmlns:a16="http://schemas.microsoft.com/office/drawing/2014/main" xmlns="" id="{00000000-0008-0000-0D00-000011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8" name="Oval 45">
            <a:extLst>
              <a:ext uri="{FF2B5EF4-FFF2-40B4-BE49-F238E27FC236}">
                <a16:creationId xmlns:a16="http://schemas.microsoft.com/office/drawing/2014/main" xmlns="" id="{00000000-0008-0000-0D00-000012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9" name="Oval 46">
            <a:extLst>
              <a:ext uri="{FF2B5EF4-FFF2-40B4-BE49-F238E27FC236}">
                <a16:creationId xmlns:a16="http://schemas.microsoft.com/office/drawing/2014/main" xmlns="" id="{00000000-0008-0000-0D00-000013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20" name="Oval 47">
            <a:extLst>
              <a:ext uri="{FF2B5EF4-FFF2-40B4-BE49-F238E27FC236}">
                <a16:creationId xmlns:a16="http://schemas.microsoft.com/office/drawing/2014/main" xmlns="" id="{00000000-0008-0000-0D00-000014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1" name="Oval 48">
            <a:extLst>
              <a:ext uri="{FF2B5EF4-FFF2-40B4-BE49-F238E27FC236}">
                <a16:creationId xmlns:a16="http://schemas.microsoft.com/office/drawing/2014/main" xmlns="" id="{00000000-0008-0000-0D00-000015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2" name="Oval 49">
            <a:extLst>
              <a:ext uri="{FF2B5EF4-FFF2-40B4-BE49-F238E27FC236}">
                <a16:creationId xmlns:a16="http://schemas.microsoft.com/office/drawing/2014/main" xmlns="" id="{00000000-0008-0000-0D00-000016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3" name="Oval 50">
            <a:extLst>
              <a:ext uri="{FF2B5EF4-FFF2-40B4-BE49-F238E27FC236}">
                <a16:creationId xmlns:a16="http://schemas.microsoft.com/office/drawing/2014/main" xmlns="" id="{00000000-0008-0000-0D00-000017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4" name="Oval 51">
            <a:extLst>
              <a:ext uri="{FF2B5EF4-FFF2-40B4-BE49-F238E27FC236}">
                <a16:creationId xmlns:a16="http://schemas.microsoft.com/office/drawing/2014/main" xmlns="" id="{00000000-0008-0000-0D00-000018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5" name="Oval 52">
            <a:extLst>
              <a:ext uri="{FF2B5EF4-FFF2-40B4-BE49-F238E27FC236}">
                <a16:creationId xmlns:a16="http://schemas.microsoft.com/office/drawing/2014/main" xmlns="" id="{00000000-0008-0000-0D00-000019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6" name="Oval 53">
            <a:extLst>
              <a:ext uri="{FF2B5EF4-FFF2-40B4-BE49-F238E27FC236}">
                <a16:creationId xmlns:a16="http://schemas.microsoft.com/office/drawing/2014/main" xmlns="" id="{00000000-0008-0000-0D00-00001A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7" name="Oval 54">
            <a:extLst>
              <a:ext uri="{FF2B5EF4-FFF2-40B4-BE49-F238E27FC236}">
                <a16:creationId xmlns:a16="http://schemas.microsoft.com/office/drawing/2014/main" xmlns="" id="{00000000-0008-0000-0D00-00001B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8" name="Oval 55">
            <a:extLst>
              <a:ext uri="{FF2B5EF4-FFF2-40B4-BE49-F238E27FC236}">
                <a16:creationId xmlns:a16="http://schemas.microsoft.com/office/drawing/2014/main" xmlns="" id="{00000000-0008-0000-0D00-00001C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9" name="Oval 56">
            <a:extLst>
              <a:ext uri="{FF2B5EF4-FFF2-40B4-BE49-F238E27FC236}">
                <a16:creationId xmlns:a16="http://schemas.microsoft.com/office/drawing/2014/main" xmlns="" id="{00000000-0008-0000-0D00-00001D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30" name="Oval 57">
            <a:extLst>
              <a:ext uri="{FF2B5EF4-FFF2-40B4-BE49-F238E27FC236}">
                <a16:creationId xmlns:a16="http://schemas.microsoft.com/office/drawing/2014/main" xmlns="" id="{00000000-0008-0000-0D00-00001E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1" name="Oval 58">
            <a:extLst>
              <a:ext uri="{FF2B5EF4-FFF2-40B4-BE49-F238E27FC236}">
                <a16:creationId xmlns:a16="http://schemas.microsoft.com/office/drawing/2014/main" xmlns="" id="{00000000-0008-0000-0D00-00001F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2" name="Oval 59">
            <a:extLst>
              <a:ext uri="{FF2B5EF4-FFF2-40B4-BE49-F238E27FC236}">
                <a16:creationId xmlns:a16="http://schemas.microsoft.com/office/drawing/2014/main" xmlns="" id="{00000000-0008-0000-0D00-000020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3" name="Oval 60">
            <a:extLst>
              <a:ext uri="{FF2B5EF4-FFF2-40B4-BE49-F238E27FC236}">
                <a16:creationId xmlns:a16="http://schemas.microsoft.com/office/drawing/2014/main" xmlns="" id="{00000000-0008-0000-0D00-000021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4" name="Oval 61">
            <a:extLst>
              <a:ext uri="{FF2B5EF4-FFF2-40B4-BE49-F238E27FC236}">
                <a16:creationId xmlns:a16="http://schemas.microsoft.com/office/drawing/2014/main" xmlns="" id="{00000000-0008-0000-0D00-000022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5" name="Oval 62">
            <a:extLst>
              <a:ext uri="{FF2B5EF4-FFF2-40B4-BE49-F238E27FC236}">
                <a16:creationId xmlns:a16="http://schemas.microsoft.com/office/drawing/2014/main" xmlns="" id="{00000000-0008-0000-0D00-000023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6" name="Oval 63">
            <a:extLst>
              <a:ext uri="{FF2B5EF4-FFF2-40B4-BE49-F238E27FC236}">
                <a16:creationId xmlns:a16="http://schemas.microsoft.com/office/drawing/2014/main" xmlns="" id="{00000000-0008-0000-0D00-000024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7" name="Oval 64">
            <a:extLst>
              <a:ext uri="{FF2B5EF4-FFF2-40B4-BE49-F238E27FC236}">
                <a16:creationId xmlns:a16="http://schemas.microsoft.com/office/drawing/2014/main" xmlns="" id="{00000000-0008-0000-0D00-000025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8" name="Oval 65">
            <a:extLst>
              <a:ext uri="{FF2B5EF4-FFF2-40B4-BE49-F238E27FC236}">
                <a16:creationId xmlns:a16="http://schemas.microsoft.com/office/drawing/2014/main" xmlns="" id="{00000000-0008-0000-0D00-000026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9" name="Oval 66">
            <a:extLst>
              <a:ext uri="{FF2B5EF4-FFF2-40B4-BE49-F238E27FC236}">
                <a16:creationId xmlns:a16="http://schemas.microsoft.com/office/drawing/2014/main" xmlns="" id="{00000000-0008-0000-0D00-000027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40" name="Oval 67">
            <a:extLst>
              <a:ext uri="{FF2B5EF4-FFF2-40B4-BE49-F238E27FC236}">
                <a16:creationId xmlns:a16="http://schemas.microsoft.com/office/drawing/2014/main" xmlns="" id="{00000000-0008-0000-0D00-000028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1" name="Oval 68">
            <a:extLst>
              <a:ext uri="{FF2B5EF4-FFF2-40B4-BE49-F238E27FC236}">
                <a16:creationId xmlns:a16="http://schemas.microsoft.com/office/drawing/2014/main" xmlns="" id="{00000000-0008-0000-0D00-000029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2" name="Oval 69">
            <a:extLst>
              <a:ext uri="{FF2B5EF4-FFF2-40B4-BE49-F238E27FC236}">
                <a16:creationId xmlns:a16="http://schemas.microsoft.com/office/drawing/2014/main" xmlns="" id="{00000000-0008-0000-0D00-00002A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oneCellAnchor>
    <xdr:from>
      <xdr:col>13</xdr:col>
      <xdr:colOff>28574</xdr:colOff>
      <xdr:row>8</xdr:row>
      <xdr:rowOff>38100</xdr:rowOff>
    </xdr:from>
    <xdr:ext cx="409575" cy="371475"/>
    <xdr:pic>
      <xdr:nvPicPr>
        <xdr:cNvPr id="43" name="Picture 2">
          <a:hlinkClick xmlns:r="http://schemas.openxmlformats.org/officeDocument/2006/relationships" r:id="rId6"/>
          <a:extLst>
            <a:ext uri="{FF2B5EF4-FFF2-40B4-BE49-F238E27FC236}">
              <a16:creationId xmlns:a16="http://schemas.microsoft.com/office/drawing/2014/main" xmlns="" id="{00000000-0008-0000-0D00-00002B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7477124" y="1562100"/>
          <a:ext cx="409575" cy="371475"/>
        </a:xfrm>
        <a:prstGeom prst="rect">
          <a:avLst/>
        </a:prstGeom>
        <a:noFill/>
      </xdr:spPr>
    </xdr:pic>
    <xdr:clientData/>
  </xdr:oneCellAnchor>
  <xdr:oneCellAnchor>
    <xdr:from>
      <xdr:col>13</xdr:col>
      <xdr:colOff>28575</xdr:colOff>
      <xdr:row>14</xdr:row>
      <xdr:rowOff>9526</xdr:rowOff>
    </xdr:from>
    <xdr:ext cx="361949" cy="266700"/>
    <xdr:pic>
      <xdr:nvPicPr>
        <xdr:cNvPr id="44" name="Picture 2">
          <a:hlinkClick xmlns:r="http://schemas.openxmlformats.org/officeDocument/2006/relationships" r:id="rId8"/>
          <a:extLst>
            <a:ext uri="{FF2B5EF4-FFF2-40B4-BE49-F238E27FC236}">
              <a16:creationId xmlns:a16="http://schemas.microsoft.com/office/drawing/2014/main" xmlns="" id="{00000000-0008-0000-0D00-00002C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7477125" y="2676526"/>
          <a:ext cx="361949" cy="266700"/>
        </a:xfrm>
        <a:prstGeom prst="rect">
          <a:avLst/>
        </a:prstGeom>
        <a:noFill/>
      </xdr:spPr>
    </xdr:pic>
    <xdr:clientData/>
  </xdr:oneCellAnchor>
  <xdr:twoCellAnchor>
    <xdr:from>
      <xdr:col>13</xdr:col>
      <xdr:colOff>171450</xdr:colOff>
      <xdr:row>0</xdr:row>
      <xdr:rowOff>85725</xdr:rowOff>
    </xdr:from>
    <xdr:to>
      <xdr:col>15</xdr:col>
      <xdr:colOff>390525</xdr:colOff>
      <xdr:row>3</xdr:row>
      <xdr:rowOff>171450</xdr:rowOff>
    </xdr:to>
    <xdr:sp macro="" textlink="">
      <xdr:nvSpPr>
        <xdr:cNvPr id="45" name="Left Arrow 44">
          <a:extLst>
            <a:ext uri="{FF2B5EF4-FFF2-40B4-BE49-F238E27FC236}">
              <a16:creationId xmlns:a16="http://schemas.microsoft.com/office/drawing/2014/main" xmlns="" id="{00000000-0008-0000-0D00-00002D000000}"/>
            </a:ext>
          </a:extLst>
        </xdr:cNvPr>
        <xdr:cNvSpPr/>
      </xdr:nvSpPr>
      <xdr:spPr>
        <a:xfrm>
          <a:off x="7620000" y="85725"/>
          <a:ext cx="1438275" cy="657225"/>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76200</xdr:colOff>
      <xdr:row>6</xdr:row>
      <xdr:rowOff>38100</xdr:rowOff>
    </xdr:from>
    <xdr:to>
      <xdr:col>2</xdr:col>
      <xdr:colOff>247650</xdr:colOff>
      <xdr:row>7</xdr:row>
      <xdr:rowOff>0</xdr:rowOff>
    </xdr:to>
    <xdr:sp macro="" textlink="">
      <xdr:nvSpPr>
        <xdr:cNvPr id="46" name="Smiley Face 45">
          <a:extLst>
            <a:ext uri="{FF2B5EF4-FFF2-40B4-BE49-F238E27FC236}">
              <a16:creationId xmlns:a16="http://schemas.microsoft.com/office/drawing/2014/main" xmlns="" id="{00000000-0008-0000-0D00-00002E000000}"/>
            </a:ext>
          </a:extLst>
        </xdr:cNvPr>
        <xdr:cNvSpPr/>
      </xdr:nvSpPr>
      <xdr:spPr>
        <a:xfrm>
          <a:off x="371475" y="1181100"/>
          <a:ext cx="171450" cy="152400"/>
        </a:xfrm>
        <a:prstGeom prst="smileyFace">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endParaRPr lang="en-US" sz="1100"/>
        </a:p>
      </xdr:txBody>
    </xdr:sp>
    <xdr:clientData/>
  </xdr:twoCellAnchor>
  <xdr:twoCellAnchor>
    <xdr:from>
      <xdr:col>6</xdr:col>
      <xdr:colOff>447675</xdr:colOff>
      <xdr:row>6</xdr:row>
      <xdr:rowOff>19050</xdr:rowOff>
    </xdr:from>
    <xdr:to>
      <xdr:col>6</xdr:col>
      <xdr:colOff>619125</xdr:colOff>
      <xdr:row>6</xdr:row>
      <xdr:rowOff>171450</xdr:rowOff>
    </xdr:to>
    <xdr:sp macro="" textlink="">
      <xdr:nvSpPr>
        <xdr:cNvPr id="47" name="Smiley Face 46">
          <a:extLst>
            <a:ext uri="{FF2B5EF4-FFF2-40B4-BE49-F238E27FC236}">
              <a16:creationId xmlns:a16="http://schemas.microsoft.com/office/drawing/2014/main" xmlns="" id="{00000000-0008-0000-0D00-00002F000000}"/>
            </a:ext>
          </a:extLst>
        </xdr:cNvPr>
        <xdr:cNvSpPr/>
      </xdr:nvSpPr>
      <xdr:spPr>
        <a:xfrm>
          <a:off x="3314700" y="1162050"/>
          <a:ext cx="171450" cy="152400"/>
        </a:xfrm>
        <a:prstGeom prst="smileyFace">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endParaRPr lang="en-US" sz="1100"/>
        </a:p>
      </xdr:txBody>
    </xdr:sp>
    <xdr:clientData/>
  </xdr:twoCellAnchor>
  <xdr:twoCellAnchor editAs="oneCell">
    <xdr:from>
      <xdr:col>9</xdr:col>
      <xdr:colOff>142875</xdr:colOff>
      <xdr:row>37</xdr:row>
      <xdr:rowOff>9525</xdr:rowOff>
    </xdr:from>
    <xdr:to>
      <xdr:col>12</xdr:col>
      <xdr:colOff>85725</xdr:colOff>
      <xdr:row>43</xdr:row>
      <xdr:rowOff>0</xdr:rowOff>
    </xdr:to>
    <xdr:pic>
      <xdr:nvPicPr>
        <xdr:cNvPr id="49" name="Picture 48">
          <a:extLst>
            <a:ext uri="{FF2B5EF4-FFF2-40B4-BE49-F238E27FC236}">
              <a16:creationId xmlns:a16="http://schemas.microsoft.com/office/drawing/2014/main" xmlns="" id="{00000000-0008-0000-0D00-00003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tretch>
          <a:fillRect/>
        </a:stretch>
      </xdr:blipFill>
      <xdr:spPr>
        <a:xfrm>
          <a:off x="5305425" y="7448550"/>
          <a:ext cx="1666875" cy="1171575"/>
        </a:xfrm>
        <a:prstGeom prst="ellipse">
          <a:avLst/>
        </a:prstGeom>
        <a:ln>
          <a:noFill/>
        </a:ln>
        <a:effectLst>
          <a:softEdge rad="112500"/>
        </a:effec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114300</xdr:colOff>
      <xdr:row>0</xdr:row>
      <xdr:rowOff>76200</xdr:rowOff>
    </xdr:from>
    <xdr:to>
      <xdr:col>4</xdr:col>
      <xdr:colOff>133350</xdr:colOff>
      <xdr:row>4</xdr:row>
      <xdr:rowOff>114300</xdr:rowOff>
    </xdr:to>
    <xdr:pic>
      <xdr:nvPicPr>
        <xdr:cNvPr id="2" name="image00.jpg">
          <a:extLst>
            <a:ext uri="{FF2B5EF4-FFF2-40B4-BE49-F238E27FC236}">
              <a16:creationId xmlns:a16="http://schemas.microsoft.com/office/drawing/2014/main" xmlns="" id="{00000000-0008-0000-0E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3825" y="76200"/>
          <a:ext cx="1276350" cy="800100"/>
        </a:xfrm>
        <a:prstGeom prst="rect">
          <a:avLst/>
        </a:prstGeom>
        <a:noFill/>
        <a:ln w="9525">
          <a:noFill/>
          <a:round/>
          <a:headEnd/>
          <a:tailEnd/>
        </a:ln>
      </xdr:spPr>
    </xdr:pic>
    <xdr:clientData/>
  </xdr:twoCellAnchor>
  <xdr:twoCellAnchor>
    <xdr:from>
      <xdr:col>7</xdr:col>
      <xdr:colOff>152398</xdr:colOff>
      <xdr:row>5</xdr:row>
      <xdr:rowOff>76200</xdr:rowOff>
    </xdr:from>
    <xdr:to>
      <xdr:col>8</xdr:col>
      <xdr:colOff>590549</xdr:colOff>
      <xdr:row>10</xdr:row>
      <xdr:rowOff>38100</xdr:rowOff>
    </xdr:to>
    <xdr:sp macro="" textlink="">
      <xdr:nvSpPr>
        <xdr:cNvPr id="3" name="16-Point Star 2">
          <a:extLst>
            <a:ext uri="{FF2B5EF4-FFF2-40B4-BE49-F238E27FC236}">
              <a16:creationId xmlns:a16="http://schemas.microsoft.com/office/drawing/2014/main" xmlns="" id="{00000000-0008-0000-0E00-000003000000}"/>
            </a:ext>
          </a:extLst>
        </xdr:cNvPr>
        <xdr:cNvSpPr/>
      </xdr:nvSpPr>
      <xdr:spPr bwMode="auto">
        <a:xfrm>
          <a:off x="3676648" y="1028700"/>
          <a:ext cx="1162051" cy="914400"/>
        </a:xfrm>
        <a:prstGeom prst="star16">
          <a:avLst/>
        </a:prstGeom>
        <a:ln>
          <a:headEnd type="none" w="med" len="med"/>
          <a:tailEnd type="none" w="med" len="med"/>
        </a:ln>
      </xdr:spPr>
      <xdr:style>
        <a:lnRef idx="1">
          <a:schemeClr val="accent2"/>
        </a:lnRef>
        <a:fillRef idx="2">
          <a:schemeClr val="accent2"/>
        </a:fillRef>
        <a:effectRef idx="1">
          <a:schemeClr val="accent2"/>
        </a:effectRef>
        <a:fontRef idx="minor">
          <a:schemeClr val="dk1"/>
        </a:fontRef>
      </xdr:style>
      <xdr:txBody>
        <a:bodyPr vertOverflow="clip" wrap="square" lIns="18288" tIns="0" rIns="0" bIns="0" rtlCol="0" anchor="ctr" upright="1"/>
        <a:lstStyle/>
        <a:p>
          <a:pPr algn="ctr"/>
          <a:r>
            <a:rPr lang="en-US" sz="1200" b="1">
              <a:solidFill>
                <a:schemeClr val="tx2"/>
              </a:solidFill>
              <a:latin typeface="+mn-lt"/>
              <a:ea typeface="+mn-ea"/>
              <a:cs typeface="+mn-cs"/>
            </a:rPr>
            <a:t>WITH        </a:t>
          </a:r>
          <a:r>
            <a:rPr lang="en-US" sz="1200" b="1" baseline="0">
              <a:solidFill>
                <a:schemeClr val="tx2"/>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8</xdr:col>
      <xdr:colOff>685799</xdr:colOff>
      <xdr:row>6</xdr:row>
      <xdr:rowOff>152400</xdr:rowOff>
    </xdr:from>
    <xdr:to>
      <xdr:col>12</xdr:col>
      <xdr:colOff>666749</xdr:colOff>
      <xdr:row>11</xdr:row>
      <xdr:rowOff>28575</xdr:rowOff>
    </xdr:to>
    <xdr:sp macro="" textlink="">
      <xdr:nvSpPr>
        <xdr:cNvPr id="4" name="Rounded Rectangle 3">
          <a:extLst>
            <a:ext uri="{FF2B5EF4-FFF2-40B4-BE49-F238E27FC236}">
              <a16:creationId xmlns:a16="http://schemas.microsoft.com/office/drawing/2014/main" xmlns="" id="{00000000-0008-0000-0E00-000004000000}"/>
            </a:ext>
          </a:extLst>
        </xdr:cNvPr>
        <xdr:cNvSpPr/>
      </xdr:nvSpPr>
      <xdr:spPr>
        <a:xfrm>
          <a:off x="4933949" y="1295400"/>
          <a:ext cx="2505075" cy="828675"/>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9</xdr:col>
      <xdr:colOff>19049</xdr:colOff>
      <xdr:row>55</xdr:row>
      <xdr:rowOff>133349</xdr:rowOff>
    </xdr:from>
    <xdr:to>
      <xdr:col>12</xdr:col>
      <xdr:colOff>638174</xdr:colOff>
      <xdr:row>62</xdr:row>
      <xdr:rowOff>152399</xdr:rowOff>
    </xdr:to>
    <xdr:sp macro="" textlink="">
      <xdr:nvSpPr>
        <xdr:cNvPr id="7" name="Round Diagonal Corner Rectangle 6">
          <a:extLst>
            <a:ext uri="{FF2B5EF4-FFF2-40B4-BE49-F238E27FC236}">
              <a16:creationId xmlns:a16="http://schemas.microsoft.com/office/drawing/2014/main" xmlns="" id="{00000000-0008-0000-0E00-000007000000}"/>
            </a:ext>
          </a:extLst>
        </xdr:cNvPr>
        <xdr:cNvSpPr/>
      </xdr:nvSpPr>
      <xdr:spPr>
        <a:xfrm>
          <a:off x="4962524" y="10610849"/>
          <a:ext cx="2447925" cy="1352550"/>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9</xdr:col>
      <xdr:colOff>85725</xdr:colOff>
      <xdr:row>56</xdr:row>
      <xdr:rowOff>95250</xdr:rowOff>
    </xdr:from>
    <xdr:to>
      <xdr:col>9</xdr:col>
      <xdr:colOff>533400</xdr:colOff>
      <xdr:row>61</xdr:row>
      <xdr:rowOff>152400</xdr:rowOff>
    </xdr:to>
    <xdr:grpSp>
      <xdr:nvGrpSpPr>
        <xdr:cNvPr id="8" name="Group 38">
          <a:extLst>
            <a:ext uri="{FF2B5EF4-FFF2-40B4-BE49-F238E27FC236}">
              <a16:creationId xmlns:a16="http://schemas.microsoft.com/office/drawing/2014/main" xmlns="" id="{00000000-0008-0000-0E00-000008000000}"/>
            </a:ext>
          </a:extLst>
        </xdr:cNvPr>
        <xdr:cNvGrpSpPr>
          <a:grpSpLocks/>
        </xdr:cNvGrpSpPr>
      </xdr:nvGrpSpPr>
      <xdr:grpSpPr bwMode="auto">
        <a:xfrm>
          <a:off x="5029200" y="9677400"/>
          <a:ext cx="447675" cy="866775"/>
          <a:chOff x="112842675" y="108899325"/>
          <a:chExt cx="762763" cy="1285875"/>
        </a:xfrm>
      </xdr:grpSpPr>
      <xdr:sp macro="" textlink="">
        <xdr:nvSpPr>
          <xdr:cNvPr id="9" name="Oval 39">
            <a:extLst>
              <a:ext uri="{FF2B5EF4-FFF2-40B4-BE49-F238E27FC236}">
                <a16:creationId xmlns:a16="http://schemas.microsoft.com/office/drawing/2014/main" xmlns="" id="{00000000-0008-0000-0E00-000009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0" name="Oval 40">
            <a:extLst>
              <a:ext uri="{FF2B5EF4-FFF2-40B4-BE49-F238E27FC236}">
                <a16:creationId xmlns:a16="http://schemas.microsoft.com/office/drawing/2014/main" xmlns="" id="{00000000-0008-0000-0E00-00000A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1" name="Oval 41">
            <a:extLst>
              <a:ext uri="{FF2B5EF4-FFF2-40B4-BE49-F238E27FC236}">
                <a16:creationId xmlns:a16="http://schemas.microsoft.com/office/drawing/2014/main" xmlns="" id="{00000000-0008-0000-0E00-00000B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2" name="Oval 42">
            <a:extLst>
              <a:ext uri="{FF2B5EF4-FFF2-40B4-BE49-F238E27FC236}">
                <a16:creationId xmlns:a16="http://schemas.microsoft.com/office/drawing/2014/main" xmlns="" id="{00000000-0008-0000-0E00-00000C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3" name="Oval 43">
            <a:extLst>
              <a:ext uri="{FF2B5EF4-FFF2-40B4-BE49-F238E27FC236}">
                <a16:creationId xmlns:a16="http://schemas.microsoft.com/office/drawing/2014/main" xmlns="" id="{00000000-0008-0000-0E00-00000D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4" name="Oval 44">
            <a:extLst>
              <a:ext uri="{FF2B5EF4-FFF2-40B4-BE49-F238E27FC236}">
                <a16:creationId xmlns:a16="http://schemas.microsoft.com/office/drawing/2014/main" xmlns="" id="{00000000-0008-0000-0E00-00000E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5" name="Oval 45">
            <a:extLst>
              <a:ext uri="{FF2B5EF4-FFF2-40B4-BE49-F238E27FC236}">
                <a16:creationId xmlns:a16="http://schemas.microsoft.com/office/drawing/2014/main" xmlns="" id="{00000000-0008-0000-0E00-00000F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6" name="Oval 46">
            <a:extLst>
              <a:ext uri="{FF2B5EF4-FFF2-40B4-BE49-F238E27FC236}">
                <a16:creationId xmlns:a16="http://schemas.microsoft.com/office/drawing/2014/main" xmlns="" id="{00000000-0008-0000-0E00-000010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7" name="Oval 47">
            <a:extLst>
              <a:ext uri="{FF2B5EF4-FFF2-40B4-BE49-F238E27FC236}">
                <a16:creationId xmlns:a16="http://schemas.microsoft.com/office/drawing/2014/main" xmlns="" id="{00000000-0008-0000-0E00-000011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18" name="Oval 48">
            <a:extLst>
              <a:ext uri="{FF2B5EF4-FFF2-40B4-BE49-F238E27FC236}">
                <a16:creationId xmlns:a16="http://schemas.microsoft.com/office/drawing/2014/main" xmlns="" id="{00000000-0008-0000-0E00-000012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19" name="Oval 49">
            <a:extLst>
              <a:ext uri="{FF2B5EF4-FFF2-40B4-BE49-F238E27FC236}">
                <a16:creationId xmlns:a16="http://schemas.microsoft.com/office/drawing/2014/main" xmlns="" id="{00000000-0008-0000-0E00-000013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0" name="Oval 50">
            <a:extLst>
              <a:ext uri="{FF2B5EF4-FFF2-40B4-BE49-F238E27FC236}">
                <a16:creationId xmlns:a16="http://schemas.microsoft.com/office/drawing/2014/main" xmlns="" id="{00000000-0008-0000-0E00-000014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1" name="Oval 51">
            <a:extLst>
              <a:ext uri="{FF2B5EF4-FFF2-40B4-BE49-F238E27FC236}">
                <a16:creationId xmlns:a16="http://schemas.microsoft.com/office/drawing/2014/main" xmlns="" id="{00000000-0008-0000-0E00-000015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2" name="Oval 52">
            <a:extLst>
              <a:ext uri="{FF2B5EF4-FFF2-40B4-BE49-F238E27FC236}">
                <a16:creationId xmlns:a16="http://schemas.microsoft.com/office/drawing/2014/main" xmlns="" id="{00000000-0008-0000-0E00-000016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3" name="Oval 53">
            <a:extLst>
              <a:ext uri="{FF2B5EF4-FFF2-40B4-BE49-F238E27FC236}">
                <a16:creationId xmlns:a16="http://schemas.microsoft.com/office/drawing/2014/main" xmlns="" id="{00000000-0008-0000-0E00-000017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4" name="Oval 54">
            <a:extLst>
              <a:ext uri="{FF2B5EF4-FFF2-40B4-BE49-F238E27FC236}">
                <a16:creationId xmlns:a16="http://schemas.microsoft.com/office/drawing/2014/main" xmlns="" id="{00000000-0008-0000-0E00-000018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5" name="Oval 55">
            <a:extLst>
              <a:ext uri="{FF2B5EF4-FFF2-40B4-BE49-F238E27FC236}">
                <a16:creationId xmlns:a16="http://schemas.microsoft.com/office/drawing/2014/main" xmlns="" id="{00000000-0008-0000-0E00-000019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6" name="Oval 56">
            <a:extLst>
              <a:ext uri="{FF2B5EF4-FFF2-40B4-BE49-F238E27FC236}">
                <a16:creationId xmlns:a16="http://schemas.microsoft.com/office/drawing/2014/main" xmlns="" id="{00000000-0008-0000-0E00-00001A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7" name="Oval 57">
            <a:extLst>
              <a:ext uri="{FF2B5EF4-FFF2-40B4-BE49-F238E27FC236}">
                <a16:creationId xmlns:a16="http://schemas.microsoft.com/office/drawing/2014/main" xmlns="" id="{00000000-0008-0000-0E00-00001B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28" name="Oval 58">
            <a:extLst>
              <a:ext uri="{FF2B5EF4-FFF2-40B4-BE49-F238E27FC236}">
                <a16:creationId xmlns:a16="http://schemas.microsoft.com/office/drawing/2014/main" xmlns="" id="{00000000-0008-0000-0E00-00001C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29" name="Oval 59">
            <a:extLst>
              <a:ext uri="{FF2B5EF4-FFF2-40B4-BE49-F238E27FC236}">
                <a16:creationId xmlns:a16="http://schemas.microsoft.com/office/drawing/2014/main" xmlns="" id="{00000000-0008-0000-0E00-00001D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0" name="Oval 60">
            <a:extLst>
              <a:ext uri="{FF2B5EF4-FFF2-40B4-BE49-F238E27FC236}">
                <a16:creationId xmlns:a16="http://schemas.microsoft.com/office/drawing/2014/main" xmlns="" id="{00000000-0008-0000-0E00-00001E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1" name="Oval 61">
            <a:extLst>
              <a:ext uri="{FF2B5EF4-FFF2-40B4-BE49-F238E27FC236}">
                <a16:creationId xmlns:a16="http://schemas.microsoft.com/office/drawing/2014/main" xmlns="" id="{00000000-0008-0000-0E00-00001F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2" name="Oval 62">
            <a:extLst>
              <a:ext uri="{FF2B5EF4-FFF2-40B4-BE49-F238E27FC236}">
                <a16:creationId xmlns:a16="http://schemas.microsoft.com/office/drawing/2014/main" xmlns="" id="{00000000-0008-0000-0E00-000020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3" name="Oval 63">
            <a:extLst>
              <a:ext uri="{FF2B5EF4-FFF2-40B4-BE49-F238E27FC236}">
                <a16:creationId xmlns:a16="http://schemas.microsoft.com/office/drawing/2014/main" xmlns="" id="{00000000-0008-0000-0E00-000021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4" name="Oval 64">
            <a:extLst>
              <a:ext uri="{FF2B5EF4-FFF2-40B4-BE49-F238E27FC236}">
                <a16:creationId xmlns:a16="http://schemas.microsoft.com/office/drawing/2014/main" xmlns="" id="{00000000-0008-0000-0E00-000022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5" name="Oval 65">
            <a:extLst>
              <a:ext uri="{FF2B5EF4-FFF2-40B4-BE49-F238E27FC236}">
                <a16:creationId xmlns:a16="http://schemas.microsoft.com/office/drawing/2014/main" xmlns="" id="{00000000-0008-0000-0E00-000023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6" name="Oval 66">
            <a:extLst>
              <a:ext uri="{FF2B5EF4-FFF2-40B4-BE49-F238E27FC236}">
                <a16:creationId xmlns:a16="http://schemas.microsoft.com/office/drawing/2014/main" xmlns="" id="{00000000-0008-0000-0E00-000024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7" name="Oval 67">
            <a:extLst>
              <a:ext uri="{FF2B5EF4-FFF2-40B4-BE49-F238E27FC236}">
                <a16:creationId xmlns:a16="http://schemas.microsoft.com/office/drawing/2014/main" xmlns="" id="{00000000-0008-0000-0E00-000025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38" name="Oval 68">
            <a:extLst>
              <a:ext uri="{FF2B5EF4-FFF2-40B4-BE49-F238E27FC236}">
                <a16:creationId xmlns:a16="http://schemas.microsoft.com/office/drawing/2014/main" xmlns="" id="{00000000-0008-0000-0E00-000026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39" name="Oval 69">
            <a:extLst>
              <a:ext uri="{FF2B5EF4-FFF2-40B4-BE49-F238E27FC236}">
                <a16:creationId xmlns:a16="http://schemas.microsoft.com/office/drawing/2014/main" xmlns="" id="{00000000-0008-0000-0E00-000027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11</xdr:col>
      <xdr:colOff>47626</xdr:colOff>
      <xdr:row>11</xdr:row>
      <xdr:rowOff>104775</xdr:rowOff>
    </xdr:from>
    <xdr:to>
      <xdr:col>12</xdr:col>
      <xdr:colOff>561976</xdr:colOff>
      <xdr:row>16</xdr:row>
      <xdr:rowOff>95250</xdr:rowOff>
    </xdr:to>
    <xdr:sp macro="" textlink="">
      <xdr:nvSpPr>
        <xdr:cNvPr id="40" name="Oval 39">
          <a:extLst>
            <a:ext uri="{FF2B5EF4-FFF2-40B4-BE49-F238E27FC236}">
              <a16:creationId xmlns:a16="http://schemas.microsoft.com/office/drawing/2014/main" xmlns="" id="{00000000-0008-0000-0E00-000028000000}"/>
            </a:ext>
          </a:extLst>
        </xdr:cNvPr>
        <xdr:cNvSpPr/>
      </xdr:nvSpPr>
      <xdr:spPr>
        <a:xfrm>
          <a:off x="6210301" y="2066925"/>
          <a:ext cx="1123950" cy="800100"/>
        </a:xfrm>
        <a:prstGeom prst="ellipse">
          <a:avLst/>
        </a:prstGeom>
        <a:noFill/>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9</xdr:col>
      <xdr:colOff>304802</xdr:colOff>
      <xdr:row>11</xdr:row>
      <xdr:rowOff>114300</xdr:rowOff>
    </xdr:from>
    <xdr:ext cx="904874" cy="781049"/>
    <xdr:pic>
      <xdr:nvPicPr>
        <xdr:cNvPr id="41" name="Picture 1" descr="savings image க்கான பட முடிவு">
          <a:extLst>
            <a:ext uri="{FF2B5EF4-FFF2-40B4-BE49-F238E27FC236}">
              <a16:creationId xmlns:a16="http://schemas.microsoft.com/office/drawing/2014/main" xmlns="" id="{00000000-0008-0000-0E00-000029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248277" y="2209800"/>
          <a:ext cx="904874" cy="781049"/>
        </a:xfrm>
        <a:prstGeom prst="rect">
          <a:avLst/>
        </a:prstGeom>
        <a:noFill/>
      </xdr:spPr>
    </xdr:pic>
    <xdr:clientData/>
  </xdr:oneCellAnchor>
  <xdr:twoCellAnchor>
    <xdr:from>
      <xdr:col>2</xdr:col>
      <xdr:colOff>0</xdr:colOff>
      <xdr:row>5</xdr:row>
      <xdr:rowOff>57151</xdr:rowOff>
    </xdr:from>
    <xdr:to>
      <xdr:col>7</xdr:col>
      <xdr:colOff>9525</xdr:colOff>
      <xdr:row>10</xdr:row>
      <xdr:rowOff>0</xdr:rowOff>
    </xdr:to>
    <xdr:sp macro="" textlink="">
      <xdr:nvSpPr>
        <xdr:cNvPr id="42" name="Rounded Rectangle 41">
          <a:extLst>
            <a:ext uri="{FF2B5EF4-FFF2-40B4-BE49-F238E27FC236}">
              <a16:creationId xmlns:a16="http://schemas.microsoft.com/office/drawing/2014/main" xmlns="" id="{00000000-0008-0000-0E00-00002A000000}"/>
            </a:ext>
          </a:extLst>
        </xdr:cNvPr>
        <xdr:cNvSpPr/>
      </xdr:nvSpPr>
      <xdr:spPr bwMode="auto">
        <a:xfrm>
          <a:off x="257175" y="1009651"/>
          <a:ext cx="3276600" cy="895349"/>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2</xdr:col>
      <xdr:colOff>142875</xdr:colOff>
      <xdr:row>5</xdr:row>
      <xdr:rowOff>152400</xdr:rowOff>
    </xdr:from>
    <xdr:to>
      <xdr:col>3</xdr:col>
      <xdr:colOff>9525</xdr:colOff>
      <xdr:row>7</xdr:row>
      <xdr:rowOff>19050</xdr:rowOff>
    </xdr:to>
    <xdr:sp macro="" textlink="">
      <xdr:nvSpPr>
        <xdr:cNvPr id="43" name="Smiley Face 42">
          <a:extLst>
            <a:ext uri="{FF2B5EF4-FFF2-40B4-BE49-F238E27FC236}">
              <a16:creationId xmlns:a16="http://schemas.microsoft.com/office/drawing/2014/main" xmlns="" id="{00000000-0008-0000-0E00-00002B000000}"/>
            </a:ext>
          </a:extLst>
        </xdr:cNvPr>
        <xdr:cNvSpPr/>
      </xdr:nvSpPr>
      <xdr:spPr>
        <a:xfrm>
          <a:off x="400050" y="1104900"/>
          <a:ext cx="228600" cy="247650"/>
        </a:xfrm>
        <a:prstGeom prst="smileyFace">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endParaRPr lang="en-US" sz="1100"/>
        </a:p>
      </xdr:txBody>
    </xdr:sp>
    <xdr:clientData/>
  </xdr:twoCellAnchor>
  <xdr:twoCellAnchor>
    <xdr:from>
      <xdr:col>6</xdr:col>
      <xdr:colOff>371475</xdr:colOff>
      <xdr:row>6</xdr:row>
      <xdr:rowOff>0</xdr:rowOff>
    </xdr:from>
    <xdr:to>
      <xdr:col>6</xdr:col>
      <xdr:colOff>609600</xdr:colOff>
      <xdr:row>7</xdr:row>
      <xdr:rowOff>38100</xdr:rowOff>
    </xdr:to>
    <xdr:sp macro="" textlink="">
      <xdr:nvSpPr>
        <xdr:cNvPr id="44" name="Smiley Face 43">
          <a:extLst>
            <a:ext uri="{FF2B5EF4-FFF2-40B4-BE49-F238E27FC236}">
              <a16:creationId xmlns:a16="http://schemas.microsoft.com/office/drawing/2014/main" xmlns="" id="{00000000-0008-0000-0E00-00002C000000}"/>
            </a:ext>
          </a:extLst>
        </xdr:cNvPr>
        <xdr:cNvSpPr/>
      </xdr:nvSpPr>
      <xdr:spPr>
        <a:xfrm>
          <a:off x="3076575" y="1143000"/>
          <a:ext cx="238125" cy="228600"/>
        </a:xfrm>
        <a:prstGeom prst="smileyFace">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endParaRPr lang="en-US" sz="1100"/>
        </a:p>
      </xdr:txBody>
    </xdr:sp>
    <xdr:clientData/>
  </xdr:twoCellAnchor>
  <xdr:twoCellAnchor>
    <xdr:from>
      <xdr:col>5</xdr:col>
      <xdr:colOff>209550</xdr:colOff>
      <xdr:row>0</xdr:row>
      <xdr:rowOff>57150</xdr:rowOff>
    </xdr:from>
    <xdr:to>
      <xdr:col>8</xdr:col>
      <xdr:colOff>114300</xdr:colOff>
      <xdr:row>2</xdr:row>
      <xdr:rowOff>0</xdr:rowOff>
    </xdr:to>
    <xdr:pic>
      <xdr:nvPicPr>
        <xdr:cNvPr id="45" name="Picture 44">
          <a:extLst>
            <a:ext uri="{FF2B5EF4-FFF2-40B4-BE49-F238E27FC236}">
              <a16:creationId xmlns:a16="http://schemas.microsoft.com/office/drawing/2014/main" xmlns="" id="{00000000-0008-0000-0E00-00002D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143125" y="57150"/>
          <a:ext cx="2219325" cy="323850"/>
        </a:xfrm>
        <a:prstGeom prst="rect">
          <a:avLst/>
        </a:prstGeom>
        <a:noFill/>
        <a:ln w="9525">
          <a:noFill/>
          <a:round/>
          <a:headEnd/>
          <a:tailEnd/>
        </a:ln>
        <a:effectLst/>
      </xdr:spPr>
    </xdr:pic>
    <xdr:clientData/>
  </xdr:twoCellAnchor>
  <xdr:twoCellAnchor>
    <xdr:from>
      <xdr:col>4</xdr:col>
      <xdr:colOff>19050</xdr:colOff>
      <xdr:row>1</xdr:row>
      <xdr:rowOff>161925</xdr:rowOff>
    </xdr:from>
    <xdr:to>
      <xdr:col>10</xdr:col>
      <xdr:colOff>219075</xdr:colOff>
      <xdr:row>3</xdr:row>
      <xdr:rowOff>95250</xdr:rowOff>
    </xdr:to>
    <xdr:pic>
      <xdr:nvPicPr>
        <xdr:cNvPr id="46" name="Picture 45">
          <a:extLst>
            <a:ext uri="{FF2B5EF4-FFF2-40B4-BE49-F238E27FC236}">
              <a16:creationId xmlns:a16="http://schemas.microsoft.com/office/drawing/2014/main" xmlns="" id="{00000000-0008-0000-0E00-00002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85875" y="352425"/>
          <a:ext cx="4486275" cy="314325"/>
        </a:xfrm>
        <a:prstGeom prst="rect">
          <a:avLst/>
        </a:prstGeom>
        <a:noFill/>
        <a:ln w="9525">
          <a:noFill/>
          <a:round/>
          <a:headEnd/>
          <a:tailEnd/>
        </a:ln>
        <a:effectLst/>
      </xdr:spPr>
    </xdr:pic>
    <xdr:clientData/>
  </xdr:twoCellAnchor>
  <xdr:twoCellAnchor>
    <xdr:from>
      <xdr:col>10</xdr:col>
      <xdr:colOff>123825</xdr:colOff>
      <xdr:row>43</xdr:row>
      <xdr:rowOff>19050</xdr:rowOff>
    </xdr:from>
    <xdr:to>
      <xdr:col>12</xdr:col>
      <xdr:colOff>609601</xdr:colOff>
      <xdr:row>47</xdr:row>
      <xdr:rowOff>152400</xdr:rowOff>
    </xdr:to>
    <xdr:sp macro="" textlink="">
      <xdr:nvSpPr>
        <xdr:cNvPr id="47" name="Rounded Rectangle 46">
          <a:extLst>
            <a:ext uri="{FF2B5EF4-FFF2-40B4-BE49-F238E27FC236}">
              <a16:creationId xmlns:a16="http://schemas.microsoft.com/office/drawing/2014/main" xmlns="" id="{00000000-0008-0000-0E00-00002F000000}"/>
            </a:ext>
          </a:extLst>
        </xdr:cNvPr>
        <xdr:cNvSpPr/>
      </xdr:nvSpPr>
      <xdr:spPr>
        <a:xfrm>
          <a:off x="5676900" y="8210550"/>
          <a:ext cx="1704976" cy="895350"/>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14</xdr:col>
      <xdr:colOff>9524</xdr:colOff>
      <xdr:row>9</xdr:row>
      <xdr:rowOff>57150</xdr:rowOff>
    </xdr:from>
    <xdr:ext cx="409575" cy="333375"/>
    <xdr:pic>
      <xdr:nvPicPr>
        <xdr:cNvPr id="48" name="Picture 2">
          <a:hlinkClick xmlns:r="http://schemas.openxmlformats.org/officeDocument/2006/relationships" r:id="rId5"/>
          <a:extLst>
            <a:ext uri="{FF2B5EF4-FFF2-40B4-BE49-F238E27FC236}">
              <a16:creationId xmlns:a16="http://schemas.microsoft.com/office/drawing/2014/main" xmlns="" id="{00000000-0008-0000-0E00-000030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943849" y="1600200"/>
          <a:ext cx="409575" cy="333375"/>
        </a:xfrm>
        <a:prstGeom prst="rect">
          <a:avLst/>
        </a:prstGeom>
        <a:noFill/>
      </xdr:spPr>
    </xdr:pic>
    <xdr:clientData/>
  </xdr:oneCellAnchor>
  <xdr:oneCellAnchor>
    <xdr:from>
      <xdr:col>14</xdr:col>
      <xdr:colOff>19049</xdr:colOff>
      <xdr:row>17</xdr:row>
      <xdr:rowOff>19050</xdr:rowOff>
    </xdr:from>
    <xdr:ext cx="409575" cy="323850"/>
    <xdr:pic>
      <xdr:nvPicPr>
        <xdr:cNvPr id="49" name="Picture 2">
          <a:hlinkClick xmlns:r="http://schemas.openxmlformats.org/officeDocument/2006/relationships" r:id="rId7"/>
          <a:extLst>
            <a:ext uri="{FF2B5EF4-FFF2-40B4-BE49-F238E27FC236}">
              <a16:creationId xmlns:a16="http://schemas.microsoft.com/office/drawing/2014/main" xmlns="" id="{00000000-0008-0000-0E00-000031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7953374" y="2962275"/>
          <a:ext cx="409575" cy="323850"/>
        </a:xfrm>
        <a:prstGeom prst="rect">
          <a:avLst/>
        </a:prstGeom>
        <a:noFill/>
      </xdr:spPr>
    </xdr:pic>
    <xdr:clientData/>
  </xdr:oneCellAnchor>
  <xdr:twoCellAnchor>
    <xdr:from>
      <xdr:col>14</xdr:col>
      <xdr:colOff>228600</xdr:colOff>
      <xdr:row>0</xdr:row>
      <xdr:rowOff>66675</xdr:rowOff>
    </xdr:from>
    <xdr:to>
      <xdr:col>16</xdr:col>
      <xdr:colOff>447675</xdr:colOff>
      <xdr:row>4</xdr:row>
      <xdr:rowOff>47625</xdr:rowOff>
    </xdr:to>
    <xdr:sp macro="" textlink="">
      <xdr:nvSpPr>
        <xdr:cNvPr id="50" name="Left Arrow 49">
          <a:extLst>
            <a:ext uri="{FF2B5EF4-FFF2-40B4-BE49-F238E27FC236}">
              <a16:creationId xmlns:a16="http://schemas.microsoft.com/office/drawing/2014/main" xmlns="" id="{00000000-0008-0000-0E00-000032000000}"/>
            </a:ext>
          </a:extLst>
        </xdr:cNvPr>
        <xdr:cNvSpPr/>
      </xdr:nvSpPr>
      <xdr:spPr>
        <a:xfrm>
          <a:off x="8162925" y="66675"/>
          <a:ext cx="1438275" cy="7429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9</xdr:col>
      <xdr:colOff>47624</xdr:colOff>
      <xdr:row>48</xdr:row>
      <xdr:rowOff>9526</xdr:rowOff>
    </xdr:from>
    <xdr:to>
      <xdr:col>9</xdr:col>
      <xdr:colOff>609599</xdr:colOff>
      <xdr:row>49</xdr:row>
      <xdr:rowOff>133351</xdr:rowOff>
    </xdr:to>
    <xdr:pic>
      <xdr:nvPicPr>
        <xdr:cNvPr id="51" name="image79.png" descr="http://siliconangle.com/files/2013/06/man-free-sign-1.png">
          <a:extLst>
            <a:ext uri="{FF2B5EF4-FFF2-40B4-BE49-F238E27FC236}">
              <a16:creationId xmlns:a16="http://schemas.microsoft.com/office/drawing/2014/main" xmlns="" id="{00000000-0008-0000-0E00-000033000000}"/>
            </a:ext>
          </a:extLst>
        </xdr:cNvPr>
        <xdr:cNvPicPr preferRelativeResize="0"/>
      </xdr:nvPicPr>
      <xdr:blipFill>
        <a:blip xmlns:r="http://schemas.openxmlformats.org/officeDocument/2006/relationships" r:embed="rId9" cstate="print"/>
        <a:stretch>
          <a:fillRect/>
        </a:stretch>
      </xdr:blipFill>
      <xdr:spPr>
        <a:xfrm>
          <a:off x="4991099" y="8315326"/>
          <a:ext cx="561975" cy="304800"/>
        </a:xfrm>
        <a:prstGeom prst="rect">
          <a:avLst/>
        </a:prstGeom>
        <a:noFill/>
      </xdr:spPr>
    </xdr:pic>
    <xdr:clientData fLocksWithSheet="0"/>
  </xdr:twoCellAnchor>
  <xdr:twoCellAnchor>
    <xdr:from>
      <xdr:col>9</xdr:col>
      <xdr:colOff>66675</xdr:colOff>
      <xdr:row>36</xdr:row>
      <xdr:rowOff>19048</xdr:rowOff>
    </xdr:from>
    <xdr:to>
      <xdr:col>12</xdr:col>
      <xdr:colOff>600075</xdr:colOff>
      <xdr:row>42</xdr:row>
      <xdr:rowOff>47625</xdr:rowOff>
    </xdr:to>
    <xdr:sp macro="" textlink="">
      <xdr:nvSpPr>
        <xdr:cNvPr id="52" name="Rounded Rectangle 51">
          <a:extLst>
            <a:ext uri="{FF2B5EF4-FFF2-40B4-BE49-F238E27FC236}">
              <a16:creationId xmlns:a16="http://schemas.microsoft.com/office/drawing/2014/main" xmlns="" id="{00000000-0008-0000-0E00-000034000000}"/>
            </a:ext>
          </a:extLst>
        </xdr:cNvPr>
        <xdr:cNvSpPr/>
      </xdr:nvSpPr>
      <xdr:spPr>
        <a:xfrm>
          <a:off x="5010150" y="6877048"/>
          <a:ext cx="2362200" cy="1171577"/>
        </a:xfrm>
        <a:prstGeom prst="roundRect">
          <a:avLst/>
        </a:prstGeom>
        <a:noFill/>
        <a:ln w="19050"/>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9</xdr:col>
      <xdr:colOff>171450</xdr:colOff>
      <xdr:row>39</xdr:row>
      <xdr:rowOff>19050</xdr:rowOff>
    </xdr:from>
    <xdr:ext cx="685800" cy="439615"/>
    <xdr:pic>
      <xdr:nvPicPr>
        <xdr:cNvPr id="53" name="Picture 52">
          <a:extLst>
            <a:ext uri="{FF2B5EF4-FFF2-40B4-BE49-F238E27FC236}">
              <a16:creationId xmlns:a16="http://schemas.microsoft.com/office/drawing/2014/main" xmlns="" id="{00000000-0008-0000-0E00-00003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5114925" y="7448550"/>
          <a:ext cx="685800" cy="439615"/>
        </a:xfrm>
        <a:prstGeom prst="rect">
          <a:avLst/>
        </a:prstGeom>
      </xdr:spPr>
    </xdr:pic>
    <xdr:clientData/>
  </xdr:oneCellAnchor>
  <xdr:twoCellAnchor editAs="oneCell">
    <xdr:from>
      <xdr:col>9</xdr:col>
      <xdr:colOff>47625</xdr:colOff>
      <xdr:row>16</xdr:row>
      <xdr:rowOff>76201</xdr:rowOff>
    </xdr:from>
    <xdr:to>
      <xdr:col>12</xdr:col>
      <xdr:colOff>600075</xdr:colOff>
      <xdr:row>27</xdr:row>
      <xdr:rowOff>57151</xdr:rowOff>
    </xdr:to>
    <xdr:pic>
      <xdr:nvPicPr>
        <xdr:cNvPr id="55" name="Picture 54">
          <a:extLst>
            <a:ext uri="{FF2B5EF4-FFF2-40B4-BE49-F238E27FC236}">
              <a16:creationId xmlns:a16="http://schemas.microsoft.com/office/drawing/2014/main" xmlns="" id="{00000000-0008-0000-0E00-000037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4991100" y="2847976"/>
          <a:ext cx="2381250" cy="2000250"/>
        </a:xfrm>
        <a:prstGeom prst="rect">
          <a:avLst/>
        </a:prstGeom>
        <a:ln>
          <a:noFill/>
        </a:ln>
        <a:effectLst>
          <a:softEdge rad="112500"/>
        </a:effectLst>
        <a:extLst>
          <a:ext uri="{909E8E84-426E-40DD-AFC4-6F175D3DCCD1}">
            <a14:hiddenFill xmlns:a14="http://schemas.microsoft.com/office/drawing/2010/main" xmlns="">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66675</xdr:colOff>
      <xdr:row>0</xdr:row>
      <xdr:rowOff>28575</xdr:rowOff>
    </xdr:from>
    <xdr:to>
      <xdr:col>4</xdr:col>
      <xdr:colOff>28575</xdr:colOff>
      <xdr:row>3</xdr:row>
      <xdr:rowOff>133350</xdr:rowOff>
    </xdr:to>
    <xdr:pic>
      <xdr:nvPicPr>
        <xdr:cNvPr id="2" name="image00.jpg">
          <a:extLst>
            <a:ext uri="{FF2B5EF4-FFF2-40B4-BE49-F238E27FC236}">
              <a16:creationId xmlns:a16="http://schemas.microsoft.com/office/drawing/2014/main" xmlns="" id="{00000000-0008-0000-0F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95300" y="28575"/>
          <a:ext cx="1219200" cy="590550"/>
        </a:xfrm>
        <a:prstGeom prst="rect">
          <a:avLst/>
        </a:prstGeom>
        <a:noFill/>
        <a:ln w="9525">
          <a:noFill/>
          <a:round/>
          <a:headEnd/>
          <a:tailEnd/>
        </a:ln>
      </xdr:spPr>
    </xdr:pic>
    <xdr:clientData/>
  </xdr:twoCellAnchor>
  <xdr:twoCellAnchor>
    <xdr:from>
      <xdr:col>1</xdr:col>
      <xdr:colOff>238125</xdr:colOff>
      <xdr:row>3</xdr:row>
      <xdr:rowOff>152399</xdr:rowOff>
    </xdr:from>
    <xdr:to>
      <xdr:col>7</xdr:col>
      <xdr:colOff>0</xdr:colOff>
      <xdr:row>8</xdr:row>
      <xdr:rowOff>200024</xdr:rowOff>
    </xdr:to>
    <xdr:sp macro="" textlink="">
      <xdr:nvSpPr>
        <xdr:cNvPr id="3" name="Rounded Rectangle 2">
          <a:extLst>
            <a:ext uri="{FF2B5EF4-FFF2-40B4-BE49-F238E27FC236}">
              <a16:creationId xmlns:a16="http://schemas.microsoft.com/office/drawing/2014/main" xmlns="" id="{00000000-0008-0000-0F00-000003000000}"/>
            </a:ext>
          </a:extLst>
        </xdr:cNvPr>
        <xdr:cNvSpPr/>
      </xdr:nvSpPr>
      <xdr:spPr bwMode="auto">
        <a:xfrm>
          <a:off x="666750" y="638174"/>
          <a:ext cx="3276600" cy="914400"/>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7</xdr:col>
      <xdr:colOff>123825</xdr:colOff>
      <xdr:row>4</xdr:row>
      <xdr:rowOff>0</xdr:rowOff>
    </xdr:from>
    <xdr:to>
      <xdr:col>8</xdr:col>
      <xdr:colOff>638176</xdr:colOff>
      <xdr:row>9</xdr:row>
      <xdr:rowOff>9525</xdr:rowOff>
    </xdr:to>
    <xdr:sp macro="" textlink="">
      <xdr:nvSpPr>
        <xdr:cNvPr id="4" name="16-Point Star 3">
          <a:extLst>
            <a:ext uri="{FF2B5EF4-FFF2-40B4-BE49-F238E27FC236}">
              <a16:creationId xmlns:a16="http://schemas.microsoft.com/office/drawing/2014/main" xmlns="" id="{00000000-0008-0000-0F00-000004000000}"/>
            </a:ext>
          </a:extLst>
        </xdr:cNvPr>
        <xdr:cNvSpPr/>
      </xdr:nvSpPr>
      <xdr:spPr bwMode="auto">
        <a:xfrm>
          <a:off x="4067175" y="647700"/>
          <a:ext cx="1238251" cy="923925"/>
        </a:xfrm>
        <a:prstGeom prst="star16">
          <a:avLst/>
        </a:prstGeom>
        <a:ln>
          <a:headEnd type="none" w="med" len="med"/>
          <a:tailEnd type="none" w="med" len="med"/>
        </a:ln>
        <a:effectLst>
          <a:innerShdw blurRad="63500" dist="50800" dir="16200000">
            <a:prstClr val="black">
              <a:alpha val="50000"/>
            </a:prstClr>
          </a:innerShdw>
        </a:effectLst>
      </xdr:spPr>
      <xdr:style>
        <a:lnRef idx="1">
          <a:schemeClr val="accent1"/>
        </a:lnRef>
        <a:fillRef idx="2">
          <a:schemeClr val="accent1"/>
        </a:fillRef>
        <a:effectRef idx="1">
          <a:schemeClr val="accent1"/>
        </a:effectRef>
        <a:fontRef idx="minor">
          <a:schemeClr val="dk1"/>
        </a:fontRef>
      </xdr:style>
      <xdr:txBody>
        <a:bodyPr vertOverflow="clip" wrap="square" lIns="18288" tIns="0" rIns="0" bIns="0" rtlCol="0" anchor="ctr" upright="1"/>
        <a:lstStyle/>
        <a:p>
          <a:pPr algn="ctr"/>
          <a:r>
            <a:rPr lang="en-US" sz="1200" b="1">
              <a:solidFill>
                <a:srgbClr val="FF0000"/>
              </a:solidFill>
              <a:latin typeface="+mn-lt"/>
              <a:ea typeface="+mn-ea"/>
              <a:cs typeface="+mn-cs"/>
            </a:rPr>
            <a:t>WITH        </a:t>
          </a:r>
          <a:r>
            <a:rPr lang="en-US" sz="1200" b="1" baseline="0">
              <a:solidFill>
                <a:srgbClr val="FF0000"/>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8</xdr:col>
      <xdr:colOff>695323</xdr:colOff>
      <xdr:row>6</xdr:row>
      <xdr:rowOff>0</xdr:rowOff>
    </xdr:from>
    <xdr:to>
      <xdr:col>12</xdr:col>
      <xdr:colOff>619124</xdr:colOff>
      <xdr:row>10</xdr:row>
      <xdr:rowOff>0</xdr:rowOff>
    </xdr:to>
    <xdr:sp macro="" textlink="">
      <xdr:nvSpPr>
        <xdr:cNvPr id="5" name="Rounded Rectangle 4">
          <a:extLst>
            <a:ext uri="{FF2B5EF4-FFF2-40B4-BE49-F238E27FC236}">
              <a16:creationId xmlns:a16="http://schemas.microsoft.com/office/drawing/2014/main" xmlns="" id="{00000000-0008-0000-0F00-000005000000}"/>
            </a:ext>
          </a:extLst>
        </xdr:cNvPr>
        <xdr:cNvSpPr/>
      </xdr:nvSpPr>
      <xdr:spPr>
        <a:xfrm>
          <a:off x="5362573" y="923925"/>
          <a:ext cx="2571751" cy="857250"/>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editAs="oneCell">
    <xdr:from>
      <xdr:col>9</xdr:col>
      <xdr:colOff>95249</xdr:colOff>
      <xdr:row>16</xdr:row>
      <xdr:rowOff>0</xdr:rowOff>
    </xdr:from>
    <xdr:to>
      <xdr:col>12</xdr:col>
      <xdr:colOff>571499</xdr:colOff>
      <xdr:row>31</xdr:row>
      <xdr:rowOff>114300</xdr:rowOff>
    </xdr:to>
    <xdr:pic>
      <xdr:nvPicPr>
        <xdr:cNvPr id="6" name="Picture 2">
          <a:extLst>
            <a:ext uri="{FF2B5EF4-FFF2-40B4-BE49-F238E27FC236}">
              <a16:creationId xmlns:a16="http://schemas.microsoft.com/office/drawing/2014/main" xmlns="" id="{00000000-0008-0000-0F00-000006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457824" y="2743200"/>
          <a:ext cx="2428875" cy="254317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6</xdr:col>
      <xdr:colOff>781051</xdr:colOff>
      <xdr:row>14</xdr:row>
      <xdr:rowOff>76200</xdr:rowOff>
    </xdr:from>
    <xdr:to>
      <xdr:col>8</xdr:col>
      <xdr:colOff>533401</xdr:colOff>
      <xdr:row>20</xdr:row>
      <xdr:rowOff>47625</xdr:rowOff>
    </xdr:to>
    <xdr:pic>
      <xdr:nvPicPr>
        <xdr:cNvPr id="7" name="Picture 6" descr="ima.jpg">
          <a:extLst>
            <a:ext uri="{FF2B5EF4-FFF2-40B4-BE49-F238E27FC236}">
              <a16:creationId xmlns:a16="http://schemas.microsoft.com/office/drawing/2014/main" xmlns="" id="{00000000-0008-0000-0F00-000007000000}"/>
            </a:ext>
          </a:extLst>
        </xdr:cNvPr>
        <xdr:cNvPicPr>
          <a:picLocks noChangeAspect="1"/>
        </xdr:cNvPicPr>
      </xdr:nvPicPr>
      <xdr:blipFill>
        <a:blip xmlns:r="http://schemas.openxmlformats.org/officeDocument/2006/relationships" r:embed="rId3" cstate="print"/>
        <a:stretch>
          <a:fillRect/>
        </a:stretch>
      </xdr:blipFill>
      <xdr:spPr>
        <a:xfrm>
          <a:off x="3905251" y="2495550"/>
          <a:ext cx="1295400" cy="866775"/>
        </a:xfrm>
        <a:prstGeom prst="rect">
          <a:avLst/>
        </a:prstGeom>
      </xdr:spPr>
    </xdr:pic>
    <xdr:clientData/>
  </xdr:twoCellAnchor>
  <xdr:twoCellAnchor>
    <xdr:from>
      <xdr:col>9</xdr:col>
      <xdr:colOff>85725</xdr:colOff>
      <xdr:row>55</xdr:row>
      <xdr:rowOff>9525</xdr:rowOff>
    </xdr:from>
    <xdr:to>
      <xdr:col>12</xdr:col>
      <xdr:colOff>571500</xdr:colOff>
      <xdr:row>62</xdr:row>
      <xdr:rowOff>76199</xdr:rowOff>
    </xdr:to>
    <xdr:sp macro="" textlink="">
      <xdr:nvSpPr>
        <xdr:cNvPr id="8" name="Round Diagonal Corner Rectangle 7">
          <a:extLst>
            <a:ext uri="{FF2B5EF4-FFF2-40B4-BE49-F238E27FC236}">
              <a16:creationId xmlns:a16="http://schemas.microsoft.com/office/drawing/2014/main" xmlns="" id="{00000000-0008-0000-0F00-000008000000}"/>
            </a:ext>
          </a:extLst>
        </xdr:cNvPr>
        <xdr:cNvSpPr/>
      </xdr:nvSpPr>
      <xdr:spPr>
        <a:xfrm>
          <a:off x="5448300" y="9439275"/>
          <a:ext cx="2438400" cy="1247774"/>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9</xdr:col>
      <xdr:colOff>152401</xdr:colOff>
      <xdr:row>56</xdr:row>
      <xdr:rowOff>66675</xdr:rowOff>
    </xdr:from>
    <xdr:to>
      <xdr:col>9</xdr:col>
      <xdr:colOff>514351</xdr:colOff>
      <xdr:row>61</xdr:row>
      <xdr:rowOff>95250</xdr:rowOff>
    </xdr:to>
    <xdr:grpSp>
      <xdr:nvGrpSpPr>
        <xdr:cNvPr id="9" name="Group 38">
          <a:extLst>
            <a:ext uri="{FF2B5EF4-FFF2-40B4-BE49-F238E27FC236}">
              <a16:creationId xmlns:a16="http://schemas.microsoft.com/office/drawing/2014/main" xmlns="" id="{00000000-0008-0000-0F00-000009000000}"/>
            </a:ext>
          </a:extLst>
        </xdr:cNvPr>
        <xdr:cNvGrpSpPr>
          <a:grpSpLocks/>
        </xdr:cNvGrpSpPr>
      </xdr:nvGrpSpPr>
      <xdr:grpSpPr bwMode="auto">
        <a:xfrm>
          <a:off x="5514976" y="9639300"/>
          <a:ext cx="361950" cy="866775"/>
          <a:chOff x="112842675" y="108899325"/>
          <a:chExt cx="762763" cy="1285875"/>
        </a:xfrm>
      </xdr:grpSpPr>
      <xdr:sp macro="" textlink="">
        <xdr:nvSpPr>
          <xdr:cNvPr id="10" name="Oval 39">
            <a:extLst>
              <a:ext uri="{FF2B5EF4-FFF2-40B4-BE49-F238E27FC236}">
                <a16:creationId xmlns:a16="http://schemas.microsoft.com/office/drawing/2014/main" xmlns="" id="{00000000-0008-0000-0F00-00000A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1" name="Oval 40">
            <a:extLst>
              <a:ext uri="{FF2B5EF4-FFF2-40B4-BE49-F238E27FC236}">
                <a16:creationId xmlns:a16="http://schemas.microsoft.com/office/drawing/2014/main" xmlns="" id="{00000000-0008-0000-0F00-00000B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2" name="Oval 41">
            <a:extLst>
              <a:ext uri="{FF2B5EF4-FFF2-40B4-BE49-F238E27FC236}">
                <a16:creationId xmlns:a16="http://schemas.microsoft.com/office/drawing/2014/main" xmlns="" id="{00000000-0008-0000-0F00-00000C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3" name="Oval 42">
            <a:extLst>
              <a:ext uri="{FF2B5EF4-FFF2-40B4-BE49-F238E27FC236}">
                <a16:creationId xmlns:a16="http://schemas.microsoft.com/office/drawing/2014/main" xmlns="" id="{00000000-0008-0000-0F00-00000D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4" name="Oval 43">
            <a:extLst>
              <a:ext uri="{FF2B5EF4-FFF2-40B4-BE49-F238E27FC236}">
                <a16:creationId xmlns:a16="http://schemas.microsoft.com/office/drawing/2014/main" xmlns="" id="{00000000-0008-0000-0F00-00000E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5" name="Oval 44">
            <a:extLst>
              <a:ext uri="{FF2B5EF4-FFF2-40B4-BE49-F238E27FC236}">
                <a16:creationId xmlns:a16="http://schemas.microsoft.com/office/drawing/2014/main" xmlns="" id="{00000000-0008-0000-0F00-00000F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6" name="Oval 45">
            <a:extLst>
              <a:ext uri="{FF2B5EF4-FFF2-40B4-BE49-F238E27FC236}">
                <a16:creationId xmlns:a16="http://schemas.microsoft.com/office/drawing/2014/main" xmlns="" id="{00000000-0008-0000-0F00-000010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7" name="Oval 46">
            <a:extLst>
              <a:ext uri="{FF2B5EF4-FFF2-40B4-BE49-F238E27FC236}">
                <a16:creationId xmlns:a16="http://schemas.microsoft.com/office/drawing/2014/main" xmlns="" id="{00000000-0008-0000-0F00-000011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8" name="Oval 47">
            <a:extLst>
              <a:ext uri="{FF2B5EF4-FFF2-40B4-BE49-F238E27FC236}">
                <a16:creationId xmlns:a16="http://schemas.microsoft.com/office/drawing/2014/main" xmlns="" id="{00000000-0008-0000-0F00-000012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19" name="Oval 48">
            <a:extLst>
              <a:ext uri="{FF2B5EF4-FFF2-40B4-BE49-F238E27FC236}">
                <a16:creationId xmlns:a16="http://schemas.microsoft.com/office/drawing/2014/main" xmlns="" id="{00000000-0008-0000-0F00-000013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0" name="Oval 49">
            <a:extLst>
              <a:ext uri="{FF2B5EF4-FFF2-40B4-BE49-F238E27FC236}">
                <a16:creationId xmlns:a16="http://schemas.microsoft.com/office/drawing/2014/main" xmlns="" id="{00000000-0008-0000-0F00-000014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1" name="Oval 50">
            <a:extLst>
              <a:ext uri="{FF2B5EF4-FFF2-40B4-BE49-F238E27FC236}">
                <a16:creationId xmlns:a16="http://schemas.microsoft.com/office/drawing/2014/main" xmlns="" id="{00000000-0008-0000-0F00-000015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2" name="Oval 51">
            <a:extLst>
              <a:ext uri="{FF2B5EF4-FFF2-40B4-BE49-F238E27FC236}">
                <a16:creationId xmlns:a16="http://schemas.microsoft.com/office/drawing/2014/main" xmlns="" id="{00000000-0008-0000-0F00-000016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3" name="Oval 52">
            <a:extLst>
              <a:ext uri="{FF2B5EF4-FFF2-40B4-BE49-F238E27FC236}">
                <a16:creationId xmlns:a16="http://schemas.microsoft.com/office/drawing/2014/main" xmlns="" id="{00000000-0008-0000-0F00-000017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4" name="Oval 53">
            <a:extLst>
              <a:ext uri="{FF2B5EF4-FFF2-40B4-BE49-F238E27FC236}">
                <a16:creationId xmlns:a16="http://schemas.microsoft.com/office/drawing/2014/main" xmlns="" id="{00000000-0008-0000-0F00-000018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5" name="Oval 54">
            <a:extLst>
              <a:ext uri="{FF2B5EF4-FFF2-40B4-BE49-F238E27FC236}">
                <a16:creationId xmlns:a16="http://schemas.microsoft.com/office/drawing/2014/main" xmlns="" id="{00000000-0008-0000-0F00-000019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6" name="Oval 55">
            <a:extLst>
              <a:ext uri="{FF2B5EF4-FFF2-40B4-BE49-F238E27FC236}">
                <a16:creationId xmlns:a16="http://schemas.microsoft.com/office/drawing/2014/main" xmlns="" id="{00000000-0008-0000-0F00-00001A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7" name="Oval 56">
            <a:extLst>
              <a:ext uri="{FF2B5EF4-FFF2-40B4-BE49-F238E27FC236}">
                <a16:creationId xmlns:a16="http://schemas.microsoft.com/office/drawing/2014/main" xmlns="" id="{00000000-0008-0000-0F00-00001B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8" name="Oval 57">
            <a:extLst>
              <a:ext uri="{FF2B5EF4-FFF2-40B4-BE49-F238E27FC236}">
                <a16:creationId xmlns:a16="http://schemas.microsoft.com/office/drawing/2014/main" xmlns="" id="{00000000-0008-0000-0F00-00001C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29" name="Oval 58">
            <a:extLst>
              <a:ext uri="{FF2B5EF4-FFF2-40B4-BE49-F238E27FC236}">
                <a16:creationId xmlns:a16="http://schemas.microsoft.com/office/drawing/2014/main" xmlns="" id="{00000000-0008-0000-0F00-00001D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0" name="Oval 59">
            <a:extLst>
              <a:ext uri="{FF2B5EF4-FFF2-40B4-BE49-F238E27FC236}">
                <a16:creationId xmlns:a16="http://schemas.microsoft.com/office/drawing/2014/main" xmlns="" id="{00000000-0008-0000-0F00-00001E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1" name="Oval 60">
            <a:extLst>
              <a:ext uri="{FF2B5EF4-FFF2-40B4-BE49-F238E27FC236}">
                <a16:creationId xmlns:a16="http://schemas.microsoft.com/office/drawing/2014/main" xmlns="" id="{00000000-0008-0000-0F00-00001F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2" name="Oval 61">
            <a:extLst>
              <a:ext uri="{FF2B5EF4-FFF2-40B4-BE49-F238E27FC236}">
                <a16:creationId xmlns:a16="http://schemas.microsoft.com/office/drawing/2014/main" xmlns="" id="{00000000-0008-0000-0F00-000020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3" name="Oval 62">
            <a:extLst>
              <a:ext uri="{FF2B5EF4-FFF2-40B4-BE49-F238E27FC236}">
                <a16:creationId xmlns:a16="http://schemas.microsoft.com/office/drawing/2014/main" xmlns="" id="{00000000-0008-0000-0F00-000021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4" name="Oval 63">
            <a:extLst>
              <a:ext uri="{FF2B5EF4-FFF2-40B4-BE49-F238E27FC236}">
                <a16:creationId xmlns:a16="http://schemas.microsoft.com/office/drawing/2014/main" xmlns="" id="{00000000-0008-0000-0F00-000022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5" name="Oval 64">
            <a:extLst>
              <a:ext uri="{FF2B5EF4-FFF2-40B4-BE49-F238E27FC236}">
                <a16:creationId xmlns:a16="http://schemas.microsoft.com/office/drawing/2014/main" xmlns="" id="{00000000-0008-0000-0F00-000023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6" name="Oval 65">
            <a:extLst>
              <a:ext uri="{FF2B5EF4-FFF2-40B4-BE49-F238E27FC236}">
                <a16:creationId xmlns:a16="http://schemas.microsoft.com/office/drawing/2014/main" xmlns="" id="{00000000-0008-0000-0F00-000024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7" name="Oval 66">
            <a:extLst>
              <a:ext uri="{FF2B5EF4-FFF2-40B4-BE49-F238E27FC236}">
                <a16:creationId xmlns:a16="http://schemas.microsoft.com/office/drawing/2014/main" xmlns="" id="{00000000-0008-0000-0F00-000025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8" name="Oval 67">
            <a:extLst>
              <a:ext uri="{FF2B5EF4-FFF2-40B4-BE49-F238E27FC236}">
                <a16:creationId xmlns:a16="http://schemas.microsoft.com/office/drawing/2014/main" xmlns="" id="{00000000-0008-0000-0F00-000026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39" name="Oval 68">
            <a:extLst>
              <a:ext uri="{FF2B5EF4-FFF2-40B4-BE49-F238E27FC236}">
                <a16:creationId xmlns:a16="http://schemas.microsoft.com/office/drawing/2014/main" xmlns="" id="{00000000-0008-0000-0F00-000027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0" name="Oval 69">
            <a:extLst>
              <a:ext uri="{FF2B5EF4-FFF2-40B4-BE49-F238E27FC236}">
                <a16:creationId xmlns:a16="http://schemas.microsoft.com/office/drawing/2014/main" xmlns="" id="{00000000-0008-0000-0F00-000028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2</xdr:col>
      <xdr:colOff>171450</xdr:colOff>
      <xdr:row>4</xdr:row>
      <xdr:rowOff>152400</xdr:rowOff>
    </xdr:from>
    <xdr:to>
      <xdr:col>3</xdr:col>
      <xdr:colOff>38100</xdr:colOff>
      <xdr:row>6</xdr:row>
      <xdr:rowOff>47625</xdr:rowOff>
    </xdr:to>
    <xdr:sp macro="" textlink="">
      <xdr:nvSpPr>
        <xdr:cNvPr id="41" name="Sun 40">
          <a:extLst>
            <a:ext uri="{FF2B5EF4-FFF2-40B4-BE49-F238E27FC236}">
              <a16:creationId xmlns:a16="http://schemas.microsoft.com/office/drawing/2014/main" xmlns="" id="{00000000-0008-0000-0F00-000029000000}"/>
            </a:ext>
          </a:extLst>
        </xdr:cNvPr>
        <xdr:cNvSpPr/>
      </xdr:nvSpPr>
      <xdr:spPr>
        <a:xfrm>
          <a:off x="847725" y="800100"/>
          <a:ext cx="228600" cy="171450"/>
        </a:xfrm>
        <a:prstGeom prst="sun">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endParaRPr lang="en-US" sz="1100"/>
        </a:p>
      </xdr:txBody>
    </xdr:sp>
    <xdr:clientData/>
  </xdr:twoCellAnchor>
  <xdr:twoCellAnchor>
    <xdr:from>
      <xdr:col>11</xdr:col>
      <xdr:colOff>85725</xdr:colOff>
      <xdr:row>10</xdr:row>
      <xdr:rowOff>9525</xdr:rowOff>
    </xdr:from>
    <xdr:to>
      <xdr:col>12</xdr:col>
      <xdr:colOff>514350</xdr:colOff>
      <xdr:row>15</xdr:row>
      <xdr:rowOff>133350</xdr:rowOff>
    </xdr:to>
    <xdr:sp macro="" textlink="">
      <xdr:nvSpPr>
        <xdr:cNvPr id="42" name="Oval 41">
          <a:extLst>
            <a:ext uri="{FF2B5EF4-FFF2-40B4-BE49-F238E27FC236}">
              <a16:creationId xmlns:a16="http://schemas.microsoft.com/office/drawing/2014/main" xmlns="" id="{00000000-0008-0000-0F00-00002A000000}"/>
            </a:ext>
          </a:extLst>
        </xdr:cNvPr>
        <xdr:cNvSpPr/>
      </xdr:nvSpPr>
      <xdr:spPr>
        <a:xfrm>
          <a:off x="6657975" y="1790700"/>
          <a:ext cx="1171575" cy="914400"/>
        </a:xfrm>
        <a:prstGeom prst="ellipse">
          <a:avLst/>
        </a:prstGeom>
        <a:noFill/>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twoCellAnchor editAs="oneCell">
    <xdr:from>
      <xdr:col>9</xdr:col>
      <xdr:colOff>180976</xdr:colOff>
      <xdr:row>10</xdr:row>
      <xdr:rowOff>57150</xdr:rowOff>
    </xdr:from>
    <xdr:to>
      <xdr:col>11</xdr:col>
      <xdr:colOff>38101</xdr:colOff>
      <xdr:row>15</xdr:row>
      <xdr:rowOff>152400</xdr:rowOff>
    </xdr:to>
    <xdr:pic>
      <xdr:nvPicPr>
        <xdr:cNvPr id="43" name="Picture 1" descr="savings image க்கான பட முடிவு">
          <a:extLst>
            <a:ext uri="{FF2B5EF4-FFF2-40B4-BE49-F238E27FC236}">
              <a16:creationId xmlns:a16="http://schemas.microsoft.com/office/drawing/2014/main" xmlns="" id="{00000000-0008-0000-0F00-00002B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5543551" y="1838325"/>
          <a:ext cx="1066800" cy="885825"/>
        </a:xfrm>
        <a:prstGeom prst="rect">
          <a:avLst/>
        </a:prstGeom>
        <a:noFill/>
      </xdr:spPr>
    </xdr:pic>
    <xdr:clientData/>
  </xdr:twoCellAnchor>
  <xdr:twoCellAnchor>
    <xdr:from>
      <xdr:col>5</xdr:col>
      <xdr:colOff>485775</xdr:colOff>
      <xdr:row>0</xdr:row>
      <xdr:rowOff>9525</xdr:rowOff>
    </xdr:from>
    <xdr:to>
      <xdr:col>8</xdr:col>
      <xdr:colOff>390525</xdr:colOff>
      <xdr:row>1</xdr:row>
      <xdr:rowOff>85725</xdr:rowOff>
    </xdr:to>
    <xdr:pic>
      <xdr:nvPicPr>
        <xdr:cNvPr id="44" name="Picture 43">
          <a:extLst>
            <a:ext uri="{FF2B5EF4-FFF2-40B4-BE49-F238E27FC236}">
              <a16:creationId xmlns:a16="http://schemas.microsoft.com/office/drawing/2014/main" xmlns="" id="{00000000-0008-0000-0F00-00002C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2838450" y="9525"/>
          <a:ext cx="2219325" cy="238125"/>
        </a:xfrm>
        <a:prstGeom prst="rect">
          <a:avLst/>
        </a:prstGeom>
        <a:noFill/>
        <a:ln w="9525">
          <a:noFill/>
          <a:round/>
          <a:headEnd/>
          <a:tailEnd/>
        </a:ln>
        <a:effectLst/>
      </xdr:spPr>
    </xdr:pic>
    <xdr:clientData/>
  </xdr:twoCellAnchor>
  <xdr:twoCellAnchor>
    <xdr:from>
      <xdr:col>4</xdr:col>
      <xdr:colOff>57150</xdr:colOff>
      <xdr:row>1</xdr:row>
      <xdr:rowOff>28576</xdr:rowOff>
    </xdr:from>
    <xdr:to>
      <xdr:col>10</xdr:col>
      <xdr:colOff>180975</xdr:colOff>
      <xdr:row>3</xdr:row>
      <xdr:rowOff>0</xdr:rowOff>
    </xdr:to>
    <xdr:pic>
      <xdr:nvPicPr>
        <xdr:cNvPr id="45" name="Picture 44">
          <a:extLst>
            <a:ext uri="{FF2B5EF4-FFF2-40B4-BE49-F238E27FC236}">
              <a16:creationId xmlns:a16="http://schemas.microsoft.com/office/drawing/2014/main" xmlns="" id="{00000000-0008-0000-0F00-00002D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743075" y="190501"/>
          <a:ext cx="4486275" cy="295274"/>
        </a:xfrm>
        <a:prstGeom prst="rect">
          <a:avLst/>
        </a:prstGeom>
        <a:noFill/>
        <a:ln w="9525">
          <a:noFill/>
          <a:round/>
          <a:headEnd/>
          <a:tailEnd/>
        </a:ln>
        <a:effectLst/>
      </xdr:spPr>
    </xdr:pic>
    <xdr:clientData/>
  </xdr:twoCellAnchor>
  <xdr:twoCellAnchor>
    <xdr:from>
      <xdr:col>9</xdr:col>
      <xdr:colOff>619126</xdr:colOff>
      <xdr:row>47</xdr:row>
      <xdr:rowOff>57151</xdr:rowOff>
    </xdr:from>
    <xdr:to>
      <xdr:col>12</xdr:col>
      <xdr:colOff>38101</xdr:colOff>
      <xdr:row>52</xdr:row>
      <xdr:rowOff>142876</xdr:rowOff>
    </xdr:to>
    <xdr:sp macro="" textlink="">
      <xdr:nvSpPr>
        <xdr:cNvPr id="46" name="Rounded Rectangle 45">
          <a:extLst>
            <a:ext uri="{FF2B5EF4-FFF2-40B4-BE49-F238E27FC236}">
              <a16:creationId xmlns:a16="http://schemas.microsoft.com/office/drawing/2014/main" xmlns="" id="{00000000-0008-0000-0F00-00002E000000}"/>
            </a:ext>
          </a:extLst>
        </xdr:cNvPr>
        <xdr:cNvSpPr/>
      </xdr:nvSpPr>
      <xdr:spPr>
        <a:xfrm>
          <a:off x="5981701" y="8029576"/>
          <a:ext cx="1371600" cy="990600"/>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twoCellAnchor editAs="oneCell">
    <xdr:from>
      <xdr:col>14</xdr:col>
      <xdr:colOff>9524</xdr:colOff>
      <xdr:row>20</xdr:row>
      <xdr:rowOff>57150</xdr:rowOff>
    </xdr:from>
    <xdr:to>
      <xdr:col>14</xdr:col>
      <xdr:colOff>419099</xdr:colOff>
      <xdr:row>21</xdr:row>
      <xdr:rowOff>142875</xdr:rowOff>
    </xdr:to>
    <xdr:pic>
      <xdr:nvPicPr>
        <xdr:cNvPr id="47" name="Picture 2">
          <a:hlinkClick xmlns:r="http://schemas.openxmlformats.org/officeDocument/2006/relationships" r:id="rId7"/>
          <a:extLst>
            <a:ext uri="{FF2B5EF4-FFF2-40B4-BE49-F238E27FC236}">
              <a16:creationId xmlns:a16="http://schemas.microsoft.com/office/drawing/2014/main" xmlns="" id="{00000000-0008-0000-0F00-00002F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582024" y="3381375"/>
          <a:ext cx="409575" cy="285750"/>
        </a:xfrm>
        <a:prstGeom prst="rect">
          <a:avLst/>
        </a:prstGeom>
        <a:noFill/>
      </xdr:spPr>
    </xdr:pic>
    <xdr:clientData/>
  </xdr:twoCellAnchor>
  <xdr:twoCellAnchor editAs="oneCell">
    <xdr:from>
      <xdr:col>14</xdr:col>
      <xdr:colOff>9524</xdr:colOff>
      <xdr:row>8</xdr:row>
      <xdr:rowOff>57150</xdr:rowOff>
    </xdr:from>
    <xdr:to>
      <xdr:col>14</xdr:col>
      <xdr:colOff>419099</xdr:colOff>
      <xdr:row>9</xdr:row>
      <xdr:rowOff>142875</xdr:rowOff>
    </xdr:to>
    <xdr:pic>
      <xdr:nvPicPr>
        <xdr:cNvPr id="48" name="Picture 2">
          <a:hlinkClick xmlns:r="http://schemas.openxmlformats.org/officeDocument/2006/relationships" r:id="rId9"/>
          <a:extLst>
            <a:ext uri="{FF2B5EF4-FFF2-40B4-BE49-F238E27FC236}">
              <a16:creationId xmlns:a16="http://schemas.microsoft.com/office/drawing/2014/main" xmlns="" id="{00000000-0008-0000-0F00-000030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582024" y="1409700"/>
          <a:ext cx="409575" cy="285750"/>
        </a:xfrm>
        <a:prstGeom prst="rect">
          <a:avLst/>
        </a:prstGeom>
        <a:noFill/>
      </xdr:spPr>
    </xdr:pic>
    <xdr:clientData/>
  </xdr:twoCellAnchor>
  <xdr:twoCellAnchor>
    <xdr:from>
      <xdr:col>14</xdr:col>
      <xdr:colOff>228600</xdr:colOff>
      <xdr:row>0</xdr:row>
      <xdr:rowOff>0</xdr:rowOff>
    </xdr:from>
    <xdr:to>
      <xdr:col>16</xdr:col>
      <xdr:colOff>447675</xdr:colOff>
      <xdr:row>4</xdr:row>
      <xdr:rowOff>19050</xdr:rowOff>
    </xdr:to>
    <xdr:sp macro="" textlink="">
      <xdr:nvSpPr>
        <xdr:cNvPr id="49" name="Left Arrow 48">
          <a:extLst>
            <a:ext uri="{FF2B5EF4-FFF2-40B4-BE49-F238E27FC236}">
              <a16:creationId xmlns:a16="http://schemas.microsoft.com/office/drawing/2014/main" xmlns="" id="{00000000-0008-0000-0F00-000031000000}"/>
            </a:ext>
          </a:extLst>
        </xdr:cNvPr>
        <xdr:cNvSpPr/>
      </xdr:nvSpPr>
      <xdr:spPr>
        <a:xfrm>
          <a:off x="8801100" y="0"/>
          <a:ext cx="1438275" cy="6667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6</xdr:col>
      <xdr:colOff>409575</xdr:colOff>
      <xdr:row>4</xdr:row>
      <xdr:rowOff>142875</xdr:rowOff>
    </xdr:from>
    <xdr:to>
      <xdr:col>6</xdr:col>
      <xdr:colOff>638175</xdr:colOff>
      <xdr:row>6</xdr:row>
      <xdr:rowOff>38100</xdr:rowOff>
    </xdr:to>
    <xdr:sp macro="" textlink="">
      <xdr:nvSpPr>
        <xdr:cNvPr id="50" name="Sun 49">
          <a:extLst>
            <a:ext uri="{FF2B5EF4-FFF2-40B4-BE49-F238E27FC236}">
              <a16:creationId xmlns:a16="http://schemas.microsoft.com/office/drawing/2014/main" xmlns="" id="{00000000-0008-0000-0F00-000032000000}"/>
            </a:ext>
          </a:extLst>
        </xdr:cNvPr>
        <xdr:cNvSpPr/>
      </xdr:nvSpPr>
      <xdr:spPr>
        <a:xfrm>
          <a:off x="3533775" y="790575"/>
          <a:ext cx="228600" cy="171450"/>
        </a:xfrm>
        <a:prstGeom prst="sun">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endParaRPr lang="en-US" sz="1100"/>
        </a:p>
      </xdr:txBody>
    </xdr:sp>
    <xdr:clientData/>
  </xdr:twoCellAnchor>
  <xdr:twoCellAnchor>
    <xdr:from>
      <xdr:col>9</xdr:col>
      <xdr:colOff>95250</xdr:colOff>
      <xdr:row>40</xdr:row>
      <xdr:rowOff>114299</xdr:rowOff>
    </xdr:from>
    <xdr:to>
      <xdr:col>12</xdr:col>
      <xdr:colOff>609600</xdr:colOff>
      <xdr:row>46</xdr:row>
      <xdr:rowOff>161925</xdr:rowOff>
    </xdr:to>
    <xdr:sp macro="" textlink="">
      <xdr:nvSpPr>
        <xdr:cNvPr id="51" name="Rounded Rectangle 50">
          <a:extLst>
            <a:ext uri="{FF2B5EF4-FFF2-40B4-BE49-F238E27FC236}">
              <a16:creationId xmlns:a16="http://schemas.microsoft.com/office/drawing/2014/main" xmlns="" id="{00000000-0008-0000-0F00-000033000000}"/>
            </a:ext>
          </a:extLst>
        </xdr:cNvPr>
        <xdr:cNvSpPr/>
      </xdr:nvSpPr>
      <xdr:spPr>
        <a:xfrm>
          <a:off x="5457825" y="6886574"/>
          <a:ext cx="2466975" cy="1076326"/>
        </a:xfrm>
        <a:prstGeom prst="roundRect">
          <a:avLst/>
        </a:prstGeom>
        <a:noFill/>
        <a:ln w="19050"/>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twoCellAnchor editAs="oneCell">
    <xdr:from>
      <xdr:col>9</xdr:col>
      <xdr:colOff>152399</xdr:colOff>
      <xdr:row>44</xdr:row>
      <xdr:rowOff>19050</xdr:rowOff>
    </xdr:from>
    <xdr:to>
      <xdr:col>10</xdr:col>
      <xdr:colOff>238124</xdr:colOff>
      <xdr:row>46</xdr:row>
      <xdr:rowOff>152400</xdr:rowOff>
    </xdr:to>
    <xdr:pic>
      <xdr:nvPicPr>
        <xdr:cNvPr id="52" name="Picture 51">
          <a:extLst>
            <a:ext uri="{FF2B5EF4-FFF2-40B4-BE49-F238E27FC236}">
              <a16:creationId xmlns:a16="http://schemas.microsoft.com/office/drawing/2014/main" xmlns="" id="{00000000-0008-0000-0F00-00003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5514974" y="7477125"/>
          <a:ext cx="771525" cy="4762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66675</xdr:colOff>
      <xdr:row>0</xdr:row>
      <xdr:rowOff>57149</xdr:rowOff>
    </xdr:from>
    <xdr:to>
      <xdr:col>4</xdr:col>
      <xdr:colOff>228600</xdr:colOff>
      <xdr:row>4</xdr:row>
      <xdr:rowOff>95249</xdr:rowOff>
    </xdr:to>
    <xdr:pic>
      <xdr:nvPicPr>
        <xdr:cNvPr id="2" name="image00.jpg">
          <a:extLst>
            <a:ext uri="{FF2B5EF4-FFF2-40B4-BE49-F238E27FC236}">
              <a16:creationId xmlns:a16="http://schemas.microsoft.com/office/drawing/2014/main" xmlns="" id="{00000000-0008-0000-1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9575" y="57149"/>
          <a:ext cx="1419225" cy="800100"/>
        </a:xfrm>
        <a:prstGeom prst="rect">
          <a:avLst/>
        </a:prstGeom>
        <a:noFill/>
        <a:ln w="9525">
          <a:noFill/>
          <a:round/>
          <a:headEnd/>
          <a:tailEnd/>
        </a:ln>
      </xdr:spPr>
    </xdr:pic>
    <xdr:clientData/>
  </xdr:twoCellAnchor>
  <xdr:twoCellAnchor>
    <xdr:from>
      <xdr:col>2</xdr:col>
      <xdr:colOff>1</xdr:colOff>
      <xdr:row>5</xdr:row>
      <xdr:rowOff>190500</xdr:rowOff>
    </xdr:from>
    <xdr:to>
      <xdr:col>7</xdr:col>
      <xdr:colOff>1</xdr:colOff>
      <xdr:row>10</xdr:row>
      <xdr:rowOff>190499</xdr:rowOff>
    </xdr:to>
    <xdr:sp macro="" textlink="">
      <xdr:nvSpPr>
        <xdr:cNvPr id="3" name="Rounded Rectangle 2">
          <a:extLst>
            <a:ext uri="{FF2B5EF4-FFF2-40B4-BE49-F238E27FC236}">
              <a16:creationId xmlns:a16="http://schemas.microsoft.com/office/drawing/2014/main" xmlns="" id="{00000000-0008-0000-1000-000003000000}"/>
            </a:ext>
          </a:extLst>
        </xdr:cNvPr>
        <xdr:cNvSpPr/>
      </xdr:nvSpPr>
      <xdr:spPr bwMode="auto">
        <a:xfrm>
          <a:off x="590551" y="1143000"/>
          <a:ext cx="3219450" cy="952499"/>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7</xdr:col>
      <xdr:colOff>76200</xdr:colOff>
      <xdr:row>5</xdr:row>
      <xdr:rowOff>190499</xdr:rowOff>
    </xdr:from>
    <xdr:to>
      <xdr:col>8</xdr:col>
      <xdr:colOff>561975</xdr:colOff>
      <xdr:row>10</xdr:row>
      <xdr:rowOff>200024</xdr:rowOff>
    </xdr:to>
    <xdr:sp macro="" textlink="">
      <xdr:nvSpPr>
        <xdr:cNvPr id="4" name="16-Point Star 3">
          <a:extLst>
            <a:ext uri="{FF2B5EF4-FFF2-40B4-BE49-F238E27FC236}">
              <a16:creationId xmlns:a16="http://schemas.microsoft.com/office/drawing/2014/main" xmlns="" id="{00000000-0008-0000-1000-000004000000}"/>
            </a:ext>
          </a:extLst>
        </xdr:cNvPr>
        <xdr:cNvSpPr/>
      </xdr:nvSpPr>
      <xdr:spPr bwMode="auto">
        <a:xfrm>
          <a:off x="3886200" y="1142999"/>
          <a:ext cx="1209675" cy="952500"/>
        </a:xfrm>
        <a:prstGeom prst="star16">
          <a:avLst/>
        </a:prstGeom>
        <a:ln>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18288" tIns="0" rIns="0" bIns="0" rtlCol="0" anchor="ctr" upright="1"/>
        <a:lstStyle/>
        <a:p>
          <a:pPr algn="ctr"/>
          <a:r>
            <a:rPr lang="en-US" sz="1200" b="1">
              <a:solidFill>
                <a:srgbClr val="FF0000"/>
              </a:solidFill>
              <a:latin typeface="+mn-lt"/>
              <a:ea typeface="+mn-ea"/>
              <a:cs typeface="+mn-cs"/>
            </a:rPr>
            <a:t>WITH        </a:t>
          </a:r>
          <a:r>
            <a:rPr lang="en-US" sz="1200" b="1" baseline="0">
              <a:solidFill>
                <a:srgbClr val="FF0000"/>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8</xdr:col>
      <xdr:colOff>676274</xdr:colOff>
      <xdr:row>3</xdr:row>
      <xdr:rowOff>209549</xdr:rowOff>
    </xdr:from>
    <xdr:to>
      <xdr:col>13</xdr:col>
      <xdr:colOff>28575</xdr:colOff>
      <xdr:row>8</xdr:row>
      <xdr:rowOff>28573</xdr:rowOff>
    </xdr:to>
    <xdr:sp macro="" textlink="">
      <xdr:nvSpPr>
        <xdr:cNvPr id="5" name="Rounded Rectangle 4">
          <a:extLst>
            <a:ext uri="{FF2B5EF4-FFF2-40B4-BE49-F238E27FC236}">
              <a16:creationId xmlns:a16="http://schemas.microsoft.com/office/drawing/2014/main" xmlns="" id="{00000000-0008-0000-1000-000005000000}"/>
            </a:ext>
          </a:extLst>
        </xdr:cNvPr>
        <xdr:cNvSpPr/>
      </xdr:nvSpPr>
      <xdr:spPr>
        <a:xfrm>
          <a:off x="5210174" y="761999"/>
          <a:ext cx="2400301" cy="790574"/>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oneCellAnchor>
    <xdr:from>
      <xdr:col>10</xdr:col>
      <xdr:colOff>47625</xdr:colOff>
      <xdr:row>19</xdr:row>
      <xdr:rowOff>66675</xdr:rowOff>
    </xdr:from>
    <xdr:ext cx="1762125" cy="2476500"/>
    <xdr:pic>
      <xdr:nvPicPr>
        <xdr:cNvPr id="6" name="Picture 2">
          <a:extLst>
            <a:ext uri="{FF2B5EF4-FFF2-40B4-BE49-F238E27FC236}">
              <a16:creationId xmlns:a16="http://schemas.microsoft.com/office/drawing/2014/main" xmlns="" id="{00000000-0008-0000-1000-000006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096000" y="3686175"/>
          <a:ext cx="1762125" cy="2476500"/>
        </a:xfrm>
        <a:prstGeom prst="rect">
          <a:avLst/>
        </a:prstGeom>
        <a:noFill/>
      </xdr:spPr>
    </xdr:pic>
    <xdr:clientData/>
  </xdr:oneCellAnchor>
  <xdr:oneCellAnchor>
    <xdr:from>
      <xdr:col>8</xdr:col>
      <xdr:colOff>477941</xdr:colOff>
      <xdr:row>19</xdr:row>
      <xdr:rowOff>95250</xdr:rowOff>
    </xdr:from>
    <xdr:ext cx="1017483" cy="771525"/>
    <xdr:pic>
      <xdr:nvPicPr>
        <xdr:cNvPr id="7" name="Picture 2">
          <a:extLst>
            <a:ext uri="{FF2B5EF4-FFF2-40B4-BE49-F238E27FC236}">
              <a16:creationId xmlns:a16="http://schemas.microsoft.com/office/drawing/2014/main" xmlns="" id="{00000000-0008-0000-1000-000007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011841" y="3390900"/>
          <a:ext cx="1017483" cy="771525"/>
        </a:xfrm>
        <a:prstGeom prst="ellipse">
          <a:avLst/>
        </a:prstGeom>
        <a:ln>
          <a:noFill/>
        </a:ln>
        <a:effectLst>
          <a:softEdge rad="112500"/>
        </a:effectLst>
      </xdr:spPr>
    </xdr:pic>
    <xdr:clientData/>
  </xdr:oneCellAnchor>
  <xdr:twoCellAnchor>
    <xdr:from>
      <xdr:col>10</xdr:col>
      <xdr:colOff>9524</xdr:colOff>
      <xdr:row>12</xdr:row>
      <xdr:rowOff>161925</xdr:rowOff>
    </xdr:from>
    <xdr:to>
      <xdr:col>12</xdr:col>
      <xdr:colOff>95250</xdr:colOff>
      <xdr:row>18</xdr:row>
      <xdr:rowOff>152400</xdr:rowOff>
    </xdr:to>
    <xdr:sp macro="" textlink="">
      <xdr:nvSpPr>
        <xdr:cNvPr id="8" name="Oval 7">
          <a:extLst>
            <a:ext uri="{FF2B5EF4-FFF2-40B4-BE49-F238E27FC236}">
              <a16:creationId xmlns:a16="http://schemas.microsoft.com/office/drawing/2014/main" xmlns="" id="{00000000-0008-0000-1000-000008000000}"/>
            </a:ext>
          </a:extLst>
        </xdr:cNvPr>
        <xdr:cNvSpPr/>
      </xdr:nvSpPr>
      <xdr:spPr>
        <a:xfrm>
          <a:off x="6057899" y="2324100"/>
          <a:ext cx="1085851" cy="942975"/>
        </a:xfrm>
        <a:prstGeom prst="ellipse">
          <a:avLst/>
        </a:prstGeom>
        <a:noFill/>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9</xdr:col>
      <xdr:colOff>76201</xdr:colOff>
      <xdr:row>12</xdr:row>
      <xdr:rowOff>114299</xdr:rowOff>
    </xdr:from>
    <xdr:ext cx="742950" cy="866775"/>
    <xdr:pic>
      <xdr:nvPicPr>
        <xdr:cNvPr id="9" name="Picture 1" descr="savings image க்கான பட முடிவு">
          <a:extLst>
            <a:ext uri="{FF2B5EF4-FFF2-40B4-BE49-F238E27FC236}">
              <a16:creationId xmlns:a16="http://schemas.microsoft.com/office/drawing/2014/main" xmlns="" id="{00000000-0008-0000-1000-00000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5305426" y="2276474"/>
          <a:ext cx="742950" cy="866775"/>
        </a:xfrm>
        <a:prstGeom prst="rect">
          <a:avLst/>
        </a:prstGeom>
        <a:noFill/>
      </xdr:spPr>
    </xdr:pic>
    <xdr:clientData/>
  </xdr:oneCellAnchor>
  <xdr:twoCellAnchor>
    <xdr:from>
      <xdr:col>5</xdr:col>
      <xdr:colOff>438150</xdr:colOff>
      <xdr:row>0</xdr:row>
      <xdr:rowOff>76200</xdr:rowOff>
    </xdr:from>
    <xdr:to>
      <xdr:col>8</xdr:col>
      <xdr:colOff>390525</xdr:colOff>
      <xdr:row>2</xdr:row>
      <xdr:rowOff>28575</xdr:rowOff>
    </xdr:to>
    <xdr:pic>
      <xdr:nvPicPr>
        <xdr:cNvPr id="10" name="Picture 9">
          <a:extLst>
            <a:ext uri="{FF2B5EF4-FFF2-40B4-BE49-F238E27FC236}">
              <a16:creationId xmlns:a16="http://schemas.microsoft.com/office/drawing/2014/main" xmlns="" id="{00000000-0008-0000-1000-00000A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2705100" y="76200"/>
          <a:ext cx="2219325" cy="333375"/>
        </a:xfrm>
        <a:prstGeom prst="rect">
          <a:avLst/>
        </a:prstGeom>
        <a:noFill/>
        <a:ln w="9525">
          <a:noFill/>
          <a:round/>
          <a:headEnd/>
          <a:tailEnd/>
        </a:ln>
        <a:effectLst/>
      </xdr:spPr>
    </xdr:pic>
    <xdr:clientData/>
  </xdr:twoCellAnchor>
  <xdr:twoCellAnchor>
    <xdr:from>
      <xdr:col>4</xdr:col>
      <xdr:colOff>133350</xdr:colOff>
      <xdr:row>1</xdr:row>
      <xdr:rowOff>152400</xdr:rowOff>
    </xdr:from>
    <xdr:to>
      <xdr:col>10</xdr:col>
      <xdr:colOff>171450</xdr:colOff>
      <xdr:row>3</xdr:row>
      <xdr:rowOff>104775</xdr:rowOff>
    </xdr:to>
    <xdr:pic>
      <xdr:nvPicPr>
        <xdr:cNvPr id="11" name="Picture 10">
          <a:extLst>
            <a:ext uri="{FF2B5EF4-FFF2-40B4-BE49-F238E27FC236}">
              <a16:creationId xmlns:a16="http://schemas.microsoft.com/office/drawing/2014/main" xmlns="" id="{00000000-0008-0000-1000-00000B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733550" y="342900"/>
          <a:ext cx="4486275" cy="333375"/>
        </a:xfrm>
        <a:prstGeom prst="rect">
          <a:avLst/>
        </a:prstGeom>
        <a:noFill/>
        <a:ln w="9525">
          <a:noFill/>
          <a:round/>
          <a:headEnd/>
          <a:tailEnd/>
        </a:ln>
        <a:effectLst/>
      </xdr:spPr>
    </xdr:pic>
    <xdr:clientData/>
  </xdr:twoCellAnchor>
  <xdr:twoCellAnchor>
    <xdr:from>
      <xdr:col>9</xdr:col>
      <xdr:colOff>19050</xdr:colOff>
      <xdr:row>56</xdr:row>
      <xdr:rowOff>9525</xdr:rowOff>
    </xdr:from>
    <xdr:to>
      <xdr:col>13</xdr:col>
      <xdr:colOff>266700</xdr:colOff>
      <xdr:row>63</xdr:row>
      <xdr:rowOff>19050</xdr:rowOff>
    </xdr:to>
    <xdr:sp macro="" textlink="">
      <xdr:nvSpPr>
        <xdr:cNvPr id="12" name="Round Diagonal Corner Rectangle 11">
          <a:extLst>
            <a:ext uri="{FF2B5EF4-FFF2-40B4-BE49-F238E27FC236}">
              <a16:creationId xmlns:a16="http://schemas.microsoft.com/office/drawing/2014/main" xmlns="" id="{00000000-0008-0000-1000-00000C000000}"/>
            </a:ext>
          </a:extLst>
        </xdr:cNvPr>
        <xdr:cNvSpPr/>
      </xdr:nvSpPr>
      <xdr:spPr>
        <a:xfrm>
          <a:off x="5248275" y="9420225"/>
          <a:ext cx="2600325" cy="1228725"/>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9</xdr:col>
      <xdr:colOff>123825</xdr:colOff>
      <xdr:row>57</xdr:row>
      <xdr:rowOff>28575</xdr:rowOff>
    </xdr:from>
    <xdr:to>
      <xdr:col>9</xdr:col>
      <xdr:colOff>438150</xdr:colOff>
      <xdr:row>62</xdr:row>
      <xdr:rowOff>19050</xdr:rowOff>
    </xdr:to>
    <xdr:grpSp>
      <xdr:nvGrpSpPr>
        <xdr:cNvPr id="13" name="Group 38">
          <a:extLst>
            <a:ext uri="{FF2B5EF4-FFF2-40B4-BE49-F238E27FC236}">
              <a16:creationId xmlns:a16="http://schemas.microsoft.com/office/drawing/2014/main" xmlns="" id="{00000000-0008-0000-1000-00000D000000}"/>
            </a:ext>
          </a:extLst>
        </xdr:cNvPr>
        <xdr:cNvGrpSpPr>
          <a:grpSpLocks/>
        </xdr:cNvGrpSpPr>
      </xdr:nvGrpSpPr>
      <xdr:grpSpPr bwMode="auto">
        <a:xfrm>
          <a:off x="5353050" y="9610725"/>
          <a:ext cx="314325" cy="866775"/>
          <a:chOff x="112842675" y="108899325"/>
          <a:chExt cx="762763" cy="1285875"/>
        </a:xfrm>
      </xdr:grpSpPr>
      <xdr:sp macro="" textlink="">
        <xdr:nvSpPr>
          <xdr:cNvPr id="14" name="Oval 39">
            <a:extLst>
              <a:ext uri="{FF2B5EF4-FFF2-40B4-BE49-F238E27FC236}">
                <a16:creationId xmlns:a16="http://schemas.microsoft.com/office/drawing/2014/main" xmlns="" id="{00000000-0008-0000-1000-00000E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5" name="Oval 40">
            <a:extLst>
              <a:ext uri="{FF2B5EF4-FFF2-40B4-BE49-F238E27FC236}">
                <a16:creationId xmlns:a16="http://schemas.microsoft.com/office/drawing/2014/main" xmlns="" id="{00000000-0008-0000-1000-00000F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6" name="Oval 41">
            <a:extLst>
              <a:ext uri="{FF2B5EF4-FFF2-40B4-BE49-F238E27FC236}">
                <a16:creationId xmlns:a16="http://schemas.microsoft.com/office/drawing/2014/main" xmlns="" id="{00000000-0008-0000-1000-000010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7" name="Oval 42">
            <a:extLst>
              <a:ext uri="{FF2B5EF4-FFF2-40B4-BE49-F238E27FC236}">
                <a16:creationId xmlns:a16="http://schemas.microsoft.com/office/drawing/2014/main" xmlns="" id="{00000000-0008-0000-1000-000011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8" name="Oval 43">
            <a:extLst>
              <a:ext uri="{FF2B5EF4-FFF2-40B4-BE49-F238E27FC236}">
                <a16:creationId xmlns:a16="http://schemas.microsoft.com/office/drawing/2014/main" xmlns="" id="{00000000-0008-0000-1000-000012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9" name="Oval 44">
            <a:extLst>
              <a:ext uri="{FF2B5EF4-FFF2-40B4-BE49-F238E27FC236}">
                <a16:creationId xmlns:a16="http://schemas.microsoft.com/office/drawing/2014/main" xmlns="" id="{00000000-0008-0000-1000-000013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20" name="Oval 45">
            <a:extLst>
              <a:ext uri="{FF2B5EF4-FFF2-40B4-BE49-F238E27FC236}">
                <a16:creationId xmlns:a16="http://schemas.microsoft.com/office/drawing/2014/main" xmlns="" id="{00000000-0008-0000-1000-000014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21" name="Oval 46">
            <a:extLst>
              <a:ext uri="{FF2B5EF4-FFF2-40B4-BE49-F238E27FC236}">
                <a16:creationId xmlns:a16="http://schemas.microsoft.com/office/drawing/2014/main" xmlns="" id="{00000000-0008-0000-1000-000015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22" name="Oval 47">
            <a:extLst>
              <a:ext uri="{FF2B5EF4-FFF2-40B4-BE49-F238E27FC236}">
                <a16:creationId xmlns:a16="http://schemas.microsoft.com/office/drawing/2014/main" xmlns="" id="{00000000-0008-0000-1000-000016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3" name="Oval 48">
            <a:extLst>
              <a:ext uri="{FF2B5EF4-FFF2-40B4-BE49-F238E27FC236}">
                <a16:creationId xmlns:a16="http://schemas.microsoft.com/office/drawing/2014/main" xmlns="" id="{00000000-0008-0000-1000-000017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4" name="Oval 49">
            <a:extLst>
              <a:ext uri="{FF2B5EF4-FFF2-40B4-BE49-F238E27FC236}">
                <a16:creationId xmlns:a16="http://schemas.microsoft.com/office/drawing/2014/main" xmlns="" id="{00000000-0008-0000-1000-000018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5" name="Oval 50">
            <a:extLst>
              <a:ext uri="{FF2B5EF4-FFF2-40B4-BE49-F238E27FC236}">
                <a16:creationId xmlns:a16="http://schemas.microsoft.com/office/drawing/2014/main" xmlns="" id="{00000000-0008-0000-1000-000019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6" name="Oval 51">
            <a:extLst>
              <a:ext uri="{FF2B5EF4-FFF2-40B4-BE49-F238E27FC236}">
                <a16:creationId xmlns:a16="http://schemas.microsoft.com/office/drawing/2014/main" xmlns="" id="{00000000-0008-0000-1000-00001A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7" name="Oval 52">
            <a:extLst>
              <a:ext uri="{FF2B5EF4-FFF2-40B4-BE49-F238E27FC236}">
                <a16:creationId xmlns:a16="http://schemas.microsoft.com/office/drawing/2014/main" xmlns="" id="{00000000-0008-0000-1000-00001B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8" name="Oval 53">
            <a:extLst>
              <a:ext uri="{FF2B5EF4-FFF2-40B4-BE49-F238E27FC236}">
                <a16:creationId xmlns:a16="http://schemas.microsoft.com/office/drawing/2014/main" xmlns="" id="{00000000-0008-0000-1000-00001C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9" name="Oval 54">
            <a:extLst>
              <a:ext uri="{FF2B5EF4-FFF2-40B4-BE49-F238E27FC236}">
                <a16:creationId xmlns:a16="http://schemas.microsoft.com/office/drawing/2014/main" xmlns="" id="{00000000-0008-0000-1000-00001D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30" name="Oval 55">
            <a:extLst>
              <a:ext uri="{FF2B5EF4-FFF2-40B4-BE49-F238E27FC236}">
                <a16:creationId xmlns:a16="http://schemas.microsoft.com/office/drawing/2014/main" xmlns="" id="{00000000-0008-0000-1000-00001E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31" name="Oval 56">
            <a:extLst>
              <a:ext uri="{FF2B5EF4-FFF2-40B4-BE49-F238E27FC236}">
                <a16:creationId xmlns:a16="http://schemas.microsoft.com/office/drawing/2014/main" xmlns="" id="{00000000-0008-0000-1000-00001F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32" name="Oval 57">
            <a:extLst>
              <a:ext uri="{FF2B5EF4-FFF2-40B4-BE49-F238E27FC236}">
                <a16:creationId xmlns:a16="http://schemas.microsoft.com/office/drawing/2014/main" xmlns="" id="{00000000-0008-0000-1000-000020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3" name="Oval 58">
            <a:extLst>
              <a:ext uri="{FF2B5EF4-FFF2-40B4-BE49-F238E27FC236}">
                <a16:creationId xmlns:a16="http://schemas.microsoft.com/office/drawing/2014/main" xmlns="" id="{00000000-0008-0000-1000-000021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4" name="Oval 59">
            <a:extLst>
              <a:ext uri="{FF2B5EF4-FFF2-40B4-BE49-F238E27FC236}">
                <a16:creationId xmlns:a16="http://schemas.microsoft.com/office/drawing/2014/main" xmlns="" id="{00000000-0008-0000-1000-000022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5" name="Oval 60">
            <a:extLst>
              <a:ext uri="{FF2B5EF4-FFF2-40B4-BE49-F238E27FC236}">
                <a16:creationId xmlns:a16="http://schemas.microsoft.com/office/drawing/2014/main" xmlns="" id="{00000000-0008-0000-1000-000023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6" name="Oval 61">
            <a:extLst>
              <a:ext uri="{FF2B5EF4-FFF2-40B4-BE49-F238E27FC236}">
                <a16:creationId xmlns:a16="http://schemas.microsoft.com/office/drawing/2014/main" xmlns="" id="{00000000-0008-0000-1000-000024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7" name="Oval 62">
            <a:extLst>
              <a:ext uri="{FF2B5EF4-FFF2-40B4-BE49-F238E27FC236}">
                <a16:creationId xmlns:a16="http://schemas.microsoft.com/office/drawing/2014/main" xmlns="" id="{00000000-0008-0000-1000-000025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8" name="Oval 63">
            <a:extLst>
              <a:ext uri="{FF2B5EF4-FFF2-40B4-BE49-F238E27FC236}">
                <a16:creationId xmlns:a16="http://schemas.microsoft.com/office/drawing/2014/main" xmlns="" id="{00000000-0008-0000-1000-000026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9" name="Oval 64">
            <a:extLst>
              <a:ext uri="{FF2B5EF4-FFF2-40B4-BE49-F238E27FC236}">
                <a16:creationId xmlns:a16="http://schemas.microsoft.com/office/drawing/2014/main" xmlns="" id="{00000000-0008-0000-1000-000027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40" name="Oval 65">
            <a:extLst>
              <a:ext uri="{FF2B5EF4-FFF2-40B4-BE49-F238E27FC236}">
                <a16:creationId xmlns:a16="http://schemas.microsoft.com/office/drawing/2014/main" xmlns="" id="{00000000-0008-0000-1000-000028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41" name="Oval 66">
            <a:extLst>
              <a:ext uri="{FF2B5EF4-FFF2-40B4-BE49-F238E27FC236}">
                <a16:creationId xmlns:a16="http://schemas.microsoft.com/office/drawing/2014/main" xmlns="" id="{00000000-0008-0000-1000-000029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42" name="Oval 67">
            <a:extLst>
              <a:ext uri="{FF2B5EF4-FFF2-40B4-BE49-F238E27FC236}">
                <a16:creationId xmlns:a16="http://schemas.microsoft.com/office/drawing/2014/main" xmlns="" id="{00000000-0008-0000-1000-00002A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3" name="Oval 68">
            <a:extLst>
              <a:ext uri="{FF2B5EF4-FFF2-40B4-BE49-F238E27FC236}">
                <a16:creationId xmlns:a16="http://schemas.microsoft.com/office/drawing/2014/main" xmlns="" id="{00000000-0008-0000-1000-00002B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4" name="Oval 69">
            <a:extLst>
              <a:ext uri="{FF2B5EF4-FFF2-40B4-BE49-F238E27FC236}">
                <a16:creationId xmlns:a16="http://schemas.microsoft.com/office/drawing/2014/main" xmlns="" id="{00000000-0008-0000-1000-00002C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10</xdr:col>
      <xdr:colOff>104774</xdr:colOff>
      <xdr:row>44</xdr:row>
      <xdr:rowOff>57149</xdr:rowOff>
    </xdr:from>
    <xdr:to>
      <xdr:col>13</xdr:col>
      <xdr:colOff>276225</xdr:colOff>
      <xdr:row>51</xdr:row>
      <xdr:rowOff>9524</xdr:rowOff>
    </xdr:to>
    <xdr:sp macro="" textlink="">
      <xdr:nvSpPr>
        <xdr:cNvPr id="45" name="Rounded Rectangle 44">
          <a:extLst>
            <a:ext uri="{FF2B5EF4-FFF2-40B4-BE49-F238E27FC236}">
              <a16:creationId xmlns:a16="http://schemas.microsoft.com/office/drawing/2014/main" xmlns="" id="{00000000-0008-0000-1000-00002D000000}"/>
            </a:ext>
          </a:extLst>
        </xdr:cNvPr>
        <xdr:cNvSpPr/>
      </xdr:nvSpPr>
      <xdr:spPr>
        <a:xfrm>
          <a:off x="6153149" y="8439149"/>
          <a:ext cx="1704976" cy="1285875"/>
        </a:xfrm>
        <a:prstGeom prst="roundRect">
          <a:avLst/>
        </a:prstGeom>
        <a:noFill/>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endParaRPr lang="en-US" sz="1100"/>
        </a:p>
      </xdr:txBody>
    </xdr:sp>
    <xdr:clientData/>
  </xdr:twoCellAnchor>
  <xdr:oneCellAnchor>
    <xdr:from>
      <xdr:col>14</xdr:col>
      <xdr:colOff>28575</xdr:colOff>
      <xdr:row>9</xdr:row>
      <xdr:rowOff>28575</xdr:rowOff>
    </xdr:from>
    <xdr:ext cx="380999" cy="333375"/>
    <xdr:pic>
      <xdr:nvPicPr>
        <xdr:cNvPr id="46" name="Picture 2">
          <a:hlinkClick xmlns:r="http://schemas.openxmlformats.org/officeDocument/2006/relationships" r:id="rId7"/>
          <a:extLst>
            <a:ext uri="{FF2B5EF4-FFF2-40B4-BE49-F238E27FC236}">
              <a16:creationId xmlns:a16="http://schemas.microsoft.com/office/drawing/2014/main" xmlns="" id="{00000000-0008-0000-1000-00002E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7905750" y="1743075"/>
          <a:ext cx="380999" cy="333375"/>
        </a:xfrm>
        <a:prstGeom prst="rect">
          <a:avLst/>
        </a:prstGeom>
        <a:noFill/>
      </xdr:spPr>
    </xdr:pic>
    <xdr:clientData/>
  </xdr:oneCellAnchor>
  <xdr:oneCellAnchor>
    <xdr:from>
      <xdr:col>14</xdr:col>
      <xdr:colOff>28575</xdr:colOff>
      <xdr:row>18</xdr:row>
      <xdr:rowOff>28575</xdr:rowOff>
    </xdr:from>
    <xdr:ext cx="380999" cy="323850"/>
    <xdr:pic>
      <xdr:nvPicPr>
        <xdr:cNvPr id="47" name="Picture 2">
          <a:extLst>
            <a:ext uri="{FF2B5EF4-FFF2-40B4-BE49-F238E27FC236}">
              <a16:creationId xmlns:a16="http://schemas.microsoft.com/office/drawing/2014/main" xmlns="" id="{00000000-0008-0000-1000-00002F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7905750" y="3457575"/>
          <a:ext cx="380999" cy="323850"/>
        </a:xfrm>
        <a:prstGeom prst="rect">
          <a:avLst/>
        </a:prstGeom>
        <a:noFill/>
      </xdr:spPr>
    </xdr:pic>
    <xdr:clientData/>
  </xdr:oneCellAnchor>
  <xdr:twoCellAnchor>
    <xdr:from>
      <xdr:col>14</xdr:col>
      <xdr:colOff>304800</xdr:colOff>
      <xdr:row>0</xdr:row>
      <xdr:rowOff>0</xdr:rowOff>
    </xdr:from>
    <xdr:to>
      <xdr:col>16</xdr:col>
      <xdr:colOff>523875</xdr:colOff>
      <xdr:row>3</xdr:row>
      <xdr:rowOff>180975</xdr:rowOff>
    </xdr:to>
    <xdr:sp macro="" textlink="">
      <xdr:nvSpPr>
        <xdr:cNvPr id="48" name="Left Arrow 47">
          <a:extLst>
            <a:ext uri="{FF2B5EF4-FFF2-40B4-BE49-F238E27FC236}">
              <a16:creationId xmlns:a16="http://schemas.microsoft.com/office/drawing/2014/main" xmlns="" id="{00000000-0008-0000-1000-000030000000}"/>
            </a:ext>
          </a:extLst>
        </xdr:cNvPr>
        <xdr:cNvSpPr/>
      </xdr:nvSpPr>
      <xdr:spPr>
        <a:xfrm>
          <a:off x="8181975" y="0"/>
          <a:ext cx="1438275" cy="752475"/>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171450</xdr:colOff>
      <xdr:row>6</xdr:row>
      <xdr:rowOff>133350</xdr:rowOff>
    </xdr:from>
    <xdr:to>
      <xdr:col>3</xdr:col>
      <xdr:colOff>19050</xdr:colOff>
      <xdr:row>7</xdr:row>
      <xdr:rowOff>133350</xdr:rowOff>
    </xdr:to>
    <xdr:sp macro="" textlink="">
      <xdr:nvSpPr>
        <xdr:cNvPr id="49" name="Sun 48">
          <a:extLst>
            <a:ext uri="{FF2B5EF4-FFF2-40B4-BE49-F238E27FC236}">
              <a16:creationId xmlns:a16="http://schemas.microsoft.com/office/drawing/2014/main" xmlns="" id="{00000000-0008-0000-1000-000031000000}"/>
            </a:ext>
          </a:extLst>
        </xdr:cNvPr>
        <xdr:cNvSpPr/>
      </xdr:nvSpPr>
      <xdr:spPr>
        <a:xfrm>
          <a:off x="762000" y="1276350"/>
          <a:ext cx="209550" cy="190500"/>
        </a:xfrm>
        <a:prstGeom prst="sun">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6</xdr:col>
      <xdr:colOff>361950</xdr:colOff>
      <xdr:row>6</xdr:row>
      <xdr:rowOff>133350</xdr:rowOff>
    </xdr:from>
    <xdr:to>
      <xdr:col>6</xdr:col>
      <xdr:colOff>571500</xdr:colOff>
      <xdr:row>7</xdr:row>
      <xdr:rowOff>133350</xdr:rowOff>
    </xdr:to>
    <xdr:sp macro="" textlink="">
      <xdr:nvSpPr>
        <xdr:cNvPr id="50" name="Sun 49">
          <a:extLst>
            <a:ext uri="{FF2B5EF4-FFF2-40B4-BE49-F238E27FC236}">
              <a16:creationId xmlns:a16="http://schemas.microsoft.com/office/drawing/2014/main" xmlns="" id="{00000000-0008-0000-1000-000032000000}"/>
            </a:ext>
          </a:extLst>
        </xdr:cNvPr>
        <xdr:cNvSpPr/>
      </xdr:nvSpPr>
      <xdr:spPr>
        <a:xfrm>
          <a:off x="3400425" y="1276350"/>
          <a:ext cx="209550" cy="190500"/>
        </a:xfrm>
        <a:prstGeom prst="sun">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10</xdr:col>
      <xdr:colOff>47625</xdr:colOff>
      <xdr:row>35</xdr:row>
      <xdr:rowOff>9524</xdr:rowOff>
    </xdr:from>
    <xdr:to>
      <xdr:col>14</xdr:col>
      <xdr:colOff>0</xdr:colOff>
      <xdr:row>41</xdr:row>
      <xdr:rowOff>0</xdr:rowOff>
    </xdr:to>
    <xdr:sp macro="" textlink="">
      <xdr:nvSpPr>
        <xdr:cNvPr id="52" name="Rounded Rectangle 51">
          <a:extLst>
            <a:ext uri="{FF2B5EF4-FFF2-40B4-BE49-F238E27FC236}">
              <a16:creationId xmlns:a16="http://schemas.microsoft.com/office/drawing/2014/main" xmlns="" id="{00000000-0008-0000-1000-000034000000}"/>
            </a:ext>
          </a:extLst>
        </xdr:cNvPr>
        <xdr:cNvSpPr/>
      </xdr:nvSpPr>
      <xdr:spPr>
        <a:xfrm>
          <a:off x="6096000" y="6677024"/>
          <a:ext cx="1781175" cy="1133476"/>
        </a:xfrm>
        <a:prstGeom prst="roundRect">
          <a:avLst/>
        </a:prstGeom>
        <a:noFill/>
        <a:ln w="19050"/>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10</xdr:col>
      <xdr:colOff>114299</xdr:colOff>
      <xdr:row>38</xdr:row>
      <xdr:rowOff>66675</xdr:rowOff>
    </xdr:from>
    <xdr:ext cx="419101" cy="439615"/>
    <xdr:pic>
      <xdr:nvPicPr>
        <xdr:cNvPr id="53" name="Picture 52">
          <a:extLst>
            <a:ext uri="{FF2B5EF4-FFF2-40B4-BE49-F238E27FC236}">
              <a16:creationId xmlns:a16="http://schemas.microsoft.com/office/drawing/2014/main" xmlns="" id="{00000000-0008-0000-1000-00003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6162674" y="7305675"/>
          <a:ext cx="419101" cy="439615"/>
        </a:xfrm>
        <a:prstGeom prst="rect">
          <a:avLst/>
        </a:prstGeom>
      </xdr:spPr>
    </xdr:pic>
    <xdr:clientData/>
  </xdr:oneCellAnchor>
  <xdr:twoCellAnchor editAs="oneCell">
    <xdr:from>
      <xdr:col>1</xdr:col>
      <xdr:colOff>85725</xdr:colOff>
      <xdr:row>55</xdr:row>
      <xdr:rowOff>57150</xdr:rowOff>
    </xdr:from>
    <xdr:to>
      <xdr:col>4</xdr:col>
      <xdr:colOff>495300</xdr:colOff>
      <xdr:row>62</xdr:row>
      <xdr:rowOff>0</xdr:rowOff>
    </xdr:to>
    <xdr:pic>
      <xdr:nvPicPr>
        <xdr:cNvPr id="54" name="Picture 53">
          <a:extLst>
            <a:ext uri="{FF2B5EF4-FFF2-40B4-BE49-F238E27FC236}">
              <a16:creationId xmlns:a16="http://schemas.microsoft.com/office/drawing/2014/main" xmlns="" id="{00000000-0008-0000-1000-00003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428625" y="9296400"/>
          <a:ext cx="1666875" cy="1171575"/>
        </a:xfrm>
        <a:prstGeom prst="ellipse">
          <a:avLst/>
        </a:prstGeom>
        <a:ln>
          <a:noFill/>
        </a:ln>
        <a:effectLst>
          <a:softEdge rad="112500"/>
        </a:effec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114301</xdr:colOff>
      <xdr:row>1</xdr:row>
      <xdr:rowOff>19049</xdr:rowOff>
    </xdr:from>
    <xdr:to>
      <xdr:col>4</xdr:col>
      <xdr:colOff>57151</xdr:colOff>
      <xdr:row>5</xdr:row>
      <xdr:rowOff>76200</xdr:rowOff>
    </xdr:to>
    <xdr:pic>
      <xdr:nvPicPr>
        <xdr:cNvPr id="2" name="image00.jpg">
          <a:extLst>
            <a:ext uri="{FF2B5EF4-FFF2-40B4-BE49-F238E27FC236}">
              <a16:creationId xmlns:a16="http://schemas.microsoft.com/office/drawing/2014/main" xmlns="" id="{00000000-0008-0000-11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301" y="209549"/>
          <a:ext cx="1200150" cy="819151"/>
        </a:xfrm>
        <a:prstGeom prst="rect">
          <a:avLst/>
        </a:prstGeom>
        <a:noFill/>
        <a:ln w="9525">
          <a:noFill/>
          <a:round/>
          <a:headEnd/>
          <a:tailEnd/>
        </a:ln>
      </xdr:spPr>
    </xdr:pic>
    <xdr:clientData/>
  </xdr:twoCellAnchor>
  <xdr:twoCellAnchor>
    <xdr:from>
      <xdr:col>1</xdr:col>
      <xdr:colOff>238125</xdr:colOff>
      <xdr:row>8</xdr:row>
      <xdr:rowOff>133349</xdr:rowOff>
    </xdr:from>
    <xdr:to>
      <xdr:col>6</xdr:col>
      <xdr:colOff>752475</xdr:colOff>
      <xdr:row>13</xdr:row>
      <xdr:rowOff>0</xdr:rowOff>
    </xdr:to>
    <xdr:sp macro="" textlink="">
      <xdr:nvSpPr>
        <xdr:cNvPr id="3" name="Rounded Rectangle 2">
          <a:extLst>
            <a:ext uri="{FF2B5EF4-FFF2-40B4-BE49-F238E27FC236}">
              <a16:creationId xmlns:a16="http://schemas.microsoft.com/office/drawing/2014/main" xmlns="" id="{00000000-0008-0000-1100-000003000000}"/>
            </a:ext>
          </a:extLst>
        </xdr:cNvPr>
        <xdr:cNvSpPr/>
      </xdr:nvSpPr>
      <xdr:spPr bwMode="auto">
        <a:xfrm>
          <a:off x="238125" y="1657349"/>
          <a:ext cx="3209925" cy="819151"/>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7</xdr:col>
      <xdr:colOff>133350</xdr:colOff>
      <xdr:row>8</xdr:row>
      <xdr:rowOff>85725</xdr:rowOff>
    </xdr:from>
    <xdr:to>
      <xdr:col>8</xdr:col>
      <xdr:colOff>638175</xdr:colOff>
      <xdr:row>13</xdr:row>
      <xdr:rowOff>47625</xdr:rowOff>
    </xdr:to>
    <xdr:sp macro="" textlink="">
      <xdr:nvSpPr>
        <xdr:cNvPr id="4" name="16-Point Star 3">
          <a:extLst>
            <a:ext uri="{FF2B5EF4-FFF2-40B4-BE49-F238E27FC236}">
              <a16:creationId xmlns:a16="http://schemas.microsoft.com/office/drawing/2014/main" xmlns="" id="{00000000-0008-0000-1100-000004000000}"/>
            </a:ext>
          </a:extLst>
        </xdr:cNvPr>
        <xdr:cNvSpPr/>
      </xdr:nvSpPr>
      <xdr:spPr bwMode="auto">
        <a:xfrm>
          <a:off x="3600450" y="1609725"/>
          <a:ext cx="1228725" cy="914400"/>
        </a:xfrm>
        <a:prstGeom prst="star16">
          <a:avLst/>
        </a:prstGeom>
        <a:ln>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18288" tIns="0" rIns="0" bIns="0" rtlCol="0" anchor="ctr" upright="1"/>
        <a:lstStyle/>
        <a:p>
          <a:pPr algn="ctr"/>
          <a:r>
            <a:rPr lang="en-US" sz="1200" b="1">
              <a:solidFill>
                <a:srgbClr val="FF0000"/>
              </a:solidFill>
              <a:latin typeface="+mn-lt"/>
              <a:ea typeface="+mn-ea"/>
              <a:cs typeface="+mn-cs"/>
            </a:rPr>
            <a:t>WITH        </a:t>
          </a:r>
          <a:r>
            <a:rPr lang="en-US" sz="1200" b="1" baseline="0">
              <a:solidFill>
                <a:srgbClr val="FF0000"/>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8</xdr:col>
      <xdr:colOff>676274</xdr:colOff>
      <xdr:row>5</xdr:row>
      <xdr:rowOff>161925</xdr:rowOff>
    </xdr:from>
    <xdr:to>
      <xdr:col>13</xdr:col>
      <xdr:colOff>28575</xdr:colOff>
      <xdr:row>10</xdr:row>
      <xdr:rowOff>28574</xdr:rowOff>
    </xdr:to>
    <xdr:sp macro="" textlink="">
      <xdr:nvSpPr>
        <xdr:cNvPr id="5" name="Rounded Rectangle 4">
          <a:extLst>
            <a:ext uri="{FF2B5EF4-FFF2-40B4-BE49-F238E27FC236}">
              <a16:creationId xmlns:a16="http://schemas.microsoft.com/office/drawing/2014/main" xmlns="" id="{00000000-0008-0000-1100-000005000000}"/>
            </a:ext>
          </a:extLst>
        </xdr:cNvPr>
        <xdr:cNvSpPr/>
      </xdr:nvSpPr>
      <xdr:spPr>
        <a:xfrm>
          <a:off x="4867274" y="1114425"/>
          <a:ext cx="2400301" cy="819149"/>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oneCellAnchor>
    <xdr:from>
      <xdr:col>10</xdr:col>
      <xdr:colOff>47625</xdr:colOff>
      <xdr:row>21</xdr:row>
      <xdr:rowOff>142875</xdr:rowOff>
    </xdr:from>
    <xdr:ext cx="1762125" cy="2390775"/>
    <xdr:pic>
      <xdr:nvPicPr>
        <xdr:cNvPr id="6" name="Picture 2">
          <a:extLst>
            <a:ext uri="{FF2B5EF4-FFF2-40B4-BE49-F238E27FC236}">
              <a16:creationId xmlns:a16="http://schemas.microsoft.com/office/drawing/2014/main" xmlns="" id="{00000000-0008-0000-1100-000006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753100" y="4143375"/>
          <a:ext cx="1762125" cy="2390775"/>
        </a:xfrm>
        <a:prstGeom prst="rect">
          <a:avLst/>
        </a:prstGeom>
        <a:noFill/>
      </xdr:spPr>
    </xdr:pic>
    <xdr:clientData/>
  </xdr:oneCellAnchor>
  <xdr:twoCellAnchor>
    <xdr:from>
      <xdr:col>9</xdr:col>
      <xdr:colOff>38101</xdr:colOff>
      <xdr:row>53</xdr:row>
      <xdr:rowOff>161925</xdr:rowOff>
    </xdr:from>
    <xdr:to>
      <xdr:col>13</xdr:col>
      <xdr:colOff>238126</xdr:colOff>
      <xdr:row>61</xdr:row>
      <xdr:rowOff>0</xdr:rowOff>
    </xdr:to>
    <xdr:sp macro="" textlink="">
      <xdr:nvSpPr>
        <xdr:cNvPr id="7" name="Round Diagonal Corner Rectangle 6">
          <a:extLst>
            <a:ext uri="{FF2B5EF4-FFF2-40B4-BE49-F238E27FC236}">
              <a16:creationId xmlns:a16="http://schemas.microsoft.com/office/drawing/2014/main" xmlns="" id="{00000000-0008-0000-1100-000007000000}"/>
            </a:ext>
          </a:extLst>
        </xdr:cNvPr>
        <xdr:cNvSpPr/>
      </xdr:nvSpPr>
      <xdr:spPr>
        <a:xfrm>
          <a:off x="4924426" y="9086850"/>
          <a:ext cx="2552700" cy="1257300"/>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9</xdr:col>
      <xdr:colOff>190500</xdr:colOff>
      <xdr:row>54</xdr:row>
      <xdr:rowOff>161925</xdr:rowOff>
    </xdr:from>
    <xdr:to>
      <xdr:col>9</xdr:col>
      <xdr:colOff>581025</xdr:colOff>
      <xdr:row>59</xdr:row>
      <xdr:rowOff>142875</xdr:rowOff>
    </xdr:to>
    <xdr:grpSp>
      <xdr:nvGrpSpPr>
        <xdr:cNvPr id="8" name="Group 38">
          <a:extLst>
            <a:ext uri="{FF2B5EF4-FFF2-40B4-BE49-F238E27FC236}">
              <a16:creationId xmlns:a16="http://schemas.microsoft.com/office/drawing/2014/main" xmlns="" id="{00000000-0008-0000-1100-000008000000}"/>
            </a:ext>
          </a:extLst>
        </xdr:cNvPr>
        <xdr:cNvGrpSpPr>
          <a:grpSpLocks/>
        </xdr:cNvGrpSpPr>
      </xdr:nvGrpSpPr>
      <xdr:grpSpPr bwMode="auto">
        <a:xfrm>
          <a:off x="5076825" y="9258300"/>
          <a:ext cx="390525" cy="895350"/>
          <a:chOff x="112842675" y="108899325"/>
          <a:chExt cx="762763" cy="1285875"/>
        </a:xfrm>
      </xdr:grpSpPr>
      <xdr:sp macro="" textlink="">
        <xdr:nvSpPr>
          <xdr:cNvPr id="9" name="Oval 39">
            <a:extLst>
              <a:ext uri="{FF2B5EF4-FFF2-40B4-BE49-F238E27FC236}">
                <a16:creationId xmlns:a16="http://schemas.microsoft.com/office/drawing/2014/main" xmlns="" id="{00000000-0008-0000-1100-000009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0" name="Oval 40">
            <a:extLst>
              <a:ext uri="{FF2B5EF4-FFF2-40B4-BE49-F238E27FC236}">
                <a16:creationId xmlns:a16="http://schemas.microsoft.com/office/drawing/2014/main" xmlns="" id="{00000000-0008-0000-1100-00000A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1" name="Oval 41">
            <a:extLst>
              <a:ext uri="{FF2B5EF4-FFF2-40B4-BE49-F238E27FC236}">
                <a16:creationId xmlns:a16="http://schemas.microsoft.com/office/drawing/2014/main" xmlns="" id="{00000000-0008-0000-1100-00000B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2" name="Oval 42">
            <a:extLst>
              <a:ext uri="{FF2B5EF4-FFF2-40B4-BE49-F238E27FC236}">
                <a16:creationId xmlns:a16="http://schemas.microsoft.com/office/drawing/2014/main" xmlns="" id="{00000000-0008-0000-1100-00000C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3" name="Oval 43">
            <a:extLst>
              <a:ext uri="{FF2B5EF4-FFF2-40B4-BE49-F238E27FC236}">
                <a16:creationId xmlns:a16="http://schemas.microsoft.com/office/drawing/2014/main" xmlns="" id="{00000000-0008-0000-1100-00000D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4" name="Oval 44">
            <a:extLst>
              <a:ext uri="{FF2B5EF4-FFF2-40B4-BE49-F238E27FC236}">
                <a16:creationId xmlns:a16="http://schemas.microsoft.com/office/drawing/2014/main" xmlns="" id="{00000000-0008-0000-1100-00000E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5" name="Oval 45">
            <a:extLst>
              <a:ext uri="{FF2B5EF4-FFF2-40B4-BE49-F238E27FC236}">
                <a16:creationId xmlns:a16="http://schemas.microsoft.com/office/drawing/2014/main" xmlns="" id="{00000000-0008-0000-1100-00000F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6" name="Oval 46">
            <a:extLst>
              <a:ext uri="{FF2B5EF4-FFF2-40B4-BE49-F238E27FC236}">
                <a16:creationId xmlns:a16="http://schemas.microsoft.com/office/drawing/2014/main" xmlns="" id="{00000000-0008-0000-1100-000010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7" name="Oval 47">
            <a:extLst>
              <a:ext uri="{FF2B5EF4-FFF2-40B4-BE49-F238E27FC236}">
                <a16:creationId xmlns:a16="http://schemas.microsoft.com/office/drawing/2014/main" xmlns="" id="{00000000-0008-0000-1100-000011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18" name="Oval 48">
            <a:extLst>
              <a:ext uri="{FF2B5EF4-FFF2-40B4-BE49-F238E27FC236}">
                <a16:creationId xmlns:a16="http://schemas.microsoft.com/office/drawing/2014/main" xmlns="" id="{00000000-0008-0000-1100-000012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19" name="Oval 49">
            <a:extLst>
              <a:ext uri="{FF2B5EF4-FFF2-40B4-BE49-F238E27FC236}">
                <a16:creationId xmlns:a16="http://schemas.microsoft.com/office/drawing/2014/main" xmlns="" id="{00000000-0008-0000-1100-000013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0" name="Oval 50">
            <a:extLst>
              <a:ext uri="{FF2B5EF4-FFF2-40B4-BE49-F238E27FC236}">
                <a16:creationId xmlns:a16="http://schemas.microsoft.com/office/drawing/2014/main" xmlns="" id="{00000000-0008-0000-1100-000014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1" name="Oval 51">
            <a:extLst>
              <a:ext uri="{FF2B5EF4-FFF2-40B4-BE49-F238E27FC236}">
                <a16:creationId xmlns:a16="http://schemas.microsoft.com/office/drawing/2014/main" xmlns="" id="{00000000-0008-0000-1100-000015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2" name="Oval 52">
            <a:extLst>
              <a:ext uri="{FF2B5EF4-FFF2-40B4-BE49-F238E27FC236}">
                <a16:creationId xmlns:a16="http://schemas.microsoft.com/office/drawing/2014/main" xmlns="" id="{00000000-0008-0000-1100-000016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3" name="Oval 53">
            <a:extLst>
              <a:ext uri="{FF2B5EF4-FFF2-40B4-BE49-F238E27FC236}">
                <a16:creationId xmlns:a16="http://schemas.microsoft.com/office/drawing/2014/main" xmlns="" id="{00000000-0008-0000-1100-000017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4" name="Oval 54">
            <a:extLst>
              <a:ext uri="{FF2B5EF4-FFF2-40B4-BE49-F238E27FC236}">
                <a16:creationId xmlns:a16="http://schemas.microsoft.com/office/drawing/2014/main" xmlns="" id="{00000000-0008-0000-1100-000018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5" name="Oval 55">
            <a:extLst>
              <a:ext uri="{FF2B5EF4-FFF2-40B4-BE49-F238E27FC236}">
                <a16:creationId xmlns:a16="http://schemas.microsoft.com/office/drawing/2014/main" xmlns="" id="{00000000-0008-0000-1100-000019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6" name="Oval 56">
            <a:extLst>
              <a:ext uri="{FF2B5EF4-FFF2-40B4-BE49-F238E27FC236}">
                <a16:creationId xmlns:a16="http://schemas.microsoft.com/office/drawing/2014/main" xmlns="" id="{00000000-0008-0000-1100-00001A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7" name="Oval 57">
            <a:extLst>
              <a:ext uri="{FF2B5EF4-FFF2-40B4-BE49-F238E27FC236}">
                <a16:creationId xmlns:a16="http://schemas.microsoft.com/office/drawing/2014/main" xmlns="" id="{00000000-0008-0000-1100-00001B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28" name="Oval 58">
            <a:extLst>
              <a:ext uri="{FF2B5EF4-FFF2-40B4-BE49-F238E27FC236}">
                <a16:creationId xmlns:a16="http://schemas.microsoft.com/office/drawing/2014/main" xmlns="" id="{00000000-0008-0000-1100-00001C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29" name="Oval 59">
            <a:extLst>
              <a:ext uri="{FF2B5EF4-FFF2-40B4-BE49-F238E27FC236}">
                <a16:creationId xmlns:a16="http://schemas.microsoft.com/office/drawing/2014/main" xmlns="" id="{00000000-0008-0000-1100-00001D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0" name="Oval 60">
            <a:extLst>
              <a:ext uri="{FF2B5EF4-FFF2-40B4-BE49-F238E27FC236}">
                <a16:creationId xmlns:a16="http://schemas.microsoft.com/office/drawing/2014/main" xmlns="" id="{00000000-0008-0000-1100-00001E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1" name="Oval 61">
            <a:extLst>
              <a:ext uri="{FF2B5EF4-FFF2-40B4-BE49-F238E27FC236}">
                <a16:creationId xmlns:a16="http://schemas.microsoft.com/office/drawing/2014/main" xmlns="" id="{00000000-0008-0000-1100-00001F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2" name="Oval 62">
            <a:extLst>
              <a:ext uri="{FF2B5EF4-FFF2-40B4-BE49-F238E27FC236}">
                <a16:creationId xmlns:a16="http://schemas.microsoft.com/office/drawing/2014/main" xmlns="" id="{00000000-0008-0000-1100-000020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3" name="Oval 63">
            <a:extLst>
              <a:ext uri="{FF2B5EF4-FFF2-40B4-BE49-F238E27FC236}">
                <a16:creationId xmlns:a16="http://schemas.microsoft.com/office/drawing/2014/main" xmlns="" id="{00000000-0008-0000-1100-000021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4" name="Oval 64">
            <a:extLst>
              <a:ext uri="{FF2B5EF4-FFF2-40B4-BE49-F238E27FC236}">
                <a16:creationId xmlns:a16="http://schemas.microsoft.com/office/drawing/2014/main" xmlns="" id="{00000000-0008-0000-1100-000022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5" name="Oval 65">
            <a:extLst>
              <a:ext uri="{FF2B5EF4-FFF2-40B4-BE49-F238E27FC236}">
                <a16:creationId xmlns:a16="http://schemas.microsoft.com/office/drawing/2014/main" xmlns="" id="{00000000-0008-0000-1100-000023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6" name="Oval 66">
            <a:extLst>
              <a:ext uri="{FF2B5EF4-FFF2-40B4-BE49-F238E27FC236}">
                <a16:creationId xmlns:a16="http://schemas.microsoft.com/office/drawing/2014/main" xmlns="" id="{00000000-0008-0000-1100-000024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7" name="Oval 67">
            <a:extLst>
              <a:ext uri="{FF2B5EF4-FFF2-40B4-BE49-F238E27FC236}">
                <a16:creationId xmlns:a16="http://schemas.microsoft.com/office/drawing/2014/main" xmlns="" id="{00000000-0008-0000-1100-000025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38" name="Oval 68">
            <a:extLst>
              <a:ext uri="{FF2B5EF4-FFF2-40B4-BE49-F238E27FC236}">
                <a16:creationId xmlns:a16="http://schemas.microsoft.com/office/drawing/2014/main" xmlns="" id="{00000000-0008-0000-1100-000026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39" name="Oval 69">
            <a:extLst>
              <a:ext uri="{FF2B5EF4-FFF2-40B4-BE49-F238E27FC236}">
                <a16:creationId xmlns:a16="http://schemas.microsoft.com/office/drawing/2014/main" xmlns="" id="{00000000-0008-0000-1100-000027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9</xdr:col>
      <xdr:colOff>800100</xdr:colOff>
      <xdr:row>14</xdr:row>
      <xdr:rowOff>180975</xdr:rowOff>
    </xdr:from>
    <xdr:to>
      <xdr:col>12</xdr:col>
      <xdr:colOff>57150</xdr:colOff>
      <xdr:row>20</xdr:row>
      <xdr:rowOff>161925</xdr:rowOff>
    </xdr:to>
    <xdr:sp macro="" textlink="">
      <xdr:nvSpPr>
        <xdr:cNvPr id="40" name="Oval 39">
          <a:extLst>
            <a:ext uri="{FF2B5EF4-FFF2-40B4-BE49-F238E27FC236}">
              <a16:creationId xmlns:a16="http://schemas.microsoft.com/office/drawing/2014/main" xmlns="" id="{00000000-0008-0000-1100-000028000000}"/>
            </a:ext>
          </a:extLst>
        </xdr:cNvPr>
        <xdr:cNvSpPr/>
      </xdr:nvSpPr>
      <xdr:spPr>
        <a:xfrm>
          <a:off x="5686425" y="2676525"/>
          <a:ext cx="1076325" cy="933450"/>
        </a:xfrm>
        <a:prstGeom prst="ellipse">
          <a:avLst/>
        </a:prstGeom>
        <a:noFill/>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9</xdr:col>
      <xdr:colOff>66676</xdr:colOff>
      <xdr:row>13</xdr:row>
      <xdr:rowOff>152399</xdr:rowOff>
    </xdr:from>
    <xdr:ext cx="695324" cy="885825"/>
    <xdr:pic>
      <xdr:nvPicPr>
        <xdr:cNvPr id="41" name="Picture 1" descr="savings image க்கான பட முடிவு">
          <a:extLst>
            <a:ext uri="{FF2B5EF4-FFF2-40B4-BE49-F238E27FC236}">
              <a16:creationId xmlns:a16="http://schemas.microsoft.com/office/drawing/2014/main" xmlns="" id="{00000000-0008-0000-1100-000029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953001" y="2466974"/>
          <a:ext cx="695324" cy="885825"/>
        </a:xfrm>
        <a:prstGeom prst="rect">
          <a:avLst/>
        </a:prstGeom>
        <a:noFill/>
      </xdr:spPr>
    </xdr:pic>
    <xdr:clientData/>
  </xdr:oneCellAnchor>
  <xdr:oneCellAnchor>
    <xdr:from>
      <xdr:col>8</xdr:col>
      <xdr:colOff>514351</xdr:colOff>
      <xdr:row>21</xdr:row>
      <xdr:rowOff>133350</xdr:rowOff>
    </xdr:from>
    <xdr:ext cx="1066800" cy="771525"/>
    <xdr:pic>
      <xdr:nvPicPr>
        <xdr:cNvPr id="42" name="Picture 4">
          <a:extLst>
            <a:ext uri="{FF2B5EF4-FFF2-40B4-BE49-F238E27FC236}">
              <a16:creationId xmlns:a16="http://schemas.microsoft.com/office/drawing/2014/main" xmlns="" id="{00000000-0008-0000-1100-00002A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705351" y="3762375"/>
          <a:ext cx="1066800" cy="771525"/>
        </a:xfrm>
        <a:prstGeom prst="ellipse">
          <a:avLst/>
        </a:prstGeom>
        <a:ln>
          <a:noFill/>
        </a:ln>
        <a:effectLst>
          <a:softEdge rad="112500"/>
        </a:effectLst>
      </xdr:spPr>
    </xdr:pic>
    <xdr:clientData/>
  </xdr:oneCellAnchor>
  <xdr:twoCellAnchor>
    <xdr:from>
      <xdr:col>4</xdr:col>
      <xdr:colOff>628650</xdr:colOff>
      <xdr:row>1</xdr:row>
      <xdr:rowOff>28575</xdr:rowOff>
    </xdr:from>
    <xdr:to>
      <xdr:col>7</xdr:col>
      <xdr:colOff>638175</xdr:colOff>
      <xdr:row>2</xdr:row>
      <xdr:rowOff>104775</xdr:rowOff>
    </xdr:to>
    <xdr:pic>
      <xdr:nvPicPr>
        <xdr:cNvPr id="43" name="Picture 42">
          <a:extLst>
            <a:ext uri="{FF2B5EF4-FFF2-40B4-BE49-F238E27FC236}">
              <a16:creationId xmlns:a16="http://schemas.microsoft.com/office/drawing/2014/main" xmlns="" id="{00000000-0008-0000-1100-00002B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885950" y="219075"/>
          <a:ext cx="2219325" cy="266700"/>
        </a:xfrm>
        <a:prstGeom prst="rect">
          <a:avLst/>
        </a:prstGeom>
        <a:noFill/>
        <a:ln w="9525">
          <a:noFill/>
          <a:round/>
          <a:headEnd/>
          <a:tailEnd/>
        </a:ln>
        <a:effectLst/>
      </xdr:spPr>
    </xdr:pic>
    <xdr:clientData/>
  </xdr:twoCellAnchor>
  <xdr:twoCellAnchor>
    <xdr:from>
      <xdr:col>3</xdr:col>
      <xdr:colOff>619125</xdr:colOff>
      <xdr:row>2</xdr:row>
      <xdr:rowOff>95250</xdr:rowOff>
    </xdr:from>
    <xdr:to>
      <xdr:col>10</xdr:col>
      <xdr:colOff>9525</xdr:colOff>
      <xdr:row>4</xdr:row>
      <xdr:rowOff>104775</xdr:rowOff>
    </xdr:to>
    <xdr:pic>
      <xdr:nvPicPr>
        <xdr:cNvPr id="44" name="Picture 43">
          <a:extLst>
            <a:ext uri="{FF2B5EF4-FFF2-40B4-BE49-F238E27FC236}">
              <a16:creationId xmlns:a16="http://schemas.microsoft.com/office/drawing/2014/main" xmlns="" id="{00000000-0008-0000-1100-00002C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228725" y="476250"/>
          <a:ext cx="4486275" cy="390525"/>
        </a:xfrm>
        <a:prstGeom prst="rect">
          <a:avLst/>
        </a:prstGeom>
        <a:noFill/>
        <a:ln w="9525">
          <a:noFill/>
          <a:round/>
          <a:headEnd/>
          <a:tailEnd/>
        </a:ln>
        <a:effectLst/>
      </xdr:spPr>
    </xdr:pic>
    <xdr:clientData/>
  </xdr:twoCellAnchor>
  <xdr:twoCellAnchor>
    <xdr:from>
      <xdr:col>10</xdr:col>
      <xdr:colOff>95249</xdr:colOff>
      <xdr:row>44</xdr:row>
      <xdr:rowOff>133349</xdr:rowOff>
    </xdr:from>
    <xdr:to>
      <xdr:col>13</xdr:col>
      <xdr:colOff>152399</xdr:colOff>
      <xdr:row>51</xdr:row>
      <xdr:rowOff>104774</xdr:rowOff>
    </xdr:to>
    <xdr:sp macro="" textlink="">
      <xdr:nvSpPr>
        <xdr:cNvPr id="45" name="Rounded Rectangle 44">
          <a:extLst>
            <a:ext uri="{FF2B5EF4-FFF2-40B4-BE49-F238E27FC236}">
              <a16:creationId xmlns:a16="http://schemas.microsoft.com/office/drawing/2014/main" xmlns="" id="{00000000-0008-0000-1100-00002D000000}"/>
            </a:ext>
          </a:extLst>
        </xdr:cNvPr>
        <xdr:cNvSpPr/>
      </xdr:nvSpPr>
      <xdr:spPr>
        <a:xfrm>
          <a:off x="5800724" y="8515349"/>
          <a:ext cx="1590675" cy="1304925"/>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14</xdr:col>
      <xdr:colOff>28575</xdr:colOff>
      <xdr:row>8</xdr:row>
      <xdr:rowOff>28575</xdr:rowOff>
    </xdr:from>
    <xdr:ext cx="380999" cy="333375"/>
    <xdr:pic>
      <xdr:nvPicPr>
        <xdr:cNvPr id="46" name="Picture 2">
          <a:hlinkClick xmlns:r="http://schemas.openxmlformats.org/officeDocument/2006/relationships" r:id="rId7"/>
          <a:extLst>
            <a:ext uri="{FF2B5EF4-FFF2-40B4-BE49-F238E27FC236}">
              <a16:creationId xmlns:a16="http://schemas.microsoft.com/office/drawing/2014/main" xmlns="" id="{00000000-0008-0000-1100-00002E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7562850" y="1552575"/>
          <a:ext cx="380999" cy="333375"/>
        </a:xfrm>
        <a:prstGeom prst="rect">
          <a:avLst/>
        </a:prstGeom>
        <a:noFill/>
      </xdr:spPr>
    </xdr:pic>
    <xdr:clientData/>
  </xdr:oneCellAnchor>
  <xdr:oneCellAnchor>
    <xdr:from>
      <xdr:col>14</xdr:col>
      <xdr:colOff>28575</xdr:colOff>
      <xdr:row>15</xdr:row>
      <xdr:rowOff>28575</xdr:rowOff>
    </xdr:from>
    <xdr:ext cx="380999" cy="295275"/>
    <xdr:pic>
      <xdr:nvPicPr>
        <xdr:cNvPr id="47" name="Picture 2">
          <a:extLst>
            <a:ext uri="{FF2B5EF4-FFF2-40B4-BE49-F238E27FC236}">
              <a16:creationId xmlns:a16="http://schemas.microsoft.com/office/drawing/2014/main" xmlns="" id="{00000000-0008-0000-1100-00002F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7562850" y="2886075"/>
          <a:ext cx="380999" cy="295275"/>
        </a:xfrm>
        <a:prstGeom prst="rect">
          <a:avLst/>
        </a:prstGeom>
        <a:noFill/>
      </xdr:spPr>
    </xdr:pic>
    <xdr:clientData/>
  </xdr:oneCellAnchor>
  <xdr:twoCellAnchor>
    <xdr:from>
      <xdr:col>14</xdr:col>
      <xdr:colOff>238125</xdr:colOff>
      <xdr:row>0</xdr:row>
      <xdr:rowOff>19050</xdr:rowOff>
    </xdr:from>
    <xdr:to>
      <xdr:col>16</xdr:col>
      <xdr:colOff>457200</xdr:colOff>
      <xdr:row>4</xdr:row>
      <xdr:rowOff>114300</xdr:rowOff>
    </xdr:to>
    <xdr:sp macro="" textlink="">
      <xdr:nvSpPr>
        <xdr:cNvPr id="48" name="Left Arrow 47">
          <a:extLst>
            <a:ext uri="{FF2B5EF4-FFF2-40B4-BE49-F238E27FC236}">
              <a16:creationId xmlns:a16="http://schemas.microsoft.com/office/drawing/2014/main" xmlns="" id="{00000000-0008-0000-1100-000030000000}"/>
            </a:ext>
          </a:extLst>
        </xdr:cNvPr>
        <xdr:cNvSpPr/>
      </xdr:nvSpPr>
      <xdr:spPr>
        <a:xfrm>
          <a:off x="7772400" y="19050"/>
          <a:ext cx="1438275" cy="8572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104775</xdr:colOff>
      <xdr:row>9</xdr:row>
      <xdr:rowOff>114300</xdr:rowOff>
    </xdr:from>
    <xdr:to>
      <xdr:col>2</xdr:col>
      <xdr:colOff>266700</xdr:colOff>
      <xdr:row>10</xdr:row>
      <xdr:rowOff>76200</xdr:rowOff>
    </xdr:to>
    <xdr:sp macro="" textlink="">
      <xdr:nvSpPr>
        <xdr:cNvPr id="49" name="5-Point Star 48">
          <a:extLst>
            <a:ext uri="{FF2B5EF4-FFF2-40B4-BE49-F238E27FC236}">
              <a16:creationId xmlns:a16="http://schemas.microsoft.com/office/drawing/2014/main" xmlns="" id="{00000000-0008-0000-1100-000031000000}"/>
            </a:ext>
          </a:extLst>
        </xdr:cNvPr>
        <xdr:cNvSpPr/>
      </xdr:nvSpPr>
      <xdr:spPr>
        <a:xfrm>
          <a:off x="352425" y="1828800"/>
          <a:ext cx="161925" cy="152400"/>
        </a:xfrm>
        <a:prstGeom prst="star5">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endParaRPr lang="en-US" sz="1100"/>
        </a:p>
      </xdr:txBody>
    </xdr:sp>
    <xdr:clientData/>
  </xdr:twoCellAnchor>
  <xdr:twoCellAnchor>
    <xdr:from>
      <xdr:col>6</xdr:col>
      <xdr:colOff>523875</xdr:colOff>
      <xdr:row>9</xdr:row>
      <xdr:rowOff>123825</xdr:rowOff>
    </xdr:from>
    <xdr:to>
      <xdr:col>6</xdr:col>
      <xdr:colOff>685800</xdr:colOff>
      <xdr:row>10</xdr:row>
      <xdr:rowOff>85725</xdr:rowOff>
    </xdr:to>
    <xdr:sp macro="" textlink="">
      <xdr:nvSpPr>
        <xdr:cNvPr id="50" name="5-Point Star 49">
          <a:extLst>
            <a:ext uri="{FF2B5EF4-FFF2-40B4-BE49-F238E27FC236}">
              <a16:creationId xmlns:a16="http://schemas.microsoft.com/office/drawing/2014/main" xmlns="" id="{00000000-0008-0000-1100-000032000000}"/>
            </a:ext>
          </a:extLst>
        </xdr:cNvPr>
        <xdr:cNvSpPr/>
      </xdr:nvSpPr>
      <xdr:spPr>
        <a:xfrm>
          <a:off x="3219450" y="1838325"/>
          <a:ext cx="161925" cy="152400"/>
        </a:xfrm>
        <a:prstGeom prst="star5">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endParaRPr lang="en-US" sz="1100"/>
        </a:p>
      </xdr:txBody>
    </xdr:sp>
    <xdr:clientData/>
  </xdr:twoCellAnchor>
  <xdr:twoCellAnchor>
    <xdr:from>
      <xdr:col>10</xdr:col>
      <xdr:colOff>47625</xdr:colOff>
      <xdr:row>37</xdr:row>
      <xdr:rowOff>9524</xdr:rowOff>
    </xdr:from>
    <xdr:to>
      <xdr:col>14</xdr:col>
      <xdr:colOff>0</xdr:colOff>
      <xdr:row>43</xdr:row>
      <xdr:rowOff>0</xdr:rowOff>
    </xdr:to>
    <xdr:sp macro="" textlink="">
      <xdr:nvSpPr>
        <xdr:cNvPr id="52" name="Rounded Rectangle 51">
          <a:extLst>
            <a:ext uri="{FF2B5EF4-FFF2-40B4-BE49-F238E27FC236}">
              <a16:creationId xmlns:a16="http://schemas.microsoft.com/office/drawing/2014/main" xmlns="" id="{00000000-0008-0000-1100-000034000000}"/>
            </a:ext>
          </a:extLst>
        </xdr:cNvPr>
        <xdr:cNvSpPr/>
      </xdr:nvSpPr>
      <xdr:spPr>
        <a:xfrm>
          <a:off x="5753100" y="7058024"/>
          <a:ext cx="1781175" cy="1133476"/>
        </a:xfrm>
        <a:prstGeom prst="roundRect">
          <a:avLst/>
        </a:prstGeom>
        <a:noFill/>
        <a:ln w="19050"/>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10</xdr:col>
      <xdr:colOff>123824</xdr:colOff>
      <xdr:row>40</xdr:row>
      <xdr:rowOff>57150</xdr:rowOff>
    </xdr:from>
    <xdr:ext cx="419101" cy="439615"/>
    <xdr:pic>
      <xdr:nvPicPr>
        <xdr:cNvPr id="53" name="Picture 52">
          <a:extLst>
            <a:ext uri="{FF2B5EF4-FFF2-40B4-BE49-F238E27FC236}">
              <a16:creationId xmlns:a16="http://schemas.microsoft.com/office/drawing/2014/main" xmlns="" id="{00000000-0008-0000-1100-00003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5829299" y="7677150"/>
          <a:ext cx="419101" cy="439615"/>
        </a:xfrm>
        <a:prstGeom prst="rect">
          <a:avLst/>
        </a:prstGeom>
      </xdr:spPr>
    </xdr:pic>
    <xdr:clientData/>
  </xdr:oneCellAnchor>
  <xdr:twoCellAnchor editAs="oneCell">
    <xdr:from>
      <xdr:col>1</xdr:col>
      <xdr:colOff>200025</xdr:colOff>
      <xdr:row>52</xdr:row>
      <xdr:rowOff>47625</xdr:rowOff>
    </xdr:from>
    <xdr:to>
      <xdr:col>4</xdr:col>
      <xdr:colOff>609600</xdr:colOff>
      <xdr:row>58</xdr:row>
      <xdr:rowOff>152400</xdr:rowOff>
    </xdr:to>
    <xdr:pic>
      <xdr:nvPicPr>
        <xdr:cNvPr id="55" name="Picture 54">
          <a:extLst>
            <a:ext uri="{FF2B5EF4-FFF2-40B4-BE49-F238E27FC236}">
              <a16:creationId xmlns:a16="http://schemas.microsoft.com/office/drawing/2014/main" xmlns="" id="{00000000-0008-0000-1100-00003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200025" y="8801100"/>
          <a:ext cx="1666875" cy="1171575"/>
        </a:xfrm>
        <a:prstGeom prst="ellipse">
          <a:avLst/>
        </a:prstGeom>
        <a:ln>
          <a:noFill/>
        </a:ln>
        <a:effectLst>
          <a:softEdge rad="112500"/>
        </a:effec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5</xdr:col>
      <xdr:colOff>428625</xdr:colOff>
      <xdr:row>0</xdr:row>
      <xdr:rowOff>123825</xdr:rowOff>
    </xdr:from>
    <xdr:to>
      <xdr:col>7</xdr:col>
      <xdr:colOff>895350</xdr:colOff>
      <xdr:row>1</xdr:row>
      <xdr:rowOff>142875</xdr:rowOff>
    </xdr:to>
    <xdr:pic>
      <xdr:nvPicPr>
        <xdr:cNvPr id="2" name="Picture 1">
          <a:extLst>
            <a:ext uri="{FF2B5EF4-FFF2-40B4-BE49-F238E27FC236}">
              <a16:creationId xmlns:a16="http://schemas.microsoft.com/office/drawing/2014/main" xmlns="" id="{00000000-0008-0000-1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09850" y="123825"/>
          <a:ext cx="2066925" cy="209550"/>
        </a:xfrm>
        <a:prstGeom prst="rect">
          <a:avLst/>
        </a:prstGeom>
        <a:noFill/>
        <a:ln w="9525">
          <a:noFill/>
          <a:round/>
          <a:headEnd/>
          <a:tailEnd/>
        </a:ln>
        <a:effectLst/>
      </xdr:spPr>
    </xdr:pic>
    <xdr:clientData/>
  </xdr:twoCellAnchor>
  <xdr:twoCellAnchor>
    <xdr:from>
      <xdr:col>4</xdr:col>
      <xdr:colOff>142875</xdr:colOff>
      <xdr:row>1</xdr:row>
      <xdr:rowOff>95249</xdr:rowOff>
    </xdr:from>
    <xdr:to>
      <xdr:col>8</xdr:col>
      <xdr:colOff>742951</xdr:colOff>
      <xdr:row>3</xdr:row>
      <xdr:rowOff>28574</xdr:rowOff>
    </xdr:to>
    <xdr:pic>
      <xdr:nvPicPr>
        <xdr:cNvPr id="3" name="Picture 2">
          <a:extLst>
            <a:ext uri="{FF2B5EF4-FFF2-40B4-BE49-F238E27FC236}">
              <a16:creationId xmlns:a16="http://schemas.microsoft.com/office/drawing/2014/main" xmlns="" id="{00000000-0008-0000-12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1625" y="285749"/>
          <a:ext cx="3943351" cy="314325"/>
        </a:xfrm>
        <a:prstGeom prst="rect">
          <a:avLst/>
        </a:prstGeom>
        <a:noFill/>
        <a:ln w="9525">
          <a:noFill/>
          <a:round/>
          <a:headEnd/>
          <a:tailEnd/>
        </a:ln>
        <a:effectLst/>
      </xdr:spPr>
    </xdr:pic>
    <xdr:clientData/>
  </xdr:twoCellAnchor>
  <xdr:oneCellAnchor>
    <xdr:from>
      <xdr:col>1</xdr:col>
      <xdr:colOff>238124</xdr:colOff>
      <xdr:row>0</xdr:row>
      <xdr:rowOff>114300</xdr:rowOff>
    </xdr:from>
    <xdr:ext cx="1181101" cy="628650"/>
    <xdr:pic>
      <xdr:nvPicPr>
        <xdr:cNvPr id="4" name="image00.jpg">
          <a:extLst>
            <a:ext uri="{FF2B5EF4-FFF2-40B4-BE49-F238E27FC236}">
              <a16:creationId xmlns:a16="http://schemas.microsoft.com/office/drawing/2014/main" xmlns="" id="{00000000-0008-0000-1200-000004000000}"/>
            </a:ext>
          </a:extLst>
        </xdr:cNvPr>
        <xdr:cNvPicPr preferRelativeResize="0"/>
      </xdr:nvPicPr>
      <xdr:blipFill>
        <a:blip xmlns:r="http://schemas.openxmlformats.org/officeDocument/2006/relationships" r:embed="rId3" cstate="print"/>
        <a:stretch>
          <a:fillRect/>
        </a:stretch>
      </xdr:blipFill>
      <xdr:spPr>
        <a:xfrm>
          <a:off x="247649" y="114300"/>
          <a:ext cx="1181101" cy="628650"/>
        </a:xfrm>
        <a:prstGeom prst="rect">
          <a:avLst/>
        </a:prstGeom>
        <a:noFill/>
      </xdr:spPr>
    </xdr:pic>
    <xdr:clientData fLocksWithSheet="0"/>
  </xdr:oneCellAnchor>
  <xdr:twoCellAnchor>
    <xdr:from>
      <xdr:col>8</xdr:col>
      <xdr:colOff>962025</xdr:colOff>
      <xdr:row>2</xdr:row>
      <xdr:rowOff>200023</xdr:rowOff>
    </xdr:from>
    <xdr:to>
      <xdr:col>12</xdr:col>
      <xdr:colOff>352425</xdr:colOff>
      <xdr:row>9</xdr:row>
      <xdr:rowOff>19050</xdr:rowOff>
    </xdr:to>
    <xdr:sp macro="" textlink="">
      <xdr:nvSpPr>
        <xdr:cNvPr id="5" name="Rounded Rectangle 4">
          <a:extLst>
            <a:ext uri="{FF2B5EF4-FFF2-40B4-BE49-F238E27FC236}">
              <a16:creationId xmlns:a16="http://schemas.microsoft.com/office/drawing/2014/main" xmlns="" id="{00000000-0008-0000-1200-000005000000}"/>
            </a:ext>
          </a:extLst>
        </xdr:cNvPr>
        <xdr:cNvSpPr/>
      </xdr:nvSpPr>
      <xdr:spPr>
        <a:xfrm>
          <a:off x="5734050" y="600073"/>
          <a:ext cx="2105025" cy="1219202"/>
        </a:xfrm>
        <a:prstGeom prst="round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en-US" sz="1100"/>
        </a:p>
      </xdr:txBody>
    </xdr:sp>
    <xdr:clientData/>
  </xdr:twoCellAnchor>
  <xdr:twoCellAnchor>
    <xdr:from>
      <xdr:col>6</xdr:col>
      <xdr:colOff>247650</xdr:colOff>
      <xdr:row>7</xdr:row>
      <xdr:rowOff>38100</xdr:rowOff>
    </xdr:from>
    <xdr:to>
      <xdr:col>6</xdr:col>
      <xdr:colOff>714375</xdr:colOff>
      <xdr:row>9</xdr:row>
      <xdr:rowOff>38100</xdr:rowOff>
    </xdr:to>
    <xdr:grpSp>
      <xdr:nvGrpSpPr>
        <xdr:cNvPr id="6" name="Group 9">
          <a:extLst>
            <a:ext uri="{FF2B5EF4-FFF2-40B4-BE49-F238E27FC236}">
              <a16:creationId xmlns:a16="http://schemas.microsoft.com/office/drawing/2014/main" xmlns="" id="{00000000-0008-0000-1200-000006000000}"/>
            </a:ext>
          </a:extLst>
        </xdr:cNvPr>
        <xdr:cNvGrpSpPr>
          <a:grpSpLocks/>
        </xdr:cNvGrpSpPr>
      </xdr:nvGrpSpPr>
      <xdr:grpSpPr bwMode="auto">
        <a:xfrm>
          <a:off x="3286125" y="1438275"/>
          <a:ext cx="466725" cy="400050"/>
          <a:chOff x="105763081" y="105237244"/>
          <a:chExt cx="1752163" cy="1883105"/>
        </a:xfrm>
        <a:scene3d>
          <a:camera prst="orthographicFront">
            <a:rot lat="298850" lon="26213" rev="301140"/>
          </a:camera>
          <a:lightRig rig="threePt" dir="t"/>
        </a:scene3d>
      </xdr:grpSpPr>
      <xdr:sp macro="" textlink="">
        <xdr:nvSpPr>
          <xdr:cNvPr id="7" name="AutoShape 10">
            <a:extLst>
              <a:ext uri="{FF2B5EF4-FFF2-40B4-BE49-F238E27FC236}">
                <a16:creationId xmlns:a16="http://schemas.microsoft.com/office/drawing/2014/main" xmlns="" id="{00000000-0008-0000-1200-000007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8" name="AutoShape 11">
            <a:extLst>
              <a:ext uri="{FF2B5EF4-FFF2-40B4-BE49-F238E27FC236}">
                <a16:creationId xmlns:a16="http://schemas.microsoft.com/office/drawing/2014/main" xmlns="" id="{00000000-0008-0000-1200-000008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1</xdr:col>
      <xdr:colOff>276225</xdr:colOff>
      <xdr:row>7</xdr:row>
      <xdr:rowOff>28575</xdr:rowOff>
    </xdr:from>
    <xdr:to>
      <xdr:col>3</xdr:col>
      <xdr:colOff>66675</xdr:colOff>
      <xdr:row>9</xdr:row>
      <xdr:rowOff>0</xdr:rowOff>
    </xdr:to>
    <xdr:grpSp>
      <xdr:nvGrpSpPr>
        <xdr:cNvPr id="9" name="Group 8">
          <a:extLst>
            <a:ext uri="{FF2B5EF4-FFF2-40B4-BE49-F238E27FC236}">
              <a16:creationId xmlns:a16="http://schemas.microsoft.com/office/drawing/2014/main" xmlns="" id="{00000000-0008-0000-1200-000009000000}"/>
            </a:ext>
          </a:extLst>
        </xdr:cNvPr>
        <xdr:cNvGrpSpPr>
          <a:grpSpLocks/>
        </xdr:cNvGrpSpPr>
      </xdr:nvGrpSpPr>
      <xdr:grpSpPr bwMode="auto">
        <a:xfrm>
          <a:off x="295275" y="1428750"/>
          <a:ext cx="514350" cy="371475"/>
          <a:chOff x="105763081" y="105237244"/>
          <a:chExt cx="1752163" cy="1883105"/>
        </a:xfrm>
        <a:scene3d>
          <a:camera prst="orthographicFront">
            <a:rot lat="298850" lon="26213" rev="11401140"/>
          </a:camera>
          <a:lightRig rig="threePt" dir="t"/>
        </a:scene3d>
      </xdr:grpSpPr>
      <xdr:sp macro="" textlink="">
        <xdr:nvSpPr>
          <xdr:cNvPr id="10" name="AutoShape 10">
            <a:extLst>
              <a:ext uri="{FF2B5EF4-FFF2-40B4-BE49-F238E27FC236}">
                <a16:creationId xmlns:a16="http://schemas.microsoft.com/office/drawing/2014/main" xmlns="" id="{00000000-0008-0000-1200-00000A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11" name="AutoShape 11">
            <a:extLst>
              <a:ext uri="{FF2B5EF4-FFF2-40B4-BE49-F238E27FC236}">
                <a16:creationId xmlns:a16="http://schemas.microsoft.com/office/drawing/2014/main" xmlns="" id="{00000000-0008-0000-1200-00000B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2</xdr:col>
      <xdr:colOff>38100</xdr:colOff>
      <xdr:row>4</xdr:row>
      <xdr:rowOff>104775</xdr:rowOff>
    </xdr:from>
    <xdr:to>
      <xdr:col>7</xdr:col>
      <xdr:colOff>0</xdr:colOff>
      <xdr:row>9</xdr:row>
      <xdr:rowOff>47625</xdr:rowOff>
    </xdr:to>
    <xdr:sp macro="" textlink="">
      <xdr:nvSpPr>
        <xdr:cNvPr id="12" name="Rounded Rectangle 11">
          <a:extLst>
            <a:ext uri="{FF2B5EF4-FFF2-40B4-BE49-F238E27FC236}">
              <a16:creationId xmlns:a16="http://schemas.microsoft.com/office/drawing/2014/main" xmlns="" id="{00000000-0008-0000-1200-00000C000000}"/>
            </a:ext>
          </a:extLst>
        </xdr:cNvPr>
        <xdr:cNvSpPr/>
      </xdr:nvSpPr>
      <xdr:spPr>
        <a:xfrm>
          <a:off x="371475" y="866775"/>
          <a:ext cx="3409950" cy="895350"/>
        </a:xfrm>
        <a:prstGeom prst="roundRect">
          <a:avLst/>
        </a:prstGeom>
        <a:noFill/>
        <a:ln w="28575"/>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endParaRPr lang="en-US" sz="1100"/>
        </a:p>
      </xdr:txBody>
    </xdr:sp>
    <xdr:clientData/>
  </xdr:twoCellAnchor>
  <xdr:oneCellAnchor>
    <xdr:from>
      <xdr:col>3</xdr:col>
      <xdr:colOff>114301</xdr:colOff>
      <xdr:row>13</xdr:row>
      <xdr:rowOff>133351</xdr:rowOff>
    </xdr:from>
    <xdr:ext cx="466724" cy="274943"/>
    <xdr:pic>
      <xdr:nvPicPr>
        <xdr:cNvPr id="13" name="Picture 1" descr="Large View">
          <a:extLst>
            <a:ext uri="{FF2B5EF4-FFF2-40B4-BE49-F238E27FC236}">
              <a16:creationId xmlns:a16="http://schemas.microsoft.com/office/drawing/2014/main" xmlns="" id="{00000000-0008-0000-1200-00000D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47726" y="2609851"/>
          <a:ext cx="466724" cy="274943"/>
        </a:xfrm>
        <a:prstGeom prst="rect">
          <a:avLst/>
        </a:prstGeom>
        <a:noFill/>
      </xdr:spPr>
    </xdr:pic>
    <xdr:clientData/>
  </xdr:oneCellAnchor>
  <xdr:twoCellAnchor>
    <xdr:from>
      <xdr:col>13</xdr:col>
      <xdr:colOff>828675</xdr:colOff>
      <xdr:row>0</xdr:row>
      <xdr:rowOff>9525</xdr:rowOff>
    </xdr:from>
    <xdr:to>
      <xdr:col>16</xdr:col>
      <xdr:colOff>28575</xdr:colOff>
      <xdr:row>3</xdr:row>
      <xdr:rowOff>161925</xdr:rowOff>
    </xdr:to>
    <xdr:sp macro="" textlink="">
      <xdr:nvSpPr>
        <xdr:cNvPr id="14" name="Left Arrow 13">
          <a:extLst>
            <a:ext uri="{FF2B5EF4-FFF2-40B4-BE49-F238E27FC236}">
              <a16:creationId xmlns:a16="http://schemas.microsoft.com/office/drawing/2014/main" xmlns="" id="{00000000-0008-0000-1200-00000E000000}"/>
            </a:ext>
          </a:extLst>
        </xdr:cNvPr>
        <xdr:cNvSpPr/>
      </xdr:nvSpPr>
      <xdr:spPr>
        <a:xfrm>
          <a:off x="8686800" y="9525"/>
          <a:ext cx="1543050" cy="72390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r>
            <a:rPr lang="en-US" sz="1400" b="1"/>
            <a:t>PRINT   AREA</a:t>
          </a:r>
        </a:p>
      </xdr:txBody>
    </xdr:sp>
    <xdr:clientData/>
  </xdr:twoCellAnchor>
  <xdr:twoCellAnchor>
    <xdr:from>
      <xdr:col>7</xdr:col>
      <xdr:colOff>333375</xdr:colOff>
      <xdr:row>4</xdr:row>
      <xdr:rowOff>0</xdr:rowOff>
    </xdr:from>
    <xdr:to>
      <xdr:col>8</xdr:col>
      <xdr:colOff>657224</xdr:colOff>
      <xdr:row>9</xdr:row>
      <xdr:rowOff>9526</xdr:rowOff>
    </xdr:to>
    <xdr:sp macro="" textlink="">
      <xdr:nvSpPr>
        <xdr:cNvPr id="15" name="AutoShape 8">
          <a:extLst>
            <a:ext uri="{FF2B5EF4-FFF2-40B4-BE49-F238E27FC236}">
              <a16:creationId xmlns:a16="http://schemas.microsoft.com/office/drawing/2014/main" xmlns="" id="{00000000-0008-0000-1200-00000F000000}"/>
            </a:ext>
          </a:extLst>
        </xdr:cNvPr>
        <xdr:cNvSpPr>
          <a:spLocks noChangeArrowheads="1"/>
        </xdr:cNvSpPr>
      </xdr:nvSpPr>
      <xdr:spPr bwMode="auto">
        <a:xfrm>
          <a:off x="4114800" y="762000"/>
          <a:ext cx="1314449" cy="962026"/>
        </a:xfrm>
        <a:prstGeom prst="sun">
          <a:avLst>
            <a:gd name="adj" fmla="val 12500"/>
          </a:avLst>
        </a:prstGeom>
        <a:noFill/>
        <a:ln w="9525">
          <a:solidFill>
            <a:schemeClr val="tx1"/>
          </a:solidFill>
          <a:miter lim="800000"/>
          <a:headEnd/>
          <a:tailEnd/>
        </a:ln>
      </xdr:spPr>
      <xdr:txBody>
        <a:bodyPr wrap="square" anchor="ct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endParaRPr lang="en-US" sz="2400">
            <a:latin typeface="Times New Roman" pitchFamily="18" charset="0"/>
          </a:endParaRPr>
        </a:p>
      </xdr:txBody>
    </xdr:sp>
    <xdr:clientData/>
  </xdr:twoCellAnchor>
  <xdr:oneCellAnchor>
    <xdr:from>
      <xdr:col>6</xdr:col>
      <xdr:colOff>85723</xdr:colOff>
      <xdr:row>13</xdr:row>
      <xdr:rowOff>142876</xdr:rowOff>
    </xdr:from>
    <xdr:ext cx="558437" cy="276224"/>
    <xdr:pic>
      <xdr:nvPicPr>
        <xdr:cNvPr id="16" name="Picture 1" descr="Large View">
          <a:extLst>
            <a:ext uri="{FF2B5EF4-FFF2-40B4-BE49-F238E27FC236}">
              <a16:creationId xmlns:a16="http://schemas.microsoft.com/office/drawing/2014/main" xmlns="" id="{00000000-0008-0000-1200-000010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flipH="1">
          <a:off x="3114673" y="2619376"/>
          <a:ext cx="558437" cy="276224"/>
        </a:xfrm>
        <a:prstGeom prst="rect">
          <a:avLst/>
        </a:prstGeom>
        <a:noFill/>
      </xdr:spPr>
    </xdr:pic>
    <xdr:clientData/>
  </xdr:oneCellAnchor>
  <xdr:oneCellAnchor>
    <xdr:from>
      <xdr:col>8</xdr:col>
      <xdr:colOff>104776</xdr:colOff>
      <xdr:row>9</xdr:row>
      <xdr:rowOff>133350</xdr:rowOff>
    </xdr:from>
    <xdr:ext cx="990599" cy="942975"/>
    <xdr:pic>
      <xdr:nvPicPr>
        <xdr:cNvPr id="17" name="Picture 1" descr="savings image க்கான பட முடிவு">
          <a:extLst>
            <a:ext uri="{FF2B5EF4-FFF2-40B4-BE49-F238E27FC236}">
              <a16:creationId xmlns:a16="http://schemas.microsoft.com/office/drawing/2014/main" xmlns="" id="{00000000-0008-0000-1200-000011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4876801" y="1847850"/>
          <a:ext cx="990599" cy="942975"/>
        </a:xfrm>
        <a:prstGeom prst="rect">
          <a:avLst/>
        </a:prstGeom>
        <a:noFill/>
      </xdr:spPr>
    </xdr:pic>
    <xdr:clientData/>
  </xdr:oneCellAnchor>
  <xdr:twoCellAnchor>
    <xdr:from>
      <xdr:col>8</xdr:col>
      <xdr:colOff>952500</xdr:colOff>
      <xdr:row>9</xdr:row>
      <xdr:rowOff>180975</xdr:rowOff>
    </xdr:from>
    <xdr:to>
      <xdr:col>10</xdr:col>
      <xdr:colOff>152400</xdr:colOff>
      <xdr:row>14</xdr:row>
      <xdr:rowOff>28575</xdr:rowOff>
    </xdr:to>
    <xdr:sp macro="" textlink="">
      <xdr:nvSpPr>
        <xdr:cNvPr id="18" name="Oval 17">
          <a:extLst>
            <a:ext uri="{FF2B5EF4-FFF2-40B4-BE49-F238E27FC236}">
              <a16:creationId xmlns:a16="http://schemas.microsoft.com/office/drawing/2014/main" xmlns="" id="{00000000-0008-0000-1200-000012000000}"/>
            </a:ext>
          </a:extLst>
        </xdr:cNvPr>
        <xdr:cNvSpPr/>
      </xdr:nvSpPr>
      <xdr:spPr>
        <a:xfrm>
          <a:off x="5724525" y="1895475"/>
          <a:ext cx="1190625" cy="800100"/>
        </a:xfrm>
        <a:prstGeom prst="ellipse">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clientData/>
  </xdr:twoCellAnchor>
  <xdr:oneCellAnchor>
    <xdr:from>
      <xdr:col>13</xdr:col>
      <xdr:colOff>1038225</xdr:colOff>
      <xdr:row>7</xdr:row>
      <xdr:rowOff>76201</xdr:rowOff>
    </xdr:from>
    <xdr:ext cx="361949" cy="285750"/>
    <xdr:pic>
      <xdr:nvPicPr>
        <xdr:cNvPr id="19" name="Picture 2">
          <a:hlinkClick xmlns:r="http://schemas.openxmlformats.org/officeDocument/2006/relationships" r:id="rId7"/>
          <a:extLst>
            <a:ext uri="{FF2B5EF4-FFF2-40B4-BE49-F238E27FC236}">
              <a16:creationId xmlns:a16="http://schemas.microsoft.com/office/drawing/2014/main" xmlns="" id="{00000000-0008-0000-1200-000013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896350" y="1409701"/>
          <a:ext cx="361949" cy="285750"/>
        </a:xfrm>
        <a:prstGeom prst="rect">
          <a:avLst/>
        </a:prstGeom>
        <a:noFill/>
      </xdr:spPr>
    </xdr:pic>
    <xdr:clientData/>
  </xdr:oneCellAnchor>
  <xdr:oneCellAnchor>
    <xdr:from>
      <xdr:col>14</xdr:col>
      <xdr:colOff>9525</xdr:colOff>
      <xdr:row>14</xdr:row>
      <xdr:rowOff>57151</xdr:rowOff>
    </xdr:from>
    <xdr:ext cx="361949" cy="285750"/>
    <xdr:pic>
      <xdr:nvPicPr>
        <xdr:cNvPr id="20" name="Picture 2">
          <a:hlinkClick xmlns:r="http://schemas.openxmlformats.org/officeDocument/2006/relationships" r:id="rId9"/>
          <a:extLst>
            <a:ext uri="{FF2B5EF4-FFF2-40B4-BE49-F238E27FC236}">
              <a16:creationId xmlns:a16="http://schemas.microsoft.com/office/drawing/2014/main" xmlns="" id="{00000000-0008-0000-1200-000014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915400" y="2724151"/>
          <a:ext cx="361949" cy="285750"/>
        </a:xfrm>
        <a:prstGeom prst="rect">
          <a:avLst/>
        </a:prstGeom>
        <a:noFill/>
      </xdr:spPr>
    </xdr:pic>
    <xdr:clientData/>
  </xdr:oneCellAnchor>
  <xdr:twoCellAnchor>
    <xdr:from>
      <xdr:col>5</xdr:col>
      <xdr:colOff>838200</xdr:colOff>
      <xdr:row>5</xdr:row>
      <xdr:rowOff>9525</xdr:rowOff>
    </xdr:from>
    <xdr:to>
      <xdr:col>6</xdr:col>
      <xdr:colOff>190500</xdr:colOff>
      <xdr:row>6</xdr:row>
      <xdr:rowOff>0</xdr:rowOff>
    </xdr:to>
    <xdr:sp macro="" textlink="">
      <xdr:nvSpPr>
        <xdr:cNvPr id="21" name="Smiley Face 20">
          <a:extLst>
            <a:ext uri="{FF2B5EF4-FFF2-40B4-BE49-F238E27FC236}">
              <a16:creationId xmlns:a16="http://schemas.microsoft.com/office/drawing/2014/main" xmlns="" id="{00000000-0008-0000-1200-000015000000}"/>
            </a:ext>
          </a:extLst>
        </xdr:cNvPr>
        <xdr:cNvSpPr/>
      </xdr:nvSpPr>
      <xdr:spPr>
        <a:xfrm>
          <a:off x="3019425" y="962025"/>
          <a:ext cx="200025" cy="180975"/>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3</xdr:col>
      <xdr:colOff>200025</xdr:colOff>
      <xdr:row>4</xdr:row>
      <xdr:rowOff>190500</xdr:rowOff>
    </xdr:from>
    <xdr:to>
      <xdr:col>3</xdr:col>
      <xdr:colOff>400050</xdr:colOff>
      <xdr:row>5</xdr:row>
      <xdr:rowOff>180975</xdr:rowOff>
    </xdr:to>
    <xdr:sp macro="" textlink="">
      <xdr:nvSpPr>
        <xdr:cNvPr id="22" name="Smiley Face 21">
          <a:extLst>
            <a:ext uri="{FF2B5EF4-FFF2-40B4-BE49-F238E27FC236}">
              <a16:creationId xmlns:a16="http://schemas.microsoft.com/office/drawing/2014/main" xmlns="" id="{00000000-0008-0000-1200-000016000000}"/>
            </a:ext>
          </a:extLst>
        </xdr:cNvPr>
        <xdr:cNvSpPr/>
      </xdr:nvSpPr>
      <xdr:spPr>
        <a:xfrm>
          <a:off x="933450" y="952500"/>
          <a:ext cx="200025" cy="180975"/>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8</xdr:col>
      <xdr:colOff>76199</xdr:colOff>
      <xdr:row>48</xdr:row>
      <xdr:rowOff>180975</xdr:rowOff>
    </xdr:from>
    <xdr:to>
      <xdr:col>12</xdr:col>
      <xdr:colOff>104775</xdr:colOff>
      <xdr:row>56</xdr:row>
      <xdr:rowOff>76200</xdr:rowOff>
    </xdr:to>
    <xdr:sp macro="" textlink="">
      <xdr:nvSpPr>
        <xdr:cNvPr id="23" name="Round Diagonal Corner Rectangle 22">
          <a:extLst>
            <a:ext uri="{FF2B5EF4-FFF2-40B4-BE49-F238E27FC236}">
              <a16:creationId xmlns:a16="http://schemas.microsoft.com/office/drawing/2014/main" xmlns="" id="{00000000-0008-0000-1200-000017000000}"/>
            </a:ext>
          </a:extLst>
        </xdr:cNvPr>
        <xdr:cNvSpPr/>
      </xdr:nvSpPr>
      <xdr:spPr>
        <a:xfrm>
          <a:off x="4857749" y="9877425"/>
          <a:ext cx="2743201" cy="1543050"/>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8</xdr:col>
      <xdr:colOff>152400</xdr:colOff>
      <xdr:row>50</xdr:row>
      <xdr:rowOff>114300</xdr:rowOff>
    </xdr:from>
    <xdr:to>
      <xdr:col>8</xdr:col>
      <xdr:colOff>476250</xdr:colOff>
      <xdr:row>54</xdr:row>
      <xdr:rowOff>161925</xdr:rowOff>
    </xdr:to>
    <xdr:grpSp>
      <xdr:nvGrpSpPr>
        <xdr:cNvPr id="24" name="Group 38">
          <a:extLst>
            <a:ext uri="{FF2B5EF4-FFF2-40B4-BE49-F238E27FC236}">
              <a16:creationId xmlns:a16="http://schemas.microsoft.com/office/drawing/2014/main" xmlns="" id="{00000000-0008-0000-1200-000018000000}"/>
            </a:ext>
          </a:extLst>
        </xdr:cNvPr>
        <xdr:cNvGrpSpPr>
          <a:grpSpLocks/>
        </xdr:cNvGrpSpPr>
      </xdr:nvGrpSpPr>
      <xdr:grpSpPr bwMode="auto">
        <a:xfrm>
          <a:off x="4933950" y="10210800"/>
          <a:ext cx="323850" cy="876300"/>
          <a:chOff x="112842675" y="108899325"/>
          <a:chExt cx="762763" cy="1285875"/>
        </a:xfrm>
      </xdr:grpSpPr>
      <xdr:sp macro="" textlink="">
        <xdr:nvSpPr>
          <xdr:cNvPr id="25" name="Oval 39">
            <a:extLst>
              <a:ext uri="{FF2B5EF4-FFF2-40B4-BE49-F238E27FC236}">
                <a16:creationId xmlns:a16="http://schemas.microsoft.com/office/drawing/2014/main" xmlns="" id="{00000000-0008-0000-1200-000019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26" name="Oval 40">
            <a:extLst>
              <a:ext uri="{FF2B5EF4-FFF2-40B4-BE49-F238E27FC236}">
                <a16:creationId xmlns:a16="http://schemas.microsoft.com/office/drawing/2014/main" xmlns="" id="{00000000-0008-0000-1200-00001A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27" name="Oval 41">
            <a:extLst>
              <a:ext uri="{FF2B5EF4-FFF2-40B4-BE49-F238E27FC236}">
                <a16:creationId xmlns:a16="http://schemas.microsoft.com/office/drawing/2014/main" xmlns="" id="{00000000-0008-0000-1200-00001B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28" name="Oval 42">
            <a:extLst>
              <a:ext uri="{FF2B5EF4-FFF2-40B4-BE49-F238E27FC236}">
                <a16:creationId xmlns:a16="http://schemas.microsoft.com/office/drawing/2014/main" xmlns="" id="{00000000-0008-0000-1200-00001C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29" name="Oval 43">
            <a:extLst>
              <a:ext uri="{FF2B5EF4-FFF2-40B4-BE49-F238E27FC236}">
                <a16:creationId xmlns:a16="http://schemas.microsoft.com/office/drawing/2014/main" xmlns="" id="{00000000-0008-0000-1200-00001D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30" name="Oval 44">
            <a:extLst>
              <a:ext uri="{FF2B5EF4-FFF2-40B4-BE49-F238E27FC236}">
                <a16:creationId xmlns:a16="http://schemas.microsoft.com/office/drawing/2014/main" xmlns="" id="{00000000-0008-0000-1200-00001E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31" name="Oval 45">
            <a:extLst>
              <a:ext uri="{FF2B5EF4-FFF2-40B4-BE49-F238E27FC236}">
                <a16:creationId xmlns:a16="http://schemas.microsoft.com/office/drawing/2014/main" xmlns="" id="{00000000-0008-0000-1200-00001F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32" name="Oval 46">
            <a:extLst>
              <a:ext uri="{FF2B5EF4-FFF2-40B4-BE49-F238E27FC236}">
                <a16:creationId xmlns:a16="http://schemas.microsoft.com/office/drawing/2014/main" xmlns="" id="{00000000-0008-0000-1200-000020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33" name="Oval 47">
            <a:extLst>
              <a:ext uri="{FF2B5EF4-FFF2-40B4-BE49-F238E27FC236}">
                <a16:creationId xmlns:a16="http://schemas.microsoft.com/office/drawing/2014/main" xmlns="" id="{00000000-0008-0000-1200-000021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34" name="Oval 48">
            <a:extLst>
              <a:ext uri="{FF2B5EF4-FFF2-40B4-BE49-F238E27FC236}">
                <a16:creationId xmlns:a16="http://schemas.microsoft.com/office/drawing/2014/main" xmlns="" id="{00000000-0008-0000-1200-000022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35" name="Oval 49">
            <a:extLst>
              <a:ext uri="{FF2B5EF4-FFF2-40B4-BE49-F238E27FC236}">
                <a16:creationId xmlns:a16="http://schemas.microsoft.com/office/drawing/2014/main" xmlns="" id="{00000000-0008-0000-1200-000023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36" name="Oval 50">
            <a:extLst>
              <a:ext uri="{FF2B5EF4-FFF2-40B4-BE49-F238E27FC236}">
                <a16:creationId xmlns:a16="http://schemas.microsoft.com/office/drawing/2014/main" xmlns="" id="{00000000-0008-0000-1200-000024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37" name="Oval 51">
            <a:extLst>
              <a:ext uri="{FF2B5EF4-FFF2-40B4-BE49-F238E27FC236}">
                <a16:creationId xmlns:a16="http://schemas.microsoft.com/office/drawing/2014/main" xmlns="" id="{00000000-0008-0000-1200-000025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38" name="Oval 52">
            <a:extLst>
              <a:ext uri="{FF2B5EF4-FFF2-40B4-BE49-F238E27FC236}">
                <a16:creationId xmlns:a16="http://schemas.microsoft.com/office/drawing/2014/main" xmlns="" id="{00000000-0008-0000-1200-000026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39" name="Oval 53">
            <a:extLst>
              <a:ext uri="{FF2B5EF4-FFF2-40B4-BE49-F238E27FC236}">
                <a16:creationId xmlns:a16="http://schemas.microsoft.com/office/drawing/2014/main" xmlns="" id="{00000000-0008-0000-1200-000027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40" name="Oval 54">
            <a:extLst>
              <a:ext uri="{FF2B5EF4-FFF2-40B4-BE49-F238E27FC236}">
                <a16:creationId xmlns:a16="http://schemas.microsoft.com/office/drawing/2014/main" xmlns="" id="{00000000-0008-0000-1200-000028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41" name="Oval 55">
            <a:extLst>
              <a:ext uri="{FF2B5EF4-FFF2-40B4-BE49-F238E27FC236}">
                <a16:creationId xmlns:a16="http://schemas.microsoft.com/office/drawing/2014/main" xmlns="" id="{00000000-0008-0000-1200-000029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42" name="Oval 56">
            <a:extLst>
              <a:ext uri="{FF2B5EF4-FFF2-40B4-BE49-F238E27FC236}">
                <a16:creationId xmlns:a16="http://schemas.microsoft.com/office/drawing/2014/main" xmlns="" id="{00000000-0008-0000-1200-00002A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43" name="Oval 57">
            <a:extLst>
              <a:ext uri="{FF2B5EF4-FFF2-40B4-BE49-F238E27FC236}">
                <a16:creationId xmlns:a16="http://schemas.microsoft.com/office/drawing/2014/main" xmlns="" id="{00000000-0008-0000-1200-00002B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44" name="Oval 58">
            <a:extLst>
              <a:ext uri="{FF2B5EF4-FFF2-40B4-BE49-F238E27FC236}">
                <a16:creationId xmlns:a16="http://schemas.microsoft.com/office/drawing/2014/main" xmlns="" id="{00000000-0008-0000-1200-00002C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45" name="Oval 59">
            <a:extLst>
              <a:ext uri="{FF2B5EF4-FFF2-40B4-BE49-F238E27FC236}">
                <a16:creationId xmlns:a16="http://schemas.microsoft.com/office/drawing/2014/main" xmlns="" id="{00000000-0008-0000-1200-00002D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46" name="Oval 60">
            <a:extLst>
              <a:ext uri="{FF2B5EF4-FFF2-40B4-BE49-F238E27FC236}">
                <a16:creationId xmlns:a16="http://schemas.microsoft.com/office/drawing/2014/main" xmlns="" id="{00000000-0008-0000-1200-00002E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47" name="Oval 61">
            <a:extLst>
              <a:ext uri="{FF2B5EF4-FFF2-40B4-BE49-F238E27FC236}">
                <a16:creationId xmlns:a16="http://schemas.microsoft.com/office/drawing/2014/main" xmlns="" id="{00000000-0008-0000-1200-00002F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48" name="Oval 62">
            <a:extLst>
              <a:ext uri="{FF2B5EF4-FFF2-40B4-BE49-F238E27FC236}">
                <a16:creationId xmlns:a16="http://schemas.microsoft.com/office/drawing/2014/main" xmlns="" id="{00000000-0008-0000-1200-000030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49" name="Oval 63">
            <a:extLst>
              <a:ext uri="{FF2B5EF4-FFF2-40B4-BE49-F238E27FC236}">
                <a16:creationId xmlns:a16="http://schemas.microsoft.com/office/drawing/2014/main" xmlns="" id="{00000000-0008-0000-1200-000031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50" name="Oval 64">
            <a:extLst>
              <a:ext uri="{FF2B5EF4-FFF2-40B4-BE49-F238E27FC236}">
                <a16:creationId xmlns:a16="http://schemas.microsoft.com/office/drawing/2014/main" xmlns="" id="{00000000-0008-0000-1200-000032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51" name="Oval 65">
            <a:extLst>
              <a:ext uri="{FF2B5EF4-FFF2-40B4-BE49-F238E27FC236}">
                <a16:creationId xmlns:a16="http://schemas.microsoft.com/office/drawing/2014/main" xmlns="" id="{00000000-0008-0000-1200-000033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52" name="Oval 66">
            <a:extLst>
              <a:ext uri="{FF2B5EF4-FFF2-40B4-BE49-F238E27FC236}">
                <a16:creationId xmlns:a16="http://schemas.microsoft.com/office/drawing/2014/main" xmlns="" id="{00000000-0008-0000-1200-000034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53" name="Oval 67">
            <a:extLst>
              <a:ext uri="{FF2B5EF4-FFF2-40B4-BE49-F238E27FC236}">
                <a16:creationId xmlns:a16="http://schemas.microsoft.com/office/drawing/2014/main" xmlns="" id="{00000000-0008-0000-1200-000035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54" name="Oval 68">
            <a:extLst>
              <a:ext uri="{FF2B5EF4-FFF2-40B4-BE49-F238E27FC236}">
                <a16:creationId xmlns:a16="http://schemas.microsoft.com/office/drawing/2014/main" xmlns="" id="{00000000-0008-0000-1200-000036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55" name="Oval 69">
            <a:extLst>
              <a:ext uri="{FF2B5EF4-FFF2-40B4-BE49-F238E27FC236}">
                <a16:creationId xmlns:a16="http://schemas.microsoft.com/office/drawing/2014/main" xmlns="" id="{00000000-0008-0000-1200-000037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oneCellAnchor>
    <xdr:from>
      <xdr:col>8</xdr:col>
      <xdr:colOff>123825</xdr:colOff>
      <xdr:row>24</xdr:row>
      <xdr:rowOff>38099</xdr:rowOff>
    </xdr:from>
    <xdr:ext cx="2781299" cy="2028825"/>
    <xdr:pic>
      <xdr:nvPicPr>
        <xdr:cNvPr id="56" name="Picture 2">
          <a:extLst>
            <a:ext uri="{FF2B5EF4-FFF2-40B4-BE49-F238E27FC236}">
              <a16:creationId xmlns:a16="http://schemas.microsoft.com/office/drawing/2014/main" xmlns="" id="{00000000-0008-0000-1200-000038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905375" y="4914899"/>
          <a:ext cx="2781299" cy="20288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oneCellAnchor>
  <xdr:oneCellAnchor>
    <xdr:from>
      <xdr:col>1</xdr:col>
      <xdr:colOff>209550</xdr:colOff>
      <xdr:row>15</xdr:row>
      <xdr:rowOff>38101</xdr:rowOff>
    </xdr:from>
    <xdr:ext cx="1788080" cy="1600200"/>
    <xdr:pic>
      <xdr:nvPicPr>
        <xdr:cNvPr id="57" name="Picture 4">
          <a:extLst>
            <a:ext uri="{FF2B5EF4-FFF2-40B4-BE49-F238E27FC236}">
              <a16:creationId xmlns:a16="http://schemas.microsoft.com/office/drawing/2014/main" xmlns="" id="{00000000-0008-0000-1200-000039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228600" y="3114676"/>
          <a:ext cx="1788080" cy="1600200"/>
        </a:xfrm>
        <a:prstGeom prst="rect">
          <a:avLst/>
        </a:prstGeom>
        <a:noFill/>
      </xdr:spPr>
    </xdr:pic>
    <xdr:clientData/>
  </xdr:oneCellAnchor>
  <xdr:twoCellAnchor>
    <xdr:from>
      <xdr:col>4</xdr:col>
      <xdr:colOff>723900</xdr:colOff>
      <xdr:row>51</xdr:row>
      <xdr:rowOff>0</xdr:rowOff>
    </xdr:from>
    <xdr:to>
      <xdr:col>7</xdr:col>
      <xdr:colOff>9525</xdr:colOff>
      <xdr:row>55</xdr:row>
      <xdr:rowOff>47625</xdr:rowOff>
    </xdr:to>
    <xdr:sp macro="" textlink="">
      <xdr:nvSpPr>
        <xdr:cNvPr id="58" name="Rounded Rectangle 57">
          <a:extLst>
            <a:ext uri="{FF2B5EF4-FFF2-40B4-BE49-F238E27FC236}">
              <a16:creationId xmlns:a16="http://schemas.microsoft.com/office/drawing/2014/main" xmlns="" id="{00000000-0008-0000-1200-00003A000000}"/>
            </a:ext>
          </a:extLst>
        </xdr:cNvPr>
        <xdr:cNvSpPr/>
      </xdr:nvSpPr>
      <xdr:spPr>
        <a:xfrm>
          <a:off x="2152650" y="9715500"/>
          <a:ext cx="1638300" cy="809625"/>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solidFill>
              <a:srgbClr val="FF0000"/>
            </a:solidFill>
          </a:endParaRPr>
        </a:p>
      </xdr:txBody>
    </xdr:sp>
    <xdr:clientData/>
  </xdr:twoCellAnchor>
  <xdr:twoCellAnchor>
    <xdr:from>
      <xdr:col>1</xdr:col>
      <xdr:colOff>9525</xdr:colOff>
      <xdr:row>51</xdr:row>
      <xdr:rowOff>19050</xdr:rowOff>
    </xdr:from>
    <xdr:to>
      <xdr:col>4</xdr:col>
      <xdr:colOff>619125</xdr:colOff>
      <xdr:row>57</xdr:row>
      <xdr:rowOff>38100</xdr:rowOff>
    </xdr:to>
    <xdr:sp macro="" textlink="">
      <xdr:nvSpPr>
        <xdr:cNvPr id="59" name="Rounded Rectangle 58">
          <a:extLst>
            <a:ext uri="{FF2B5EF4-FFF2-40B4-BE49-F238E27FC236}">
              <a16:creationId xmlns:a16="http://schemas.microsoft.com/office/drawing/2014/main" xmlns="" id="{00000000-0008-0000-1200-00003B000000}"/>
            </a:ext>
          </a:extLst>
        </xdr:cNvPr>
        <xdr:cNvSpPr/>
      </xdr:nvSpPr>
      <xdr:spPr>
        <a:xfrm>
          <a:off x="19050" y="9734550"/>
          <a:ext cx="2028825" cy="1162050"/>
        </a:xfrm>
        <a:prstGeom prst="roundRect">
          <a:avLst/>
        </a:prstGeom>
        <a:noFill/>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xdr:col>
      <xdr:colOff>66675</xdr:colOff>
      <xdr:row>54</xdr:row>
      <xdr:rowOff>76199</xdr:rowOff>
    </xdr:from>
    <xdr:ext cx="390525" cy="485775"/>
    <xdr:pic>
      <xdr:nvPicPr>
        <xdr:cNvPr id="60" name="Picture 59">
          <a:extLst>
            <a:ext uri="{FF2B5EF4-FFF2-40B4-BE49-F238E27FC236}">
              <a16:creationId xmlns:a16="http://schemas.microsoft.com/office/drawing/2014/main" xmlns="" id="{00000000-0008-0000-1200-00003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76200" y="10363199"/>
          <a:ext cx="390525" cy="48577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5</xdr:col>
      <xdr:colOff>419100</xdr:colOff>
      <xdr:row>0</xdr:row>
      <xdr:rowOff>114300</xdr:rowOff>
    </xdr:from>
    <xdr:to>
      <xdr:col>7</xdr:col>
      <xdr:colOff>885825</xdr:colOff>
      <xdr:row>1</xdr:row>
      <xdr:rowOff>133350</xdr:rowOff>
    </xdr:to>
    <xdr:pic>
      <xdr:nvPicPr>
        <xdr:cNvPr id="2" name="Picture 1">
          <a:extLst>
            <a:ext uri="{FF2B5EF4-FFF2-40B4-BE49-F238E27FC236}">
              <a16:creationId xmlns:a16="http://schemas.microsoft.com/office/drawing/2014/main" xmlns="" id="{00000000-0008-0000-1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552700" y="114300"/>
          <a:ext cx="2066925" cy="219075"/>
        </a:xfrm>
        <a:prstGeom prst="rect">
          <a:avLst/>
        </a:prstGeom>
        <a:noFill/>
        <a:ln w="9525">
          <a:noFill/>
          <a:round/>
          <a:headEnd/>
          <a:tailEnd/>
        </a:ln>
        <a:effectLst/>
      </xdr:spPr>
    </xdr:pic>
    <xdr:clientData/>
  </xdr:twoCellAnchor>
  <xdr:twoCellAnchor>
    <xdr:from>
      <xdr:col>4</xdr:col>
      <xdr:colOff>142875</xdr:colOff>
      <xdr:row>1</xdr:row>
      <xdr:rowOff>133349</xdr:rowOff>
    </xdr:from>
    <xdr:to>
      <xdr:col>8</xdr:col>
      <xdr:colOff>742951</xdr:colOff>
      <xdr:row>3</xdr:row>
      <xdr:rowOff>66674</xdr:rowOff>
    </xdr:to>
    <xdr:pic>
      <xdr:nvPicPr>
        <xdr:cNvPr id="3" name="Picture 2">
          <a:extLst>
            <a:ext uri="{FF2B5EF4-FFF2-40B4-BE49-F238E27FC236}">
              <a16:creationId xmlns:a16="http://schemas.microsoft.com/office/drawing/2014/main" xmlns="" id="{00000000-0008-0000-1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24000" y="333374"/>
          <a:ext cx="3933826" cy="333375"/>
        </a:xfrm>
        <a:prstGeom prst="rect">
          <a:avLst/>
        </a:prstGeom>
        <a:noFill/>
        <a:ln w="9525">
          <a:noFill/>
          <a:round/>
          <a:headEnd/>
          <a:tailEnd/>
        </a:ln>
        <a:effectLst/>
      </xdr:spPr>
    </xdr:pic>
    <xdr:clientData/>
  </xdr:twoCellAnchor>
  <xdr:oneCellAnchor>
    <xdr:from>
      <xdr:col>1</xdr:col>
      <xdr:colOff>238124</xdr:colOff>
      <xdr:row>0</xdr:row>
      <xdr:rowOff>114300</xdr:rowOff>
    </xdr:from>
    <xdr:ext cx="1181101" cy="628650"/>
    <xdr:pic>
      <xdr:nvPicPr>
        <xdr:cNvPr id="4" name="image00.jpg">
          <a:extLst>
            <a:ext uri="{FF2B5EF4-FFF2-40B4-BE49-F238E27FC236}">
              <a16:creationId xmlns:a16="http://schemas.microsoft.com/office/drawing/2014/main" xmlns="" id="{00000000-0008-0000-1300-000004000000}"/>
            </a:ext>
          </a:extLst>
        </xdr:cNvPr>
        <xdr:cNvPicPr preferRelativeResize="0"/>
      </xdr:nvPicPr>
      <xdr:blipFill>
        <a:blip xmlns:r="http://schemas.openxmlformats.org/officeDocument/2006/relationships" r:embed="rId3" cstate="print"/>
        <a:stretch>
          <a:fillRect/>
        </a:stretch>
      </xdr:blipFill>
      <xdr:spPr>
        <a:xfrm>
          <a:off x="161924" y="114300"/>
          <a:ext cx="1181101" cy="628650"/>
        </a:xfrm>
        <a:prstGeom prst="rect">
          <a:avLst/>
        </a:prstGeom>
        <a:noFill/>
      </xdr:spPr>
    </xdr:pic>
    <xdr:clientData fLocksWithSheet="0"/>
  </xdr:oneCellAnchor>
  <xdr:twoCellAnchor>
    <xdr:from>
      <xdr:col>9</xdr:col>
      <xdr:colOff>9525</xdr:colOff>
      <xdr:row>3</xdr:row>
      <xdr:rowOff>76200</xdr:rowOff>
    </xdr:from>
    <xdr:to>
      <xdr:col>12</xdr:col>
      <xdr:colOff>352425</xdr:colOff>
      <xdr:row>10</xdr:row>
      <xdr:rowOff>66675</xdr:rowOff>
    </xdr:to>
    <xdr:sp macro="" textlink="">
      <xdr:nvSpPr>
        <xdr:cNvPr id="5" name="Rounded Rectangle 4">
          <a:extLst>
            <a:ext uri="{FF2B5EF4-FFF2-40B4-BE49-F238E27FC236}">
              <a16:creationId xmlns:a16="http://schemas.microsoft.com/office/drawing/2014/main" xmlns="" id="{00000000-0008-0000-1300-000005000000}"/>
            </a:ext>
          </a:extLst>
        </xdr:cNvPr>
        <xdr:cNvSpPr/>
      </xdr:nvSpPr>
      <xdr:spPr>
        <a:xfrm>
          <a:off x="5715000" y="676275"/>
          <a:ext cx="2076450" cy="1314450"/>
        </a:xfrm>
        <a:prstGeom prst="roundRect">
          <a:avLst/>
        </a:prstGeom>
        <a:noFill/>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en-US" sz="1100"/>
        </a:p>
      </xdr:txBody>
    </xdr:sp>
    <xdr:clientData/>
  </xdr:twoCellAnchor>
  <xdr:twoCellAnchor>
    <xdr:from>
      <xdr:col>6</xdr:col>
      <xdr:colOff>247650</xdr:colOff>
      <xdr:row>8</xdr:row>
      <xdr:rowOff>38100</xdr:rowOff>
    </xdr:from>
    <xdr:to>
      <xdr:col>6</xdr:col>
      <xdr:colOff>714375</xdr:colOff>
      <xdr:row>10</xdr:row>
      <xdr:rowOff>38100</xdr:rowOff>
    </xdr:to>
    <xdr:grpSp>
      <xdr:nvGrpSpPr>
        <xdr:cNvPr id="6" name="Group 9">
          <a:extLst>
            <a:ext uri="{FF2B5EF4-FFF2-40B4-BE49-F238E27FC236}">
              <a16:creationId xmlns:a16="http://schemas.microsoft.com/office/drawing/2014/main" xmlns="" id="{00000000-0008-0000-1300-000006000000}"/>
            </a:ext>
          </a:extLst>
        </xdr:cNvPr>
        <xdr:cNvGrpSpPr>
          <a:grpSpLocks/>
        </xdr:cNvGrpSpPr>
      </xdr:nvGrpSpPr>
      <xdr:grpSpPr bwMode="auto">
        <a:xfrm>
          <a:off x="3228975" y="1562100"/>
          <a:ext cx="466725" cy="400050"/>
          <a:chOff x="105763081" y="105237244"/>
          <a:chExt cx="1752163" cy="1883105"/>
        </a:xfrm>
        <a:scene3d>
          <a:camera prst="orthographicFront">
            <a:rot lat="298850" lon="26213" rev="301140"/>
          </a:camera>
          <a:lightRig rig="threePt" dir="t"/>
        </a:scene3d>
      </xdr:grpSpPr>
      <xdr:sp macro="" textlink="">
        <xdr:nvSpPr>
          <xdr:cNvPr id="7" name="AutoShape 10">
            <a:extLst>
              <a:ext uri="{FF2B5EF4-FFF2-40B4-BE49-F238E27FC236}">
                <a16:creationId xmlns:a16="http://schemas.microsoft.com/office/drawing/2014/main" xmlns="" id="{00000000-0008-0000-1300-000007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8" name="AutoShape 11">
            <a:extLst>
              <a:ext uri="{FF2B5EF4-FFF2-40B4-BE49-F238E27FC236}">
                <a16:creationId xmlns:a16="http://schemas.microsoft.com/office/drawing/2014/main" xmlns="" id="{00000000-0008-0000-1300-000008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2</xdr:col>
      <xdr:colOff>0</xdr:colOff>
      <xdr:row>8</xdr:row>
      <xdr:rowOff>28575</xdr:rowOff>
    </xdr:from>
    <xdr:to>
      <xdr:col>3</xdr:col>
      <xdr:colOff>66675</xdr:colOff>
      <xdr:row>10</xdr:row>
      <xdr:rowOff>0</xdr:rowOff>
    </xdr:to>
    <xdr:grpSp>
      <xdr:nvGrpSpPr>
        <xdr:cNvPr id="9" name="Group 8">
          <a:extLst>
            <a:ext uri="{FF2B5EF4-FFF2-40B4-BE49-F238E27FC236}">
              <a16:creationId xmlns:a16="http://schemas.microsoft.com/office/drawing/2014/main" xmlns="" id="{00000000-0008-0000-1300-000009000000}"/>
            </a:ext>
          </a:extLst>
        </xdr:cNvPr>
        <xdr:cNvGrpSpPr>
          <a:grpSpLocks/>
        </xdr:cNvGrpSpPr>
      </xdr:nvGrpSpPr>
      <xdr:grpSpPr bwMode="auto">
        <a:xfrm>
          <a:off x="171450" y="1552575"/>
          <a:ext cx="466725" cy="371475"/>
          <a:chOff x="105763081" y="105237244"/>
          <a:chExt cx="1752163" cy="1883105"/>
        </a:xfrm>
        <a:scene3d>
          <a:camera prst="orthographicFront">
            <a:rot lat="298850" lon="26213" rev="11401140"/>
          </a:camera>
          <a:lightRig rig="threePt" dir="t"/>
        </a:scene3d>
      </xdr:grpSpPr>
      <xdr:sp macro="" textlink="">
        <xdr:nvSpPr>
          <xdr:cNvPr id="10" name="AutoShape 10">
            <a:extLst>
              <a:ext uri="{FF2B5EF4-FFF2-40B4-BE49-F238E27FC236}">
                <a16:creationId xmlns:a16="http://schemas.microsoft.com/office/drawing/2014/main" xmlns="" id="{00000000-0008-0000-1300-00000A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11" name="AutoShape 11">
            <a:extLst>
              <a:ext uri="{FF2B5EF4-FFF2-40B4-BE49-F238E27FC236}">
                <a16:creationId xmlns:a16="http://schemas.microsoft.com/office/drawing/2014/main" xmlns="" id="{00000000-0008-0000-1300-00000B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2</xdr:col>
      <xdr:colOff>38100</xdr:colOff>
      <xdr:row>6</xdr:row>
      <xdr:rowOff>47625</xdr:rowOff>
    </xdr:from>
    <xdr:to>
      <xdr:col>7</xdr:col>
      <xdr:colOff>0</xdr:colOff>
      <xdr:row>10</xdr:row>
      <xdr:rowOff>47624</xdr:rowOff>
    </xdr:to>
    <xdr:sp macro="" textlink="">
      <xdr:nvSpPr>
        <xdr:cNvPr id="12" name="Rounded Rectangle 11">
          <a:extLst>
            <a:ext uri="{FF2B5EF4-FFF2-40B4-BE49-F238E27FC236}">
              <a16:creationId xmlns:a16="http://schemas.microsoft.com/office/drawing/2014/main" xmlns="" id="{00000000-0008-0000-1300-00000C000000}"/>
            </a:ext>
          </a:extLst>
        </xdr:cNvPr>
        <xdr:cNvSpPr/>
      </xdr:nvSpPr>
      <xdr:spPr>
        <a:xfrm>
          <a:off x="200025" y="1190625"/>
          <a:ext cx="3524250" cy="761999"/>
        </a:xfrm>
        <a:prstGeom prst="roundRect">
          <a:avLst/>
        </a:prstGeom>
        <a:noFill/>
        <a:ln w="28575"/>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endParaRPr lang="en-US" sz="1100"/>
        </a:p>
      </xdr:txBody>
    </xdr:sp>
    <xdr:clientData/>
  </xdr:twoCellAnchor>
  <xdr:oneCellAnchor>
    <xdr:from>
      <xdr:col>3</xdr:col>
      <xdr:colOff>123826</xdr:colOff>
      <xdr:row>15</xdr:row>
      <xdr:rowOff>28576</xdr:rowOff>
    </xdr:from>
    <xdr:ext cx="466724" cy="274943"/>
    <xdr:pic>
      <xdr:nvPicPr>
        <xdr:cNvPr id="13" name="Picture 1" descr="Large View">
          <a:extLst>
            <a:ext uri="{FF2B5EF4-FFF2-40B4-BE49-F238E27FC236}">
              <a16:creationId xmlns:a16="http://schemas.microsoft.com/office/drawing/2014/main" xmlns="" id="{00000000-0008-0000-1300-00000D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685801" y="2886076"/>
          <a:ext cx="466724" cy="274943"/>
        </a:xfrm>
        <a:prstGeom prst="rect">
          <a:avLst/>
        </a:prstGeom>
        <a:noFill/>
      </xdr:spPr>
    </xdr:pic>
    <xdr:clientData/>
  </xdr:oneCellAnchor>
  <xdr:twoCellAnchor>
    <xdr:from>
      <xdr:col>13</xdr:col>
      <xdr:colOff>314325</xdr:colOff>
      <xdr:row>0</xdr:row>
      <xdr:rowOff>76200</xdr:rowOff>
    </xdr:from>
    <xdr:to>
      <xdr:col>15</xdr:col>
      <xdr:colOff>95250</xdr:colOff>
      <xdr:row>4</xdr:row>
      <xdr:rowOff>28575</xdr:rowOff>
    </xdr:to>
    <xdr:sp macro="" textlink="">
      <xdr:nvSpPr>
        <xdr:cNvPr id="14" name="Left Arrow 13">
          <a:extLst>
            <a:ext uri="{FF2B5EF4-FFF2-40B4-BE49-F238E27FC236}">
              <a16:creationId xmlns:a16="http://schemas.microsoft.com/office/drawing/2014/main" xmlns="" id="{00000000-0008-0000-1300-00000E000000}"/>
            </a:ext>
          </a:extLst>
        </xdr:cNvPr>
        <xdr:cNvSpPr/>
      </xdr:nvSpPr>
      <xdr:spPr>
        <a:xfrm>
          <a:off x="8124825" y="76200"/>
          <a:ext cx="1409700" cy="714375"/>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r>
            <a:rPr lang="en-US" sz="1400" b="1"/>
            <a:t>PRINT   AREA</a:t>
          </a:r>
        </a:p>
      </xdr:txBody>
    </xdr:sp>
    <xdr:clientData/>
  </xdr:twoCellAnchor>
  <xdr:twoCellAnchor>
    <xdr:from>
      <xdr:col>7</xdr:col>
      <xdr:colOff>333375</xdr:colOff>
      <xdr:row>4</xdr:row>
      <xdr:rowOff>190500</xdr:rowOff>
    </xdr:from>
    <xdr:to>
      <xdr:col>8</xdr:col>
      <xdr:colOff>733425</xdr:colOff>
      <xdr:row>10</xdr:row>
      <xdr:rowOff>9526</xdr:rowOff>
    </xdr:to>
    <xdr:sp macro="" textlink="">
      <xdr:nvSpPr>
        <xdr:cNvPr id="15" name="AutoShape 8">
          <a:extLst>
            <a:ext uri="{FF2B5EF4-FFF2-40B4-BE49-F238E27FC236}">
              <a16:creationId xmlns:a16="http://schemas.microsoft.com/office/drawing/2014/main" xmlns="" id="{00000000-0008-0000-1300-00000F000000}"/>
            </a:ext>
          </a:extLst>
        </xdr:cNvPr>
        <xdr:cNvSpPr>
          <a:spLocks noChangeArrowheads="1"/>
        </xdr:cNvSpPr>
      </xdr:nvSpPr>
      <xdr:spPr bwMode="auto">
        <a:xfrm>
          <a:off x="4057650" y="952500"/>
          <a:ext cx="1381125" cy="962026"/>
        </a:xfrm>
        <a:prstGeom prst="sun">
          <a:avLst>
            <a:gd name="adj" fmla="val 12500"/>
          </a:avLst>
        </a:prstGeom>
        <a:noFill/>
        <a:ln w="9525">
          <a:solidFill>
            <a:schemeClr val="tx1"/>
          </a:solidFill>
          <a:miter lim="800000"/>
          <a:headEnd/>
          <a:tailEnd/>
        </a:ln>
      </xdr:spPr>
      <xdr:txBody>
        <a:bodyPr wrap="square" anchor="ct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endParaRPr lang="en-US" sz="2400">
            <a:latin typeface="Times New Roman" pitchFamily="18" charset="0"/>
          </a:endParaRPr>
        </a:p>
      </xdr:txBody>
    </xdr:sp>
    <xdr:clientData/>
  </xdr:twoCellAnchor>
  <xdr:oneCellAnchor>
    <xdr:from>
      <xdr:col>6</xdr:col>
      <xdr:colOff>142873</xdr:colOff>
      <xdr:row>15</xdr:row>
      <xdr:rowOff>1</xdr:rowOff>
    </xdr:from>
    <xdr:ext cx="558437" cy="276224"/>
    <xdr:pic>
      <xdr:nvPicPr>
        <xdr:cNvPr id="16" name="Picture 1" descr="Large View">
          <a:extLst>
            <a:ext uri="{FF2B5EF4-FFF2-40B4-BE49-F238E27FC236}">
              <a16:creationId xmlns:a16="http://schemas.microsoft.com/office/drawing/2014/main" xmlns="" id="{00000000-0008-0000-1300-000010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flipH="1">
          <a:off x="3114673" y="2857501"/>
          <a:ext cx="558437" cy="276224"/>
        </a:xfrm>
        <a:prstGeom prst="rect">
          <a:avLst/>
        </a:prstGeom>
        <a:noFill/>
      </xdr:spPr>
    </xdr:pic>
    <xdr:clientData/>
  </xdr:oneCellAnchor>
  <xdr:oneCellAnchor>
    <xdr:from>
      <xdr:col>8</xdr:col>
      <xdr:colOff>266700</xdr:colOff>
      <xdr:row>23</xdr:row>
      <xdr:rowOff>95250</xdr:rowOff>
    </xdr:from>
    <xdr:ext cx="2695576" cy="2238376"/>
    <xdr:pic>
      <xdr:nvPicPr>
        <xdr:cNvPr id="17" name="Picture 86">
          <a:extLst>
            <a:ext uri="{FF2B5EF4-FFF2-40B4-BE49-F238E27FC236}">
              <a16:creationId xmlns:a16="http://schemas.microsoft.com/office/drawing/2014/main" xmlns="" id="{00000000-0008-0000-1300-000011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4981575" y="4695825"/>
          <a:ext cx="2695576" cy="2238376"/>
        </a:xfrm>
        <a:prstGeom prst="rect">
          <a:avLst/>
        </a:prstGeom>
        <a:ln>
          <a:noFill/>
        </a:ln>
        <a:effectLst>
          <a:outerShdw blurRad="190500" algn="tl" rotWithShape="0">
            <a:srgbClr val="000000">
              <a:alpha val="70000"/>
            </a:srgbClr>
          </a:outerShdw>
        </a:effectLst>
      </xdr:spPr>
    </xdr:pic>
    <xdr:clientData/>
  </xdr:oneCellAnchor>
  <xdr:oneCellAnchor>
    <xdr:from>
      <xdr:col>8</xdr:col>
      <xdr:colOff>19051</xdr:colOff>
      <xdr:row>10</xdr:row>
      <xdr:rowOff>57150</xdr:rowOff>
    </xdr:from>
    <xdr:ext cx="990599" cy="942975"/>
    <xdr:pic>
      <xdr:nvPicPr>
        <xdr:cNvPr id="18" name="Picture 1" descr="savings image க்கான பட முடிவு">
          <a:extLst>
            <a:ext uri="{FF2B5EF4-FFF2-40B4-BE49-F238E27FC236}">
              <a16:creationId xmlns:a16="http://schemas.microsoft.com/office/drawing/2014/main" xmlns="" id="{00000000-0008-0000-1300-000012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4724401" y="1962150"/>
          <a:ext cx="990599" cy="942975"/>
        </a:xfrm>
        <a:prstGeom prst="rect">
          <a:avLst/>
        </a:prstGeom>
        <a:noFill/>
      </xdr:spPr>
    </xdr:pic>
    <xdr:clientData/>
  </xdr:oneCellAnchor>
  <xdr:twoCellAnchor>
    <xdr:from>
      <xdr:col>8</xdr:col>
      <xdr:colOff>952500</xdr:colOff>
      <xdr:row>10</xdr:row>
      <xdr:rowOff>180975</xdr:rowOff>
    </xdr:from>
    <xdr:to>
      <xdr:col>10</xdr:col>
      <xdr:colOff>152400</xdr:colOff>
      <xdr:row>15</xdr:row>
      <xdr:rowOff>28575</xdr:rowOff>
    </xdr:to>
    <xdr:sp macro="" textlink="">
      <xdr:nvSpPr>
        <xdr:cNvPr id="19" name="Oval 18">
          <a:extLst>
            <a:ext uri="{FF2B5EF4-FFF2-40B4-BE49-F238E27FC236}">
              <a16:creationId xmlns:a16="http://schemas.microsoft.com/office/drawing/2014/main" xmlns="" id="{00000000-0008-0000-1300-000013000000}"/>
            </a:ext>
          </a:extLst>
        </xdr:cNvPr>
        <xdr:cNvSpPr/>
      </xdr:nvSpPr>
      <xdr:spPr>
        <a:xfrm>
          <a:off x="5657850" y="2085975"/>
          <a:ext cx="1209675" cy="800100"/>
        </a:xfrm>
        <a:prstGeom prst="ellipse">
          <a:avLst/>
        </a:prstGeom>
        <a:no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clientData/>
  </xdr:twoCellAnchor>
  <xdr:twoCellAnchor>
    <xdr:from>
      <xdr:col>9</xdr:col>
      <xdr:colOff>200025</xdr:colOff>
      <xdr:row>51</xdr:row>
      <xdr:rowOff>200026</xdr:rowOff>
    </xdr:from>
    <xdr:to>
      <xdr:col>12</xdr:col>
      <xdr:colOff>152400</xdr:colOff>
      <xdr:row>56</xdr:row>
      <xdr:rowOff>66675</xdr:rowOff>
    </xdr:to>
    <xdr:sp macro="" textlink="">
      <xdr:nvSpPr>
        <xdr:cNvPr id="20" name="Rounded Rectangle 19">
          <a:extLst>
            <a:ext uri="{FF2B5EF4-FFF2-40B4-BE49-F238E27FC236}">
              <a16:creationId xmlns:a16="http://schemas.microsoft.com/office/drawing/2014/main" xmlns="" id="{00000000-0008-0000-1300-000014000000}"/>
            </a:ext>
          </a:extLst>
        </xdr:cNvPr>
        <xdr:cNvSpPr/>
      </xdr:nvSpPr>
      <xdr:spPr>
        <a:xfrm>
          <a:off x="5905500" y="9906001"/>
          <a:ext cx="1685925" cy="828674"/>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14</xdr:col>
      <xdr:colOff>28575</xdr:colOff>
      <xdr:row>8</xdr:row>
      <xdr:rowOff>85726</xdr:rowOff>
    </xdr:from>
    <xdr:ext cx="361949" cy="285750"/>
    <xdr:pic>
      <xdr:nvPicPr>
        <xdr:cNvPr id="21" name="Picture 2">
          <a:hlinkClick xmlns:r="http://schemas.openxmlformats.org/officeDocument/2006/relationships" r:id="rId8"/>
          <a:extLst>
            <a:ext uri="{FF2B5EF4-FFF2-40B4-BE49-F238E27FC236}">
              <a16:creationId xmlns:a16="http://schemas.microsoft.com/office/drawing/2014/main" xmlns="" id="{00000000-0008-0000-1300-000015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8477250" y="1609726"/>
          <a:ext cx="361949" cy="285750"/>
        </a:xfrm>
        <a:prstGeom prst="rect">
          <a:avLst/>
        </a:prstGeom>
        <a:noFill/>
      </xdr:spPr>
    </xdr:pic>
    <xdr:clientData/>
  </xdr:oneCellAnchor>
  <xdr:oneCellAnchor>
    <xdr:from>
      <xdr:col>14</xdr:col>
      <xdr:colOff>9525</xdr:colOff>
      <xdr:row>15</xdr:row>
      <xdr:rowOff>57151</xdr:rowOff>
    </xdr:from>
    <xdr:ext cx="361949" cy="285750"/>
    <xdr:pic>
      <xdr:nvPicPr>
        <xdr:cNvPr id="22" name="Picture 2">
          <a:extLst>
            <a:ext uri="{FF2B5EF4-FFF2-40B4-BE49-F238E27FC236}">
              <a16:creationId xmlns:a16="http://schemas.microsoft.com/office/drawing/2014/main" xmlns="" id="{00000000-0008-0000-1300-000016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458200" y="2914651"/>
          <a:ext cx="361949" cy="285750"/>
        </a:xfrm>
        <a:prstGeom prst="rect">
          <a:avLst/>
        </a:prstGeom>
        <a:noFill/>
      </xdr:spPr>
    </xdr:pic>
    <xdr:clientData/>
  </xdr:oneCellAnchor>
  <xdr:twoCellAnchor>
    <xdr:from>
      <xdr:col>6</xdr:col>
      <xdr:colOff>457200</xdr:colOff>
      <xdr:row>6</xdr:row>
      <xdr:rowOff>161925</xdr:rowOff>
    </xdr:from>
    <xdr:to>
      <xdr:col>6</xdr:col>
      <xdr:colOff>657225</xdr:colOff>
      <xdr:row>7</xdr:row>
      <xdr:rowOff>152400</xdr:rowOff>
    </xdr:to>
    <xdr:sp macro="" textlink="">
      <xdr:nvSpPr>
        <xdr:cNvPr id="23" name="Smiley Face 22">
          <a:extLst>
            <a:ext uri="{FF2B5EF4-FFF2-40B4-BE49-F238E27FC236}">
              <a16:creationId xmlns:a16="http://schemas.microsoft.com/office/drawing/2014/main" xmlns="" id="{00000000-0008-0000-1300-000017000000}"/>
            </a:ext>
          </a:extLst>
        </xdr:cNvPr>
        <xdr:cNvSpPr/>
      </xdr:nvSpPr>
      <xdr:spPr>
        <a:xfrm>
          <a:off x="3429000" y="1304925"/>
          <a:ext cx="200025" cy="180975"/>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2</xdr:col>
      <xdr:colOff>123825</xdr:colOff>
      <xdr:row>6</xdr:row>
      <xdr:rowOff>161925</xdr:rowOff>
    </xdr:from>
    <xdr:to>
      <xdr:col>2</xdr:col>
      <xdr:colOff>323850</xdr:colOff>
      <xdr:row>7</xdr:row>
      <xdr:rowOff>152400</xdr:rowOff>
    </xdr:to>
    <xdr:sp macro="" textlink="">
      <xdr:nvSpPr>
        <xdr:cNvPr id="24" name="Smiley Face 23">
          <a:extLst>
            <a:ext uri="{FF2B5EF4-FFF2-40B4-BE49-F238E27FC236}">
              <a16:creationId xmlns:a16="http://schemas.microsoft.com/office/drawing/2014/main" xmlns="" id="{00000000-0008-0000-1300-000018000000}"/>
            </a:ext>
          </a:extLst>
        </xdr:cNvPr>
        <xdr:cNvSpPr/>
      </xdr:nvSpPr>
      <xdr:spPr>
        <a:xfrm>
          <a:off x="285750" y="1304925"/>
          <a:ext cx="200025" cy="180975"/>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8</xdr:col>
      <xdr:colOff>123825</xdr:colOff>
      <xdr:row>43</xdr:row>
      <xdr:rowOff>114300</xdr:rowOff>
    </xdr:from>
    <xdr:to>
      <xdr:col>12</xdr:col>
      <xdr:colOff>95250</xdr:colOff>
      <xdr:row>51</xdr:row>
      <xdr:rowOff>0</xdr:rowOff>
    </xdr:to>
    <xdr:sp macro="" textlink="">
      <xdr:nvSpPr>
        <xdr:cNvPr id="25" name="Round Diagonal Corner Rectangle 24">
          <a:extLst>
            <a:ext uri="{FF2B5EF4-FFF2-40B4-BE49-F238E27FC236}">
              <a16:creationId xmlns:a16="http://schemas.microsoft.com/office/drawing/2014/main" xmlns="" id="{00000000-0008-0000-1300-000019000000}"/>
            </a:ext>
          </a:extLst>
        </xdr:cNvPr>
        <xdr:cNvSpPr/>
      </xdr:nvSpPr>
      <xdr:spPr>
        <a:xfrm>
          <a:off x="4829175" y="8305800"/>
          <a:ext cx="2705100" cy="1409700"/>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8</xdr:col>
      <xdr:colOff>266702</xdr:colOff>
      <xdr:row>44</xdr:row>
      <xdr:rowOff>190500</xdr:rowOff>
    </xdr:from>
    <xdr:to>
      <xdr:col>8</xdr:col>
      <xdr:colOff>542926</xdr:colOff>
      <xdr:row>50</xdr:row>
      <xdr:rowOff>47625</xdr:rowOff>
    </xdr:to>
    <xdr:grpSp>
      <xdr:nvGrpSpPr>
        <xdr:cNvPr id="26" name="Group 38">
          <a:extLst>
            <a:ext uri="{FF2B5EF4-FFF2-40B4-BE49-F238E27FC236}">
              <a16:creationId xmlns:a16="http://schemas.microsoft.com/office/drawing/2014/main" xmlns="" id="{00000000-0008-0000-1300-00001A000000}"/>
            </a:ext>
          </a:extLst>
        </xdr:cNvPr>
        <xdr:cNvGrpSpPr>
          <a:grpSpLocks/>
        </xdr:cNvGrpSpPr>
      </xdr:nvGrpSpPr>
      <xdr:grpSpPr bwMode="auto">
        <a:xfrm>
          <a:off x="4981577" y="9010650"/>
          <a:ext cx="276224" cy="1057275"/>
          <a:chOff x="112842675" y="108899325"/>
          <a:chExt cx="762763" cy="1285875"/>
        </a:xfrm>
      </xdr:grpSpPr>
      <xdr:sp macro="" textlink="">
        <xdr:nvSpPr>
          <xdr:cNvPr id="27" name="Oval 39">
            <a:extLst>
              <a:ext uri="{FF2B5EF4-FFF2-40B4-BE49-F238E27FC236}">
                <a16:creationId xmlns:a16="http://schemas.microsoft.com/office/drawing/2014/main" xmlns="" id="{00000000-0008-0000-1300-00001B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28" name="Oval 40">
            <a:extLst>
              <a:ext uri="{FF2B5EF4-FFF2-40B4-BE49-F238E27FC236}">
                <a16:creationId xmlns:a16="http://schemas.microsoft.com/office/drawing/2014/main" xmlns="" id="{00000000-0008-0000-1300-00001C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29" name="Oval 41">
            <a:extLst>
              <a:ext uri="{FF2B5EF4-FFF2-40B4-BE49-F238E27FC236}">
                <a16:creationId xmlns:a16="http://schemas.microsoft.com/office/drawing/2014/main" xmlns="" id="{00000000-0008-0000-1300-00001D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30" name="Oval 42">
            <a:extLst>
              <a:ext uri="{FF2B5EF4-FFF2-40B4-BE49-F238E27FC236}">
                <a16:creationId xmlns:a16="http://schemas.microsoft.com/office/drawing/2014/main" xmlns="" id="{00000000-0008-0000-1300-00001E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31" name="Oval 43">
            <a:extLst>
              <a:ext uri="{FF2B5EF4-FFF2-40B4-BE49-F238E27FC236}">
                <a16:creationId xmlns:a16="http://schemas.microsoft.com/office/drawing/2014/main" xmlns="" id="{00000000-0008-0000-1300-00001F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32" name="Oval 44">
            <a:extLst>
              <a:ext uri="{FF2B5EF4-FFF2-40B4-BE49-F238E27FC236}">
                <a16:creationId xmlns:a16="http://schemas.microsoft.com/office/drawing/2014/main" xmlns="" id="{00000000-0008-0000-1300-000020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33" name="Oval 45">
            <a:extLst>
              <a:ext uri="{FF2B5EF4-FFF2-40B4-BE49-F238E27FC236}">
                <a16:creationId xmlns:a16="http://schemas.microsoft.com/office/drawing/2014/main" xmlns="" id="{00000000-0008-0000-1300-000021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34" name="Oval 46">
            <a:extLst>
              <a:ext uri="{FF2B5EF4-FFF2-40B4-BE49-F238E27FC236}">
                <a16:creationId xmlns:a16="http://schemas.microsoft.com/office/drawing/2014/main" xmlns="" id="{00000000-0008-0000-1300-000022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35" name="Oval 47">
            <a:extLst>
              <a:ext uri="{FF2B5EF4-FFF2-40B4-BE49-F238E27FC236}">
                <a16:creationId xmlns:a16="http://schemas.microsoft.com/office/drawing/2014/main" xmlns="" id="{00000000-0008-0000-1300-000023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36" name="Oval 48">
            <a:extLst>
              <a:ext uri="{FF2B5EF4-FFF2-40B4-BE49-F238E27FC236}">
                <a16:creationId xmlns:a16="http://schemas.microsoft.com/office/drawing/2014/main" xmlns="" id="{00000000-0008-0000-1300-000024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37" name="Oval 49">
            <a:extLst>
              <a:ext uri="{FF2B5EF4-FFF2-40B4-BE49-F238E27FC236}">
                <a16:creationId xmlns:a16="http://schemas.microsoft.com/office/drawing/2014/main" xmlns="" id="{00000000-0008-0000-1300-000025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38" name="Oval 50">
            <a:extLst>
              <a:ext uri="{FF2B5EF4-FFF2-40B4-BE49-F238E27FC236}">
                <a16:creationId xmlns:a16="http://schemas.microsoft.com/office/drawing/2014/main" xmlns="" id="{00000000-0008-0000-1300-000026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39" name="Oval 51">
            <a:extLst>
              <a:ext uri="{FF2B5EF4-FFF2-40B4-BE49-F238E27FC236}">
                <a16:creationId xmlns:a16="http://schemas.microsoft.com/office/drawing/2014/main" xmlns="" id="{00000000-0008-0000-1300-000027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40" name="Oval 52">
            <a:extLst>
              <a:ext uri="{FF2B5EF4-FFF2-40B4-BE49-F238E27FC236}">
                <a16:creationId xmlns:a16="http://schemas.microsoft.com/office/drawing/2014/main" xmlns="" id="{00000000-0008-0000-1300-000028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41" name="Oval 53">
            <a:extLst>
              <a:ext uri="{FF2B5EF4-FFF2-40B4-BE49-F238E27FC236}">
                <a16:creationId xmlns:a16="http://schemas.microsoft.com/office/drawing/2014/main" xmlns="" id="{00000000-0008-0000-1300-000029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42" name="Oval 54">
            <a:extLst>
              <a:ext uri="{FF2B5EF4-FFF2-40B4-BE49-F238E27FC236}">
                <a16:creationId xmlns:a16="http://schemas.microsoft.com/office/drawing/2014/main" xmlns="" id="{00000000-0008-0000-1300-00002A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43" name="Oval 55">
            <a:extLst>
              <a:ext uri="{FF2B5EF4-FFF2-40B4-BE49-F238E27FC236}">
                <a16:creationId xmlns:a16="http://schemas.microsoft.com/office/drawing/2014/main" xmlns="" id="{00000000-0008-0000-1300-00002B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44" name="Oval 56">
            <a:extLst>
              <a:ext uri="{FF2B5EF4-FFF2-40B4-BE49-F238E27FC236}">
                <a16:creationId xmlns:a16="http://schemas.microsoft.com/office/drawing/2014/main" xmlns="" id="{00000000-0008-0000-1300-00002C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45" name="Oval 57">
            <a:extLst>
              <a:ext uri="{FF2B5EF4-FFF2-40B4-BE49-F238E27FC236}">
                <a16:creationId xmlns:a16="http://schemas.microsoft.com/office/drawing/2014/main" xmlns="" id="{00000000-0008-0000-1300-00002D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46" name="Oval 58">
            <a:extLst>
              <a:ext uri="{FF2B5EF4-FFF2-40B4-BE49-F238E27FC236}">
                <a16:creationId xmlns:a16="http://schemas.microsoft.com/office/drawing/2014/main" xmlns="" id="{00000000-0008-0000-1300-00002E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47" name="Oval 59">
            <a:extLst>
              <a:ext uri="{FF2B5EF4-FFF2-40B4-BE49-F238E27FC236}">
                <a16:creationId xmlns:a16="http://schemas.microsoft.com/office/drawing/2014/main" xmlns="" id="{00000000-0008-0000-1300-00002F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48" name="Oval 60">
            <a:extLst>
              <a:ext uri="{FF2B5EF4-FFF2-40B4-BE49-F238E27FC236}">
                <a16:creationId xmlns:a16="http://schemas.microsoft.com/office/drawing/2014/main" xmlns="" id="{00000000-0008-0000-1300-000030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49" name="Oval 61">
            <a:extLst>
              <a:ext uri="{FF2B5EF4-FFF2-40B4-BE49-F238E27FC236}">
                <a16:creationId xmlns:a16="http://schemas.microsoft.com/office/drawing/2014/main" xmlns="" id="{00000000-0008-0000-1300-000031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50" name="Oval 62">
            <a:extLst>
              <a:ext uri="{FF2B5EF4-FFF2-40B4-BE49-F238E27FC236}">
                <a16:creationId xmlns:a16="http://schemas.microsoft.com/office/drawing/2014/main" xmlns="" id="{00000000-0008-0000-1300-000032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51" name="Oval 63">
            <a:extLst>
              <a:ext uri="{FF2B5EF4-FFF2-40B4-BE49-F238E27FC236}">
                <a16:creationId xmlns:a16="http://schemas.microsoft.com/office/drawing/2014/main" xmlns="" id="{00000000-0008-0000-1300-000033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52" name="Oval 64">
            <a:extLst>
              <a:ext uri="{FF2B5EF4-FFF2-40B4-BE49-F238E27FC236}">
                <a16:creationId xmlns:a16="http://schemas.microsoft.com/office/drawing/2014/main" xmlns="" id="{00000000-0008-0000-1300-000034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53" name="Oval 65">
            <a:extLst>
              <a:ext uri="{FF2B5EF4-FFF2-40B4-BE49-F238E27FC236}">
                <a16:creationId xmlns:a16="http://schemas.microsoft.com/office/drawing/2014/main" xmlns="" id="{00000000-0008-0000-1300-000035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54" name="Oval 66">
            <a:extLst>
              <a:ext uri="{FF2B5EF4-FFF2-40B4-BE49-F238E27FC236}">
                <a16:creationId xmlns:a16="http://schemas.microsoft.com/office/drawing/2014/main" xmlns="" id="{00000000-0008-0000-1300-000036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55" name="Oval 67">
            <a:extLst>
              <a:ext uri="{FF2B5EF4-FFF2-40B4-BE49-F238E27FC236}">
                <a16:creationId xmlns:a16="http://schemas.microsoft.com/office/drawing/2014/main" xmlns="" id="{00000000-0008-0000-1300-000037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56" name="Oval 68">
            <a:extLst>
              <a:ext uri="{FF2B5EF4-FFF2-40B4-BE49-F238E27FC236}">
                <a16:creationId xmlns:a16="http://schemas.microsoft.com/office/drawing/2014/main" xmlns="" id="{00000000-0008-0000-1300-000038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57" name="Oval 69">
            <a:extLst>
              <a:ext uri="{FF2B5EF4-FFF2-40B4-BE49-F238E27FC236}">
                <a16:creationId xmlns:a16="http://schemas.microsoft.com/office/drawing/2014/main" xmlns="" id="{00000000-0008-0000-1300-000039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oneCellAnchor>
    <xdr:from>
      <xdr:col>2</xdr:col>
      <xdr:colOff>104774</xdr:colOff>
      <xdr:row>16</xdr:row>
      <xdr:rowOff>133350</xdr:rowOff>
    </xdr:from>
    <xdr:ext cx="1362075" cy="1304925"/>
    <xdr:pic>
      <xdr:nvPicPr>
        <xdr:cNvPr id="59" name="Picture 58" descr="Children Plans.jpg">
          <a:extLst>
            <a:ext uri="{FF2B5EF4-FFF2-40B4-BE49-F238E27FC236}">
              <a16:creationId xmlns:a16="http://schemas.microsoft.com/office/drawing/2014/main" xmlns="" id="{00000000-0008-0000-1300-00003B000000}"/>
            </a:ext>
          </a:extLst>
        </xdr:cNvPr>
        <xdr:cNvPicPr>
          <a:picLocks noChangeAspect="1"/>
        </xdr:cNvPicPr>
      </xdr:nvPicPr>
      <xdr:blipFill>
        <a:blip xmlns:r="http://schemas.openxmlformats.org/officeDocument/2006/relationships" r:embed="rId11" cstate="print"/>
        <a:stretch>
          <a:fillRect/>
        </a:stretch>
      </xdr:blipFill>
      <xdr:spPr>
        <a:xfrm>
          <a:off x="276224" y="3333750"/>
          <a:ext cx="1362075" cy="1304925"/>
        </a:xfrm>
        <a:prstGeom prst="rect">
          <a:avLst/>
        </a:prstGeom>
      </xdr:spPr>
    </xdr:pic>
    <xdr:clientData/>
  </xdr:oneCellAnchor>
  <xdr:twoCellAnchor>
    <xdr:from>
      <xdr:col>8</xdr:col>
      <xdr:colOff>266700</xdr:colOff>
      <xdr:row>35</xdr:row>
      <xdr:rowOff>95250</xdr:rowOff>
    </xdr:from>
    <xdr:to>
      <xdr:col>12</xdr:col>
      <xdr:colOff>333375</xdr:colOff>
      <xdr:row>42</xdr:row>
      <xdr:rowOff>142875</xdr:rowOff>
    </xdr:to>
    <xdr:sp macro="" textlink="">
      <xdr:nvSpPr>
        <xdr:cNvPr id="60" name="Rounded Rectangle 59">
          <a:extLst>
            <a:ext uri="{FF2B5EF4-FFF2-40B4-BE49-F238E27FC236}">
              <a16:creationId xmlns:a16="http://schemas.microsoft.com/office/drawing/2014/main" xmlns="" id="{00000000-0008-0000-1300-00003C000000}"/>
            </a:ext>
          </a:extLst>
        </xdr:cNvPr>
        <xdr:cNvSpPr/>
      </xdr:nvSpPr>
      <xdr:spPr>
        <a:xfrm>
          <a:off x="4972050" y="6762750"/>
          <a:ext cx="2800350" cy="1381125"/>
        </a:xfrm>
        <a:prstGeom prst="roundRect">
          <a:avLst/>
        </a:prstGeom>
        <a:noFill/>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8</xdr:col>
      <xdr:colOff>361950</xdr:colOff>
      <xdr:row>39</xdr:row>
      <xdr:rowOff>76198</xdr:rowOff>
    </xdr:from>
    <xdr:ext cx="723900" cy="609602"/>
    <xdr:pic>
      <xdr:nvPicPr>
        <xdr:cNvPr id="61" name="Picture 60">
          <a:extLst>
            <a:ext uri="{FF2B5EF4-FFF2-40B4-BE49-F238E27FC236}">
              <a16:creationId xmlns:a16="http://schemas.microsoft.com/office/drawing/2014/main" xmlns="" id="{00000000-0008-0000-1300-00003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5067300" y="7505698"/>
          <a:ext cx="723900" cy="609602"/>
        </a:xfrm>
        <a:prstGeom prst="rect">
          <a:avLst/>
        </a:prstGeom>
      </xdr:spPr>
    </xdr:pic>
    <xdr:clientData/>
  </xdr:oneCellAnchor>
  <xdr:twoCellAnchor editAs="oneCell">
    <xdr:from>
      <xdr:col>4</xdr:col>
      <xdr:colOff>714375</xdr:colOff>
      <xdr:row>51</xdr:row>
      <xdr:rowOff>152400</xdr:rowOff>
    </xdr:from>
    <xdr:to>
      <xdr:col>6</xdr:col>
      <xdr:colOff>38100</xdr:colOff>
      <xdr:row>57</xdr:row>
      <xdr:rowOff>76200</xdr:rowOff>
    </xdr:to>
    <xdr:pic>
      <xdr:nvPicPr>
        <xdr:cNvPr id="63" name="Picture 62">
          <a:extLst>
            <a:ext uri="{FF2B5EF4-FFF2-40B4-BE49-F238E27FC236}">
              <a16:creationId xmlns:a16="http://schemas.microsoft.com/office/drawing/2014/main" xmlns="" id="{00000000-0008-0000-1300-00003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xmlns="" val="0"/>
            </a:ext>
          </a:extLst>
        </a:blip>
        <a:stretch>
          <a:fillRect/>
        </a:stretch>
      </xdr:blipFill>
      <xdr:spPr>
        <a:xfrm>
          <a:off x="2095500" y="10372725"/>
          <a:ext cx="923925" cy="1171575"/>
        </a:xfrm>
        <a:prstGeom prst="ellipse">
          <a:avLst/>
        </a:prstGeom>
        <a:ln>
          <a:noFill/>
        </a:ln>
        <a:effectLst>
          <a:softEdge rad="112500"/>
        </a:effec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914400</xdr:colOff>
      <xdr:row>1</xdr:row>
      <xdr:rowOff>38100</xdr:rowOff>
    </xdr:from>
    <xdr:to>
      <xdr:col>8</xdr:col>
      <xdr:colOff>485775</xdr:colOff>
      <xdr:row>2</xdr:row>
      <xdr:rowOff>57150</xdr:rowOff>
    </xdr:to>
    <xdr:pic>
      <xdr:nvPicPr>
        <xdr:cNvPr id="2" name="Picture 1">
          <a:extLst>
            <a:ext uri="{FF2B5EF4-FFF2-40B4-BE49-F238E27FC236}">
              <a16:creationId xmlns:a16="http://schemas.microsoft.com/office/drawing/2014/main" xmlns="" id="{00000000-0008-0000-1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190875" y="228600"/>
          <a:ext cx="2219325" cy="209550"/>
        </a:xfrm>
        <a:prstGeom prst="rect">
          <a:avLst/>
        </a:prstGeom>
        <a:noFill/>
        <a:ln w="9525">
          <a:noFill/>
          <a:round/>
          <a:headEnd/>
          <a:tailEnd/>
        </a:ln>
        <a:effectLst/>
      </xdr:spPr>
    </xdr:pic>
    <xdr:clientData/>
  </xdr:twoCellAnchor>
  <xdr:twoCellAnchor>
    <xdr:from>
      <xdr:col>4</xdr:col>
      <xdr:colOff>400050</xdr:colOff>
      <xdr:row>2</xdr:row>
      <xdr:rowOff>38100</xdr:rowOff>
    </xdr:from>
    <xdr:to>
      <xdr:col>10</xdr:col>
      <xdr:colOff>47625</xdr:colOff>
      <xdr:row>3</xdr:row>
      <xdr:rowOff>123825</xdr:rowOff>
    </xdr:to>
    <xdr:pic>
      <xdr:nvPicPr>
        <xdr:cNvPr id="3" name="Picture 2">
          <a:extLst>
            <a:ext uri="{FF2B5EF4-FFF2-40B4-BE49-F238E27FC236}">
              <a16:creationId xmlns:a16="http://schemas.microsoft.com/office/drawing/2014/main" xmlns="" id="{00000000-0008-0000-1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47850" y="438150"/>
          <a:ext cx="4371975" cy="285750"/>
        </a:xfrm>
        <a:prstGeom prst="rect">
          <a:avLst/>
        </a:prstGeom>
        <a:noFill/>
        <a:ln w="9525">
          <a:noFill/>
          <a:round/>
          <a:headEnd/>
          <a:tailEnd/>
        </a:ln>
        <a:effectLst/>
      </xdr:spPr>
    </xdr:pic>
    <xdr:clientData/>
  </xdr:twoCellAnchor>
  <xdr:oneCellAnchor>
    <xdr:from>
      <xdr:col>3</xdr:col>
      <xdr:colOff>161924</xdr:colOff>
      <xdr:row>1</xdr:row>
      <xdr:rowOff>38100</xdr:rowOff>
    </xdr:from>
    <xdr:ext cx="1143001" cy="590550"/>
    <xdr:pic>
      <xdr:nvPicPr>
        <xdr:cNvPr id="4" name="image00.jpg">
          <a:extLst>
            <a:ext uri="{FF2B5EF4-FFF2-40B4-BE49-F238E27FC236}">
              <a16:creationId xmlns:a16="http://schemas.microsoft.com/office/drawing/2014/main" xmlns="" id="{00000000-0008-0000-1400-000004000000}"/>
            </a:ext>
          </a:extLst>
        </xdr:cNvPr>
        <xdr:cNvPicPr preferRelativeResize="0"/>
      </xdr:nvPicPr>
      <xdr:blipFill>
        <a:blip xmlns:r="http://schemas.openxmlformats.org/officeDocument/2006/relationships" r:embed="rId3" cstate="print"/>
        <a:stretch>
          <a:fillRect/>
        </a:stretch>
      </xdr:blipFill>
      <xdr:spPr>
        <a:xfrm>
          <a:off x="742949" y="228600"/>
          <a:ext cx="1143001" cy="590550"/>
        </a:xfrm>
        <a:prstGeom prst="rect">
          <a:avLst/>
        </a:prstGeom>
        <a:noFill/>
      </xdr:spPr>
    </xdr:pic>
    <xdr:clientData fLocksWithSheet="0"/>
  </xdr:oneCellAnchor>
  <xdr:twoCellAnchor>
    <xdr:from>
      <xdr:col>10</xdr:col>
      <xdr:colOff>638177</xdr:colOff>
      <xdr:row>54</xdr:row>
      <xdr:rowOff>19050</xdr:rowOff>
    </xdr:from>
    <xdr:to>
      <xdr:col>13</xdr:col>
      <xdr:colOff>23243</xdr:colOff>
      <xdr:row>58</xdr:row>
      <xdr:rowOff>23622</xdr:rowOff>
    </xdr:to>
    <xdr:pic>
      <xdr:nvPicPr>
        <xdr:cNvPr id="5" name="Picture 34" descr="j0153514">
          <a:extLst>
            <a:ext uri="{FF2B5EF4-FFF2-40B4-BE49-F238E27FC236}">
              <a16:creationId xmlns:a16="http://schemas.microsoft.com/office/drawing/2014/main" xmlns="" id="{00000000-0008-0000-1400-000005000000}"/>
            </a:ext>
          </a:extLst>
        </xdr:cNvPr>
        <xdr:cNvPicPr preferRelativeResize="0">
          <a:picLocks noChangeArrowheads="1" noChangeShapeType="1"/>
        </xdr:cNvPicPr>
      </xdr:nvPicPr>
      <xdr:blipFill>
        <a:blip xmlns:r="http://schemas.openxmlformats.org/officeDocument/2006/relationships" r:embed="rId4" cstate="print"/>
        <a:srcRect/>
        <a:stretch>
          <a:fillRect/>
        </a:stretch>
      </xdr:blipFill>
      <xdr:spPr bwMode="auto">
        <a:xfrm flipV="1">
          <a:off x="6791327" y="10306050"/>
          <a:ext cx="1042416" cy="766572"/>
        </a:xfrm>
        <a:prstGeom prst="rect">
          <a:avLst/>
        </a:prstGeom>
        <a:noFill/>
        <a:ln w="9525" algn="in">
          <a:noFill/>
          <a:miter lim="800000"/>
          <a:headEnd/>
          <a:tailEnd/>
        </a:ln>
        <a:effectLst/>
      </xdr:spPr>
    </xdr:pic>
    <xdr:clientData/>
  </xdr:twoCellAnchor>
  <xdr:twoCellAnchor>
    <xdr:from>
      <xdr:col>1</xdr:col>
      <xdr:colOff>0</xdr:colOff>
      <xdr:row>53</xdr:row>
      <xdr:rowOff>195452</xdr:rowOff>
    </xdr:from>
    <xdr:to>
      <xdr:col>3</xdr:col>
      <xdr:colOff>462914</xdr:colOff>
      <xdr:row>57</xdr:row>
      <xdr:rowOff>200024</xdr:rowOff>
    </xdr:to>
    <xdr:pic>
      <xdr:nvPicPr>
        <xdr:cNvPr id="6" name="Picture 33" descr="j0153514">
          <a:extLst>
            <a:ext uri="{FF2B5EF4-FFF2-40B4-BE49-F238E27FC236}">
              <a16:creationId xmlns:a16="http://schemas.microsoft.com/office/drawing/2014/main" xmlns="" id="{00000000-0008-0000-1400-000006000000}"/>
            </a:ext>
          </a:extLst>
        </xdr:cNvPr>
        <xdr:cNvPicPr preferRelativeResize="0">
          <a:picLocks noChangeArrowheads="1" noChangeShapeType="1"/>
        </xdr:cNvPicPr>
      </xdr:nvPicPr>
      <xdr:blipFill>
        <a:blip xmlns:r="http://schemas.openxmlformats.org/officeDocument/2006/relationships" r:embed="rId4" cstate="print"/>
        <a:srcRect/>
        <a:stretch>
          <a:fillRect/>
        </a:stretch>
      </xdr:blipFill>
      <xdr:spPr bwMode="auto">
        <a:xfrm rot="10800000">
          <a:off x="19050" y="11120627"/>
          <a:ext cx="1043939" cy="804672"/>
        </a:xfrm>
        <a:prstGeom prst="rect">
          <a:avLst/>
        </a:prstGeom>
        <a:noFill/>
        <a:ln w="9525" algn="in">
          <a:noFill/>
          <a:miter lim="800000"/>
          <a:headEnd/>
          <a:tailEnd/>
        </a:ln>
        <a:effectLst/>
      </xdr:spPr>
    </xdr:pic>
    <xdr:clientData/>
  </xdr:twoCellAnchor>
  <xdr:twoCellAnchor>
    <xdr:from>
      <xdr:col>10</xdr:col>
      <xdr:colOff>619125</xdr:colOff>
      <xdr:row>0</xdr:row>
      <xdr:rowOff>114300</xdr:rowOff>
    </xdr:from>
    <xdr:to>
      <xdr:col>13</xdr:col>
      <xdr:colOff>4191</xdr:colOff>
      <xdr:row>4</xdr:row>
      <xdr:rowOff>121920</xdr:rowOff>
    </xdr:to>
    <xdr:pic>
      <xdr:nvPicPr>
        <xdr:cNvPr id="7" name="Picture 36" descr="j0153514">
          <a:extLst>
            <a:ext uri="{FF2B5EF4-FFF2-40B4-BE49-F238E27FC236}">
              <a16:creationId xmlns:a16="http://schemas.microsoft.com/office/drawing/2014/main" xmlns="" id="{00000000-0008-0000-1400-000007000000}"/>
            </a:ext>
          </a:extLst>
        </xdr:cNvPr>
        <xdr:cNvPicPr preferRelativeResize="0">
          <a:picLocks noChangeArrowheads="1" noChangeShapeType="1"/>
        </xdr:cNvPicPr>
      </xdr:nvPicPr>
      <xdr:blipFill>
        <a:blip xmlns:r="http://schemas.openxmlformats.org/officeDocument/2006/relationships" r:embed="rId4" cstate="print"/>
        <a:srcRect/>
        <a:stretch>
          <a:fillRect/>
        </a:stretch>
      </xdr:blipFill>
      <xdr:spPr bwMode="auto">
        <a:xfrm>
          <a:off x="7667625" y="114300"/>
          <a:ext cx="1290066" cy="807720"/>
        </a:xfrm>
        <a:prstGeom prst="rect">
          <a:avLst/>
        </a:prstGeom>
        <a:noFill/>
        <a:ln w="9525" algn="in">
          <a:noFill/>
          <a:miter lim="800000"/>
          <a:headEnd/>
          <a:tailEnd/>
        </a:ln>
        <a:effectLst/>
      </xdr:spPr>
    </xdr:pic>
    <xdr:clientData/>
  </xdr:twoCellAnchor>
  <xdr:twoCellAnchor>
    <xdr:from>
      <xdr:col>1</xdr:col>
      <xdr:colOff>47625</xdr:colOff>
      <xdr:row>0</xdr:row>
      <xdr:rowOff>78105</xdr:rowOff>
    </xdr:from>
    <xdr:to>
      <xdr:col>3</xdr:col>
      <xdr:colOff>510540</xdr:colOff>
      <xdr:row>4</xdr:row>
      <xdr:rowOff>85725</xdr:rowOff>
    </xdr:to>
    <xdr:pic>
      <xdr:nvPicPr>
        <xdr:cNvPr id="8" name="Picture 35" descr="j0153514">
          <a:extLst>
            <a:ext uri="{FF2B5EF4-FFF2-40B4-BE49-F238E27FC236}">
              <a16:creationId xmlns:a16="http://schemas.microsoft.com/office/drawing/2014/main" xmlns="" id="{00000000-0008-0000-1400-000008000000}"/>
            </a:ext>
          </a:extLst>
        </xdr:cNvPr>
        <xdr:cNvPicPr preferRelativeResize="0">
          <a:picLocks noChangeArrowheads="1" noChangeShapeType="1"/>
        </xdr:cNvPicPr>
      </xdr:nvPicPr>
      <xdr:blipFill>
        <a:blip xmlns:r="http://schemas.openxmlformats.org/officeDocument/2006/relationships" r:embed="rId4" cstate="print"/>
        <a:srcRect/>
        <a:stretch>
          <a:fillRect/>
        </a:stretch>
      </xdr:blipFill>
      <xdr:spPr bwMode="auto">
        <a:xfrm rot="10800000" flipV="1">
          <a:off x="47625" y="78105"/>
          <a:ext cx="1043940" cy="769620"/>
        </a:xfrm>
        <a:prstGeom prst="rect">
          <a:avLst/>
        </a:prstGeom>
        <a:noFill/>
        <a:ln w="9525" algn="in">
          <a:noFill/>
          <a:miter lim="800000"/>
          <a:headEnd/>
          <a:tailEnd/>
        </a:ln>
        <a:effectLst/>
      </xdr:spPr>
    </xdr:pic>
    <xdr:clientData/>
  </xdr:twoCellAnchor>
  <xdr:twoCellAnchor>
    <xdr:from>
      <xdr:col>3</xdr:col>
      <xdr:colOff>542923</xdr:colOff>
      <xdr:row>0</xdr:row>
      <xdr:rowOff>142874</xdr:rowOff>
    </xdr:from>
    <xdr:to>
      <xdr:col>8</xdr:col>
      <xdr:colOff>676274</xdr:colOff>
      <xdr:row>0</xdr:row>
      <xdr:rowOff>188593</xdr:rowOff>
    </xdr:to>
    <xdr:sp macro="" textlink="">
      <xdr:nvSpPr>
        <xdr:cNvPr id="10" name="Rectangle 37">
          <a:extLst>
            <a:ext uri="{FF2B5EF4-FFF2-40B4-BE49-F238E27FC236}">
              <a16:creationId xmlns:a16="http://schemas.microsoft.com/office/drawing/2014/main" xmlns="" id="{00000000-0008-0000-1400-00000A000000}"/>
            </a:ext>
          </a:extLst>
        </xdr:cNvPr>
        <xdr:cNvSpPr>
          <a:spLocks noChangeArrowheads="1" noChangeShapeType="1"/>
        </xdr:cNvSpPr>
      </xdr:nvSpPr>
      <xdr:spPr bwMode="auto">
        <a:xfrm flipH="1" flipV="1">
          <a:off x="1123948" y="142874"/>
          <a:ext cx="4476751" cy="45719"/>
        </a:xfrm>
        <a:prstGeom prst="rect">
          <a:avLst/>
        </a:prstGeom>
        <a:gradFill rotWithShape="1">
          <a:gsLst>
            <a:gs pos="0">
              <a:srgbClr val="FFFFFF"/>
            </a:gs>
            <a:gs pos="50000">
              <a:srgbClr val="999966"/>
            </a:gs>
            <a:gs pos="100000">
              <a:srgbClr val="FFFFFF"/>
            </a:gs>
          </a:gsLst>
          <a:lin ang="0" scaled="1"/>
        </a:gradFill>
        <a:ln w="9525" algn="in">
          <a:noFill/>
          <a:miter lim="800000"/>
          <a:headEnd/>
          <a:tailEnd/>
        </a:ln>
        <a:effectLst/>
      </xdr:spPr>
    </xdr:sp>
    <xdr:clientData/>
  </xdr:twoCellAnchor>
  <xdr:twoCellAnchor>
    <xdr:from>
      <xdr:col>3</xdr:col>
      <xdr:colOff>409573</xdr:colOff>
      <xdr:row>57</xdr:row>
      <xdr:rowOff>85722</xdr:rowOff>
    </xdr:from>
    <xdr:to>
      <xdr:col>11</xdr:col>
      <xdr:colOff>219074</xdr:colOff>
      <xdr:row>57</xdr:row>
      <xdr:rowOff>133349</xdr:rowOff>
    </xdr:to>
    <xdr:sp macro="" textlink="">
      <xdr:nvSpPr>
        <xdr:cNvPr id="11" name="Rectangle 10">
          <a:extLst>
            <a:ext uri="{FF2B5EF4-FFF2-40B4-BE49-F238E27FC236}">
              <a16:creationId xmlns:a16="http://schemas.microsoft.com/office/drawing/2014/main" xmlns="" id="{00000000-0008-0000-1400-00000B000000}"/>
            </a:ext>
          </a:extLst>
        </xdr:cNvPr>
        <xdr:cNvSpPr>
          <a:spLocks noChangeArrowheads="1" noChangeShapeType="1"/>
        </xdr:cNvSpPr>
      </xdr:nvSpPr>
      <xdr:spPr bwMode="auto">
        <a:xfrm flipH="1" flipV="1">
          <a:off x="990598" y="10944222"/>
          <a:ext cx="6076951" cy="47627"/>
        </a:xfrm>
        <a:prstGeom prst="rect">
          <a:avLst/>
        </a:prstGeom>
        <a:gradFill rotWithShape="1">
          <a:gsLst>
            <a:gs pos="0">
              <a:srgbClr val="FFFFFF"/>
            </a:gs>
            <a:gs pos="50000">
              <a:srgbClr val="999966"/>
            </a:gs>
            <a:gs pos="100000">
              <a:srgbClr val="FFFFFF"/>
            </a:gs>
          </a:gsLst>
          <a:lin ang="0" scaled="1"/>
        </a:gradFill>
        <a:ln w="9525" algn="in">
          <a:noFill/>
          <a:miter lim="800000"/>
          <a:headEnd/>
          <a:tailEnd/>
        </a:ln>
        <a:effectLst/>
      </xdr:spPr>
    </xdr:sp>
    <xdr:clientData/>
  </xdr:twoCellAnchor>
  <xdr:twoCellAnchor>
    <xdr:from>
      <xdr:col>6</xdr:col>
      <xdr:colOff>285750</xdr:colOff>
      <xdr:row>5</xdr:row>
      <xdr:rowOff>28576</xdr:rowOff>
    </xdr:from>
    <xdr:to>
      <xdr:col>6</xdr:col>
      <xdr:colOff>809625</xdr:colOff>
      <xdr:row>6</xdr:row>
      <xdr:rowOff>171451</xdr:rowOff>
    </xdr:to>
    <xdr:grpSp>
      <xdr:nvGrpSpPr>
        <xdr:cNvPr id="12" name="Group 9">
          <a:extLst>
            <a:ext uri="{FF2B5EF4-FFF2-40B4-BE49-F238E27FC236}">
              <a16:creationId xmlns:a16="http://schemas.microsoft.com/office/drawing/2014/main" xmlns="" id="{00000000-0008-0000-1400-00000C000000}"/>
            </a:ext>
          </a:extLst>
        </xdr:cNvPr>
        <xdr:cNvGrpSpPr>
          <a:grpSpLocks/>
        </xdr:cNvGrpSpPr>
      </xdr:nvGrpSpPr>
      <xdr:grpSpPr bwMode="auto">
        <a:xfrm>
          <a:off x="3991207" y="1015924"/>
          <a:ext cx="523875" cy="340344"/>
          <a:chOff x="105763081" y="105237244"/>
          <a:chExt cx="1752163" cy="1883105"/>
        </a:xfrm>
        <a:scene3d>
          <a:camera prst="orthographicFront">
            <a:rot lat="298850" lon="26213" rev="301140"/>
          </a:camera>
          <a:lightRig rig="threePt" dir="t"/>
        </a:scene3d>
      </xdr:grpSpPr>
      <xdr:sp macro="" textlink="">
        <xdr:nvSpPr>
          <xdr:cNvPr id="13" name="AutoShape 10">
            <a:extLst>
              <a:ext uri="{FF2B5EF4-FFF2-40B4-BE49-F238E27FC236}">
                <a16:creationId xmlns:a16="http://schemas.microsoft.com/office/drawing/2014/main" xmlns="" id="{00000000-0008-0000-1400-00000D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14" name="AutoShape 11">
            <a:extLst>
              <a:ext uri="{FF2B5EF4-FFF2-40B4-BE49-F238E27FC236}">
                <a16:creationId xmlns:a16="http://schemas.microsoft.com/office/drawing/2014/main" xmlns="" id="{00000000-0008-0000-1400-00000E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2</xdr:col>
      <xdr:colOff>190500</xdr:colOff>
      <xdr:row>5</xdr:row>
      <xdr:rowOff>47625</xdr:rowOff>
    </xdr:from>
    <xdr:to>
      <xdr:col>3</xdr:col>
      <xdr:colOff>304800</xdr:colOff>
      <xdr:row>7</xdr:row>
      <xdr:rowOff>19050</xdr:rowOff>
    </xdr:to>
    <xdr:grpSp>
      <xdr:nvGrpSpPr>
        <xdr:cNvPr id="15" name="Group 9">
          <a:extLst>
            <a:ext uri="{FF2B5EF4-FFF2-40B4-BE49-F238E27FC236}">
              <a16:creationId xmlns:a16="http://schemas.microsoft.com/office/drawing/2014/main" xmlns="" id="{00000000-0008-0000-1400-00000F000000}"/>
            </a:ext>
          </a:extLst>
        </xdr:cNvPr>
        <xdr:cNvGrpSpPr>
          <a:grpSpLocks/>
        </xdr:cNvGrpSpPr>
      </xdr:nvGrpSpPr>
      <xdr:grpSpPr bwMode="auto">
        <a:xfrm>
          <a:off x="515744" y="1034973"/>
          <a:ext cx="462776" cy="366364"/>
          <a:chOff x="105763081" y="105237244"/>
          <a:chExt cx="1752163" cy="1883105"/>
        </a:xfrm>
        <a:scene3d>
          <a:camera prst="orthographicFront">
            <a:rot lat="298850" lon="26213" rev="11401140"/>
          </a:camera>
          <a:lightRig rig="threePt" dir="t"/>
        </a:scene3d>
      </xdr:grpSpPr>
      <xdr:sp macro="" textlink="">
        <xdr:nvSpPr>
          <xdr:cNvPr id="16" name="AutoShape 10">
            <a:extLst>
              <a:ext uri="{FF2B5EF4-FFF2-40B4-BE49-F238E27FC236}">
                <a16:creationId xmlns:a16="http://schemas.microsoft.com/office/drawing/2014/main" xmlns="" id="{00000000-0008-0000-1400-000010000000}"/>
              </a:ext>
            </a:extLst>
          </xdr:cNvPr>
          <xdr:cNvSpPr>
            <a:spLocks noChangeArrowheads="1" noChangeShapeType="1"/>
          </xdr:cNvSpPr>
        </xdr:nvSpPr>
        <xdr:spPr bwMode="auto">
          <a:xfrm>
            <a:off x="106149832" y="105620165"/>
            <a:ext cx="1365412" cy="1500184"/>
          </a:xfrm>
          <a:custGeom>
            <a:avLst/>
            <a:gdLst>
              <a:gd name="G0" fmla="+- 147 0 0"/>
              <a:gd name="G1" fmla="+- -32000 0 0"/>
              <a:gd name="G2" fmla="+- 3200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32147" y="0"/>
              </a:cxn>
              <a:cxn ang="0">
                <a:pos x="64000" y="32000"/>
              </a:cxn>
              <a:cxn ang="0">
                <a:pos x="32147" y="63999"/>
              </a:cxn>
              <a:cxn ang="0">
                <a:pos x="32147" y="63999"/>
              </a:cxn>
              <a:cxn ang="0">
                <a:pos x="32146" y="63999"/>
              </a:cxn>
              <a:cxn ang="0">
                <a:pos x="32147" y="64000"/>
              </a:cxn>
              <a:cxn ang="0">
                <a:pos x="32147" y="0"/>
              </a:cxn>
              <a:cxn ang="0">
                <a:pos x="32146" y="0"/>
              </a:cxn>
              <a:cxn ang="0">
                <a:pos x="32147" y="0"/>
              </a:cxn>
            </a:cxnLst>
            <a:rect l="T13" t="T15" r="T17" b="T19"/>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w="9525" algn="ctr">
            <a:noFill/>
            <a:miter lim="800000"/>
            <a:headEnd/>
            <a:tailEnd/>
          </a:ln>
          <a:effectLst/>
        </xdr:spPr>
      </xdr:sp>
      <xdr:sp macro="" textlink="">
        <xdr:nvSpPr>
          <xdr:cNvPr id="17" name="AutoShape 11">
            <a:extLst>
              <a:ext uri="{FF2B5EF4-FFF2-40B4-BE49-F238E27FC236}">
                <a16:creationId xmlns:a16="http://schemas.microsoft.com/office/drawing/2014/main" xmlns="" id="{00000000-0008-0000-1400-000011000000}"/>
              </a:ext>
            </a:extLst>
          </xdr:cNvPr>
          <xdr:cNvSpPr>
            <a:spLocks noChangeArrowheads="1" noChangeShapeType="1"/>
          </xdr:cNvSpPr>
        </xdr:nvSpPr>
        <xdr:spPr bwMode="auto">
          <a:xfrm>
            <a:off x="105763081" y="105237244"/>
            <a:ext cx="1581407" cy="1737497"/>
          </a:xfrm>
          <a:custGeom>
            <a:avLst/>
            <a:gdLst>
              <a:gd name="G0" fmla="+- 11370 0 0"/>
              <a:gd name="G1" fmla="+- -32000 0 0"/>
              <a:gd name="G2" fmla="+- 31520 0 0"/>
              <a:gd name="T0" fmla="*/ 32000 32000  1"/>
              <a:gd name="T1" fmla="*/ G0 G0  1"/>
              <a:gd name="T2" fmla="+- 0 T0 T1"/>
              <a:gd name="T3" fmla="sqrt T2"/>
              <a:gd name="G3" fmla="*/ 32000 T3 32000"/>
              <a:gd name="T4" fmla="*/ 32000 32000  1"/>
              <a:gd name="T5" fmla="*/ G1 G1  1"/>
              <a:gd name="T6" fmla="+- 0 T4 T5"/>
              <a:gd name="T7" fmla="sqrt T6"/>
              <a:gd name="G4" fmla="*/ 32000 T7 32000"/>
              <a:gd name="T8" fmla="*/ 32000 32000  1"/>
              <a:gd name="T9" fmla="*/ G2 G2  1"/>
              <a:gd name="T10" fmla="+- 0 T8 T9"/>
              <a:gd name="T11" fmla="sqrt T10"/>
              <a:gd name="G5" fmla="*/ 32000 T11 32000"/>
              <a:gd name="G6" fmla="+- 0 0 G3"/>
              <a:gd name="G7" fmla="+- 0 0 G4"/>
              <a:gd name="G8" fmla="+- 0 0 G5"/>
              <a:gd name="G9" fmla="+- 0 G4 G0"/>
              <a:gd name="G10" fmla="?: G9 G4 G0"/>
              <a:gd name="G11" fmla="?: G9 G1 G6"/>
              <a:gd name="G12" fmla="+- 0 G5 G0"/>
              <a:gd name="G13" fmla="?: G12 G5 G0"/>
              <a:gd name="G14" fmla="?: G12 G2 G3"/>
              <a:gd name="G15" fmla="+- G11 0 1"/>
              <a:gd name="G16" fmla="+- G14 1 0"/>
              <a:gd name="G17" fmla="+- 0 G14 G3"/>
              <a:gd name="G18" fmla="?: G17 G8 G13"/>
              <a:gd name="G19" fmla="?: G17 G0 G13"/>
              <a:gd name="G20" fmla="?: G17 G3 G16"/>
              <a:gd name="G21" fmla="+- 0 G6 G11"/>
              <a:gd name="G22" fmla="?: G21 G7 G10"/>
              <a:gd name="G23" fmla="?: G21 G0 G10"/>
              <a:gd name="G24" fmla="?: G21 G6 G15"/>
              <a:gd name="G25" fmla="min G10 G13"/>
              <a:gd name="G26" fmla="max G8 G7"/>
              <a:gd name="G27" fmla="max G26 G0"/>
              <a:gd name="T12" fmla="+- 0 G27 -32000"/>
              <a:gd name="T13" fmla="*/ T12 w 64000"/>
              <a:gd name="T14" fmla="+- 0 G11 -32000"/>
              <a:gd name="T15" fmla="*/ G11 h 64000"/>
              <a:gd name="T16" fmla="+- 0 G25 -32000"/>
              <a:gd name="T17" fmla="*/ T16 w 64000"/>
              <a:gd name="T18" fmla="+- 0 G14 -32000"/>
              <a:gd name="T19" fmla="*/ G14 h 64000"/>
            </a:gdLst>
            <a:ahLst/>
            <a:cxnLst>
              <a:cxn ang="0">
                <a:pos x="43370" y="2088"/>
              </a:cxn>
              <a:cxn ang="0">
                <a:pos x="64000" y="32000"/>
              </a:cxn>
              <a:cxn ang="0">
                <a:pos x="43370" y="61911"/>
              </a:cxn>
              <a:cxn ang="0">
                <a:pos x="43370" y="61911"/>
              </a:cxn>
              <a:cxn ang="0">
                <a:pos x="43369" y="61911"/>
              </a:cxn>
              <a:cxn ang="0">
                <a:pos x="43370" y="61912"/>
              </a:cxn>
              <a:cxn ang="0">
                <a:pos x="43370" y="2088"/>
              </a:cxn>
              <a:cxn ang="0">
                <a:pos x="43369" y="2088"/>
              </a:cxn>
              <a:cxn ang="0">
                <a:pos x="43370" y="2088"/>
              </a:cxn>
            </a:cxnLst>
            <a:rect l="T13" t="T15" r="T17" b="T19"/>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w="9525" algn="ctr">
            <a:noFill/>
            <a:miter lim="800000"/>
            <a:headEnd/>
            <a:tailEnd/>
          </a:ln>
          <a:effectLst/>
        </xdr:spPr>
      </xdr:sp>
    </xdr:grpSp>
    <xdr:clientData/>
  </xdr:twoCellAnchor>
  <xdr:twoCellAnchor>
    <xdr:from>
      <xdr:col>2</xdr:col>
      <xdr:colOff>314324</xdr:colOff>
      <xdr:row>5</xdr:row>
      <xdr:rowOff>9525</xdr:rowOff>
    </xdr:from>
    <xdr:to>
      <xdr:col>6</xdr:col>
      <xdr:colOff>866774</xdr:colOff>
      <xdr:row>9</xdr:row>
      <xdr:rowOff>0</xdr:rowOff>
    </xdr:to>
    <xdr:sp macro="" textlink="">
      <xdr:nvSpPr>
        <xdr:cNvPr id="18" name="Rounded Rectangle 17">
          <a:extLst>
            <a:ext uri="{FF2B5EF4-FFF2-40B4-BE49-F238E27FC236}">
              <a16:creationId xmlns:a16="http://schemas.microsoft.com/office/drawing/2014/main" xmlns="" id="{00000000-0008-0000-1400-000012000000}"/>
            </a:ext>
          </a:extLst>
        </xdr:cNvPr>
        <xdr:cNvSpPr/>
      </xdr:nvSpPr>
      <xdr:spPr>
        <a:xfrm>
          <a:off x="581024" y="962025"/>
          <a:ext cx="3524250" cy="752475"/>
        </a:xfrm>
        <a:prstGeom prst="roundRect">
          <a:avLst/>
        </a:prstGeom>
        <a:noFill/>
        <a:ln w="28575">
          <a:solidFill>
            <a:srgbClr val="0070C0"/>
          </a:solidFill>
        </a:ln>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endParaRPr lang="en-US" sz="1100"/>
        </a:p>
      </xdr:txBody>
    </xdr:sp>
    <xdr:clientData/>
  </xdr:twoCellAnchor>
  <xdr:oneCellAnchor>
    <xdr:from>
      <xdr:col>2</xdr:col>
      <xdr:colOff>247650</xdr:colOff>
      <xdr:row>14</xdr:row>
      <xdr:rowOff>133351</xdr:rowOff>
    </xdr:from>
    <xdr:ext cx="523875" cy="314324"/>
    <xdr:pic>
      <xdr:nvPicPr>
        <xdr:cNvPr id="19" name="Picture 1" descr="Large View">
          <a:extLst>
            <a:ext uri="{FF2B5EF4-FFF2-40B4-BE49-F238E27FC236}">
              <a16:creationId xmlns:a16="http://schemas.microsoft.com/office/drawing/2014/main" xmlns="" id="{00000000-0008-0000-1400-000013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514350" y="2800351"/>
          <a:ext cx="523875" cy="314324"/>
        </a:xfrm>
        <a:prstGeom prst="rect">
          <a:avLst/>
        </a:prstGeom>
        <a:noFill/>
      </xdr:spPr>
    </xdr:pic>
    <xdr:clientData/>
  </xdr:oneCellAnchor>
  <xdr:oneCellAnchor>
    <xdr:from>
      <xdr:col>5</xdr:col>
      <xdr:colOff>466725</xdr:colOff>
      <xdr:row>14</xdr:row>
      <xdr:rowOff>140969</xdr:rowOff>
    </xdr:from>
    <xdr:ext cx="495300" cy="297179"/>
    <xdr:pic>
      <xdr:nvPicPr>
        <xdr:cNvPr id="20" name="Picture 1" descr="Large View">
          <a:extLst>
            <a:ext uri="{FF2B5EF4-FFF2-40B4-BE49-F238E27FC236}">
              <a16:creationId xmlns:a16="http://schemas.microsoft.com/office/drawing/2014/main" xmlns="" id="{00000000-0008-0000-1400-000014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flipH="1">
          <a:off x="2743200" y="2807969"/>
          <a:ext cx="495300" cy="297179"/>
        </a:xfrm>
        <a:prstGeom prst="rect">
          <a:avLst/>
        </a:prstGeom>
        <a:noFill/>
      </xdr:spPr>
    </xdr:pic>
    <xdr:clientData/>
  </xdr:oneCellAnchor>
  <xdr:twoCellAnchor>
    <xdr:from>
      <xdr:col>7</xdr:col>
      <xdr:colOff>247650</xdr:colOff>
      <xdr:row>4</xdr:row>
      <xdr:rowOff>142875</xdr:rowOff>
    </xdr:from>
    <xdr:to>
      <xdr:col>8</xdr:col>
      <xdr:colOff>609601</xdr:colOff>
      <xdr:row>9</xdr:row>
      <xdr:rowOff>28575</xdr:rowOff>
    </xdr:to>
    <xdr:sp macro="" textlink="">
      <xdr:nvSpPr>
        <xdr:cNvPr id="21" name="AutoShape 8">
          <a:extLst>
            <a:ext uri="{FF2B5EF4-FFF2-40B4-BE49-F238E27FC236}">
              <a16:creationId xmlns:a16="http://schemas.microsoft.com/office/drawing/2014/main" xmlns="" id="{00000000-0008-0000-1400-000015000000}"/>
            </a:ext>
          </a:extLst>
        </xdr:cNvPr>
        <xdr:cNvSpPr>
          <a:spLocks noChangeArrowheads="1"/>
        </xdr:cNvSpPr>
      </xdr:nvSpPr>
      <xdr:spPr bwMode="auto">
        <a:xfrm>
          <a:off x="4352925" y="904875"/>
          <a:ext cx="1181101" cy="838200"/>
        </a:xfrm>
        <a:prstGeom prst="sun">
          <a:avLst>
            <a:gd name="adj" fmla="val 12500"/>
          </a:avLst>
        </a:prstGeom>
        <a:noFill/>
        <a:ln w="9525">
          <a:solidFill>
            <a:schemeClr val="tx1"/>
          </a:solidFill>
          <a:miter lim="800000"/>
          <a:headEnd/>
          <a:tailEnd/>
        </a:ln>
      </xdr:spPr>
      <xdr:txBody>
        <a:bodyPr wrap="square" anchor="ct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endParaRPr lang="en-US" sz="2400">
            <a:latin typeface="Times New Roman" pitchFamily="18" charset="0"/>
          </a:endParaRPr>
        </a:p>
      </xdr:txBody>
    </xdr:sp>
    <xdr:clientData/>
  </xdr:twoCellAnchor>
  <xdr:oneCellAnchor>
    <xdr:from>
      <xdr:col>9</xdr:col>
      <xdr:colOff>95250</xdr:colOff>
      <xdr:row>16</xdr:row>
      <xdr:rowOff>228600</xdr:rowOff>
    </xdr:from>
    <xdr:ext cx="1924048" cy="2266950"/>
    <xdr:pic>
      <xdr:nvPicPr>
        <xdr:cNvPr id="23" name="Picture 4">
          <a:extLst>
            <a:ext uri="{FF2B5EF4-FFF2-40B4-BE49-F238E27FC236}">
              <a16:creationId xmlns:a16="http://schemas.microsoft.com/office/drawing/2014/main" xmlns="" id="{00000000-0008-0000-1400-000017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5810250" y="3238500"/>
          <a:ext cx="1924048" cy="2266950"/>
        </a:xfrm>
        <a:prstGeom prst="rect">
          <a:avLst/>
        </a:prstGeom>
        <a:noFill/>
        <a:ln w="9525">
          <a:noFill/>
          <a:miter lim="800000"/>
          <a:headEnd/>
          <a:tailEnd/>
        </a:ln>
      </xdr:spPr>
    </xdr:pic>
    <xdr:clientData/>
  </xdr:oneCellAnchor>
  <xdr:oneCellAnchor>
    <xdr:from>
      <xdr:col>7</xdr:col>
      <xdr:colOff>800100</xdr:colOff>
      <xdr:row>13</xdr:row>
      <xdr:rowOff>38100</xdr:rowOff>
    </xdr:from>
    <xdr:ext cx="1209675" cy="609600"/>
    <xdr:pic>
      <xdr:nvPicPr>
        <xdr:cNvPr id="24" name="Picture 2">
          <a:extLst>
            <a:ext uri="{FF2B5EF4-FFF2-40B4-BE49-F238E27FC236}">
              <a16:creationId xmlns:a16="http://schemas.microsoft.com/office/drawing/2014/main" xmlns="" id="{00000000-0008-0000-1400-000018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5391150" y="2657475"/>
          <a:ext cx="1209675" cy="60960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oneCellAnchor>
  <xdr:oneCellAnchor>
    <xdr:from>
      <xdr:col>6</xdr:col>
      <xdr:colOff>276226</xdr:colOff>
      <xdr:row>63</xdr:row>
      <xdr:rowOff>76201</xdr:rowOff>
    </xdr:from>
    <xdr:ext cx="1419224" cy="790574"/>
    <xdr:pic>
      <xdr:nvPicPr>
        <xdr:cNvPr id="25" name="Picture 2">
          <a:extLst>
            <a:ext uri="{FF2B5EF4-FFF2-40B4-BE49-F238E27FC236}">
              <a16:creationId xmlns:a16="http://schemas.microsoft.com/office/drawing/2014/main" xmlns="" id="{00000000-0008-0000-1400-000019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3514726" y="12077701"/>
          <a:ext cx="1419224" cy="79057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oneCellAnchor>
  <xdr:twoCellAnchor>
    <xdr:from>
      <xdr:col>9</xdr:col>
      <xdr:colOff>400051</xdr:colOff>
      <xdr:row>10</xdr:row>
      <xdr:rowOff>161925</xdr:rowOff>
    </xdr:from>
    <xdr:to>
      <xdr:col>12</xdr:col>
      <xdr:colOff>9526</xdr:colOff>
      <xdr:row>15</xdr:row>
      <xdr:rowOff>104775</xdr:rowOff>
    </xdr:to>
    <xdr:sp macro="" textlink="">
      <xdr:nvSpPr>
        <xdr:cNvPr id="26" name="Oval 25">
          <a:extLst>
            <a:ext uri="{FF2B5EF4-FFF2-40B4-BE49-F238E27FC236}">
              <a16:creationId xmlns:a16="http://schemas.microsoft.com/office/drawing/2014/main" xmlns="" id="{00000000-0008-0000-1400-00001A000000}"/>
            </a:ext>
          </a:extLst>
        </xdr:cNvPr>
        <xdr:cNvSpPr/>
      </xdr:nvSpPr>
      <xdr:spPr>
        <a:xfrm>
          <a:off x="6115051" y="2066925"/>
          <a:ext cx="1238250" cy="895350"/>
        </a:xfrm>
        <a:prstGeom prst="ellipse">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8</xdr:col>
      <xdr:colOff>57149</xdr:colOff>
      <xdr:row>58</xdr:row>
      <xdr:rowOff>142875</xdr:rowOff>
    </xdr:from>
    <xdr:ext cx="2533649" cy="2057400"/>
    <xdr:pic>
      <xdr:nvPicPr>
        <xdr:cNvPr id="27" name="Picture 2">
          <a:extLst>
            <a:ext uri="{FF2B5EF4-FFF2-40B4-BE49-F238E27FC236}">
              <a16:creationId xmlns:a16="http://schemas.microsoft.com/office/drawing/2014/main" xmlns="" id="{00000000-0008-0000-1400-00001B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981574" y="11191875"/>
          <a:ext cx="2533649" cy="2057400"/>
        </a:xfrm>
        <a:prstGeom prst="ellipse">
          <a:avLst/>
        </a:prstGeom>
        <a:ln>
          <a:noFill/>
        </a:ln>
        <a:effectLst>
          <a:softEdge rad="112500"/>
        </a:effectLst>
      </xdr:spPr>
    </xdr:pic>
    <xdr:clientData/>
  </xdr:oneCellAnchor>
  <xdr:oneCellAnchor>
    <xdr:from>
      <xdr:col>8</xdr:col>
      <xdr:colOff>266701</xdr:colOff>
      <xdr:row>9</xdr:row>
      <xdr:rowOff>180976</xdr:rowOff>
    </xdr:from>
    <xdr:ext cx="723899" cy="647700"/>
    <xdr:pic>
      <xdr:nvPicPr>
        <xdr:cNvPr id="28" name="Picture 1" descr="savings image க்கான பட முடிவு">
          <a:extLst>
            <a:ext uri="{FF2B5EF4-FFF2-40B4-BE49-F238E27FC236}">
              <a16:creationId xmlns:a16="http://schemas.microsoft.com/office/drawing/2014/main" xmlns="" id="{00000000-0008-0000-1400-00001C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5676901" y="1981201"/>
          <a:ext cx="723899" cy="647700"/>
        </a:xfrm>
        <a:prstGeom prst="rect">
          <a:avLst/>
        </a:prstGeom>
        <a:noFill/>
      </xdr:spPr>
    </xdr:pic>
    <xdr:clientData/>
  </xdr:oneCellAnchor>
  <xdr:oneCellAnchor>
    <xdr:from>
      <xdr:col>14</xdr:col>
      <xdr:colOff>38100</xdr:colOff>
      <xdr:row>9</xdr:row>
      <xdr:rowOff>76201</xdr:rowOff>
    </xdr:from>
    <xdr:ext cx="361949" cy="285750"/>
    <xdr:pic>
      <xdr:nvPicPr>
        <xdr:cNvPr id="29" name="Picture 2">
          <a:hlinkClick xmlns:r="http://schemas.openxmlformats.org/officeDocument/2006/relationships" r:id="rId12"/>
          <a:extLst>
            <a:ext uri="{FF2B5EF4-FFF2-40B4-BE49-F238E27FC236}">
              <a16:creationId xmlns:a16="http://schemas.microsoft.com/office/drawing/2014/main" xmlns="" id="{00000000-0008-0000-1400-00001D00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8315325" y="1790701"/>
          <a:ext cx="361949" cy="285750"/>
        </a:xfrm>
        <a:prstGeom prst="rect">
          <a:avLst/>
        </a:prstGeom>
        <a:noFill/>
      </xdr:spPr>
    </xdr:pic>
    <xdr:clientData/>
  </xdr:oneCellAnchor>
  <xdr:oneCellAnchor>
    <xdr:from>
      <xdr:col>14</xdr:col>
      <xdr:colOff>66675</xdr:colOff>
      <xdr:row>18</xdr:row>
      <xdr:rowOff>76201</xdr:rowOff>
    </xdr:from>
    <xdr:ext cx="361949" cy="333375"/>
    <xdr:pic>
      <xdr:nvPicPr>
        <xdr:cNvPr id="30" name="Picture 2">
          <a:hlinkClick xmlns:r="http://schemas.openxmlformats.org/officeDocument/2006/relationships" r:id="rId14"/>
          <a:extLst>
            <a:ext uri="{FF2B5EF4-FFF2-40B4-BE49-F238E27FC236}">
              <a16:creationId xmlns:a16="http://schemas.microsoft.com/office/drawing/2014/main" xmlns="" id="{00000000-0008-0000-1400-00001E000000}"/>
            </a:ext>
          </a:extLst>
        </xdr:cNvPr>
        <xdr:cNvPicPr>
          <a:picLocks noChangeAspect="1" noChangeArrowheads="1"/>
        </xdr:cNvPicPr>
      </xdr:nvPicPr>
      <xdr:blipFill>
        <a:blip xmlns:r="http://schemas.openxmlformats.org/officeDocument/2006/relationships" r:embed="rId15" cstate="print"/>
        <a:srcRect/>
        <a:stretch>
          <a:fillRect/>
        </a:stretch>
      </xdr:blipFill>
      <xdr:spPr bwMode="auto">
        <a:xfrm>
          <a:off x="8343900" y="3505201"/>
          <a:ext cx="361949" cy="333375"/>
        </a:xfrm>
        <a:prstGeom prst="rect">
          <a:avLst/>
        </a:prstGeom>
        <a:noFill/>
      </xdr:spPr>
    </xdr:pic>
    <xdr:clientData/>
  </xdr:oneCellAnchor>
  <xdr:twoCellAnchor>
    <xdr:from>
      <xdr:col>14</xdr:col>
      <xdr:colOff>38100</xdr:colOff>
      <xdr:row>1</xdr:row>
      <xdr:rowOff>117554</xdr:rowOff>
    </xdr:from>
    <xdr:to>
      <xdr:col>16</xdr:col>
      <xdr:colOff>542925</xdr:colOff>
      <xdr:row>4</xdr:row>
      <xdr:rowOff>181674</xdr:rowOff>
    </xdr:to>
    <xdr:sp macro="" textlink="">
      <xdr:nvSpPr>
        <xdr:cNvPr id="31" name="Left Arrow 30">
          <a:extLst>
            <a:ext uri="{FF2B5EF4-FFF2-40B4-BE49-F238E27FC236}">
              <a16:creationId xmlns:a16="http://schemas.microsoft.com/office/drawing/2014/main" xmlns="" id="{00000000-0008-0000-1400-00001F000000}"/>
            </a:ext>
          </a:extLst>
        </xdr:cNvPr>
        <xdr:cNvSpPr/>
      </xdr:nvSpPr>
      <xdr:spPr>
        <a:xfrm>
          <a:off x="9516637" y="315024"/>
          <a:ext cx="1573483" cy="656528"/>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9</xdr:col>
      <xdr:colOff>19051</xdr:colOff>
      <xdr:row>45</xdr:row>
      <xdr:rowOff>190501</xdr:rowOff>
    </xdr:from>
    <xdr:to>
      <xdr:col>13</xdr:col>
      <xdr:colOff>9525</xdr:colOff>
      <xdr:row>53</xdr:row>
      <xdr:rowOff>19051</xdr:rowOff>
    </xdr:to>
    <xdr:sp macro="" textlink="">
      <xdr:nvSpPr>
        <xdr:cNvPr id="32" name="Round Diagonal Corner Rectangle 31">
          <a:extLst>
            <a:ext uri="{FF2B5EF4-FFF2-40B4-BE49-F238E27FC236}">
              <a16:creationId xmlns:a16="http://schemas.microsoft.com/office/drawing/2014/main" xmlns="" id="{00000000-0008-0000-1400-000020000000}"/>
            </a:ext>
          </a:extLst>
        </xdr:cNvPr>
        <xdr:cNvSpPr/>
      </xdr:nvSpPr>
      <xdr:spPr>
        <a:xfrm>
          <a:off x="5753101" y="9515476"/>
          <a:ext cx="2085974" cy="1428750"/>
        </a:xfrm>
        <a:prstGeom prst="round2DiagRect">
          <a:avLst/>
        </a:prstGeom>
        <a:noFill/>
        <a:ln w="1270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1</xdr:col>
      <xdr:colOff>114300</xdr:colOff>
      <xdr:row>60</xdr:row>
      <xdr:rowOff>180976</xdr:rowOff>
    </xdr:from>
    <xdr:to>
      <xdr:col>5</xdr:col>
      <xdr:colOff>771525</xdr:colOff>
      <xdr:row>68</xdr:row>
      <xdr:rowOff>19051</xdr:rowOff>
    </xdr:to>
    <xdr:sp macro="" textlink="">
      <xdr:nvSpPr>
        <xdr:cNvPr id="33" name="Round Diagonal Corner Rectangle 32">
          <a:extLst>
            <a:ext uri="{FF2B5EF4-FFF2-40B4-BE49-F238E27FC236}">
              <a16:creationId xmlns:a16="http://schemas.microsoft.com/office/drawing/2014/main" xmlns="" id="{00000000-0008-0000-1400-000021000000}"/>
            </a:ext>
          </a:extLst>
        </xdr:cNvPr>
        <xdr:cNvSpPr/>
      </xdr:nvSpPr>
      <xdr:spPr>
        <a:xfrm>
          <a:off x="114300" y="11610976"/>
          <a:ext cx="2933700" cy="1362075"/>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2</xdr:col>
      <xdr:colOff>57150</xdr:colOff>
      <xdr:row>62</xdr:row>
      <xdr:rowOff>28575</xdr:rowOff>
    </xdr:from>
    <xdr:to>
      <xdr:col>3</xdr:col>
      <xdr:colOff>161925</xdr:colOff>
      <xdr:row>66</xdr:row>
      <xdr:rowOff>219075</xdr:rowOff>
    </xdr:to>
    <xdr:grpSp>
      <xdr:nvGrpSpPr>
        <xdr:cNvPr id="34" name="Group 38">
          <a:extLst>
            <a:ext uri="{FF2B5EF4-FFF2-40B4-BE49-F238E27FC236}">
              <a16:creationId xmlns:a16="http://schemas.microsoft.com/office/drawing/2014/main" xmlns="" id="{00000000-0008-0000-1400-000022000000}"/>
            </a:ext>
          </a:extLst>
        </xdr:cNvPr>
        <xdr:cNvGrpSpPr>
          <a:grpSpLocks/>
        </xdr:cNvGrpSpPr>
      </xdr:nvGrpSpPr>
      <xdr:grpSpPr bwMode="auto">
        <a:xfrm>
          <a:off x="382394" y="12411075"/>
          <a:ext cx="453251" cy="1131384"/>
          <a:chOff x="112842675" y="108899325"/>
          <a:chExt cx="762763" cy="1285875"/>
        </a:xfrm>
      </xdr:grpSpPr>
      <xdr:sp macro="" textlink="">
        <xdr:nvSpPr>
          <xdr:cNvPr id="35" name="Oval 39">
            <a:extLst>
              <a:ext uri="{FF2B5EF4-FFF2-40B4-BE49-F238E27FC236}">
                <a16:creationId xmlns:a16="http://schemas.microsoft.com/office/drawing/2014/main" xmlns="" id="{00000000-0008-0000-1400-000023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36" name="Oval 40">
            <a:extLst>
              <a:ext uri="{FF2B5EF4-FFF2-40B4-BE49-F238E27FC236}">
                <a16:creationId xmlns:a16="http://schemas.microsoft.com/office/drawing/2014/main" xmlns="" id="{00000000-0008-0000-1400-000024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37" name="Oval 41">
            <a:extLst>
              <a:ext uri="{FF2B5EF4-FFF2-40B4-BE49-F238E27FC236}">
                <a16:creationId xmlns:a16="http://schemas.microsoft.com/office/drawing/2014/main" xmlns="" id="{00000000-0008-0000-1400-000025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38" name="Oval 42">
            <a:extLst>
              <a:ext uri="{FF2B5EF4-FFF2-40B4-BE49-F238E27FC236}">
                <a16:creationId xmlns:a16="http://schemas.microsoft.com/office/drawing/2014/main" xmlns="" id="{00000000-0008-0000-1400-000026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39" name="Oval 43">
            <a:extLst>
              <a:ext uri="{FF2B5EF4-FFF2-40B4-BE49-F238E27FC236}">
                <a16:creationId xmlns:a16="http://schemas.microsoft.com/office/drawing/2014/main" xmlns="" id="{00000000-0008-0000-1400-000027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40" name="Oval 44">
            <a:extLst>
              <a:ext uri="{FF2B5EF4-FFF2-40B4-BE49-F238E27FC236}">
                <a16:creationId xmlns:a16="http://schemas.microsoft.com/office/drawing/2014/main" xmlns="" id="{00000000-0008-0000-1400-000028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41" name="Oval 45">
            <a:extLst>
              <a:ext uri="{FF2B5EF4-FFF2-40B4-BE49-F238E27FC236}">
                <a16:creationId xmlns:a16="http://schemas.microsoft.com/office/drawing/2014/main" xmlns="" id="{00000000-0008-0000-1400-000029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42" name="Oval 46">
            <a:extLst>
              <a:ext uri="{FF2B5EF4-FFF2-40B4-BE49-F238E27FC236}">
                <a16:creationId xmlns:a16="http://schemas.microsoft.com/office/drawing/2014/main" xmlns="" id="{00000000-0008-0000-1400-00002A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43" name="Oval 47">
            <a:extLst>
              <a:ext uri="{FF2B5EF4-FFF2-40B4-BE49-F238E27FC236}">
                <a16:creationId xmlns:a16="http://schemas.microsoft.com/office/drawing/2014/main" xmlns="" id="{00000000-0008-0000-1400-00002B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44" name="Oval 48">
            <a:extLst>
              <a:ext uri="{FF2B5EF4-FFF2-40B4-BE49-F238E27FC236}">
                <a16:creationId xmlns:a16="http://schemas.microsoft.com/office/drawing/2014/main" xmlns="" id="{00000000-0008-0000-1400-00002C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45" name="Oval 49">
            <a:extLst>
              <a:ext uri="{FF2B5EF4-FFF2-40B4-BE49-F238E27FC236}">
                <a16:creationId xmlns:a16="http://schemas.microsoft.com/office/drawing/2014/main" xmlns="" id="{00000000-0008-0000-1400-00002D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46" name="Oval 50">
            <a:extLst>
              <a:ext uri="{FF2B5EF4-FFF2-40B4-BE49-F238E27FC236}">
                <a16:creationId xmlns:a16="http://schemas.microsoft.com/office/drawing/2014/main" xmlns="" id="{00000000-0008-0000-1400-00002E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47" name="Oval 51">
            <a:extLst>
              <a:ext uri="{FF2B5EF4-FFF2-40B4-BE49-F238E27FC236}">
                <a16:creationId xmlns:a16="http://schemas.microsoft.com/office/drawing/2014/main" xmlns="" id="{00000000-0008-0000-1400-00002F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48" name="Oval 52">
            <a:extLst>
              <a:ext uri="{FF2B5EF4-FFF2-40B4-BE49-F238E27FC236}">
                <a16:creationId xmlns:a16="http://schemas.microsoft.com/office/drawing/2014/main" xmlns="" id="{00000000-0008-0000-1400-000030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49" name="Oval 53">
            <a:extLst>
              <a:ext uri="{FF2B5EF4-FFF2-40B4-BE49-F238E27FC236}">
                <a16:creationId xmlns:a16="http://schemas.microsoft.com/office/drawing/2014/main" xmlns="" id="{00000000-0008-0000-1400-000031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50" name="Oval 54">
            <a:extLst>
              <a:ext uri="{FF2B5EF4-FFF2-40B4-BE49-F238E27FC236}">
                <a16:creationId xmlns:a16="http://schemas.microsoft.com/office/drawing/2014/main" xmlns="" id="{00000000-0008-0000-1400-000032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51" name="Oval 55">
            <a:extLst>
              <a:ext uri="{FF2B5EF4-FFF2-40B4-BE49-F238E27FC236}">
                <a16:creationId xmlns:a16="http://schemas.microsoft.com/office/drawing/2014/main" xmlns="" id="{00000000-0008-0000-1400-000033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52" name="Oval 56">
            <a:extLst>
              <a:ext uri="{FF2B5EF4-FFF2-40B4-BE49-F238E27FC236}">
                <a16:creationId xmlns:a16="http://schemas.microsoft.com/office/drawing/2014/main" xmlns="" id="{00000000-0008-0000-1400-000034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53" name="Oval 57">
            <a:extLst>
              <a:ext uri="{FF2B5EF4-FFF2-40B4-BE49-F238E27FC236}">
                <a16:creationId xmlns:a16="http://schemas.microsoft.com/office/drawing/2014/main" xmlns="" id="{00000000-0008-0000-1400-000035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54" name="Oval 58">
            <a:extLst>
              <a:ext uri="{FF2B5EF4-FFF2-40B4-BE49-F238E27FC236}">
                <a16:creationId xmlns:a16="http://schemas.microsoft.com/office/drawing/2014/main" xmlns="" id="{00000000-0008-0000-1400-000036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55" name="Oval 59">
            <a:extLst>
              <a:ext uri="{FF2B5EF4-FFF2-40B4-BE49-F238E27FC236}">
                <a16:creationId xmlns:a16="http://schemas.microsoft.com/office/drawing/2014/main" xmlns="" id="{00000000-0008-0000-1400-000037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56" name="Oval 60">
            <a:extLst>
              <a:ext uri="{FF2B5EF4-FFF2-40B4-BE49-F238E27FC236}">
                <a16:creationId xmlns:a16="http://schemas.microsoft.com/office/drawing/2014/main" xmlns="" id="{00000000-0008-0000-1400-000038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57" name="Oval 61">
            <a:extLst>
              <a:ext uri="{FF2B5EF4-FFF2-40B4-BE49-F238E27FC236}">
                <a16:creationId xmlns:a16="http://schemas.microsoft.com/office/drawing/2014/main" xmlns="" id="{00000000-0008-0000-1400-000039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58" name="Oval 62">
            <a:extLst>
              <a:ext uri="{FF2B5EF4-FFF2-40B4-BE49-F238E27FC236}">
                <a16:creationId xmlns:a16="http://schemas.microsoft.com/office/drawing/2014/main" xmlns="" id="{00000000-0008-0000-1400-00003A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59" name="Oval 63">
            <a:extLst>
              <a:ext uri="{FF2B5EF4-FFF2-40B4-BE49-F238E27FC236}">
                <a16:creationId xmlns:a16="http://schemas.microsoft.com/office/drawing/2014/main" xmlns="" id="{00000000-0008-0000-1400-00003B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60" name="Oval 64">
            <a:extLst>
              <a:ext uri="{FF2B5EF4-FFF2-40B4-BE49-F238E27FC236}">
                <a16:creationId xmlns:a16="http://schemas.microsoft.com/office/drawing/2014/main" xmlns="" id="{00000000-0008-0000-1400-00003C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61" name="Oval 65">
            <a:extLst>
              <a:ext uri="{FF2B5EF4-FFF2-40B4-BE49-F238E27FC236}">
                <a16:creationId xmlns:a16="http://schemas.microsoft.com/office/drawing/2014/main" xmlns="" id="{00000000-0008-0000-1400-00003D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62" name="Oval 66">
            <a:extLst>
              <a:ext uri="{FF2B5EF4-FFF2-40B4-BE49-F238E27FC236}">
                <a16:creationId xmlns:a16="http://schemas.microsoft.com/office/drawing/2014/main" xmlns="" id="{00000000-0008-0000-1400-00003E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63" name="Oval 67">
            <a:extLst>
              <a:ext uri="{FF2B5EF4-FFF2-40B4-BE49-F238E27FC236}">
                <a16:creationId xmlns:a16="http://schemas.microsoft.com/office/drawing/2014/main" xmlns="" id="{00000000-0008-0000-1400-00003F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64" name="Oval 68">
            <a:extLst>
              <a:ext uri="{FF2B5EF4-FFF2-40B4-BE49-F238E27FC236}">
                <a16:creationId xmlns:a16="http://schemas.microsoft.com/office/drawing/2014/main" xmlns="" id="{00000000-0008-0000-1400-000040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65" name="Oval 69">
            <a:extLst>
              <a:ext uri="{FF2B5EF4-FFF2-40B4-BE49-F238E27FC236}">
                <a16:creationId xmlns:a16="http://schemas.microsoft.com/office/drawing/2014/main" xmlns="" id="{00000000-0008-0000-1400-000041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9</xdr:col>
      <xdr:colOff>409575</xdr:colOff>
      <xdr:row>39</xdr:row>
      <xdr:rowOff>9525</xdr:rowOff>
    </xdr:from>
    <xdr:to>
      <xdr:col>12</xdr:col>
      <xdr:colOff>66675</xdr:colOff>
      <xdr:row>43</xdr:row>
      <xdr:rowOff>47624</xdr:rowOff>
    </xdr:to>
    <xdr:sp macro="" textlink="">
      <xdr:nvSpPr>
        <xdr:cNvPr id="66" name="Rounded Rectangle 65">
          <a:extLst>
            <a:ext uri="{FF2B5EF4-FFF2-40B4-BE49-F238E27FC236}">
              <a16:creationId xmlns:a16="http://schemas.microsoft.com/office/drawing/2014/main" xmlns="" id="{00000000-0008-0000-1400-000042000000}"/>
            </a:ext>
          </a:extLst>
        </xdr:cNvPr>
        <xdr:cNvSpPr/>
      </xdr:nvSpPr>
      <xdr:spPr>
        <a:xfrm>
          <a:off x="6124575" y="7439025"/>
          <a:ext cx="1285875" cy="800099"/>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twoCellAnchor>
    <xdr:from>
      <xdr:col>9</xdr:col>
      <xdr:colOff>1</xdr:colOff>
      <xdr:row>31</xdr:row>
      <xdr:rowOff>200024</xdr:rowOff>
    </xdr:from>
    <xdr:to>
      <xdr:col>12</xdr:col>
      <xdr:colOff>390526</xdr:colOff>
      <xdr:row>38</xdr:row>
      <xdr:rowOff>76200</xdr:rowOff>
    </xdr:to>
    <xdr:sp macro="" textlink="">
      <xdr:nvSpPr>
        <xdr:cNvPr id="67" name="Rounded Rectangle 66">
          <a:extLst>
            <a:ext uri="{FF2B5EF4-FFF2-40B4-BE49-F238E27FC236}">
              <a16:creationId xmlns:a16="http://schemas.microsoft.com/office/drawing/2014/main" xmlns="" id="{00000000-0008-0000-1400-000043000000}"/>
            </a:ext>
          </a:extLst>
        </xdr:cNvPr>
        <xdr:cNvSpPr/>
      </xdr:nvSpPr>
      <xdr:spPr>
        <a:xfrm>
          <a:off x="5734051" y="6724649"/>
          <a:ext cx="2019300" cy="1276351"/>
        </a:xfrm>
        <a:prstGeom prst="roundRect">
          <a:avLst/>
        </a:prstGeom>
        <a:noFill/>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9</xdr:col>
      <xdr:colOff>38100</xdr:colOff>
      <xdr:row>35</xdr:row>
      <xdr:rowOff>19048</xdr:rowOff>
    </xdr:from>
    <xdr:ext cx="638175" cy="561977"/>
    <xdr:pic>
      <xdr:nvPicPr>
        <xdr:cNvPr id="68" name="Picture 67">
          <a:extLst>
            <a:ext uri="{FF2B5EF4-FFF2-40B4-BE49-F238E27FC236}">
              <a16:creationId xmlns:a16="http://schemas.microsoft.com/office/drawing/2014/main" xmlns="" id="{00000000-0008-0000-1400-00004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5753100" y="6686548"/>
          <a:ext cx="638175" cy="561977"/>
        </a:xfrm>
        <a:prstGeom prst="rect">
          <a:avLst/>
        </a:prstGeom>
      </xdr:spPr>
    </xdr:pic>
    <xdr:clientData/>
  </xdr:oneCellAnchor>
  <xdr:twoCellAnchor>
    <xdr:from>
      <xdr:col>1</xdr:col>
      <xdr:colOff>209550</xdr:colOff>
      <xdr:row>71</xdr:row>
      <xdr:rowOff>19049</xdr:rowOff>
    </xdr:from>
    <xdr:to>
      <xdr:col>6</xdr:col>
      <xdr:colOff>0</xdr:colOff>
      <xdr:row>74</xdr:row>
      <xdr:rowOff>323849</xdr:rowOff>
    </xdr:to>
    <xdr:sp macro="" textlink="">
      <xdr:nvSpPr>
        <xdr:cNvPr id="69" name="Rounded Rectangle 68">
          <a:extLst>
            <a:ext uri="{FF2B5EF4-FFF2-40B4-BE49-F238E27FC236}">
              <a16:creationId xmlns:a16="http://schemas.microsoft.com/office/drawing/2014/main" xmlns="" id="{00000000-0008-0000-1400-000045000000}"/>
            </a:ext>
          </a:extLst>
        </xdr:cNvPr>
        <xdr:cNvSpPr/>
      </xdr:nvSpPr>
      <xdr:spPr>
        <a:xfrm>
          <a:off x="228600" y="14649449"/>
          <a:ext cx="3028950" cy="1019175"/>
        </a:xfrm>
        <a:prstGeom prst="roundRect">
          <a:avLst/>
        </a:prstGeom>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838200</xdr:colOff>
      <xdr:row>71</xdr:row>
      <xdr:rowOff>38100</xdr:rowOff>
    </xdr:from>
    <xdr:to>
      <xdr:col>12</xdr:col>
      <xdr:colOff>28575</xdr:colOff>
      <xdr:row>74</xdr:row>
      <xdr:rowOff>342900</xdr:rowOff>
    </xdr:to>
    <xdr:sp macro="" textlink="">
      <xdr:nvSpPr>
        <xdr:cNvPr id="70" name="Rounded Rectangle 69">
          <a:extLst>
            <a:ext uri="{FF2B5EF4-FFF2-40B4-BE49-F238E27FC236}">
              <a16:creationId xmlns:a16="http://schemas.microsoft.com/office/drawing/2014/main" xmlns="" id="{00000000-0008-0000-1400-000046000000}"/>
            </a:ext>
          </a:extLst>
        </xdr:cNvPr>
        <xdr:cNvSpPr/>
      </xdr:nvSpPr>
      <xdr:spPr>
        <a:xfrm>
          <a:off x="4095750" y="14668500"/>
          <a:ext cx="3295650" cy="1019175"/>
        </a:xfrm>
        <a:prstGeom prst="roundRect">
          <a:avLst/>
        </a:prstGeom>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238126</xdr:colOff>
      <xdr:row>0</xdr:row>
      <xdr:rowOff>19050</xdr:rowOff>
    </xdr:from>
    <xdr:to>
      <xdr:col>4</xdr:col>
      <xdr:colOff>219075</xdr:colOff>
      <xdr:row>3</xdr:row>
      <xdr:rowOff>142875</xdr:rowOff>
    </xdr:to>
    <xdr:pic>
      <xdr:nvPicPr>
        <xdr:cNvPr id="2" name="image00.jpg">
          <a:extLst>
            <a:ext uri="{FF2B5EF4-FFF2-40B4-BE49-F238E27FC236}">
              <a16:creationId xmlns:a16="http://schemas.microsoft.com/office/drawing/2014/main" xmlns="" id="{00000000-0008-0000-1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38126" y="19050"/>
          <a:ext cx="1333499" cy="695325"/>
        </a:xfrm>
        <a:prstGeom prst="rect">
          <a:avLst/>
        </a:prstGeom>
        <a:noFill/>
        <a:ln w="9525">
          <a:noFill/>
          <a:round/>
          <a:headEnd/>
          <a:tailEnd/>
        </a:ln>
      </xdr:spPr>
    </xdr:pic>
    <xdr:clientData/>
  </xdr:twoCellAnchor>
  <xdr:twoCellAnchor>
    <xdr:from>
      <xdr:col>1</xdr:col>
      <xdr:colOff>342900</xdr:colOff>
      <xdr:row>5</xdr:row>
      <xdr:rowOff>19050</xdr:rowOff>
    </xdr:from>
    <xdr:to>
      <xdr:col>8</xdr:col>
      <xdr:colOff>0</xdr:colOff>
      <xdr:row>10</xdr:row>
      <xdr:rowOff>19050</xdr:rowOff>
    </xdr:to>
    <xdr:sp macro="" textlink="">
      <xdr:nvSpPr>
        <xdr:cNvPr id="3" name="Rounded Rectangle 2">
          <a:extLst>
            <a:ext uri="{FF2B5EF4-FFF2-40B4-BE49-F238E27FC236}">
              <a16:creationId xmlns:a16="http://schemas.microsoft.com/office/drawing/2014/main" xmlns="" id="{00000000-0008-0000-1500-000003000000}"/>
            </a:ext>
          </a:extLst>
        </xdr:cNvPr>
        <xdr:cNvSpPr/>
      </xdr:nvSpPr>
      <xdr:spPr bwMode="auto">
        <a:xfrm>
          <a:off x="342900" y="971550"/>
          <a:ext cx="3676650" cy="952500"/>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7</xdr:col>
      <xdr:colOff>9526</xdr:colOff>
      <xdr:row>14</xdr:row>
      <xdr:rowOff>38100</xdr:rowOff>
    </xdr:from>
    <xdr:to>
      <xdr:col>8</xdr:col>
      <xdr:colOff>552451</xdr:colOff>
      <xdr:row>18</xdr:row>
      <xdr:rowOff>123825</xdr:rowOff>
    </xdr:to>
    <xdr:sp macro="" textlink="">
      <xdr:nvSpPr>
        <xdr:cNvPr id="4" name="16-Point Star 3">
          <a:extLst>
            <a:ext uri="{FF2B5EF4-FFF2-40B4-BE49-F238E27FC236}">
              <a16:creationId xmlns:a16="http://schemas.microsoft.com/office/drawing/2014/main" xmlns="" id="{00000000-0008-0000-1500-000004000000}"/>
            </a:ext>
          </a:extLst>
        </xdr:cNvPr>
        <xdr:cNvSpPr/>
      </xdr:nvSpPr>
      <xdr:spPr bwMode="auto">
        <a:xfrm>
          <a:off x="3467101" y="2705100"/>
          <a:ext cx="1104900" cy="847725"/>
        </a:xfrm>
        <a:prstGeom prst="star16">
          <a:avLst/>
        </a:prstGeom>
        <a:ln>
          <a:headEnd type="none" w="med" len="med"/>
          <a:tailEnd type="none" w="med" len="med"/>
        </a:ln>
      </xdr:spPr>
      <xdr:style>
        <a:lnRef idx="1">
          <a:schemeClr val="accent4"/>
        </a:lnRef>
        <a:fillRef idx="2">
          <a:schemeClr val="accent4"/>
        </a:fillRef>
        <a:effectRef idx="1">
          <a:schemeClr val="accent4"/>
        </a:effectRef>
        <a:fontRef idx="minor">
          <a:schemeClr val="dk1"/>
        </a:fontRef>
      </xdr:style>
      <xdr:txBody>
        <a:bodyPr vertOverflow="clip" wrap="square" lIns="18288" tIns="0" rIns="0" bIns="0" rtlCol="0" anchor="ctr" upright="1"/>
        <a:lstStyle/>
        <a:p>
          <a:pPr algn="ctr"/>
          <a:r>
            <a:rPr lang="en-US" sz="1200" b="1">
              <a:solidFill>
                <a:srgbClr val="C00000"/>
              </a:solidFill>
              <a:latin typeface="+mn-lt"/>
              <a:ea typeface="+mn-ea"/>
              <a:cs typeface="+mn-cs"/>
            </a:rPr>
            <a:t>WITH        </a:t>
          </a:r>
          <a:r>
            <a:rPr lang="en-US" sz="1200" b="1" baseline="0">
              <a:solidFill>
                <a:srgbClr val="C00000"/>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9</xdr:col>
      <xdr:colOff>85725</xdr:colOff>
      <xdr:row>6</xdr:row>
      <xdr:rowOff>142875</xdr:rowOff>
    </xdr:from>
    <xdr:to>
      <xdr:col>12</xdr:col>
      <xdr:colOff>628651</xdr:colOff>
      <xdr:row>9</xdr:row>
      <xdr:rowOff>190500</xdr:rowOff>
    </xdr:to>
    <xdr:sp macro="" textlink="">
      <xdr:nvSpPr>
        <xdr:cNvPr id="5" name="Rounded Rectangle 4">
          <a:extLst>
            <a:ext uri="{FF2B5EF4-FFF2-40B4-BE49-F238E27FC236}">
              <a16:creationId xmlns:a16="http://schemas.microsoft.com/office/drawing/2014/main" xmlns="" id="{00000000-0008-0000-1500-000005000000}"/>
            </a:ext>
          </a:extLst>
        </xdr:cNvPr>
        <xdr:cNvSpPr/>
      </xdr:nvSpPr>
      <xdr:spPr>
        <a:xfrm>
          <a:off x="4667250" y="1285875"/>
          <a:ext cx="2562226" cy="619125"/>
        </a:xfrm>
        <a:prstGeom prst="roundRect">
          <a:avLst/>
        </a:prstGeom>
        <a:noFill/>
        <a:ln>
          <a:solidFill>
            <a:schemeClr val="accent3">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9</xdr:col>
      <xdr:colOff>0</xdr:colOff>
      <xdr:row>52</xdr:row>
      <xdr:rowOff>161926</xdr:rowOff>
    </xdr:from>
    <xdr:to>
      <xdr:col>12</xdr:col>
      <xdr:colOff>685800</xdr:colOff>
      <xdr:row>59</xdr:row>
      <xdr:rowOff>152400</xdr:rowOff>
    </xdr:to>
    <xdr:sp macro="" textlink="">
      <xdr:nvSpPr>
        <xdr:cNvPr id="6" name="Round Diagonal Corner Rectangle 5">
          <a:extLst>
            <a:ext uri="{FF2B5EF4-FFF2-40B4-BE49-F238E27FC236}">
              <a16:creationId xmlns:a16="http://schemas.microsoft.com/office/drawing/2014/main" xmlns="" id="{00000000-0008-0000-1500-000006000000}"/>
            </a:ext>
          </a:extLst>
        </xdr:cNvPr>
        <xdr:cNvSpPr/>
      </xdr:nvSpPr>
      <xdr:spPr>
        <a:xfrm>
          <a:off x="4667250" y="9448801"/>
          <a:ext cx="2705100" cy="1228724"/>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oneCellAnchor>
    <xdr:from>
      <xdr:col>9</xdr:col>
      <xdr:colOff>95250</xdr:colOff>
      <xdr:row>19</xdr:row>
      <xdr:rowOff>85725</xdr:rowOff>
    </xdr:from>
    <xdr:ext cx="2552700" cy="2609850"/>
    <xdr:pic>
      <xdr:nvPicPr>
        <xdr:cNvPr id="7" name="Picture 4">
          <a:extLst>
            <a:ext uri="{FF2B5EF4-FFF2-40B4-BE49-F238E27FC236}">
              <a16:creationId xmlns:a16="http://schemas.microsoft.com/office/drawing/2014/main" xmlns="" id="{00000000-0008-0000-1500-000007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676775" y="3705225"/>
          <a:ext cx="2552700" cy="2609850"/>
        </a:xfrm>
        <a:prstGeom prst="rect">
          <a:avLst/>
        </a:prstGeom>
        <a:noFill/>
      </xdr:spPr>
    </xdr:pic>
    <xdr:clientData/>
  </xdr:oneCellAnchor>
  <xdr:oneCellAnchor>
    <xdr:from>
      <xdr:col>9</xdr:col>
      <xdr:colOff>104776</xdr:colOff>
      <xdr:row>14</xdr:row>
      <xdr:rowOff>114299</xdr:rowOff>
    </xdr:from>
    <xdr:ext cx="2533650" cy="952501"/>
    <xdr:pic>
      <xdr:nvPicPr>
        <xdr:cNvPr id="8" name="Picture 2">
          <a:extLst>
            <a:ext uri="{FF2B5EF4-FFF2-40B4-BE49-F238E27FC236}">
              <a16:creationId xmlns:a16="http://schemas.microsoft.com/office/drawing/2014/main" xmlns="" id="{00000000-0008-0000-1500-000008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686301" y="2781299"/>
          <a:ext cx="2533650" cy="952501"/>
        </a:xfrm>
        <a:prstGeom prst="rect">
          <a:avLst/>
        </a:prstGeom>
        <a:noFill/>
      </xdr:spPr>
    </xdr:pic>
    <xdr:clientData/>
  </xdr:oneCellAnchor>
  <xdr:twoCellAnchor>
    <xdr:from>
      <xdr:col>9</xdr:col>
      <xdr:colOff>123826</xdr:colOff>
      <xdr:row>53</xdr:row>
      <xdr:rowOff>152401</xdr:rowOff>
    </xdr:from>
    <xdr:to>
      <xdr:col>9</xdr:col>
      <xdr:colOff>638176</xdr:colOff>
      <xdr:row>58</xdr:row>
      <xdr:rowOff>152401</xdr:rowOff>
    </xdr:to>
    <xdr:grpSp>
      <xdr:nvGrpSpPr>
        <xdr:cNvPr id="9" name="Group 38">
          <a:extLst>
            <a:ext uri="{FF2B5EF4-FFF2-40B4-BE49-F238E27FC236}">
              <a16:creationId xmlns:a16="http://schemas.microsoft.com/office/drawing/2014/main" xmlns="" id="{00000000-0008-0000-1500-000009000000}"/>
            </a:ext>
          </a:extLst>
        </xdr:cNvPr>
        <xdr:cNvGrpSpPr>
          <a:grpSpLocks/>
        </xdr:cNvGrpSpPr>
      </xdr:nvGrpSpPr>
      <xdr:grpSpPr bwMode="auto">
        <a:xfrm>
          <a:off x="4791076" y="9610726"/>
          <a:ext cx="514350" cy="885825"/>
          <a:chOff x="112842675" y="108899325"/>
          <a:chExt cx="762763" cy="1285875"/>
        </a:xfrm>
      </xdr:grpSpPr>
      <xdr:sp macro="" textlink="">
        <xdr:nvSpPr>
          <xdr:cNvPr id="10" name="Oval 39">
            <a:extLst>
              <a:ext uri="{FF2B5EF4-FFF2-40B4-BE49-F238E27FC236}">
                <a16:creationId xmlns:a16="http://schemas.microsoft.com/office/drawing/2014/main" xmlns="" id="{00000000-0008-0000-1500-00000A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1" name="Oval 40">
            <a:extLst>
              <a:ext uri="{FF2B5EF4-FFF2-40B4-BE49-F238E27FC236}">
                <a16:creationId xmlns:a16="http://schemas.microsoft.com/office/drawing/2014/main" xmlns="" id="{00000000-0008-0000-1500-00000B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2" name="Oval 41">
            <a:extLst>
              <a:ext uri="{FF2B5EF4-FFF2-40B4-BE49-F238E27FC236}">
                <a16:creationId xmlns:a16="http://schemas.microsoft.com/office/drawing/2014/main" xmlns="" id="{00000000-0008-0000-1500-00000C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3" name="Oval 42">
            <a:extLst>
              <a:ext uri="{FF2B5EF4-FFF2-40B4-BE49-F238E27FC236}">
                <a16:creationId xmlns:a16="http://schemas.microsoft.com/office/drawing/2014/main" xmlns="" id="{00000000-0008-0000-1500-00000D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4" name="Oval 43">
            <a:extLst>
              <a:ext uri="{FF2B5EF4-FFF2-40B4-BE49-F238E27FC236}">
                <a16:creationId xmlns:a16="http://schemas.microsoft.com/office/drawing/2014/main" xmlns="" id="{00000000-0008-0000-1500-00000E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5" name="Oval 44">
            <a:extLst>
              <a:ext uri="{FF2B5EF4-FFF2-40B4-BE49-F238E27FC236}">
                <a16:creationId xmlns:a16="http://schemas.microsoft.com/office/drawing/2014/main" xmlns="" id="{00000000-0008-0000-1500-00000F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6" name="Oval 45">
            <a:extLst>
              <a:ext uri="{FF2B5EF4-FFF2-40B4-BE49-F238E27FC236}">
                <a16:creationId xmlns:a16="http://schemas.microsoft.com/office/drawing/2014/main" xmlns="" id="{00000000-0008-0000-1500-000010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7" name="Oval 46">
            <a:extLst>
              <a:ext uri="{FF2B5EF4-FFF2-40B4-BE49-F238E27FC236}">
                <a16:creationId xmlns:a16="http://schemas.microsoft.com/office/drawing/2014/main" xmlns="" id="{00000000-0008-0000-1500-000011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8" name="Oval 47">
            <a:extLst>
              <a:ext uri="{FF2B5EF4-FFF2-40B4-BE49-F238E27FC236}">
                <a16:creationId xmlns:a16="http://schemas.microsoft.com/office/drawing/2014/main" xmlns="" id="{00000000-0008-0000-1500-000012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19" name="Oval 48">
            <a:extLst>
              <a:ext uri="{FF2B5EF4-FFF2-40B4-BE49-F238E27FC236}">
                <a16:creationId xmlns:a16="http://schemas.microsoft.com/office/drawing/2014/main" xmlns="" id="{00000000-0008-0000-1500-000013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0" name="Oval 49">
            <a:extLst>
              <a:ext uri="{FF2B5EF4-FFF2-40B4-BE49-F238E27FC236}">
                <a16:creationId xmlns:a16="http://schemas.microsoft.com/office/drawing/2014/main" xmlns="" id="{00000000-0008-0000-1500-000014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1" name="Oval 50">
            <a:extLst>
              <a:ext uri="{FF2B5EF4-FFF2-40B4-BE49-F238E27FC236}">
                <a16:creationId xmlns:a16="http://schemas.microsoft.com/office/drawing/2014/main" xmlns="" id="{00000000-0008-0000-1500-000015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2" name="Oval 51">
            <a:extLst>
              <a:ext uri="{FF2B5EF4-FFF2-40B4-BE49-F238E27FC236}">
                <a16:creationId xmlns:a16="http://schemas.microsoft.com/office/drawing/2014/main" xmlns="" id="{00000000-0008-0000-1500-000016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3" name="Oval 52">
            <a:extLst>
              <a:ext uri="{FF2B5EF4-FFF2-40B4-BE49-F238E27FC236}">
                <a16:creationId xmlns:a16="http://schemas.microsoft.com/office/drawing/2014/main" xmlns="" id="{00000000-0008-0000-1500-000017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4" name="Oval 53">
            <a:extLst>
              <a:ext uri="{FF2B5EF4-FFF2-40B4-BE49-F238E27FC236}">
                <a16:creationId xmlns:a16="http://schemas.microsoft.com/office/drawing/2014/main" xmlns="" id="{00000000-0008-0000-1500-000018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5" name="Oval 54">
            <a:extLst>
              <a:ext uri="{FF2B5EF4-FFF2-40B4-BE49-F238E27FC236}">
                <a16:creationId xmlns:a16="http://schemas.microsoft.com/office/drawing/2014/main" xmlns="" id="{00000000-0008-0000-1500-000019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6" name="Oval 55">
            <a:extLst>
              <a:ext uri="{FF2B5EF4-FFF2-40B4-BE49-F238E27FC236}">
                <a16:creationId xmlns:a16="http://schemas.microsoft.com/office/drawing/2014/main" xmlns="" id="{00000000-0008-0000-1500-00001A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7" name="Oval 56">
            <a:extLst>
              <a:ext uri="{FF2B5EF4-FFF2-40B4-BE49-F238E27FC236}">
                <a16:creationId xmlns:a16="http://schemas.microsoft.com/office/drawing/2014/main" xmlns="" id="{00000000-0008-0000-1500-00001B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8" name="Oval 57">
            <a:extLst>
              <a:ext uri="{FF2B5EF4-FFF2-40B4-BE49-F238E27FC236}">
                <a16:creationId xmlns:a16="http://schemas.microsoft.com/office/drawing/2014/main" xmlns="" id="{00000000-0008-0000-1500-00001C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29" name="Oval 58">
            <a:extLst>
              <a:ext uri="{FF2B5EF4-FFF2-40B4-BE49-F238E27FC236}">
                <a16:creationId xmlns:a16="http://schemas.microsoft.com/office/drawing/2014/main" xmlns="" id="{00000000-0008-0000-1500-00001D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0" name="Oval 59">
            <a:extLst>
              <a:ext uri="{FF2B5EF4-FFF2-40B4-BE49-F238E27FC236}">
                <a16:creationId xmlns:a16="http://schemas.microsoft.com/office/drawing/2014/main" xmlns="" id="{00000000-0008-0000-1500-00001E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1" name="Oval 60">
            <a:extLst>
              <a:ext uri="{FF2B5EF4-FFF2-40B4-BE49-F238E27FC236}">
                <a16:creationId xmlns:a16="http://schemas.microsoft.com/office/drawing/2014/main" xmlns="" id="{00000000-0008-0000-1500-00001F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2" name="Oval 61">
            <a:extLst>
              <a:ext uri="{FF2B5EF4-FFF2-40B4-BE49-F238E27FC236}">
                <a16:creationId xmlns:a16="http://schemas.microsoft.com/office/drawing/2014/main" xmlns="" id="{00000000-0008-0000-1500-000020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3" name="Oval 62">
            <a:extLst>
              <a:ext uri="{FF2B5EF4-FFF2-40B4-BE49-F238E27FC236}">
                <a16:creationId xmlns:a16="http://schemas.microsoft.com/office/drawing/2014/main" xmlns="" id="{00000000-0008-0000-1500-000021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4" name="Oval 63">
            <a:extLst>
              <a:ext uri="{FF2B5EF4-FFF2-40B4-BE49-F238E27FC236}">
                <a16:creationId xmlns:a16="http://schemas.microsoft.com/office/drawing/2014/main" xmlns="" id="{00000000-0008-0000-1500-000022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5" name="Oval 64">
            <a:extLst>
              <a:ext uri="{FF2B5EF4-FFF2-40B4-BE49-F238E27FC236}">
                <a16:creationId xmlns:a16="http://schemas.microsoft.com/office/drawing/2014/main" xmlns="" id="{00000000-0008-0000-1500-000023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6" name="Oval 65">
            <a:extLst>
              <a:ext uri="{FF2B5EF4-FFF2-40B4-BE49-F238E27FC236}">
                <a16:creationId xmlns:a16="http://schemas.microsoft.com/office/drawing/2014/main" xmlns="" id="{00000000-0008-0000-1500-000024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7" name="Oval 66">
            <a:extLst>
              <a:ext uri="{FF2B5EF4-FFF2-40B4-BE49-F238E27FC236}">
                <a16:creationId xmlns:a16="http://schemas.microsoft.com/office/drawing/2014/main" xmlns="" id="{00000000-0008-0000-1500-000025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8" name="Oval 67">
            <a:extLst>
              <a:ext uri="{FF2B5EF4-FFF2-40B4-BE49-F238E27FC236}">
                <a16:creationId xmlns:a16="http://schemas.microsoft.com/office/drawing/2014/main" xmlns="" id="{00000000-0008-0000-1500-000026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39" name="Oval 68">
            <a:extLst>
              <a:ext uri="{FF2B5EF4-FFF2-40B4-BE49-F238E27FC236}">
                <a16:creationId xmlns:a16="http://schemas.microsoft.com/office/drawing/2014/main" xmlns="" id="{00000000-0008-0000-1500-000027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0" name="Oval 69">
            <a:extLst>
              <a:ext uri="{FF2B5EF4-FFF2-40B4-BE49-F238E27FC236}">
                <a16:creationId xmlns:a16="http://schemas.microsoft.com/office/drawing/2014/main" xmlns="" id="{00000000-0008-0000-1500-000028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5</xdr:col>
      <xdr:colOff>771525</xdr:colOff>
      <xdr:row>0</xdr:row>
      <xdr:rowOff>38100</xdr:rowOff>
    </xdr:from>
    <xdr:to>
      <xdr:col>8</xdr:col>
      <xdr:colOff>400050</xdr:colOff>
      <xdr:row>1</xdr:row>
      <xdr:rowOff>142875</xdr:rowOff>
    </xdr:to>
    <xdr:pic>
      <xdr:nvPicPr>
        <xdr:cNvPr id="41" name="Picture 40">
          <a:extLst>
            <a:ext uri="{FF2B5EF4-FFF2-40B4-BE49-F238E27FC236}">
              <a16:creationId xmlns:a16="http://schemas.microsoft.com/office/drawing/2014/main" xmlns="" id="{00000000-0008-0000-1500-00002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733675" y="38100"/>
          <a:ext cx="1685925" cy="295275"/>
        </a:xfrm>
        <a:prstGeom prst="rect">
          <a:avLst/>
        </a:prstGeom>
        <a:noFill/>
        <a:ln w="9525">
          <a:noFill/>
          <a:round/>
          <a:headEnd/>
          <a:tailEnd/>
        </a:ln>
        <a:effectLst/>
      </xdr:spPr>
    </xdr:pic>
    <xdr:clientData/>
  </xdr:twoCellAnchor>
  <xdr:twoCellAnchor>
    <xdr:from>
      <xdr:col>5</xdr:col>
      <xdr:colOff>0</xdr:colOff>
      <xdr:row>1</xdr:row>
      <xdr:rowOff>76200</xdr:rowOff>
    </xdr:from>
    <xdr:to>
      <xdr:col>11</xdr:col>
      <xdr:colOff>66674</xdr:colOff>
      <xdr:row>3</xdr:row>
      <xdr:rowOff>38101</xdr:rowOff>
    </xdr:to>
    <xdr:pic>
      <xdr:nvPicPr>
        <xdr:cNvPr id="42" name="Picture 41">
          <a:extLst>
            <a:ext uri="{FF2B5EF4-FFF2-40B4-BE49-F238E27FC236}">
              <a16:creationId xmlns:a16="http://schemas.microsoft.com/office/drawing/2014/main" xmlns="" id="{00000000-0008-0000-1500-00002A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2028825" y="266700"/>
          <a:ext cx="4010024" cy="342901"/>
        </a:xfrm>
        <a:prstGeom prst="rect">
          <a:avLst/>
        </a:prstGeom>
        <a:noFill/>
        <a:ln w="9525">
          <a:noFill/>
          <a:round/>
          <a:headEnd/>
          <a:tailEnd/>
        </a:ln>
        <a:effectLst/>
      </xdr:spPr>
    </xdr:pic>
    <xdr:clientData/>
  </xdr:twoCellAnchor>
  <xdr:oneCellAnchor>
    <xdr:from>
      <xdr:col>14</xdr:col>
      <xdr:colOff>66675</xdr:colOff>
      <xdr:row>15</xdr:row>
      <xdr:rowOff>38101</xdr:rowOff>
    </xdr:from>
    <xdr:ext cx="361949" cy="276225"/>
    <xdr:pic>
      <xdr:nvPicPr>
        <xdr:cNvPr id="43" name="Picture 2">
          <a:hlinkClick xmlns:r="http://schemas.openxmlformats.org/officeDocument/2006/relationships" r:id="rId6"/>
          <a:extLst>
            <a:ext uri="{FF2B5EF4-FFF2-40B4-BE49-F238E27FC236}">
              <a16:creationId xmlns:a16="http://schemas.microsoft.com/office/drawing/2014/main" xmlns="" id="{00000000-0008-0000-1500-00002B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010525" y="2895601"/>
          <a:ext cx="361949" cy="276225"/>
        </a:xfrm>
        <a:prstGeom prst="rect">
          <a:avLst/>
        </a:prstGeom>
        <a:noFill/>
      </xdr:spPr>
    </xdr:pic>
    <xdr:clientData/>
  </xdr:oneCellAnchor>
  <xdr:twoCellAnchor>
    <xdr:from>
      <xdr:col>14</xdr:col>
      <xdr:colOff>142875</xdr:colOff>
      <xdr:row>0</xdr:row>
      <xdr:rowOff>142875</xdr:rowOff>
    </xdr:from>
    <xdr:to>
      <xdr:col>16</xdr:col>
      <xdr:colOff>361950</xdr:colOff>
      <xdr:row>4</xdr:row>
      <xdr:rowOff>123825</xdr:rowOff>
    </xdr:to>
    <xdr:sp macro="" textlink="">
      <xdr:nvSpPr>
        <xdr:cNvPr id="44" name="Left Arrow 43">
          <a:extLst>
            <a:ext uri="{FF2B5EF4-FFF2-40B4-BE49-F238E27FC236}">
              <a16:creationId xmlns:a16="http://schemas.microsoft.com/office/drawing/2014/main" xmlns="" id="{00000000-0008-0000-1500-00002C000000}"/>
            </a:ext>
          </a:extLst>
        </xdr:cNvPr>
        <xdr:cNvSpPr/>
      </xdr:nvSpPr>
      <xdr:spPr>
        <a:xfrm>
          <a:off x="8086725" y="142875"/>
          <a:ext cx="1438275" cy="7429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142875</xdr:colOff>
      <xdr:row>6</xdr:row>
      <xdr:rowOff>28575</xdr:rowOff>
    </xdr:from>
    <xdr:to>
      <xdr:col>3</xdr:col>
      <xdr:colOff>19050</xdr:colOff>
      <xdr:row>7</xdr:row>
      <xdr:rowOff>57150</xdr:rowOff>
    </xdr:to>
    <xdr:sp macro="" textlink="">
      <xdr:nvSpPr>
        <xdr:cNvPr id="45" name="Smiley Face 44">
          <a:extLst>
            <a:ext uri="{FF2B5EF4-FFF2-40B4-BE49-F238E27FC236}">
              <a16:creationId xmlns:a16="http://schemas.microsoft.com/office/drawing/2014/main" xmlns="" id="{00000000-0008-0000-1500-00002D000000}"/>
            </a:ext>
          </a:extLst>
        </xdr:cNvPr>
        <xdr:cNvSpPr/>
      </xdr:nvSpPr>
      <xdr:spPr>
        <a:xfrm>
          <a:off x="495300" y="1171575"/>
          <a:ext cx="200025" cy="219075"/>
        </a:xfrm>
        <a:prstGeom prst="smileyFace">
          <a:avLst/>
        </a:prstGeom>
      </xdr:spPr>
      <xdr:style>
        <a:lnRef idx="3">
          <a:schemeClr val="lt1"/>
        </a:lnRef>
        <a:fillRef idx="1">
          <a:schemeClr val="accent3"/>
        </a:fillRef>
        <a:effectRef idx="1">
          <a:schemeClr val="accent3"/>
        </a:effectRef>
        <a:fontRef idx="minor">
          <a:schemeClr val="lt1"/>
        </a:fontRef>
      </xdr:style>
      <xdr:txBody>
        <a:bodyPr vertOverflow="clip" rtlCol="0" anchor="ctr"/>
        <a:lstStyle/>
        <a:p>
          <a:pPr algn="ctr"/>
          <a:endParaRPr lang="en-US" sz="1100"/>
        </a:p>
      </xdr:txBody>
    </xdr:sp>
    <xdr:clientData/>
  </xdr:twoCellAnchor>
  <xdr:twoCellAnchor>
    <xdr:from>
      <xdr:col>7</xdr:col>
      <xdr:colOff>200025</xdr:colOff>
      <xdr:row>6</xdr:row>
      <xdr:rowOff>9525</xdr:rowOff>
    </xdr:from>
    <xdr:to>
      <xdr:col>7</xdr:col>
      <xdr:colOff>400050</xdr:colOff>
      <xdr:row>7</xdr:row>
      <xdr:rowOff>38100</xdr:rowOff>
    </xdr:to>
    <xdr:sp macro="" textlink="">
      <xdr:nvSpPr>
        <xdr:cNvPr id="46" name="Smiley Face 45">
          <a:extLst>
            <a:ext uri="{FF2B5EF4-FFF2-40B4-BE49-F238E27FC236}">
              <a16:creationId xmlns:a16="http://schemas.microsoft.com/office/drawing/2014/main" xmlns="" id="{00000000-0008-0000-1500-00002E000000}"/>
            </a:ext>
          </a:extLst>
        </xdr:cNvPr>
        <xdr:cNvSpPr/>
      </xdr:nvSpPr>
      <xdr:spPr>
        <a:xfrm>
          <a:off x="3657600" y="1152525"/>
          <a:ext cx="200025" cy="219075"/>
        </a:xfrm>
        <a:prstGeom prst="smileyFace">
          <a:avLst/>
        </a:prstGeom>
      </xdr:spPr>
      <xdr:style>
        <a:lnRef idx="3">
          <a:schemeClr val="lt1"/>
        </a:lnRef>
        <a:fillRef idx="1">
          <a:schemeClr val="accent3"/>
        </a:fillRef>
        <a:effectRef idx="1">
          <a:schemeClr val="accent3"/>
        </a:effectRef>
        <a:fontRef idx="minor">
          <a:schemeClr val="lt1"/>
        </a:fontRef>
      </xdr:style>
      <xdr:txBody>
        <a:bodyPr vertOverflow="clip" rtlCol="0" anchor="ctr"/>
        <a:lstStyle/>
        <a:p>
          <a:pPr algn="ctr"/>
          <a:endParaRPr lang="en-US" sz="1100"/>
        </a:p>
      </xdr:txBody>
    </xdr:sp>
    <xdr:clientData/>
  </xdr:twoCellAnchor>
  <xdr:oneCellAnchor>
    <xdr:from>
      <xdr:col>14</xdr:col>
      <xdr:colOff>38100</xdr:colOff>
      <xdr:row>9</xdr:row>
      <xdr:rowOff>57151</xdr:rowOff>
    </xdr:from>
    <xdr:ext cx="361949" cy="285750"/>
    <xdr:pic>
      <xdr:nvPicPr>
        <xdr:cNvPr id="47" name="Picture 2">
          <a:hlinkClick xmlns:r="http://schemas.openxmlformats.org/officeDocument/2006/relationships" r:id="rId8"/>
          <a:extLst>
            <a:ext uri="{FF2B5EF4-FFF2-40B4-BE49-F238E27FC236}">
              <a16:creationId xmlns:a16="http://schemas.microsoft.com/office/drawing/2014/main" xmlns="" id="{00000000-0008-0000-1500-00002F00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7981950" y="1771651"/>
          <a:ext cx="361949" cy="285750"/>
        </a:xfrm>
        <a:prstGeom prst="rect">
          <a:avLst/>
        </a:prstGeom>
        <a:noFill/>
      </xdr:spPr>
    </xdr:pic>
    <xdr:clientData/>
  </xdr:oneCellAnchor>
</xdr:wsDr>
</file>

<file path=xl/drawings/drawing21.xml><?xml version="1.0" encoding="utf-8"?>
<xdr:wsDr xmlns:xdr="http://schemas.openxmlformats.org/drawingml/2006/spreadsheetDrawing" xmlns:a="http://schemas.openxmlformats.org/drawingml/2006/main">
  <xdr:twoCellAnchor>
    <xdr:from>
      <xdr:col>1</xdr:col>
      <xdr:colOff>142876</xdr:colOff>
      <xdr:row>0</xdr:row>
      <xdr:rowOff>19051</xdr:rowOff>
    </xdr:from>
    <xdr:to>
      <xdr:col>4</xdr:col>
      <xdr:colOff>66676</xdr:colOff>
      <xdr:row>3</xdr:row>
      <xdr:rowOff>123826</xdr:rowOff>
    </xdr:to>
    <xdr:pic>
      <xdr:nvPicPr>
        <xdr:cNvPr id="2" name="image00.jpg">
          <a:extLst>
            <a:ext uri="{FF2B5EF4-FFF2-40B4-BE49-F238E27FC236}">
              <a16:creationId xmlns:a16="http://schemas.microsoft.com/office/drawing/2014/main" xmlns="" id="{00000000-0008-0000-16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2876" y="19051"/>
          <a:ext cx="1276350" cy="676275"/>
        </a:xfrm>
        <a:prstGeom prst="rect">
          <a:avLst/>
        </a:prstGeom>
        <a:noFill/>
        <a:ln w="9525">
          <a:noFill/>
          <a:round/>
          <a:headEnd/>
          <a:tailEnd/>
        </a:ln>
      </xdr:spPr>
    </xdr:pic>
    <xdr:clientData/>
  </xdr:twoCellAnchor>
  <xdr:twoCellAnchor>
    <xdr:from>
      <xdr:col>2</xdr:col>
      <xdr:colOff>28574</xdr:colOff>
      <xdr:row>3</xdr:row>
      <xdr:rowOff>152399</xdr:rowOff>
    </xdr:from>
    <xdr:to>
      <xdr:col>8</xdr:col>
      <xdr:colOff>0</xdr:colOff>
      <xdr:row>8</xdr:row>
      <xdr:rowOff>19050</xdr:rowOff>
    </xdr:to>
    <xdr:sp macro="" textlink="">
      <xdr:nvSpPr>
        <xdr:cNvPr id="3" name="Rounded Rectangle 2">
          <a:extLst>
            <a:ext uri="{FF2B5EF4-FFF2-40B4-BE49-F238E27FC236}">
              <a16:creationId xmlns:a16="http://schemas.microsoft.com/office/drawing/2014/main" xmlns="" id="{00000000-0008-0000-1600-000003000000}"/>
            </a:ext>
          </a:extLst>
        </xdr:cNvPr>
        <xdr:cNvSpPr/>
      </xdr:nvSpPr>
      <xdr:spPr bwMode="auto">
        <a:xfrm>
          <a:off x="380999" y="638174"/>
          <a:ext cx="3857626" cy="828676"/>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7</xdr:col>
      <xdr:colOff>180975</xdr:colOff>
      <xdr:row>13</xdr:row>
      <xdr:rowOff>85726</xdr:rowOff>
    </xdr:from>
    <xdr:to>
      <xdr:col>8</xdr:col>
      <xdr:colOff>561975</xdr:colOff>
      <xdr:row>17</xdr:row>
      <xdr:rowOff>142875</xdr:rowOff>
    </xdr:to>
    <xdr:sp macro="" textlink="">
      <xdr:nvSpPr>
        <xdr:cNvPr id="4" name="16-Point Star 3">
          <a:extLst>
            <a:ext uri="{FF2B5EF4-FFF2-40B4-BE49-F238E27FC236}">
              <a16:creationId xmlns:a16="http://schemas.microsoft.com/office/drawing/2014/main" xmlns="" id="{00000000-0008-0000-1600-000004000000}"/>
            </a:ext>
          </a:extLst>
        </xdr:cNvPr>
        <xdr:cNvSpPr/>
      </xdr:nvSpPr>
      <xdr:spPr bwMode="auto">
        <a:xfrm>
          <a:off x="3695700" y="2562226"/>
          <a:ext cx="1057275" cy="819149"/>
        </a:xfrm>
        <a:prstGeom prst="star16">
          <a:avLst/>
        </a:prstGeom>
        <a:ln>
          <a:headEnd type="none" w="med" len="med"/>
          <a:tailEnd type="none" w="med" len="med"/>
        </a:ln>
      </xdr:spPr>
      <xdr:style>
        <a:lnRef idx="1">
          <a:schemeClr val="accent4"/>
        </a:lnRef>
        <a:fillRef idx="2">
          <a:schemeClr val="accent4"/>
        </a:fillRef>
        <a:effectRef idx="1">
          <a:schemeClr val="accent4"/>
        </a:effectRef>
        <a:fontRef idx="minor">
          <a:schemeClr val="dk1"/>
        </a:fontRef>
      </xdr:style>
      <xdr:txBody>
        <a:bodyPr vertOverflow="clip" wrap="square" lIns="18288" tIns="0" rIns="0" bIns="0" rtlCol="0" anchor="ctr" upright="1"/>
        <a:lstStyle/>
        <a:p>
          <a:pPr algn="ctr"/>
          <a:r>
            <a:rPr lang="en-US" sz="1200" b="1">
              <a:solidFill>
                <a:srgbClr val="C00000"/>
              </a:solidFill>
              <a:latin typeface="+mn-lt"/>
              <a:ea typeface="+mn-ea"/>
              <a:cs typeface="+mn-cs"/>
            </a:rPr>
            <a:t>WITH        </a:t>
          </a:r>
          <a:r>
            <a:rPr lang="en-US" sz="1200" b="1" baseline="0">
              <a:solidFill>
                <a:srgbClr val="C00000"/>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9</xdr:col>
      <xdr:colOff>123825</xdr:colOff>
      <xdr:row>4</xdr:row>
      <xdr:rowOff>161925</xdr:rowOff>
    </xdr:from>
    <xdr:to>
      <xdr:col>12</xdr:col>
      <xdr:colOff>619125</xdr:colOff>
      <xdr:row>8</xdr:row>
      <xdr:rowOff>133350</xdr:rowOff>
    </xdr:to>
    <xdr:sp macro="" textlink="">
      <xdr:nvSpPr>
        <xdr:cNvPr id="5" name="Rounded Rectangle 4">
          <a:extLst>
            <a:ext uri="{FF2B5EF4-FFF2-40B4-BE49-F238E27FC236}">
              <a16:creationId xmlns:a16="http://schemas.microsoft.com/office/drawing/2014/main" xmlns="" id="{00000000-0008-0000-1600-000005000000}"/>
            </a:ext>
          </a:extLst>
        </xdr:cNvPr>
        <xdr:cNvSpPr/>
      </xdr:nvSpPr>
      <xdr:spPr>
        <a:xfrm>
          <a:off x="4876800" y="923925"/>
          <a:ext cx="2476500" cy="733425"/>
        </a:xfrm>
        <a:prstGeom prst="roundRect">
          <a:avLst/>
        </a:prstGeom>
        <a:noFill/>
        <a:ln>
          <a:solidFill>
            <a:schemeClr val="accent3">
              <a:lumMod val="60000"/>
              <a:lumOff val="4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9</xdr:col>
      <xdr:colOff>0</xdr:colOff>
      <xdr:row>52</xdr:row>
      <xdr:rowOff>142875</xdr:rowOff>
    </xdr:from>
    <xdr:to>
      <xdr:col>12</xdr:col>
      <xdr:colOff>638175</xdr:colOff>
      <xdr:row>60</xdr:row>
      <xdr:rowOff>28575</xdr:rowOff>
    </xdr:to>
    <xdr:sp macro="" textlink="">
      <xdr:nvSpPr>
        <xdr:cNvPr id="6" name="Round Diagonal Corner Rectangle 5">
          <a:extLst>
            <a:ext uri="{FF2B5EF4-FFF2-40B4-BE49-F238E27FC236}">
              <a16:creationId xmlns:a16="http://schemas.microsoft.com/office/drawing/2014/main" xmlns="" id="{00000000-0008-0000-1600-000006000000}"/>
            </a:ext>
          </a:extLst>
        </xdr:cNvPr>
        <xdr:cNvSpPr/>
      </xdr:nvSpPr>
      <xdr:spPr>
        <a:xfrm>
          <a:off x="4752975" y="9458325"/>
          <a:ext cx="2619375" cy="1257300"/>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oneCellAnchor>
    <xdr:from>
      <xdr:col>9</xdr:col>
      <xdr:colOff>9525</xdr:colOff>
      <xdr:row>19</xdr:row>
      <xdr:rowOff>104775</xdr:rowOff>
    </xdr:from>
    <xdr:ext cx="2457450" cy="2752725"/>
    <xdr:pic>
      <xdr:nvPicPr>
        <xdr:cNvPr id="7" name="Picture 4">
          <a:extLst>
            <a:ext uri="{FF2B5EF4-FFF2-40B4-BE49-F238E27FC236}">
              <a16:creationId xmlns:a16="http://schemas.microsoft.com/office/drawing/2014/main" xmlns="" id="{00000000-0008-0000-1600-000007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62500" y="3724275"/>
          <a:ext cx="2457450" cy="2752725"/>
        </a:xfrm>
        <a:prstGeom prst="rect">
          <a:avLst/>
        </a:prstGeom>
        <a:noFill/>
      </xdr:spPr>
    </xdr:pic>
    <xdr:clientData/>
  </xdr:oneCellAnchor>
  <xdr:oneCellAnchor>
    <xdr:from>
      <xdr:col>9</xdr:col>
      <xdr:colOff>1</xdr:colOff>
      <xdr:row>14</xdr:row>
      <xdr:rowOff>95250</xdr:rowOff>
    </xdr:from>
    <xdr:ext cx="2457450" cy="1000124"/>
    <xdr:pic>
      <xdr:nvPicPr>
        <xdr:cNvPr id="8" name="Picture 2">
          <a:extLst>
            <a:ext uri="{FF2B5EF4-FFF2-40B4-BE49-F238E27FC236}">
              <a16:creationId xmlns:a16="http://schemas.microsoft.com/office/drawing/2014/main" xmlns="" id="{00000000-0008-0000-1600-000008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4752976" y="2762250"/>
          <a:ext cx="2457450" cy="1000124"/>
        </a:xfrm>
        <a:prstGeom prst="rect">
          <a:avLst/>
        </a:prstGeom>
        <a:noFill/>
      </xdr:spPr>
    </xdr:pic>
    <xdr:clientData/>
  </xdr:oneCellAnchor>
  <xdr:twoCellAnchor>
    <xdr:from>
      <xdr:col>9</xdr:col>
      <xdr:colOff>142875</xdr:colOff>
      <xdr:row>53</xdr:row>
      <xdr:rowOff>152400</xdr:rowOff>
    </xdr:from>
    <xdr:to>
      <xdr:col>9</xdr:col>
      <xdr:colOff>609600</xdr:colOff>
      <xdr:row>59</xdr:row>
      <xdr:rowOff>9525</xdr:rowOff>
    </xdr:to>
    <xdr:grpSp>
      <xdr:nvGrpSpPr>
        <xdr:cNvPr id="9" name="Group 38">
          <a:extLst>
            <a:ext uri="{FF2B5EF4-FFF2-40B4-BE49-F238E27FC236}">
              <a16:creationId xmlns:a16="http://schemas.microsoft.com/office/drawing/2014/main" xmlns="" id="{00000000-0008-0000-1600-000009000000}"/>
            </a:ext>
          </a:extLst>
        </xdr:cNvPr>
        <xdr:cNvGrpSpPr>
          <a:grpSpLocks/>
        </xdr:cNvGrpSpPr>
      </xdr:nvGrpSpPr>
      <xdr:grpSpPr bwMode="auto">
        <a:xfrm>
          <a:off x="5267325" y="9601200"/>
          <a:ext cx="466725" cy="895350"/>
          <a:chOff x="112842675" y="108899325"/>
          <a:chExt cx="762763" cy="1285875"/>
        </a:xfrm>
      </xdr:grpSpPr>
      <xdr:sp macro="" textlink="">
        <xdr:nvSpPr>
          <xdr:cNvPr id="10" name="Oval 39">
            <a:extLst>
              <a:ext uri="{FF2B5EF4-FFF2-40B4-BE49-F238E27FC236}">
                <a16:creationId xmlns:a16="http://schemas.microsoft.com/office/drawing/2014/main" xmlns="" id="{00000000-0008-0000-1600-00000A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1" name="Oval 40">
            <a:extLst>
              <a:ext uri="{FF2B5EF4-FFF2-40B4-BE49-F238E27FC236}">
                <a16:creationId xmlns:a16="http://schemas.microsoft.com/office/drawing/2014/main" xmlns="" id="{00000000-0008-0000-1600-00000B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2" name="Oval 41">
            <a:extLst>
              <a:ext uri="{FF2B5EF4-FFF2-40B4-BE49-F238E27FC236}">
                <a16:creationId xmlns:a16="http://schemas.microsoft.com/office/drawing/2014/main" xmlns="" id="{00000000-0008-0000-1600-00000C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3" name="Oval 42">
            <a:extLst>
              <a:ext uri="{FF2B5EF4-FFF2-40B4-BE49-F238E27FC236}">
                <a16:creationId xmlns:a16="http://schemas.microsoft.com/office/drawing/2014/main" xmlns="" id="{00000000-0008-0000-1600-00000D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4" name="Oval 43">
            <a:extLst>
              <a:ext uri="{FF2B5EF4-FFF2-40B4-BE49-F238E27FC236}">
                <a16:creationId xmlns:a16="http://schemas.microsoft.com/office/drawing/2014/main" xmlns="" id="{00000000-0008-0000-1600-00000E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5" name="Oval 44">
            <a:extLst>
              <a:ext uri="{FF2B5EF4-FFF2-40B4-BE49-F238E27FC236}">
                <a16:creationId xmlns:a16="http://schemas.microsoft.com/office/drawing/2014/main" xmlns="" id="{00000000-0008-0000-1600-00000F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6" name="Oval 45">
            <a:extLst>
              <a:ext uri="{FF2B5EF4-FFF2-40B4-BE49-F238E27FC236}">
                <a16:creationId xmlns:a16="http://schemas.microsoft.com/office/drawing/2014/main" xmlns="" id="{00000000-0008-0000-1600-000010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7" name="Oval 46">
            <a:extLst>
              <a:ext uri="{FF2B5EF4-FFF2-40B4-BE49-F238E27FC236}">
                <a16:creationId xmlns:a16="http://schemas.microsoft.com/office/drawing/2014/main" xmlns="" id="{00000000-0008-0000-1600-000011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8" name="Oval 47">
            <a:extLst>
              <a:ext uri="{FF2B5EF4-FFF2-40B4-BE49-F238E27FC236}">
                <a16:creationId xmlns:a16="http://schemas.microsoft.com/office/drawing/2014/main" xmlns="" id="{00000000-0008-0000-1600-000012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19" name="Oval 48">
            <a:extLst>
              <a:ext uri="{FF2B5EF4-FFF2-40B4-BE49-F238E27FC236}">
                <a16:creationId xmlns:a16="http://schemas.microsoft.com/office/drawing/2014/main" xmlns="" id="{00000000-0008-0000-1600-000013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0" name="Oval 49">
            <a:extLst>
              <a:ext uri="{FF2B5EF4-FFF2-40B4-BE49-F238E27FC236}">
                <a16:creationId xmlns:a16="http://schemas.microsoft.com/office/drawing/2014/main" xmlns="" id="{00000000-0008-0000-1600-000014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1" name="Oval 50">
            <a:extLst>
              <a:ext uri="{FF2B5EF4-FFF2-40B4-BE49-F238E27FC236}">
                <a16:creationId xmlns:a16="http://schemas.microsoft.com/office/drawing/2014/main" xmlns="" id="{00000000-0008-0000-1600-000015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2" name="Oval 51">
            <a:extLst>
              <a:ext uri="{FF2B5EF4-FFF2-40B4-BE49-F238E27FC236}">
                <a16:creationId xmlns:a16="http://schemas.microsoft.com/office/drawing/2014/main" xmlns="" id="{00000000-0008-0000-1600-000016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3" name="Oval 52">
            <a:extLst>
              <a:ext uri="{FF2B5EF4-FFF2-40B4-BE49-F238E27FC236}">
                <a16:creationId xmlns:a16="http://schemas.microsoft.com/office/drawing/2014/main" xmlns="" id="{00000000-0008-0000-1600-000017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4" name="Oval 53">
            <a:extLst>
              <a:ext uri="{FF2B5EF4-FFF2-40B4-BE49-F238E27FC236}">
                <a16:creationId xmlns:a16="http://schemas.microsoft.com/office/drawing/2014/main" xmlns="" id="{00000000-0008-0000-1600-000018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5" name="Oval 54">
            <a:extLst>
              <a:ext uri="{FF2B5EF4-FFF2-40B4-BE49-F238E27FC236}">
                <a16:creationId xmlns:a16="http://schemas.microsoft.com/office/drawing/2014/main" xmlns="" id="{00000000-0008-0000-1600-000019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6" name="Oval 55">
            <a:extLst>
              <a:ext uri="{FF2B5EF4-FFF2-40B4-BE49-F238E27FC236}">
                <a16:creationId xmlns:a16="http://schemas.microsoft.com/office/drawing/2014/main" xmlns="" id="{00000000-0008-0000-1600-00001A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7" name="Oval 56">
            <a:extLst>
              <a:ext uri="{FF2B5EF4-FFF2-40B4-BE49-F238E27FC236}">
                <a16:creationId xmlns:a16="http://schemas.microsoft.com/office/drawing/2014/main" xmlns="" id="{00000000-0008-0000-1600-00001B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8" name="Oval 57">
            <a:extLst>
              <a:ext uri="{FF2B5EF4-FFF2-40B4-BE49-F238E27FC236}">
                <a16:creationId xmlns:a16="http://schemas.microsoft.com/office/drawing/2014/main" xmlns="" id="{00000000-0008-0000-1600-00001C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29" name="Oval 58">
            <a:extLst>
              <a:ext uri="{FF2B5EF4-FFF2-40B4-BE49-F238E27FC236}">
                <a16:creationId xmlns:a16="http://schemas.microsoft.com/office/drawing/2014/main" xmlns="" id="{00000000-0008-0000-1600-00001D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0" name="Oval 59">
            <a:extLst>
              <a:ext uri="{FF2B5EF4-FFF2-40B4-BE49-F238E27FC236}">
                <a16:creationId xmlns:a16="http://schemas.microsoft.com/office/drawing/2014/main" xmlns="" id="{00000000-0008-0000-1600-00001E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1" name="Oval 60">
            <a:extLst>
              <a:ext uri="{FF2B5EF4-FFF2-40B4-BE49-F238E27FC236}">
                <a16:creationId xmlns:a16="http://schemas.microsoft.com/office/drawing/2014/main" xmlns="" id="{00000000-0008-0000-1600-00001F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2" name="Oval 61">
            <a:extLst>
              <a:ext uri="{FF2B5EF4-FFF2-40B4-BE49-F238E27FC236}">
                <a16:creationId xmlns:a16="http://schemas.microsoft.com/office/drawing/2014/main" xmlns="" id="{00000000-0008-0000-1600-000020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3" name="Oval 62">
            <a:extLst>
              <a:ext uri="{FF2B5EF4-FFF2-40B4-BE49-F238E27FC236}">
                <a16:creationId xmlns:a16="http://schemas.microsoft.com/office/drawing/2014/main" xmlns="" id="{00000000-0008-0000-1600-000021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4" name="Oval 63">
            <a:extLst>
              <a:ext uri="{FF2B5EF4-FFF2-40B4-BE49-F238E27FC236}">
                <a16:creationId xmlns:a16="http://schemas.microsoft.com/office/drawing/2014/main" xmlns="" id="{00000000-0008-0000-1600-000022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5" name="Oval 64">
            <a:extLst>
              <a:ext uri="{FF2B5EF4-FFF2-40B4-BE49-F238E27FC236}">
                <a16:creationId xmlns:a16="http://schemas.microsoft.com/office/drawing/2014/main" xmlns="" id="{00000000-0008-0000-1600-000023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6" name="Oval 65">
            <a:extLst>
              <a:ext uri="{FF2B5EF4-FFF2-40B4-BE49-F238E27FC236}">
                <a16:creationId xmlns:a16="http://schemas.microsoft.com/office/drawing/2014/main" xmlns="" id="{00000000-0008-0000-1600-000024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7" name="Oval 66">
            <a:extLst>
              <a:ext uri="{FF2B5EF4-FFF2-40B4-BE49-F238E27FC236}">
                <a16:creationId xmlns:a16="http://schemas.microsoft.com/office/drawing/2014/main" xmlns="" id="{00000000-0008-0000-1600-000025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8" name="Oval 67">
            <a:extLst>
              <a:ext uri="{FF2B5EF4-FFF2-40B4-BE49-F238E27FC236}">
                <a16:creationId xmlns:a16="http://schemas.microsoft.com/office/drawing/2014/main" xmlns="" id="{00000000-0008-0000-1600-000026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39" name="Oval 68">
            <a:extLst>
              <a:ext uri="{FF2B5EF4-FFF2-40B4-BE49-F238E27FC236}">
                <a16:creationId xmlns:a16="http://schemas.microsoft.com/office/drawing/2014/main" xmlns="" id="{00000000-0008-0000-1600-000027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0" name="Oval 69">
            <a:extLst>
              <a:ext uri="{FF2B5EF4-FFF2-40B4-BE49-F238E27FC236}">
                <a16:creationId xmlns:a16="http://schemas.microsoft.com/office/drawing/2014/main" xmlns="" id="{00000000-0008-0000-1600-000028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5</xdr:col>
      <xdr:colOff>390525</xdr:colOff>
      <xdr:row>0</xdr:row>
      <xdr:rowOff>0</xdr:rowOff>
    </xdr:from>
    <xdr:to>
      <xdr:col>7</xdr:col>
      <xdr:colOff>581025</xdr:colOff>
      <xdr:row>1</xdr:row>
      <xdr:rowOff>47625</xdr:rowOff>
    </xdr:to>
    <xdr:pic>
      <xdr:nvPicPr>
        <xdr:cNvPr id="41" name="Picture 40">
          <a:extLst>
            <a:ext uri="{FF2B5EF4-FFF2-40B4-BE49-F238E27FC236}">
              <a16:creationId xmlns:a16="http://schemas.microsoft.com/office/drawing/2014/main" xmlns="" id="{00000000-0008-0000-1600-000029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2419350" y="0"/>
          <a:ext cx="1676400" cy="238125"/>
        </a:xfrm>
        <a:prstGeom prst="rect">
          <a:avLst/>
        </a:prstGeom>
        <a:noFill/>
        <a:ln w="9525">
          <a:noFill/>
          <a:round/>
          <a:headEnd/>
          <a:tailEnd/>
        </a:ln>
        <a:effectLst/>
      </xdr:spPr>
    </xdr:pic>
    <xdr:clientData/>
  </xdr:twoCellAnchor>
  <xdr:twoCellAnchor>
    <xdr:from>
      <xdr:col>4</xdr:col>
      <xdr:colOff>123825</xdr:colOff>
      <xdr:row>0</xdr:row>
      <xdr:rowOff>161924</xdr:rowOff>
    </xdr:from>
    <xdr:to>
      <xdr:col>10</xdr:col>
      <xdr:colOff>152399</xdr:colOff>
      <xdr:row>2</xdr:row>
      <xdr:rowOff>152400</xdr:rowOff>
    </xdr:to>
    <xdr:pic>
      <xdr:nvPicPr>
        <xdr:cNvPr id="42" name="Picture 41">
          <a:extLst>
            <a:ext uri="{FF2B5EF4-FFF2-40B4-BE49-F238E27FC236}">
              <a16:creationId xmlns:a16="http://schemas.microsoft.com/office/drawing/2014/main" xmlns="" id="{00000000-0008-0000-1600-00002A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847850" y="161924"/>
          <a:ext cx="4095749" cy="314326"/>
        </a:xfrm>
        <a:prstGeom prst="rect">
          <a:avLst/>
        </a:prstGeom>
        <a:noFill/>
        <a:ln w="9525">
          <a:noFill/>
          <a:round/>
          <a:headEnd/>
          <a:tailEnd/>
        </a:ln>
        <a:effectLst/>
      </xdr:spPr>
    </xdr:pic>
    <xdr:clientData/>
  </xdr:twoCellAnchor>
  <xdr:twoCellAnchor>
    <xdr:from>
      <xdr:col>10</xdr:col>
      <xdr:colOff>142875</xdr:colOff>
      <xdr:row>8</xdr:row>
      <xdr:rowOff>200026</xdr:rowOff>
    </xdr:from>
    <xdr:to>
      <xdr:col>11</xdr:col>
      <xdr:colOff>542925</xdr:colOff>
      <xdr:row>14</xdr:row>
      <xdr:rowOff>57150</xdr:rowOff>
    </xdr:to>
    <xdr:sp macro="" textlink="">
      <xdr:nvSpPr>
        <xdr:cNvPr id="43" name="Oval 42">
          <a:extLst>
            <a:ext uri="{FF2B5EF4-FFF2-40B4-BE49-F238E27FC236}">
              <a16:creationId xmlns:a16="http://schemas.microsoft.com/office/drawing/2014/main" xmlns="" id="{00000000-0008-0000-1600-00002B000000}"/>
            </a:ext>
          </a:extLst>
        </xdr:cNvPr>
        <xdr:cNvSpPr/>
      </xdr:nvSpPr>
      <xdr:spPr>
        <a:xfrm>
          <a:off x="5562600" y="1647826"/>
          <a:ext cx="1057275" cy="866774"/>
        </a:xfrm>
        <a:prstGeom prst="ellipse">
          <a:avLst/>
        </a:prstGeom>
        <a:noFill/>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11</xdr:col>
      <xdr:colOff>571501</xdr:colOff>
      <xdr:row>9</xdr:row>
      <xdr:rowOff>95250</xdr:rowOff>
    </xdr:from>
    <xdr:ext cx="704849" cy="676275"/>
    <xdr:pic>
      <xdr:nvPicPr>
        <xdr:cNvPr id="44" name="Picture 1" descr="savings image க்கான பட முடிவு">
          <a:extLst>
            <a:ext uri="{FF2B5EF4-FFF2-40B4-BE49-F238E27FC236}">
              <a16:creationId xmlns:a16="http://schemas.microsoft.com/office/drawing/2014/main" xmlns="" id="{00000000-0008-0000-1600-00002C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6648451" y="1809750"/>
          <a:ext cx="704849" cy="676275"/>
        </a:xfrm>
        <a:prstGeom prst="rect">
          <a:avLst/>
        </a:prstGeom>
        <a:noFill/>
      </xdr:spPr>
    </xdr:pic>
    <xdr:clientData/>
  </xdr:oneCellAnchor>
  <xdr:oneCellAnchor>
    <xdr:from>
      <xdr:col>14</xdr:col>
      <xdr:colOff>38100</xdr:colOff>
      <xdr:row>14</xdr:row>
      <xdr:rowOff>57151</xdr:rowOff>
    </xdr:from>
    <xdr:ext cx="361949" cy="285750"/>
    <xdr:pic>
      <xdr:nvPicPr>
        <xdr:cNvPr id="45" name="Picture 2">
          <a:hlinkClick xmlns:r="http://schemas.openxmlformats.org/officeDocument/2006/relationships" r:id="rId7"/>
          <a:extLst>
            <a:ext uri="{FF2B5EF4-FFF2-40B4-BE49-F238E27FC236}">
              <a16:creationId xmlns:a16="http://schemas.microsoft.com/office/drawing/2014/main" xmlns="" id="{00000000-0008-0000-1600-00002D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048625" y="2724151"/>
          <a:ext cx="361949" cy="285750"/>
        </a:xfrm>
        <a:prstGeom prst="rect">
          <a:avLst/>
        </a:prstGeom>
        <a:noFill/>
      </xdr:spPr>
    </xdr:pic>
    <xdr:clientData/>
  </xdr:oneCellAnchor>
  <xdr:twoCellAnchor>
    <xdr:from>
      <xdr:col>14</xdr:col>
      <xdr:colOff>285750</xdr:colOff>
      <xdr:row>0</xdr:row>
      <xdr:rowOff>104775</xdr:rowOff>
    </xdr:from>
    <xdr:to>
      <xdr:col>16</xdr:col>
      <xdr:colOff>504825</xdr:colOff>
      <xdr:row>4</xdr:row>
      <xdr:rowOff>123825</xdr:rowOff>
    </xdr:to>
    <xdr:sp macro="" textlink="">
      <xdr:nvSpPr>
        <xdr:cNvPr id="46" name="Left Arrow 45">
          <a:extLst>
            <a:ext uri="{FF2B5EF4-FFF2-40B4-BE49-F238E27FC236}">
              <a16:creationId xmlns:a16="http://schemas.microsoft.com/office/drawing/2014/main" xmlns="" id="{00000000-0008-0000-1600-00002E000000}"/>
            </a:ext>
          </a:extLst>
        </xdr:cNvPr>
        <xdr:cNvSpPr/>
      </xdr:nvSpPr>
      <xdr:spPr>
        <a:xfrm>
          <a:off x="8296275" y="104775"/>
          <a:ext cx="1438275" cy="7810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238125</xdr:colOff>
      <xdr:row>4</xdr:row>
      <xdr:rowOff>85725</xdr:rowOff>
    </xdr:from>
    <xdr:to>
      <xdr:col>3</xdr:col>
      <xdr:colOff>104775</xdr:colOff>
      <xdr:row>5</xdr:row>
      <xdr:rowOff>95250</xdr:rowOff>
    </xdr:to>
    <xdr:sp macro="" textlink="">
      <xdr:nvSpPr>
        <xdr:cNvPr id="47" name="Smiley Face 46">
          <a:extLst>
            <a:ext uri="{FF2B5EF4-FFF2-40B4-BE49-F238E27FC236}">
              <a16:creationId xmlns:a16="http://schemas.microsoft.com/office/drawing/2014/main" xmlns="" id="{00000000-0008-0000-1600-00002F000000}"/>
            </a:ext>
          </a:extLst>
        </xdr:cNvPr>
        <xdr:cNvSpPr/>
      </xdr:nvSpPr>
      <xdr:spPr>
        <a:xfrm>
          <a:off x="590550" y="847725"/>
          <a:ext cx="200025" cy="200025"/>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7</xdr:col>
      <xdr:colOff>295275</xdr:colOff>
      <xdr:row>4</xdr:row>
      <xdr:rowOff>104775</xdr:rowOff>
    </xdr:from>
    <xdr:to>
      <xdr:col>7</xdr:col>
      <xdr:colOff>495300</xdr:colOff>
      <xdr:row>5</xdr:row>
      <xdr:rowOff>114300</xdr:rowOff>
    </xdr:to>
    <xdr:sp macro="" textlink="">
      <xdr:nvSpPr>
        <xdr:cNvPr id="48" name="Smiley Face 47">
          <a:extLst>
            <a:ext uri="{FF2B5EF4-FFF2-40B4-BE49-F238E27FC236}">
              <a16:creationId xmlns:a16="http://schemas.microsoft.com/office/drawing/2014/main" xmlns="" id="{00000000-0008-0000-1600-000030000000}"/>
            </a:ext>
          </a:extLst>
        </xdr:cNvPr>
        <xdr:cNvSpPr/>
      </xdr:nvSpPr>
      <xdr:spPr>
        <a:xfrm>
          <a:off x="3810000" y="866775"/>
          <a:ext cx="200025" cy="200025"/>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oneCellAnchor>
    <xdr:from>
      <xdr:col>14</xdr:col>
      <xdr:colOff>28575</xdr:colOff>
      <xdr:row>8</xdr:row>
      <xdr:rowOff>28576</xdr:rowOff>
    </xdr:from>
    <xdr:ext cx="361949" cy="314325"/>
    <xdr:pic>
      <xdr:nvPicPr>
        <xdr:cNvPr id="49" name="Picture 2">
          <a:hlinkClick xmlns:r="http://schemas.openxmlformats.org/officeDocument/2006/relationships" r:id="rId9"/>
          <a:extLst>
            <a:ext uri="{FF2B5EF4-FFF2-40B4-BE49-F238E27FC236}">
              <a16:creationId xmlns:a16="http://schemas.microsoft.com/office/drawing/2014/main" xmlns="" id="{00000000-0008-0000-1600-000031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039100" y="1552576"/>
          <a:ext cx="361949" cy="314325"/>
        </a:xfrm>
        <a:prstGeom prst="rect">
          <a:avLst/>
        </a:prstGeom>
        <a:noFill/>
      </xdr:spPr>
    </xdr:pic>
    <xdr:clientData/>
  </xdr:oneCellAnchor>
</xdr:wsDr>
</file>

<file path=xl/drawings/drawing22.xml><?xml version="1.0" encoding="utf-8"?>
<xdr:wsDr xmlns:xdr="http://schemas.openxmlformats.org/drawingml/2006/spreadsheetDrawing" xmlns:a="http://schemas.openxmlformats.org/drawingml/2006/main">
  <xdr:twoCellAnchor>
    <xdr:from>
      <xdr:col>1</xdr:col>
      <xdr:colOff>209551</xdr:colOff>
      <xdr:row>0</xdr:row>
      <xdr:rowOff>66675</xdr:rowOff>
    </xdr:from>
    <xdr:to>
      <xdr:col>4</xdr:col>
      <xdr:colOff>219075</xdr:colOff>
      <xdr:row>4</xdr:row>
      <xdr:rowOff>66675</xdr:rowOff>
    </xdr:to>
    <xdr:pic>
      <xdr:nvPicPr>
        <xdr:cNvPr id="2" name="image00.jpg">
          <a:extLst>
            <a:ext uri="{FF2B5EF4-FFF2-40B4-BE49-F238E27FC236}">
              <a16:creationId xmlns:a16="http://schemas.microsoft.com/office/drawing/2014/main" xmlns="" id="{00000000-0008-0000-1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09551" y="66675"/>
          <a:ext cx="1304924" cy="685800"/>
        </a:xfrm>
        <a:prstGeom prst="rect">
          <a:avLst/>
        </a:prstGeom>
        <a:noFill/>
        <a:ln w="9525">
          <a:noFill/>
          <a:round/>
          <a:headEnd/>
          <a:tailEnd/>
        </a:ln>
      </xdr:spPr>
    </xdr:pic>
    <xdr:clientData/>
  </xdr:twoCellAnchor>
  <xdr:twoCellAnchor>
    <xdr:from>
      <xdr:col>2</xdr:col>
      <xdr:colOff>19052</xdr:colOff>
      <xdr:row>5</xdr:row>
      <xdr:rowOff>0</xdr:rowOff>
    </xdr:from>
    <xdr:to>
      <xdr:col>7</xdr:col>
      <xdr:colOff>9525</xdr:colOff>
      <xdr:row>9</xdr:row>
      <xdr:rowOff>76199</xdr:rowOff>
    </xdr:to>
    <xdr:sp macro="" textlink="">
      <xdr:nvSpPr>
        <xdr:cNvPr id="3" name="Rounded Rectangle 2">
          <a:extLst>
            <a:ext uri="{FF2B5EF4-FFF2-40B4-BE49-F238E27FC236}">
              <a16:creationId xmlns:a16="http://schemas.microsoft.com/office/drawing/2014/main" xmlns="" id="{00000000-0008-0000-1700-000003000000}"/>
            </a:ext>
          </a:extLst>
        </xdr:cNvPr>
        <xdr:cNvSpPr/>
      </xdr:nvSpPr>
      <xdr:spPr bwMode="auto">
        <a:xfrm>
          <a:off x="295277" y="866775"/>
          <a:ext cx="2981323" cy="857249"/>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7</xdr:col>
      <xdr:colOff>123824</xdr:colOff>
      <xdr:row>3</xdr:row>
      <xdr:rowOff>133350</xdr:rowOff>
    </xdr:from>
    <xdr:to>
      <xdr:col>8</xdr:col>
      <xdr:colOff>676274</xdr:colOff>
      <xdr:row>9</xdr:row>
      <xdr:rowOff>66675</xdr:rowOff>
    </xdr:to>
    <xdr:sp macro="" textlink="">
      <xdr:nvSpPr>
        <xdr:cNvPr id="4" name="16-Point Star 3">
          <a:extLst>
            <a:ext uri="{FF2B5EF4-FFF2-40B4-BE49-F238E27FC236}">
              <a16:creationId xmlns:a16="http://schemas.microsoft.com/office/drawing/2014/main" xmlns="" id="{00000000-0008-0000-1700-000004000000}"/>
            </a:ext>
          </a:extLst>
        </xdr:cNvPr>
        <xdr:cNvSpPr/>
      </xdr:nvSpPr>
      <xdr:spPr bwMode="auto">
        <a:xfrm>
          <a:off x="3390899" y="647700"/>
          <a:ext cx="1304925" cy="1066800"/>
        </a:xfrm>
        <a:prstGeom prst="star16">
          <a:avLst/>
        </a:prstGeom>
        <a:ln>
          <a:headEnd type="none" w="med" len="med"/>
          <a:tailEnd type="none" w="med" len="med"/>
        </a:ln>
        <a:scene3d>
          <a:camera prst="orthographicFront"/>
          <a:lightRig rig="threePt" dir="t"/>
        </a:scene3d>
        <a:sp3d>
          <a:bevelT w="139700" h="139700" prst="divot"/>
        </a:sp3d>
      </xdr:spPr>
      <xdr:style>
        <a:lnRef idx="1">
          <a:schemeClr val="accent5"/>
        </a:lnRef>
        <a:fillRef idx="2">
          <a:schemeClr val="accent5"/>
        </a:fillRef>
        <a:effectRef idx="1">
          <a:schemeClr val="accent5"/>
        </a:effectRef>
        <a:fontRef idx="minor">
          <a:schemeClr val="dk1"/>
        </a:fontRef>
      </xdr:style>
      <xdr:txBody>
        <a:bodyPr vertOverflow="clip" wrap="square" lIns="18288" tIns="0" rIns="0" bIns="0" rtlCol="0" anchor="ctr" upright="1"/>
        <a:lstStyle/>
        <a:p>
          <a:pPr algn="ctr"/>
          <a:r>
            <a:rPr lang="en-US" sz="1050" b="1">
              <a:solidFill>
                <a:srgbClr val="FF0000"/>
              </a:solidFill>
              <a:latin typeface="+mn-lt"/>
              <a:ea typeface="+mn-ea"/>
              <a:cs typeface="+mn-cs"/>
            </a:rPr>
            <a:t>WITH             LOYALTY ADDITIONS</a:t>
          </a:r>
          <a:endParaRPr lang="en-US" sz="1050" b="1">
            <a:solidFill>
              <a:srgbClr val="FF0000"/>
            </a:solidFill>
          </a:endParaRPr>
        </a:p>
        <a:p>
          <a:pPr algn="ctr"/>
          <a:endParaRPr lang="en-US" sz="1100"/>
        </a:p>
      </xdr:txBody>
    </xdr:sp>
    <xdr:clientData/>
  </xdr:twoCellAnchor>
  <xdr:twoCellAnchor>
    <xdr:from>
      <xdr:col>9</xdr:col>
      <xdr:colOff>9524</xdr:colOff>
      <xdr:row>47</xdr:row>
      <xdr:rowOff>180976</xdr:rowOff>
    </xdr:from>
    <xdr:to>
      <xdr:col>13</xdr:col>
      <xdr:colOff>581025</xdr:colOff>
      <xdr:row>55</xdr:row>
      <xdr:rowOff>0</xdr:rowOff>
    </xdr:to>
    <xdr:sp macro="" textlink="">
      <xdr:nvSpPr>
        <xdr:cNvPr id="6" name="Round Diagonal Corner Rectangle 5">
          <a:extLst>
            <a:ext uri="{FF2B5EF4-FFF2-40B4-BE49-F238E27FC236}">
              <a16:creationId xmlns:a16="http://schemas.microsoft.com/office/drawing/2014/main" xmlns="" id="{00000000-0008-0000-1700-000006000000}"/>
            </a:ext>
          </a:extLst>
        </xdr:cNvPr>
        <xdr:cNvSpPr/>
      </xdr:nvSpPr>
      <xdr:spPr>
        <a:xfrm>
          <a:off x="4733924" y="8839201"/>
          <a:ext cx="2371726" cy="1371599"/>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9</xdr:col>
      <xdr:colOff>28575</xdr:colOff>
      <xdr:row>6</xdr:row>
      <xdr:rowOff>0</xdr:rowOff>
    </xdr:from>
    <xdr:to>
      <xdr:col>13</xdr:col>
      <xdr:colOff>561976</xdr:colOff>
      <xdr:row>9</xdr:row>
      <xdr:rowOff>104775</xdr:rowOff>
    </xdr:to>
    <xdr:sp macro="" textlink="">
      <xdr:nvSpPr>
        <xdr:cNvPr id="7" name="Rounded Rectangle 6">
          <a:extLst>
            <a:ext uri="{FF2B5EF4-FFF2-40B4-BE49-F238E27FC236}">
              <a16:creationId xmlns:a16="http://schemas.microsoft.com/office/drawing/2014/main" xmlns="" id="{00000000-0008-0000-1700-000007000000}"/>
            </a:ext>
          </a:extLst>
        </xdr:cNvPr>
        <xdr:cNvSpPr/>
      </xdr:nvSpPr>
      <xdr:spPr>
        <a:xfrm>
          <a:off x="4752975" y="1028700"/>
          <a:ext cx="2333626" cy="723900"/>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5</xdr:col>
      <xdr:colOff>533400</xdr:colOff>
      <xdr:row>0</xdr:row>
      <xdr:rowOff>28575</xdr:rowOff>
    </xdr:from>
    <xdr:to>
      <xdr:col>8</xdr:col>
      <xdr:colOff>685800</xdr:colOff>
      <xdr:row>1</xdr:row>
      <xdr:rowOff>123825</xdr:rowOff>
    </xdr:to>
    <xdr:pic>
      <xdr:nvPicPr>
        <xdr:cNvPr id="8" name="Picture 7">
          <a:extLst>
            <a:ext uri="{FF2B5EF4-FFF2-40B4-BE49-F238E27FC236}">
              <a16:creationId xmlns:a16="http://schemas.microsoft.com/office/drawing/2014/main" xmlns="" id="{00000000-0008-0000-1700-000008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486025" y="28575"/>
          <a:ext cx="2219325" cy="266700"/>
        </a:xfrm>
        <a:prstGeom prst="rect">
          <a:avLst/>
        </a:prstGeom>
        <a:noFill/>
        <a:ln w="9525">
          <a:noFill/>
          <a:round/>
          <a:headEnd/>
          <a:tailEnd/>
        </a:ln>
        <a:effectLst/>
      </xdr:spPr>
    </xdr:pic>
    <xdr:clientData/>
  </xdr:twoCellAnchor>
  <xdr:twoCellAnchor>
    <xdr:from>
      <xdr:col>4</xdr:col>
      <xdr:colOff>219075</xdr:colOff>
      <xdr:row>1</xdr:row>
      <xdr:rowOff>133350</xdr:rowOff>
    </xdr:from>
    <xdr:to>
      <xdr:col>11</xdr:col>
      <xdr:colOff>266700</xdr:colOff>
      <xdr:row>3</xdr:row>
      <xdr:rowOff>47626</xdr:rowOff>
    </xdr:to>
    <xdr:pic>
      <xdr:nvPicPr>
        <xdr:cNvPr id="9" name="Picture 8">
          <a:extLst>
            <a:ext uri="{FF2B5EF4-FFF2-40B4-BE49-F238E27FC236}">
              <a16:creationId xmlns:a16="http://schemas.microsoft.com/office/drawing/2014/main" xmlns="" id="{00000000-0008-0000-1700-000009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514475" y="304800"/>
          <a:ext cx="4200525" cy="257176"/>
        </a:xfrm>
        <a:prstGeom prst="rect">
          <a:avLst/>
        </a:prstGeom>
        <a:noFill/>
        <a:ln w="9525">
          <a:noFill/>
          <a:round/>
          <a:headEnd/>
          <a:tailEnd/>
        </a:ln>
        <a:effectLst/>
      </xdr:spPr>
    </xdr:pic>
    <xdr:clientData/>
  </xdr:twoCellAnchor>
  <xdr:twoCellAnchor>
    <xdr:from>
      <xdr:col>9</xdr:col>
      <xdr:colOff>57150</xdr:colOff>
      <xdr:row>49</xdr:row>
      <xdr:rowOff>28575</xdr:rowOff>
    </xdr:from>
    <xdr:to>
      <xdr:col>9</xdr:col>
      <xdr:colOff>361950</xdr:colOff>
      <xdr:row>54</xdr:row>
      <xdr:rowOff>66675</xdr:rowOff>
    </xdr:to>
    <xdr:grpSp>
      <xdr:nvGrpSpPr>
        <xdr:cNvPr id="10" name="Group 38">
          <a:extLst>
            <a:ext uri="{FF2B5EF4-FFF2-40B4-BE49-F238E27FC236}">
              <a16:creationId xmlns:a16="http://schemas.microsoft.com/office/drawing/2014/main" xmlns="" id="{00000000-0008-0000-1700-00000A000000}"/>
            </a:ext>
          </a:extLst>
        </xdr:cNvPr>
        <xdr:cNvGrpSpPr>
          <a:grpSpLocks/>
        </xdr:cNvGrpSpPr>
      </xdr:nvGrpSpPr>
      <xdr:grpSpPr bwMode="auto">
        <a:xfrm>
          <a:off x="4781550" y="9448800"/>
          <a:ext cx="304800" cy="1019175"/>
          <a:chOff x="112842675" y="108899325"/>
          <a:chExt cx="762763" cy="1285875"/>
        </a:xfrm>
      </xdr:grpSpPr>
      <xdr:sp macro="" textlink="">
        <xdr:nvSpPr>
          <xdr:cNvPr id="11" name="Oval 39">
            <a:extLst>
              <a:ext uri="{FF2B5EF4-FFF2-40B4-BE49-F238E27FC236}">
                <a16:creationId xmlns:a16="http://schemas.microsoft.com/office/drawing/2014/main" xmlns="" id="{00000000-0008-0000-1700-00000B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2" name="Oval 40">
            <a:extLst>
              <a:ext uri="{FF2B5EF4-FFF2-40B4-BE49-F238E27FC236}">
                <a16:creationId xmlns:a16="http://schemas.microsoft.com/office/drawing/2014/main" xmlns="" id="{00000000-0008-0000-1700-00000C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3" name="Oval 41">
            <a:extLst>
              <a:ext uri="{FF2B5EF4-FFF2-40B4-BE49-F238E27FC236}">
                <a16:creationId xmlns:a16="http://schemas.microsoft.com/office/drawing/2014/main" xmlns="" id="{00000000-0008-0000-1700-00000D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4" name="Oval 42">
            <a:extLst>
              <a:ext uri="{FF2B5EF4-FFF2-40B4-BE49-F238E27FC236}">
                <a16:creationId xmlns:a16="http://schemas.microsoft.com/office/drawing/2014/main" xmlns="" id="{00000000-0008-0000-1700-00000E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5" name="Oval 43">
            <a:extLst>
              <a:ext uri="{FF2B5EF4-FFF2-40B4-BE49-F238E27FC236}">
                <a16:creationId xmlns:a16="http://schemas.microsoft.com/office/drawing/2014/main" xmlns="" id="{00000000-0008-0000-1700-00000F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6" name="Oval 44">
            <a:extLst>
              <a:ext uri="{FF2B5EF4-FFF2-40B4-BE49-F238E27FC236}">
                <a16:creationId xmlns:a16="http://schemas.microsoft.com/office/drawing/2014/main" xmlns="" id="{00000000-0008-0000-1700-000010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7" name="Oval 45">
            <a:extLst>
              <a:ext uri="{FF2B5EF4-FFF2-40B4-BE49-F238E27FC236}">
                <a16:creationId xmlns:a16="http://schemas.microsoft.com/office/drawing/2014/main" xmlns="" id="{00000000-0008-0000-1700-000011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8" name="Oval 46">
            <a:extLst>
              <a:ext uri="{FF2B5EF4-FFF2-40B4-BE49-F238E27FC236}">
                <a16:creationId xmlns:a16="http://schemas.microsoft.com/office/drawing/2014/main" xmlns="" id="{00000000-0008-0000-1700-000012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9" name="Oval 47">
            <a:extLst>
              <a:ext uri="{FF2B5EF4-FFF2-40B4-BE49-F238E27FC236}">
                <a16:creationId xmlns:a16="http://schemas.microsoft.com/office/drawing/2014/main" xmlns="" id="{00000000-0008-0000-1700-000013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0" name="Oval 48">
            <a:extLst>
              <a:ext uri="{FF2B5EF4-FFF2-40B4-BE49-F238E27FC236}">
                <a16:creationId xmlns:a16="http://schemas.microsoft.com/office/drawing/2014/main" xmlns="" id="{00000000-0008-0000-1700-000014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1" name="Oval 49">
            <a:extLst>
              <a:ext uri="{FF2B5EF4-FFF2-40B4-BE49-F238E27FC236}">
                <a16:creationId xmlns:a16="http://schemas.microsoft.com/office/drawing/2014/main" xmlns="" id="{00000000-0008-0000-1700-000015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2" name="Oval 50">
            <a:extLst>
              <a:ext uri="{FF2B5EF4-FFF2-40B4-BE49-F238E27FC236}">
                <a16:creationId xmlns:a16="http://schemas.microsoft.com/office/drawing/2014/main" xmlns="" id="{00000000-0008-0000-1700-000016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3" name="Oval 51">
            <a:extLst>
              <a:ext uri="{FF2B5EF4-FFF2-40B4-BE49-F238E27FC236}">
                <a16:creationId xmlns:a16="http://schemas.microsoft.com/office/drawing/2014/main" xmlns="" id="{00000000-0008-0000-1700-000017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4" name="Oval 52">
            <a:extLst>
              <a:ext uri="{FF2B5EF4-FFF2-40B4-BE49-F238E27FC236}">
                <a16:creationId xmlns:a16="http://schemas.microsoft.com/office/drawing/2014/main" xmlns="" id="{00000000-0008-0000-1700-000018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5" name="Oval 53">
            <a:extLst>
              <a:ext uri="{FF2B5EF4-FFF2-40B4-BE49-F238E27FC236}">
                <a16:creationId xmlns:a16="http://schemas.microsoft.com/office/drawing/2014/main" xmlns="" id="{00000000-0008-0000-1700-000019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6" name="Oval 54">
            <a:extLst>
              <a:ext uri="{FF2B5EF4-FFF2-40B4-BE49-F238E27FC236}">
                <a16:creationId xmlns:a16="http://schemas.microsoft.com/office/drawing/2014/main" xmlns="" id="{00000000-0008-0000-1700-00001A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7" name="Oval 55">
            <a:extLst>
              <a:ext uri="{FF2B5EF4-FFF2-40B4-BE49-F238E27FC236}">
                <a16:creationId xmlns:a16="http://schemas.microsoft.com/office/drawing/2014/main" xmlns="" id="{00000000-0008-0000-1700-00001B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8" name="Oval 56">
            <a:extLst>
              <a:ext uri="{FF2B5EF4-FFF2-40B4-BE49-F238E27FC236}">
                <a16:creationId xmlns:a16="http://schemas.microsoft.com/office/drawing/2014/main" xmlns="" id="{00000000-0008-0000-1700-00001C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9" name="Oval 57">
            <a:extLst>
              <a:ext uri="{FF2B5EF4-FFF2-40B4-BE49-F238E27FC236}">
                <a16:creationId xmlns:a16="http://schemas.microsoft.com/office/drawing/2014/main" xmlns="" id="{00000000-0008-0000-1700-00001D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0" name="Oval 58">
            <a:extLst>
              <a:ext uri="{FF2B5EF4-FFF2-40B4-BE49-F238E27FC236}">
                <a16:creationId xmlns:a16="http://schemas.microsoft.com/office/drawing/2014/main" xmlns="" id="{00000000-0008-0000-1700-00001E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1" name="Oval 59">
            <a:extLst>
              <a:ext uri="{FF2B5EF4-FFF2-40B4-BE49-F238E27FC236}">
                <a16:creationId xmlns:a16="http://schemas.microsoft.com/office/drawing/2014/main" xmlns="" id="{00000000-0008-0000-1700-00001F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2" name="Oval 60">
            <a:extLst>
              <a:ext uri="{FF2B5EF4-FFF2-40B4-BE49-F238E27FC236}">
                <a16:creationId xmlns:a16="http://schemas.microsoft.com/office/drawing/2014/main" xmlns="" id="{00000000-0008-0000-1700-000020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3" name="Oval 61">
            <a:extLst>
              <a:ext uri="{FF2B5EF4-FFF2-40B4-BE49-F238E27FC236}">
                <a16:creationId xmlns:a16="http://schemas.microsoft.com/office/drawing/2014/main" xmlns="" id="{00000000-0008-0000-1700-000021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4" name="Oval 62">
            <a:extLst>
              <a:ext uri="{FF2B5EF4-FFF2-40B4-BE49-F238E27FC236}">
                <a16:creationId xmlns:a16="http://schemas.microsoft.com/office/drawing/2014/main" xmlns="" id="{00000000-0008-0000-1700-000022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5" name="Oval 63">
            <a:extLst>
              <a:ext uri="{FF2B5EF4-FFF2-40B4-BE49-F238E27FC236}">
                <a16:creationId xmlns:a16="http://schemas.microsoft.com/office/drawing/2014/main" xmlns="" id="{00000000-0008-0000-1700-000023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6" name="Oval 64">
            <a:extLst>
              <a:ext uri="{FF2B5EF4-FFF2-40B4-BE49-F238E27FC236}">
                <a16:creationId xmlns:a16="http://schemas.microsoft.com/office/drawing/2014/main" xmlns="" id="{00000000-0008-0000-1700-000024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7" name="Oval 65">
            <a:extLst>
              <a:ext uri="{FF2B5EF4-FFF2-40B4-BE49-F238E27FC236}">
                <a16:creationId xmlns:a16="http://schemas.microsoft.com/office/drawing/2014/main" xmlns="" id="{00000000-0008-0000-1700-000025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8" name="Oval 66">
            <a:extLst>
              <a:ext uri="{FF2B5EF4-FFF2-40B4-BE49-F238E27FC236}">
                <a16:creationId xmlns:a16="http://schemas.microsoft.com/office/drawing/2014/main" xmlns="" id="{00000000-0008-0000-1700-000026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9" name="Oval 67">
            <a:extLst>
              <a:ext uri="{FF2B5EF4-FFF2-40B4-BE49-F238E27FC236}">
                <a16:creationId xmlns:a16="http://schemas.microsoft.com/office/drawing/2014/main" xmlns="" id="{00000000-0008-0000-1700-000027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0" name="Oval 68">
            <a:extLst>
              <a:ext uri="{FF2B5EF4-FFF2-40B4-BE49-F238E27FC236}">
                <a16:creationId xmlns:a16="http://schemas.microsoft.com/office/drawing/2014/main" xmlns="" id="{00000000-0008-0000-1700-000028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1" name="Oval 69">
            <a:extLst>
              <a:ext uri="{FF2B5EF4-FFF2-40B4-BE49-F238E27FC236}">
                <a16:creationId xmlns:a16="http://schemas.microsoft.com/office/drawing/2014/main" xmlns="" id="{00000000-0008-0000-1700-000029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11</xdr:col>
      <xdr:colOff>47625</xdr:colOff>
      <xdr:row>9</xdr:row>
      <xdr:rowOff>180975</xdr:rowOff>
    </xdr:from>
    <xdr:to>
      <xdr:col>12</xdr:col>
      <xdr:colOff>495300</xdr:colOff>
      <xdr:row>14</xdr:row>
      <xdr:rowOff>28575</xdr:rowOff>
    </xdr:to>
    <xdr:sp macro="" textlink="">
      <xdr:nvSpPr>
        <xdr:cNvPr id="42" name="Oval 41">
          <a:extLst>
            <a:ext uri="{FF2B5EF4-FFF2-40B4-BE49-F238E27FC236}">
              <a16:creationId xmlns:a16="http://schemas.microsoft.com/office/drawing/2014/main" xmlns="" id="{00000000-0008-0000-1700-00002A000000}"/>
            </a:ext>
          </a:extLst>
        </xdr:cNvPr>
        <xdr:cNvSpPr/>
      </xdr:nvSpPr>
      <xdr:spPr>
        <a:xfrm>
          <a:off x="5495925" y="1828800"/>
          <a:ext cx="1000125" cy="809625"/>
        </a:xfrm>
        <a:prstGeom prst="ellipse">
          <a:avLst/>
        </a:prstGeom>
        <a:noFill/>
        <a:ln>
          <a:solidFill>
            <a:srgbClr val="00B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9</xdr:col>
      <xdr:colOff>57150</xdr:colOff>
      <xdr:row>9</xdr:row>
      <xdr:rowOff>142875</xdr:rowOff>
    </xdr:from>
    <xdr:ext cx="676275" cy="828675"/>
    <xdr:pic>
      <xdr:nvPicPr>
        <xdr:cNvPr id="43" name="Picture 1" descr="savings image க்கான பட முடிவு">
          <a:extLst>
            <a:ext uri="{FF2B5EF4-FFF2-40B4-BE49-F238E27FC236}">
              <a16:creationId xmlns:a16="http://schemas.microsoft.com/office/drawing/2014/main" xmlns="" id="{00000000-0008-0000-1700-00002B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781550" y="1790700"/>
          <a:ext cx="676275" cy="828675"/>
        </a:xfrm>
        <a:prstGeom prst="rect">
          <a:avLst/>
        </a:prstGeom>
        <a:noFill/>
      </xdr:spPr>
    </xdr:pic>
    <xdr:clientData/>
  </xdr:oneCellAnchor>
  <xdr:twoCellAnchor>
    <xdr:from>
      <xdr:col>9</xdr:col>
      <xdr:colOff>419101</xdr:colOff>
      <xdr:row>42</xdr:row>
      <xdr:rowOff>114300</xdr:rowOff>
    </xdr:from>
    <xdr:to>
      <xdr:col>13</xdr:col>
      <xdr:colOff>133350</xdr:colOff>
      <xdr:row>47</xdr:row>
      <xdr:rowOff>28575</xdr:rowOff>
    </xdr:to>
    <xdr:sp macro="" textlink="">
      <xdr:nvSpPr>
        <xdr:cNvPr id="44" name="Rounded Rectangle 43">
          <a:extLst>
            <a:ext uri="{FF2B5EF4-FFF2-40B4-BE49-F238E27FC236}">
              <a16:creationId xmlns:a16="http://schemas.microsoft.com/office/drawing/2014/main" xmlns="" id="{00000000-0008-0000-1700-00002C000000}"/>
            </a:ext>
          </a:extLst>
        </xdr:cNvPr>
        <xdr:cNvSpPr/>
      </xdr:nvSpPr>
      <xdr:spPr>
        <a:xfrm>
          <a:off x="5143501" y="7772400"/>
          <a:ext cx="1514474" cy="914400"/>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14</xdr:col>
      <xdr:colOff>66675</xdr:colOff>
      <xdr:row>5</xdr:row>
      <xdr:rowOff>66676</xdr:rowOff>
    </xdr:from>
    <xdr:ext cx="361949" cy="257175"/>
    <xdr:pic>
      <xdr:nvPicPr>
        <xdr:cNvPr id="46" name="Picture 2">
          <a:hlinkClick xmlns:r="http://schemas.openxmlformats.org/officeDocument/2006/relationships" r:id="rId5"/>
          <a:extLst>
            <a:ext uri="{FF2B5EF4-FFF2-40B4-BE49-F238E27FC236}">
              <a16:creationId xmlns:a16="http://schemas.microsoft.com/office/drawing/2014/main" xmlns="" id="{00000000-0008-0000-1700-00002E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200900" y="933451"/>
          <a:ext cx="361949" cy="257175"/>
        </a:xfrm>
        <a:prstGeom prst="rect">
          <a:avLst/>
        </a:prstGeom>
        <a:noFill/>
      </xdr:spPr>
    </xdr:pic>
    <xdr:clientData/>
  </xdr:oneCellAnchor>
  <xdr:twoCellAnchor>
    <xdr:from>
      <xdr:col>14</xdr:col>
      <xdr:colOff>257175</xdr:colOff>
      <xdr:row>0</xdr:row>
      <xdr:rowOff>1</xdr:rowOff>
    </xdr:from>
    <xdr:to>
      <xdr:col>16</xdr:col>
      <xdr:colOff>419100</xdr:colOff>
      <xdr:row>2</xdr:row>
      <xdr:rowOff>133351</xdr:rowOff>
    </xdr:to>
    <xdr:sp macro="" textlink="">
      <xdr:nvSpPr>
        <xdr:cNvPr id="47" name="Left Arrow 46">
          <a:extLst>
            <a:ext uri="{FF2B5EF4-FFF2-40B4-BE49-F238E27FC236}">
              <a16:creationId xmlns:a16="http://schemas.microsoft.com/office/drawing/2014/main" xmlns="" id="{00000000-0008-0000-1700-00002F000000}"/>
            </a:ext>
          </a:extLst>
        </xdr:cNvPr>
        <xdr:cNvSpPr/>
      </xdr:nvSpPr>
      <xdr:spPr>
        <a:xfrm>
          <a:off x="7391400" y="1"/>
          <a:ext cx="1514475" cy="4762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180975</xdr:colOff>
      <xdr:row>5</xdr:row>
      <xdr:rowOff>95250</xdr:rowOff>
    </xdr:from>
    <xdr:to>
      <xdr:col>3</xdr:col>
      <xdr:colOff>85725</xdr:colOff>
      <xdr:row>6</xdr:row>
      <xdr:rowOff>123825</xdr:rowOff>
    </xdr:to>
    <xdr:sp macro="" textlink="">
      <xdr:nvSpPr>
        <xdr:cNvPr id="48" name="Smiley Face 47">
          <a:extLst>
            <a:ext uri="{FF2B5EF4-FFF2-40B4-BE49-F238E27FC236}">
              <a16:creationId xmlns:a16="http://schemas.microsoft.com/office/drawing/2014/main" xmlns="" id="{00000000-0008-0000-1700-000030000000}"/>
            </a:ext>
          </a:extLst>
        </xdr:cNvPr>
        <xdr:cNvSpPr/>
      </xdr:nvSpPr>
      <xdr:spPr>
        <a:xfrm>
          <a:off x="457200" y="962025"/>
          <a:ext cx="200025" cy="190500"/>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6</xdr:col>
      <xdr:colOff>285750</xdr:colOff>
      <xdr:row>5</xdr:row>
      <xdr:rowOff>104775</xdr:rowOff>
    </xdr:from>
    <xdr:to>
      <xdr:col>6</xdr:col>
      <xdr:colOff>485775</xdr:colOff>
      <xdr:row>6</xdr:row>
      <xdr:rowOff>133350</xdr:rowOff>
    </xdr:to>
    <xdr:sp macro="" textlink="">
      <xdr:nvSpPr>
        <xdr:cNvPr id="49" name="Smiley Face 48">
          <a:extLst>
            <a:ext uri="{FF2B5EF4-FFF2-40B4-BE49-F238E27FC236}">
              <a16:creationId xmlns:a16="http://schemas.microsoft.com/office/drawing/2014/main" xmlns="" id="{00000000-0008-0000-1700-000031000000}"/>
            </a:ext>
          </a:extLst>
        </xdr:cNvPr>
        <xdr:cNvSpPr/>
      </xdr:nvSpPr>
      <xdr:spPr>
        <a:xfrm>
          <a:off x="2895600" y="971550"/>
          <a:ext cx="200025" cy="190500"/>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9</xdr:col>
      <xdr:colOff>66675</xdr:colOff>
      <xdr:row>35</xdr:row>
      <xdr:rowOff>123824</xdr:rowOff>
    </xdr:from>
    <xdr:to>
      <xdr:col>14</xdr:col>
      <xdr:colOff>0</xdr:colOff>
      <xdr:row>42</xdr:row>
      <xdr:rowOff>19050</xdr:rowOff>
    </xdr:to>
    <xdr:sp macro="" textlink="">
      <xdr:nvSpPr>
        <xdr:cNvPr id="50" name="Rounded Rectangle 49">
          <a:extLst>
            <a:ext uri="{FF2B5EF4-FFF2-40B4-BE49-F238E27FC236}">
              <a16:creationId xmlns:a16="http://schemas.microsoft.com/office/drawing/2014/main" xmlns="" id="{00000000-0008-0000-1700-000032000000}"/>
            </a:ext>
          </a:extLst>
        </xdr:cNvPr>
        <xdr:cNvSpPr/>
      </xdr:nvSpPr>
      <xdr:spPr>
        <a:xfrm>
          <a:off x="4791075" y="6372224"/>
          <a:ext cx="2343150" cy="1304926"/>
        </a:xfrm>
        <a:prstGeom prst="roundRect">
          <a:avLst/>
        </a:prstGeom>
        <a:noFill/>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9</xdr:col>
      <xdr:colOff>171450</xdr:colOff>
      <xdr:row>39</xdr:row>
      <xdr:rowOff>57150</xdr:rowOff>
    </xdr:from>
    <xdr:ext cx="600075" cy="552450"/>
    <xdr:pic>
      <xdr:nvPicPr>
        <xdr:cNvPr id="51" name="Picture 50">
          <a:extLst>
            <a:ext uri="{FF2B5EF4-FFF2-40B4-BE49-F238E27FC236}">
              <a16:creationId xmlns:a16="http://schemas.microsoft.com/office/drawing/2014/main" xmlns="" id="{00000000-0008-0000-1700-00003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895850" y="7086600"/>
          <a:ext cx="600075" cy="552450"/>
        </a:xfrm>
        <a:prstGeom prst="rect">
          <a:avLst/>
        </a:prstGeom>
      </xdr:spPr>
    </xdr:pic>
    <xdr:clientData/>
  </xdr:oneCellAnchor>
  <xdr:twoCellAnchor editAs="oneCell">
    <xdr:from>
      <xdr:col>7</xdr:col>
      <xdr:colOff>38100</xdr:colOff>
      <xdr:row>46</xdr:row>
      <xdr:rowOff>38100</xdr:rowOff>
    </xdr:from>
    <xdr:to>
      <xdr:col>8</xdr:col>
      <xdr:colOff>619125</xdr:colOff>
      <xdr:row>51</xdr:row>
      <xdr:rowOff>76200</xdr:rowOff>
    </xdr:to>
    <xdr:pic>
      <xdr:nvPicPr>
        <xdr:cNvPr id="52" name="Picture 51">
          <a:extLst>
            <a:ext uri="{FF2B5EF4-FFF2-40B4-BE49-F238E27FC236}">
              <a16:creationId xmlns:a16="http://schemas.microsoft.com/office/drawing/2014/main" xmlns="" id="{00000000-0008-0000-1700-00003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3305175" y="8477250"/>
          <a:ext cx="1333500" cy="1019175"/>
        </a:xfrm>
        <a:prstGeom prst="ellipse">
          <a:avLst/>
        </a:prstGeom>
        <a:ln>
          <a:noFill/>
        </a:ln>
        <a:effectLst>
          <a:softEdge rad="112500"/>
        </a:effectLst>
      </xdr:spPr>
    </xdr:pic>
    <xdr:clientData/>
  </xdr:twoCellAnchor>
  <xdr:twoCellAnchor>
    <xdr:from>
      <xdr:col>10</xdr:col>
      <xdr:colOff>219076</xdr:colOff>
      <xdr:row>14</xdr:row>
      <xdr:rowOff>95250</xdr:rowOff>
    </xdr:from>
    <xdr:to>
      <xdr:col>12</xdr:col>
      <xdr:colOff>504826</xdr:colOff>
      <xdr:row>21</xdr:row>
      <xdr:rowOff>28574</xdr:rowOff>
    </xdr:to>
    <xdr:sp macro="" textlink="">
      <xdr:nvSpPr>
        <xdr:cNvPr id="53" name="Rounded Rectangular Callout 52">
          <a:extLst>
            <a:ext uri="{FF2B5EF4-FFF2-40B4-BE49-F238E27FC236}">
              <a16:creationId xmlns:a16="http://schemas.microsoft.com/office/drawing/2014/main" xmlns="" id="{00000000-0008-0000-1700-000035000000}"/>
            </a:ext>
          </a:extLst>
        </xdr:cNvPr>
        <xdr:cNvSpPr/>
      </xdr:nvSpPr>
      <xdr:spPr>
        <a:xfrm>
          <a:off x="5381626" y="2705100"/>
          <a:ext cx="1123950" cy="1295399"/>
        </a:xfrm>
        <a:prstGeom prst="wedgeRoundRectCallout">
          <a:avLst>
            <a:gd name="adj1" fmla="val -46180"/>
            <a:gd name="adj2" fmla="val 57913"/>
            <a:gd name="adj3" fmla="val 16667"/>
          </a:avLst>
        </a:prstGeom>
        <a:noFill/>
        <a:ln w="19050">
          <a:solidFill>
            <a:schemeClr val="accent6">
              <a:lumMod val="5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66675</xdr:colOff>
      <xdr:row>13</xdr:row>
      <xdr:rowOff>38101</xdr:rowOff>
    </xdr:from>
    <xdr:ext cx="361949" cy="276225"/>
    <xdr:pic>
      <xdr:nvPicPr>
        <xdr:cNvPr id="55" name="Picture 2">
          <a:hlinkClick xmlns:r="http://schemas.openxmlformats.org/officeDocument/2006/relationships" r:id="rId9"/>
          <a:extLst>
            <a:ext uri="{FF2B5EF4-FFF2-40B4-BE49-F238E27FC236}">
              <a16:creationId xmlns:a16="http://schemas.microsoft.com/office/drawing/2014/main" xmlns="" id="{00000000-0008-0000-1700-000037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7200900" y="2838451"/>
          <a:ext cx="361949" cy="276225"/>
        </a:xfrm>
        <a:prstGeom prst="rect">
          <a:avLst/>
        </a:prstGeom>
        <a:noFill/>
      </xdr:spPr>
    </xdr:pic>
    <xdr:clientData/>
  </xdr:oneCellAnchor>
  <xdr:twoCellAnchor editAs="oneCell">
    <xdr:from>
      <xdr:col>9</xdr:col>
      <xdr:colOff>66675</xdr:colOff>
      <xdr:row>21</xdr:row>
      <xdr:rowOff>133350</xdr:rowOff>
    </xdr:from>
    <xdr:to>
      <xdr:col>13</xdr:col>
      <xdr:colOff>419100</xdr:colOff>
      <xdr:row>35</xdr:row>
      <xdr:rowOff>76200</xdr:rowOff>
    </xdr:to>
    <xdr:pic>
      <xdr:nvPicPr>
        <xdr:cNvPr id="57" name="Picture 56">
          <a:extLst>
            <a:ext uri="{FF2B5EF4-FFF2-40B4-BE49-F238E27FC236}">
              <a16:creationId xmlns:a16="http://schemas.microsoft.com/office/drawing/2014/main" xmlns="" id="{00000000-0008-0000-1700-000039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4791075" y="4105275"/>
          <a:ext cx="2152650" cy="26003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8</xdr:col>
      <xdr:colOff>323849</xdr:colOff>
      <xdr:row>14</xdr:row>
      <xdr:rowOff>57151</xdr:rowOff>
    </xdr:from>
    <xdr:to>
      <xdr:col>10</xdr:col>
      <xdr:colOff>133350</xdr:colOff>
      <xdr:row>19</xdr:row>
      <xdr:rowOff>171450</xdr:rowOff>
    </xdr:to>
    <xdr:pic>
      <xdr:nvPicPr>
        <xdr:cNvPr id="59" name="Picture 58">
          <a:extLst>
            <a:ext uri="{FF2B5EF4-FFF2-40B4-BE49-F238E27FC236}">
              <a16:creationId xmlns:a16="http://schemas.microsoft.com/office/drawing/2014/main" xmlns="" id="{00000000-0008-0000-1700-00003B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xmlns="" val="0"/>
            </a:ext>
          </a:extLst>
        </a:blip>
        <a:srcRect/>
        <a:stretch>
          <a:fillRect/>
        </a:stretch>
      </xdr:blipFill>
      <xdr:spPr bwMode="auto">
        <a:xfrm>
          <a:off x="4343399" y="2667001"/>
          <a:ext cx="952501" cy="1047749"/>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xmlns="">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209551</xdr:colOff>
      <xdr:row>0</xdr:row>
      <xdr:rowOff>66675</xdr:rowOff>
    </xdr:from>
    <xdr:to>
      <xdr:col>4</xdr:col>
      <xdr:colOff>219075</xdr:colOff>
      <xdr:row>4</xdr:row>
      <xdr:rowOff>66675</xdr:rowOff>
    </xdr:to>
    <xdr:pic>
      <xdr:nvPicPr>
        <xdr:cNvPr id="2" name="image00.jpg">
          <a:extLst>
            <a:ext uri="{FF2B5EF4-FFF2-40B4-BE49-F238E27FC236}">
              <a16:creationId xmlns:a16="http://schemas.microsoft.com/office/drawing/2014/main" xmlns="" id="{00000000-0008-0000-18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09551" y="66675"/>
          <a:ext cx="1304924" cy="685800"/>
        </a:xfrm>
        <a:prstGeom prst="rect">
          <a:avLst/>
        </a:prstGeom>
        <a:noFill/>
        <a:ln w="9525">
          <a:noFill/>
          <a:round/>
          <a:headEnd/>
          <a:tailEnd/>
        </a:ln>
      </xdr:spPr>
    </xdr:pic>
    <xdr:clientData/>
  </xdr:twoCellAnchor>
  <xdr:twoCellAnchor>
    <xdr:from>
      <xdr:col>2</xdr:col>
      <xdr:colOff>19052</xdr:colOff>
      <xdr:row>5</xdr:row>
      <xdr:rowOff>0</xdr:rowOff>
    </xdr:from>
    <xdr:to>
      <xdr:col>7</xdr:col>
      <xdr:colOff>9525</xdr:colOff>
      <xdr:row>9</xdr:row>
      <xdr:rowOff>76199</xdr:rowOff>
    </xdr:to>
    <xdr:sp macro="" textlink="">
      <xdr:nvSpPr>
        <xdr:cNvPr id="3" name="Rounded Rectangle 2">
          <a:extLst>
            <a:ext uri="{FF2B5EF4-FFF2-40B4-BE49-F238E27FC236}">
              <a16:creationId xmlns:a16="http://schemas.microsoft.com/office/drawing/2014/main" xmlns="" id="{00000000-0008-0000-1800-000003000000}"/>
            </a:ext>
          </a:extLst>
        </xdr:cNvPr>
        <xdr:cNvSpPr/>
      </xdr:nvSpPr>
      <xdr:spPr bwMode="auto">
        <a:xfrm>
          <a:off x="295277" y="866775"/>
          <a:ext cx="2981323" cy="857249"/>
        </a:xfrm>
        <a:prstGeom prst="roundRect">
          <a:avLst/>
        </a:prstGeom>
        <a:noFill/>
        <a:ln w="38100">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endParaRPr lang="en-US"/>
        </a:p>
      </xdr:txBody>
    </xdr:sp>
    <xdr:clientData/>
  </xdr:twoCellAnchor>
  <xdr:twoCellAnchor>
    <xdr:from>
      <xdr:col>8</xdr:col>
      <xdr:colOff>638175</xdr:colOff>
      <xdr:row>21</xdr:row>
      <xdr:rowOff>0</xdr:rowOff>
    </xdr:from>
    <xdr:to>
      <xdr:col>11</xdr:col>
      <xdr:colOff>485775</xdr:colOff>
      <xdr:row>26</xdr:row>
      <xdr:rowOff>47625</xdr:rowOff>
    </xdr:to>
    <xdr:sp macro="" textlink="">
      <xdr:nvSpPr>
        <xdr:cNvPr id="4" name="16-Point Star 3">
          <a:extLst>
            <a:ext uri="{FF2B5EF4-FFF2-40B4-BE49-F238E27FC236}">
              <a16:creationId xmlns:a16="http://schemas.microsoft.com/office/drawing/2014/main" xmlns="" id="{00000000-0008-0000-1800-000004000000}"/>
            </a:ext>
          </a:extLst>
        </xdr:cNvPr>
        <xdr:cNvSpPr/>
      </xdr:nvSpPr>
      <xdr:spPr bwMode="auto">
        <a:xfrm>
          <a:off x="4657725" y="3971925"/>
          <a:ext cx="1276350" cy="990600"/>
        </a:xfrm>
        <a:prstGeom prst="star16">
          <a:avLst/>
        </a:prstGeom>
        <a:ln>
          <a:headEnd type="none" w="med" len="med"/>
          <a:tailEnd type="none" w="med" len="med"/>
        </a:ln>
        <a:scene3d>
          <a:camera prst="orthographicFront"/>
          <a:lightRig rig="threePt" dir="t"/>
        </a:scene3d>
        <a:sp3d>
          <a:bevelT w="101600" prst="riblet"/>
        </a:sp3d>
      </xdr:spPr>
      <xdr:style>
        <a:lnRef idx="1">
          <a:schemeClr val="accent3"/>
        </a:lnRef>
        <a:fillRef idx="2">
          <a:schemeClr val="accent3"/>
        </a:fillRef>
        <a:effectRef idx="1">
          <a:schemeClr val="accent3"/>
        </a:effectRef>
        <a:fontRef idx="minor">
          <a:schemeClr val="dk1"/>
        </a:fontRef>
      </xdr:style>
      <xdr:txBody>
        <a:bodyPr vertOverflow="clip" wrap="square" lIns="18288" tIns="0" rIns="0" bIns="0" rtlCol="0" anchor="ctr" upright="1"/>
        <a:lstStyle/>
        <a:p>
          <a:pPr algn="ctr"/>
          <a:r>
            <a:rPr lang="en-US" sz="1000" b="1">
              <a:solidFill>
                <a:srgbClr val="FF0000"/>
              </a:solidFill>
              <a:latin typeface="+mn-lt"/>
              <a:ea typeface="+mn-ea"/>
              <a:cs typeface="+mn-cs"/>
            </a:rPr>
            <a:t>WITH             LOYALTY ADDITIONS</a:t>
          </a:r>
          <a:endParaRPr lang="en-US" sz="1000" b="1">
            <a:solidFill>
              <a:srgbClr val="FF0000"/>
            </a:solidFill>
          </a:endParaRPr>
        </a:p>
        <a:p>
          <a:pPr algn="ctr"/>
          <a:endParaRPr lang="en-US" sz="1100"/>
        </a:p>
      </xdr:txBody>
    </xdr:sp>
    <xdr:clientData/>
  </xdr:twoCellAnchor>
  <xdr:twoCellAnchor>
    <xdr:from>
      <xdr:col>9</xdr:col>
      <xdr:colOff>9524</xdr:colOff>
      <xdr:row>47</xdr:row>
      <xdr:rowOff>180976</xdr:rowOff>
    </xdr:from>
    <xdr:to>
      <xdr:col>13</xdr:col>
      <xdr:colOff>581025</xdr:colOff>
      <xdr:row>55</xdr:row>
      <xdr:rowOff>0</xdr:rowOff>
    </xdr:to>
    <xdr:sp macro="" textlink="">
      <xdr:nvSpPr>
        <xdr:cNvPr id="5" name="Round Diagonal Corner Rectangle 4">
          <a:extLst>
            <a:ext uri="{FF2B5EF4-FFF2-40B4-BE49-F238E27FC236}">
              <a16:creationId xmlns:a16="http://schemas.microsoft.com/office/drawing/2014/main" xmlns="" id="{00000000-0008-0000-1800-000005000000}"/>
            </a:ext>
          </a:extLst>
        </xdr:cNvPr>
        <xdr:cNvSpPr/>
      </xdr:nvSpPr>
      <xdr:spPr>
        <a:xfrm>
          <a:off x="4733924" y="8839201"/>
          <a:ext cx="2371726" cy="1371599"/>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en-US" sz="1100"/>
        </a:p>
      </xdr:txBody>
    </xdr:sp>
    <xdr:clientData/>
  </xdr:twoCellAnchor>
  <xdr:twoCellAnchor>
    <xdr:from>
      <xdr:col>9</xdr:col>
      <xdr:colOff>28575</xdr:colOff>
      <xdr:row>6</xdr:row>
      <xdr:rowOff>0</xdr:rowOff>
    </xdr:from>
    <xdr:to>
      <xdr:col>13</xdr:col>
      <xdr:colOff>561976</xdr:colOff>
      <xdr:row>9</xdr:row>
      <xdr:rowOff>104775</xdr:rowOff>
    </xdr:to>
    <xdr:sp macro="" textlink="">
      <xdr:nvSpPr>
        <xdr:cNvPr id="6" name="Rounded Rectangle 5">
          <a:extLst>
            <a:ext uri="{FF2B5EF4-FFF2-40B4-BE49-F238E27FC236}">
              <a16:creationId xmlns:a16="http://schemas.microsoft.com/office/drawing/2014/main" xmlns="" id="{00000000-0008-0000-1800-000006000000}"/>
            </a:ext>
          </a:extLst>
        </xdr:cNvPr>
        <xdr:cNvSpPr/>
      </xdr:nvSpPr>
      <xdr:spPr>
        <a:xfrm>
          <a:off x="4752975" y="1028700"/>
          <a:ext cx="2333626" cy="723900"/>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5</xdr:col>
      <xdr:colOff>533400</xdr:colOff>
      <xdr:row>0</xdr:row>
      <xdr:rowOff>28575</xdr:rowOff>
    </xdr:from>
    <xdr:to>
      <xdr:col>8</xdr:col>
      <xdr:colOff>685800</xdr:colOff>
      <xdr:row>1</xdr:row>
      <xdr:rowOff>123825</xdr:rowOff>
    </xdr:to>
    <xdr:pic>
      <xdr:nvPicPr>
        <xdr:cNvPr id="7" name="Picture 6">
          <a:extLst>
            <a:ext uri="{FF2B5EF4-FFF2-40B4-BE49-F238E27FC236}">
              <a16:creationId xmlns:a16="http://schemas.microsoft.com/office/drawing/2014/main" xmlns="" id="{00000000-0008-0000-1800-000007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486025" y="28575"/>
          <a:ext cx="2219325" cy="266700"/>
        </a:xfrm>
        <a:prstGeom prst="rect">
          <a:avLst/>
        </a:prstGeom>
        <a:noFill/>
        <a:ln w="9525">
          <a:noFill/>
          <a:round/>
          <a:headEnd/>
          <a:tailEnd/>
        </a:ln>
        <a:effectLst/>
      </xdr:spPr>
    </xdr:pic>
    <xdr:clientData/>
  </xdr:twoCellAnchor>
  <xdr:twoCellAnchor>
    <xdr:from>
      <xdr:col>4</xdr:col>
      <xdr:colOff>219075</xdr:colOff>
      <xdr:row>1</xdr:row>
      <xdr:rowOff>133350</xdr:rowOff>
    </xdr:from>
    <xdr:to>
      <xdr:col>11</xdr:col>
      <xdr:colOff>266700</xdr:colOff>
      <xdr:row>3</xdr:row>
      <xdr:rowOff>47626</xdr:rowOff>
    </xdr:to>
    <xdr:pic>
      <xdr:nvPicPr>
        <xdr:cNvPr id="8" name="Picture 7">
          <a:extLst>
            <a:ext uri="{FF2B5EF4-FFF2-40B4-BE49-F238E27FC236}">
              <a16:creationId xmlns:a16="http://schemas.microsoft.com/office/drawing/2014/main" xmlns="" id="{00000000-0008-0000-1800-000008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514475" y="304800"/>
          <a:ext cx="4200525" cy="257176"/>
        </a:xfrm>
        <a:prstGeom prst="rect">
          <a:avLst/>
        </a:prstGeom>
        <a:noFill/>
        <a:ln w="9525">
          <a:noFill/>
          <a:round/>
          <a:headEnd/>
          <a:tailEnd/>
        </a:ln>
        <a:effectLst/>
      </xdr:spPr>
    </xdr:pic>
    <xdr:clientData/>
  </xdr:twoCellAnchor>
  <xdr:twoCellAnchor>
    <xdr:from>
      <xdr:col>9</xdr:col>
      <xdr:colOff>57150</xdr:colOff>
      <xdr:row>49</xdr:row>
      <xdr:rowOff>28575</xdr:rowOff>
    </xdr:from>
    <xdr:to>
      <xdr:col>9</xdr:col>
      <xdr:colOff>361950</xdr:colOff>
      <xdr:row>54</xdr:row>
      <xdr:rowOff>66675</xdr:rowOff>
    </xdr:to>
    <xdr:grpSp>
      <xdr:nvGrpSpPr>
        <xdr:cNvPr id="9" name="Group 38">
          <a:extLst>
            <a:ext uri="{FF2B5EF4-FFF2-40B4-BE49-F238E27FC236}">
              <a16:creationId xmlns:a16="http://schemas.microsoft.com/office/drawing/2014/main" xmlns="" id="{00000000-0008-0000-1800-000009000000}"/>
            </a:ext>
          </a:extLst>
        </xdr:cNvPr>
        <xdr:cNvGrpSpPr>
          <a:grpSpLocks/>
        </xdr:cNvGrpSpPr>
      </xdr:nvGrpSpPr>
      <xdr:grpSpPr bwMode="auto">
        <a:xfrm>
          <a:off x="4781550" y="9448800"/>
          <a:ext cx="304800" cy="1019175"/>
          <a:chOff x="112842675" y="108899325"/>
          <a:chExt cx="762763" cy="1285875"/>
        </a:xfrm>
      </xdr:grpSpPr>
      <xdr:sp macro="" textlink="">
        <xdr:nvSpPr>
          <xdr:cNvPr id="10" name="Oval 39">
            <a:extLst>
              <a:ext uri="{FF2B5EF4-FFF2-40B4-BE49-F238E27FC236}">
                <a16:creationId xmlns:a16="http://schemas.microsoft.com/office/drawing/2014/main" xmlns="" id="{00000000-0008-0000-1800-00000A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1" name="Oval 40">
            <a:extLst>
              <a:ext uri="{FF2B5EF4-FFF2-40B4-BE49-F238E27FC236}">
                <a16:creationId xmlns:a16="http://schemas.microsoft.com/office/drawing/2014/main" xmlns="" id="{00000000-0008-0000-1800-00000B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2" name="Oval 41">
            <a:extLst>
              <a:ext uri="{FF2B5EF4-FFF2-40B4-BE49-F238E27FC236}">
                <a16:creationId xmlns:a16="http://schemas.microsoft.com/office/drawing/2014/main" xmlns="" id="{00000000-0008-0000-1800-00000C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3" name="Oval 42">
            <a:extLst>
              <a:ext uri="{FF2B5EF4-FFF2-40B4-BE49-F238E27FC236}">
                <a16:creationId xmlns:a16="http://schemas.microsoft.com/office/drawing/2014/main" xmlns="" id="{00000000-0008-0000-1800-00000D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4" name="Oval 43">
            <a:extLst>
              <a:ext uri="{FF2B5EF4-FFF2-40B4-BE49-F238E27FC236}">
                <a16:creationId xmlns:a16="http://schemas.microsoft.com/office/drawing/2014/main" xmlns="" id="{00000000-0008-0000-1800-00000E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5" name="Oval 44">
            <a:extLst>
              <a:ext uri="{FF2B5EF4-FFF2-40B4-BE49-F238E27FC236}">
                <a16:creationId xmlns:a16="http://schemas.microsoft.com/office/drawing/2014/main" xmlns="" id="{00000000-0008-0000-1800-00000F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16" name="Oval 45">
            <a:extLst>
              <a:ext uri="{FF2B5EF4-FFF2-40B4-BE49-F238E27FC236}">
                <a16:creationId xmlns:a16="http://schemas.microsoft.com/office/drawing/2014/main" xmlns="" id="{00000000-0008-0000-1800-000010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17" name="Oval 46">
            <a:extLst>
              <a:ext uri="{FF2B5EF4-FFF2-40B4-BE49-F238E27FC236}">
                <a16:creationId xmlns:a16="http://schemas.microsoft.com/office/drawing/2014/main" xmlns="" id="{00000000-0008-0000-1800-000011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18" name="Oval 47">
            <a:extLst>
              <a:ext uri="{FF2B5EF4-FFF2-40B4-BE49-F238E27FC236}">
                <a16:creationId xmlns:a16="http://schemas.microsoft.com/office/drawing/2014/main" xmlns="" id="{00000000-0008-0000-1800-000012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19" name="Oval 48">
            <a:extLst>
              <a:ext uri="{FF2B5EF4-FFF2-40B4-BE49-F238E27FC236}">
                <a16:creationId xmlns:a16="http://schemas.microsoft.com/office/drawing/2014/main" xmlns="" id="{00000000-0008-0000-1800-000013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0" name="Oval 49">
            <a:extLst>
              <a:ext uri="{FF2B5EF4-FFF2-40B4-BE49-F238E27FC236}">
                <a16:creationId xmlns:a16="http://schemas.microsoft.com/office/drawing/2014/main" xmlns="" id="{00000000-0008-0000-1800-000014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1" name="Oval 50">
            <a:extLst>
              <a:ext uri="{FF2B5EF4-FFF2-40B4-BE49-F238E27FC236}">
                <a16:creationId xmlns:a16="http://schemas.microsoft.com/office/drawing/2014/main" xmlns="" id="{00000000-0008-0000-1800-000015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2" name="Oval 51">
            <a:extLst>
              <a:ext uri="{FF2B5EF4-FFF2-40B4-BE49-F238E27FC236}">
                <a16:creationId xmlns:a16="http://schemas.microsoft.com/office/drawing/2014/main" xmlns="" id="{00000000-0008-0000-1800-000016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3" name="Oval 52">
            <a:extLst>
              <a:ext uri="{FF2B5EF4-FFF2-40B4-BE49-F238E27FC236}">
                <a16:creationId xmlns:a16="http://schemas.microsoft.com/office/drawing/2014/main" xmlns="" id="{00000000-0008-0000-1800-000017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4" name="Oval 53">
            <a:extLst>
              <a:ext uri="{FF2B5EF4-FFF2-40B4-BE49-F238E27FC236}">
                <a16:creationId xmlns:a16="http://schemas.microsoft.com/office/drawing/2014/main" xmlns="" id="{00000000-0008-0000-1800-000018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5" name="Oval 54">
            <a:extLst>
              <a:ext uri="{FF2B5EF4-FFF2-40B4-BE49-F238E27FC236}">
                <a16:creationId xmlns:a16="http://schemas.microsoft.com/office/drawing/2014/main" xmlns="" id="{00000000-0008-0000-1800-000019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26" name="Oval 55">
            <a:extLst>
              <a:ext uri="{FF2B5EF4-FFF2-40B4-BE49-F238E27FC236}">
                <a16:creationId xmlns:a16="http://schemas.microsoft.com/office/drawing/2014/main" xmlns="" id="{00000000-0008-0000-1800-00001A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27" name="Oval 56">
            <a:extLst>
              <a:ext uri="{FF2B5EF4-FFF2-40B4-BE49-F238E27FC236}">
                <a16:creationId xmlns:a16="http://schemas.microsoft.com/office/drawing/2014/main" xmlns="" id="{00000000-0008-0000-1800-00001B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28" name="Oval 57">
            <a:extLst>
              <a:ext uri="{FF2B5EF4-FFF2-40B4-BE49-F238E27FC236}">
                <a16:creationId xmlns:a16="http://schemas.microsoft.com/office/drawing/2014/main" xmlns="" id="{00000000-0008-0000-1800-00001C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29" name="Oval 58">
            <a:extLst>
              <a:ext uri="{FF2B5EF4-FFF2-40B4-BE49-F238E27FC236}">
                <a16:creationId xmlns:a16="http://schemas.microsoft.com/office/drawing/2014/main" xmlns="" id="{00000000-0008-0000-1800-00001D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0" name="Oval 59">
            <a:extLst>
              <a:ext uri="{FF2B5EF4-FFF2-40B4-BE49-F238E27FC236}">
                <a16:creationId xmlns:a16="http://schemas.microsoft.com/office/drawing/2014/main" xmlns="" id="{00000000-0008-0000-1800-00001E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1" name="Oval 60">
            <a:extLst>
              <a:ext uri="{FF2B5EF4-FFF2-40B4-BE49-F238E27FC236}">
                <a16:creationId xmlns:a16="http://schemas.microsoft.com/office/drawing/2014/main" xmlns="" id="{00000000-0008-0000-1800-00001F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2" name="Oval 61">
            <a:extLst>
              <a:ext uri="{FF2B5EF4-FFF2-40B4-BE49-F238E27FC236}">
                <a16:creationId xmlns:a16="http://schemas.microsoft.com/office/drawing/2014/main" xmlns="" id="{00000000-0008-0000-1800-000020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3" name="Oval 62">
            <a:extLst>
              <a:ext uri="{FF2B5EF4-FFF2-40B4-BE49-F238E27FC236}">
                <a16:creationId xmlns:a16="http://schemas.microsoft.com/office/drawing/2014/main" xmlns="" id="{00000000-0008-0000-1800-000021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4" name="Oval 63">
            <a:extLst>
              <a:ext uri="{FF2B5EF4-FFF2-40B4-BE49-F238E27FC236}">
                <a16:creationId xmlns:a16="http://schemas.microsoft.com/office/drawing/2014/main" xmlns="" id="{00000000-0008-0000-1800-000022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5" name="Oval 64">
            <a:extLst>
              <a:ext uri="{FF2B5EF4-FFF2-40B4-BE49-F238E27FC236}">
                <a16:creationId xmlns:a16="http://schemas.microsoft.com/office/drawing/2014/main" xmlns="" id="{00000000-0008-0000-1800-000023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36" name="Oval 65">
            <a:extLst>
              <a:ext uri="{FF2B5EF4-FFF2-40B4-BE49-F238E27FC236}">
                <a16:creationId xmlns:a16="http://schemas.microsoft.com/office/drawing/2014/main" xmlns="" id="{00000000-0008-0000-1800-000024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37" name="Oval 66">
            <a:extLst>
              <a:ext uri="{FF2B5EF4-FFF2-40B4-BE49-F238E27FC236}">
                <a16:creationId xmlns:a16="http://schemas.microsoft.com/office/drawing/2014/main" xmlns="" id="{00000000-0008-0000-1800-000025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38" name="Oval 67">
            <a:extLst>
              <a:ext uri="{FF2B5EF4-FFF2-40B4-BE49-F238E27FC236}">
                <a16:creationId xmlns:a16="http://schemas.microsoft.com/office/drawing/2014/main" xmlns="" id="{00000000-0008-0000-1800-000026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39" name="Oval 68">
            <a:extLst>
              <a:ext uri="{FF2B5EF4-FFF2-40B4-BE49-F238E27FC236}">
                <a16:creationId xmlns:a16="http://schemas.microsoft.com/office/drawing/2014/main" xmlns="" id="{00000000-0008-0000-1800-000027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0" name="Oval 69">
            <a:extLst>
              <a:ext uri="{FF2B5EF4-FFF2-40B4-BE49-F238E27FC236}">
                <a16:creationId xmlns:a16="http://schemas.microsoft.com/office/drawing/2014/main" xmlns="" id="{00000000-0008-0000-1800-000028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11</xdr:col>
      <xdr:colOff>28575</xdr:colOff>
      <xdr:row>9</xdr:row>
      <xdr:rowOff>161926</xdr:rowOff>
    </xdr:from>
    <xdr:to>
      <xdr:col>13</xdr:col>
      <xdr:colOff>9525</xdr:colOff>
      <xdr:row>14</xdr:row>
      <xdr:rowOff>38101</xdr:rowOff>
    </xdr:to>
    <xdr:sp macro="" textlink="">
      <xdr:nvSpPr>
        <xdr:cNvPr id="41" name="Oval 40">
          <a:extLst>
            <a:ext uri="{FF2B5EF4-FFF2-40B4-BE49-F238E27FC236}">
              <a16:creationId xmlns:a16="http://schemas.microsoft.com/office/drawing/2014/main" xmlns="" id="{00000000-0008-0000-1800-000029000000}"/>
            </a:ext>
          </a:extLst>
        </xdr:cNvPr>
        <xdr:cNvSpPr/>
      </xdr:nvSpPr>
      <xdr:spPr>
        <a:xfrm>
          <a:off x="5476875" y="1809751"/>
          <a:ext cx="1057275" cy="838200"/>
        </a:xfrm>
        <a:prstGeom prst="ellipse">
          <a:avLst/>
        </a:prstGeom>
        <a:noFill/>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9</xdr:col>
      <xdr:colOff>47625</xdr:colOff>
      <xdr:row>9</xdr:row>
      <xdr:rowOff>142876</xdr:rowOff>
    </xdr:from>
    <xdr:ext cx="676275" cy="781050"/>
    <xdr:pic>
      <xdr:nvPicPr>
        <xdr:cNvPr id="42" name="Picture 1" descr="savings image க்கான பட முடிவு">
          <a:extLst>
            <a:ext uri="{FF2B5EF4-FFF2-40B4-BE49-F238E27FC236}">
              <a16:creationId xmlns:a16="http://schemas.microsoft.com/office/drawing/2014/main" xmlns="" id="{00000000-0008-0000-1800-00002A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772025" y="1790701"/>
          <a:ext cx="676275" cy="781050"/>
        </a:xfrm>
        <a:prstGeom prst="rect">
          <a:avLst/>
        </a:prstGeom>
        <a:noFill/>
      </xdr:spPr>
    </xdr:pic>
    <xdr:clientData/>
  </xdr:oneCellAnchor>
  <xdr:twoCellAnchor>
    <xdr:from>
      <xdr:col>9</xdr:col>
      <xdr:colOff>419101</xdr:colOff>
      <xdr:row>42</xdr:row>
      <xdr:rowOff>114300</xdr:rowOff>
    </xdr:from>
    <xdr:to>
      <xdr:col>13</xdr:col>
      <xdr:colOff>133350</xdr:colOff>
      <xdr:row>47</xdr:row>
      <xdr:rowOff>28575</xdr:rowOff>
    </xdr:to>
    <xdr:sp macro="" textlink="">
      <xdr:nvSpPr>
        <xdr:cNvPr id="43" name="Rounded Rectangle 42">
          <a:extLst>
            <a:ext uri="{FF2B5EF4-FFF2-40B4-BE49-F238E27FC236}">
              <a16:creationId xmlns:a16="http://schemas.microsoft.com/office/drawing/2014/main" xmlns="" id="{00000000-0008-0000-1800-00002B000000}"/>
            </a:ext>
          </a:extLst>
        </xdr:cNvPr>
        <xdr:cNvSpPr/>
      </xdr:nvSpPr>
      <xdr:spPr>
        <a:xfrm>
          <a:off x="5143501" y="7772400"/>
          <a:ext cx="1514474" cy="914400"/>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oneCellAnchor>
    <xdr:from>
      <xdr:col>14</xdr:col>
      <xdr:colOff>66675</xdr:colOff>
      <xdr:row>5</xdr:row>
      <xdr:rowOff>66676</xdr:rowOff>
    </xdr:from>
    <xdr:ext cx="361949" cy="257175"/>
    <xdr:pic>
      <xdr:nvPicPr>
        <xdr:cNvPr id="45" name="Picture 2">
          <a:hlinkClick xmlns:r="http://schemas.openxmlformats.org/officeDocument/2006/relationships" r:id="rId5"/>
          <a:extLst>
            <a:ext uri="{FF2B5EF4-FFF2-40B4-BE49-F238E27FC236}">
              <a16:creationId xmlns:a16="http://schemas.microsoft.com/office/drawing/2014/main" xmlns="" id="{00000000-0008-0000-1800-00002D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200900" y="933451"/>
          <a:ext cx="361949" cy="257175"/>
        </a:xfrm>
        <a:prstGeom prst="rect">
          <a:avLst/>
        </a:prstGeom>
        <a:noFill/>
      </xdr:spPr>
    </xdr:pic>
    <xdr:clientData/>
  </xdr:oneCellAnchor>
  <xdr:twoCellAnchor>
    <xdr:from>
      <xdr:col>14</xdr:col>
      <xdr:colOff>257175</xdr:colOff>
      <xdr:row>0</xdr:row>
      <xdr:rowOff>1</xdr:rowOff>
    </xdr:from>
    <xdr:to>
      <xdr:col>16</xdr:col>
      <xdr:colOff>419100</xdr:colOff>
      <xdr:row>2</xdr:row>
      <xdr:rowOff>133351</xdr:rowOff>
    </xdr:to>
    <xdr:sp macro="" textlink="">
      <xdr:nvSpPr>
        <xdr:cNvPr id="46" name="Left Arrow 45">
          <a:extLst>
            <a:ext uri="{FF2B5EF4-FFF2-40B4-BE49-F238E27FC236}">
              <a16:creationId xmlns:a16="http://schemas.microsoft.com/office/drawing/2014/main" xmlns="" id="{00000000-0008-0000-1800-00002E000000}"/>
            </a:ext>
          </a:extLst>
        </xdr:cNvPr>
        <xdr:cNvSpPr/>
      </xdr:nvSpPr>
      <xdr:spPr>
        <a:xfrm>
          <a:off x="7391400" y="1"/>
          <a:ext cx="1514475" cy="476250"/>
        </a:xfrm>
        <a:prstGeom prst="leftArrow">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r>
            <a:rPr lang="en-US" sz="1200" b="1"/>
            <a:t>PRINT    AREA</a:t>
          </a:r>
        </a:p>
      </xdr:txBody>
    </xdr:sp>
    <xdr:clientData/>
  </xdr:twoCellAnchor>
  <xdr:twoCellAnchor>
    <xdr:from>
      <xdr:col>2</xdr:col>
      <xdr:colOff>180975</xdr:colOff>
      <xdr:row>5</xdr:row>
      <xdr:rowOff>95250</xdr:rowOff>
    </xdr:from>
    <xdr:to>
      <xdr:col>3</xdr:col>
      <xdr:colOff>85725</xdr:colOff>
      <xdr:row>6</xdr:row>
      <xdr:rowOff>123825</xdr:rowOff>
    </xdr:to>
    <xdr:sp macro="" textlink="">
      <xdr:nvSpPr>
        <xdr:cNvPr id="47" name="Smiley Face 46">
          <a:extLst>
            <a:ext uri="{FF2B5EF4-FFF2-40B4-BE49-F238E27FC236}">
              <a16:creationId xmlns:a16="http://schemas.microsoft.com/office/drawing/2014/main" xmlns="" id="{00000000-0008-0000-1800-00002F000000}"/>
            </a:ext>
          </a:extLst>
        </xdr:cNvPr>
        <xdr:cNvSpPr/>
      </xdr:nvSpPr>
      <xdr:spPr>
        <a:xfrm>
          <a:off x="457200" y="962025"/>
          <a:ext cx="200025" cy="190500"/>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6</xdr:col>
      <xdr:colOff>285750</xdr:colOff>
      <xdr:row>5</xdr:row>
      <xdr:rowOff>104775</xdr:rowOff>
    </xdr:from>
    <xdr:to>
      <xdr:col>6</xdr:col>
      <xdr:colOff>485775</xdr:colOff>
      <xdr:row>6</xdr:row>
      <xdr:rowOff>133350</xdr:rowOff>
    </xdr:to>
    <xdr:sp macro="" textlink="">
      <xdr:nvSpPr>
        <xdr:cNvPr id="48" name="Smiley Face 47">
          <a:extLst>
            <a:ext uri="{FF2B5EF4-FFF2-40B4-BE49-F238E27FC236}">
              <a16:creationId xmlns:a16="http://schemas.microsoft.com/office/drawing/2014/main" xmlns="" id="{00000000-0008-0000-1800-000030000000}"/>
            </a:ext>
          </a:extLst>
        </xdr:cNvPr>
        <xdr:cNvSpPr/>
      </xdr:nvSpPr>
      <xdr:spPr>
        <a:xfrm>
          <a:off x="2895600" y="971550"/>
          <a:ext cx="200025" cy="190500"/>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9</xdr:col>
      <xdr:colOff>66675</xdr:colOff>
      <xdr:row>35</xdr:row>
      <xdr:rowOff>123824</xdr:rowOff>
    </xdr:from>
    <xdr:to>
      <xdr:col>13</xdr:col>
      <xdr:colOff>571500</xdr:colOff>
      <xdr:row>42</xdr:row>
      <xdr:rowOff>19050</xdr:rowOff>
    </xdr:to>
    <xdr:sp macro="" textlink="">
      <xdr:nvSpPr>
        <xdr:cNvPr id="49" name="Rounded Rectangle 48">
          <a:extLst>
            <a:ext uri="{FF2B5EF4-FFF2-40B4-BE49-F238E27FC236}">
              <a16:creationId xmlns:a16="http://schemas.microsoft.com/office/drawing/2014/main" xmlns="" id="{00000000-0008-0000-1800-000031000000}"/>
            </a:ext>
          </a:extLst>
        </xdr:cNvPr>
        <xdr:cNvSpPr/>
      </xdr:nvSpPr>
      <xdr:spPr>
        <a:xfrm>
          <a:off x="4791075" y="6753224"/>
          <a:ext cx="2305050" cy="1304926"/>
        </a:xfrm>
        <a:prstGeom prst="roundRect">
          <a:avLst/>
        </a:prstGeom>
        <a:noFill/>
      </xdr:spPr>
      <xdr:style>
        <a:lnRef idx="2">
          <a:schemeClr val="accent4"/>
        </a:lnRef>
        <a:fillRef idx="1">
          <a:schemeClr val="lt1"/>
        </a:fillRef>
        <a:effectRef idx="0">
          <a:schemeClr val="accent4"/>
        </a:effectRef>
        <a:fontRef idx="minor">
          <a:schemeClr val="dk1"/>
        </a:fontRef>
      </xdr:style>
      <xdr:txBody>
        <a:bodyPr vertOverflow="clip" rtlCol="0" anchor="ctr"/>
        <a:lstStyle/>
        <a:p>
          <a:pPr algn="ctr"/>
          <a:endParaRPr lang="en-US" sz="1100"/>
        </a:p>
      </xdr:txBody>
    </xdr:sp>
    <xdr:clientData/>
  </xdr:twoCellAnchor>
  <xdr:oneCellAnchor>
    <xdr:from>
      <xdr:col>9</xdr:col>
      <xdr:colOff>171450</xdr:colOff>
      <xdr:row>39</xdr:row>
      <xdr:rowOff>57150</xdr:rowOff>
    </xdr:from>
    <xdr:ext cx="600075" cy="552450"/>
    <xdr:pic>
      <xdr:nvPicPr>
        <xdr:cNvPr id="50" name="Picture 49">
          <a:extLst>
            <a:ext uri="{FF2B5EF4-FFF2-40B4-BE49-F238E27FC236}">
              <a16:creationId xmlns:a16="http://schemas.microsoft.com/office/drawing/2014/main" xmlns="" id="{00000000-0008-0000-1800-00003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895850" y="7086600"/>
          <a:ext cx="600075" cy="552450"/>
        </a:xfrm>
        <a:prstGeom prst="rect">
          <a:avLst/>
        </a:prstGeom>
      </xdr:spPr>
    </xdr:pic>
    <xdr:clientData/>
  </xdr:oneCellAnchor>
  <xdr:twoCellAnchor editAs="oneCell">
    <xdr:from>
      <xdr:col>7</xdr:col>
      <xdr:colOff>38100</xdr:colOff>
      <xdr:row>46</xdr:row>
      <xdr:rowOff>38100</xdr:rowOff>
    </xdr:from>
    <xdr:to>
      <xdr:col>8</xdr:col>
      <xdr:colOff>619125</xdr:colOff>
      <xdr:row>51</xdr:row>
      <xdr:rowOff>76200</xdr:rowOff>
    </xdr:to>
    <xdr:pic>
      <xdr:nvPicPr>
        <xdr:cNvPr id="51" name="Picture 50">
          <a:extLst>
            <a:ext uri="{FF2B5EF4-FFF2-40B4-BE49-F238E27FC236}">
              <a16:creationId xmlns:a16="http://schemas.microsoft.com/office/drawing/2014/main" xmlns="" id="{00000000-0008-0000-1800-00003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3305175" y="8477250"/>
          <a:ext cx="1333500" cy="1019175"/>
        </a:xfrm>
        <a:prstGeom prst="ellipse">
          <a:avLst/>
        </a:prstGeom>
        <a:ln>
          <a:noFill/>
        </a:ln>
        <a:effectLst>
          <a:softEdge rad="112500"/>
        </a:effectLst>
      </xdr:spPr>
    </xdr:pic>
    <xdr:clientData/>
  </xdr:twoCellAnchor>
  <xdr:twoCellAnchor>
    <xdr:from>
      <xdr:col>10</xdr:col>
      <xdr:colOff>171450</xdr:colOff>
      <xdr:row>14</xdr:row>
      <xdr:rowOff>114300</xdr:rowOff>
    </xdr:from>
    <xdr:to>
      <xdr:col>13</xdr:col>
      <xdr:colOff>76200</xdr:colOff>
      <xdr:row>21</xdr:row>
      <xdr:rowOff>38100</xdr:rowOff>
    </xdr:to>
    <xdr:sp macro="" textlink="">
      <xdr:nvSpPr>
        <xdr:cNvPr id="52" name="Rounded Rectangular Callout 51">
          <a:extLst>
            <a:ext uri="{FF2B5EF4-FFF2-40B4-BE49-F238E27FC236}">
              <a16:creationId xmlns:a16="http://schemas.microsoft.com/office/drawing/2014/main" xmlns="" id="{00000000-0008-0000-1800-000034000000}"/>
            </a:ext>
          </a:extLst>
        </xdr:cNvPr>
        <xdr:cNvSpPr/>
      </xdr:nvSpPr>
      <xdr:spPr>
        <a:xfrm>
          <a:off x="5334000" y="2724150"/>
          <a:ext cx="1266825" cy="1285875"/>
        </a:xfrm>
        <a:prstGeom prst="wedgeRoundRectCallout">
          <a:avLst>
            <a:gd name="adj1" fmla="val 15258"/>
            <a:gd name="adj2" fmla="val 119396"/>
            <a:gd name="adj3" fmla="val 16667"/>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66675</xdr:colOff>
      <xdr:row>13</xdr:row>
      <xdr:rowOff>38101</xdr:rowOff>
    </xdr:from>
    <xdr:ext cx="361949" cy="276225"/>
    <xdr:pic>
      <xdr:nvPicPr>
        <xdr:cNvPr id="56" name="Picture 2">
          <a:hlinkClick xmlns:r="http://schemas.openxmlformats.org/officeDocument/2006/relationships" r:id="rId9"/>
          <a:extLst>
            <a:ext uri="{FF2B5EF4-FFF2-40B4-BE49-F238E27FC236}">
              <a16:creationId xmlns:a16="http://schemas.microsoft.com/office/drawing/2014/main" xmlns="" id="{00000000-0008-0000-1800-00003800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7200900" y="2838451"/>
          <a:ext cx="361949" cy="276225"/>
        </a:xfrm>
        <a:prstGeom prst="rect">
          <a:avLst/>
        </a:prstGeom>
        <a:noFill/>
      </xdr:spPr>
    </xdr:pic>
    <xdr:clientData/>
  </xdr:oneCellAnchor>
  <xdr:twoCellAnchor editAs="oneCell">
    <xdr:from>
      <xdr:col>7</xdr:col>
      <xdr:colOff>123825</xdr:colOff>
      <xdr:row>3</xdr:row>
      <xdr:rowOff>152400</xdr:rowOff>
    </xdr:from>
    <xdr:to>
      <xdr:col>8</xdr:col>
      <xdr:colOff>571500</xdr:colOff>
      <xdr:row>9</xdr:row>
      <xdr:rowOff>104775</xdr:rowOff>
    </xdr:to>
    <xdr:pic>
      <xdr:nvPicPr>
        <xdr:cNvPr id="58" name="Picture 57">
          <a:extLst>
            <a:ext uri="{FF2B5EF4-FFF2-40B4-BE49-F238E27FC236}">
              <a16:creationId xmlns:a16="http://schemas.microsoft.com/office/drawing/2014/main" xmlns="" id="{00000000-0008-0000-1800-00003A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3390900" y="666750"/>
          <a:ext cx="1200150" cy="108585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9</xdr:col>
      <xdr:colOff>66675</xdr:colOff>
      <xdr:row>26</xdr:row>
      <xdr:rowOff>47625</xdr:rowOff>
    </xdr:from>
    <xdr:to>
      <xdr:col>13</xdr:col>
      <xdr:colOff>419100</xdr:colOff>
      <xdr:row>35</xdr:row>
      <xdr:rowOff>85725</xdr:rowOff>
    </xdr:to>
    <xdr:pic>
      <xdr:nvPicPr>
        <xdr:cNvPr id="60" name="Picture 59">
          <a:extLst>
            <a:ext uri="{FF2B5EF4-FFF2-40B4-BE49-F238E27FC236}">
              <a16:creationId xmlns:a16="http://schemas.microsoft.com/office/drawing/2014/main" xmlns="" id="{00000000-0008-0000-1800-00003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4791075" y="4962525"/>
          <a:ext cx="2152650" cy="175260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xmlns="">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105382</xdr:colOff>
      <xdr:row>13</xdr:row>
      <xdr:rowOff>60326</xdr:rowOff>
    </xdr:from>
    <xdr:to>
      <xdr:col>2</xdr:col>
      <xdr:colOff>263525</xdr:colOff>
      <xdr:row>17</xdr:row>
      <xdr:rowOff>104776</xdr:rowOff>
    </xdr:to>
    <xdr:pic>
      <xdr:nvPicPr>
        <xdr:cNvPr id="3" name="irc_mi" descr="http://media-cache-ak0.pinimg.com/236x/94/a6/3a/94a63a78f6b75f56b773b4cd7cce658e.jpg">
          <a:extLst>
            <a:ext uri="{FF2B5EF4-FFF2-40B4-BE49-F238E27FC236}">
              <a16:creationId xmlns:a16="http://schemas.microsoft.com/office/drawing/2014/main" xmlns="" id="{00000000-0008-0000-1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flipH="1">
          <a:off x="460982" y="3019426"/>
          <a:ext cx="158143" cy="95885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4</xdr:col>
      <xdr:colOff>9525</xdr:colOff>
      <xdr:row>0</xdr:row>
      <xdr:rowOff>114300</xdr:rowOff>
    </xdr:from>
    <xdr:to>
      <xdr:col>13</xdr:col>
      <xdr:colOff>123825</xdr:colOff>
      <xdr:row>2</xdr:row>
      <xdr:rowOff>66675</xdr:rowOff>
    </xdr:to>
    <xdr:sp macro="" textlink="">
      <xdr:nvSpPr>
        <xdr:cNvPr id="2" name="Rounded Rectangle 1">
          <a:extLst>
            <a:ext uri="{FF2B5EF4-FFF2-40B4-BE49-F238E27FC236}">
              <a16:creationId xmlns:a16="http://schemas.microsoft.com/office/drawing/2014/main" xmlns="" id="{00000000-0008-0000-1C00-000002000000}"/>
            </a:ext>
          </a:extLst>
        </xdr:cNvPr>
        <xdr:cNvSpPr/>
      </xdr:nvSpPr>
      <xdr:spPr>
        <a:xfrm>
          <a:off x="1762125" y="114300"/>
          <a:ext cx="5505450" cy="438150"/>
        </a:xfrm>
        <a:prstGeom prst="roundRect">
          <a:avLst/>
        </a:prstGeom>
        <a:noFill/>
        <a:ln cmpd="dbl">
          <a:solidFill>
            <a:schemeClr val="accent6">
              <a:lumMod val="75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676275</xdr:colOff>
      <xdr:row>14</xdr:row>
      <xdr:rowOff>76200</xdr:rowOff>
    </xdr:from>
    <xdr:to>
      <xdr:col>13</xdr:col>
      <xdr:colOff>238125</xdr:colOff>
      <xdr:row>15</xdr:row>
      <xdr:rowOff>152400</xdr:rowOff>
    </xdr:to>
    <xdr:sp macro="" textlink="">
      <xdr:nvSpPr>
        <xdr:cNvPr id="5" name="Rounded Rectangle 4">
          <a:extLst>
            <a:ext uri="{FF2B5EF4-FFF2-40B4-BE49-F238E27FC236}">
              <a16:creationId xmlns:a16="http://schemas.microsoft.com/office/drawing/2014/main" xmlns="" id="{00000000-0008-0000-1C00-000005000000}"/>
            </a:ext>
          </a:extLst>
        </xdr:cNvPr>
        <xdr:cNvSpPr/>
      </xdr:nvSpPr>
      <xdr:spPr>
        <a:xfrm>
          <a:off x="5934075" y="3076575"/>
          <a:ext cx="1714500" cy="276225"/>
        </a:xfrm>
        <a:prstGeom prst="roundRect">
          <a:avLst/>
        </a:prstGeom>
        <a:noFill/>
        <a:ln cmpd="dbl">
          <a:solidFill>
            <a:schemeClr val="bg2">
              <a:lumMod val="1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20</xdr:row>
      <xdr:rowOff>9525</xdr:rowOff>
    </xdr:from>
    <xdr:to>
      <xdr:col>22</xdr:col>
      <xdr:colOff>292100</xdr:colOff>
      <xdr:row>27</xdr:row>
      <xdr:rowOff>9525</xdr:rowOff>
    </xdr:to>
    <xdr:sp macro="" textlink="">
      <xdr:nvSpPr>
        <xdr:cNvPr id="7" name="Rounded Rectangle 6">
          <a:extLst>
            <a:ext uri="{FF2B5EF4-FFF2-40B4-BE49-F238E27FC236}">
              <a16:creationId xmlns:a16="http://schemas.microsoft.com/office/drawing/2014/main" xmlns="" id="{00000000-0008-0000-1C00-000007000000}"/>
            </a:ext>
          </a:extLst>
        </xdr:cNvPr>
        <xdr:cNvSpPr/>
      </xdr:nvSpPr>
      <xdr:spPr>
        <a:xfrm>
          <a:off x="9232900" y="4606925"/>
          <a:ext cx="3289300" cy="1092200"/>
        </a:xfrm>
        <a:prstGeom prst="roundRect">
          <a:avLst/>
        </a:prstGeom>
        <a:noFill/>
        <a:ln w="190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20</xdr:col>
      <xdr:colOff>66675</xdr:colOff>
      <xdr:row>1</xdr:row>
      <xdr:rowOff>0</xdr:rowOff>
    </xdr:from>
    <xdr:ext cx="535634" cy="400050"/>
    <xdr:pic>
      <xdr:nvPicPr>
        <xdr:cNvPr id="9" name="Picture 8">
          <a:hlinkClick xmlns:r="http://schemas.openxmlformats.org/officeDocument/2006/relationships" r:id="rId2"/>
          <a:extLst>
            <a:ext uri="{FF2B5EF4-FFF2-40B4-BE49-F238E27FC236}">
              <a16:creationId xmlns:a16="http://schemas.microsoft.com/office/drawing/2014/main" xmlns="" id="{00000000-0008-0000-1C00-000009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191875" y="190500"/>
          <a:ext cx="535634" cy="400050"/>
        </a:xfrm>
        <a:prstGeom prst="rect">
          <a:avLst/>
        </a:prstGeom>
        <a:noFill/>
      </xdr:spPr>
    </xdr:pic>
    <xdr:clientData/>
  </xdr:oneCellAnchor>
  <xdr:twoCellAnchor>
    <xdr:from>
      <xdr:col>17</xdr:col>
      <xdr:colOff>38100</xdr:colOff>
      <xdr:row>1</xdr:row>
      <xdr:rowOff>9525</xdr:rowOff>
    </xdr:from>
    <xdr:to>
      <xdr:col>18</xdr:col>
      <xdr:colOff>32517</xdr:colOff>
      <xdr:row>2</xdr:row>
      <xdr:rowOff>186011</xdr:rowOff>
    </xdr:to>
    <xdr:pic>
      <xdr:nvPicPr>
        <xdr:cNvPr id="10" name="image04.jpg" descr="images (3).jpg">
          <a:hlinkClick xmlns:r="http://schemas.openxmlformats.org/officeDocument/2006/relationships" r:id="rId4"/>
          <a:extLst>
            <a:ext uri="{FF2B5EF4-FFF2-40B4-BE49-F238E27FC236}">
              <a16:creationId xmlns:a16="http://schemas.microsoft.com/office/drawing/2014/main" xmlns="" id="{00000000-0008-0000-1C00-00000A000000}"/>
            </a:ext>
          </a:extLst>
        </xdr:cNvPr>
        <xdr:cNvPicPr preferRelativeResize="0"/>
      </xdr:nvPicPr>
      <xdr:blipFill>
        <a:blip xmlns:r="http://schemas.openxmlformats.org/officeDocument/2006/relationships" r:embed="rId5" cstate="print"/>
        <a:stretch>
          <a:fillRect/>
        </a:stretch>
      </xdr:blipFill>
      <xdr:spPr>
        <a:xfrm>
          <a:off x="9458325" y="200025"/>
          <a:ext cx="480192" cy="366986"/>
        </a:xfrm>
        <a:prstGeom prst="rect">
          <a:avLst/>
        </a:prstGeom>
        <a:noFill/>
      </xdr:spPr>
    </xdr:pic>
    <xdr:clientData fLocksWithSheet="0"/>
  </xdr:twoCellAnchor>
  <xdr:twoCellAnchor editAs="oneCell">
    <xdr:from>
      <xdr:col>2</xdr:col>
      <xdr:colOff>19050</xdr:colOff>
      <xdr:row>0</xdr:row>
      <xdr:rowOff>76200</xdr:rowOff>
    </xdr:from>
    <xdr:to>
      <xdr:col>3</xdr:col>
      <xdr:colOff>685800</xdr:colOff>
      <xdr:row>2</xdr:row>
      <xdr:rowOff>114300</xdr:rowOff>
    </xdr:to>
    <xdr:pic>
      <xdr:nvPicPr>
        <xdr:cNvPr id="8" name="Picture 7" descr="lic.bmp.jpg">
          <a:extLst>
            <a:ext uri="{FF2B5EF4-FFF2-40B4-BE49-F238E27FC236}">
              <a16:creationId xmlns:a16="http://schemas.microsoft.com/office/drawing/2014/main" xmlns="" id="{00000000-0008-0000-1C00-000008000000}"/>
            </a:ext>
          </a:extLst>
        </xdr:cNvPr>
        <xdr:cNvPicPr>
          <a:picLocks noChangeAspect="1"/>
        </xdr:cNvPicPr>
      </xdr:nvPicPr>
      <xdr:blipFill>
        <a:blip xmlns:r="http://schemas.openxmlformats.org/officeDocument/2006/relationships" r:embed="rId6" cstate="print"/>
        <a:stretch>
          <a:fillRect/>
        </a:stretch>
      </xdr:blipFill>
      <xdr:spPr>
        <a:xfrm>
          <a:off x="371475" y="76200"/>
          <a:ext cx="1038225" cy="466725"/>
        </a:xfrm>
        <a:prstGeom prst="rect">
          <a:avLst/>
        </a:prstGeom>
      </xdr:spPr>
    </xdr:pic>
    <xdr:clientData/>
  </xdr:twoCellAnchor>
  <xdr:twoCellAnchor>
    <xdr:from>
      <xdr:col>13</xdr:col>
      <xdr:colOff>552450</xdr:colOff>
      <xdr:row>0</xdr:row>
      <xdr:rowOff>38100</xdr:rowOff>
    </xdr:from>
    <xdr:to>
      <xdr:col>14</xdr:col>
      <xdr:colOff>371475</xdr:colOff>
      <xdr:row>2</xdr:row>
      <xdr:rowOff>180976</xdr:rowOff>
    </xdr:to>
    <xdr:pic>
      <xdr:nvPicPr>
        <xdr:cNvPr id="12" name="image02.gif">
          <a:extLst>
            <a:ext uri="{FF2B5EF4-FFF2-40B4-BE49-F238E27FC236}">
              <a16:creationId xmlns:a16="http://schemas.microsoft.com/office/drawing/2014/main" xmlns="" id="{00000000-0008-0000-1C00-00000C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7677150" y="38100"/>
          <a:ext cx="828675" cy="523876"/>
        </a:xfrm>
        <a:prstGeom prst="ellipse">
          <a:avLst/>
        </a:prstGeom>
        <a:ln w="6350" cap="rnd" cmpd="dbl">
          <a:solidFill>
            <a:srgbClr val="FFFF00"/>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xdr:spPr>
    </xdr:pic>
    <xdr:clientData/>
  </xdr:twoCellAnchor>
  <xdr:twoCellAnchor editAs="oneCell">
    <xdr:from>
      <xdr:col>60</xdr:col>
      <xdr:colOff>101601</xdr:colOff>
      <xdr:row>19</xdr:row>
      <xdr:rowOff>168275</xdr:rowOff>
    </xdr:from>
    <xdr:to>
      <xdr:col>61</xdr:col>
      <xdr:colOff>111125</xdr:colOff>
      <xdr:row>26</xdr:row>
      <xdr:rowOff>26182</xdr:rowOff>
    </xdr:to>
    <xdr:pic>
      <xdr:nvPicPr>
        <xdr:cNvPr id="13" name="Picture 12" descr="G -6-312032015.jpg">
          <a:extLst>
            <a:ext uri="{FF2B5EF4-FFF2-40B4-BE49-F238E27FC236}">
              <a16:creationId xmlns:a16="http://schemas.microsoft.com/office/drawing/2014/main" xmlns="" id="{00000000-0008-0000-1C00-00000D000000}"/>
            </a:ext>
          </a:extLst>
        </xdr:cNvPr>
        <xdr:cNvPicPr>
          <a:picLocks noChangeAspect="1"/>
        </xdr:cNvPicPr>
      </xdr:nvPicPr>
      <xdr:blipFill>
        <a:blip xmlns:r="http://schemas.openxmlformats.org/officeDocument/2006/relationships" r:embed="rId8" cstate="print"/>
        <a:stretch>
          <a:fillRect/>
        </a:stretch>
      </xdr:blipFill>
      <xdr:spPr>
        <a:xfrm>
          <a:off x="13335001" y="4524375"/>
          <a:ext cx="1025524" cy="1013607"/>
        </a:xfrm>
        <a:prstGeom prst="ellipse">
          <a:avLst/>
        </a:prstGeom>
        <a:ln>
          <a:noFill/>
        </a:ln>
        <a:effectLst>
          <a:softEdge rad="112500"/>
        </a:effectLst>
      </xdr:spPr>
    </xdr:pic>
    <xdr:clientData/>
  </xdr:twoCellAnchor>
  <xdr:twoCellAnchor>
    <xdr:from>
      <xdr:col>60</xdr:col>
      <xdr:colOff>225426</xdr:colOff>
      <xdr:row>19</xdr:row>
      <xdr:rowOff>228600</xdr:rowOff>
    </xdr:from>
    <xdr:to>
      <xdr:col>60</xdr:col>
      <xdr:colOff>1012825</xdr:colOff>
      <xdr:row>25</xdr:row>
      <xdr:rowOff>168274</xdr:rowOff>
    </xdr:to>
    <xdr:sp macro="" textlink="">
      <xdr:nvSpPr>
        <xdr:cNvPr id="14" name="Oval 13">
          <a:extLst>
            <a:ext uri="{FF2B5EF4-FFF2-40B4-BE49-F238E27FC236}">
              <a16:creationId xmlns:a16="http://schemas.microsoft.com/office/drawing/2014/main" xmlns="" id="{00000000-0008-0000-1C00-00000E000000}"/>
            </a:ext>
          </a:extLst>
        </xdr:cNvPr>
        <xdr:cNvSpPr/>
      </xdr:nvSpPr>
      <xdr:spPr>
        <a:xfrm>
          <a:off x="13458826" y="4584700"/>
          <a:ext cx="787399" cy="866774"/>
        </a:xfrm>
        <a:prstGeom prst="ellipse">
          <a:avLst/>
        </a:prstGeom>
        <a:noFill/>
        <a:ln>
          <a:solidFill>
            <a:srgbClr val="FFFF00"/>
          </a:solidFill>
        </a:ln>
      </xdr:spPr>
      <xdr:style>
        <a:lnRef idx="3">
          <a:schemeClr val="lt1"/>
        </a:lnRef>
        <a:fillRef idx="1">
          <a:schemeClr val="accent1"/>
        </a:fillRef>
        <a:effectRef idx="1">
          <a:schemeClr val="accent1"/>
        </a:effectRef>
        <a:fontRef idx="minor">
          <a:schemeClr val="lt1"/>
        </a:fontRef>
      </xdr:style>
      <xdr:txBody>
        <a:bodyPr vertOverflow="clip" rtlCol="0" anchor="ctr"/>
        <a:lstStyle/>
        <a:p>
          <a:pPr algn="ctr"/>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4</xdr:col>
      <xdr:colOff>762000</xdr:colOff>
      <xdr:row>0</xdr:row>
      <xdr:rowOff>28575</xdr:rowOff>
    </xdr:from>
    <xdr:to>
      <xdr:col>11</xdr:col>
      <xdr:colOff>238125</xdr:colOff>
      <xdr:row>2</xdr:row>
      <xdr:rowOff>85725</xdr:rowOff>
    </xdr:to>
    <xdr:sp macro="" textlink="">
      <xdr:nvSpPr>
        <xdr:cNvPr id="3" name="Rounded Rectangle 2">
          <a:extLst>
            <a:ext uri="{FF2B5EF4-FFF2-40B4-BE49-F238E27FC236}">
              <a16:creationId xmlns:a16="http://schemas.microsoft.com/office/drawing/2014/main" xmlns="" id="{00000000-0008-0000-1D00-000003000000}"/>
            </a:ext>
          </a:extLst>
        </xdr:cNvPr>
        <xdr:cNvSpPr/>
      </xdr:nvSpPr>
      <xdr:spPr>
        <a:xfrm>
          <a:off x="2667000" y="28575"/>
          <a:ext cx="4905375" cy="438150"/>
        </a:xfrm>
        <a:prstGeom prst="roundRect">
          <a:avLst/>
        </a:prstGeom>
        <a:noFill/>
        <a:ln cmpd="dbl">
          <a:solidFill>
            <a:srgbClr val="0B8F2A"/>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152400</xdr:colOff>
      <xdr:row>9</xdr:row>
      <xdr:rowOff>85725</xdr:rowOff>
    </xdr:from>
    <xdr:to>
      <xdr:col>3</xdr:col>
      <xdr:colOff>455576</xdr:colOff>
      <xdr:row>11</xdr:row>
      <xdr:rowOff>111245</xdr:rowOff>
    </xdr:to>
    <xdr:pic>
      <xdr:nvPicPr>
        <xdr:cNvPr id="4" name="Picture 3" descr="http://i370.photobucket.com/albums/oo146/free-myspacelayouts/icons/th_173s.gif">
          <a:extLst>
            <a:ext uri="{FF2B5EF4-FFF2-40B4-BE49-F238E27FC236}">
              <a16:creationId xmlns:a16="http://schemas.microsoft.com/office/drawing/2014/main" xmlns="" id="{00000000-0008-0000-1D00-000004000000}"/>
            </a:ext>
          </a:extLst>
        </xdr:cNvPr>
        <xdr:cNvPicPr>
          <a:picLocks noChangeAspect="1" noChangeArrowheads="1" noCrop="1"/>
        </xdr:cNvPicPr>
      </xdr:nvPicPr>
      <xdr:blipFill>
        <a:blip xmlns:r="http://schemas.openxmlformats.org/officeDocument/2006/relationships" r:embed="rId1" cstate="print"/>
        <a:srcRect/>
        <a:stretch>
          <a:fillRect/>
        </a:stretch>
      </xdr:blipFill>
      <xdr:spPr bwMode="auto">
        <a:xfrm>
          <a:off x="1000125" y="1924050"/>
          <a:ext cx="750851" cy="406520"/>
        </a:xfrm>
        <a:prstGeom prst="rect">
          <a:avLst/>
        </a:prstGeom>
        <a:noFill/>
      </xdr:spPr>
    </xdr:pic>
    <xdr:clientData/>
  </xdr:twoCellAnchor>
  <xdr:twoCellAnchor>
    <xdr:from>
      <xdr:col>3</xdr:col>
      <xdr:colOff>504826</xdr:colOff>
      <xdr:row>5</xdr:row>
      <xdr:rowOff>85725</xdr:rowOff>
    </xdr:from>
    <xdr:to>
      <xdr:col>5</xdr:col>
      <xdr:colOff>1333501</xdr:colOff>
      <xdr:row>7</xdr:row>
      <xdr:rowOff>19050</xdr:rowOff>
    </xdr:to>
    <xdr:sp macro="" textlink="">
      <xdr:nvSpPr>
        <xdr:cNvPr id="5" name="Cross 4">
          <a:extLst>
            <a:ext uri="{FF2B5EF4-FFF2-40B4-BE49-F238E27FC236}">
              <a16:creationId xmlns:a16="http://schemas.microsoft.com/office/drawing/2014/main" xmlns="" id="{00000000-0008-0000-1D00-000005000000}"/>
            </a:ext>
          </a:extLst>
        </xdr:cNvPr>
        <xdr:cNvSpPr/>
      </xdr:nvSpPr>
      <xdr:spPr>
        <a:xfrm>
          <a:off x="1800226" y="1143000"/>
          <a:ext cx="2781300" cy="314325"/>
        </a:xfrm>
        <a:prstGeom prst="plus">
          <a:avLst/>
        </a:prstGeom>
        <a:solidFill>
          <a:srgbClr val="FC24ED"/>
        </a:solidFill>
        <a:ln>
          <a:solidFill>
            <a:srgbClr val="FFFF00"/>
          </a:solidFill>
        </a:ln>
      </xdr:spPr>
      <xdr:style>
        <a:lnRef idx="1">
          <a:schemeClr val="accent3"/>
        </a:lnRef>
        <a:fillRef idx="3">
          <a:schemeClr val="accent3"/>
        </a:fillRef>
        <a:effectRef idx="2">
          <a:schemeClr val="accent3"/>
        </a:effectRef>
        <a:fontRef idx="minor">
          <a:schemeClr val="lt1"/>
        </a:fontRef>
      </xdr:style>
      <xdr:txBody>
        <a:bodyPr vertOverflow="clip" rtlCol="0" anchor="ctr"/>
        <a:lstStyle/>
        <a:p>
          <a:pPr algn="ctr"/>
          <a:r>
            <a:rPr lang="en-US" sz="1600" b="1"/>
            <a:t>EDIT    YOUR   PROFILE   HERE</a:t>
          </a:r>
        </a:p>
      </xdr:txBody>
    </xdr:sp>
    <xdr:clientData/>
  </xdr:twoCellAnchor>
  <xdr:twoCellAnchor>
    <xdr:from>
      <xdr:col>4</xdr:col>
      <xdr:colOff>1085850</xdr:colOff>
      <xdr:row>7</xdr:row>
      <xdr:rowOff>1</xdr:rowOff>
    </xdr:from>
    <xdr:to>
      <xdr:col>5</xdr:col>
      <xdr:colOff>88987</xdr:colOff>
      <xdr:row>7</xdr:row>
      <xdr:rowOff>180976</xdr:rowOff>
    </xdr:to>
    <xdr:sp macro="" textlink="">
      <xdr:nvSpPr>
        <xdr:cNvPr id="6" name="Down Arrow 5">
          <a:extLst>
            <a:ext uri="{FF2B5EF4-FFF2-40B4-BE49-F238E27FC236}">
              <a16:creationId xmlns:a16="http://schemas.microsoft.com/office/drawing/2014/main" xmlns="" id="{00000000-0008-0000-1D00-000006000000}"/>
            </a:ext>
          </a:extLst>
        </xdr:cNvPr>
        <xdr:cNvSpPr/>
      </xdr:nvSpPr>
      <xdr:spPr>
        <a:xfrm>
          <a:off x="2990850" y="1447801"/>
          <a:ext cx="346162" cy="180975"/>
        </a:xfrm>
        <a:prstGeom prst="downArrow">
          <a:avLst/>
        </a:prstGeom>
        <a:solidFill>
          <a:srgbClr val="086E20"/>
        </a:solidFill>
        <a:ln>
          <a:solidFill>
            <a:srgbClr val="FFFF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en-US" sz="1100"/>
        </a:p>
      </xdr:txBody>
    </xdr:sp>
    <xdr:clientData/>
  </xdr:twoCellAnchor>
  <xdr:twoCellAnchor>
    <xdr:from>
      <xdr:col>3</xdr:col>
      <xdr:colOff>400050</xdr:colOff>
      <xdr:row>15</xdr:row>
      <xdr:rowOff>142875</xdr:rowOff>
    </xdr:from>
    <xdr:to>
      <xdr:col>5</xdr:col>
      <xdr:colOff>809625</xdr:colOff>
      <xdr:row>17</xdr:row>
      <xdr:rowOff>63246</xdr:rowOff>
    </xdr:to>
    <xdr:sp macro="" textlink="">
      <xdr:nvSpPr>
        <xdr:cNvPr id="8" name="Cross 7">
          <a:extLst>
            <a:ext uri="{FF2B5EF4-FFF2-40B4-BE49-F238E27FC236}">
              <a16:creationId xmlns:a16="http://schemas.microsoft.com/office/drawing/2014/main" xmlns="" id="{00000000-0008-0000-1D00-000008000000}"/>
            </a:ext>
          </a:extLst>
        </xdr:cNvPr>
        <xdr:cNvSpPr/>
      </xdr:nvSpPr>
      <xdr:spPr>
        <a:xfrm>
          <a:off x="1695450" y="3124200"/>
          <a:ext cx="2362200" cy="310896"/>
        </a:xfrm>
        <a:prstGeom prst="plus">
          <a:avLst/>
        </a:prstGeom>
        <a:solidFill>
          <a:schemeClr val="accent5">
            <a:lumMod val="50000"/>
          </a:schemeClr>
        </a:solidFill>
        <a:ln>
          <a:solidFill>
            <a:srgbClr val="FFFF00"/>
          </a:solidFill>
        </a:ln>
      </xdr:spPr>
      <xdr:style>
        <a:lnRef idx="1">
          <a:schemeClr val="accent3"/>
        </a:lnRef>
        <a:fillRef idx="3">
          <a:schemeClr val="accent3"/>
        </a:fillRef>
        <a:effectRef idx="2">
          <a:schemeClr val="accent3"/>
        </a:effectRef>
        <a:fontRef idx="minor">
          <a:schemeClr val="lt1"/>
        </a:fontRef>
      </xdr:style>
      <xdr:txBody>
        <a:bodyPr vertOverflow="clip" rtlCol="0" anchor="ctr"/>
        <a:lstStyle/>
        <a:p>
          <a:pPr algn="ctr"/>
          <a:r>
            <a:rPr lang="en-US" sz="1600" b="1"/>
            <a:t>GO</a:t>
          </a:r>
          <a:r>
            <a:rPr lang="en-US" sz="1600" b="1" baseline="0"/>
            <a:t>  TO  DATA ENTRY</a:t>
          </a:r>
          <a:endParaRPr lang="en-US" sz="1600" b="1"/>
        </a:p>
      </xdr:txBody>
    </xdr:sp>
    <xdr:clientData/>
  </xdr:twoCellAnchor>
  <xdr:twoCellAnchor>
    <xdr:from>
      <xdr:col>1</xdr:col>
      <xdr:colOff>0</xdr:colOff>
      <xdr:row>0</xdr:row>
      <xdr:rowOff>95250</xdr:rowOff>
    </xdr:from>
    <xdr:to>
      <xdr:col>3</xdr:col>
      <xdr:colOff>152400</xdr:colOff>
      <xdr:row>3</xdr:row>
      <xdr:rowOff>161925</xdr:rowOff>
    </xdr:to>
    <xdr:pic>
      <xdr:nvPicPr>
        <xdr:cNvPr id="11" name="image02.gif">
          <a:extLst>
            <a:ext uri="{FF2B5EF4-FFF2-40B4-BE49-F238E27FC236}">
              <a16:creationId xmlns:a16="http://schemas.microsoft.com/office/drawing/2014/main" xmlns="" id="{00000000-0008-0000-1D00-00000B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609600" y="95250"/>
          <a:ext cx="838200" cy="638175"/>
        </a:xfrm>
        <a:prstGeom prst="ellipse">
          <a:avLst/>
        </a:prstGeom>
        <a:ln w="6350" cap="rnd" cmpd="dbl">
          <a:solidFill>
            <a:srgbClr val="FFFF00"/>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xdr:spPr>
    </xdr:pic>
    <xdr:clientData/>
  </xdr:twoCellAnchor>
  <xdr:twoCellAnchor editAs="oneCell">
    <xdr:from>
      <xdr:col>2</xdr:col>
      <xdr:colOff>47625</xdr:colOff>
      <xdr:row>5</xdr:row>
      <xdr:rowOff>57150</xdr:rowOff>
    </xdr:from>
    <xdr:to>
      <xdr:col>3</xdr:col>
      <xdr:colOff>428625</xdr:colOff>
      <xdr:row>7</xdr:row>
      <xdr:rowOff>133350</xdr:rowOff>
    </xdr:to>
    <xdr:pic>
      <xdr:nvPicPr>
        <xdr:cNvPr id="12" name="Picture 11" descr="lic.bmp.jpg">
          <a:extLst>
            <a:ext uri="{FF2B5EF4-FFF2-40B4-BE49-F238E27FC236}">
              <a16:creationId xmlns:a16="http://schemas.microsoft.com/office/drawing/2014/main" xmlns="" id="{00000000-0008-0000-1D00-00000C000000}"/>
            </a:ext>
          </a:extLst>
        </xdr:cNvPr>
        <xdr:cNvPicPr>
          <a:picLocks noChangeAspect="1"/>
        </xdr:cNvPicPr>
      </xdr:nvPicPr>
      <xdr:blipFill>
        <a:blip xmlns:r="http://schemas.openxmlformats.org/officeDocument/2006/relationships" r:embed="rId3" cstate="print"/>
        <a:stretch>
          <a:fillRect/>
        </a:stretch>
      </xdr:blipFill>
      <xdr:spPr>
        <a:xfrm>
          <a:off x="895350" y="1114425"/>
          <a:ext cx="828675" cy="466725"/>
        </a:xfrm>
        <a:prstGeom prst="rect">
          <a:avLst/>
        </a:prstGeom>
      </xdr:spPr>
    </xdr:pic>
    <xdr:clientData/>
  </xdr:twoCellAnchor>
  <xdr:twoCellAnchor editAs="oneCell">
    <xdr:from>
      <xdr:col>14</xdr:col>
      <xdr:colOff>1243964</xdr:colOff>
      <xdr:row>7</xdr:row>
      <xdr:rowOff>20955</xdr:rowOff>
    </xdr:from>
    <xdr:to>
      <xdr:col>15</xdr:col>
      <xdr:colOff>979169</xdr:colOff>
      <xdr:row>11</xdr:row>
      <xdr:rowOff>76200</xdr:rowOff>
    </xdr:to>
    <xdr:pic>
      <xdr:nvPicPr>
        <xdr:cNvPr id="13" name="Picture 12" descr="G -6-312032015.jpg">
          <a:extLst>
            <a:ext uri="{FF2B5EF4-FFF2-40B4-BE49-F238E27FC236}">
              <a16:creationId xmlns:a16="http://schemas.microsoft.com/office/drawing/2014/main" xmlns="" id="{00000000-0008-0000-1D00-00000D000000}"/>
            </a:ext>
          </a:extLst>
        </xdr:cNvPr>
        <xdr:cNvPicPr>
          <a:picLocks noChangeAspect="1"/>
        </xdr:cNvPicPr>
      </xdr:nvPicPr>
      <xdr:blipFill>
        <a:blip xmlns:r="http://schemas.openxmlformats.org/officeDocument/2006/relationships" r:embed="rId4" cstate="print"/>
        <a:stretch>
          <a:fillRect/>
        </a:stretch>
      </xdr:blipFill>
      <xdr:spPr>
        <a:xfrm>
          <a:off x="10090784" y="1453515"/>
          <a:ext cx="1038225" cy="817245"/>
        </a:xfrm>
        <a:prstGeom prst="ellipse">
          <a:avLst/>
        </a:prstGeom>
        <a:ln>
          <a:noFill/>
        </a:ln>
        <a:effectLst>
          <a:softEdge rad="112500"/>
        </a:effectLst>
        <a:scene3d>
          <a:camera prst="orthographicFront"/>
          <a:lightRig rig="threePt" dir="t"/>
        </a:scene3d>
        <a:sp3d>
          <a:bevelT/>
        </a:sp3d>
      </xdr:spPr>
    </xdr:pic>
    <xdr:clientData/>
  </xdr:twoCellAnchor>
  <xdr:twoCellAnchor>
    <xdr:from>
      <xdr:col>2</xdr:col>
      <xdr:colOff>152399</xdr:colOff>
      <xdr:row>17</xdr:row>
      <xdr:rowOff>171449</xdr:rowOff>
    </xdr:from>
    <xdr:to>
      <xdr:col>4</xdr:col>
      <xdr:colOff>742950</xdr:colOff>
      <xdr:row>20</xdr:row>
      <xdr:rowOff>76200</xdr:rowOff>
    </xdr:to>
    <xdr:sp macro="" textlink="">
      <xdr:nvSpPr>
        <xdr:cNvPr id="2" name="Snip Diagonal Corner Rectangle 1">
          <a:hlinkClick xmlns:r="http://schemas.openxmlformats.org/officeDocument/2006/relationships" r:id="rId5"/>
          <a:extLst>
            <a:ext uri="{FF2B5EF4-FFF2-40B4-BE49-F238E27FC236}">
              <a16:creationId xmlns:a16="http://schemas.microsoft.com/office/drawing/2014/main" xmlns="" id="{00000000-0008-0000-1D00-000002000000}"/>
            </a:ext>
          </a:extLst>
        </xdr:cNvPr>
        <xdr:cNvSpPr/>
      </xdr:nvSpPr>
      <xdr:spPr>
        <a:xfrm>
          <a:off x="1000124" y="3543299"/>
          <a:ext cx="1647826" cy="476251"/>
        </a:xfrm>
        <a:prstGeom prst="snip2DiagRect">
          <a:avLst/>
        </a:prstGeom>
        <a:solidFill>
          <a:srgbClr val="C000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US" sz="1050" b="1">
              <a:latin typeface="+mj-lt"/>
            </a:rPr>
            <a:t>INDIVUAL</a:t>
          </a:r>
          <a:r>
            <a:rPr lang="en-US" sz="1050" b="1" baseline="0">
              <a:latin typeface="+mj-lt"/>
            </a:rPr>
            <a:t>  PLANS</a:t>
          </a:r>
          <a:r>
            <a:rPr lang="en-US" sz="1050" b="1">
              <a:latin typeface="+mj-lt"/>
            </a:rPr>
            <a:t> </a:t>
          </a:r>
          <a:r>
            <a:rPr lang="en-US" sz="1000" b="1">
              <a:latin typeface="+mj-lt"/>
            </a:rPr>
            <a:t>PRESENTATION</a:t>
          </a:r>
        </a:p>
      </xdr:txBody>
    </xdr:sp>
    <xdr:clientData/>
  </xdr:twoCellAnchor>
  <xdr:twoCellAnchor>
    <xdr:from>
      <xdr:col>4</xdr:col>
      <xdr:colOff>1133475</xdr:colOff>
      <xdr:row>17</xdr:row>
      <xdr:rowOff>142875</xdr:rowOff>
    </xdr:from>
    <xdr:to>
      <xdr:col>6</xdr:col>
      <xdr:colOff>47625</xdr:colOff>
      <xdr:row>20</xdr:row>
      <xdr:rowOff>47626</xdr:rowOff>
    </xdr:to>
    <xdr:sp macro="" textlink="">
      <xdr:nvSpPr>
        <xdr:cNvPr id="21" name="Snip Diagonal Corner Rectangle 20">
          <a:hlinkClick xmlns:r="http://schemas.openxmlformats.org/officeDocument/2006/relationships" r:id="rId6"/>
          <a:extLst>
            <a:ext uri="{FF2B5EF4-FFF2-40B4-BE49-F238E27FC236}">
              <a16:creationId xmlns:a16="http://schemas.microsoft.com/office/drawing/2014/main" xmlns="" id="{00000000-0008-0000-1D00-000015000000}"/>
            </a:ext>
          </a:extLst>
        </xdr:cNvPr>
        <xdr:cNvSpPr/>
      </xdr:nvSpPr>
      <xdr:spPr>
        <a:xfrm>
          <a:off x="3038475" y="3514725"/>
          <a:ext cx="1600200" cy="476251"/>
        </a:xfrm>
        <a:prstGeom prst="snip2DiagRect">
          <a:avLst/>
        </a:prstGeom>
        <a:solidFill>
          <a:srgbClr val="00B0F0"/>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US" sz="1000" b="1">
              <a:latin typeface="+mj-lt"/>
            </a:rPr>
            <a:t>SMART  HEALTH JEEVAN</a:t>
          </a:r>
          <a:r>
            <a:rPr lang="en-US" sz="1000" b="1" baseline="0">
              <a:latin typeface="+mj-lt"/>
            </a:rPr>
            <a:t> AROGYA</a:t>
          </a:r>
          <a:r>
            <a:rPr lang="en-US" sz="1000" b="1">
              <a:latin typeface="+mj-lt"/>
            </a:rPr>
            <a:t> )</a:t>
          </a:r>
        </a:p>
      </xdr:txBody>
    </xdr:sp>
    <xdr:clientData/>
  </xdr:twoCellAnchor>
  <xdr:twoCellAnchor>
    <xdr:from>
      <xdr:col>4</xdr:col>
      <xdr:colOff>1095374</xdr:colOff>
      <xdr:row>20</xdr:row>
      <xdr:rowOff>171450</xdr:rowOff>
    </xdr:from>
    <xdr:to>
      <xdr:col>6</xdr:col>
      <xdr:colOff>47625</xdr:colOff>
      <xdr:row>23</xdr:row>
      <xdr:rowOff>76201</xdr:rowOff>
    </xdr:to>
    <xdr:sp macro="" textlink="">
      <xdr:nvSpPr>
        <xdr:cNvPr id="25" name="Snip Diagonal Corner Rectangle 24">
          <a:hlinkClick xmlns:r="http://schemas.openxmlformats.org/officeDocument/2006/relationships" r:id="rId7"/>
          <a:extLst>
            <a:ext uri="{FF2B5EF4-FFF2-40B4-BE49-F238E27FC236}">
              <a16:creationId xmlns:a16="http://schemas.microsoft.com/office/drawing/2014/main" xmlns="" id="{00000000-0008-0000-1D00-000019000000}"/>
            </a:ext>
          </a:extLst>
        </xdr:cNvPr>
        <xdr:cNvSpPr/>
      </xdr:nvSpPr>
      <xdr:spPr>
        <a:xfrm>
          <a:off x="3000374" y="4114800"/>
          <a:ext cx="1638301" cy="476251"/>
        </a:xfrm>
        <a:prstGeom prst="snip2DiagRect">
          <a:avLst/>
        </a:prstGeom>
        <a:solidFill>
          <a:srgbClr val="00B05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000" b="1">
              <a:latin typeface="+mj-lt"/>
            </a:rPr>
            <a:t>SMART  ULIP </a:t>
          </a:r>
          <a:r>
            <a:rPr lang="en-US" sz="1000" b="1" baseline="0">
              <a:latin typeface="+mj-lt"/>
            </a:rPr>
            <a:t>            Endowment PLUS </a:t>
          </a:r>
        </a:p>
      </xdr:txBody>
    </xdr:sp>
    <xdr:clientData/>
  </xdr:twoCellAnchor>
  <xdr:twoCellAnchor editAs="oneCell">
    <xdr:from>
      <xdr:col>5</xdr:col>
      <xdr:colOff>952500</xdr:colOff>
      <xdr:row>21</xdr:row>
      <xdr:rowOff>28575</xdr:rowOff>
    </xdr:from>
    <xdr:to>
      <xdr:col>6</xdr:col>
      <xdr:colOff>0</xdr:colOff>
      <xdr:row>23</xdr:row>
      <xdr:rowOff>38100</xdr:rowOff>
    </xdr:to>
    <xdr:pic>
      <xdr:nvPicPr>
        <xdr:cNvPr id="34" name="Picture 33">
          <a:hlinkClick xmlns:r="http://schemas.openxmlformats.org/officeDocument/2006/relationships" r:id="rId8"/>
          <a:extLst>
            <a:ext uri="{FF2B5EF4-FFF2-40B4-BE49-F238E27FC236}">
              <a16:creationId xmlns:a16="http://schemas.microsoft.com/office/drawing/2014/main" xmlns="" id="{00000000-0008-0000-1D00-00002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xmlns="" val="0"/>
            </a:ext>
          </a:extLst>
        </a:blip>
        <a:srcRect/>
        <a:stretch>
          <a:fillRect/>
        </a:stretch>
      </xdr:blipFill>
      <xdr:spPr bwMode="auto">
        <a:xfrm>
          <a:off x="4200525" y="4162425"/>
          <a:ext cx="390525" cy="3905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990600</xdr:colOff>
      <xdr:row>18</xdr:row>
      <xdr:rowOff>9525</xdr:rowOff>
    </xdr:from>
    <xdr:to>
      <xdr:col>6</xdr:col>
      <xdr:colOff>38100</xdr:colOff>
      <xdr:row>20</xdr:row>
      <xdr:rowOff>19050</xdr:rowOff>
    </xdr:to>
    <xdr:pic>
      <xdr:nvPicPr>
        <xdr:cNvPr id="41" name="Picture 40">
          <a:hlinkClick xmlns:r="http://schemas.openxmlformats.org/officeDocument/2006/relationships" r:id="rId10"/>
          <a:extLst>
            <a:ext uri="{FF2B5EF4-FFF2-40B4-BE49-F238E27FC236}">
              <a16:creationId xmlns:a16="http://schemas.microsoft.com/office/drawing/2014/main" xmlns="" id="{00000000-0008-0000-1D00-000029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4238625" y="3571875"/>
          <a:ext cx="390525" cy="3905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323850</xdr:colOff>
      <xdr:row>18</xdr:row>
      <xdr:rowOff>19050</xdr:rowOff>
    </xdr:from>
    <xdr:to>
      <xdr:col>4</xdr:col>
      <xdr:colOff>685800</xdr:colOff>
      <xdr:row>20</xdr:row>
      <xdr:rowOff>38100</xdr:rowOff>
    </xdr:to>
    <xdr:pic>
      <xdr:nvPicPr>
        <xdr:cNvPr id="45" name="Picture 44">
          <a:hlinkClick xmlns:r="http://schemas.openxmlformats.org/officeDocument/2006/relationships" r:id="rId12"/>
          <a:extLst>
            <a:ext uri="{FF2B5EF4-FFF2-40B4-BE49-F238E27FC236}">
              <a16:creationId xmlns:a16="http://schemas.microsoft.com/office/drawing/2014/main" xmlns="" id="{00000000-0008-0000-1D00-00002D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xmlns="" val="0"/>
            </a:ext>
          </a:extLst>
        </a:blip>
        <a:srcRect/>
        <a:stretch>
          <a:fillRect/>
        </a:stretch>
      </xdr:blipFill>
      <xdr:spPr bwMode="auto">
        <a:xfrm>
          <a:off x="2228850" y="3581400"/>
          <a:ext cx="361950" cy="4000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11</xdr:col>
      <xdr:colOff>552450</xdr:colOff>
      <xdr:row>2</xdr:row>
      <xdr:rowOff>142875</xdr:rowOff>
    </xdr:from>
    <xdr:to>
      <xdr:col>12</xdr:col>
      <xdr:colOff>430744</xdr:colOff>
      <xdr:row>3</xdr:row>
      <xdr:rowOff>157619</xdr:rowOff>
    </xdr:to>
    <xdr:sp macro="" textlink="">
      <xdr:nvSpPr>
        <xdr:cNvPr id="28" name="Notched Right Arrow 27">
          <a:extLst>
            <a:ext uri="{FF2B5EF4-FFF2-40B4-BE49-F238E27FC236}">
              <a16:creationId xmlns:a16="http://schemas.microsoft.com/office/drawing/2014/main" xmlns="" id="{00000000-0008-0000-1D00-00001C000000}"/>
            </a:ext>
          </a:extLst>
        </xdr:cNvPr>
        <xdr:cNvSpPr/>
      </xdr:nvSpPr>
      <xdr:spPr bwMode="auto">
        <a:xfrm>
          <a:off x="7886700" y="523875"/>
          <a:ext cx="487894" cy="205244"/>
        </a:xfrm>
        <a:prstGeom prst="notchedRightArrow">
          <a:avLst/>
        </a:prstGeom>
        <a:solidFill>
          <a:srgbClr val="FFC000"/>
        </a:solidFill>
        <a:ln>
          <a:solidFill>
            <a:srgbClr val="FF0066"/>
          </a:solidFill>
          <a:headEnd type="none" w="med" len="med"/>
          <a:tailEnd type="none" w="med" len="med"/>
        </a:ln>
      </xdr:spPr>
      <xdr:style>
        <a:lnRef idx="2">
          <a:schemeClr val="accent2">
            <a:shade val="50000"/>
          </a:schemeClr>
        </a:lnRef>
        <a:fillRef idx="1">
          <a:schemeClr val="accent2"/>
        </a:fillRef>
        <a:effectRef idx="0">
          <a:schemeClr val="accent2"/>
        </a:effectRef>
        <a:fontRef idx="minor">
          <a:schemeClr val="lt1"/>
        </a:fontRef>
      </xdr:style>
      <xdr:txBody>
        <a:bodyPr vertOverflow="clip" wrap="square" lIns="18288" tIns="0" rIns="0" bIns="0" rtlCol="0" anchor="ctr" upright="1"/>
        <a:lstStyle/>
        <a:p>
          <a:pPr algn="ctr"/>
          <a:endParaRPr lang="en-US" sz="1100"/>
        </a:p>
      </xdr:txBody>
    </xdr:sp>
    <xdr:clientData/>
  </xdr:twoCellAnchor>
  <xdr:twoCellAnchor>
    <xdr:from>
      <xdr:col>4</xdr:col>
      <xdr:colOff>657225</xdr:colOff>
      <xdr:row>17</xdr:row>
      <xdr:rowOff>66675</xdr:rowOff>
    </xdr:from>
    <xdr:to>
      <xdr:col>4</xdr:col>
      <xdr:colOff>1003387</xdr:colOff>
      <xdr:row>18</xdr:row>
      <xdr:rowOff>152400</xdr:rowOff>
    </xdr:to>
    <xdr:sp macro="" textlink="">
      <xdr:nvSpPr>
        <xdr:cNvPr id="29" name="Down Arrow 28">
          <a:extLst>
            <a:ext uri="{FF2B5EF4-FFF2-40B4-BE49-F238E27FC236}">
              <a16:creationId xmlns:a16="http://schemas.microsoft.com/office/drawing/2014/main" xmlns="" id="{00000000-0008-0000-1D00-00001D000000}"/>
            </a:ext>
          </a:extLst>
        </xdr:cNvPr>
        <xdr:cNvSpPr/>
      </xdr:nvSpPr>
      <xdr:spPr>
        <a:xfrm>
          <a:off x="2562225" y="3438525"/>
          <a:ext cx="346162" cy="276225"/>
        </a:xfrm>
        <a:prstGeom prst="downArrow">
          <a:avLst/>
        </a:prstGeom>
        <a:solidFill>
          <a:srgbClr val="086E20"/>
        </a:solidFill>
        <a:ln>
          <a:solidFill>
            <a:srgbClr val="FFFF00"/>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en-US" sz="1100"/>
        </a:p>
      </xdr:txBody>
    </xdr:sp>
    <xdr:clientData/>
  </xdr:twoCellAnchor>
  <xdr:twoCellAnchor>
    <xdr:from>
      <xdr:col>14</xdr:col>
      <xdr:colOff>1264919</xdr:colOff>
      <xdr:row>7</xdr:row>
      <xdr:rowOff>24765</xdr:rowOff>
    </xdr:from>
    <xdr:to>
      <xdr:col>15</xdr:col>
      <xdr:colOff>962024</xdr:colOff>
      <xdr:row>11</xdr:row>
      <xdr:rowOff>99060</xdr:rowOff>
    </xdr:to>
    <xdr:sp macro="" textlink="">
      <xdr:nvSpPr>
        <xdr:cNvPr id="31" name="Oval 30">
          <a:extLst>
            <a:ext uri="{FF2B5EF4-FFF2-40B4-BE49-F238E27FC236}">
              <a16:creationId xmlns:a16="http://schemas.microsoft.com/office/drawing/2014/main" xmlns="" id="{00000000-0008-0000-1D00-00001F000000}"/>
            </a:ext>
          </a:extLst>
        </xdr:cNvPr>
        <xdr:cNvSpPr/>
      </xdr:nvSpPr>
      <xdr:spPr>
        <a:xfrm>
          <a:off x="10111739" y="1457325"/>
          <a:ext cx="1000125" cy="836295"/>
        </a:xfrm>
        <a:prstGeom prst="ellipse">
          <a:avLst/>
        </a:prstGeom>
        <a:noFill/>
        <a:ln>
          <a:solidFill>
            <a:srgbClr val="FFFF00"/>
          </a:solidFill>
        </a:ln>
      </xdr:spPr>
      <xdr:style>
        <a:lnRef idx="3">
          <a:schemeClr val="lt1"/>
        </a:lnRef>
        <a:fillRef idx="1">
          <a:schemeClr val="accent1"/>
        </a:fillRef>
        <a:effectRef idx="1">
          <a:schemeClr val="accent1"/>
        </a:effectRef>
        <a:fontRef idx="minor">
          <a:schemeClr val="lt1"/>
        </a:fontRef>
      </xdr:style>
      <xdr:txBody>
        <a:bodyPr vertOverflow="clip" rtlCol="0" anchor="ctr"/>
        <a:lstStyle/>
        <a:p>
          <a:pPr algn="ctr"/>
          <a:endParaRPr lang="en-US" sz="1100"/>
        </a:p>
      </xdr:txBody>
    </xdr:sp>
    <xdr:clientData/>
  </xdr:twoCellAnchor>
  <xdr:twoCellAnchor>
    <xdr:from>
      <xdr:col>14</xdr:col>
      <xdr:colOff>13335</xdr:colOff>
      <xdr:row>13</xdr:row>
      <xdr:rowOff>161926</xdr:rowOff>
    </xdr:from>
    <xdr:to>
      <xdr:col>16</xdr:col>
      <xdr:colOff>975360</xdr:colOff>
      <xdr:row>19</xdr:row>
      <xdr:rowOff>165736</xdr:rowOff>
    </xdr:to>
    <xdr:sp macro="" textlink="">
      <xdr:nvSpPr>
        <xdr:cNvPr id="39" name="Rounded Rectangle 38">
          <a:extLst>
            <a:ext uri="{FF2B5EF4-FFF2-40B4-BE49-F238E27FC236}">
              <a16:creationId xmlns:a16="http://schemas.microsoft.com/office/drawing/2014/main" xmlns="" id="{00000000-0008-0000-1D00-000027000000}"/>
            </a:ext>
          </a:extLst>
        </xdr:cNvPr>
        <xdr:cNvSpPr/>
      </xdr:nvSpPr>
      <xdr:spPr>
        <a:xfrm>
          <a:off x="8860155" y="2737486"/>
          <a:ext cx="3400425" cy="1123950"/>
        </a:xfrm>
        <a:prstGeom prst="round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38100</xdr:colOff>
      <xdr:row>2</xdr:row>
      <xdr:rowOff>57149</xdr:rowOff>
    </xdr:from>
    <xdr:to>
      <xdr:col>15</xdr:col>
      <xdr:colOff>228600</xdr:colOff>
      <xdr:row>3</xdr:row>
      <xdr:rowOff>219074</xdr:rowOff>
    </xdr:to>
    <xdr:sp macro="" textlink="">
      <xdr:nvSpPr>
        <xdr:cNvPr id="16" name="Rounded Rectangle 15">
          <a:extLst>
            <a:ext uri="{FF2B5EF4-FFF2-40B4-BE49-F238E27FC236}">
              <a16:creationId xmlns:a16="http://schemas.microsoft.com/office/drawing/2014/main" xmlns="" id="{00000000-0008-0000-1D00-000010000000}"/>
            </a:ext>
          </a:extLst>
        </xdr:cNvPr>
        <xdr:cNvSpPr/>
      </xdr:nvSpPr>
      <xdr:spPr>
        <a:xfrm>
          <a:off x="8429625" y="438149"/>
          <a:ext cx="1695450" cy="352425"/>
        </a:xfrm>
        <a:prstGeom prst="roundRect">
          <a:avLst/>
        </a:prstGeom>
        <a:noFill/>
        <a:ln>
          <a:solidFill>
            <a:srgbClr val="086E2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solidFill>
              <a:srgbClr val="086E20"/>
            </a:solidFill>
          </a:endParaRPr>
        </a:p>
      </xdr:txBody>
    </xdr:sp>
    <xdr:clientData/>
  </xdr:twoCellAnchor>
  <xdr:twoCellAnchor editAs="oneCell">
    <xdr:from>
      <xdr:col>15</xdr:col>
      <xdr:colOff>0</xdr:colOff>
      <xdr:row>2</xdr:row>
      <xdr:rowOff>0</xdr:rowOff>
    </xdr:from>
    <xdr:to>
      <xdr:col>15</xdr:col>
      <xdr:colOff>304800</xdr:colOff>
      <xdr:row>3</xdr:row>
      <xdr:rowOff>114300</xdr:rowOff>
    </xdr:to>
    <xdr:sp macro="" textlink="">
      <xdr:nvSpPr>
        <xdr:cNvPr id="478210" name="AutoShape 2" descr="Image result for new images">
          <a:extLst>
            <a:ext uri="{FF2B5EF4-FFF2-40B4-BE49-F238E27FC236}">
              <a16:creationId xmlns:a16="http://schemas.microsoft.com/office/drawing/2014/main" xmlns="" id="{00000000-0008-0000-1D00-0000024C0700}"/>
            </a:ext>
          </a:extLst>
        </xdr:cNvPr>
        <xdr:cNvSpPr>
          <a:spLocks noChangeAspect="1" noChangeArrowheads="1"/>
        </xdr:cNvSpPr>
      </xdr:nvSpPr>
      <xdr:spPr bwMode="auto">
        <a:xfrm>
          <a:off x="9896475" y="38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15</xdr:col>
      <xdr:colOff>0</xdr:colOff>
      <xdr:row>2</xdr:row>
      <xdr:rowOff>0</xdr:rowOff>
    </xdr:from>
    <xdr:to>
      <xdr:col>15</xdr:col>
      <xdr:colOff>304800</xdr:colOff>
      <xdr:row>3</xdr:row>
      <xdr:rowOff>114300</xdr:rowOff>
    </xdr:to>
    <xdr:sp macro="" textlink="">
      <xdr:nvSpPr>
        <xdr:cNvPr id="478212" name="AutoShape 4" descr="Image result for new images">
          <a:extLst>
            <a:ext uri="{FF2B5EF4-FFF2-40B4-BE49-F238E27FC236}">
              <a16:creationId xmlns:a16="http://schemas.microsoft.com/office/drawing/2014/main" xmlns="" id="{00000000-0008-0000-1D00-0000044C0700}"/>
            </a:ext>
          </a:extLst>
        </xdr:cNvPr>
        <xdr:cNvSpPr>
          <a:spLocks noChangeAspect="1" noChangeArrowheads="1"/>
        </xdr:cNvSpPr>
      </xdr:nvSpPr>
      <xdr:spPr bwMode="auto">
        <a:xfrm>
          <a:off x="9896475" y="38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xdr:from>
      <xdr:col>2</xdr:col>
      <xdr:colOff>160728</xdr:colOff>
      <xdr:row>20</xdr:row>
      <xdr:rowOff>152400</xdr:rowOff>
    </xdr:from>
    <xdr:to>
      <xdr:col>4</xdr:col>
      <xdr:colOff>714375</xdr:colOff>
      <xdr:row>23</xdr:row>
      <xdr:rowOff>57151</xdr:rowOff>
    </xdr:to>
    <xdr:sp macro="" textlink="">
      <xdr:nvSpPr>
        <xdr:cNvPr id="43" name="Snip Diagonal Corner Rectangle 42">
          <a:hlinkClick xmlns:r="http://schemas.openxmlformats.org/officeDocument/2006/relationships" r:id="rId14"/>
          <a:extLst>
            <a:ext uri="{FF2B5EF4-FFF2-40B4-BE49-F238E27FC236}">
              <a16:creationId xmlns:a16="http://schemas.microsoft.com/office/drawing/2014/main" xmlns="" id="{00000000-0008-0000-1D00-00002B000000}"/>
            </a:ext>
          </a:extLst>
        </xdr:cNvPr>
        <xdr:cNvSpPr/>
      </xdr:nvSpPr>
      <xdr:spPr>
        <a:xfrm>
          <a:off x="1008453" y="4095750"/>
          <a:ext cx="1610922" cy="476251"/>
        </a:xfrm>
        <a:prstGeom prst="snip2DiagRect">
          <a:avLst/>
        </a:prstGeom>
        <a:solidFill>
          <a:schemeClr val="accent6">
            <a:lumMod val="75000"/>
          </a:schemeClr>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050" b="1">
              <a:latin typeface="+mj-lt"/>
            </a:rPr>
            <a:t>JEEVAN</a:t>
          </a:r>
          <a:r>
            <a:rPr lang="en-US" sz="1050" b="1" baseline="0">
              <a:latin typeface="+mj-lt"/>
            </a:rPr>
            <a:t> UMANG       </a:t>
          </a:r>
          <a:r>
            <a:rPr lang="en-US" sz="1050" b="1">
              <a:latin typeface="+mj-lt"/>
            </a:rPr>
            <a:t>  </a:t>
          </a:r>
          <a:r>
            <a:rPr lang="en-US" sz="1000" b="1" baseline="0">
              <a:latin typeface="+mj-lt"/>
            </a:rPr>
            <a:t>PLAN NO : 845</a:t>
          </a:r>
          <a:endParaRPr lang="en-US" sz="1000" b="1">
            <a:latin typeface="+mj-lt"/>
          </a:endParaRPr>
        </a:p>
      </xdr:txBody>
    </xdr:sp>
    <xdr:clientData/>
  </xdr:twoCellAnchor>
  <xdr:twoCellAnchor editAs="oneCell">
    <xdr:from>
      <xdr:col>4</xdr:col>
      <xdr:colOff>228601</xdr:colOff>
      <xdr:row>21</xdr:row>
      <xdr:rowOff>28575</xdr:rowOff>
    </xdr:from>
    <xdr:to>
      <xdr:col>4</xdr:col>
      <xdr:colOff>609601</xdr:colOff>
      <xdr:row>23</xdr:row>
      <xdr:rowOff>19050</xdr:rowOff>
    </xdr:to>
    <xdr:pic>
      <xdr:nvPicPr>
        <xdr:cNvPr id="47" name="Picture 46">
          <a:hlinkClick xmlns:r="http://schemas.openxmlformats.org/officeDocument/2006/relationships" r:id="rId15"/>
          <a:extLst>
            <a:ext uri="{FF2B5EF4-FFF2-40B4-BE49-F238E27FC236}">
              <a16:creationId xmlns:a16="http://schemas.microsoft.com/office/drawing/2014/main" xmlns="" id="{00000000-0008-0000-1D00-00002F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xmlns="" val="0"/>
            </a:ext>
          </a:extLst>
        </a:blip>
        <a:srcRect/>
        <a:stretch>
          <a:fillRect/>
        </a:stretch>
      </xdr:blipFill>
      <xdr:spPr bwMode="auto">
        <a:xfrm>
          <a:off x="2133601" y="4162425"/>
          <a:ext cx="381000" cy="3714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15</xdr:col>
      <xdr:colOff>371475</xdr:colOff>
      <xdr:row>0</xdr:row>
      <xdr:rowOff>47625</xdr:rowOff>
    </xdr:from>
    <xdr:to>
      <xdr:col>17</xdr:col>
      <xdr:colOff>190500</xdr:colOff>
      <xdr:row>4</xdr:row>
      <xdr:rowOff>0</xdr:rowOff>
    </xdr:to>
    <xdr:pic>
      <xdr:nvPicPr>
        <xdr:cNvPr id="15" name="Picture 14">
          <a:extLst>
            <a:ext uri="{FF2B5EF4-FFF2-40B4-BE49-F238E27FC236}">
              <a16:creationId xmlns:a16="http://schemas.microsoft.com/office/drawing/2014/main" xmlns="" id="{00000000-0008-0000-1D00-00000F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xmlns="" val="0"/>
            </a:ext>
          </a:extLst>
        </a:blip>
        <a:stretch>
          <a:fillRect/>
        </a:stretch>
      </xdr:blipFill>
      <xdr:spPr>
        <a:xfrm>
          <a:off x="10267950" y="47625"/>
          <a:ext cx="1924050" cy="781050"/>
        </a:xfrm>
        <a:prstGeom prst="rect">
          <a:avLst/>
        </a:prstGeom>
      </xdr:spPr>
    </xdr:pic>
    <xdr:clientData/>
  </xdr:twoCellAnchor>
  <xdr:twoCellAnchor>
    <xdr:from>
      <xdr:col>2</xdr:col>
      <xdr:colOff>180975</xdr:colOff>
      <xdr:row>23</xdr:row>
      <xdr:rowOff>171450</xdr:rowOff>
    </xdr:from>
    <xdr:to>
      <xdr:col>4</xdr:col>
      <xdr:colOff>742950</xdr:colOff>
      <xdr:row>26</xdr:row>
      <xdr:rowOff>76201</xdr:rowOff>
    </xdr:to>
    <xdr:sp macro="" textlink="">
      <xdr:nvSpPr>
        <xdr:cNvPr id="51" name="Snip Diagonal Corner Rectangle 50">
          <a:hlinkClick xmlns:r="http://schemas.openxmlformats.org/officeDocument/2006/relationships" r:id="rId18"/>
          <a:extLst>
            <a:ext uri="{FF2B5EF4-FFF2-40B4-BE49-F238E27FC236}">
              <a16:creationId xmlns:a16="http://schemas.microsoft.com/office/drawing/2014/main" xmlns="" id="{00000000-0008-0000-1D00-000033000000}"/>
            </a:ext>
          </a:extLst>
        </xdr:cNvPr>
        <xdr:cNvSpPr/>
      </xdr:nvSpPr>
      <xdr:spPr>
        <a:xfrm>
          <a:off x="1028700" y="4686300"/>
          <a:ext cx="1619250" cy="476251"/>
        </a:xfrm>
        <a:prstGeom prst="snip2DiagRect">
          <a:avLst/>
        </a:prstGeom>
        <a:solidFill>
          <a:srgbClr val="00B05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050" b="1">
              <a:latin typeface="+mj-lt"/>
            </a:rPr>
            <a:t>JEEVAN</a:t>
          </a:r>
          <a:r>
            <a:rPr lang="en-US" sz="1050" b="1" baseline="0">
              <a:latin typeface="+mj-lt"/>
            </a:rPr>
            <a:t> UTKARSH</a:t>
          </a:r>
          <a:r>
            <a:rPr lang="en-US" sz="1050" b="1">
              <a:latin typeface="+mj-lt"/>
            </a:rPr>
            <a:t> </a:t>
          </a:r>
          <a:r>
            <a:rPr lang="en-US" sz="1050" b="1" baseline="0">
              <a:latin typeface="+mj-lt"/>
            </a:rPr>
            <a:t>            </a:t>
          </a:r>
          <a:r>
            <a:rPr lang="en-US" sz="1000" b="1" baseline="0">
              <a:latin typeface="+mj-lt"/>
            </a:rPr>
            <a:t>PLAN NO : 846</a:t>
          </a:r>
        </a:p>
      </xdr:txBody>
    </xdr:sp>
    <xdr:clientData/>
  </xdr:twoCellAnchor>
  <xdr:twoCellAnchor editAs="oneCell">
    <xdr:from>
      <xdr:col>4</xdr:col>
      <xdr:colOff>352425</xdr:colOff>
      <xdr:row>24</xdr:row>
      <xdr:rowOff>38100</xdr:rowOff>
    </xdr:from>
    <xdr:to>
      <xdr:col>4</xdr:col>
      <xdr:colOff>723900</xdr:colOff>
      <xdr:row>26</xdr:row>
      <xdr:rowOff>47625</xdr:rowOff>
    </xdr:to>
    <xdr:pic>
      <xdr:nvPicPr>
        <xdr:cNvPr id="52" name="Picture 51">
          <a:hlinkClick xmlns:r="http://schemas.openxmlformats.org/officeDocument/2006/relationships" r:id="rId19"/>
          <a:extLst>
            <a:ext uri="{FF2B5EF4-FFF2-40B4-BE49-F238E27FC236}">
              <a16:creationId xmlns:a16="http://schemas.microsoft.com/office/drawing/2014/main" xmlns="" id="{00000000-0008-0000-1D00-000034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xmlns="" val="0"/>
            </a:ext>
          </a:extLst>
        </a:blip>
        <a:srcRect/>
        <a:stretch>
          <a:fillRect/>
        </a:stretch>
      </xdr:blipFill>
      <xdr:spPr bwMode="auto">
        <a:xfrm>
          <a:off x="2257425" y="4743450"/>
          <a:ext cx="371475" cy="3905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200024</xdr:colOff>
      <xdr:row>11</xdr:row>
      <xdr:rowOff>95251</xdr:rowOff>
    </xdr:from>
    <xdr:to>
      <xdr:col>3</xdr:col>
      <xdr:colOff>552449</xdr:colOff>
      <xdr:row>16</xdr:row>
      <xdr:rowOff>142876</xdr:rowOff>
    </xdr:to>
    <xdr:pic>
      <xdr:nvPicPr>
        <xdr:cNvPr id="17" name="Picture 16">
          <a:extLst>
            <a:ext uri="{FF2B5EF4-FFF2-40B4-BE49-F238E27FC236}">
              <a16:creationId xmlns:a16="http://schemas.microsoft.com/office/drawing/2014/main" xmlns="" id="{00000000-0008-0000-1D00-000011000000}"/>
            </a:ext>
          </a:extLst>
        </xdr:cNvPr>
        <xdr:cNvPicPr>
          <a:picLocks noChangeAspect="1"/>
        </xdr:cNvPicPr>
      </xdr:nvPicPr>
      <xdr:blipFill>
        <a:blip xmlns:r="http://schemas.openxmlformats.org/officeDocument/2006/relationships" r:embed="rId20" cstate="print">
          <a:extLst>
            <a:ext uri="{BEBA8EAE-BF5A-486C-A8C5-ECC9F3942E4B}">
              <a14:imgProps xmlns:a14="http://schemas.microsoft.com/office/drawing/2010/main" xmlns="">
                <a14:imgLayer r:embed="">
                  <a14:imgEffect>
                    <a14:backgroundRemoval t="3383" b="100000" l="2062" r="96564"/>
                  </a14:imgEffect>
                </a14:imgLayer>
              </a14:imgProps>
            </a:ext>
            <a:ext uri="{28A0092B-C50C-407E-A947-70E740481C1C}">
              <a14:useLocalDpi xmlns:a14="http://schemas.microsoft.com/office/drawing/2010/main" xmlns="" val="0"/>
            </a:ext>
          </a:extLst>
        </a:blip>
        <a:stretch>
          <a:fillRect/>
        </a:stretch>
      </xdr:blipFill>
      <xdr:spPr>
        <a:xfrm>
          <a:off x="809624" y="2314576"/>
          <a:ext cx="1038225" cy="1009650"/>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5</xdr:col>
      <xdr:colOff>323850</xdr:colOff>
      <xdr:row>0</xdr:row>
      <xdr:rowOff>0</xdr:rowOff>
    </xdr:from>
    <xdr:to>
      <xdr:col>7</xdr:col>
      <xdr:colOff>790575</xdr:colOff>
      <xdr:row>1</xdr:row>
      <xdr:rowOff>161925</xdr:rowOff>
    </xdr:to>
    <xdr:pic>
      <xdr:nvPicPr>
        <xdr:cNvPr id="2" name="Picture 1">
          <a:extLst>
            <a:ext uri="{FF2B5EF4-FFF2-40B4-BE49-F238E27FC236}">
              <a16:creationId xmlns:a16="http://schemas.microsoft.com/office/drawing/2014/main" xmlns="" id="{00000000-0008-0000-1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2695575" y="0"/>
          <a:ext cx="1781175" cy="3619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round/>
              <a:headEnd/>
              <a:tailEnd/>
            </a14:hiddenLine>
          </a:ext>
        </a:extLst>
      </xdr:spPr>
    </xdr:pic>
    <xdr:clientData/>
  </xdr:twoCellAnchor>
  <xdr:twoCellAnchor>
    <xdr:from>
      <xdr:col>4</xdr:col>
      <xdr:colOff>152400</xdr:colOff>
      <xdr:row>1</xdr:row>
      <xdr:rowOff>133350</xdr:rowOff>
    </xdr:from>
    <xdr:to>
      <xdr:col>8</xdr:col>
      <xdr:colOff>752475</xdr:colOff>
      <xdr:row>3</xdr:row>
      <xdr:rowOff>66675</xdr:rowOff>
    </xdr:to>
    <xdr:pic>
      <xdr:nvPicPr>
        <xdr:cNvPr id="3" name="Picture 2">
          <a:extLst>
            <a:ext uri="{FF2B5EF4-FFF2-40B4-BE49-F238E27FC236}">
              <a16:creationId xmlns:a16="http://schemas.microsoft.com/office/drawing/2014/main" xmlns="" id="{00000000-0008-0000-1E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1771650" y="333375"/>
          <a:ext cx="364807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round/>
              <a:headEnd/>
              <a:tailEnd/>
            </a14:hiddenLine>
          </a:ext>
        </a:extLst>
      </xdr:spPr>
    </xdr:pic>
    <xdr:clientData/>
  </xdr:twoCellAnchor>
  <xdr:oneCellAnchor>
    <xdr:from>
      <xdr:col>1</xdr:col>
      <xdr:colOff>190500</xdr:colOff>
      <xdr:row>0</xdr:row>
      <xdr:rowOff>76201</xdr:rowOff>
    </xdr:from>
    <xdr:ext cx="1181100" cy="571500"/>
    <xdr:pic>
      <xdr:nvPicPr>
        <xdr:cNvPr id="4" name="image00.jpg">
          <a:extLst>
            <a:ext uri="{FF2B5EF4-FFF2-40B4-BE49-F238E27FC236}">
              <a16:creationId xmlns:a16="http://schemas.microsoft.com/office/drawing/2014/main" xmlns="" id="{00000000-0008-0000-1E00-000004000000}"/>
            </a:ext>
          </a:extLst>
        </xdr:cNvPr>
        <xdr:cNvPicPr preferRelativeResize="0">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190500" y="76201"/>
          <a:ext cx="1181100" cy="571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fLocksWithSheet="0"/>
  </xdr:oneCellAnchor>
  <xdr:twoCellAnchor>
    <xdr:from>
      <xdr:col>8</xdr:col>
      <xdr:colOff>619125</xdr:colOff>
      <xdr:row>3</xdr:row>
      <xdr:rowOff>66675</xdr:rowOff>
    </xdr:from>
    <xdr:to>
      <xdr:col>11</xdr:col>
      <xdr:colOff>571500</xdr:colOff>
      <xdr:row>7</xdr:row>
      <xdr:rowOff>76200</xdr:rowOff>
    </xdr:to>
    <xdr:sp macro="" textlink="">
      <xdr:nvSpPr>
        <xdr:cNvPr id="5" name="Rounded Rectangle 4">
          <a:extLst>
            <a:ext uri="{FF2B5EF4-FFF2-40B4-BE49-F238E27FC236}">
              <a16:creationId xmlns:a16="http://schemas.microsoft.com/office/drawing/2014/main" xmlns="" id="{00000000-0008-0000-1E00-000005000000}"/>
            </a:ext>
          </a:extLst>
        </xdr:cNvPr>
        <xdr:cNvSpPr/>
      </xdr:nvSpPr>
      <xdr:spPr>
        <a:xfrm>
          <a:off x="5543550" y="552450"/>
          <a:ext cx="2162175" cy="695325"/>
        </a:xfrm>
        <a:prstGeom prst="roundRect">
          <a:avLst/>
        </a:prstGeom>
        <a:noFill/>
        <a:ln w="19050">
          <a:solidFill>
            <a:schemeClr val="bg2">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en-US" sz="1100"/>
        </a:p>
      </xdr:txBody>
    </xdr:sp>
    <xdr:clientData/>
  </xdr:twoCellAnchor>
  <xdr:twoCellAnchor>
    <xdr:from>
      <xdr:col>6</xdr:col>
      <xdr:colOff>38100</xdr:colOff>
      <xdr:row>8</xdr:row>
      <xdr:rowOff>38100</xdr:rowOff>
    </xdr:from>
    <xdr:to>
      <xdr:col>6</xdr:col>
      <xdr:colOff>400050</xdr:colOff>
      <xdr:row>10</xdr:row>
      <xdr:rowOff>38100</xdr:rowOff>
    </xdr:to>
    <xdr:grpSp>
      <xdr:nvGrpSpPr>
        <xdr:cNvPr id="6" name="Group 9">
          <a:extLst>
            <a:ext uri="{FF2B5EF4-FFF2-40B4-BE49-F238E27FC236}">
              <a16:creationId xmlns:a16="http://schemas.microsoft.com/office/drawing/2014/main" xmlns="" id="{00000000-0008-0000-1E00-000006000000}"/>
            </a:ext>
          </a:extLst>
        </xdr:cNvPr>
        <xdr:cNvGrpSpPr>
          <a:grpSpLocks/>
        </xdr:cNvGrpSpPr>
      </xdr:nvGrpSpPr>
      <xdr:grpSpPr bwMode="auto">
        <a:xfrm>
          <a:off x="4048125" y="1333500"/>
          <a:ext cx="361950" cy="400050"/>
          <a:chOff x="105763081" y="105237244"/>
          <a:chExt cx="1752163" cy="1883105"/>
        </a:xfrm>
      </xdr:grpSpPr>
      <xdr:sp macro="" textlink="">
        <xdr:nvSpPr>
          <xdr:cNvPr id="7" name="AutoShape 10">
            <a:extLst>
              <a:ext uri="{FF2B5EF4-FFF2-40B4-BE49-F238E27FC236}">
                <a16:creationId xmlns:a16="http://schemas.microsoft.com/office/drawing/2014/main" xmlns="" id="{00000000-0008-0000-1E00-000007000000}"/>
              </a:ext>
            </a:extLst>
          </xdr:cNvPr>
          <xdr:cNvSpPr>
            <a:spLocks noChangeArrowheads="1" noChangeShapeType="1"/>
          </xdr:cNvSpPr>
        </xdr:nvSpPr>
        <xdr:spPr bwMode="auto">
          <a:xfrm>
            <a:off x="106149832" y="105620165"/>
            <a:ext cx="1365412" cy="1500184"/>
          </a:xfrm>
          <a:custGeom>
            <a:avLst/>
            <a:gdLst>
              <a:gd name="T0" fmla="*/ 2147483646 w 64000"/>
              <a:gd name="T1" fmla="*/ 0 h 64000"/>
              <a:gd name="T2" fmla="*/ 2147483646 w 64000"/>
              <a:gd name="T3" fmla="*/ 2147483646 h 64000"/>
              <a:gd name="T4" fmla="*/ 2147483646 w 64000"/>
              <a:gd name="T5" fmla="*/ 2147483646 h 64000"/>
              <a:gd name="T6" fmla="*/ 2147483646 w 64000"/>
              <a:gd name="T7" fmla="*/ 2147483646 h 64000"/>
              <a:gd name="T8" fmla="*/ 2147483646 w 64000"/>
              <a:gd name="T9" fmla="*/ 2147483646 h 64000"/>
              <a:gd name="T10" fmla="*/ 2147483646 w 64000"/>
              <a:gd name="T11" fmla="*/ 2147483646 h 64000"/>
              <a:gd name="T12" fmla="*/ 2147483646 w 64000"/>
              <a:gd name="T13" fmla="*/ 0 h 64000"/>
              <a:gd name="T14" fmla="*/ 2147483646 w 64000"/>
              <a:gd name="T15" fmla="*/ 0 h 64000"/>
              <a:gd name="T16" fmla="*/ 2147483646 w 64000"/>
              <a:gd name="T17" fmla="*/ 0 h 64000"/>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32147 w 64000"/>
              <a:gd name="T28" fmla="*/ -32000 h 64000"/>
              <a:gd name="T29" fmla="*/ 32147 w 64000"/>
              <a:gd name="T30" fmla="*/ 32000 h 64000"/>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a:noFill/>
          </a:ln>
          <a:extLst>
            <a:ext uri="{91240B29-F687-4F45-9708-019B960494DF}">
              <a14:hiddenLine xmlns:a14="http://schemas.microsoft.com/office/drawing/2010/main" xmlns="" w="9525" algn="ctr">
                <a:solidFill>
                  <a:srgbClr val="000000"/>
                </a:solidFill>
                <a:miter lim="800000"/>
                <a:headEnd/>
                <a:tailEnd/>
              </a14:hiddenLine>
            </a:ext>
          </a:extLst>
        </xdr:spPr>
      </xdr:sp>
      <xdr:sp macro="" textlink="">
        <xdr:nvSpPr>
          <xdr:cNvPr id="8" name="AutoShape 11">
            <a:extLst>
              <a:ext uri="{FF2B5EF4-FFF2-40B4-BE49-F238E27FC236}">
                <a16:creationId xmlns:a16="http://schemas.microsoft.com/office/drawing/2014/main" xmlns="" id="{00000000-0008-0000-1E00-000008000000}"/>
              </a:ext>
            </a:extLst>
          </xdr:cNvPr>
          <xdr:cNvSpPr>
            <a:spLocks noChangeArrowheads="1" noChangeShapeType="1"/>
          </xdr:cNvSpPr>
        </xdr:nvSpPr>
        <xdr:spPr bwMode="auto">
          <a:xfrm>
            <a:off x="105763081" y="105237244"/>
            <a:ext cx="1581407" cy="1737497"/>
          </a:xfrm>
          <a:custGeom>
            <a:avLst/>
            <a:gdLst>
              <a:gd name="T0" fmla="*/ 2147483646 w 64000"/>
              <a:gd name="T1" fmla="*/ 2147483646 h 64000"/>
              <a:gd name="T2" fmla="*/ 2147483646 w 64000"/>
              <a:gd name="T3" fmla="*/ 2147483646 h 64000"/>
              <a:gd name="T4" fmla="*/ 2147483646 w 64000"/>
              <a:gd name="T5" fmla="*/ 2147483646 h 64000"/>
              <a:gd name="T6" fmla="*/ 2147483646 w 64000"/>
              <a:gd name="T7" fmla="*/ 2147483646 h 64000"/>
              <a:gd name="T8" fmla="*/ 2147483646 w 64000"/>
              <a:gd name="T9" fmla="*/ 2147483646 h 64000"/>
              <a:gd name="T10" fmla="*/ 2147483646 w 64000"/>
              <a:gd name="T11" fmla="*/ 2147483646 h 64000"/>
              <a:gd name="T12" fmla="*/ 2147483646 w 64000"/>
              <a:gd name="T13" fmla="*/ 2147483646 h 64000"/>
              <a:gd name="T14" fmla="*/ 2147483646 w 64000"/>
              <a:gd name="T15" fmla="*/ 2147483646 h 64000"/>
              <a:gd name="T16" fmla="*/ 2147483646 w 64000"/>
              <a:gd name="T17" fmla="*/ 2147483646 h 64000"/>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43370 w 64000"/>
              <a:gd name="T28" fmla="*/ -29912 h 64000"/>
              <a:gd name="T29" fmla="*/ 43370 w 64000"/>
              <a:gd name="T30" fmla="*/ 29912 h 64000"/>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a:noFill/>
          </a:ln>
          <a:extLst>
            <a:ext uri="{91240B29-F687-4F45-9708-019B960494DF}">
              <a14:hiddenLine xmlns:a14="http://schemas.microsoft.com/office/drawing/2010/main" xmlns="" w="9525" algn="ctr">
                <a:solidFill>
                  <a:srgbClr val="000000"/>
                </a:solidFill>
                <a:miter lim="800000"/>
                <a:headEnd/>
                <a:tailEnd/>
              </a14:hiddenLine>
            </a:ext>
          </a:extLst>
        </xdr:spPr>
      </xdr:sp>
    </xdr:grpSp>
    <xdr:clientData/>
  </xdr:twoCellAnchor>
  <xdr:twoCellAnchor>
    <xdr:from>
      <xdr:col>2</xdr:col>
      <xdr:colOff>104774</xdr:colOff>
      <xdr:row>8</xdr:row>
      <xdr:rowOff>28575</xdr:rowOff>
    </xdr:from>
    <xdr:to>
      <xdr:col>3</xdr:col>
      <xdr:colOff>228599</xdr:colOff>
      <xdr:row>10</xdr:row>
      <xdr:rowOff>38100</xdr:rowOff>
    </xdr:to>
    <xdr:grpSp>
      <xdr:nvGrpSpPr>
        <xdr:cNvPr id="9" name="Group 8">
          <a:extLst>
            <a:ext uri="{FF2B5EF4-FFF2-40B4-BE49-F238E27FC236}">
              <a16:creationId xmlns:a16="http://schemas.microsoft.com/office/drawing/2014/main" xmlns="" id="{00000000-0008-0000-1E00-000009000000}"/>
            </a:ext>
          </a:extLst>
        </xdr:cNvPr>
        <xdr:cNvGrpSpPr>
          <a:grpSpLocks/>
        </xdr:cNvGrpSpPr>
      </xdr:nvGrpSpPr>
      <xdr:grpSpPr bwMode="auto">
        <a:xfrm flipH="1">
          <a:off x="1047749" y="1323975"/>
          <a:ext cx="361950" cy="409575"/>
          <a:chOff x="105763081" y="105237244"/>
          <a:chExt cx="1752163" cy="1883105"/>
        </a:xfrm>
      </xdr:grpSpPr>
      <xdr:sp macro="" textlink="">
        <xdr:nvSpPr>
          <xdr:cNvPr id="10" name="AutoShape 10">
            <a:extLst>
              <a:ext uri="{FF2B5EF4-FFF2-40B4-BE49-F238E27FC236}">
                <a16:creationId xmlns:a16="http://schemas.microsoft.com/office/drawing/2014/main" xmlns="" id="{00000000-0008-0000-1E00-00000A000000}"/>
              </a:ext>
            </a:extLst>
          </xdr:cNvPr>
          <xdr:cNvSpPr>
            <a:spLocks noChangeArrowheads="1" noChangeShapeType="1"/>
          </xdr:cNvSpPr>
        </xdr:nvSpPr>
        <xdr:spPr bwMode="auto">
          <a:xfrm>
            <a:off x="106149832" y="105620165"/>
            <a:ext cx="1365412" cy="1500184"/>
          </a:xfrm>
          <a:custGeom>
            <a:avLst/>
            <a:gdLst>
              <a:gd name="T0" fmla="*/ 2147483646 w 64000"/>
              <a:gd name="T1" fmla="*/ 0 h 64000"/>
              <a:gd name="T2" fmla="*/ 2147483646 w 64000"/>
              <a:gd name="T3" fmla="*/ 2147483646 h 64000"/>
              <a:gd name="T4" fmla="*/ 2147483646 w 64000"/>
              <a:gd name="T5" fmla="*/ 2147483646 h 64000"/>
              <a:gd name="T6" fmla="*/ 2147483646 w 64000"/>
              <a:gd name="T7" fmla="*/ 2147483646 h 64000"/>
              <a:gd name="T8" fmla="*/ 2147483646 w 64000"/>
              <a:gd name="T9" fmla="*/ 2147483646 h 64000"/>
              <a:gd name="T10" fmla="*/ 2147483646 w 64000"/>
              <a:gd name="T11" fmla="*/ 2147483646 h 64000"/>
              <a:gd name="T12" fmla="*/ 2147483646 w 64000"/>
              <a:gd name="T13" fmla="*/ 0 h 64000"/>
              <a:gd name="T14" fmla="*/ 2147483646 w 64000"/>
              <a:gd name="T15" fmla="*/ 0 h 64000"/>
              <a:gd name="T16" fmla="*/ 2147483646 w 64000"/>
              <a:gd name="T17" fmla="*/ 0 h 64000"/>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32147 w 64000"/>
              <a:gd name="T28" fmla="*/ -32000 h 64000"/>
              <a:gd name="T29" fmla="*/ 32147 w 64000"/>
              <a:gd name="T30" fmla="*/ 32000 h 64000"/>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64000" h="64000">
                <a:moveTo>
                  <a:pt x="32147" y="0"/>
                </a:moveTo>
                <a:cubicBezTo>
                  <a:pt x="49762" y="81"/>
                  <a:pt x="64000" y="14384"/>
                  <a:pt x="64000" y="32000"/>
                </a:cubicBezTo>
                <a:cubicBezTo>
                  <a:pt x="64000" y="49615"/>
                  <a:pt x="49762" y="63918"/>
                  <a:pt x="32147" y="63999"/>
                </a:cubicBezTo>
                <a:cubicBezTo>
                  <a:pt x="32147" y="63999"/>
                  <a:pt x="32146" y="63999"/>
                  <a:pt x="32146" y="63999"/>
                </a:cubicBezTo>
                <a:lnTo>
                  <a:pt x="32147" y="64000"/>
                </a:lnTo>
                <a:lnTo>
                  <a:pt x="32147" y="0"/>
                </a:lnTo>
                <a:lnTo>
                  <a:pt x="32146" y="0"/>
                </a:lnTo>
                <a:cubicBezTo>
                  <a:pt x="32146" y="0"/>
                  <a:pt x="32147" y="0"/>
                  <a:pt x="32147" y="0"/>
                </a:cubicBezTo>
                <a:close/>
              </a:path>
            </a:pathLst>
          </a:custGeom>
          <a:solidFill>
            <a:srgbClr val="99CCCC"/>
          </a:solidFill>
          <a:ln>
            <a:noFill/>
          </a:ln>
          <a:extLst>
            <a:ext uri="{91240B29-F687-4F45-9708-019B960494DF}">
              <a14:hiddenLine xmlns:a14="http://schemas.microsoft.com/office/drawing/2010/main" xmlns="" w="9525" algn="ctr">
                <a:solidFill>
                  <a:srgbClr val="000000"/>
                </a:solidFill>
                <a:miter lim="800000"/>
                <a:headEnd/>
                <a:tailEnd/>
              </a14:hiddenLine>
            </a:ext>
          </a:extLst>
        </xdr:spPr>
      </xdr:sp>
      <xdr:sp macro="" textlink="">
        <xdr:nvSpPr>
          <xdr:cNvPr id="11" name="AutoShape 11">
            <a:extLst>
              <a:ext uri="{FF2B5EF4-FFF2-40B4-BE49-F238E27FC236}">
                <a16:creationId xmlns:a16="http://schemas.microsoft.com/office/drawing/2014/main" xmlns="" id="{00000000-0008-0000-1E00-00000B000000}"/>
              </a:ext>
            </a:extLst>
          </xdr:cNvPr>
          <xdr:cNvSpPr>
            <a:spLocks noChangeArrowheads="1" noChangeShapeType="1"/>
          </xdr:cNvSpPr>
        </xdr:nvSpPr>
        <xdr:spPr bwMode="auto">
          <a:xfrm>
            <a:off x="105763081" y="105237244"/>
            <a:ext cx="1581407" cy="1737497"/>
          </a:xfrm>
          <a:custGeom>
            <a:avLst/>
            <a:gdLst>
              <a:gd name="T0" fmla="*/ 2147483646 w 64000"/>
              <a:gd name="T1" fmla="*/ 2147483646 h 64000"/>
              <a:gd name="T2" fmla="*/ 2147483646 w 64000"/>
              <a:gd name="T3" fmla="*/ 2147483646 h 64000"/>
              <a:gd name="T4" fmla="*/ 2147483646 w 64000"/>
              <a:gd name="T5" fmla="*/ 2147483646 h 64000"/>
              <a:gd name="T6" fmla="*/ 2147483646 w 64000"/>
              <a:gd name="T7" fmla="*/ 2147483646 h 64000"/>
              <a:gd name="T8" fmla="*/ 2147483646 w 64000"/>
              <a:gd name="T9" fmla="*/ 2147483646 h 64000"/>
              <a:gd name="T10" fmla="*/ 2147483646 w 64000"/>
              <a:gd name="T11" fmla="*/ 2147483646 h 64000"/>
              <a:gd name="T12" fmla="*/ 2147483646 w 64000"/>
              <a:gd name="T13" fmla="*/ 2147483646 h 64000"/>
              <a:gd name="T14" fmla="*/ 2147483646 w 64000"/>
              <a:gd name="T15" fmla="*/ 2147483646 h 64000"/>
              <a:gd name="T16" fmla="*/ 2147483646 w 64000"/>
              <a:gd name="T17" fmla="*/ 2147483646 h 64000"/>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43370 w 64000"/>
              <a:gd name="T28" fmla="*/ -29912 h 64000"/>
              <a:gd name="T29" fmla="*/ 43370 w 64000"/>
              <a:gd name="T30" fmla="*/ 29912 h 64000"/>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64000" h="64000">
                <a:moveTo>
                  <a:pt x="43370" y="2088"/>
                </a:moveTo>
                <a:cubicBezTo>
                  <a:pt x="55789" y="6809"/>
                  <a:pt x="64000" y="18713"/>
                  <a:pt x="64000" y="32000"/>
                </a:cubicBezTo>
                <a:cubicBezTo>
                  <a:pt x="64000" y="45286"/>
                  <a:pt x="55789" y="57190"/>
                  <a:pt x="43370" y="61911"/>
                </a:cubicBezTo>
                <a:cubicBezTo>
                  <a:pt x="43370" y="61911"/>
                  <a:pt x="43370" y="61911"/>
                  <a:pt x="43369" y="61911"/>
                </a:cubicBezTo>
                <a:lnTo>
                  <a:pt x="43370" y="61912"/>
                </a:lnTo>
                <a:lnTo>
                  <a:pt x="43370" y="2088"/>
                </a:lnTo>
                <a:lnTo>
                  <a:pt x="43369" y="2088"/>
                </a:lnTo>
                <a:cubicBezTo>
                  <a:pt x="43370" y="2088"/>
                  <a:pt x="43370" y="2088"/>
                  <a:pt x="43370" y="2088"/>
                </a:cubicBezTo>
                <a:close/>
              </a:path>
            </a:pathLst>
          </a:custGeom>
          <a:solidFill>
            <a:srgbClr val="336666"/>
          </a:solidFill>
          <a:ln>
            <a:noFill/>
          </a:ln>
          <a:extLst>
            <a:ext uri="{91240B29-F687-4F45-9708-019B960494DF}">
              <a14:hiddenLine xmlns:a14="http://schemas.microsoft.com/office/drawing/2010/main" xmlns="" w="9525" algn="ctr">
                <a:solidFill>
                  <a:srgbClr val="000000"/>
                </a:solidFill>
                <a:miter lim="800000"/>
                <a:headEnd/>
                <a:tailEnd/>
              </a14:hiddenLine>
            </a:ext>
          </a:extLst>
        </xdr:spPr>
      </xdr:sp>
    </xdr:grpSp>
    <xdr:clientData/>
  </xdr:twoCellAnchor>
  <xdr:twoCellAnchor>
    <xdr:from>
      <xdr:col>1</xdr:col>
      <xdr:colOff>381000</xdr:colOff>
      <xdr:row>4</xdr:row>
      <xdr:rowOff>152400</xdr:rowOff>
    </xdr:from>
    <xdr:to>
      <xdr:col>7</xdr:col>
      <xdr:colOff>47625</xdr:colOff>
      <xdr:row>10</xdr:row>
      <xdr:rowOff>66676</xdr:rowOff>
    </xdr:to>
    <xdr:sp macro="" textlink="">
      <xdr:nvSpPr>
        <xdr:cNvPr id="12" name="Rounded Rectangle 11">
          <a:extLst>
            <a:ext uri="{FF2B5EF4-FFF2-40B4-BE49-F238E27FC236}">
              <a16:creationId xmlns:a16="http://schemas.microsoft.com/office/drawing/2014/main" xmlns="" id="{00000000-0008-0000-1E00-00000C000000}"/>
            </a:ext>
          </a:extLst>
        </xdr:cNvPr>
        <xdr:cNvSpPr/>
      </xdr:nvSpPr>
      <xdr:spPr>
        <a:xfrm>
          <a:off x="381000" y="723900"/>
          <a:ext cx="3752850" cy="1038226"/>
        </a:xfrm>
        <a:prstGeom prst="roundRect">
          <a:avLst/>
        </a:prstGeom>
        <a:noFill/>
        <a:ln w="28575"/>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endParaRPr lang="en-US" sz="1100"/>
        </a:p>
      </xdr:txBody>
    </xdr:sp>
    <xdr:clientData/>
  </xdr:twoCellAnchor>
  <xdr:oneCellAnchor>
    <xdr:from>
      <xdr:col>5</xdr:col>
      <xdr:colOff>342901</xdr:colOff>
      <xdr:row>11</xdr:row>
      <xdr:rowOff>9525</xdr:rowOff>
    </xdr:from>
    <xdr:ext cx="504824" cy="390525"/>
    <xdr:pic>
      <xdr:nvPicPr>
        <xdr:cNvPr id="13" name="Picture 1" descr="Large View">
          <a:extLst>
            <a:ext uri="{FF2B5EF4-FFF2-40B4-BE49-F238E27FC236}">
              <a16:creationId xmlns:a16="http://schemas.microsoft.com/office/drawing/2014/main" xmlns="" id="{00000000-0008-0000-1E00-00000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3429001" y="1943100"/>
          <a:ext cx="504824" cy="3905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oneCellAnchor>
  <xdr:twoCellAnchor>
    <xdr:from>
      <xdr:col>14</xdr:col>
      <xdr:colOff>57150</xdr:colOff>
      <xdr:row>1</xdr:row>
      <xdr:rowOff>0</xdr:rowOff>
    </xdr:from>
    <xdr:to>
      <xdr:col>15</xdr:col>
      <xdr:colOff>419100</xdr:colOff>
      <xdr:row>5</xdr:row>
      <xdr:rowOff>57150</xdr:rowOff>
    </xdr:to>
    <xdr:sp macro="" textlink="">
      <xdr:nvSpPr>
        <xdr:cNvPr id="14" name="Left Arrow 13">
          <a:extLst>
            <a:ext uri="{FF2B5EF4-FFF2-40B4-BE49-F238E27FC236}">
              <a16:creationId xmlns:a16="http://schemas.microsoft.com/office/drawing/2014/main" xmlns="" id="{00000000-0008-0000-1E00-00000E000000}"/>
            </a:ext>
          </a:extLst>
        </xdr:cNvPr>
        <xdr:cNvSpPr/>
      </xdr:nvSpPr>
      <xdr:spPr>
        <a:xfrm>
          <a:off x="8763000" y="200025"/>
          <a:ext cx="1352550" cy="857250"/>
        </a:xfrm>
        <a:prstGeom prst="leftArrow">
          <a:avLst/>
        </a:prstGeom>
      </xdr:spPr>
      <xdr:style>
        <a:lnRef idx="3">
          <a:schemeClr val="lt1"/>
        </a:lnRef>
        <a:fillRef idx="1">
          <a:schemeClr val="accent6"/>
        </a:fillRef>
        <a:effectRef idx="1">
          <a:schemeClr val="accent6"/>
        </a:effectRef>
        <a:fontRef idx="minor">
          <a:schemeClr val="lt1"/>
        </a:fontRef>
      </xdr:style>
      <xdr:txBody>
        <a:bodyPr vertOverflow="clip" rtlCol="0" anchor="ctr"/>
        <a:lstStyle/>
        <a:p>
          <a:pPr algn="ctr"/>
          <a:r>
            <a:rPr lang="en-US" sz="1400" b="1"/>
            <a:t>PRINT   AREA</a:t>
          </a:r>
        </a:p>
      </xdr:txBody>
    </xdr:sp>
    <xdr:clientData/>
  </xdr:twoCellAnchor>
  <xdr:oneCellAnchor>
    <xdr:from>
      <xdr:col>8</xdr:col>
      <xdr:colOff>704850</xdr:colOff>
      <xdr:row>11</xdr:row>
      <xdr:rowOff>9525</xdr:rowOff>
    </xdr:from>
    <xdr:ext cx="561975" cy="390525"/>
    <xdr:pic>
      <xdr:nvPicPr>
        <xdr:cNvPr id="16" name="Picture 1" descr="Large View">
          <a:extLst>
            <a:ext uri="{FF2B5EF4-FFF2-40B4-BE49-F238E27FC236}">
              <a16:creationId xmlns:a16="http://schemas.microsoft.com/office/drawing/2014/main" xmlns="" id="{00000000-0008-0000-1E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xmlns="" val="0"/>
            </a:ext>
          </a:extLst>
        </a:blip>
        <a:srcRect/>
        <a:stretch>
          <a:fillRect/>
        </a:stretch>
      </xdr:blipFill>
      <xdr:spPr bwMode="auto">
        <a:xfrm>
          <a:off x="5629275" y="1943100"/>
          <a:ext cx="561975" cy="3905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oneCellAnchor>
  <xdr:oneCellAnchor>
    <xdr:from>
      <xdr:col>14</xdr:col>
      <xdr:colOff>28575</xdr:colOff>
      <xdr:row>8</xdr:row>
      <xdr:rowOff>85725</xdr:rowOff>
    </xdr:from>
    <xdr:ext cx="361950" cy="285750"/>
    <xdr:pic>
      <xdr:nvPicPr>
        <xdr:cNvPr id="17" name="Picture 2">
          <a:hlinkClick xmlns:r="http://schemas.openxmlformats.org/officeDocument/2006/relationships" r:id="rId6"/>
          <a:extLst>
            <a:ext uri="{FF2B5EF4-FFF2-40B4-BE49-F238E27FC236}">
              <a16:creationId xmlns:a16="http://schemas.microsoft.com/office/drawing/2014/main" xmlns="" id="{00000000-0008-0000-1E00-000011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8734425" y="1685925"/>
          <a:ext cx="361950" cy="2857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oneCellAnchor>
  <xdr:twoCellAnchor>
    <xdr:from>
      <xdr:col>6</xdr:col>
      <xdr:colOff>476250</xdr:colOff>
      <xdr:row>6</xdr:row>
      <xdr:rowOff>19050</xdr:rowOff>
    </xdr:from>
    <xdr:to>
      <xdr:col>6</xdr:col>
      <xdr:colOff>676275</xdr:colOff>
      <xdr:row>7</xdr:row>
      <xdr:rowOff>9525</xdr:rowOff>
    </xdr:to>
    <xdr:sp macro="" textlink="">
      <xdr:nvSpPr>
        <xdr:cNvPr id="18" name="Smiley Face 17">
          <a:extLst>
            <a:ext uri="{FF2B5EF4-FFF2-40B4-BE49-F238E27FC236}">
              <a16:creationId xmlns:a16="http://schemas.microsoft.com/office/drawing/2014/main" xmlns="" id="{00000000-0008-0000-1E00-000012000000}"/>
            </a:ext>
          </a:extLst>
        </xdr:cNvPr>
        <xdr:cNvSpPr/>
      </xdr:nvSpPr>
      <xdr:spPr>
        <a:xfrm>
          <a:off x="3686175" y="1219200"/>
          <a:ext cx="0" cy="190500"/>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2</xdr:col>
      <xdr:colOff>104775</xdr:colOff>
      <xdr:row>5</xdr:row>
      <xdr:rowOff>180975</xdr:rowOff>
    </xdr:from>
    <xdr:to>
      <xdr:col>2</xdr:col>
      <xdr:colOff>304800</xdr:colOff>
      <xdr:row>6</xdr:row>
      <xdr:rowOff>171450</xdr:rowOff>
    </xdr:to>
    <xdr:sp macro="" textlink="">
      <xdr:nvSpPr>
        <xdr:cNvPr id="19" name="Smiley Face 18">
          <a:extLst>
            <a:ext uri="{FF2B5EF4-FFF2-40B4-BE49-F238E27FC236}">
              <a16:creationId xmlns:a16="http://schemas.microsoft.com/office/drawing/2014/main" xmlns="" id="{00000000-0008-0000-1E00-000013000000}"/>
            </a:ext>
          </a:extLst>
        </xdr:cNvPr>
        <xdr:cNvSpPr/>
      </xdr:nvSpPr>
      <xdr:spPr>
        <a:xfrm>
          <a:off x="514350" y="952500"/>
          <a:ext cx="200025" cy="190500"/>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xdr:from>
      <xdr:col>5</xdr:col>
      <xdr:colOff>457200</xdr:colOff>
      <xdr:row>46</xdr:row>
      <xdr:rowOff>66675</xdr:rowOff>
    </xdr:from>
    <xdr:to>
      <xdr:col>5</xdr:col>
      <xdr:colOff>714375</xdr:colOff>
      <xdr:row>52</xdr:row>
      <xdr:rowOff>9525</xdr:rowOff>
    </xdr:to>
    <xdr:grpSp>
      <xdr:nvGrpSpPr>
        <xdr:cNvPr id="20" name="Group 38">
          <a:extLst>
            <a:ext uri="{FF2B5EF4-FFF2-40B4-BE49-F238E27FC236}">
              <a16:creationId xmlns:a16="http://schemas.microsoft.com/office/drawing/2014/main" xmlns="" id="{00000000-0008-0000-1E00-000014000000}"/>
            </a:ext>
          </a:extLst>
        </xdr:cNvPr>
        <xdr:cNvGrpSpPr>
          <a:grpSpLocks/>
        </xdr:cNvGrpSpPr>
      </xdr:nvGrpSpPr>
      <xdr:grpSpPr bwMode="auto">
        <a:xfrm>
          <a:off x="3543300" y="9163050"/>
          <a:ext cx="257175" cy="1143000"/>
          <a:chOff x="112842675" y="108899325"/>
          <a:chExt cx="762763" cy="1285875"/>
        </a:xfrm>
      </xdr:grpSpPr>
      <xdr:sp macro="" textlink="">
        <xdr:nvSpPr>
          <xdr:cNvPr id="21" name="Oval 39">
            <a:extLst>
              <a:ext uri="{FF2B5EF4-FFF2-40B4-BE49-F238E27FC236}">
                <a16:creationId xmlns:a16="http://schemas.microsoft.com/office/drawing/2014/main" xmlns="" id="{00000000-0008-0000-1E00-000015000000}"/>
              </a:ext>
            </a:extLst>
          </xdr:cNvPr>
          <xdr:cNvSpPr>
            <a:spLocks noChangeArrowheads="1" noChangeShapeType="1"/>
          </xdr:cNvSpPr>
        </xdr:nvSpPr>
        <xdr:spPr bwMode="auto">
          <a:xfrm>
            <a:off x="112842675" y="108899325"/>
            <a:ext cx="114492" cy="117980"/>
          </a:xfrm>
          <a:prstGeom prst="ellipse">
            <a:avLst/>
          </a:prstGeom>
          <a:solidFill>
            <a:srgbClr val="330066"/>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22" name="Oval 40">
            <a:extLst>
              <a:ext uri="{FF2B5EF4-FFF2-40B4-BE49-F238E27FC236}">
                <a16:creationId xmlns:a16="http://schemas.microsoft.com/office/drawing/2014/main" xmlns="" id="{00000000-0008-0000-1E00-000016000000}"/>
              </a:ext>
            </a:extLst>
          </xdr:cNvPr>
          <xdr:cNvSpPr>
            <a:spLocks noChangeArrowheads="1" noChangeShapeType="1"/>
          </xdr:cNvSpPr>
        </xdr:nvSpPr>
        <xdr:spPr bwMode="auto">
          <a:xfrm>
            <a:off x="112842675" y="109065136"/>
            <a:ext cx="114492" cy="117987"/>
          </a:xfrm>
          <a:prstGeom prst="ellipse">
            <a:avLst/>
          </a:prstGeom>
          <a:solidFill>
            <a:srgbClr val="330066"/>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23" name="Oval 41">
            <a:extLst>
              <a:ext uri="{FF2B5EF4-FFF2-40B4-BE49-F238E27FC236}">
                <a16:creationId xmlns:a16="http://schemas.microsoft.com/office/drawing/2014/main" xmlns="" id="{00000000-0008-0000-1E00-000017000000}"/>
              </a:ext>
            </a:extLst>
          </xdr:cNvPr>
          <xdr:cNvSpPr>
            <a:spLocks noChangeArrowheads="1" noChangeShapeType="1"/>
          </xdr:cNvSpPr>
        </xdr:nvSpPr>
        <xdr:spPr bwMode="auto">
          <a:xfrm>
            <a:off x="112842675" y="109232138"/>
            <a:ext cx="114492" cy="117990"/>
          </a:xfrm>
          <a:prstGeom prst="ellipse">
            <a:avLst/>
          </a:prstGeom>
          <a:solidFill>
            <a:srgbClr val="330066"/>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24" name="Oval 42">
            <a:extLst>
              <a:ext uri="{FF2B5EF4-FFF2-40B4-BE49-F238E27FC236}">
                <a16:creationId xmlns:a16="http://schemas.microsoft.com/office/drawing/2014/main" xmlns="" id="{00000000-0008-0000-1E00-000018000000}"/>
              </a:ext>
            </a:extLst>
          </xdr:cNvPr>
          <xdr:cNvSpPr>
            <a:spLocks noChangeArrowheads="1" noChangeShapeType="1"/>
          </xdr:cNvSpPr>
        </xdr:nvSpPr>
        <xdr:spPr bwMode="auto">
          <a:xfrm>
            <a:off x="112842675" y="109399140"/>
            <a:ext cx="114492" cy="117988"/>
          </a:xfrm>
          <a:prstGeom prst="ellipse">
            <a:avLst/>
          </a:prstGeom>
          <a:solidFill>
            <a:srgbClr val="330066"/>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25" name="Oval 43">
            <a:extLst>
              <a:ext uri="{FF2B5EF4-FFF2-40B4-BE49-F238E27FC236}">
                <a16:creationId xmlns:a16="http://schemas.microsoft.com/office/drawing/2014/main" xmlns="" id="{00000000-0008-0000-1E00-000019000000}"/>
              </a:ext>
            </a:extLst>
          </xdr:cNvPr>
          <xdr:cNvSpPr>
            <a:spLocks noChangeArrowheads="1" noChangeShapeType="1"/>
          </xdr:cNvSpPr>
        </xdr:nvSpPr>
        <xdr:spPr bwMode="auto">
          <a:xfrm>
            <a:off x="112842675" y="109566142"/>
            <a:ext cx="114492" cy="117991"/>
          </a:xfrm>
          <a:prstGeom prst="ellipse">
            <a:avLst/>
          </a:prstGeom>
          <a:solidFill>
            <a:srgbClr val="669999"/>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26" name="Oval 44">
            <a:extLst>
              <a:ext uri="{FF2B5EF4-FFF2-40B4-BE49-F238E27FC236}">
                <a16:creationId xmlns:a16="http://schemas.microsoft.com/office/drawing/2014/main" xmlns="" id="{00000000-0008-0000-1E00-00001A000000}"/>
              </a:ext>
            </a:extLst>
          </xdr:cNvPr>
          <xdr:cNvSpPr>
            <a:spLocks noChangeArrowheads="1" noChangeShapeType="1"/>
          </xdr:cNvSpPr>
        </xdr:nvSpPr>
        <xdr:spPr bwMode="auto">
          <a:xfrm>
            <a:off x="112842675" y="109734801"/>
            <a:ext cx="114492" cy="117987"/>
          </a:xfrm>
          <a:prstGeom prst="ellipse">
            <a:avLst/>
          </a:prstGeom>
          <a:solidFill>
            <a:srgbClr val="669999"/>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27" name="Oval 45">
            <a:extLst>
              <a:ext uri="{FF2B5EF4-FFF2-40B4-BE49-F238E27FC236}">
                <a16:creationId xmlns:a16="http://schemas.microsoft.com/office/drawing/2014/main" xmlns="" id="{00000000-0008-0000-1E00-00001B000000}"/>
              </a:ext>
            </a:extLst>
          </xdr:cNvPr>
          <xdr:cNvSpPr>
            <a:spLocks noChangeArrowheads="1" noChangeShapeType="1"/>
          </xdr:cNvSpPr>
        </xdr:nvSpPr>
        <xdr:spPr bwMode="auto">
          <a:xfrm>
            <a:off x="112842675" y="109900147"/>
            <a:ext cx="114492" cy="117986"/>
          </a:xfrm>
          <a:prstGeom prst="ellipse">
            <a:avLst/>
          </a:prstGeom>
          <a:solidFill>
            <a:srgbClr val="CCCC00"/>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28" name="Oval 46">
            <a:extLst>
              <a:ext uri="{FF2B5EF4-FFF2-40B4-BE49-F238E27FC236}">
                <a16:creationId xmlns:a16="http://schemas.microsoft.com/office/drawing/2014/main" xmlns="" id="{00000000-0008-0000-1E00-00001C000000}"/>
              </a:ext>
            </a:extLst>
          </xdr:cNvPr>
          <xdr:cNvSpPr>
            <a:spLocks noChangeArrowheads="1" noChangeShapeType="1"/>
          </xdr:cNvSpPr>
        </xdr:nvSpPr>
        <xdr:spPr bwMode="auto">
          <a:xfrm>
            <a:off x="113004730" y="108899325"/>
            <a:ext cx="114501" cy="117980"/>
          </a:xfrm>
          <a:prstGeom prst="ellipse">
            <a:avLst/>
          </a:prstGeom>
          <a:solidFill>
            <a:srgbClr val="330066"/>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29" name="Oval 47">
            <a:extLst>
              <a:ext uri="{FF2B5EF4-FFF2-40B4-BE49-F238E27FC236}">
                <a16:creationId xmlns:a16="http://schemas.microsoft.com/office/drawing/2014/main" xmlns="" id="{00000000-0008-0000-1E00-00001D000000}"/>
              </a:ext>
            </a:extLst>
          </xdr:cNvPr>
          <xdr:cNvSpPr>
            <a:spLocks noChangeArrowheads="1" noChangeShapeType="1"/>
          </xdr:cNvSpPr>
        </xdr:nvSpPr>
        <xdr:spPr bwMode="auto">
          <a:xfrm>
            <a:off x="113004730" y="109232138"/>
            <a:ext cx="114501" cy="117990"/>
          </a:xfrm>
          <a:prstGeom prst="ellipse">
            <a:avLst/>
          </a:prstGeom>
          <a:solidFill>
            <a:srgbClr val="330066"/>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0" name="Oval 48">
            <a:extLst>
              <a:ext uri="{FF2B5EF4-FFF2-40B4-BE49-F238E27FC236}">
                <a16:creationId xmlns:a16="http://schemas.microsoft.com/office/drawing/2014/main" xmlns="" id="{00000000-0008-0000-1E00-00001E000000}"/>
              </a:ext>
            </a:extLst>
          </xdr:cNvPr>
          <xdr:cNvSpPr>
            <a:spLocks noChangeArrowheads="1" noChangeShapeType="1"/>
          </xdr:cNvSpPr>
        </xdr:nvSpPr>
        <xdr:spPr bwMode="auto">
          <a:xfrm>
            <a:off x="113004730" y="109399140"/>
            <a:ext cx="114501" cy="117988"/>
          </a:xfrm>
          <a:prstGeom prst="ellipse">
            <a:avLst/>
          </a:prstGeom>
          <a:solidFill>
            <a:srgbClr val="669999"/>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1" name="Oval 49">
            <a:extLst>
              <a:ext uri="{FF2B5EF4-FFF2-40B4-BE49-F238E27FC236}">
                <a16:creationId xmlns:a16="http://schemas.microsoft.com/office/drawing/2014/main" xmlns="" id="{00000000-0008-0000-1E00-00001F000000}"/>
              </a:ext>
            </a:extLst>
          </xdr:cNvPr>
          <xdr:cNvSpPr>
            <a:spLocks noChangeArrowheads="1" noChangeShapeType="1"/>
          </xdr:cNvSpPr>
        </xdr:nvSpPr>
        <xdr:spPr bwMode="auto">
          <a:xfrm>
            <a:off x="113004730" y="109566142"/>
            <a:ext cx="114501" cy="117991"/>
          </a:xfrm>
          <a:prstGeom prst="ellipse">
            <a:avLst/>
          </a:prstGeom>
          <a:solidFill>
            <a:srgbClr val="669999"/>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2" name="Oval 50">
            <a:extLst>
              <a:ext uri="{FF2B5EF4-FFF2-40B4-BE49-F238E27FC236}">
                <a16:creationId xmlns:a16="http://schemas.microsoft.com/office/drawing/2014/main" xmlns="" id="{00000000-0008-0000-1E00-000020000000}"/>
              </a:ext>
            </a:extLst>
          </xdr:cNvPr>
          <xdr:cNvSpPr>
            <a:spLocks noChangeArrowheads="1" noChangeShapeType="1"/>
          </xdr:cNvSpPr>
        </xdr:nvSpPr>
        <xdr:spPr bwMode="auto">
          <a:xfrm>
            <a:off x="113004730" y="109734801"/>
            <a:ext cx="114501" cy="117987"/>
          </a:xfrm>
          <a:prstGeom prst="ellipse">
            <a:avLst/>
          </a:prstGeom>
          <a:solidFill>
            <a:srgbClr val="CCCC00"/>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3" name="Oval 51">
            <a:extLst>
              <a:ext uri="{FF2B5EF4-FFF2-40B4-BE49-F238E27FC236}">
                <a16:creationId xmlns:a16="http://schemas.microsoft.com/office/drawing/2014/main" xmlns="" id="{00000000-0008-0000-1E00-000021000000}"/>
              </a:ext>
            </a:extLst>
          </xdr:cNvPr>
          <xdr:cNvSpPr>
            <a:spLocks noChangeArrowheads="1" noChangeShapeType="1"/>
          </xdr:cNvSpPr>
        </xdr:nvSpPr>
        <xdr:spPr bwMode="auto">
          <a:xfrm>
            <a:off x="113004730" y="109900147"/>
            <a:ext cx="114501" cy="117986"/>
          </a:xfrm>
          <a:prstGeom prst="ellipse">
            <a:avLst/>
          </a:prstGeom>
          <a:solidFill>
            <a:srgbClr val="CCCC00"/>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4" name="Oval 52">
            <a:extLst>
              <a:ext uri="{FF2B5EF4-FFF2-40B4-BE49-F238E27FC236}">
                <a16:creationId xmlns:a16="http://schemas.microsoft.com/office/drawing/2014/main" xmlns="" id="{00000000-0008-0000-1E00-000022000000}"/>
              </a:ext>
            </a:extLst>
          </xdr:cNvPr>
          <xdr:cNvSpPr>
            <a:spLocks noChangeArrowheads="1" noChangeShapeType="1"/>
          </xdr:cNvSpPr>
        </xdr:nvSpPr>
        <xdr:spPr bwMode="auto">
          <a:xfrm>
            <a:off x="113328859" y="110067145"/>
            <a:ext cx="114505" cy="117990"/>
          </a:xfrm>
          <a:prstGeom prst="ellipse">
            <a:avLst/>
          </a:prstGeom>
          <a:solidFill>
            <a:srgbClr val="CCCCCC"/>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5" name="Oval 53">
            <a:extLst>
              <a:ext uri="{FF2B5EF4-FFF2-40B4-BE49-F238E27FC236}">
                <a16:creationId xmlns:a16="http://schemas.microsoft.com/office/drawing/2014/main" xmlns="" id="{00000000-0008-0000-1E00-000023000000}"/>
              </a:ext>
            </a:extLst>
          </xdr:cNvPr>
          <xdr:cNvSpPr>
            <a:spLocks noChangeArrowheads="1" noChangeShapeType="1"/>
          </xdr:cNvSpPr>
        </xdr:nvSpPr>
        <xdr:spPr bwMode="auto">
          <a:xfrm>
            <a:off x="113004730" y="109065136"/>
            <a:ext cx="114501" cy="117987"/>
          </a:xfrm>
          <a:prstGeom prst="ellipse">
            <a:avLst/>
          </a:prstGeom>
          <a:solidFill>
            <a:srgbClr val="330066"/>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6" name="Oval 54">
            <a:extLst>
              <a:ext uri="{FF2B5EF4-FFF2-40B4-BE49-F238E27FC236}">
                <a16:creationId xmlns:a16="http://schemas.microsoft.com/office/drawing/2014/main" xmlns="" id="{00000000-0008-0000-1E00-000024000000}"/>
              </a:ext>
            </a:extLst>
          </xdr:cNvPr>
          <xdr:cNvSpPr>
            <a:spLocks noChangeArrowheads="1" noChangeShapeType="1"/>
          </xdr:cNvSpPr>
        </xdr:nvSpPr>
        <xdr:spPr bwMode="auto">
          <a:xfrm>
            <a:off x="113166798" y="108899325"/>
            <a:ext cx="114500" cy="117980"/>
          </a:xfrm>
          <a:prstGeom prst="ellipse">
            <a:avLst/>
          </a:prstGeom>
          <a:solidFill>
            <a:srgbClr val="330066"/>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7" name="Oval 55">
            <a:extLst>
              <a:ext uri="{FF2B5EF4-FFF2-40B4-BE49-F238E27FC236}">
                <a16:creationId xmlns:a16="http://schemas.microsoft.com/office/drawing/2014/main" xmlns="" id="{00000000-0008-0000-1E00-000025000000}"/>
              </a:ext>
            </a:extLst>
          </xdr:cNvPr>
          <xdr:cNvSpPr>
            <a:spLocks noChangeArrowheads="1" noChangeShapeType="1"/>
          </xdr:cNvSpPr>
        </xdr:nvSpPr>
        <xdr:spPr bwMode="auto">
          <a:xfrm>
            <a:off x="113166798" y="109065136"/>
            <a:ext cx="114500" cy="117987"/>
          </a:xfrm>
          <a:prstGeom prst="ellipse">
            <a:avLst/>
          </a:prstGeom>
          <a:solidFill>
            <a:srgbClr val="330066"/>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8" name="Oval 56">
            <a:extLst>
              <a:ext uri="{FF2B5EF4-FFF2-40B4-BE49-F238E27FC236}">
                <a16:creationId xmlns:a16="http://schemas.microsoft.com/office/drawing/2014/main" xmlns="" id="{00000000-0008-0000-1E00-000026000000}"/>
              </a:ext>
            </a:extLst>
          </xdr:cNvPr>
          <xdr:cNvSpPr>
            <a:spLocks noChangeArrowheads="1" noChangeShapeType="1"/>
          </xdr:cNvSpPr>
        </xdr:nvSpPr>
        <xdr:spPr bwMode="auto">
          <a:xfrm>
            <a:off x="113166798" y="109232138"/>
            <a:ext cx="114500" cy="117990"/>
          </a:xfrm>
          <a:prstGeom prst="ellipse">
            <a:avLst/>
          </a:prstGeom>
          <a:solidFill>
            <a:srgbClr val="669999"/>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39" name="Oval 57">
            <a:extLst>
              <a:ext uri="{FF2B5EF4-FFF2-40B4-BE49-F238E27FC236}">
                <a16:creationId xmlns:a16="http://schemas.microsoft.com/office/drawing/2014/main" xmlns="" id="{00000000-0008-0000-1E00-000027000000}"/>
              </a:ext>
            </a:extLst>
          </xdr:cNvPr>
          <xdr:cNvSpPr>
            <a:spLocks noChangeArrowheads="1" noChangeShapeType="1"/>
          </xdr:cNvSpPr>
        </xdr:nvSpPr>
        <xdr:spPr bwMode="auto">
          <a:xfrm>
            <a:off x="113166798" y="109399140"/>
            <a:ext cx="114500" cy="117988"/>
          </a:xfrm>
          <a:prstGeom prst="ellipse">
            <a:avLst/>
          </a:prstGeom>
          <a:solidFill>
            <a:srgbClr val="669999"/>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0" name="Oval 58">
            <a:extLst>
              <a:ext uri="{FF2B5EF4-FFF2-40B4-BE49-F238E27FC236}">
                <a16:creationId xmlns:a16="http://schemas.microsoft.com/office/drawing/2014/main" xmlns="" id="{00000000-0008-0000-1E00-000028000000}"/>
              </a:ext>
            </a:extLst>
          </xdr:cNvPr>
          <xdr:cNvSpPr>
            <a:spLocks noChangeArrowheads="1" noChangeShapeType="1"/>
          </xdr:cNvSpPr>
        </xdr:nvSpPr>
        <xdr:spPr bwMode="auto">
          <a:xfrm>
            <a:off x="113166798" y="109566142"/>
            <a:ext cx="114500" cy="117991"/>
          </a:xfrm>
          <a:prstGeom prst="ellipse">
            <a:avLst/>
          </a:prstGeom>
          <a:solidFill>
            <a:srgbClr val="CCCC00"/>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1" name="Oval 59">
            <a:extLst>
              <a:ext uri="{FF2B5EF4-FFF2-40B4-BE49-F238E27FC236}">
                <a16:creationId xmlns:a16="http://schemas.microsoft.com/office/drawing/2014/main" xmlns="" id="{00000000-0008-0000-1E00-000029000000}"/>
              </a:ext>
            </a:extLst>
          </xdr:cNvPr>
          <xdr:cNvSpPr>
            <a:spLocks noChangeArrowheads="1" noChangeShapeType="1"/>
          </xdr:cNvSpPr>
        </xdr:nvSpPr>
        <xdr:spPr bwMode="auto">
          <a:xfrm>
            <a:off x="113166798" y="109734801"/>
            <a:ext cx="114500" cy="117987"/>
          </a:xfrm>
          <a:prstGeom prst="ellipse">
            <a:avLst/>
          </a:prstGeom>
          <a:solidFill>
            <a:srgbClr val="CCCC00"/>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2" name="Oval 60">
            <a:extLst>
              <a:ext uri="{FF2B5EF4-FFF2-40B4-BE49-F238E27FC236}">
                <a16:creationId xmlns:a16="http://schemas.microsoft.com/office/drawing/2014/main" xmlns="" id="{00000000-0008-0000-1E00-00002A000000}"/>
              </a:ext>
            </a:extLst>
          </xdr:cNvPr>
          <xdr:cNvSpPr>
            <a:spLocks noChangeArrowheads="1" noChangeShapeType="1"/>
          </xdr:cNvSpPr>
        </xdr:nvSpPr>
        <xdr:spPr bwMode="auto">
          <a:xfrm>
            <a:off x="113166798" y="109900147"/>
            <a:ext cx="114500" cy="117986"/>
          </a:xfrm>
          <a:prstGeom prst="ellipse">
            <a:avLst/>
          </a:prstGeom>
          <a:solidFill>
            <a:srgbClr val="CCCCCC"/>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3" name="Oval 61">
            <a:extLst>
              <a:ext uri="{FF2B5EF4-FFF2-40B4-BE49-F238E27FC236}">
                <a16:creationId xmlns:a16="http://schemas.microsoft.com/office/drawing/2014/main" xmlns="" id="{00000000-0008-0000-1E00-00002B000000}"/>
              </a:ext>
            </a:extLst>
          </xdr:cNvPr>
          <xdr:cNvSpPr>
            <a:spLocks noChangeArrowheads="1" noChangeShapeType="1"/>
          </xdr:cNvSpPr>
        </xdr:nvSpPr>
        <xdr:spPr bwMode="auto">
          <a:xfrm>
            <a:off x="113328859" y="109065136"/>
            <a:ext cx="114505" cy="117987"/>
          </a:xfrm>
          <a:prstGeom prst="ellipse">
            <a:avLst/>
          </a:prstGeom>
          <a:solidFill>
            <a:srgbClr val="669999"/>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4" name="Oval 62">
            <a:extLst>
              <a:ext uri="{FF2B5EF4-FFF2-40B4-BE49-F238E27FC236}">
                <a16:creationId xmlns:a16="http://schemas.microsoft.com/office/drawing/2014/main" xmlns="" id="{00000000-0008-0000-1E00-00002C000000}"/>
              </a:ext>
            </a:extLst>
          </xdr:cNvPr>
          <xdr:cNvSpPr>
            <a:spLocks noChangeArrowheads="1" noChangeShapeType="1"/>
          </xdr:cNvSpPr>
        </xdr:nvSpPr>
        <xdr:spPr bwMode="auto">
          <a:xfrm>
            <a:off x="113328859" y="109232138"/>
            <a:ext cx="114505" cy="117990"/>
          </a:xfrm>
          <a:prstGeom prst="ellipse">
            <a:avLst/>
          </a:prstGeom>
          <a:solidFill>
            <a:srgbClr val="669999"/>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5" name="Oval 63">
            <a:extLst>
              <a:ext uri="{FF2B5EF4-FFF2-40B4-BE49-F238E27FC236}">
                <a16:creationId xmlns:a16="http://schemas.microsoft.com/office/drawing/2014/main" xmlns="" id="{00000000-0008-0000-1E00-00002D000000}"/>
              </a:ext>
            </a:extLst>
          </xdr:cNvPr>
          <xdr:cNvSpPr>
            <a:spLocks noChangeArrowheads="1" noChangeShapeType="1"/>
          </xdr:cNvSpPr>
        </xdr:nvSpPr>
        <xdr:spPr bwMode="auto">
          <a:xfrm>
            <a:off x="113328859" y="109399140"/>
            <a:ext cx="114505" cy="117988"/>
          </a:xfrm>
          <a:prstGeom prst="ellipse">
            <a:avLst/>
          </a:prstGeom>
          <a:solidFill>
            <a:srgbClr val="CCCC00"/>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6" name="Oval 64">
            <a:extLst>
              <a:ext uri="{FF2B5EF4-FFF2-40B4-BE49-F238E27FC236}">
                <a16:creationId xmlns:a16="http://schemas.microsoft.com/office/drawing/2014/main" xmlns="" id="{00000000-0008-0000-1E00-00002E000000}"/>
              </a:ext>
            </a:extLst>
          </xdr:cNvPr>
          <xdr:cNvSpPr>
            <a:spLocks noChangeArrowheads="1" noChangeShapeType="1"/>
          </xdr:cNvSpPr>
        </xdr:nvSpPr>
        <xdr:spPr bwMode="auto">
          <a:xfrm>
            <a:off x="113328859" y="109566142"/>
            <a:ext cx="114505" cy="117991"/>
          </a:xfrm>
          <a:prstGeom prst="ellipse">
            <a:avLst/>
          </a:prstGeom>
          <a:solidFill>
            <a:srgbClr val="CCCC00"/>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7" name="Oval 65">
            <a:extLst>
              <a:ext uri="{FF2B5EF4-FFF2-40B4-BE49-F238E27FC236}">
                <a16:creationId xmlns:a16="http://schemas.microsoft.com/office/drawing/2014/main" xmlns="" id="{00000000-0008-0000-1E00-00002F000000}"/>
              </a:ext>
            </a:extLst>
          </xdr:cNvPr>
          <xdr:cNvSpPr>
            <a:spLocks noChangeArrowheads="1" noChangeShapeType="1"/>
          </xdr:cNvSpPr>
        </xdr:nvSpPr>
        <xdr:spPr bwMode="auto">
          <a:xfrm>
            <a:off x="113328859" y="109734801"/>
            <a:ext cx="114505" cy="117987"/>
          </a:xfrm>
          <a:prstGeom prst="ellipse">
            <a:avLst/>
          </a:prstGeom>
          <a:solidFill>
            <a:srgbClr val="CCCCCC"/>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8" name="Oval 66">
            <a:extLst>
              <a:ext uri="{FF2B5EF4-FFF2-40B4-BE49-F238E27FC236}">
                <a16:creationId xmlns:a16="http://schemas.microsoft.com/office/drawing/2014/main" xmlns="" id="{00000000-0008-0000-1E00-000030000000}"/>
              </a:ext>
            </a:extLst>
          </xdr:cNvPr>
          <xdr:cNvSpPr>
            <a:spLocks noChangeArrowheads="1" noChangeShapeType="1"/>
          </xdr:cNvSpPr>
        </xdr:nvSpPr>
        <xdr:spPr bwMode="auto">
          <a:xfrm>
            <a:off x="113328859" y="109900147"/>
            <a:ext cx="114505" cy="117986"/>
          </a:xfrm>
          <a:prstGeom prst="ellipse">
            <a:avLst/>
          </a:prstGeom>
          <a:solidFill>
            <a:srgbClr val="CCCCCC"/>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49" name="Oval 67">
            <a:extLst>
              <a:ext uri="{FF2B5EF4-FFF2-40B4-BE49-F238E27FC236}">
                <a16:creationId xmlns:a16="http://schemas.microsoft.com/office/drawing/2014/main" xmlns="" id="{00000000-0008-0000-1E00-000031000000}"/>
              </a:ext>
            </a:extLst>
          </xdr:cNvPr>
          <xdr:cNvSpPr>
            <a:spLocks noChangeArrowheads="1" noChangeShapeType="1"/>
          </xdr:cNvSpPr>
        </xdr:nvSpPr>
        <xdr:spPr bwMode="auto">
          <a:xfrm>
            <a:off x="113004730" y="110067203"/>
            <a:ext cx="114501" cy="117997"/>
          </a:xfrm>
          <a:prstGeom prst="ellipse">
            <a:avLst/>
          </a:prstGeom>
          <a:solidFill>
            <a:srgbClr val="CCCCCC"/>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50" name="Oval 68">
            <a:extLst>
              <a:ext uri="{FF2B5EF4-FFF2-40B4-BE49-F238E27FC236}">
                <a16:creationId xmlns:a16="http://schemas.microsoft.com/office/drawing/2014/main" xmlns="" id="{00000000-0008-0000-1E00-000032000000}"/>
              </a:ext>
            </a:extLst>
          </xdr:cNvPr>
          <xdr:cNvSpPr>
            <a:spLocks noChangeArrowheads="1" noChangeShapeType="1"/>
          </xdr:cNvSpPr>
        </xdr:nvSpPr>
        <xdr:spPr bwMode="auto">
          <a:xfrm>
            <a:off x="113490929" y="109232138"/>
            <a:ext cx="114509" cy="117990"/>
          </a:xfrm>
          <a:prstGeom prst="ellipse">
            <a:avLst/>
          </a:prstGeom>
          <a:solidFill>
            <a:srgbClr val="CCCC00"/>
          </a:solidFill>
          <a:ln>
            <a:noFill/>
          </a:ln>
          <a:extLst>
            <a:ext uri="{91240B29-F687-4F45-9708-019B960494DF}">
              <a14:hiddenLine xmlns:a14="http://schemas.microsoft.com/office/drawing/2010/main" xmlns="" w="0" algn="in">
                <a:solidFill>
                  <a:srgbClr val="000000"/>
                </a:solidFill>
                <a:round/>
                <a:headEnd/>
                <a:tailEnd/>
              </a14:hiddenLine>
            </a:ext>
          </a:extLst>
        </xdr:spPr>
      </xdr:sp>
      <xdr:sp macro="" textlink="">
        <xdr:nvSpPr>
          <xdr:cNvPr id="51" name="Oval 69">
            <a:extLst>
              <a:ext uri="{FF2B5EF4-FFF2-40B4-BE49-F238E27FC236}">
                <a16:creationId xmlns:a16="http://schemas.microsoft.com/office/drawing/2014/main" xmlns="" id="{00000000-0008-0000-1E00-000033000000}"/>
              </a:ext>
            </a:extLst>
          </xdr:cNvPr>
          <xdr:cNvSpPr>
            <a:spLocks noChangeArrowheads="1" noChangeShapeType="1"/>
          </xdr:cNvSpPr>
        </xdr:nvSpPr>
        <xdr:spPr bwMode="auto">
          <a:xfrm>
            <a:off x="113490929" y="109566142"/>
            <a:ext cx="114509" cy="117991"/>
          </a:xfrm>
          <a:prstGeom prst="ellipse">
            <a:avLst/>
          </a:prstGeom>
          <a:solidFill>
            <a:srgbClr val="CCCCCC"/>
          </a:solidFill>
          <a:ln>
            <a:noFill/>
          </a:ln>
          <a:extLst>
            <a:ext uri="{91240B29-F687-4F45-9708-019B960494DF}">
              <a14:hiddenLine xmlns:a14="http://schemas.microsoft.com/office/drawing/2010/main" xmlns="" w="0" algn="in">
                <a:solidFill>
                  <a:srgbClr val="000000"/>
                </a:solidFill>
                <a:round/>
                <a:headEnd/>
                <a:tailEnd/>
              </a14:hiddenLine>
            </a:ext>
          </a:extLst>
        </xdr:spPr>
      </xdr:sp>
    </xdr:grpSp>
    <xdr:clientData/>
  </xdr:twoCellAnchor>
  <xdr:twoCellAnchor>
    <xdr:from>
      <xdr:col>7</xdr:col>
      <xdr:colOff>66675</xdr:colOff>
      <xdr:row>5</xdr:row>
      <xdr:rowOff>28574</xdr:rowOff>
    </xdr:from>
    <xdr:to>
      <xdr:col>8</xdr:col>
      <xdr:colOff>647700</xdr:colOff>
      <xdr:row>11</xdr:row>
      <xdr:rowOff>0</xdr:rowOff>
    </xdr:to>
    <xdr:sp macro="" textlink="">
      <xdr:nvSpPr>
        <xdr:cNvPr id="52" name="Oval 51">
          <a:extLst>
            <a:ext uri="{FF2B5EF4-FFF2-40B4-BE49-F238E27FC236}">
              <a16:creationId xmlns:a16="http://schemas.microsoft.com/office/drawing/2014/main" xmlns="" id="{00000000-0008-0000-1E00-000034000000}"/>
            </a:ext>
          </a:extLst>
        </xdr:cNvPr>
        <xdr:cNvSpPr/>
      </xdr:nvSpPr>
      <xdr:spPr>
        <a:xfrm>
          <a:off x="4524375" y="800099"/>
          <a:ext cx="1419225" cy="1133476"/>
        </a:xfrm>
        <a:prstGeom prst="ellipse">
          <a:avLst/>
        </a:prstGeom>
        <a:noFill/>
        <a:ln w="28575">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clientData/>
  </xdr:twoCellAnchor>
  <xdr:twoCellAnchor>
    <xdr:from>
      <xdr:col>2</xdr:col>
      <xdr:colOff>180974</xdr:colOff>
      <xdr:row>25</xdr:row>
      <xdr:rowOff>19051</xdr:rowOff>
    </xdr:from>
    <xdr:to>
      <xdr:col>5</xdr:col>
      <xdr:colOff>561975</xdr:colOff>
      <xdr:row>27</xdr:row>
      <xdr:rowOff>28575</xdr:rowOff>
    </xdr:to>
    <xdr:sp macro="" textlink="">
      <xdr:nvSpPr>
        <xdr:cNvPr id="58" name="Rounded Rectangle 57">
          <a:extLst>
            <a:ext uri="{FF2B5EF4-FFF2-40B4-BE49-F238E27FC236}">
              <a16:creationId xmlns:a16="http://schemas.microsoft.com/office/drawing/2014/main" xmlns="" id="{00000000-0008-0000-1E00-00003A000000}"/>
            </a:ext>
          </a:extLst>
        </xdr:cNvPr>
        <xdr:cNvSpPr/>
      </xdr:nvSpPr>
      <xdr:spPr>
        <a:xfrm>
          <a:off x="590549" y="4772026"/>
          <a:ext cx="2343151" cy="409574"/>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twoCellAnchor>
    <xdr:from>
      <xdr:col>1</xdr:col>
      <xdr:colOff>361950</xdr:colOff>
      <xdr:row>45</xdr:row>
      <xdr:rowOff>85725</xdr:rowOff>
    </xdr:from>
    <xdr:to>
      <xdr:col>5</xdr:col>
      <xdr:colOff>800100</xdr:colOff>
      <xdr:row>53</xdr:row>
      <xdr:rowOff>19050</xdr:rowOff>
    </xdr:to>
    <xdr:sp macro="" textlink="">
      <xdr:nvSpPr>
        <xdr:cNvPr id="59" name="Round Diagonal Corner Rectangle 58">
          <a:extLst>
            <a:ext uri="{FF2B5EF4-FFF2-40B4-BE49-F238E27FC236}">
              <a16:creationId xmlns:a16="http://schemas.microsoft.com/office/drawing/2014/main" xmlns="" id="{00000000-0008-0000-1E00-00003B000000}"/>
            </a:ext>
          </a:extLst>
        </xdr:cNvPr>
        <xdr:cNvSpPr/>
      </xdr:nvSpPr>
      <xdr:spPr>
        <a:xfrm>
          <a:off x="361950" y="8839200"/>
          <a:ext cx="3152775" cy="1533525"/>
        </a:xfrm>
        <a:prstGeom prst="round2DiagRect">
          <a:avLst/>
        </a:prstGeom>
        <a:noFill/>
        <a:ln w="19050"/>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endParaRPr lang="en-US"/>
        </a:p>
      </xdr:txBody>
    </xdr:sp>
    <xdr:clientData/>
  </xdr:twoCellAnchor>
  <xdr:twoCellAnchor>
    <xdr:from>
      <xdr:col>6</xdr:col>
      <xdr:colOff>123825</xdr:colOff>
      <xdr:row>5</xdr:row>
      <xdr:rowOff>180975</xdr:rowOff>
    </xdr:from>
    <xdr:to>
      <xdr:col>6</xdr:col>
      <xdr:colOff>323850</xdr:colOff>
      <xdr:row>6</xdr:row>
      <xdr:rowOff>171450</xdr:rowOff>
    </xdr:to>
    <xdr:sp macro="" textlink="">
      <xdr:nvSpPr>
        <xdr:cNvPr id="61" name="Smiley Face 60">
          <a:extLst>
            <a:ext uri="{FF2B5EF4-FFF2-40B4-BE49-F238E27FC236}">
              <a16:creationId xmlns:a16="http://schemas.microsoft.com/office/drawing/2014/main" xmlns="" id="{00000000-0008-0000-1E00-00003D000000}"/>
            </a:ext>
          </a:extLst>
        </xdr:cNvPr>
        <xdr:cNvSpPr/>
      </xdr:nvSpPr>
      <xdr:spPr>
        <a:xfrm>
          <a:off x="3819525" y="952500"/>
          <a:ext cx="200025" cy="190500"/>
        </a:xfrm>
        <a:prstGeom prst="smileyFace">
          <a:avLst/>
        </a:prstGeom>
      </xdr:spPr>
      <xdr:style>
        <a:lnRef idx="3">
          <a:schemeClr val="lt1"/>
        </a:lnRef>
        <a:fillRef idx="1">
          <a:schemeClr val="accent5"/>
        </a:fillRef>
        <a:effectRef idx="1">
          <a:schemeClr val="accent5"/>
        </a:effectRef>
        <a:fontRef idx="minor">
          <a:schemeClr val="lt1"/>
        </a:fontRef>
      </xdr:style>
      <xdr:txBody>
        <a:bodyPr vertOverflow="clip" rtlCol="0" anchor="ctr"/>
        <a:lstStyle/>
        <a:p>
          <a:pPr algn="ctr"/>
          <a:endParaRPr lang="en-US" sz="1100"/>
        </a:p>
      </xdr:txBody>
    </xdr:sp>
    <xdr:clientData/>
  </xdr:twoCellAnchor>
  <xdr:twoCellAnchor editAs="oneCell">
    <xdr:from>
      <xdr:col>2</xdr:col>
      <xdr:colOff>0</xdr:colOff>
      <xdr:row>18</xdr:row>
      <xdr:rowOff>85724</xdr:rowOff>
    </xdr:from>
    <xdr:to>
      <xdr:col>4</xdr:col>
      <xdr:colOff>933450</xdr:colOff>
      <xdr:row>24</xdr:row>
      <xdr:rowOff>95249</xdr:rowOff>
    </xdr:to>
    <xdr:pic>
      <xdr:nvPicPr>
        <xdr:cNvPr id="62" name="Picture 61" descr="C:\Users\Indra\Desktop\New folder (3)\stethoscope-500.jpg">
          <a:extLst>
            <a:ext uri="{FF2B5EF4-FFF2-40B4-BE49-F238E27FC236}">
              <a16:creationId xmlns:a16="http://schemas.microsoft.com/office/drawing/2014/main" xmlns="" id="{00000000-0008-0000-1E00-00003E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238125" y="3467099"/>
          <a:ext cx="1990725" cy="1209675"/>
        </a:xfrm>
        <a:prstGeom prst="flowChartAlternateProcess">
          <a:avLst/>
        </a:prstGeom>
        <a:noFill/>
      </xdr:spPr>
    </xdr:pic>
    <xdr:clientData/>
  </xdr:twoCellAnchor>
  <xdr:twoCellAnchor editAs="oneCell">
    <xdr:from>
      <xdr:col>9</xdr:col>
      <xdr:colOff>104774</xdr:colOff>
      <xdr:row>31</xdr:row>
      <xdr:rowOff>9526</xdr:rowOff>
    </xdr:from>
    <xdr:to>
      <xdr:col>12</xdr:col>
      <xdr:colOff>314324</xdr:colOff>
      <xdr:row>41</xdr:row>
      <xdr:rowOff>133350</xdr:rowOff>
    </xdr:to>
    <xdr:pic>
      <xdr:nvPicPr>
        <xdr:cNvPr id="63" name="Picture 62" descr="family floater image க்கான பட முடிவு">
          <a:extLst>
            <a:ext uri="{FF2B5EF4-FFF2-40B4-BE49-F238E27FC236}">
              <a16:creationId xmlns:a16="http://schemas.microsoft.com/office/drawing/2014/main" xmlns="" id="{00000000-0008-0000-1E00-00003F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rcRect/>
        <a:stretch>
          <a:fillRect/>
        </a:stretch>
      </xdr:blipFill>
      <xdr:spPr bwMode="auto">
        <a:xfrm>
          <a:off x="6115049" y="6105526"/>
          <a:ext cx="2333625" cy="2124074"/>
        </a:xfrm>
        <a:prstGeom prst="rect">
          <a:avLst/>
        </a:prstGeom>
        <a:ln>
          <a:noFill/>
        </a:ln>
        <a:effectLst>
          <a:softEdge rad="112500"/>
        </a:effectLst>
        <a:extLst>
          <a:ext uri="{909E8E84-426E-40DD-AFC4-6F175D3DCCD1}">
            <a14:hiddenFill xmlns:a14="http://schemas.microsoft.com/office/drawing/2010/main" xmlns="">
              <a:solidFill>
                <a:srgbClr val="FFFFFF"/>
              </a:solidFill>
            </a14:hiddenFill>
          </a:ext>
        </a:extLst>
      </xdr:spPr>
    </xdr:pic>
    <xdr:clientData/>
  </xdr:twoCellAnchor>
  <xdr:twoCellAnchor>
    <xdr:from>
      <xdr:col>9</xdr:col>
      <xdr:colOff>609600</xdr:colOff>
      <xdr:row>10</xdr:row>
      <xdr:rowOff>209550</xdr:rowOff>
    </xdr:from>
    <xdr:to>
      <xdr:col>12</xdr:col>
      <xdr:colOff>152400</xdr:colOff>
      <xdr:row>15</xdr:row>
      <xdr:rowOff>190501</xdr:rowOff>
    </xdr:to>
    <xdr:sp macro="" textlink="">
      <xdr:nvSpPr>
        <xdr:cNvPr id="60" name="Rounded Rectangle 59">
          <a:extLst>
            <a:ext uri="{FF2B5EF4-FFF2-40B4-BE49-F238E27FC236}">
              <a16:creationId xmlns:a16="http://schemas.microsoft.com/office/drawing/2014/main" xmlns="" id="{00000000-0008-0000-1E00-00003C000000}"/>
            </a:ext>
          </a:extLst>
        </xdr:cNvPr>
        <xdr:cNvSpPr/>
      </xdr:nvSpPr>
      <xdr:spPr>
        <a:xfrm>
          <a:off x="5915025" y="1905000"/>
          <a:ext cx="1666875" cy="1038226"/>
        </a:xfrm>
        <a:prstGeom prst="roundRect">
          <a:avLst/>
        </a:prstGeom>
        <a:noFill/>
        <a:ln w="28575"/>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endParaRPr lang="en-US" sz="1100"/>
        </a:p>
      </xdr:txBody>
    </xdr:sp>
    <xdr:clientData/>
  </xdr:twoCellAnchor>
  <xdr:twoCellAnchor editAs="oneCell">
    <xdr:from>
      <xdr:col>9</xdr:col>
      <xdr:colOff>542925</xdr:colOff>
      <xdr:row>16</xdr:row>
      <xdr:rowOff>47625</xdr:rowOff>
    </xdr:from>
    <xdr:to>
      <xdr:col>12</xdr:col>
      <xdr:colOff>314325</xdr:colOff>
      <xdr:row>24</xdr:row>
      <xdr:rowOff>161926</xdr:rowOff>
    </xdr:to>
    <xdr:pic>
      <xdr:nvPicPr>
        <xdr:cNvPr id="65" name="Picture 64" descr="family health images க்கான பட முடிவு">
          <a:extLst>
            <a:ext uri="{FF2B5EF4-FFF2-40B4-BE49-F238E27FC236}">
              <a16:creationId xmlns:a16="http://schemas.microsoft.com/office/drawing/2014/main" xmlns="" id="{00000000-0008-0000-1E00-000041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6553200" y="3048000"/>
          <a:ext cx="1895475" cy="1809751"/>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9</xdr:col>
      <xdr:colOff>123825</xdr:colOff>
      <xdr:row>25</xdr:row>
      <xdr:rowOff>66675</xdr:rowOff>
    </xdr:from>
    <xdr:to>
      <xdr:col>12</xdr:col>
      <xdr:colOff>228600</xdr:colOff>
      <xdr:row>30</xdr:row>
      <xdr:rowOff>9525</xdr:rowOff>
    </xdr:to>
    <xdr:sp macro="" textlink="">
      <xdr:nvSpPr>
        <xdr:cNvPr id="66" name="Rounded Rectangle 65">
          <a:extLst>
            <a:ext uri="{FF2B5EF4-FFF2-40B4-BE49-F238E27FC236}">
              <a16:creationId xmlns:a16="http://schemas.microsoft.com/office/drawing/2014/main" xmlns="" id="{00000000-0008-0000-1E00-000042000000}"/>
            </a:ext>
          </a:extLst>
        </xdr:cNvPr>
        <xdr:cNvSpPr/>
      </xdr:nvSpPr>
      <xdr:spPr>
        <a:xfrm>
          <a:off x="6134100" y="4962525"/>
          <a:ext cx="2228850" cy="942975"/>
        </a:xfrm>
        <a:prstGeom prst="roundRect">
          <a:avLst/>
        </a:prstGeom>
        <a:noFill/>
        <a:ln w="12700"/>
      </xdr:spPr>
      <xdr:style>
        <a:lnRef idx="2">
          <a:schemeClr val="accent5"/>
        </a:lnRef>
        <a:fillRef idx="1">
          <a:schemeClr val="lt1"/>
        </a:fillRef>
        <a:effectRef idx="0">
          <a:schemeClr val="accent5"/>
        </a:effectRef>
        <a:fontRef idx="minor">
          <a:schemeClr val="dk1"/>
        </a:fontRef>
      </xdr:style>
      <xdr:txBody>
        <a:bodyPr vertOverflow="clip" rtlCol="0" anchor="ctr"/>
        <a:lstStyle/>
        <a:p>
          <a:pPr algn="ctr"/>
          <a:endParaRPr lang="en-US" sz="1100"/>
        </a:p>
      </xdr:txBody>
    </xdr:sp>
    <xdr:clientData/>
  </xdr:twoCellAnchor>
  <xdr:twoCellAnchor>
    <xdr:from>
      <xdr:col>9</xdr:col>
      <xdr:colOff>123825</xdr:colOff>
      <xdr:row>27</xdr:row>
      <xdr:rowOff>138113</xdr:rowOff>
    </xdr:from>
    <xdr:to>
      <xdr:col>12</xdr:col>
      <xdr:colOff>228600</xdr:colOff>
      <xdr:row>27</xdr:row>
      <xdr:rowOff>138113</xdr:rowOff>
    </xdr:to>
    <xdr:cxnSp macro="">
      <xdr:nvCxnSpPr>
        <xdr:cNvPr id="53" name="Straight Connector 52">
          <a:extLst>
            <a:ext uri="{FF2B5EF4-FFF2-40B4-BE49-F238E27FC236}">
              <a16:creationId xmlns:a16="http://schemas.microsoft.com/office/drawing/2014/main" xmlns="" id="{00000000-0008-0000-1E00-000035000000}"/>
            </a:ext>
          </a:extLst>
        </xdr:cNvPr>
        <xdr:cNvCxnSpPr>
          <a:stCxn id="66" idx="1"/>
          <a:endCxn id="66" idx="3"/>
        </xdr:cNvCxnSpPr>
      </xdr:nvCxnSpPr>
      <xdr:spPr>
        <a:xfrm>
          <a:off x="6134100" y="5434013"/>
          <a:ext cx="22288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38100</xdr:colOff>
      <xdr:row>14</xdr:row>
      <xdr:rowOff>57151</xdr:rowOff>
    </xdr:from>
    <xdr:ext cx="361949" cy="285750"/>
    <xdr:pic>
      <xdr:nvPicPr>
        <xdr:cNvPr id="67" name="Picture 2">
          <a:hlinkClick xmlns:r="http://schemas.openxmlformats.org/officeDocument/2006/relationships" r:id="rId11"/>
          <a:extLst>
            <a:ext uri="{FF2B5EF4-FFF2-40B4-BE49-F238E27FC236}">
              <a16:creationId xmlns:a16="http://schemas.microsoft.com/office/drawing/2014/main" xmlns="" id="{00000000-0008-0000-1E00-000043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8067675" y="1647826"/>
          <a:ext cx="361949" cy="285750"/>
        </a:xfrm>
        <a:prstGeom prst="rect">
          <a:avLst/>
        </a:prstGeom>
        <a:noFill/>
      </xdr:spPr>
    </xdr:pic>
    <xdr:clientData/>
  </xdr:oneCellAnchor>
</xdr:wsDr>
</file>

<file path=xl/drawings/drawing27.xml><?xml version="1.0" encoding="utf-8"?>
<xdr:wsDr xmlns:xdr="http://schemas.openxmlformats.org/drawingml/2006/spreadsheetDrawing" xmlns:a="http://schemas.openxmlformats.org/drawingml/2006/main">
  <xdr:oneCellAnchor>
    <xdr:from>
      <xdr:col>2</xdr:col>
      <xdr:colOff>238125</xdr:colOff>
      <xdr:row>3</xdr:row>
      <xdr:rowOff>38101</xdr:rowOff>
    </xdr:from>
    <xdr:ext cx="4314825" cy="666750"/>
    <xdr:pic>
      <xdr:nvPicPr>
        <xdr:cNvPr id="2" name="Picture 1">
          <a:extLst>
            <a:ext uri="{FF2B5EF4-FFF2-40B4-BE49-F238E27FC236}">
              <a16:creationId xmlns:a16="http://schemas.microsoft.com/office/drawing/2014/main" xmlns="" id="{00000000-0008-0000-1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1457325" y="123826"/>
          <a:ext cx="4314825" cy="666750"/>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12</xdr:col>
      <xdr:colOff>57150</xdr:colOff>
      <xdr:row>13</xdr:row>
      <xdr:rowOff>57150</xdr:rowOff>
    </xdr:from>
    <xdr:ext cx="381000" cy="295275"/>
    <xdr:pic>
      <xdr:nvPicPr>
        <xdr:cNvPr id="3" name="Picture 2">
          <a:hlinkClick xmlns:r="http://schemas.openxmlformats.org/officeDocument/2006/relationships" r:id="rId2"/>
          <a:extLst>
            <a:ext uri="{FF2B5EF4-FFF2-40B4-BE49-F238E27FC236}">
              <a16:creationId xmlns:a16="http://schemas.microsoft.com/office/drawing/2014/main" xmlns="" id="{00000000-0008-0000-1F00-000003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7372350" y="2533650"/>
          <a:ext cx="381000" cy="295275"/>
        </a:xfrm>
        <a:prstGeom prst="rect">
          <a:avLst/>
        </a:prstGeom>
        <a:noFill/>
      </xdr:spPr>
    </xdr:pic>
    <xdr:clientData/>
  </xdr:oneCellAnchor>
  <xdr:oneCellAnchor>
    <xdr:from>
      <xdr:col>13</xdr:col>
      <xdr:colOff>590550</xdr:colOff>
      <xdr:row>18</xdr:row>
      <xdr:rowOff>76200</xdr:rowOff>
    </xdr:from>
    <xdr:ext cx="381000" cy="295275"/>
    <xdr:pic>
      <xdr:nvPicPr>
        <xdr:cNvPr id="4" name="Picture 2">
          <a:hlinkClick xmlns:r="http://schemas.openxmlformats.org/officeDocument/2006/relationships" r:id="rId4"/>
          <a:extLst>
            <a:ext uri="{FF2B5EF4-FFF2-40B4-BE49-F238E27FC236}">
              <a16:creationId xmlns:a16="http://schemas.microsoft.com/office/drawing/2014/main" xmlns="" id="{00000000-0008-0000-1F00-000004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515350" y="3505200"/>
          <a:ext cx="381000" cy="295275"/>
        </a:xfrm>
        <a:prstGeom prst="rect">
          <a:avLst/>
        </a:prstGeom>
        <a:noFill/>
      </xdr:spPr>
    </xdr:pic>
    <xdr:clientData/>
  </xdr:oneCellAnchor>
  <xdr:twoCellAnchor editAs="oneCell">
    <xdr:from>
      <xdr:col>9</xdr:col>
      <xdr:colOff>521969</xdr:colOff>
      <xdr:row>24</xdr:row>
      <xdr:rowOff>70485</xdr:rowOff>
    </xdr:from>
    <xdr:to>
      <xdr:col>12</xdr:col>
      <xdr:colOff>148589</xdr:colOff>
      <xdr:row>29</xdr:row>
      <xdr:rowOff>41909</xdr:rowOff>
    </xdr:to>
    <xdr:pic>
      <xdr:nvPicPr>
        <xdr:cNvPr id="8" name="Picture 7" descr="G -6-312032015.jpg">
          <a:extLst>
            <a:ext uri="{FF2B5EF4-FFF2-40B4-BE49-F238E27FC236}">
              <a16:creationId xmlns:a16="http://schemas.microsoft.com/office/drawing/2014/main" xmlns="" id="{00000000-0008-0000-1F00-000008000000}"/>
            </a:ext>
          </a:extLst>
        </xdr:cNvPr>
        <xdr:cNvPicPr>
          <a:picLocks noChangeAspect="1"/>
        </xdr:cNvPicPr>
      </xdr:nvPicPr>
      <xdr:blipFill>
        <a:blip xmlns:r="http://schemas.openxmlformats.org/officeDocument/2006/relationships" r:embed="rId6" cstate="print"/>
        <a:stretch>
          <a:fillRect/>
        </a:stretch>
      </xdr:blipFill>
      <xdr:spPr>
        <a:xfrm>
          <a:off x="5307329" y="4520565"/>
          <a:ext cx="1120140" cy="916304"/>
        </a:xfrm>
        <a:prstGeom prst="ellipse">
          <a:avLst/>
        </a:prstGeom>
        <a:ln>
          <a:noFill/>
        </a:ln>
        <a:effectLst>
          <a:softEdge rad="112500"/>
        </a:effectLst>
      </xdr:spPr>
    </xdr:pic>
    <xdr:clientData/>
  </xdr:twoCellAnchor>
  <xdr:twoCellAnchor>
    <xdr:from>
      <xdr:col>9</xdr:col>
      <xdr:colOff>571500</xdr:colOff>
      <xdr:row>24</xdr:row>
      <xdr:rowOff>112395</xdr:rowOff>
    </xdr:from>
    <xdr:to>
      <xdr:col>12</xdr:col>
      <xdr:colOff>26670</xdr:colOff>
      <xdr:row>28</xdr:row>
      <xdr:rowOff>121920</xdr:rowOff>
    </xdr:to>
    <xdr:sp macro="" textlink="">
      <xdr:nvSpPr>
        <xdr:cNvPr id="9" name="Oval 8">
          <a:extLst>
            <a:ext uri="{FF2B5EF4-FFF2-40B4-BE49-F238E27FC236}">
              <a16:creationId xmlns:a16="http://schemas.microsoft.com/office/drawing/2014/main" xmlns="" id="{00000000-0008-0000-1F00-000009000000}"/>
            </a:ext>
          </a:extLst>
        </xdr:cNvPr>
        <xdr:cNvSpPr/>
      </xdr:nvSpPr>
      <xdr:spPr>
        <a:xfrm>
          <a:off x="5356860" y="4562475"/>
          <a:ext cx="948690" cy="771525"/>
        </a:xfrm>
        <a:prstGeom prst="ellipse">
          <a:avLst/>
        </a:prstGeom>
        <a:noFill/>
        <a:ln>
          <a:solidFill>
            <a:srgbClr val="FFFF00"/>
          </a:solidFill>
        </a:ln>
      </xdr:spPr>
      <xdr:style>
        <a:lnRef idx="3">
          <a:schemeClr val="lt1"/>
        </a:lnRef>
        <a:fillRef idx="1">
          <a:schemeClr val="accent1"/>
        </a:fillRef>
        <a:effectRef idx="1">
          <a:schemeClr val="accent1"/>
        </a:effectRef>
        <a:fontRef idx="minor">
          <a:schemeClr val="lt1"/>
        </a:fontRef>
      </xdr:style>
      <xdr:txBody>
        <a:bodyPr vertOverflow="clip" rtlCol="0" anchor="ctr"/>
        <a:lstStyle/>
        <a:p>
          <a:pPr algn="ctr"/>
          <a:endParaRPr lang="en-US" sz="1100"/>
        </a:p>
      </xdr:txBody>
    </xdr:sp>
    <xdr:clientData/>
  </xdr:twoCellAnchor>
  <xdr:twoCellAnchor>
    <xdr:from>
      <xdr:col>1</xdr:col>
      <xdr:colOff>0</xdr:colOff>
      <xdr:row>24</xdr:row>
      <xdr:rowOff>19050</xdr:rowOff>
    </xdr:from>
    <xdr:to>
      <xdr:col>10</xdr:col>
      <xdr:colOff>203200</xdr:colOff>
      <xdr:row>30</xdr:row>
      <xdr:rowOff>9525</xdr:rowOff>
    </xdr:to>
    <xdr:sp macro="" textlink="">
      <xdr:nvSpPr>
        <xdr:cNvPr id="10" name="Rounded Rectangle 9">
          <a:extLst>
            <a:ext uri="{FF2B5EF4-FFF2-40B4-BE49-F238E27FC236}">
              <a16:creationId xmlns:a16="http://schemas.microsoft.com/office/drawing/2014/main" xmlns="" id="{00000000-0008-0000-1F00-00000A000000}"/>
            </a:ext>
          </a:extLst>
        </xdr:cNvPr>
        <xdr:cNvSpPr/>
      </xdr:nvSpPr>
      <xdr:spPr>
        <a:xfrm>
          <a:off x="622300" y="4413250"/>
          <a:ext cx="4953000" cy="1095375"/>
        </a:xfrm>
        <a:prstGeom prst="round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209550</xdr:colOff>
      <xdr:row>1</xdr:row>
      <xdr:rowOff>85725</xdr:rowOff>
    </xdr:from>
    <xdr:to>
      <xdr:col>3</xdr:col>
      <xdr:colOff>685800</xdr:colOff>
      <xdr:row>4</xdr:row>
      <xdr:rowOff>161926</xdr:rowOff>
    </xdr:to>
    <xdr:pic>
      <xdr:nvPicPr>
        <xdr:cNvPr id="2" name="image00.jpg">
          <a:extLst>
            <a:ext uri="{FF2B5EF4-FFF2-40B4-BE49-F238E27FC236}">
              <a16:creationId xmlns:a16="http://schemas.microsoft.com/office/drawing/2014/main" xmlns="" id="{00000000-0008-0000-2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04825" y="276225"/>
          <a:ext cx="1266825" cy="647701"/>
        </a:xfrm>
        <a:prstGeom prst="rect">
          <a:avLst/>
        </a:prstGeom>
        <a:noFill/>
        <a:ln w="9525">
          <a:noFill/>
          <a:round/>
          <a:headEnd/>
          <a:tailEnd/>
        </a:ln>
      </xdr:spPr>
    </xdr:pic>
    <xdr:clientData/>
  </xdr:twoCellAnchor>
  <xdr:twoCellAnchor>
    <xdr:from>
      <xdr:col>8</xdr:col>
      <xdr:colOff>76200</xdr:colOff>
      <xdr:row>5</xdr:row>
      <xdr:rowOff>19051</xdr:rowOff>
    </xdr:from>
    <xdr:to>
      <xdr:col>9</xdr:col>
      <xdr:colOff>828675</xdr:colOff>
      <xdr:row>10</xdr:row>
      <xdr:rowOff>133351</xdr:rowOff>
    </xdr:to>
    <xdr:sp macro="" textlink="">
      <xdr:nvSpPr>
        <xdr:cNvPr id="3" name="16-Point Star 2">
          <a:extLst>
            <a:ext uri="{FF2B5EF4-FFF2-40B4-BE49-F238E27FC236}">
              <a16:creationId xmlns:a16="http://schemas.microsoft.com/office/drawing/2014/main" xmlns="" id="{00000000-0008-0000-2000-000003000000}"/>
            </a:ext>
          </a:extLst>
        </xdr:cNvPr>
        <xdr:cNvSpPr/>
      </xdr:nvSpPr>
      <xdr:spPr bwMode="auto">
        <a:xfrm>
          <a:off x="4400550" y="971551"/>
          <a:ext cx="1304925" cy="1066800"/>
        </a:xfrm>
        <a:prstGeom prst="star16">
          <a:avLst/>
        </a:prstGeom>
        <a:solidFill>
          <a:schemeClr val="accent5">
            <a:lumMod val="20000"/>
            <a:lumOff val="80000"/>
          </a:schemeClr>
        </a:solidFill>
        <a:ln>
          <a:solidFill>
            <a:srgbClr val="FFC000"/>
          </a:solidFill>
          <a:headEnd type="none" w="med" len="med"/>
          <a:tailEnd type="none" w="med" len="med"/>
        </a:ln>
        <a:effectLst>
          <a:glow rad="63500">
            <a:schemeClr val="accent3">
              <a:satMod val="175000"/>
              <a:alpha val="40000"/>
            </a:schemeClr>
          </a:glow>
          <a:outerShdw blurRad="40000" dist="20000" dir="5400000" rotWithShape="0">
            <a:srgbClr val="000000">
              <a:alpha val="38000"/>
            </a:srgbClr>
          </a:outerShdw>
        </a:effectLst>
        <a:scene3d>
          <a:camera prst="orthographicFront"/>
          <a:lightRig rig="threePt" dir="t"/>
        </a:scene3d>
        <a:sp3d>
          <a:bevelT w="152400" h="50800" prst="softRound"/>
        </a:sp3d>
      </xdr:spPr>
      <xdr:style>
        <a:lnRef idx="1">
          <a:schemeClr val="accent6"/>
        </a:lnRef>
        <a:fillRef idx="2">
          <a:schemeClr val="accent6"/>
        </a:fillRef>
        <a:effectRef idx="1">
          <a:schemeClr val="accent6"/>
        </a:effectRef>
        <a:fontRef idx="minor">
          <a:schemeClr val="dk1"/>
        </a:fontRef>
      </xdr:style>
      <xdr:txBody>
        <a:bodyPr vertOverflow="clip" wrap="square" lIns="18288" tIns="0" rIns="0" bIns="0" rtlCol="0" anchor="ctr" upright="1"/>
        <a:lstStyle/>
        <a:p>
          <a:pPr algn="ctr"/>
          <a:r>
            <a:rPr lang="en-US" sz="1400" b="1">
              <a:solidFill>
                <a:srgbClr val="FF0000"/>
              </a:solidFill>
              <a:latin typeface="+mn-lt"/>
              <a:ea typeface="+mn-ea"/>
              <a:cs typeface="+mn-cs"/>
            </a:rPr>
            <a:t>WITH        </a:t>
          </a:r>
          <a:r>
            <a:rPr lang="en-US" sz="1400" b="1" baseline="0">
              <a:solidFill>
                <a:srgbClr val="FF0000"/>
              </a:solidFill>
              <a:latin typeface="+mn-lt"/>
              <a:ea typeface="+mn-ea"/>
              <a:cs typeface="+mn-cs"/>
            </a:rPr>
            <a:t> PROFIT</a:t>
          </a:r>
        </a:p>
        <a:p>
          <a:pPr algn="ctr"/>
          <a:endParaRPr lang="en-US" sz="1000" b="1">
            <a:solidFill>
              <a:srgbClr val="FF0000"/>
            </a:solidFill>
          </a:endParaRPr>
        </a:p>
        <a:p>
          <a:pPr algn="ctr"/>
          <a:endParaRPr lang="en-US" sz="1100"/>
        </a:p>
      </xdr:txBody>
    </xdr:sp>
    <xdr:clientData/>
  </xdr:twoCellAnchor>
  <xdr:twoCellAnchor>
    <xdr:from>
      <xdr:col>3</xdr:col>
      <xdr:colOff>600075</xdr:colOff>
      <xdr:row>46</xdr:row>
      <xdr:rowOff>19051</xdr:rowOff>
    </xdr:from>
    <xdr:to>
      <xdr:col>4</xdr:col>
      <xdr:colOff>285750</xdr:colOff>
      <xdr:row>46</xdr:row>
      <xdr:rowOff>209550</xdr:rowOff>
    </xdr:to>
    <xdr:sp macro="" textlink="">
      <xdr:nvSpPr>
        <xdr:cNvPr id="4" name="Down Arrow 3">
          <a:extLst>
            <a:ext uri="{FF2B5EF4-FFF2-40B4-BE49-F238E27FC236}">
              <a16:creationId xmlns:a16="http://schemas.microsoft.com/office/drawing/2014/main" xmlns="" id="{00000000-0008-0000-2000-000004000000}"/>
            </a:ext>
          </a:extLst>
        </xdr:cNvPr>
        <xdr:cNvSpPr/>
      </xdr:nvSpPr>
      <xdr:spPr>
        <a:xfrm>
          <a:off x="1685925" y="8782051"/>
          <a:ext cx="466725" cy="171449"/>
        </a:xfrm>
        <a:prstGeom prst="downArrow">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endParaRPr lang="en-US" sz="1100"/>
        </a:p>
      </xdr:txBody>
    </xdr:sp>
    <xdr:clientData/>
  </xdr:twoCellAnchor>
  <xdr:oneCellAnchor>
    <xdr:from>
      <xdr:col>6</xdr:col>
      <xdr:colOff>142876</xdr:colOff>
      <xdr:row>45</xdr:row>
      <xdr:rowOff>190500</xdr:rowOff>
    </xdr:from>
    <xdr:ext cx="2028824" cy="1781175"/>
    <xdr:pic>
      <xdr:nvPicPr>
        <xdr:cNvPr id="5" name="irc_mi" descr="http://s1.reutersmedia.net/resources/r/?m=02&amp;d=20130904&amp;t=2&amp;i=784968042&amp;w=580&amp;fh=&amp;fw=&amp;ll=&amp;pl=&amp;r=CDEE9830O4K00">
          <a:extLst>
            <a:ext uri="{FF2B5EF4-FFF2-40B4-BE49-F238E27FC236}">
              <a16:creationId xmlns:a16="http://schemas.microsoft.com/office/drawing/2014/main" xmlns="" id="{00000000-0008-0000-20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3362326" y="8763000"/>
          <a:ext cx="2028824" cy="1781175"/>
        </a:xfrm>
        <a:prstGeom prst="ellipse">
          <a:avLst/>
        </a:prstGeom>
        <a:ln>
          <a:noFill/>
        </a:ln>
        <a:effectLst>
          <a:softEdge rad="112500"/>
        </a:effectLst>
      </xdr:spPr>
    </xdr:pic>
    <xdr:clientData/>
  </xdr:oneCellAnchor>
  <xdr:twoCellAnchor>
    <xdr:from>
      <xdr:col>4</xdr:col>
      <xdr:colOff>676275</xdr:colOff>
      <xdr:row>1</xdr:row>
      <xdr:rowOff>57150</xdr:rowOff>
    </xdr:from>
    <xdr:to>
      <xdr:col>9</xdr:col>
      <xdr:colOff>390525</xdr:colOff>
      <xdr:row>2</xdr:row>
      <xdr:rowOff>123825</xdr:rowOff>
    </xdr:to>
    <xdr:pic>
      <xdr:nvPicPr>
        <xdr:cNvPr id="6" name="Picture 5">
          <a:extLst>
            <a:ext uri="{FF2B5EF4-FFF2-40B4-BE49-F238E27FC236}">
              <a16:creationId xmlns:a16="http://schemas.microsoft.com/office/drawing/2014/main" xmlns="" id="{00000000-0008-0000-2000-000006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2543175" y="247650"/>
          <a:ext cx="2724150" cy="257175"/>
        </a:xfrm>
        <a:prstGeom prst="rect">
          <a:avLst/>
        </a:prstGeom>
        <a:noFill/>
        <a:ln w="9525">
          <a:noFill/>
          <a:round/>
          <a:headEnd/>
          <a:tailEnd/>
        </a:ln>
        <a:effectLst/>
      </xdr:spPr>
    </xdr:pic>
    <xdr:clientData/>
  </xdr:twoCellAnchor>
  <xdr:twoCellAnchor>
    <xdr:from>
      <xdr:col>3</xdr:col>
      <xdr:colOff>676275</xdr:colOff>
      <xdr:row>2</xdr:row>
      <xdr:rowOff>142875</xdr:rowOff>
    </xdr:from>
    <xdr:to>
      <xdr:col>10</xdr:col>
      <xdr:colOff>619125</xdr:colOff>
      <xdr:row>4</xdr:row>
      <xdr:rowOff>47625</xdr:rowOff>
    </xdr:to>
    <xdr:pic>
      <xdr:nvPicPr>
        <xdr:cNvPr id="7" name="Picture 6">
          <a:extLst>
            <a:ext uri="{FF2B5EF4-FFF2-40B4-BE49-F238E27FC236}">
              <a16:creationId xmlns:a16="http://schemas.microsoft.com/office/drawing/2014/main" xmlns="" id="{00000000-0008-0000-2000-000007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762125" y="523875"/>
          <a:ext cx="4591050" cy="285750"/>
        </a:xfrm>
        <a:prstGeom prst="rect">
          <a:avLst/>
        </a:prstGeom>
        <a:noFill/>
        <a:ln w="9525">
          <a:noFill/>
          <a:round/>
          <a:headEnd/>
          <a:tailEnd/>
        </a:ln>
        <a:effectLst/>
      </xdr:spPr>
    </xdr:pic>
    <xdr:clientData/>
  </xdr:twoCellAnchor>
  <xdr:twoCellAnchor>
    <xdr:from>
      <xdr:col>6</xdr:col>
      <xdr:colOff>361951</xdr:colOff>
      <xdr:row>60</xdr:row>
      <xdr:rowOff>133351</xdr:rowOff>
    </xdr:from>
    <xdr:to>
      <xdr:col>8</xdr:col>
      <xdr:colOff>219076</xdr:colOff>
      <xdr:row>63</xdr:row>
      <xdr:rowOff>95251</xdr:rowOff>
    </xdr:to>
    <xdr:pic>
      <xdr:nvPicPr>
        <xdr:cNvPr id="8" name="image00.jpg">
          <a:extLst>
            <a:ext uri="{FF2B5EF4-FFF2-40B4-BE49-F238E27FC236}">
              <a16:creationId xmlns:a16="http://schemas.microsoft.com/office/drawing/2014/main" xmlns="" id="{00000000-0008-0000-2000-000008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3581401" y="11563351"/>
          <a:ext cx="962025" cy="533400"/>
        </a:xfrm>
        <a:prstGeom prst="rect">
          <a:avLst/>
        </a:prstGeom>
        <a:noFill/>
        <a:ln w="9525">
          <a:noFill/>
          <a:round/>
          <a:headEnd/>
          <a:tailEnd/>
        </a:ln>
      </xdr:spPr>
    </xdr:pic>
    <xdr:clientData/>
  </xdr:twoCellAnchor>
  <xdr:twoCellAnchor>
    <xdr:from>
      <xdr:col>2</xdr:col>
      <xdr:colOff>104775</xdr:colOff>
      <xdr:row>6</xdr:row>
      <xdr:rowOff>114300</xdr:rowOff>
    </xdr:from>
    <xdr:to>
      <xdr:col>3</xdr:col>
      <xdr:colOff>19050</xdr:colOff>
      <xdr:row>8</xdr:row>
      <xdr:rowOff>47625</xdr:rowOff>
    </xdr:to>
    <xdr:sp macro="" textlink="">
      <xdr:nvSpPr>
        <xdr:cNvPr id="9" name="Quad Arrow Callout 8">
          <a:extLst>
            <a:ext uri="{FF2B5EF4-FFF2-40B4-BE49-F238E27FC236}">
              <a16:creationId xmlns:a16="http://schemas.microsoft.com/office/drawing/2014/main" xmlns="" id="{00000000-0008-0000-2000-000009000000}"/>
            </a:ext>
          </a:extLst>
        </xdr:cNvPr>
        <xdr:cNvSpPr/>
      </xdr:nvSpPr>
      <xdr:spPr>
        <a:xfrm>
          <a:off x="771525" y="1257300"/>
          <a:ext cx="333375" cy="314325"/>
        </a:xfrm>
        <a:prstGeom prst="quadArrowCallout">
          <a:avLst/>
        </a:prstGeom>
        <a:solidFill>
          <a:schemeClr val="accent2"/>
        </a:solidFill>
        <a:effectLst>
          <a:outerShdw blurRad="40000" dist="20000" dir="5400000" rotWithShape="0">
            <a:srgbClr val="000000">
              <a:alpha val="38000"/>
            </a:srgbClr>
          </a:outerShdw>
          <a:softEdge rad="31750"/>
        </a:effectLst>
      </xdr:spPr>
      <xdr:style>
        <a:lnRef idx="3">
          <a:schemeClr val="lt1"/>
        </a:lnRef>
        <a:fillRef idx="1">
          <a:schemeClr val="accent4"/>
        </a:fillRef>
        <a:effectRef idx="1">
          <a:schemeClr val="accent4"/>
        </a:effectRef>
        <a:fontRef idx="minor">
          <a:schemeClr val="lt1"/>
        </a:fontRef>
      </xdr:style>
      <xdr:txBody>
        <a:bodyPr vertOverflow="clip" rtlCol="0" anchor="ctr"/>
        <a:lstStyle/>
        <a:p>
          <a:pPr algn="ctr"/>
          <a:endParaRPr lang="en-US" sz="1100"/>
        </a:p>
      </xdr:txBody>
    </xdr:sp>
    <xdr:clientData/>
  </xdr:twoCellAnchor>
  <xdr:twoCellAnchor>
    <xdr:from>
      <xdr:col>7</xdr:col>
      <xdr:colOff>142875</xdr:colOff>
      <xdr:row>6</xdr:row>
      <xdr:rowOff>133350</xdr:rowOff>
    </xdr:from>
    <xdr:to>
      <xdr:col>7</xdr:col>
      <xdr:colOff>485775</xdr:colOff>
      <xdr:row>8</xdr:row>
      <xdr:rowOff>66675</xdr:rowOff>
    </xdr:to>
    <xdr:sp macro="" textlink="">
      <xdr:nvSpPr>
        <xdr:cNvPr id="10" name="Quad Arrow Callout 9">
          <a:extLst>
            <a:ext uri="{FF2B5EF4-FFF2-40B4-BE49-F238E27FC236}">
              <a16:creationId xmlns:a16="http://schemas.microsoft.com/office/drawing/2014/main" xmlns="" id="{00000000-0008-0000-2000-00000A000000}"/>
            </a:ext>
          </a:extLst>
        </xdr:cNvPr>
        <xdr:cNvSpPr/>
      </xdr:nvSpPr>
      <xdr:spPr>
        <a:xfrm>
          <a:off x="3914775" y="1276350"/>
          <a:ext cx="342900" cy="314325"/>
        </a:xfrm>
        <a:prstGeom prst="quadArrowCallout">
          <a:avLst/>
        </a:prstGeom>
        <a:solidFill>
          <a:schemeClr val="accent2"/>
        </a:solidFill>
        <a:effectLst>
          <a:outerShdw blurRad="40000" dist="20000" dir="5400000" rotWithShape="0">
            <a:srgbClr val="000000">
              <a:alpha val="38000"/>
            </a:srgbClr>
          </a:outerShdw>
          <a:softEdge rad="31750"/>
        </a:effectLst>
      </xdr:spPr>
      <xdr:style>
        <a:lnRef idx="3">
          <a:schemeClr val="lt1"/>
        </a:lnRef>
        <a:fillRef idx="1">
          <a:schemeClr val="accent4"/>
        </a:fillRef>
        <a:effectRef idx="1">
          <a:schemeClr val="accent4"/>
        </a:effectRef>
        <a:fontRef idx="minor">
          <a:schemeClr val="lt1"/>
        </a:fontRef>
      </xdr:style>
      <xdr:txBody>
        <a:bodyPr vertOverflow="clip" rtlCol="0" anchor="ctr"/>
        <a:lstStyle/>
        <a:p>
          <a:pPr algn="ctr"/>
          <a:endParaRPr lang="en-US" sz="1100"/>
        </a:p>
      </xdr:txBody>
    </xdr:sp>
    <xdr:clientData/>
  </xdr:twoCellAnchor>
  <xdr:oneCellAnchor>
    <xdr:from>
      <xdr:col>3</xdr:col>
      <xdr:colOff>762000</xdr:colOff>
      <xdr:row>57</xdr:row>
      <xdr:rowOff>114300</xdr:rowOff>
    </xdr:from>
    <xdr:ext cx="1714500" cy="1400175"/>
    <xdr:pic>
      <xdr:nvPicPr>
        <xdr:cNvPr id="11" name="irc_mi" descr="http://s1.reutersmedia.net/resources/r/?m=02&amp;d=20130904&amp;t=2&amp;i=784968042&amp;w=580&amp;fh=&amp;fw=&amp;ll=&amp;pl=&amp;r=CDEE9830O4K00">
          <a:extLst>
            <a:ext uri="{FF2B5EF4-FFF2-40B4-BE49-F238E27FC236}">
              <a16:creationId xmlns:a16="http://schemas.microsoft.com/office/drawing/2014/main" xmlns="" id="{00000000-0008-0000-2000-00000B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47850" y="10972800"/>
          <a:ext cx="1714500" cy="1400175"/>
        </a:xfrm>
        <a:prstGeom prst="ellipse">
          <a:avLst/>
        </a:prstGeom>
        <a:ln>
          <a:noFill/>
        </a:ln>
        <a:effectLst>
          <a:softEdge rad="112500"/>
        </a:effectLst>
      </xdr:spPr>
    </xdr:pic>
    <xdr:clientData/>
  </xdr:oneCellAnchor>
  <xdr:oneCellAnchor>
    <xdr:from>
      <xdr:col>1</xdr:col>
      <xdr:colOff>133350</xdr:colOff>
      <xdr:row>30</xdr:row>
      <xdr:rowOff>139151</xdr:rowOff>
    </xdr:from>
    <xdr:ext cx="3419476" cy="2765974"/>
    <xdr:pic>
      <xdr:nvPicPr>
        <xdr:cNvPr id="12" name="irc_mi">
          <a:extLst>
            <a:ext uri="{FF2B5EF4-FFF2-40B4-BE49-F238E27FC236}">
              <a16:creationId xmlns:a16="http://schemas.microsoft.com/office/drawing/2014/main" xmlns="" id="{00000000-0008-0000-2000-00000C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bwMode="auto">
        <a:xfrm>
          <a:off x="428625" y="5854151"/>
          <a:ext cx="3419476" cy="2765974"/>
        </a:xfrm>
        <a:prstGeom prst="ellipse">
          <a:avLst/>
        </a:prstGeom>
        <a:ln>
          <a:noFill/>
        </a:ln>
        <a:effectLst>
          <a:softEdge rad="112500"/>
        </a:effectLst>
      </xdr:spPr>
    </xdr:pic>
    <xdr:clientData/>
  </xdr:oneCellAnchor>
  <xdr:twoCellAnchor>
    <xdr:from>
      <xdr:col>3</xdr:col>
      <xdr:colOff>38100</xdr:colOff>
      <xdr:row>66</xdr:row>
      <xdr:rowOff>0</xdr:rowOff>
    </xdr:from>
    <xdr:to>
      <xdr:col>10</xdr:col>
      <xdr:colOff>676275</xdr:colOff>
      <xdr:row>68</xdr:row>
      <xdr:rowOff>0</xdr:rowOff>
    </xdr:to>
    <xdr:sp macro="" textlink="">
      <xdr:nvSpPr>
        <xdr:cNvPr id="13" name="Plaque 12">
          <a:extLst>
            <a:ext uri="{FF2B5EF4-FFF2-40B4-BE49-F238E27FC236}">
              <a16:creationId xmlns:a16="http://schemas.microsoft.com/office/drawing/2014/main" xmlns="" id="{00000000-0008-0000-2000-00000D000000}"/>
            </a:ext>
          </a:extLst>
        </xdr:cNvPr>
        <xdr:cNvSpPr/>
      </xdr:nvSpPr>
      <xdr:spPr>
        <a:xfrm>
          <a:off x="1123950" y="12573000"/>
          <a:ext cx="5286375" cy="381000"/>
        </a:xfrm>
        <a:prstGeom prst="plaque">
          <a:avLst/>
        </a:prstGeom>
        <a:noFill/>
        <a:ln cap="sq" cmpd="dbl">
          <a:gradFill>
            <a:gsLst>
              <a:gs pos="0">
                <a:srgbClr val="A603AB"/>
              </a:gs>
              <a:gs pos="21001">
                <a:srgbClr val="0819FB"/>
              </a:gs>
              <a:gs pos="35001">
                <a:srgbClr val="1A8D48"/>
              </a:gs>
              <a:gs pos="52000">
                <a:srgbClr val="FFFF00"/>
              </a:gs>
              <a:gs pos="73000">
                <a:srgbClr val="EE3F17"/>
              </a:gs>
              <a:gs pos="88000">
                <a:srgbClr val="E81766"/>
              </a:gs>
              <a:gs pos="100000">
                <a:srgbClr val="A603AB"/>
              </a:gs>
            </a:gsLst>
            <a:lin ang="5400000" scaled="0"/>
          </a:gradFill>
          <a:bevel/>
        </a:ln>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0</xdr:col>
      <xdr:colOff>285750</xdr:colOff>
      <xdr:row>58</xdr:row>
      <xdr:rowOff>56146</xdr:rowOff>
    </xdr:from>
    <xdr:ext cx="1685925" cy="1210679"/>
    <xdr:pic>
      <xdr:nvPicPr>
        <xdr:cNvPr id="14" name="irc_mi">
          <a:extLst>
            <a:ext uri="{FF2B5EF4-FFF2-40B4-BE49-F238E27FC236}">
              <a16:creationId xmlns:a16="http://schemas.microsoft.com/office/drawing/2014/main" xmlns="" id="{00000000-0008-0000-2000-00000E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bwMode="auto">
        <a:xfrm>
          <a:off x="285750" y="11105146"/>
          <a:ext cx="1685925" cy="1210679"/>
        </a:xfrm>
        <a:prstGeom prst="ellipse">
          <a:avLst/>
        </a:prstGeom>
        <a:ln>
          <a:noFill/>
        </a:ln>
        <a:effectLst>
          <a:softEdge rad="112500"/>
        </a:effectLst>
      </xdr:spPr>
    </xdr:pic>
    <xdr:clientData/>
  </xdr:oneCellAnchor>
  <xdr:twoCellAnchor>
    <xdr:from>
      <xdr:col>10</xdr:col>
      <xdr:colOff>666750</xdr:colOff>
      <xdr:row>5</xdr:row>
      <xdr:rowOff>95250</xdr:rowOff>
    </xdr:from>
    <xdr:to>
      <xdr:col>12</xdr:col>
      <xdr:colOff>152400</xdr:colOff>
      <xdr:row>11</xdr:row>
      <xdr:rowOff>9524</xdr:rowOff>
    </xdr:to>
    <xdr:sp macro="" textlink="">
      <xdr:nvSpPr>
        <xdr:cNvPr id="15" name="Oval 14">
          <a:extLst>
            <a:ext uri="{FF2B5EF4-FFF2-40B4-BE49-F238E27FC236}">
              <a16:creationId xmlns:a16="http://schemas.microsoft.com/office/drawing/2014/main" xmlns="" id="{00000000-0008-0000-2000-00000F000000}"/>
            </a:ext>
          </a:extLst>
        </xdr:cNvPr>
        <xdr:cNvSpPr/>
      </xdr:nvSpPr>
      <xdr:spPr>
        <a:xfrm>
          <a:off x="6400800" y="1047750"/>
          <a:ext cx="1009650" cy="1057274"/>
        </a:xfrm>
        <a:prstGeom prst="ellipse">
          <a:avLst/>
        </a:prstGeom>
        <a:noFill/>
        <a:ln cap="sq" cmpd="dbl">
          <a:gradFill>
            <a:gsLst>
              <a:gs pos="0">
                <a:srgbClr val="A603AB"/>
              </a:gs>
              <a:gs pos="21001">
                <a:srgbClr val="0819FB"/>
              </a:gs>
              <a:gs pos="35001">
                <a:srgbClr val="1A8D48"/>
              </a:gs>
              <a:gs pos="52000">
                <a:srgbClr val="FFFF00"/>
              </a:gs>
              <a:gs pos="73000">
                <a:srgbClr val="EE3F17"/>
              </a:gs>
              <a:gs pos="88000">
                <a:srgbClr val="E81766"/>
              </a:gs>
              <a:gs pos="100000">
                <a:srgbClr val="A603AB"/>
              </a:gs>
            </a:gsLst>
            <a:lin ang="5400000" scaled="0"/>
          </a:gradFill>
        </a:ln>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13</xdr:col>
      <xdr:colOff>600076</xdr:colOff>
      <xdr:row>5</xdr:row>
      <xdr:rowOff>38100</xdr:rowOff>
    </xdr:from>
    <xdr:ext cx="381000" cy="295275"/>
    <xdr:pic>
      <xdr:nvPicPr>
        <xdr:cNvPr id="16" name="Picture 2">
          <a:hlinkClick xmlns:r="http://schemas.openxmlformats.org/officeDocument/2006/relationships" r:id="rId7"/>
          <a:extLst>
            <a:ext uri="{FF2B5EF4-FFF2-40B4-BE49-F238E27FC236}">
              <a16:creationId xmlns:a16="http://schemas.microsoft.com/office/drawing/2014/main" xmlns="" id="{00000000-0008-0000-2000-00001000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458201" y="990600"/>
          <a:ext cx="381000" cy="295275"/>
        </a:xfrm>
        <a:prstGeom prst="rect">
          <a:avLst/>
        </a:prstGeom>
        <a:noFill/>
      </xdr:spPr>
    </xdr:pic>
    <xdr:clientData/>
  </xdr:oneCellAnchor>
  <xdr:oneCellAnchor>
    <xdr:from>
      <xdr:col>16</xdr:col>
      <xdr:colOff>200025</xdr:colOff>
      <xdr:row>11</xdr:row>
      <xdr:rowOff>47625</xdr:rowOff>
    </xdr:from>
    <xdr:ext cx="409574" cy="295275"/>
    <xdr:pic>
      <xdr:nvPicPr>
        <xdr:cNvPr id="17" name="Picture 2">
          <a:hlinkClick xmlns:r="http://schemas.openxmlformats.org/officeDocument/2006/relationships" r:id="rId9"/>
          <a:extLst>
            <a:ext uri="{FF2B5EF4-FFF2-40B4-BE49-F238E27FC236}">
              <a16:creationId xmlns:a16="http://schemas.microsoft.com/office/drawing/2014/main" xmlns="" id="{00000000-0008-0000-2000-000011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9877425" y="2143125"/>
          <a:ext cx="409574" cy="295275"/>
        </a:xfrm>
        <a:prstGeom prst="rect">
          <a:avLst/>
        </a:prstGeom>
        <a:noFill/>
      </xdr:spPr>
    </xdr:pic>
    <xdr:clientData/>
  </xdr:oneCellAnchor>
  <xdr:twoCellAnchor>
    <xdr:from>
      <xdr:col>2</xdr:col>
      <xdr:colOff>66675</xdr:colOff>
      <xdr:row>11</xdr:row>
      <xdr:rowOff>104775</xdr:rowOff>
    </xdr:from>
    <xdr:to>
      <xdr:col>2</xdr:col>
      <xdr:colOff>276225</xdr:colOff>
      <xdr:row>12</xdr:row>
      <xdr:rowOff>123825</xdr:rowOff>
    </xdr:to>
    <xdr:sp macro="" textlink="">
      <xdr:nvSpPr>
        <xdr:cNvPr id="18" name="Sun 17">
          <a:extLst>
            <a:ext uri="{FF2B5EF4-FFF2-40B4-BE49-F238E27FC236}">
              <a16:creationId xmlns:a16="http://schemas.microsoft.com/office/drawing/2014/main" xmlns="" id="{00000000-0008-0000-2000-000012000000}"/>
            </a:ext>
          </a:extLst>
        </xdr:cNvPr>
        <xdr:cNvSpPr/>
      </xdr:nvSpPr>
      <xdr:spPr>
        <a:xfrm>
          <a:off x="733425" y="2076450"/>
          <a:ext cx="209550" cy="219075"/>
        </a:xfrm>
        <a:prstGeom prst="sun">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endParaRPr lang="en-US" sz="1100"/>
        </a:p>
      </xdr:txBody>
    </xdr:sp>
    <xdr:clientData/>
  </xdr:twoCellAnchor>
  <xdr:twoCellAnchor>
    <xdr:from>
      <xdr:col>7</xdr:col>
      <xdr:colOff>171450</xdr:colOff>
      <xdr:row>11</xdr:row>
      <xdr:rowOff>104775</xdr:rowOff>
    </xdr:from>
    <xdr:to>
      <xdr:col>7</xdr:col>
      <xdr:colOff>390525</xdr:colOff>
      <xdr:row>12</xdr:row>
      <xdr:rowOff>123825</xdr:rowOff>
    </xdr:to>
    <xdr:sp macro="" textlink="">
      <xdr:nvSpPr>
        <xdr:cNvPr id="19" name="Sun 18">
          <a:extLst>
            <a:ext uri="{FF2B5EF4-FFF2-40B4-BE49-F238E27FC236}">
              <a16:creationId xmlns:a16="http://schemas.microsoft.com/office/drawing/2014/main" xmlns="" id="{00000000-0008-0000-2000-000013000000}"/>
            </a:ext>
          </a:extLst>
        </xdr:cNvPr>
        <xdr:cNvSpPr/>
      </xdr:nvSpPr>
      <xdr:spPr>
        <a:xfrm>
          <a:off x="3943350" y="2200275"/>
          <a:ext cx="219075" cy="209550"/>
        </a:xfrm>
        <a:prstGeom prst="sun">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endParaRPr lang="en-US" sz="1100"/>
        </a:p>
      </xdr:txBody>
    </xdr:sp>
    <xdr:clientData/>
  </xdr:twoCellAnchor>
  <xdr:oneCellAnchor>
    <xdr:from>
      <xdr:col>9</xdr:col>
      <xdr:colOff>847724</xdr:colOff>
      <xdr:row>5</xdr:row>
      <xdr:rowOff>180974</xdr:rowOff>
    </xdr:from>
    <xdr:ext cx="609601" cy="714376"/>
    <xdr:pic>
      <xdr:nvPicPr>
        <xdr:cNvPr id="20" name="Picture 1" descr="savings image க்கான பட முடிவு">
          <a:extLst>
            <a:ext uri="{FF2B5EF4-FFF2-40B4-BE49-F238E27FC236}">
              <a16:creationId xmlns:a16="http://schemas.microsoft.com/office/drawing/2014/main" xmlns="" id="{00000000-0008-0000-2000-00001400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5724524" y="1133474"/>
          <a:ext cx="609601" cy="714376"/>
        </a:xfrm>
        <a:prstGeom prst="rect">
          <a:avLst/>
        </a:prstGeom>
        <a:noFill/>
      </xdr:spPr>
    </xdr:pic>
    <xdr:clientData/>
  </xdr:oneCellAnchor>
  <xdr:twoCellAnchor>
    <xdr:from>
      <xdr:col>8</xdr:col>
      <xdr:colOff>304801</xdr:colOff>
      <xdr:row>57</xdr:row>
      <xdr:rowOff>142875</xdr:rowOff>
    </xdr:from>
    <xdr:to>
      <xdr:col>12</xdr:col>
      <xdr:colOff>514351</xdr:colOff>
      <xdr:row>65</xdr:row>
      <xdr:rowOff>28575</xdr:rowOff>
    </xdr:to>
    <xdr:sp macro="" textlink="">
      <xdr:nvSpPr>
        <xdr:cNvPr id="21" name="Rounded Rectangle 20">
          <a:extLst>
            <a:ext uri="{FF2B5EF4-FFF2-40B4-BE49-F238E27FC236}">
              <a16:creationId xmlns:a16="http://schemas.microsoft.com/office/drawing/2014/main" xmlns="" id="{00000000-0008-0000-2000-000015000000}"/>
            </a:ext>
          </a:extLst>
        </xdr:cNvPr>
        <xdr:cNvSpPr/>
      </xdr:nvSpPr>
      <xdr:spPr bwMode="auto">
        <a:xfrm>
          <a:off x="4629151" y="11001375"/>
          <a:ext cx="3143250" cy="1409700"/>
        </a:xfrm>
        <a:prstGeom prst="roundRect">
          <a:avLst/>
        </a:prstGeom>
        <a:noFill/>
        <a:ln w="9525">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lIns="18288" tIns="0" rIns="0" bIns="0" rtlCol="0" anchor="ctr" upright="1"/>
        <a:lstStyle/>
        <a:p>
          <a:pPr algn="ctr"/>
          <a:endParaRPr lang="en-US" sz="1100"/>
        </a:p>
      </xdr:txBody>
    </xdr:sp>
    <xdr:clientData/>
  </xdr:twoCellAnchor>
  <xdr:twoCellAnchor>
    <xdr:from>
      <xdr:col>8</xdr:col>
      <xdr:colOff>390525</xdr:colOff>
      <xdr:row>59</xdr:row>
      <xdr:rowOff>9525</xdr:rowOff>
    </xdr:from>
    <xdr:to>
      <xdr:col>9</xdr:col>
      <xdr:colOff>152400</xdr:colOff>
      <xdr:row>63</xdr:row>
      <xdr:rowOff>180975</xdr:rowOff>
    </xdr:to>
    <xdr:grpSp>
      <xdr:nvGrpSpPr>
        <xdr:cNvPr id="22" name="Group 38">
          <a:extLst>
            <a:ext uri="{FF2B5EF4-FFF2-40B4-BE49-F238E27FC236}">
              <a16:creationId xmlns:a16="http://schemas.microsoft.com/office/drawing/2014/main" xmlns="" id="{00000000-0008-0000-2000-000016000000}"/>
            </a:ext>
          </a:extLst>
        </xdr:cNvPr>
        <xdr:cNvGrpSpPr>
          <a:grpSpLocks/>
        </xdr:cNvGrpSpPr>
      </xdr:nvGrpSpPr>
      <xdr:grpSpPr bwMode="auto">
        <a:xfrm>
          <a:off x="4714875" y="11715750"/>
          <a:ext cx="314325" cy="971550"/>
          <a:chOff x="112842675" y="108899325"/>
          <a:chExt cx="762763" cy="1285875"/>
        </a:xfrm>
      </xdr:grpSpPr>
      <xdr:sp macro="" textlink="">
        <xdr:nvSpPr>
          <xdr:cNvPr id="23" name="Oval 39">
            <a:extLst>
              <a:ext uri="{FF2B5EF4-FFF2-40B4-BE49-F238E27FC236}">
                <a16:creationId xmlns:a16="http://schemas.microsoft.com/office/drawing/2014/main" xmlns="" id="{00000000-0008-0000-2000-000017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24" name="Oval 40">
            <a:extLst>
              <a:ext uri="{FF2B5EF4-FFF2-40B4-BE49-F238E27FC236}">
                <a16:creationId xmlns:a16="http://schemas.microsoft.com/office/drawing/2014/main" xmlns="" id="{00000000-0008-0000-2000-000018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25" name="Oval 41">
            <a:extLst>
              <a:ext uri="{FF2B5EF4-FFF2-40B4-BE49-F238E27FC236}">
                <a16:creationId xmlns:a16="http://schemas.microsoft.com/office/drawing/2014/main" xmlns="" id="{00000000-0008-0000-2000-000019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26" name="Oval 42">
            <a:extLst>
              <a:ext uri="{FF2B5EF4-FFF2-40B4-BE49-F238E27FC236}">
                <a16:creationId xmlns:a16="http://schemas.microsoft.com/office/drawing/2014/main" xmlns="" id="{00000000-0008-0000-2000-00001A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27" name="Oval 43">
            <a:extLst>
              <a:ext uri="{FF2B5EF4-FFF2-40B4-BE49-F238E27FC236}">
                <a16:creationId xmlns:a16="http://schemas.microsoft.com/office/drawing/2014/main" xmlns="" id="{00000000-0008-0000-2000-00001B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28" name="Oval 44">
            <a:extLst>
              <a:ext uri="{FF2B5EF4-FFF2-40B4-BE49-F238E27FC236}">
                <a16:creationId xmlns:a16="http://schemas.microsoft.com/office/drawing/2014/main" xmlns="" id="{00000000-0008-0000-2000-00001C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29" name="Oval 45">
            <a:extLst>
              <a:ext uri="{FF2B5EF4-FFF2-40B4-BE49-F238E27FC236}">
                <a16:creationId xmlns:a16="http://schemas.microsoft.com/office/drawing/2014/main" xmlns="" id="{00000000-0008-0000-2000-00001D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30" name="Oval 46">
            <a:extLst>
              <a:ext uri="{FF2B5EF4-FFF2-40B4-BE49-F238E27FC236}">
                <a16:creationId xmlns:a16="http://schemas.microsoft.com/office/drawing/2014/main" xmlns="" id="{00000000-0008-0000-2000-00001E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31" name="Oval 47">
            <a:extLst>
              <a:ext uri="{FF2B5EF4-FFF2-40B4-BE49-F238E27FC236}">
                <a16:creationId xmlns:a16="http://schemas.microsoft.com/office/drawing/2014/main" xmlns="" id="{00000000-0008-0000-2000-00001F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32" name="Oval 48">
            <a:extLst>
              <a:ext uri="{FF2B5EF4-FFF2-40B4-BE49-F238E27FC236}">
                <a16:creationId xmlns:a16="http://schemas.microsoft.com/office/drawing/2014/main" xmlns="" id="{00000000-0008-0000-2000-000020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33" name="Oval 49">
            <a:extLst>
              <a:ext uri="{FF2B5EF4-FFF2-40B4-BE49-F238E27FC236}">
                <a16:creationId xmlns:a16="http://schemas.microsoft.com/office/drawing/2014/main" xmlns="" id="{00000000-0008-0000-2000-000021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34" name="Oval 50">
            <a:extLst>
              <a:ext uri="{FF2B5EF4-FFF2-40B4-BE49-F238E27FC236}">
                <a16:creationId xmlns:a16="http://schemas.microsoft.com/office/drawing/2014/main" xmlns="" id="{00000000-0008-0000-2000-000022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35" name="Oval 51">
            <a:extLst>
              <a:ext uri="{FF2B5EF4-FFF2-40B4-BE49-F238E27FC236}">
                <a16:creationId xmlns:a16="http://schemas.microsoft.com/office/drawing/2014/main" xmlns="" id="{00000000-0008-0000-2000-000023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36" name="Oval 52">
            <a:extLst>
              <a:ext uri="{FF2B5EF4-FFF2-40B4-BE49-F238E27FC236}">
                <a16:creationId xmlns:a16="http://schemas.microsoft.com/office/drawing/2014/main" xmlns="" id="{00000000-0008-0000-2000-000024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37" name="Oval 53">
            <a:extLst>
              <a:ext uri="{FF2B5EF4-FFF2-40B4-BE49-F238E27FC236}">
                <a16:creationId xmlns:a16="http://schemas.microsoft.com/office/drawing/2014/main" xmlns="" id="{00000000-0008-0000-2000-000025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38" name="Oval 54">
            <a:extLst>
              <a:ext uri="{FF2B5EF4-FFF2-40B4-BE49-F238E27FC236}">
                <a16:creationId xmlns:a16="http://schemas.microsoft.com/office/drawing/2014/main" xmlns="" id="{00000000-0008-0000-2000-000026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39" name="Oval 55">
            <a:extLst>
              <a:ext uri="{FF2B5EF4-FFF2-40B4-BE49-F238E27FC236}">
                <a16:creationId xmlns:a16="http://schemas.microsoft.com/office/drawing/2014/main" xmlns="" id="{00000000-0008-0000-2000-000027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40" name="Oval 56">
            <a:extLst>
              <a:ext uri="{FF2B5EF4-FFF2-40B4-BE49-F238E27FC236}">
                <a16:creationId xmlns:a16="http://schemas.microsoft.com/office/drawing/2014/main" xmlns="" id="{00000000-0008-0000-2000-000028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41" name="Oval 57">
            <a:extLst>
              <a:ext uri="{FF2B5EF4-FFF2-40B4-BE49-F238E27FC236}">
                <a16:creationId xmlns:a16="http://schemas.microsoft.com/office/drawing/2014/main" xmlns="" id="{00000000-0008-0000-2000-000029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42" name="Oval 58">
            <a:extLst>
              <a:ext uri="{FF2B5EF4-FFF2-40B4-BE49-F238E27FC236}">
                <a16:creationId xmlns:a16="http://schemas.microsoft.com/office/drawing/2014/main" xmlns="" id="{00000000-0008-0000-2000-00002A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43" name="Oval 59">
            <a:extLst>
              <a:ext uri="{FF2B5EF4-FFF2-40B4-BE49-F238E27FC236}">
                <a16:creationId xmlns:a16="http://schemas.microsoft.com/office/drawing/2014/main" xmlns="" id="{00000000-0008-0000-2000-00002B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44" name="Oval 60">
            <a:extLst>
              <a:ext uri="{FF2B5EF4-FFF2-40B4-BE49-F238E27FC236}">
                <a16:creationId xmlns:a16="http://schemas.microsoft.com/office/drawing/2014/main" xmlns="" id="{00000000-0008-0000-2000-00002C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45" name="Oval 61">
            <a:extLst>
              <a:ext uri="{FF2B5EF4-FFF2-40B4-BE49-F238E27FC236}">
                <a16:creationId xmlns:a16="http://schemas.microsoft.com/office/drawing/2014/main" xmlns="" id="{00000000-0008-0000-2000-00002D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46" name="Oval 62">
            <a:extLst>
              <a:ext uri="{FF2B5EF4-FFF2-40B4-BE49-F238E27FC236}">
                <a16:creationId xmlns:a16="http://schemas.microsoft.com/office/drawing/2014/main" xmlns="" id="{00000000-0008-0000-2000-00002E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47" name="Oval 63">
            <a:extLst>
              <a:ext uri="{FF2B5EF4-FFF2-40B4-BE49-F238E27FC236}">
                <a16:creationId xmlns:a16="http://schemas.microsoft.com/office/drawing/2014/main" xmlns="" id="{00000000-0008-0000-2000-00002F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48" name="Oval 64">
            <a:extLst>
              <a:ext uri="{FF2B5EF4-FFF2-40B4-BE49-F238E27FC236}">
                <a16:creationId xmlns:a16="http://schemas.microsoft.com/office/drawing/2014/main" xmlns="" id="{00000000-0008-0000-2000-000030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49" name="Oval 65">
            <a:extLst>
              <a:ext uri="{FF2B5EF4-FFF2-40B4-BE49-F238E27FC236}">
                <a16:creationId xmlns:a16="http://schemas.microsoft.com/office/drawing/2014/main" xmlns="" id="{00000000-0008-0000-2000-000031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50" name="Oval 66">
            <a:extLst>
              <a:ext uri="{FF2B5EF4-FFF2-40B4-BE49-F238E27FC236}">
                <a16:creationId xmlns:a16="http://schemas.microsoft.com/office/drawing/2014/main" xmlns="" id="{00000000-0008-0000-2000-000032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51" name="Oval 67">
            <a:extLst>
              <a:ext uri="{FF2B5EF4-FFF2-40B4-BE49-F238E27FC236}">
                <a16:creationId xmlns:a16="http://schemas.microsoft.com/office/drawing/2014/main" xmlns="" id="{00000000-0008-0000-2000-000033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52" name="Oval 68">
            <a:extLst>
              <a:ext uri="{FF2B5EF4-FFF2-40B4-BE49-F238E27FC236}">
                <a16:creationId xmlns:a16="http://schemas.microsoft.com/office/drawing/2014/main" xmlns="" id="{00000000-0008-0000-2000-000034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53" name="Oval 69">
            <a:extLst>
              <a:ext uri="{FF2B5EF4-FFF2-40B4-BE49-F238E27FC236}">
                <a16:creationId xmlns:a16="http://schemas.microsoft.com/office/drawing/2014/main" xmlns="" id="{00000000-0008-0000-2000-000035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1</xdr:col>
      <xdr:colOff>190500</xdr:colOff>
      <xdr:row>47</xdr:row>
      <xdr:rowOff>0</xdr:rowOff>
    </xdr:from>
    <xdr:to>
      <xdr:col>6</xdr:col>
      <xdr:colOff>247650</xdr:colOff>
      <xdr:row>54</xdr:row>
      <xdr:rowOff>19050</xdr:rowOff>
    </xdr:to>
    <xdr:sp macro="" textlink="">
      <xdr:nvSpPr>
        <xdr:cNvPr id="54" name="Rounded Rectangle 53">
          <a:extLst>
            <a:ext uri="{FF2B5EF4-FFF2-40B4-BE49-F238E27FC236}">
              <a16:creationId xmlns:a16="http://schemas.microsoft.com/office/drawing/2014/main" xmlns="" id="{00000000-0008-0000-2000-000036000000}"/>
            </a:ext>
          </a:extLst>
        </xdr:cNvPr>
        <xdr:cNvSpPr/>
      </xdr:nvSpPr>
      <xdr:spPr bwMode="auto">
        <a:xfrm>
          <a:off x="485775" y="8953500"/>
          <a:ext cx="2981325" cy="1352550"/>
        </a:xfrm>
        <a:prstGeom prst="roundRect">
          <a:avLst/>
        </a:prstGeom>
        <a:noFill/>
        <a:ln w="9525">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lIns="18288" tIns="0" rIns="0" bIns="0" rtlCol="0" anchor="ctr" upright="1"/>
        <a:lstStyle/>
        <a:p>
          <a:pPr algn="ctr"/>
          <a:endParaRPr lang="en-US" sz="1100"/>
        </a:p>
      </xdr:txBody>
    </xdr:sp>
    <xdr:clientData/>
  </xdr:twoCellAnchor>
  <xdr:twoCellAnchor>
    <xdr:from>
      <xdr:col>1</xdr:col>
      <xdr:colOff>295276</xdr:colOff>
      <xdr:row>48</xdr:row>
      <xdr:rowOff>85725</xdr:rowOff>
    </xdr:from>
    <xdr:to>
      <xdr:col>2</xdr:col>
      <xdr:colOff>142875</xdr:colOff>
      <xdr:row>53</xdr:row>
      <xdr:rowOff>19050</xdr:rowOff>
    </xdr:to>
    <xdr:grpSp>
      <xdr:nvGrpSpPr>
        <xdr:cNvPr id="55" name="Group 38">
          <a:extLst>
            <a:ext uri="{FF2B5EF4-FFF2-40B4-BE49-F238E27FC236}">
              <a16:creationId xmlns:a16="http://schemas.microsoft.com/office/drawing/2014/main" xmlns="" id="{00000000-0008-0000-2000-000037000000}"/>
            </a:ext>
          </a:extLst>
        </xdr:cNvPr>
        <xdr:cNvGrpSpPr>
          <a:grpSpLocks/>
        </xdr:cNvGrpSpPr>
      </xdr:nvGrpSpPr>
      <xdr:grpSpPr bwMode="auto">
        <a:xfrm>
          <a:off x="590551" y="9515475"/>
          <a:ext cx="219074" cy="1000125"/>
          <a:chOff x="112842675" y="108899325"/>
          <a:chExt cx="762763" cy="1285875"/>
        </a:xfrm>
      </xdr:grpSpPr>
      <xdr:sp macro="" textlink="">
        <xdr:nvSpPr>
          <xdr:cNvPr id="56" name="Oval 39">
            <a:extLst>
              <a:ext uri="{FF2B5EF4-FFF2-40B4-BE49-F238E27FC236}">
                <a16:creationId xmlns:a16="http://schemas.microsoft.com/office/drawing/2014/main" xmlns="" id="{00000000-0008-0000-2000-000038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57" name="Oval 40">
            <a:extLst>
              <a:ext uri="{FF2B5EF4-FFF2-40B4-BE49-F238E27FC236}">
                <a16:creationId xmlns:a16="http://schemas.microsoft.com/office/drawing/2014/main" xmlns="" id="{00000000-0008-0000-2000-000039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58" name="Oval 41">
            <a:extLst>
              <a:ext uri="{FF2B5EF4-FFF2-40B4-BE49-F238E27FC236}">
                <a16:creationId xmlns:a16="http://schemas.microsoft.com/office/drawing/2014/main" xmlns="" id="{00000000-0008-0000-2000-00003A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59" name="Oval 42">
            <a:extLst>
              <a:ext uri="{FF2B5EF4-FFF2-40B4-BE49-F238E27FC236}">
                <a16:creationId xmlns:a16="http://schemas.microsoft.com/office/drawing/2014/main" xmlns="" id="{00000000-0008-0000-2000-00003B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60" name="Oval 43">
            <a:extLst>
              <a:ext uri="{FF2B5EF4-FFF2-40B4-BE49-F238E27FC236}">
                <a16:creationId xmlns:a16="http://schemas.microsoft.com/office/drawing/2014/main" xmlns="" id="{00000000-0008-0000-2000-00003C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61" name="Oval 44">
            <a:extLst>
              <a:ext uri="{FF2B5EF4-FFF2-40B4-BE49-F238E27FC236}">
                <a16:creationId xmlns:a16="http://schemas.microsoft.com/office/drawing/2014/main" xmlns="" id="{00000000-0008-0000-2000-00003D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62" name="Oval 45">
            <a:extLst>
              <a:ext uri="{FF2B5EF4-FFF2-40B4-BE49-F238E27FC236}">
                <a16:creationId xmlns:a16="http://schemas.microsoft.com/office/drawing/2014/main" xmlns="" id="{00000000-0008-0000-2000-00003E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63" name="Oval 46">
            <a:extLst>
              <a:ext uri="{FF2B5EF4-FFF2-40B4-BE49-F238E27FC236}">
                <a16:creationId xmlns:a16="http://schemas.microsoft.com/office/drawing/2014/main" xmlns="" id="{00000000-0008-0000-2000-00003F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64" name="Oval 47">
            <a:extLst>
              <a:ext uri="{FF2B5EF4-FFF2-40B4-BE49-F238E27FC236}">
                <a16:creationId xmlns:a16="http://schemas.microsoft.com/office/drawing/2014/main" xmlns="" id="{00000000-0008-0000-2000-000040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65" name="Oval 48">
            <a:extLst>
              <a:ext uri="{FF2B5EF4-FFF2-40B4-BE49-F238E27FC236}">
                <a16:creationId xmlns:a16="http://schemas.microsoft.com/office/drawing/2014/main" xmlns="" id="{00000000-0008-0000-2000-000041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66" name="Oval 49">
            <a:extLst>
              <a:ext uri="{FF2B5EF4-FFF2-40B4-BE49-F238E27FC236}">
                <a16:creationId xmlns:a16="http://schemas.microsoft.com/office/drawing/2014/main" xmlns="" id="{00000000-0008-0000-2000-000042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67" name="Oval 50">
            <a:extLst>
              <a:ext uri="{FF2B5EF4-FFF2-40B4-BE49-F238E27FC236}">
                <a16:creationId xmlns:a16="http://schemas.microsoft.com/office/drawing/2014/main" xmlns="" id="{00000000-0008-0000-2000-000043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68" name="Oval 51">
            <a:extLst>
              <a:ext uri="{FF2B5EF4-FFF2-40B4-BE49-F238E27FC236}">
                <a16:creationId xmlns:a16="http://schemas.microsoft.com/office/drawing/2014/main" xmlns="" id="{00000000-0008-0000-2000-000044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69" name="Oval 52">
            <a:extLst>
              <a:ext uri="{FF2B5EF4-FFF2-40B4-BE49-F238E27FC236}">
                <a16:creationId xmlns:a16="http://schemas.microsoft.com/office/drawing/2014/main" xmlns="" id="{00000000-0008-0000-2000-000045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70" name="Oval 53">
            <a:extLst>
              <a:ext uri="{FF2B5EF4-FFF2-40B4-BE49-F238E27FC236}">
                <a16:creationId xmlns:a16="http://schemas.microsoft.com/office/drawing/2014/main" xmlns="" id="{00000000-0008-0000-2000-000046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71" name="Oval 54">
            <a:extLst>
              <a:ext uri="{FF2B5EF4-FFF2-40B4-BE49-F238E27FC236}">
                <a16:creationId xmlns:a16="http://schemas.microsoft.com/office/drawing/2014/main" xmlns="" id="{00000000-0008-0000-2000-000047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72" name="Oval 55">
            <a:extLst>
              <a:ext uri="{FF2B5EF4-FFF2-40B4-BE49-F238E27FC236}">
                <a16:creationId xmlns:a16="http://schemas.microsoft.com/office/drawing/2014/main" xmlns="" id="{00000000-0008-0000-2000-000048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73" name="Oval 56">
            <a:extLst>
              <a:ext uri="{FF2B5EF4-FFF2-40B4-BE49-F238E27FC236}">
                <a16:creationId xmlns:a16="http://schemas.microsoft.com/office/drawing/2014/main" xmlns="" id="{00000000-0008-0000-2000-000049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74" name="Oval 57">
            <a:extLst>
              <a:ext uri="{FF2B5EF4-FFF2-40B4-BE49-F238E27FC236}">
                <a16:creationId xmlns:a16="http://schemas.microsoft.com/office/drawing/2014/main" xmlns="" id="{00000000-0008-0000-2000-00004A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75" name="Oval 58">
            <a:extLst>
              <a:ext uri="{FF2B5EF4-FFF2-40B4-BE49-F238E27FC236}">
                <a16:creationId xmlns:a16="http://schemas.microsoft.com/office/drawing/2014/main" xmlns="" id="{00000000-0008-0000-2000-00004B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76" name="Oval 59">
            <a:extLst>
              <a:ext uri="{FF2B5EF4-FFF2-40B4-BE49-F238E27FC236}">
                <a16:creationId xmlns:a16="http://schemas.microsoft.com/office/drawing/2014/main" xmlns="" id="{00000000-0008-0000-2000-00004C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77" name="Oval 60">
            <a:extLst>
              <a:ext uri="{FF2B5EF4-FFF2-40B4-BE49-F238E27FC236}">
                <a16:creationId xmlns:a16="http://schemas.microsoft.com/office/drawing/2014/main" xmlns="" id="{00000000-0008-0000-2000-00004D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78" name="Oval 61">
            <a:extLst>
              <a:ext uri="{FF2B5EF4-FFF2-40B4-BE49-F238E27FC236}">
                <a16:creationId xmlns:a16="http://schemas.microsoft.com/office/drawing/2014/main" xmlns="" id="{00000000-0008-0000-2000-00004E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79" name="Oval 62">
            <a:extLst>
              <a:ext uri="{FF2B5EF4-FFF2-40B4-BE49-F238E27FC236}">
                <a16:creationId xmlns:a16="http://schemas.microsoft.com/office/drawing/2014/main" xmlns="" id="{00000000-0008-0000-2000-00004F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80" name="Oval 63">
            <a:extLst>
              <a:ext uri="{FF2B5EF4-FFF2-40B4-BE49-F238E27FC236}">
                <a16:creationId xmlns:a16="http://schemas.microsoft.com/office/drawing/2014/main" xmlns="" id="{00000000-0008-0000-2000-000050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81" name="Oval 64">
            <a:extLst>
              <a:ext uri="{FF2B5EF4-FFF2-40B4-BE49-F238E27FC236}">
                <a16:creationId xmlns:a16="http://schemas.microsoft.com/office/drawing/2014/main" xmlns="" id="{00000000-0008-0000-2000-000051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82" name="Oval 65">
            <a:extLst>
              <a:ext uri="{FF2B5EF4-FFF2-40B4-BE49-F238E27FC236}">
                <a16:creationId xmlns:a16="http://schemas.microsoft.com/office/drawing/2014/main" xmlns="" id="{00000000-0008-0000-2000-000052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83" name="Oval 66">
            <a:extLst>
              <a:ext uri="{FF2B5EF4-FFF2-40B4-BE49-F238E27FC236}">
                <a16:creationId xmlns:a16="http://schemas.microsoft.com/office/drawing/2014/main" xmlns="" id="{00000000-0008-0000-2000-000053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84" name="Oval 67">
            <a:extLst>
              <a:ext uri="{FF2B5EF4-FFF2-40B4-BE49-F238E27FC236}">
                <a16:creationId xmlns:a16="http://schemas.microsoft.com/office/drawing/2014/main" xmlns="" id="{00000000-0008-0000-2000-000054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85" name="Oval 68">
            <a:extLst>
              <a:ext uri="{FF2B5EF4-FFF2-40B4-BE49-F238E27FC236}">
                <a16:creationId xmlns:a16="http://schemas.microsoft.com/office/drawing/2014/main" xmlns="" id="{00000000-0008-0000-2000-000055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86" name="Oval 69">
            <a:extLst>
              <a:ext uri="{FF2B5EF4-FFF2-40B4-BE49-F238E27FC236}">
                <a16:creationId xmlns:a16="http://schemas.microsoft.com/office/drawing/2014/main" xmlns="" id="{00000000-0008-0000-2000-000056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2</xdr:col>
      <xdr:colOff>38100</xdr:colOff>
      <xdr:row>6</xdr:row>
      <xdr:rowOff>76200</xdr:rowOff>
    </xdr:from>
    <xdr:to>
      <xdr:col>7</xdr:col>
      <xdr:colOff>609600</xdr:colOff>
      <xdr:row>8</xdr:row>
      <xdr:rowOff>142874</xdr:rowOff>
    </xdr:to>
    <xdr:sp macro="" textlink="">
      <xdr:nvSpPr>
        <xdr:cNvPr id="87" name="Plaque 86">
          <a:extLst>
            <a:ext uri="{FF2B5EF4-FFF2-40B4-BE49-F238E27FC236}">
              <a16:creationId xmlns:a16="http://schemas.microsoft.com/office/drawing/2014/main" xmlns="" id="{00000000-0008-0000-2000-000057000000}"/>
            </a:ext>
          </a:extLst>
        </xdr:cNvPr>
        <xdr:cNvSpPr/>
      </xdr:nvSpPr>
      <xdr:spPr>
        <a:xfrm>
          <a:off x="704850" y="1219200"/>
          <a:ext cx="3619500" cy="447674"/>
        </a:xfrm>
        <a:prstGeom prst="plaque">
          <a:avLst/>
        </a:prstGeom>
        <a:noFill/>
        <a:ln cap="rnd" cmpd="dbl">
          <a:gradFill flip="none" rotWithShape="1">
            <a:gsLst>
              <a:gs pos="0">
                <a:srgbClr val="FF3399"/>
              </a:gs>
              <a:gs pos="25000">
                <a:srgbClr val="FF6633"/>
              </a:gs>
              <a:gs pos="50000">
                <a:srgbClr val="FFFF00"/>
              </a:gs>
              <a:gs pos="75000">
                <a:srgbClr val="01A78F"/>
              </a:gs>
              <a:gs pos="100000">
                <a:srgbClr val="3366FF"/>
              </a:gs>
            </a:gsLst>
            <a:lin ang="2700000" scaled="0"/>
            <a:tileRect/>
          </a:gradFill>
          <a:bevel/>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n-US" sz="2000" b="1" baseline="0">
            <a:solidFill>
              <a:schemeClr val="accent2"/>
            </a:solidFill>
            <a:latin typeface="Algerian" pitchFamily="82" charset="0"/>
          </a:endParaRPr>
        </a:p>
      </xdr:txBody>
    </xdr:sp>
    <xdr:clientData/>
  </xdr:twoCellAnchor>
  <xdr:twoCellAnchor>
    <xdr:from>
      <xdr:col>9</xdr:col>
      <xdr:colOff>409575</xdr:colOff>
      <xdr:row>42</xdr:row>
      <xdr:rowOff>142875</xdr:rowOff>
    </xdr:from>
    <xdr:to>
      <xdr:col>12</xdr:col>
      <xdr:colOff>542925</xdr:colOff>
      <xdr:row>49</xdr:row>
      <xdr:rowOff>95250</xdr:rowOff>
    </xdr:to>
    <xdr:sp macro="" textlink="">
      <xdr:nvSpPr>
        <xdr:cNvPr id="88" name="Rounded Rectangle 87">
          <a:extLst>
            <a:ext uri="{FF2B5EF4-FFF2-40B4-BE49-F238E27FC236}">
              <a16:creationId xmlns:a16="http://schemas.microsoft.com/office/drawing/2014/main" xmlns="" id="{00000000-0008-0000-2000-000058000000}"/>
            </a:ext>
          </a:extLst>
        </xdr:cNvPr>
        <xdr:cNvSpPr/>
      </xdr:nvSpPr>
      <xdr:spPr bwMode="auto">
        <a:xfrm>
          <a:off x="5286375" y="8143875"/>
          <a:ext cx="2514600" cy="1285875"/>
        </a:xfrm>
        <a:prstGeom prst="roundRect">
          <a:avLst/>
        </a:prstGeom>
        <a:noFill/>
        <a:ln w="25400" cmpd="dbl">
          <a:solidFill>
            <a:schemeClr val="accent4">
              <a:lumMod val="50000"/>
            </a:schemeClr>
          </a:solidFill>
          <a:prstDash val="sysDot"/>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lIns="18288" tIns="0" rIns="0" bIns="0" rtlCol="0" anchor="ctr" upright="1"/>
        <a:lstStyle/>
        <a:p>
          <a:pPr algn="ctr"/>
          <a:endParaRPr lang="en-US" sz="1100"/>
        </a:p>
      </xdr:txBody>
    </xdr:sp>
    <xdr:clientData/>
  </xdr:twoCellAnchor>
  <xdr:twoCellAnchor>
    <xdr:from>
      <xdr:col>15</xdr:col>
      <xdr:colOff>123825</xdr:colOff>
      <xdr:row>4</xdr:row>
      <xdr:rowOff>9524</xdr:rowOff>
    </xdr:from>
    <xdr:to>
      <xdr:col>15</xdr:col>
      <xdr:colOff>428625</xdr:colOff>
      <xdr:row>5</xdr:row>
      <xdr:rowOff>19049</xdr:rowOff>
    </xdr:to>
    <xdr:sp macro="" textlink="">
      <xdr:nvSpPr>
        <xdr:cNvPr id="89" name="Down Arrow 88">
          <a:extLst>
            <a:ext uri="{FF2B5EF4-FFF2-40B4-BE49-F238E27FC236}">
              <a16:creationId xmlns:a16="http://schemas.microsoft.com/office/drawing/2014/main" xmlns="" id="{00000000-0008-0000-2000-000059000000}"/>
            </a:ext>
          </a:extLst>
        </xdr:cNvPr>
        <xdr:cNvSpPr/>
      </xdr:nvSpPr>
      <xdr:spPr>
        <a:xfrm>
          <a:off x="9191625" y="771524"/>
          <a:ext cx="304800" cy="200025"/>
        </a:xfrm>
        <a:prstGeom prst="downArrow">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endParaRPr lang="en-US" sz="1100"/>
        </a:p>
      </xdr:txBody>
    </xdr:sp>
    <xdr:clientData/>
  </xdr:twoCellAnchor>
  <xdr:oneCellAnchor>
    <xdr:from>
      <xdr:col>1</xdr:col>
      <xdr:colOff>304800</xdr:colOff>
      <xdr:row>15</xdr:row>
      <xdr:rowOff>28574</xdr:rowOff>
    </xdr:from>
    <xdr:ext cx="523875" cy="361951"/>
    <xdr:pic>
      <xdr:nvPicPr>
        <xdr:cNvPr id="90" name="Picture 1" descr="Large View">
          <a:extLst>
            <a:ext uri="{FF2B5EF4-FFF2-40B4-BE49-F238E27FC236}">
              <a16:creationId xmlns:a16="http://schemas.microsoft.com/office/drawing/2014/main" xmlns="" id="{00000000-0008-0000-2000-00005A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600075" y="2886074"/>
          <a:ext cx="523875" cy="361951"/>
        </a:xfrm>
        <a:prstGeom prst="rect">
          <a:avLst/>
        </a:prstGeom>
        <a:noFill/>
      </xdr:spPr>
    </xdr:pic>
    <xdr:clientData/>
  </xdr:oneCellAnchor>
  <xdr:oneCellAnchor>
    <xdr:from>
      <xdr:col>4</xdr:col>
      <xdr:colOff>723896</xdr:colOff>
      <xdr:row>15</xdr:row>
      <xdr:rowOff>27709</xdr:rowOff>
    </xdr:from>
    <xdr:ext cx="514354" cy="362816"/>
    <xdr:pic>
      <xdr:nvPicPr>
        <xdr:cNvPr id="91" name="Picture 1" descr="Large View">
          <a:extLst>
            <a:ext uri="{FF2B5EF4-FFF2-40B4-BE49-F238E27FC236}">
              <a16:creationId xmlns:a16="http://schemas.microsoft.com/office/drawing/2014/main" xmlns="" id="{00000000-0008-0000-2000-00005B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flipH="1">
          <a:off x="2590796" y="2885209"/>
          <a:ext cx="514354" cy="362816"/>
        </a:xfrm>
        <a:prstGeom prst="rect">
          <a:avLst/>
        </a:prstGeom>
        <a:noFill/>
      </xdr:spPr>
    </xdr:pic>
    <xdr:clientData/>
  </xdr:oneCellAnchor>
  <xdr:twoCellAnchor>
    <xdr:from>
      <xdr:col>1</xdr:col>
      <xdr:colOff>85724</xdr:colOff>
      <xdr:row>0</xdr:row>
      <xdr:rowOff>152400</xdr:rowOff>
    </xdr:from>
    <xdr:to>
      <xdr:col>13</xdr:col>
      <xdr:colOff>0</xdr:colOff>
      <xdr:row>56</xdr:row>
      <xdr:rowOff>152400</xdr:rowOff>
    </xdr:to>
    <xdr:sp macro="" textlink="">
      <xdr:nvSpPr>
        <xdr:cNvPr id="92" name="Plaque 104">
          <a:extLst>
            <a:ext uri="{FF2B5EF4-FFF2-40B4-BE49-F238E27FC236}">
              <a16:creationId xmlns:a16="http://schemas.microsoft.com/office/drawing/2014/main" xmlns="" id="{00000000-0008-0000-2000-00005C000000}"/>
            </a:ext>
          </a:extLst>
        </xdr:cNvPr>
        <xdr:cNvSpPr/>
      </xdr:nvSpPr>
      <xdr:spPr>
        <a:xfrm>
          <a:off x="380999" y="152400"/>
          <a:ext cx="7534276" cy="10668000"/>
        </a:xfrm>
        <a:custGeom>
          <a:avLst/>
          <a:gdLst>
            <a:gd name="connsiteX0" fmla="*/ 0 w 7429500"/>
            <a:gd name="connsiteY0" fmla="*/ 0 h 11144250"/>
            <a:gd name="connsiteX1" fmla="*/ 6200735 w 7429500"/>
            <a:gd name="connsiteY1" fmla="*/ 0 h 11144250"/>
            <a:gd name="connsiteX2" fmla="*/ 7429500 w 7429500"/>
            <a:gd name="connsiteY2" fmla="*/ 1228765 h 11144250"/>
            <a:gd name="connsiteX3" fmla="*/ 7429500 w 7429500"/>
            <a:gd name="connsiteY3" fmla="*/ 11144250 h 11144250"/>
            <a:gd name="connsiteX4" fmla="*/ 0 w 7429500"/>
            <a:gd name="connsiteY4" fmla="*/ 11144250 h 11144250"/>
            <a:gd name="connsiteX5" fmla="*/ 0 w 7429500"/>
            <a:gd name="connsiteY5" fmla="*/ 0 h 11144250"/>
            <a:gd name="connsiteX0" fmla="*/ 0 w 7429500"/>
            <a:gd name="connsiteY0" fmla="*/ 0 h 11144250"/>
            <a:gd name="connsiteX1" fmla="*/ 6200735 w 7429500"/>
            <a:gd name="connsiteY1" fmla="*/ 0 h 11144250"/>
            <a:gd name="connsiteX2" fmla="*/ 7429500 w 7429500"/>
            <a:gd name="connsiteY2" fmla="*/ 1228765 h 11144250"/>
            <a:gd name="connsiteX3" fmla="*/ 7305675 w 7429500"/>
            <a:gd name="connsiteY3" fmla="*/ 11039475 h 11144250"/>
            <a:gd name="connsiteX4" fmla="*/ 0 w 7429500"/>
            <a:gd name="connsiteY4" fmla="*/ 11144250 h 11144250"/>
            <a:gd name="connsiteX5" fmla="*/ 0 w 7429500"/>
            <a:gd name="connsiteY5" fmla="*/ 0 h 11144250"/>
            <a:gd name="connsiteX0" fmla="*/ 0 w 7439025"/>
            <a:gd name="connsiteY0" fmla="*/ 0 h 11201400"/>
            <a:gd name="connsiteX1" fmla="*/ 6200735 w 7439025"/>
            <a:gd name="connsiteY1" fmla="*/ 0 h 11201400"/>
            <a:gd name="connsiteX2" fmla="*/ 7429500 w 7439025"/>
            <a:gd name="connsiteY2" fmla="*/ 1228765 h 11201400"/>
            <a:gd name="connsiteX3" fmla="*/ 7439025 w 7439025"/>
            <a:gd name="connsiteY3" fmla="*/ 11201400 h 11201400"/>
            <a:gd name="connsiteX4" fmla="*/ 0 w 7439025"/>
            <a:gd name="connsiteY4" fmla="*/ 11144250 h 11201400"/>
            <a:gd name="connsiteX5" fmla="*/ 0 w 7439025"/>
            <a:gd name="connsiteY5" fmla="*/ 0 h 11201400"/>
            <a:gd name="connsiteX0" fmla="*/ 0 w 7439025"/>
            <a:gd name="connsiteY0" fmla="*/ 0 h 11201400"/>
            <a:gd name="connsiteX1" fmla="*/ 6200735 w 7439025"/>
            <a:gd name="connsiteY1" fmla="*/ 0 h 11201400"/>
            <a:gd name="connsiteX2" fmla="*/ 7429500 w 7439025"/>
            <a:gd name="connsiteY2" fmla="*/ 1228765 h 11201400"/>
            <a:gd name="connsiteX3" fmla="*/ 7439025 w 7439025"/>
            <a:gd name="connsiteY3" fmla="*/ 11201400 h 11201400"/>
            <a:gd name="connsiteX4" fmla="*/ 0 w 7439025"/>
            <a:gd name="connsiteY4" fmla="*/ 11144250 h 11201400"/>
            <a:gd name="connsiteX5" fmla="*/ 0 w 7439025"/>
            <a:gd name="connsiteY5" fmla="*/ 0 h 11201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439025" h="11201400">
              <a:moveTo>
                <a:pt x="0" y="0"/>
              </a:moveTo>
              <a:lnTo>
                <a:pt x="6200735" y="0"/>
              </a:lnTo>
              <a:cubicBezTo>
                <a:pt x="6879363" y="0"/>
                <a:pt x="7429500" y="550137"/>
                <a:pt x="7429500" y="1228765"/>
              </a:cubicBezTo>
              <a:lnTo>
                <a:pt x="7439025" y="11201400"/>
              </a:lnTo>
              <a:lnTo>
                <a:pt x="0" y="11144250"/>
              </a:lnTo>
              <a:lnTo>
                <a:pt x="0" y="0"/>
              </a:lnTo>
              <a:close/>
            </a:path>
          </a:pathLst>
        </a:custGeom>
        <a:noFill/>
        <a:ln cap="rnd" cmpd="dbl">
          <a:gradFill flip="none" rotWithShape="1">
            <a:gsLst>
              <a:gs pos="15925">
                <a:srgbClr val="00B0F0"/>
              </a:gs>
              <a:gs pos="0">
                <a:srgbClr val="C00000"/>
              </a:gs>
              <a:gs pos="25000">
                <a:srgbClr val="FF6633"/>
              </a:gs>
              <a:gs pos="50000">
                <a:schemeClr val="accent6">
                  <a:lumMod val="60000"/>
                  <a:lumOff val="40000"/>
                </a:schemeClr>
              </a:gs>
              <a:gs pos="63725">
                <a:srgbClr val="00B050"/>
              </a:gs>
              <a:gs pos="34525">
                <a:srgbClr val="7030A0"/>
              </a:gs>
              <a:gs pos="87600">
                <a:srgbClr val="002060"/>
              </a:gs>
              <a:gs pos="75000">
                <a:schemeClr val="accent2">
                  <a:lumMod val="50000"/>
                </a:schemeClr>
              </a:gs>
              <a:gs pos="100000">
                <a:schemeClr val="accent6">
                  <a:lumMod val="75000"/>
                </a:schemeClr>
              </a:gs>
            </a:gsLst>
            <a:lin ang="2700000" scaled="0"/>
            <a:tileRect/>
          </a:gradFill>
          <a:prstDash val="sysDash"/>
          <a:bevel/>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n-US" sz="2000" b="1" baseline="0">
            <a:solidFill>
              <a:schemeClr val="accent2"/>
            </a:solidFill>
            <a:latin typeface="Algerian" pitchFamily="82" charset="0"/>
          </a:endParaRPr>
        </a:p>
      </xdr:txBody>
    </xdr:sp>
    <xdr:clientData/>
  </xdr:twoCellAnchor>
  <xdr:twoCellAnchor>
    <xdr:from>
      <xdr:col>9</xdr:col>
      <xdr:colOff>428626</xdr:colOff>
      <xdr:row>12</xdr:row>
      <xdr:rowOff>19050</xdr:rowOff>
    </xdr:from>
    <xdr:to>
      <xdr:col>12</xdr:col>
      <xdr:colOff>257176</xdr:colOff>
      <xdr:row>19</xdr:row>
      <xdr:rowOff>28575</xdr:rowOff>
    </xdr:to>
    <xdr:sp macro="" textlink="">
      <xdr:nvSpPr>
        <xdr:cNvPr id="93" name="Plaque 92">
          <a:extLst>
            <a:ext uri="{FF2B5EF4-FFF2-40B4-BE49-F238E27FC236}">
              <a16:creationId xmlns:a16="http://schemas.microsoft.com/office/drawing/2014/main" xmlns="" id="{00000000-0008-0000-2000-00005D000000}"/>
            </a:ext>
          </a:extLst>
        </xdr:cNvPr>
        <xdr:cNvSpPr/>
      </xdr:nvSpPr>
      <xdr:spPr>
        <a:xfrm>
          <a:off x="5305426" y="2305050"/>
          <a:ext cx="2209800" cy="1343025"/>
        </a:xfrm>
        <a:prstGeom prst="plaque">
          <a:avLst/>
        </a:prstGeom>
        <a:noFill/>
        <a:ln cap="rnd" cmpd="dbl">
          <a:gradFill flip="none" rotWithShape="1">
            <a:gsLst>
              <a:gs pos="0">
                <a:srgbClr val="7030A0"/>
              </a:gs>
              <a:gs pos="25000">
                <a:srgbClr val="00B050"/>
              </a:gs>
              <a:gs pos="50000">
                <a:srgbClr val="FFFF00"/>
              </a:gs>
              <a:gs pos="75000">
                <a:schemeClr val="accent2">
                  <a:lumMod val="50000"/>
                </a:schemeClr>
              </a:gs>
              <a:gs pos="100000">
                <a:schemeClr val="accent5">
                  <a:lumMod val="50000"/>
                </a:schemeClr>
              </a:gs>
            </a:gsLst>
            <a:lin ang="2700000" scaled="0"/>
            <a:tileRect/>
          </a:gradFill>
          <a:prstDash val="sysDash"/>
          <a:bevel/>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n-US" sz="2000" b="1" baseline="0">
            <a:solidFill>
              <a:schemeClr val="accent2"/>
            </a:solidFill>
            <a:latin typeface="Algerian" pitchFamily="82" charset="0"/>
          </a:endParaRPr>
        </a:p>
      </xdr:txBody>
    </xdr:sp>
    <xdr:clientData/>
  </xdr:twoCellAnchor>
  <xdr:oneCellAnchor>
    <xdr:from>
      <xdr:col>9</xdr:col>
      <xdr:colOff>485290</xdr:colOff>
      <xdr:row>46</xdr:row>
      <xdr:rowOff>123824</xdr:rowOff>
    </xdr:from>
    <xdr:ext cx="562460" cy="495302"/>
    <xdr:pic>
      <xdr:nvPicPr>
        <xdr:cNvPr id="94" name="Picture 93">
          <a:extLst>
            <a:ext uri="{FF2B5EF4-FFF2-40B4-BE49-F238E27FC236}">
              <a16:creationId xmlns:a16="http://schemas.microsoft.com/office/drawing/2014/main" xmlns="" id="{00000000-0008-0000-2000-00005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5362090" y="8886824"/>
          <a:ext cx="562460" cy="495302"/>
        </a:xfrm>
        <a:prstGeom prst="rect">
          <a:avLst/>
        </a:prstGeom>
      </xdr:spPr>
    </xdr:pic>
    <xdr:clientData/>
  </xdr:oneCellAnchor>
  <xdr:oneCellAnchor>
    <xdr:from>
      <xdr:col>5</xdr:col>
      <xdr:colOff>514350</xdr:colOff>
      <xdr:row>13</xdr:row>
      <xdr:rowOff>28575</xdr:rowOff>
    </xdr:from>
    <xdr:ext cx="2105025" cy="676275"/>
    <xdr:pic>
      <xdr:nvPicPr>
        <xdr:cNvPr id="95" name="Picture 94">
          <a:extLst>
            <a:ext uri="{FF2B5EF4-FFF2-40B4-BE49-F238E27FC236}">
              <a16:creationId xmlns:a16="http://schemas.microsoft.com/office/drawing/2014/main" xmlns="" id="{00000000-0008-0000-2000-00005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xmlns="" val="0"/>
            </a:ext>
          </a:extLst>
        </a:blip>
        <a:srcRect/>
        <a:stretch>
          <a:fillRect/>
        </a:stretch>
      </xdr:blipFill>
      <xdr:spPr bwMode="auto">
        <a:xfrm>
          <a:off x="3181350" y="2505075"/>
          <a:ext cx="2105025" cy="67627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twoCellAnchor>
    <xdr:from>
      <xdr:col>9</xdr:col>
      <xdr:colOff>47625</xdr:colOff>
      <xdr:row>49</xdr:row>
      <xdr:rowOff>200025</xdr:rowOff>
    </xdr:from>
    <xdr:to>
      <xdr:col>12</xdr:col>
      <xdr:colOff>628651</xdr:colOff>
      <xdr:row>56</xdr:row>
      <xdr:rowOff>57150</xdr:rowOff>
    </xdr:to>
    <xdr:sp macro="" textlink="">
      <xdr:nvSpPr>
        <xdr:cNvPr id="96" name="Rounded Rectangle 95">
          <a:extLst>
            <a:ext uri="{FF2B5EF4-FFF2-40B4-BE49-F238E27FC236}">
              <a16:creationId xmlns:a16="http://schemas.microsoft.com/office/drawing/2014/main" xmlns="" id="{00000000-0008-0000-2000-000060000000}"/>
            </a:ext>
          </a:extLst>
        </xdr:cNvPr>
        <xdr:cNvSpPr/>
      </xdr:nvSpPr>
      <xdr:spPr bwMode="auto">
        <a:xfrm>
          <a:off x="4924425" y="9858375"/>
          <a:ext cx="2962276" cy="1323975"/>
        </a:xfrm>
        <a:prstGeom prst="roundRect">
          <a:avLst/>
        </a:prstGeom>
        <a:noFill/>
        <a:ln w="19050">
          <a:prstDash val="sysDot"/>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lIns="18288" tIns="0" rIns="0" bIns="0" rtlCol="0" anchor="ctr" upright="1"/>
        <a:lstStyle/>
        <a:p>
          <a:pPr algn="ctr"/>
          <a:endParaRPr 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4</xdr:col>
      <xdr:colOff>76200</xdr:colOff>
      <xdr:row>17</xdr:row>
      <xdr:rowOff>123825</xdr:rowOff>
    </xdr:from>
    <xdr:to>
      <xdr:col>4</xdr:col>
      <xdr:colOff>314325</xdr:colOff>
      <xdr:row>19</xdr:row>
      <xdr:rowOff>9525</xdr:rowOff>
    </xdr:to>
    <xdr:sp macro="" textlink="">
      <xdr:nvSpPr>
        <xdr:cNvPr id="2" name="Down Arrow 1">
          <a:extLst>
            <a:ext uri="{FF2B5EF4-FFF2-40B4-BE49-F238E27FC236}">
              <a16:creationId xmlns:a16="http://schemas.microsoft.com/office/drawing/2014/main" xmlns="" id="{00000000-0008-0000-2100-000002000000}"/>
            </a:ext>
          </a:extLst>
        </xdr:cNvPr>
        <xdr:cNvSpPr/>
      </xdr:nvSpPr>
      <xdr:spPr>
        <a:xfrm>
          <a:off x="1933575" y="3362325"/>
          <a:ext cx="238125" cy="266700"/>
        </a:xfrm>
        <a:prstGeom prst="downArrow">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152401</xdr:colOff>
      <xdr:row>5</xdr:row>
      <xdr:rowOff>180974</xdr:rowOff>
    </xdr:from>
    <xdr:ext cx="1381124" cy="857251"/>
    <xdr:pic>
      <xdr:nvPicPr>
        <xdr:cNvPr id="3" name="Picture 2">
          <a:extLst>
            <a:ext uri="{FF2B5EF4-FFF2-40B4-BE49-F238E27FC236}">
              <a16:creationId xmlns:a16="http://schemas.microsoft.com/office/drawing/2014/main" xmlns="" id="{00000000-0008-0000-2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52401" y="1133474"/>
          <a:ext cx="1381124" cy="857251"/>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twoCellAnchor>
    <xdr:from>
      <xdr:col>4</xdr:col>
      <xdr:colOff>380999</xdr:colOff>
      <xdr:row>0</xdr:row>
      <xdr:rowOff>47625</xdr:rowOff>
    </xdr:from>
    <xdr:to>
      <xdr:col>11</xdr:col>
      <xdr:colOff>428624</xdr:colOff>
      <xdr:row>2</xdr:row>
      <xdr:rowOff>76200</xdr:rowOff>
    </xdr:to>
    <xdr:sp macro="" textlink="">
      <xdr:nvSpPr>
        <xdr:cNvPr id="4" name="Rounded Rectangle 3">
          <a:extLst>
            <a:ext uri="{FF2B5EF4-FFF2-40B4-BE49-F238E27FC236}">
              <a16:creationId xmlns:a16="http://schemas.microsoft.com/office/drawing/2014/main" xmlns="" id="{00000000-0008-0000-2100-000004000000}"/>
            </a:ext>
          </a:extLst>
        </xdr:cNvPr>
        <xdr:cNvSpPr/>
      </xdr:nvSpPr>
      <xdr:spPr>
        <a:xfrm>
          <a:off x="2238374" y="47625"/>
          <a:ext cx="3629025" cy="409575"/>
        </a:xfrm>
        <a:prstGeom prst="roundRect">
          <a:avLst/>
        </a:prstGeom>
        <a:noFill/>
        <a:ln w="57150" cmpd="dbl">
          <a:solidFill>
            <a:schemeClr val="accent6">
              <a:lumMod val="75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400050</xdr:colOff>
      <xdr:row>0</xdr:row>
      <xdr:rowOff>66675</xdr:rowOff>
    </xdr:from>
    <xdr:to>
      <xdr:col>3</xdr:col>
      <xdr:colOff>152400</xdr:colOff>
      <xdr:row>3</xdr:row>
      <xdr:rowOff>180975</xdr:rowOff>
    </xdr:to>
    <xdr:pic>
      <xdr:nvPicPr>
        <xdr:cNvPr id="5" name="image02.gif">
          <a:extLst>
            <a:ext uri="{FF2B5EF4-FFF2-40B4-BE49-F238E27FC236}">
              <a16:creationId xmlns:a16="http://schemas.microsoft.com/office/drawing/2014/main" xmlns="" id="{00000000-0008-0000-2100-000005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771525" y="66675"/>
          <a:ext cx="971550" cy="685800"/>
        </a:xfrm>
        <a:prstGeom prst="ellipse">
          <a:avLst/>
        </a:prstGeom>
        <a:ln w="6350" cap="rnd" cmpd="dbl">
          <a:solidFill>
            <a:srgbClr val="FFFF00"/>
          </a:solidFill>
          <a:prstDash val="solid"/>
        </a:ln>
        <a:effectLst>
          <a:outerShdw blurRad="127000" algn="bl" rotWithShape="0">
            <a:srgbClr val="000000"/>
          </a:outerShdw>
        </a:effectLst>
        <a:scene3d>
          <a:camera prst="perspectiveFront" fov="5400000"/>
          <a:lightRig rig="threePt" dir="t">
            <a:rot lat="0" lon="0" rev="19200000"/>
          </a:lightRig>
        </a:scene3d>
        <a:sp3d extrusionH="25400">
          <a:bevelT w="304800" h="152400" prst="hardEdge"/>
          <a:extrusionClr>
            <a:srgbClr val="000000"/>
          </a:extrusionClr>
        </a:sp3d>
      </xdr:spPr>
    </xdr:pic>
    <xdr:clientData/>
  </xdr:twoCellAnchor>
  <xdr:oneCellAnchor>
    <xdr:from>
      <xdr:col>1</xdr:col>
      <xdr:colOff>180975</xdr:colOff>
      <xdr:row>22</xdr:row>
      <xdr:rowOff>114301</xdr:rowOff>
    </xdr:from>
    <xdr:ext cx="971550" cy="923924"/>
    <xdr:pic>
      <xdr:nvPicPr>
        <xdr:cNvPr id="7" name="Picture 6">
          <a:extLst>
            <a:ext uri="{FF2B5EF4-FFF2-40B4-BE49-F238E27FC236}">
              <a16:creationId xmlns:a16="http://schemas.microsoft.com/office/drawing/2014/main" xmlns="" id="{00000000-0008-0000-21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552450" y="4305301"/>
          <a:ext cx="971550" cy="923924"/>
        </a:xfrm>
        <a:prstGeom prst="ellipse">
          <a:avLst/>
        </a:prstGeom>
        <a:ln>
          <a:noFill/>
        </a:ln>
        <a:effectLst>
          <a:softEdge rad="112500"/>
        </a:effectLst>
        <a:scene3d>
          <a:camera prst="orthographicFront"/>
          <a:lightRig rig="threePt" dir="t"/>
        </a:scene3d>
        <a:sp3d>
          <a:bevelT prst="relaxedInset"/>
        </a:sp3d>
      </xdr:spPr>
    </xdr:pic>
    <xdr:clientData/>
  </xdr:oneCellAnchor>
  <xdr:twoCellAnchor>
    <xdr:from>
      <xdr:col>0</xdr:col>
      <xdr:colOff>380999</xdr:colOff>
      <xdr:row>22</xdr:row>
      <xdr:rowOff>0</xdr:rowOff>
    </xdr:from>
    <xdr:to>
      <xdr:col>11</xdr:col>
      <xdr:colOff>12700</xdr:colOff>
      <xdr:row>27</xdr:row>
      <xdr:rowOff>171450</xdr:rowOff>
    </xdr:to>
    <xdr:sp macro="" textlink="">
      <xdr:nvSpPr>
        <xdr:cNvPr id="9" name="Rounded Rectangle 8">
          <a:extLst>
            <a:ext uri="{FF2B5EF4-FFF2-40B4-BE49-F238E27FC236}">
              <a16:creationId xmlns:a16="http://schemas.microsoft.com/office/drawing/2014/main" xmlns="" id="{00000000-0008-0000-2100-000009000000}"/>
            </a:ext>
          </a:extLst>
        </xdr:cNvPr>
        <xdr:cNvSpPr/>
      </xdr:nvSpPr>
      <xdr:spPr>
        <a:xfrm>
          <a:off x="380999" y="4648200"/>
          <a:ext cx="5219701" cy="1060450"/>
        </a:xfrm>
        <a:prstGeom prst="round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276225</xdr:colOff>
      <xdr:row>3</xdr:row>
      <xdr:rowOff>0</xdr:rowOff>
    </xdr:from>
    <xdr:to>
      <xdr:col>11</xdr:col>
      <xdr:colOff>95250</xdr:colOff>
      <xdr:row>5</xdr:row>
      <xdr:rowOff>9524</xdr:rowOff>
    </xdr:to>
    <xdr:sp macro="" textlink="">
      <xdr:nvSpPr>
        <xdr:cNvPr id="14" name="Plaque 13">
          <a:extLst>
            <a:ext uri="{FF2B5EF4-FFF2-40B4-BE49-F238E27FC236}">
              <a16:creationId xmlns:a16="http://schemas.microsoft.com/office/drawing/2014/main" xmlns="" id="{00000000-0008-0000-2100-00000E000000}"/>
            </a:ext>
          </a:extLst>
        </xdr:cNvPr>
        <xdr:cNvSpPr/>
      </xdr:nvSpPr>
      <xdr:spPr>
        <a:xfrm>
          <a:off x="2619375" y="571500"/>
          <a:ext cx="2914650" cy="390524"/>
        </a:xfrm>
        <a:prstGeom prst="plaque">
          <a:avLst/>
        </a:prstGeom>
        <a:noFill/>
        <a:ln cap="rnd" cmpd="dbl">
          <a:gradFill flip="none" rotWithShape="1">
            <a:gsLst>
              <a:gs pos="0">
                <a:srgbClr val="FF3399"/>
              </a:gs>
              <a:gs pos="25000">
                <a:srgbClr val="FF6633"/>
              </a:gs>
              <a:gs pos="50000">
                <a:srgbClr val="FFFF00"/>
              </a:gs>
              <a:gs pos="75000">
                <a:srgbClr val="01A78F"/>
              </a:gs>
              <a:gs pos="100000">
                <a:srgbClr val="3366FF"/>
              </a:gs>
            </a:gsLst>
            <a:lin ang="2700000" scaled="0"/>
            <a:tileRect/>
          </a:gradFill>
          <a:bevel/>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n-US" sz="2000" b="1" baseline="0">
            <a:solidFill>
              <a:schemeClr val="accent2"/>
            </a:solidFill>
            <a:latin typeface="Algerian" pitchFamily="82" charset="0"/>
          </a:endParaRPr>
        </a:p>
      </xdr:txBody>
    </xdr:sp>
    <xdr:clientData/>
  </xdr:twoCellAnchor>
  <xdr:twoCellAnchor>
    <xdr:from>
      <xdr:col>13</xdr:col>
      <xdr:colOff>438150</xdr:colOff>
      <xdr:row>13</xdr:row>
      <xdr:rowOff>180975</xdr:rowOff>
    </xdr:from>
    <xdr:to>
      <xdr:col>14</xdr:col>
      <xdr:colOff>381000</xdr:colOff>
      <xdr:row>15</xdr:row>
      <xdr:rowOff>238125</xdr:rowOff>
    </xdr:to>
    <xdr:pic>
      <xdr:nvPicPr>
        <xdr:cNvPr id="15" name="image33.png">
          <a:hlinkClick xmlns:r="http://schemas.openxmlformats.org/officeDocument/2006/relationships" r:id="rId4"/>
          <a:extLst>
            <a:ext uri="{FF2B5EF4-FFF2-40B4-BE49-F238E27FC236}">
              <a16:creationId xmlns:a16="http://schemas.microsoft.com/office/drawing/2014/main" xmlns="" id="{00000000-0008-0000-2100-00000F000000}"/>
            </a:ext>
          </a:extLst>
        </xdr:cNvPr>
        <xdr:cNvPicPr preferRelativeResize="0"/>
      </xdr:nvPicPr>
      <xdr:blipFill>
        <a:blip xmlns:r="http://schemas.openxmlformats.org/officeDocument/2006/relationships" r:embed="rId5" cstate="print"/>
        <a:stretch>
          <a:fillRect/>
        </a:stretch>
      </xdr:blipFill>
      <xdr:spPr>
        <a:xfrm>
          <a:off x="6581775" y="3095625"/>
          <a:ext cx="409575" cy="457200"/>
        </a:xfrm>
        <a:prstGeom prst="rect">
          <a:avLst/>
        </a:prstGeom>
        <a:noFill/>
      </xdr:spPr>
    </xdr:pic>
    <xdr:clientData fLocksWithSheet="0"/>
  </xdr:twoCellAnchor>
  <xdr:oneCellAnchor>
    <xdr:from>
      <xdr:col>15</xdr:col>
      <xdr:colOff>342900</xdr:colOff>
      <xdr:row>19</xdr:row>
      <xdr:rowOff>9525</xdr:rowOff>
    </xdr:from>
    <xdr:ext cx="409574" cy="390525"/>
    <xdr:pic>
      <xdr:nvPicPr>
        <xdr:cNvPr id="17" name="Picture 2">
          <a:hlinkClick xmlns:r="http://schemas.openxmlformats.org/officeDocument/2006/relationships" r:id="rId6"/>
          <a:extLst>
            <a:ext uri="{FF2B5EF4-FFF2-40B4-BE49-F238E27FC236}">
              <a16:creationId xmlns:a16="http://schemas.microsoft.com/office/drawing/2014/main" xmlns="" id="{00000000-0008-0000-2100-000011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7677150" y="4191000"/>
          <a:ext cx="409574" cy="390525"/>
        </a:xfrm>
        <a:prstGeom prst="rect">
          <a:avLst/>
        </a:prstGeom>
        <a:noFill/>
      </xdr:spPr>
    </xdr:pic>
    <xdr:clientData/>
  </xdr:oneCellAnchor>
</xdr:wsDr>
</file>

<file path=xl/drawings/drawing30.xml><?xml version="1.0" encoding="utf-8"?>
<xdr:wsDr xmlns:xdr="http://schemas.openxmlformats.org/drawingml/2006/spreadsheetDrawing" xmlns:a="http://schemas.openxmlformats.org/drawingml/2006/main">
  <xdr:twoCellAnchor>
    <xdr:from>
      <xdr:col>0</xdr:col>
      <xdr:colOff>285750</xdr:colOff>
      <xdr:row>1</xdr:row>
      <xdr:rowOff>0</xdr:rowOff>
    </xdr:from>
    <xdr:to>
      <xdr:col>3</xdr:col>
      <xdr:colOff>104775</xdr:colOff>
      <xdr:row>4</xdr:row>
      <xdr:rowOff>76201</xdr:rowOff>
    </xdr:to>
    <xdr:pic>
      <xdr:nvPicPr>
        <xdr:cNvPr id="2" name="image00.jpg">
          <a:extLst>
            <a:ext uri="{FF2B5EF4-FFF2-40B4-BE49-F238E27FC236}">
              <a16:creationId xmlns:a16="http://schemas.microsoft.com/office/drawing/2014/main" xmlns="" id="{00000000-0008-0000-2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0" y="190500"/>
          <a:ext cx="1190625" cy="647701"/>
        </a:xfrm>
        <a:prstGeom prst="rect">
          <a:avLst/>
        </a:prstGeom>
        <a:noFill/>
        <a:ln w="9525">
          <a:noFill/>
          <a:round/>
          <a:headEnd/>
          <a:tailEnd/>
        </a:ln>
      </xdr:spPr>
    </xdr:pic>
    <xdr:clientData/>
  </xdr:twoCellAnchor>
  <xdr:twoCellAnchor>
    <xdr:from>
      <xdr:col>3</xdr:col>
      <xdr:colOff>619125</xdr:colOff>
      <xdr:row>1</xdr:row>
      <xdr:rowOff>28576</xdr:rowOff>
    </xdr:from>
    <xdr:to>
      <xdr:col>7</xdr:col>
      <xdr:colOff>438150</xdr:colOff>
      <xdr:row>2</xdr:row>
      <xdr:rowOff>85726</xdr:rowOff>
    </xdr:to>
    <xdr:pic>
      <xdr:nvPicPr>
        <xdr:cNvPr id="3" name="Picture 2">
          <a:extLst>
            <a:ext uri="{FF2B5EF4-FFF2-40B4-BE49-F238E27FC236}">
              <a16:creationId xmlns:a16="http://schemas.microsoft.com/office/drawing/2014/main" xmlns="" id="{00000000-0008-0000-22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990725" y="219076"/>
          <a:ext cx="3314700" cy="247650"/>
        </a:xfrm>
        <a:prstGeom prst="rect">
          <a:avLst/>
        </a:prstGeom>
        <a:noFill/>
        <a:ln w="9525">
          <a:noFill/>
          <a:round/>
          <a:headEnd/>
          <a:tailEnd/>
        </a:ln>
        <a:effectLst/>
      </xdr:spPr>
    </xdr:pic>
    <xdr:clientData/>
  </xdr:twoCellAnchor>
  <xdr:twoCellAnchor>
    <xdr:from>
      <xdr:col>3</xdr:col>
      <xdr:colOff>47626</xdr:colOff>
      <xdr:row>2</xdr:row>
      <xdr:rowOff>66675</xdr:rowOff>
    </xdr:from>
    <xdr:to>
      <xdr:col>8</xdr:col>
      <xdr:colOff>304800</xdr:colOff>
      <xdr:row>3</xdr:row>
      <xdr:rowOff>161925</xdr:rowOff>
    </xdr:to>
    <xdr:pic>
      <xdr:nvPicPr>
        <xdr:cNvPr id="4" name="Picture 3">
          <a:extLst>
            <a:ext uri="{FF2B5EF4-FFF2-40B4-BE49-F238E27FC236}">
              <a16:creationId xmlns:a16="http://schemas.microsoft.com/office/drawing/2014/main" xmlns="" id="{00000000-0008-0000-2200-00000400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419226" y="447675"/>
          <a:ext cx="4667249" cy="285750"/>
        </a:xfrm>
        <a:prstGeom prst="rect">
          <a:avLst/>
        </a:prstGeom>
        <a:noFill/>
        <a:ln w="9525">
          <a:noFill/>
          <a:round/>
          <a:headEnd/>
          <a:tailEnd/>
        </a:ln>
        <a:effectLst/>
      </xdr:spPr>
    </xdr:pic>
    <xdr:clientData/>
  </xdr:twoCellAnchor>
  <xdr:twoCellAnchor>
    <xdr:from>
      <xdr:col>13</xdr:col>
      <xdr:colOff>57150</xdr:colOff>
      <xdr:row>3</xdr:row>
      <xdr:rowOff>66676</xdr:rowOff>
    </xdr:from>
    <xdr:to>
      <xdr:col>13</xdr:col>
      <xdr:colOff>361950</xdr:colOff>
      <xdr:row>4</xdr:row>
      <xdr:rowOff>171450</xdr:rowOff>
    </xdr:to>
    <xdr:sp macro="" textlink="">
      <xdr:nvSpPr>
        <xdr:cNvPr id="5" name="Down Arrow 4">
          <a:extLst>
            <a:ext uri="{FF2B5EF4-FFF2-40B4-BE49-F238E27FC236}">
              <a16:creationId xmlns:a16="http://schemas.microsoft.com/office/drawing/2014/main" xmlns="" id="{00000000-0008-0000-2200-000005000000}"/>
            </a:ext>
          </a:extLst>
        </xdr:cNvPr>
        <xdr:cNvSpPr/>
      </xdr:nvSpPr>
      <xdr:spPr>
        <a:xfrm>
          <a:off x="8477250" y="638176"/>
          <a:ext cx="304800" cy="295274"/>
        </a:xfrm>
        <a:prstGeom prst="downArrow">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endParaRPr lang="en-US" sz="1100"/>
        </a:p>
      </xdr:txBody>
    </xdr:sp>
    <xdr:clientData/>
  </xdr:twoCellAnchor>
  <xdr:twoCellAnchor>
    <xdr:from>
      <xdr:col>1</xdr:col>
      <xdr:colOff>266700</xdr:colOff>
      <xdr:row>9</xdr:row>
      <xdr:rowOff>104775</xdr:rowOff>
    </xdr:from>
    <xdr:to>
      <xdr:col>2</xdr:col>
      <xdr:colOff>190500</xdr:colOff>
      <xdr:row>10</xdr:row>
      <xdr:rowOff>142875</xdr:rowOff>
    </xdr:to>
    <xdr:sp macro="" textlink="">
      <xdr:nvSpPr>
        <xdr:cNvPr id="6" name="Sun 5">
          <a:extLst>
            <a:ext uri="{FF2B5EF4-FFF2-40B4-BE49-F238E27FC236}">
              <a16:creationId xmlns:a16="http://schemas.microsoft.com/office/drawing/2014/main" xmlns="" id="{00000000-0008-0000-2200-000006000000}"/>
            </a:ext>
          </a:extLst>
        </xdr:cNvPr>
        <xdr:cNvSpPr/>
      </xdr:nvSpPr>
      <xdr:spPr>
        <a:xfrm>
          <a:off x="571500" y="1819275"/>
          <a:ext cx="247650" cy="228600"/>
        </a:xfrm>
        <a:prstGeom prst="sun">
          <a:avLst/>
        </a:prstGeom>
      </xdr:spPr>
      <xdr:style>
        <a:lnRef idx="0">
          <a:schemeClr val="accent5"/>
        </a:lnRef>
        <a:fillRef idx="3">
          <a:schemeClr val="accent5"/>
        </a:fillRef>
        <a:effectRef idx="3">
          <a:schemeClr val="accent5"/>
        </a:effectRef>
        <a:fontRef idx="minor">
          <a:schemeClr val="lt1"/>
        </a:fontRef>
      </xdr:style>
      <xdr:txBody>
        <a:bodyPr vertOverflow="clip" rtlCol="0" anchor="ctr"/>
        <a:lstStyle/>
        <a:p>
          <a:pPr algn="ctr"/>
          <a:endParaRPr lang="en-US" sz="1100"/>
        </a:p>
      </xdr:txBody>
    </xdr:sp>
    <xdr:clientData/>
  </xdr:twoCellAnchor>
  <xdr:oneCellAnchor>
    <xdr:from>
      <xdr:col>0</xdr:col>
      <xdr:colOff>95250</xdr:colOff>
      <xdr:row>12</xdr:row>
      <xdr:rowOff>47624</xdr:rowOff>
    </xdr:from>
    <xdr:ext cx="523875" cy="361951"/>
    <xdr:pic>
      <xdr:nvPicPr>
        <xdr:cNvPr id="7" name="Picture 1" descr="Large View">
          <a:extLst>
            <a:ext uri="{FF2B5EF4-FFF2-40B4-BE49-F238E27FC236}">
              <a16:creationId xmlns:a16="http://schemas.microsoft.com/office/drawing/2014/main" xmlns="" id="{00000000-0008-0000-2200-000007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5250" y="2333624"/>
          <a:ext cx="523875" cy="361951"/>
        </a:xfrm>
        <a:prstGeom prst="rect">
          <a:avLst/>
        </a:prstGeom>
        <a:noFill/>
      </xdr:spPr>
    </xdr:pic>
    <xdr:clientData/>
  </xdr:oneCellAnchor>
  <xdr:oneCellAnchor>
    <xdr:from>
      <xdr:col>3</xdr:col>
      <xdr:colOff>885821</xdr:colOff>
      <xdr:row>12</xdr:row>
      <xdr:rowOff>37234</xdr:rowOff>
    </xdr:from>
    <xdr:ext cx="514354" cy="362816"/>
    <xdr:pic>
      <xdr:nvPicPr>
        <xdr:cNvPr id="8" name="Picture 1" descr="Large View">
          <a:extLst>
            <a:ext uri="{FF2B5EF4-FFF2-40B4-BE49-F238E27FC236}">
              <a16:creationId xmlns:a16="http://schemas.microsoft.com/office/drawing/2014/main" xmlns="" id="{00000000-0008-0000-2200-000008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flipH="1">
          <a:off x="2200271" y="2323234"/>
          <a:ext cx="514354" cy="362816"/>
        </a:xfrm>
        <a:prstGeom prst="rect">
          <a:avLst/>
        </a:prstGeom>
        <a:noFill/>
      </xdr:spPr>
    </xdr:pic>
    <xdr:clientData/>
  </xdr:oneCellAnchor>
  <xdr:twoCellAnchor>
    <xdr:from>
      <xdr:col>5</xdr:col>
      <xdr:colOff>419100</xdr:colOff>
      <xdr:row>5</xdr:row>
      <xdr:rowOff>142875</xdr:rowOff>
    </xdr:from>
    <xdr:to>
      <xdr:col>5</xdr:col>
      <xdr:colOff>762000</xdr:colOff>
      <xdr:row>7</xdr:row>
      <xdr:rowOff>76200</xdr:rowOff>
    </xdr:to>
    <xdr:sp macro="" textlink="">
      <xdr:nvSpPr>
        <xdr:cNvPr id="9" name="Quad Arrow Callout 8">
          <a:extLst>
            <a:ext uri="{FF2B5EF4-FFF2-40B4-BE49-F238E27FC236}">
              <a16:creationId xmlns:a16="http://schemas.microsoft.com/office/drawing/2014/main" xmlns="" id="{00000000-0008-0000-2200-000009000000}"/>
            </a:ext>
          </a:extLst>
        </xdr:cNvPr>
        <xdr:cNvSpPr/>
      </xdr:nvSpPr>
      <xdr:spPr>
        <a:xfrm>
          <a:off x="3562350" y="1095375"/>
          <a:ext cx="342900" cy="314325"/>
        </a:xfrm>
        <a:prstGeom prst="quadArrowCallout">
          <a:avLst/>
        </a:prstGeom>
        <a:solidFill>
          <a:srgbClr val="7030A0"/>
        </a:solidFill>
        <a:effectLst>
          <a:outerShdw blurRad="40000" dist="20000" dir="5400000" rotWithShape="0">
            <a:srgbClr val="000000">
              <a:alpha val="38000"/>
            </a:srgbClr>
          </a:outerShdw>
          <a:softEdge rad="31750"/>
        </a:effectLst>
      </xdr:spPr>
      <xdr:style>
        <a:lnRef idx="3">
          <a:schemeClr val="lt1"/>
        </a:lnRef>
        <a:fillRef idx="1">
          <a:schemeClr val="accent4"/>
        </a:fillRef>
        <a:effectRef idx="1">
          <a:schemeClr val="accent4"/>
        </a:effectRef>
        <a:fontRef idx="minor">
          <a:schemeClr val="lt1"/>
        </a:fontRef>
      </xdr:style>
      <xdr:txBody>
        <a:bodyPr vertOverflow="clip" rtlCol="0" anchor="ctr"/>
        <a:lstStyle/>
        <a:p>
          <a:pPr algn="ctr"/>
          <a:endParaRPr lang="en-US" sz="1100"/>
        </a:p>
      </xdr:txBody>
    </xdr:sp>
    <xdr:clientData/>
  </xdr:twoCellAnchor>
  <xdr:twoCellAnchor>
    <xdr:from>
      <xdr:col>1</xdr:col>
      <xdr:colOff>9526</xdr:colOff>
      <xdr:row>5</xdr:row>
      <xdr:rowOff>104775</xdr:rowOff>
    </xdr:from>
    <xdr:to>
      <xdr:col>5</xdr:col>
      <xdr:colOff>828676</xdr:colOff>
      <xdr:row>7</xdr:row>
      <xdr:rowOff>171449</xdr:rowOff>
    </xdr:to>
    <xdr:sp macro="" textlink="">
      <xdr:nvSpPr>
        <xdr:cNvPr id="10" name="Plaque 9">
          <a:extLst>
            <a:ext uri="{FF2B5EF4-FFF2-40B4-BE49-F238E27FC236}">
              <a16:creationId xmlns:a16="http://schemas.microsoft.com/office/drawing/2014/main" xmlns="" id="{00000000-0008-0000-2200-00000A000000}"/>
            </a:ext>
          </a:extLst>
        </xdr:cNvPr>
        <xdr:cNvSpPr/>
      </xdr:nvSpPr>
      <xdr:spPr>
        <a:xfrm>
          <a:off x="314326" y="1057275"/>
          <a:ext cx="3657600" cy="447674"/>
        </a:xfrm>
        <a:prstGeom prst="plaque">
          <a:avLst/>
        </a:prstGeom>
        <a:noFill/>
        <a:ln cap="rnd" cmpd="dbl">
          <a:gradFill flip="none" rotWithShape="1">
            <a:gsLst>
              <a:gs pos="0">
                <a:srgbClr val="FF3399"/>
              </a:gs>
              <a:gs pos="25000">
                <a:srgbClr val="FF6633"/>
              </a:gs>
              <a:gs pos="50000">
                <a:srgbClr val="FFFF00"/>
              </a:gs>
              <a:gs pos="75000">
                <a:srgbClr val="01A78F"/>
              </a:gs>
              <a:gs pos="100000">
                <a:srgbClr val="3366FF"/>
              </a:gs>
            </a:gsLst>
            <a:lin ang="2700000" scaled="0"/>
            <a:tileRect/>
          </a:gradFill>
          <a:bevel/>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n-US" sz="2000" b="1" baseline="0">
            <a:solidFill>
              <a:schemeClr val="accent2"/>
            </a:solidFill>
            <a:latin typeface="Algerian" pitchFamily="82" charset="0"/>
          </a:endParaRPr>
        </a:p>
      </xdr:txBody>
    </xdr:sp>
    <xdr:clientData/>
  </xdr:twoCellAnchor>
  <xdr:twoCellAnchor>
    <xdr:from>
      <xdr:col>1</xdr:col>
      <xdr:colOff>209550</xdr:colOff>
      <xdr:row>5</xdr:row>
      <xdr:rowOff>171450</xdr:rowOff>
    </xdr:from>
    <xdr:to>
      <xdr:col>2</xdr:col>
      <xdr:colOff>228600</xdr:colOff>
      <xdr:row>7</xdr:row>
      <xdr:rowOff>104775</xdr:rowOff>
    </xdr:to>
    <xdr:sp macro="" textlink="">
      <xdr:nvSpPr>
        <xdr:cNvPr id="11" name="Quad Arrow Callout 10">
          <a:extLst>
            <a:ext uri="{FF2B5EF4-FFF2-40B4-BE49-F238E27FC236}">
              <a16:creationId xmlns:a16="http://schemas.microsoft.com/office/drawing/2014/main" xmlns="" id="{00000000-0008-0000-2200-00000B000000}"/>
            </a:ext>
          </a:extLst>
        </xdr:cNvPr>
        <xdr:cNvSpPr/>
      </xdr:nvSpPr>
      <xdr:spPr>
        <a:xfrm>
          <a:off x="514350" y="1123950"/>
          <a:ext cx="342900" cy="314325"/>
        </a:xfrm>
        <a:prstGeom prst="quadArrowCallout">
          <a:avLst/>
        </a:prstGeom>
        <a:solidFill>
          <a:srgbClr val="7030A0"/>
        </a:solidFill>
        <a:effectLst>
          <a:outerShdw blurRad="40000" dist="20000" dir="5400000" rotWithShape="0">
            <a:srgbClr val="000000">
              <a:alpha val="38000"/>
            </a:srgbClr>
          </a:outerShdw>
          <a:softEdge rad="31750"/>
        </a:effectLst>
      </xdr:spPr>
      <xdr:style>
        <a:lnRef idx="3">
          <a:schemeClr val="lt1"/>
        </a:lnRef>
        <a:fillRef idx="1">
          <a:schemeClr val="accent4"/>
        </a:fillRef>
        <a:effectRef idx="1">
          <a:schemeClr val="accent4"/>
        </a:effectRef>
        <a:fontRef idx="minor">
          <a:schemeClr val="lt1"/>
        </a:fontRef>
      </xdr:style>
      <xdr:txBody>
        <a:bodyPr vertOverflow="clip" rtlCol="0" anchor="ctr"/>
        <a:lstStyle/>
        <a:p>
          <a:pPr algn="ctr"/>
          <a:endParaRPr lang="en-US" sz="1100"/>
        </a:p>
      </xdr:txBody>
    </xdr:sp>
    <xdr:clientData/>
  </xdr:twoCellAnchor>
  <xdr:twoCellAnchor>
    <xdr:from>
      <xdr:col>5</xdr:col>
      <xdr:colOff>476250</xdr:colOff>
      <xdr:row>9</xdr:row>
      <xdr:rowOff>104775</xdr:rowOff>
    </xdr:from>
    <xdr:to>
      <xdr:col>5</xdr:col>
      <xdr:colOff>742950</xdr:colOff>
      <xdr:row>10</xdr:row>
      <xdr:rowOff>142875</xdr:rowOff>
    </xdr:to>
    <xdr:sp macro="" textlink="">
      <xdr:nvSpPr>
        <xdr:cNvPr id="12" name="Sun 11">
          <a:extLst>
            <a:ext uri="{FF2B5EF4-FFF2-40B4-BE49-F238E27FC236}">
              <a16:creationId xmlns:a16="http://schemas.microsoft.com/office/drawing/2014/main" xmlns="" id="{00000000-0008-0000-2200-00000C000000}"/>
            </a:ext>
          </a:extLst>
        </xdr:cNvPr>
        <xdr:cNvSpPr/>
      </xdr:nvSpPr>
      <xdr:spPr>
        <a:xfrm>
          <a:off x="3619500" y="1819275"/>
          <a:ext cx="266700" cy="228600"/>
        </a:xfrm>
        <a:prstGeom prst="sun">
          <a:avLst/>
        </a:prstGeom>
      </xdr:spPr>
      <xdr:style>
        <a:lnRef idx="0">
          <a:schemeClr val="accent5"/>
        </a:lnRef>
        <a:fillRef idx="3">
          <a:schemeClr val="accent5"/>
        </a:fillRef>
        <a:effectRef idx="3">
          <a:schemeClr val="accent5"/>
        </a:effectRef>
        <a:fontRef idx="minor">
          <a:schemeClr val="lt1"/>
        </a:fontRef>
      </xdr:style>
      <xdr:txBody>
        <a:bodyPr vertOverflow="clip" rtlCol="0" anchor="ctr"/>
        <a:lstStyle/>
        <a:p>
          <a:pPr algn="ctr"/>
          <a:endParaRPr lang="en-US" sz="1100"/>
        </a:p>
      </xdr:txBody>
    </xdr:sp>
    <xdr:clientData/>
  </xdr:twoCellAnchor>
  <xdr:twoCellAnchor>
    <xdr:from>
      <xdr:col>6</xdr:col>
      <xdr:colOff>161925</xdr:colOff>
      <xdr:row>51</xdr:row>
      <xdr:rowOff>152400</xdr:rowOff>
    </xdr:from>
    <xdr:to>
      <xdr:col>6</xdr:col>
      <xdr:colOff>428624</xdr:colOff>
      <xdr:row>56</xdr:row>
      <xdr:rowOff>190500</xdr:rowOff>
    </xdr:to>
    <xdr:grpSp>
      <xdr:nvGrpSpPr>
        <xdr:cNvPr id="13" name="Group 38">
          <a:extLst>
            <a:ext uri="{FF2B5EF4-FFF2-40B4-BE49-F238E27FC236}">
              <a16:creationId xmlns:a16="http://schemas.microsoft.com/office/drawing/2014/main" xmlns="" id="{00000000-0008-0000-2200-00000D000000}"/>
            </a:ext>
          </a:extLst>
        </xdr:cNvPr>
        <xdr:cNvGrpSpPr>
          <a:grpSpLocks/>
        </xdr:cNvGrpSpPr>
      </xdr:nvGrpSpPr>
      <xdr:grpSpPr bwMode="auto">
        <a:xfrm>
          <a:off x="4238625" y="10487025"/>
          <a:ext cx="266699" cy="1038225"/>
          <a:chOff x="112842675" y="108899325"/>
          <a:chExt cx="762763" cy="1285875"/>
        </a:xfrm>
      </xdr:grpSpPr>
      <xdr:sp macro="" textlink="">
        <xdr:nvSpPr>
          <xdr:cNvPr id="14" name="Oval 39">
            <a:extLst>
              <a:ext uri="{FF2B5EF4-FFF2-40B4-BE49-F238E27FC236}">
                <a16:creationId xmlns:a16="http://schemas.microsoft.com/office/drawing/2014/main" xmlns="" id="{00000000-0008-0000-2200-00000E000000}"/>
              </a:ext>
            </a:extLst>
          </xdr:cNvPr>
          <xdr:cNvSpPr>
            <a:spLocks noChangeArrowheads="1" noChangeShapeType="1"/>
          </xdr:cNvSpPr>
        </xdr:nvSpPr>
        <xdr:spPr bwMode="auto">
          <a:xfrm>
            <a:off x="112842675" y="108899325"/>
            <a:ext cx="114492" cy="117980"/>
          </a:xfrm>
          <a:prstGeom prst="ellipse">
            <a:avLst/>
          </a:prstGeom>
          <a:solidFill>
            <a:srgbClr val="330066"/>
          </a:solidFill>
          <a:ln w="0" algn="in">
            <a:noFill/>
            <a:round/>
            <a:headEnd/>
            <a:tailEnd/>
          </a:ln>
          <a:effectLst/>
        </xdr:spPr>
      </xdr:sp>
      <xdr:sp macro="" textlink="">
        <xdr:nvSpPr>
          <xdr:cNvPr id="15" name="Oval 40">
            <a:extLst>
              <a:ext uri="{FF2B5EF4-FFF2-40B4-BE49-F238E27FC236}">
                <a16:creationId xmlns:a16="http://schemas.microsoft.com/office/drawing/2014/main" xmlns="" id="{00000000-0008-0000-2200-00000F000000}"/>
              </a:ext>
            </a:extLst>
          </xdr:cNvPr>
          <xdr:cNvSpPr>
            <a:spLocks noChangeArrowheads="1" noChangeShapeType="1"/>
          </xdr:cNvSpPr>
        </xdr:nvSpPr>
        <xdr:spPr bwMode="auto">
          <a:xfrm>
            <a:off x="112842675" y="109065136"/>
            <a:ext cx="114492" cy="117987"/>
          </a:xfrm>
          <a:prstGeom prst="ellipse">
            <a:avLst/>
          </a:prstGeom>
          <a:solidFill>
            <a:srgbClr val="330066"/>
          </a:solidFill>
          <a:ln w="0" algn="in">
            <a:noFill/>
            <a:round/>
            <a:headEnd/>
            <a:tailEnd/>
          </a:ln>
          <a:effectLst/>
        </xdr:spPr>
      </xdr:sp>
      <xdr:sp macro="" textlink="">
        <xdr:nvSpPr>
          <xdr:cNvPr id="16" name="Oval 41">
            <a:extLst>
              <a:ext uri="{FF2B5EF4-FFF2-40B4-BE49-F238E27FC236}">
                <a16:creationId xmlns:a16="http://schemas.microsoft.com/office/drawing/2014/main" xmlns="" id="{00000000-0008-0000-2200-000010000000}"/>
              </a:ext>
            </a:extLst>
          </xdr:cNvPr>
          <xdr:cNvSpPr>
            <a:spLocks noChangeArrowheads="1" noChangeShapeType="1"/>
          </xdr:cNvSpPr>
        </xdr:nvSpPr>
        <xdr:spPr bwMode="auto">
          <a:xfrm>
            <a:off x="112842675" y="109232138"/>
            <a:ext cx="114492" cy="117990"/>
          </a:xfrm>
          <a:prstGeom prst="ellipse">
            <a:avLst/>
          </a:prstGeom>
          <a:solidFill>
            <a:srgbClr val="330066"/>
          </a:solidFill>
          <a:ln w="0" algn="in">
            <a:noFill/>
            <a:round/>
            <a:headEnd/>
            <a:tailEnd/>
          </a:ln>
          <a:effectLst/>
        </xdr:spPr>
      </xdr:sp>
      <xdr:sp macro="" textlink="">
        <xdr:nvSpPr>
          <xdr:cNvPr id="17" name="Oval 42">
            <a:extLst>
              <a:ext uri="{FF2B5EF4-FFF2-40B4-BE49-F238E27FC236}">
                <a16:creationId xmlns:a16="http://schemas.microsoft.com/office/drawing/2014/main" xmlns="" id="{00000000-0008-0000-2200-000011000000}"/>
              </a:ext>
            </a:extLst>
          </xdr:cNvPr>
          <xdr:cNvSpPr>
            <a:spLocks noChangeArrowheads="1" noChangeShapeType="1"/>
          </xdr:cNvSpPr>
        </xdr:nvSpPr>
        <xdr:spPr bwMode="auto">
          <a:xfrm>
            <a:off x="112842675" y="109399140"/>
            <a:ext cx="114492" cy="117988"/>
          </a:xfrm>
          <a:prstGeom prst="ellipse">
            <a:avLst/>
          </a:prstGeom>
          <a:solidFill>
            <a:srgbClr val="330066"/>
          </a:solidFill>
          <a:ln w="0" algn="in">
            <a:noFill/>
            <a:round/>
            <a:headEnd/>
            <a:tailEnd/>
          </a:ln>
          <a:effectLst/>
        </xdr:spPr>
      </xdr:sp>
      <xdr:sp macro="" textlink="">
        <xdr:nvSpPr>
          <xdr:cNvPr id="18" name="Oval 43">
            <a:extLst>
              <a:ext uri="{FF2B5EF4-FFF2-40B4-BE49-F238E27FC236}">
                <a16:creationId xmlns:a16="http://schemas.microsoft.com/office/drawing/2014/main" xmlns="" id="{00000000-0008-0000-2200-000012000000}"/>
              </a:ext>
            </a:extLst>
          </xdr:cNvPr>
          <xdr:cNvSpPr>
            <a:spLocks noChangeArrowheads="1" noChangeShapeType="1"/>
          </xdr:cNvSpPr>
        </xdr:nvSpPr>
        <xdr:spPr bwMode="auto">
          <a:xfrm>
            <a:off x="112842675" y="109566142"/>
            <a:ext cx="114492" cy="117991"/>
          </a:xfrm>
          <a:prstGeom prst="ellipse">
            <a:avLst/>
          </a:prstGeom>
          <a:solidFill>
            <a:srgbClr val="669999"/>
          </a:solidFill>
          <a:ln w="0" algn="in">
            <a:noFill/>
            <a:round/>
            <a:headEnd/>
            <a:tailEnd/>
          </a:ln>
          <a:effectLst/>
        </xdr:spPr>
      </xdr:sp>
      <xdr:sp macro="" textlink="">
        <xdr:nvSpPr>
          <xdr:cNvPr id="19" name="Oval 44">
            <a:extLst>
              <a:ext uri="{FF2B5EF4-FFF2-40B4-BE49-F238E27FC236}">
                <a16:creationId xmlns:a16="http://schemas.microsoft.com/office/drawing/2014/main" xmlns="" id="{00000000-0008-0000-2200-000013000000}"/>
              </a:ext>
            </a:extLst>
          </xdr:cNvPr>
          <xdr:cNvSpPr>
            <a:spLocks noChangeArrowheads="1" noChangeShapeType="1"/>
          </xdr:cNvSpPr>
        </xdr:nvSpPr>
        <xdr:spPr bwMode="auto">
          <a:xfrm>
            <a:off x="112842675" y="109734801"/>
            <a:ext cx="114492" cy="117987"/>
          </a:xfrm>
          <a:prstGeom prst="ellipse">
            <a:avLst/>
          </a:prstGeom>
          <a:solidFill>
            <a:srgbClr val="669999"/>
          </a:solidFill>
          <a:ln w="0" algn="in">
            <a:noFill/>
            <a:round/>
            <a:headEnd/>
            <a:tailEnd/>
          </a:ln>
          <a:effectLst/>
        </xdr:spPr>
      </xdr:sp>
      <xdr:sp macro="" textlink="">
        <xdr:nvSpPr>
          <xdr:cNvPr id="20" name="Oval 45">
            <a:extLst>
              <a:ext uri="{FF2B5EF4-FFF2-40B4-BE49-F238E27FC236}">
                <a16:creationId xmlns:a16="http://schemas.microsoft.com/office/drawing/2014/main" xmlns="" id="{00000000-0008-0000-2200-000014000000}"/>
              </a:ext>
            </a:extLst>
          </xdr:cNvPr>
          <xdr:cNvSpPr>
            <a:spLocks noChangeArrowheads="1" noChangeShapeType="1"/>
          </xdr:cNvSpPr>
        </xdr:nvSpPr>
        <xdr:spPr bwMode="auto">
          <a:xfrm>
            <a:off x="112842675" y="109900147"/>
            <a:ext cx="114492" cy="117986"/>
          </a:xfrm>
          <a:prstGeom prst="ellipse">
            <a:avLst/>
          </a:prstGeom>
          <a:solidFill>
            <a:srgbClr val="CCCC00"/>
          </a:solidFill>
          <a:ln w="0" algn="in">
            <a:noFill/>
            <a:round/>
            <a:headEnd/>
            <a:tailEnd/>
          </a:ln>
          <a:effectLst/>
        </xdr:spPr>
      </xdr:sp>
      <xdr:sp macro="" textlink="">
        <xdr:nvSpPr>
          <xdr:cNvPr id="21" name="Oval 46">
            <a:extLst>
              <a:ext uri="{FF2B5EF4-FFF2-40B4-BE49-F238E27FC236}">
                <a16:creationId xmlns:a16="http://schemas.microsoft.com/office/drawing/2014/main" xmlns="" id="{00000000-0008-0000-2200-000015000000}"/>
              </a:ext>
            </a:extLst>
          </xdr:cNvPr>
          <xdr:cNvSpPr>
            <a:spLocks noChangeArrowheads="1" noChangeShapeType="1"/>
          </xdr:cNvSpPr>
        </xdr:nvSpPr>
        <xdr:spPr bwMode="auto">
          <a:xfrm>
            <a:off x="113004730" y="108899325"/>
            <a:ext cx="114501" cy="117980"/>
          </a:xfrm>
          <a:prstGeom prst="ellipse">
            <a:avLst/>
          </a:prstGeom>
          <a:solidFill>
            <a:srgbClr val="330066"/>
          </a:solidFill>
          <a:ln w="0" algn="in">
            <a:noFill/>
            <a:round/>
            <a:headEnd/>
            <a:tailEnd/>
          </a:ln>
          <a:effectLst/>
        </xdr:spPr>
      </xdr:sp>
      <xdr:sp macro="" textlink="">
        <xdr:nvSpPr>
          <xdr:cNvPr id="22" name="Oval 47">
            <a:extLst>
              <a:ext uri="{FF2B5EF4-FFF2-40B4-BE49-F238E27FC236}">
                <a16:creationId xmlns:a16="http://schemas.microsoft.com/office/drawing/2014/main" xmlns="" id="{00000000-0008-0000-2200-000016000000}"/>
              </a:ext>
            </a:extLst>
          </xdr:cNvPr>
          <xdr:cNvSpPr>
            <a:spLocks noChangeArrowheads="1" noChangeShapeType="1"/>
          </xdr:cNvSpPr>
        </xdr:nvSpPr>
        <xdr:spPr bwMode="auto">
          <a:xfrm>
            <a:off x="113004730" y="109232138"/>
            <a:ext cx="114501" cy="117990"/>
          </a:xfrm>
          <a:prstGeom prst="ellipse">
            <a:avLst/>
          </a:prstGeom>
          <a:solidFill>
            <a:srgbClr val="330066"/>
          </a:solidFill>
          <a:ln w="0" algn="in">
            <a:noFill/>
            <a:round/>
            <a:headEnd/>
            <a:tailEnd/>
          </a:ln>
          <a:effectLst/>
        </xdr:spPr>
      </xdr:sp>
      <xdr:sp macro="" textlink="">
        <xdr:nvSpPr>
          <xdr:cNvPr id="23" name="Oval 48">
            <a:extLst>
              <a:ext uri="{FF2B5EF4-FFF2-40B4-BE49-F238E27FC236}">
                <a16:creationId xmlns:a16="http://schemas.microsoft.com/office/drawing/2014/main" xmlns="" id="{00000000-0008-0000-2200-000017000000}"/>
              </a:ext>
            </a:extLst>
          </xdr:cNvPr>
          <xdr:cNvSpPr>
            <a:spLocks noChangeArrowheads="1" noChangeShapeType="1"/>
          </xdr:cNvSpPr>
        </xdr:nvSpPr>
        <xdr:spPr bwMode="auto">
          <a:xfrm>
            <a:off x="113004730" y="109399140"/>
            <a:ext cx="114501" cy="117988"/>
          </a:xfrm>
          <a:prstGeom prst="ellipse">
            <a:avLst/>
          </a:prstGeom>
          <a:solidFill>
            <a:srgbClr val="669999"/>
          </a:solidFill>
          <a:ln w="0" algn="in">
            <a:noFill/>
            <a:round/>
            <a:headEnd/>
            <a:tailEnd/>
          </a:ln>
          <a:effectLst/>
        </xdr:spPr>
      </xdr:sp>
      <xdr:sp macro="" textlink="">
        <xdr:nvSpPr>
          <xdr:cNvPr id="24" name="Oval 49">
            <a:extLst>
              <a:ext uri="{FF2B5EF4-FFF2-40B4-BE49-F238E27FC236}">
                <a16:creationId xmlns:a16="http://schemas.microsoft.com/office/drawing/2014/main" xmlns="" id="{00000000-0008-0000-2200-000018000000}"/>
              </a:ext>
            </a:extLst>
          </xdr:cNvPr>
          <xdr:cNvSpPr>
            <a:spLocks noChangeArrowheads="1" noChangeShapeType="1"/>
          </xdr:cNvSpPr>
        </xdr:nvSpPr>
        <xdr:spPr bwMode="auto">
          <a:xfrm>
            <a:off x="113004730" y="109566142"/>
            <a:ext cx="114501" cy="117991"/>
          </a:xfrm>
          <a:prstGeom prst="ellipse">
            <a:avLst/>
          </a:prstGeom>
          <a:solidFill>
            <a:srgbClr val="669999"/>
          </a:solidFill>
          <a:ln w="0" algn="in">
            <a:noFill/>
            <a:round/>
            <a:headEnd/>
            <a:tailEnd/>
          </a:ln>
          <a:effectLst/>
        </xdr:spPr>
      </xdr:sp>
      <xdr:sp macro="" textlink="">
        <xdr:nvSpPr>
          <xdr:cNvPr id="25" name="Oval 50">
            <a:extLst>
              <a:ext uri="{FF2B5EF4-FFF2-40B4-BE49-F238E27FC236}">
                <a16:creationId xmlns:a16="http://schemas.microsoft.com/office/drawing/2014/main" xmlns="" id="{00000000-0008-0000-2200-000019000000}"/>
              </a:ext>
            </a:extLst>
          </xdr:cNvPr>
          <xdr:cNvSpPr>
            <a:spLocks noChangeArrowheads="1" noChangeShapeType="1"/>
          </xdr:cNvSpPr>
        </xdr:nvSpPr>
        <xdr:spPr bwMode="auto">
          <a:xfrm>
            <a:off x="113004730" y="109734801"/>
            <a:ext cx="114501" cy="117987"/>
          </a:xfrm>
          <a:prstGeom prst="ellipse">
            <a:avLst/>
          </a:prstGeom>
          <a:solidFill>
            <a:srgbClr val="CCCC00"/>
          </a:solidFill>
          <a:ln w="0" algn="in">
            <a:noFill/>
            <a:round/>
            <a:headEnd/>
            <a:tailEnd/>
          </a:ln>
          <a:effectLst/>
        </xdr:spPr>
      </xdr:sp>
      <xdr:sp macro="" textlink="">
        <xdr:nvSpPr>
          <xdr:cNvPr id="26" name="Oval 51">
            <a:extLst>
              <a:ext uri="{FF2B5EF4-FFF2-40B4-BE49-F238E27FC236}">
                <a16:creationId xmlns:a16="http://schemas.microsoft.com/office/drawing/2014/main" xmlns="" id="{00000000-0008-0000-2200-00001A000000}"/>
              </a:ext>
            </a:extLst>
          </xdr:cNvPr>
          <xdr:cNvSpPr>
            <a:spLocks noChangeArrowheads="1" noChangeShapeType="1"/>
          </xdr:cNvSpPr>
        </xdr:nvSpPr>
        <xdr:spPr bwMode="auto">
          <a:xfrm>
            <a:off x="113004730" y="109900147"/>
            <a:ext cx="114501" cy="117986"/>
          </a:xfrm>
          <a:prstGeom prst="ellipse">
            <a:avLst/>
          </a:prstGeom>
          <a:solidFill>
            <a:srgbClr val="CCCC00"/>
          </a:solidFill>
          <a:ln w="0" algn="in">
            <a:noFill/>
            <a:round/>
            <a:headEnd/>
            <a:tailEnd/>
          </a:ln>
          <a:effectLst/>
        </xdr:spPr>
      </xdr:sp>
      <xdr:sp macro="" textlink="">
        <xdr:nvSpPr>
          <xdr:cNvPr id="27" name="Oval 52">
            <a:extLst>
              <a:ext uri="{FF2B5EF4-FFF2-40B4-BE49-F238E27FC236}">
                <a16:creationId xmlns:a16="http://schemas.microsoft.com/office/drawing/2014/main" xmlns="" id="{00000000-0008-0000-2200-00001B000000}"/>
              </a:ext>
            </a:extLst>
          </xdr:cNvPr>
          <xdr:cNvSpPr>
            <a:spLocks noChangeArrowheads="1" noChangeShapeType="1"/>
          </xdr:cNvSpPr>
        </xdr:nvSpPr>
        <xdr:spPr bwMode="auto">
          <a:xfrm>
            <a:off x="113328859" y="110067145"/>
            <a:ext cx="114505" cy="117990"/>
          </a:xfrm>
          <a:prstGeom prst="ellipse">
            <a:avLst/>
          </a:prstGeom>
          <a:solidFill>
            <a:srgbClr val="CCCCCC"/>
          </a:solidFill>
          <a:ln w="0" algn="in">
            <a:noFill/>
            <a:round/>
            <a:headEnd/>
            <a:tailEnd/>
          </a:ln>
          <a:effectLst/>
        </xdr:spPr>
      </xdr:sp>
      <xdr:sp macro="" textlink="">
        <xdr:nvSpPr>
          <xdr:cNvPr id="28" name="Oval 53">
            <a:extLst>
              <a:ext uri="{FF2B5EF4-FFF2-40B4-BE49-F238E27FC236}">
                <a16:creationId xmlns:a16="http://schemas.microsoft.com/office/drawing/2014/main" xmlns="" id="{00000000-0008-0000-2200-00001C000000}"/>
              </a:ext>
            </a:extLst>
          </xdr:cNvPr>
          <xdr:cNvSpPr>
            <a:spLocks noChangeArrowheads="1" noChangeShapeType="1"/>
          </xdr:cNvSpPr>
        </xdr:nvSpPr>
        <xdr:spPr bwMode="auto">
          <a:xfrm>
            <a:off x="113004730" y="109065136"/>
            <a:ext cx="114501" cy="117987"/>
          </a:xfrm>
          <a:prstGeom prst="ellipse">
            <a:avLst/>
          </a:prstGeom>
          <a:solidFill>
            <a:srgbClr val="330066"/>
          </a:solidFill>
          <a:ln w="0" algn="in">
            <a:noFill/>
            <a:round/>
            <a:headEnd/>
            <a:tailEnd/>
          </a:ln>
          <a:effectLst/>
        </xdr:spPr>
      </xdr:sp>
      <xdr:sp macro="" textlink="">
        <xdr:nvSpPr>
          <xdr:cNvPr id="29" name="Oval 54">
            <a:extLst>
              <a:ext uri="{FF2B5EF4-FFF2-40B4-BE49-F238E27FC236}">
                <a16:creationId xmlns:a16="http://schemas.microsoft.com/office/drawing/2014/main" xmlns="" id="{00000000-0008-0000-2200-00001D000000}"/>
              </a:ext>
            </a:extLst>
          </xdr:cNvPr>
          <xdr:cNvSpPr>
            <a:spLocks noChangeArrowheads="1" noChangeShapeType="1"/>
          </xdr:cNvSpPr>
        </xdr:nvSpPr>
        <xdr:spPr bwMode="auto">
          <a:xfrm>
            <a:off x="113166798" y="108899325"/>
            <a:ext cx="114500" cy="117980"/>
          </a:xfrm>
          <a:prstGeom prst="ellipse">
            <a:avLst/>
          </a:prstGeom>
          <a:solidFill>
            <a:srgbClr val="330066"/>
          </a:solidFill>
          <a:ln w="0" algn="in">
            <a:noFill/>
            <a:round/>
            <a:headEnd/>
            <a:tailEnd/>
          </a:ln>
          <a:effectLst/>
        </xdr:spPr>
      </xdr:sp>
      <xdr:sp macro="" textlink="">
        <xdr:nvSpPr>
          <xdr:cNvPr id="30" name="Oval 55">
            <a:extLst>
              <a:ext uri="{FF2B5EF4-FFF2-40B4-BE49-F238E27FC236}">
                <a16:creationId xmlns:a16="http://schemas.microsoft.com/office/drawing/2014/main" xmlns="" id="{00000000-0008-0000-2200-00001E000000}"/>
              </a:ext>
            </a:extLst>
          </xdr:cNvPr>
          <xdr:cNvSpPr>
            <a:spLocks noChangeArrowheads="1" noChangeShapeType="1"/>
          </xdr:cNvSpPr>
        </xdr:nvSpPr>
        <xdr:spPr bwMode="auto">
          <a:xfrm>
            <a:off x="113166798" y="109065136"/>
            <a:ext cx="114500" cy="117987"/>
          </a:xfrm>
          <a:prstGeom prst="ellipse">
            <a:avLst/>
          </a:prstGeom>
          <a:solidFill>
            <a:srgbClr val="330066"/>
          </a:solidFill>
          <a:ln w="0" algn="in">
            <a:noFill/>
            <a:round/>
            <a:headEnd/>
            <a:tailEnd/>
          </a:ln>
          <a:effectLst/>
        </xdr:spPr>
      </xdr:sp>
      <xdr:sp macro="" textlink="">
        <xdr:nvSpPr>
          <xdr:cNvPr id="31" name="Oval 56">
            <a:extLst>
              <a:ext uri="{FF2B5EF4-FFF2-40B4-BE49-F238E27FC236}">
                <a16:creationId xmlns:a16="http://schemas.microsoft.com/office/drawing/2014/main" xmlns="" id="{00000000-0008-0000-2200-00001F000000}"/>
              </a:ext>
            </a:extLst>
          </xdr:cNvPr>
          <xdr:cNvSpPr>
            <a:spLocks noChangeArrowheads="1" noChangeShapeType="1"/>
          </xdr:cNvSpPr>
        </xdr:nvSpPr>
        <xdr:spPr bwMode="auto">
          <a:xfrm>
            <a:off x="113166798" y="109232138"/>
            <a:ext cx="114500" cy="117990"/>
          </a:xfrm>
          <a:prstGeom prst="ellipse">
            <a:avLst/>
          </a:prstGeom>
          <a:solidFill>
            <a:srgbClr val="669999"/>
          </a:solidFill>
          <a:ln w="0" algn="in">
            <a:noFill/>
            <a:round/>
            <a:headEnd/>
            <a:tailEnd/>
          </a:ln>
          <a:effectLst/>
        </xdr:spPr>
      </xdr:sp>
      <xdr:sp macro="" textlink="">
        <xdr:nvSpPr>
          <xdr:cNvPr id="32" name="Oval 57">
            <a:extLst>
              <a:ext uri="{FF2B5EF4-FFF2-40B4-BE49-F238E27FC236}">
                <a16:creationId xmlns:a16="http://schemas.microsoft.com/office/drawing/2014/main" xmlns="" id="{00000000-0008-0000-2200-000020000000}"/>
              </a:ext>
            </a:extLst>
          </xdr:cNvPr>
          <xdr:cNvSpPr>
            <a:spLocks noChangeArrowheads="1" noChangeShapeType="1"/>
          </xdr:cNvSpPr>
        </xdr:nvSpPr>
        <xdr:spPr bwMode="auto">
          <a:xfrm>
            <a:off x="113166798" y="109399140"/>
            <a:ext cx="114500" cy="117988"/>
          </a:xfrm>
          <a:prstGeom prst="ellipse">
            <a:avLst/>
          </a:prstGeom>
          <a:solidFill>
            <a:srgbClr val="669999"/>
          </a:solidFill>
          <a:ln w="0" algn="in">
            <a:noFill/>
            <a:round/>
            <a:headEnd/>
            <a:tailEnd/>
          </a:ln>
          <a:effectLst/>
        </xdr:spPr>
      </xdr:sp>
      <xdr:sp macro="" textlink="">
        <xdr:nvSpPr>
          <xdr:cNvPr id="33" name="Oval 58">
            <a:extLst>
              <a:ext uri="{FF2B5EF4-FFF2-40B4-BE49-F238E27FC236}">
                <a16:creationId xmlns:a16="http://schemas.microsoft.com/office/drawing/2014/main" xmlns="" id="{00000000-0008-0000-2200-000021000000}"/>
              </a:ext>
            </a:extLst>
          </xdr:cNvPr>
          <xdr:cNvSpPr>
            <a:spLocks noChangeArrowheads="1" noChangeShapeType="1"/>
          </xdr:cNvSpPr>
        </xdr:nvSpPr>
        <xdr:spPr bwMode="auto">
          <a:xfrm>
            <a:off x="113166798" y="109566142"/>
            <a:ext cx="114500" cy="117991"/>
          </a:xfrm>
          <a:prstGeom prst="ellipse">
            <a:avLst/>
          </a:prstGeom>
          <a:solidFill>
            <a:srgbClr val="CCCC00"/>
          </a:solidFill>
          <a:ln w="0" algn="in">
            <a:noFill/>
            <a:round/>
            <a:headEnd/>
            <a:tailEnd/>
          </a:ln>
          <a:effectLst/>
        </xdr:spPr>
      </xdr:sp>
      <xdr:sp macro="" textlink="">
        <xdr:nvSpPr>
          <xdr:cNvPr id="34" name="Oval 59">
            <a:extLst>
              <a:ext uri="{FF2B5EF4-FFF2-40B4-BE49-F238E27FC236}">
                <a16:creationId xmlns:a16="http://schemas.microsoft.com/office/drawing/2014/main" xmlns="" id="{00000000-0008-0000-2200-000022000000}"/>
              </a:ext>
            </a:extLst>
          </xdr:cNvPr>
          <xdr:cNvSpPr>
            <a:spLocks noChangeArrowheads="1" noChangeShapeType="1"/>
          </xdr:cNvSpPr>
        </xdr:nvSpPr>
        <xdr:spPr bwMode="auto">
          <a:xfrm>
            <a:off x="113166798" y="109734801"/>
            <a:ext cx="114500" cy="117987"/>
          </a:xfrm>
          <a:prstGeom prst="ellipse">
            <a:avLst/>
          </a:prstGeom>
          <a:solidFill>
            <a:srgbClr val="CCCC00"/>
          </a:solidFill>
          <a:ln w="0" algn="in">
            <a:noFill/>
            <a:round/>
            <a:headEnd/>
            <a:tailEnd/>
          </a:ln>
          <a:effectLst/>
        </xdr:spPr>
      </xdr:sp>
      <xdr:sp macro="" textlink="">
        <xdr:nvSpPr>
          <xdr:cNvPr id="35" name="Oval 60">
            <a:extLst>
              <a:ext uri="{FF2B5EF4-FFF2-40B4-BE49-F238E27FC236}">
                <a16:creationId xmlns:a16="http://schemas.microsoft.com/office/drawing/2014/main" xmlns="" id="{00000000-0008-0000-2200-000023000000}"/>
              </a:ext>
            </a:extLst>
          </xdr:cNvPr>
          <xdr:cNvSpPr>
            <a:spLocks noChangeArrowheads="1" noChangeShapeType="1"/>
          </xdr:cNvSpPr>
        </xdr:nvSpPr>
        <xdr:spPr bwMode="auto">
          <a:xfrm>
            <a:off x="113166798" y="109900147"/>
            <a:ext cx="114500" cy="117986"/>
          </a:xfrm>
          <a:prstGeom prst="ellipse">
            <a:avLst/>
          </a:prstGeom>
          <a:solidFill>
            <a:srgbClr val="CCCCCC"/>
          </a:solidFill>
          <a:ln w="0" algn="in">
            <a:noFill/>
            <a:round/>
            <a:headEnd/>
            <a:tailEnd/>
          </a:ln>
          <a:effectLst/>
        </xdr:spPr>
      </xdr:sp>
      <xdr:sp macro="" textlink="">
        <xdr:nvSpPr>
          <xdr:cNvPr id="36" name="Oval 61">
            <a:extLst>
              <a:ext uri="{FF2B5EF4-FFF2-40B4-BE49-F238E27FC236}">
                <a16:creationId xmlns:a16="http://schemas.microsoft.com/office/drawing/2014/main" xmlns="" id="{00000000-0008-0000-2200-000024000000}"/>
              </a:ext>
            </a:extLst>
          </xdr:cNvPr>
          <xdr:cNvSpPr>
            <a:spLocks noChangeArrowheads="1" noChangeShapeType="1"/>
          </xdr:cNvSpPr>
        </xdr:nvSpPr>
        <xdr:spPr bwMode="auto">
          <a:xfrm>
            <a:off x="113328859" y="109065136"/>
            <a:ext cx="114505" cy="117987"/>
          </a:xfrm>
          <a:prstGeom prst="ellipse">
            <a:avLst/>
          </a:prstGeom>
          <a:solidFill>
            <a:srgbClr val="669999"/>
          </a:solidFill>
          <a:ln w="0" algn="in">
            <a:noFill/>
            <a:round/>
            <a:headEnd/>
            <a:tailEnd/>
          </a:ln>
          <a:effectLst/>
        </xdr:spPr>
      </xdr:sp>
      <xdr:sp macro="" textlink="">
        <xdr:nvSpPr>
          <xdr:cNvPr id="37" name="Oval 62">
            <a:extLst>
              <a:ext uri="{FF2B5EF4-FFF2-40B4-BE49-F238E27FC236}">
                <a16:creationId xmlns:a16="http://schemas.microsoft.com/office/drawing/2014/main" xmlns="" id="{00000000-0008-0000-2200-000025000000}"/>
              </a:ext>
            </a:extLst>
          </xdr:cNvPr>
          <xdr:cNvSpPr>
            <a:spLocks noChangeArrowheads="1" noChangeShapeType="1"/>
          </xdr:cNvSpPr>
        </xdr:nvSpPr>
        <xdr:spPr bwMode="auto">
          <a:xfrm>
            <a:off x="113328859" y="109232138"/>
            <a:ext cx="114505" cy="117990"/>
          </a:xfrm>
          <a:prstGeom prst="ellipse">
            <a:avLst/>
          </a:prstGeom>
          <a:solidFill>
            <a:srgbClr val="669999"/>
          </a:solidFill>
          <a:ln w="0" algn="in">
            <a:noFill/>
            <a:round/>
            <a:headEnd/>
            <a:tailEnd/>
          </a:ln>
          <a:effectLst/>
        </xdr:spPr>
      </xdr:sp>
      <xdr:sp macro="" textlink="">
        <xdr:nvSpPr>
          <xdr:cNvPr id="38" name="Oval 63">
            <a:extLst>
              <a:ext uri="{FF2B5EF4-FFF2-40B4-BE49-F238E27FC236}">
                <a16:creationId xmlns:a16="http://schemas.microsoft.com/office/drawing/2014/main" xmlns="" id="{00000000-0008-0000-2200-000026000000}"/>
              </a:ext>
            </a:extLst>
          </xdr:cNvPr>
          <xdr:cNvSpPr>
            <a:spLocks noChangeArrowheads="1" noChangeShapeType="1"/>
          </xdr:cNvSpPr>
        </xdr:nvSpPr>
        <xdr:spPr bwMode="auto">
          <a:xfrm>
            <a:off x="113328859" y="109399140"/>
            <a:ext cx="114505" cy="117988"/>
          </a:xfrm>
          <a:prstGeom prst="ellipse">
            <a:avLst/>
          </a:prstGeom>
          <a:solidFill>
            <a:srgbClr val="CCCC00"/>
          </a:solidFill>
          <a:ln w="0" algn="in">
            <a:noFill/>
            <a:round/>
            <a:headEnd/>
            <a:tailEnd/>
          </a:ln>
          <a:effectLst/>
        </xdr:spPr>
      </xdr:sp>
      <xdr:sp macro="" textlink="">
        <xdr:nvSpPr>
          <xdr:cNvPr id="39" name="Oval 64">
            <a:extLst>
              <a:ext uri="{FF2B5EF4-FFF2-40B4-BE49-F238E27FC236}">
                <a16:creationId xmlns:a16="http://schemas.microsoft.com/office/drawing/2014/main" xmlns="" id="{00000000-0008-0000-2200-000027000000}"/>
              </a:ext>
            </a:extLst>
          </xdr:cNvPr>
          <xdr:cNvSpPr>
            <a:spLocks noChangeArrowheads="1" noChangeShapeType="1"/>
          </xdr:cNvSpPr>
        </xdr:nvSpPr>
        <xdr:spPr bwMode="auto">
          <a:xfrm>
            <a:off x="113328859" y="109566142"/>
            <a:ext cx="114505" cy="117991"/>
          </a:xfrm>
          <a:prstGeom prst="ellipse">
            <a:avLst/>
          </a:prstGeom>
          <a:solidFill>
            <a:srgbClr val="CCCC00"/>
          </a:solidFill>
          <a:ln w="0" algn="in">
            <a:noFill/>
            <a:round/>
            <a:headEnd/>
            <a:tailEnd/>
          </a:ln>
          <a:effectLst/>
        </xdr:spPr>
      </xdr:sp>
      <xdr:sp macro="" textlink="">
        <xdr:nvSpPr>
          <xdr:cNvPr id="40" name="Oval 65">
            <a:extLst>
              <a:ext uri="{FF2B5EF4-FFF2-40B4-BE49-F238E27FC236}">
                <a16:creationId xmlns:a16="http://schemas.microsoft.com/office/drawing/2014/main" xmlns="" id="{00000000-0008-0000-2200-000028000000}"/>
              </a:ext>
            </a:extLst>
          </xdr:cNvPr>
          <xdr:cNvSpPr>
            <a:spLocks noChangeArrowheads="1" noChangeShapeType="1"/>
          </xdr:cNvSpPr>
        </xdr:nvSpPr>
        <xdr:spPr bwMode="auto">
          <a:xfrm>
            <a:off x="113328859" y="109734801"/>
            <a:ext cx="114505" cy="117987"/>
          </a:xfrm>
          <a:prstGeom prst="ellipse">
            <a:avLst/>
          </a:prstGeom>
          <a:solidFill>
            <a:srgbClr val="CCCCCC"/>
          </a:solidFill>
          <a:ln w="0" algn="in">
            <a:noFill/>
            <a:round/>
            <a:headEnd/>
            <a:tailEnd/>
          </a:ln>
          <a:effectLst/>
        </xdr:spPr>
      </xdr:sp>
      <xdr:sp macro="" textlink="">
        <xdr:nvSpPr>
          <xdr:cNvPr id="41" name="Oval 66">
            <a:extLst>
              <a:ext uri="{FF2B5EF4-FFF2-40B4-BE49-F238E27FC236}">
                <a16:creationId xmlns:a16="http://schemas.microsoft.com/office/drawing/2014/main" xmlns="" id="{00000000-0008-0000-2200-000029000000}"/>
              </a:ext>
            </a:extLst>
          </xdr:cNvPr>
          <xdr:cNvSpPr>
            <a:spLocks noChangeArrowheads="1" noChangeShapeType="1"/>
          </xdr:cNvSpPr>
        </xdr:nvSpPr>
        <xdr:spPr bwMode="auto">
          <a:xfrm>
            <a:off x="113328859" y="109900147"/>
            <a:ext cx="114505" cy="117986"/>
          </a:xfrm>
          <a:prstGeom prst="ellipse">
            <a:avLst/>
          </a:prstGeom>
          <a:solidFill>
            <a:srgbClr val="CCCCCC"/>
          </a:solidFill>
          <a:ln w="0" algn="in">
            <a:noFill/>
            <a:round/>
            <a:headEnd/>
            <a:tailEnd/>
          </a:ln>
          <a:effectLst/>
        </xdr:spPr>
      </xdr:sp>
      <xdr:sp macro="" textlink="">
        <xdr:nvSpPr>
          <xdr:cNvPr id="42" name="Oval 67">
            <a:extLst>
              <a:ext uri="{FF2B5EF4-FFF2-40B4-BE49-F238E27FC236}">
                <a16:creationId xmlns:a16="http://schemas.microsoft.com/office/drawing/2014/main" xmlns="" id="{00000000-0008-0000-2200-00002A000000}"/>
              </a:ext>
            </a:extLst>
          </xdr:cNvPr>
          <xdr:cNvSpPr>
            <a:spLocks noChangeArrowheads="1" noChangeShapeType="1"/>
          </xdr:cNvSpPr>
        </xdr:nvSpPr>
        <xdr:spPr bwMode="auto">
          <a:xfrm>
            <a:off x="113004730" y="110067203"/>
            <a:ext cx="114501" cy="117997"/>
          </a:xfrm>
          <a:prstGeom prst="ellipse">
            <a:avLst/>
          </a:prstGeom>
          <a:solidFill>
            <a:srgbClr val="CCCCCC"/>
          </a:solidFill>
          <a:ln w="0" algn="in">
            <a:noFill/>
            <a:round/>
            <a:headEnd/>
            <a:tailEnd/>
          </a:ln>
          <a:effectLst/>
        </xdr:spPr>
      </xdr:sp>
      <xdr:sp macro="" textlink="">
        <xdr:nvSpPr>
          <xdr:cNvPr id="43" name="Oval 68">
            <a:extLst>
              <a:ext uri="{FF2B5EF4-FFF2-40B4-BE49-F238E27FC236}">
                <a16:creationId xmlns:a16="http://schemas.microsoft.com/office/drawing/2014/main" xmlns="" id="{00000000-0008-0000-2200-00002B000000}"/>
              </a:ext>
            </a:extLst>
          </xdr:cNvPr>
          <xdr:cNvSpPr>
            <a:spLocks noChangeArrowheads="1" noChangeShapeType="1"/>
          </xdr:cNvSpPr>
        </xdr:nvSpPr>
        <xdr:spPr bwMode="auto">
          <a:xfrm>
            <a:off x="113490929" y="109232138"/>
            <a:ext cx="114509" cy="117990"/>
          </a:xfrm>
          <a:prstGeom prst="ellipse">
            <a:avLst/>
          </a:prstGeom>
          <a:solidFill>
            <a:srgbClr val="CCCC00"/>
          </a:solidFill>
          <a:ln w="0" algn="in">
            <a:noFill/>
            <a:round/>
            <a:headEnd/>
            <a:tailEnd/>
          </a:ln>
          <a:effectLst/>
        </xdr:spPr>
      </xdr:sp>
      <xdr:sp macro="" textlink="">
        <xdr:nvSpPr>
          <xdr:cNvPr id="44" name="Oval 69">
            <a:extLst>
              <a:ext uri="{FF2B5EF4-FFF2-40B4-BE49-F238E27FC236}">
                <a16:creationId xmlns:a16="http://schemas.microsoft.com/office/drawing/2014/main" xmlns="" id="{00000000-0008-0000-2200-00002C000000}"/>
              </a:ext>
            </a:extLst>
          </xdr:cNvPr>
          <xdr:cNvSpPr>
            <a:spLocks noChangeArrowheads="1" noChangeShapeType="1"/>
          </xdr:cNvSpPr>
        </xdr:nvSpPr>
        <xdr:spPr bwMode="auto">
          <a:xfrm>
            <a:off x="113490929" y="109566142"/>
            <a:ext cx="114509" cy="117991"/>
          </a:xfrm>
          <a:prstGeom prst="ellipse">
            <a:avLst/>
          </a:prstGeom>
          <a:solidFill>
            <a:srgbClr val="CCCCCC"/>
          </a:solidFill>
          <a:ln w="0" algn="in">
            <a:noFill/>
            <a:round/>
            <a:headEnd/>
            <a:tailEnd/>
          </a:ln>
          <a:effectLst/>
        </xdr:spPr>
      </xdr:sp>
    </xdr:grpSp>
    <xdr:clientData/>
  </xdr:twoCellAnchor>
  <xdr:twoCellAnchor>
    <xdr:from>
      <xdr:col>5</xdr:col>
      <xdr:colOff>895350</xdr:colOff>
      <xdr:row>50</xdr:row>
      <xdr:rowOff>190499</xdr:rowOff>
    </xdr:from>
    <xdr:to>
      <xdr:col>9</xdr:col>
      <xdr:colOff>990600</xdr:colOff>
      <xdr:row>58</xdr:row>
      <xdr:rowOff>38100</xdr:rowOff>
    </xdr:to>
    <xdr:sp macro="" textlink="">
      <xdr:nvSpPr>
        <xdr:cNvPr id="45" name="Rounded Rectangle 44">
          <a:extLst>
            <a:ext uri="{FF2B5EF4-FFF2-40B4-BE49-F238E27FC236}">
              <a16:creationId xmlns:a16="http://schemas.microsoft.com/office/drawing/2014/main" xmlns="" id="{00000000-0008-0000-2200-00002D000000}"/>
            </a:ext>
          </a:extLst>
        </xdr:cNvPr>
        <xdr:cNvSpPr/>
      </xdr:nvSpPr>
      <xdr:spPr bwMode="auto">
        <a:xfrm>
          <a:off x="4038600" y="9715499"/>
          <a:ext cx="3143250" cy="1371601"/>
        </a:xfrm>
        <a:prstGeom prst="roundRect">
          <a:avLst/>
        </a:prstGeom>
        <a:noFill/>
        <a:ln w="19050" cmpd="thinThick">
          <a:prstDash val="sysDash"/>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lIns="18288" tIns="0" rIns="0" bIns="0" rtlCol="0" anchor="ctr" upright="1"/>
        <a:lstStyle/>
        <a:p>
          <a:pPr algn="ctr"/>
          <a:endParaRPr lang="en-US" sz="1100"/>
        </a:p>
      </xdr:txBody>
    </xdr:sp>
    <xdr:clientData/>
  </xdr:twoCellAnchor>
  <xdr:twoCellAnchor>
    <xdr:from>
      <xdr:col>6</xdr:col>
      <xdr:colOff>723899</xdr:colOff>
      <xdr:row>15</xdr:row>
      <xdr:rowOff>161925</xdr:rowOff>
    </xdr:from>
    <xdr:to>
      <xdr:col>10</xdr:col>
      <xdr:colOff>114300</xdr:colOff>
      <xdr:row>20</xdr:row>
      <xdr:rowOff>219075</xdr:rowOff>
    </xdr:to>
    <xdr:sp macro="" textlink="">
      <xdr:nvSpPr>
        <xdr:cNvPr id="46" name="Oval 45">
          <a:extLst>
            <a:ext uri="{FF2B5EF4-FFF2-40B4-BE49-F238E27FC236}">
              <a16:creationId xmlns:a16="http://schemas.microsoft.com/office/drawing/2014/main" xmlns="" id="{00000000-0008-0000-2200-00002E000000}"/>
            </a:ext>
          </a:extLst>
        </xdr:cNvPr>
        <xdr:cNvSpPr/>
      </xdr:nvSpPr>
      <xdr:spPr>
        <a:xfrm>
          <a:off x="4800599" y="3019425"/>
          <a:ext cx="2552701" cy="981075"/>
        </a:xfrm>
        <a:prstGeom prst="ellipse">
          <a:avLst/>
        </a:prstGeom>
        <a:noFill/>
        <a:ln cap="sq" cmpd="dbl">
          <a:gradFill>
            <a:gsLst>
              <a:gs pos="0">
                <a:srgbClr val="A603AB"/>
              </a:gs>
              <a:gs pos="21001">
                <a:srgbClr val="0819FB"/>
              </a:gs>
              <a:gs pos="35001">
                <a:srgbClr val="1A8D48"/>
              </a:gs>
              <a:gs pos="52000">
                <a:srgbClr val="FFFF00"/>
              </a:gs>
              <a:gs pos="73000">
                <a:srgbClr val="EE3F17"/>
              </a:gs>
              <a:gs pos="88000">
                <a:srgbClr val="E81766"/>
              </a:gs>
              <a:gs pos="100000">
                <a:srgbClr val="A603AB"/>
              </a:gs>
            </a:gsLst>
            <a:lin ang="5400000" scaled="0"/>
          </a:gradFill>
        </a:ln>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en-US" sz="1100"/>
        </a:p>
      </xdr:txBody>
    </xdr:sp>
    <xdr:clientData/>
  </xdr:twoCellAnchor>
  <xdr:oneCellAnchor>
    <xdr:from>
      <xdr:col>7</xdr:col>
      <xdr:colOff>857251</xdr:colOff>
      <xdr:row>41</xdr:row>
      <xdr:rowOff>95250</xdr:rowOff>
    </xdr:from>
    <xdr:ext cx="1847850" cy="1571625"/>
    <xdr:pic>
      <xdr:nvPicPr>
        <xdr:cNvPr id="47" name="irc_mi" descr="http://s1.reutersmedia.net/resources/r/?m=02&amp;d=20130904&amp;t=2&amp;i=784968042&amp;w=580&amp;fh=&amp;fw=&amp;ll=&amp;pl=&amp;r=CDEE9830O4K00">
          <a:extLst>
            <a:ext uri="{FF2B5EF4-FFF2-40B4-BE49-F238E27FC236}">
              <a16:creationId xmlns:a16="http://schemas.microsoft.com/office/drawing/2014/main" xmlns="" id="{00000000-0008-0000-2200-00002F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5724526" y="7905750"/>
          <a:ext cx="1847850" cy="1571625"/>
        </a:xfrm>
        <a:prstGeom prst="ellipse">
          <a:avLst/>
        </a:prstGeom>
        <a:ln>
          <a:noFill/>
        </a:ln>
        <a:effectLst>
          <a:softEdge rad="112500"/>
        </a:effectLst>
      </xdr:spPr>
    </xdr:pic>
    <xdr:clientData/>
  </xdr:oneCellAnchor>
  <xdr:oneCellAnchor>
    <xdr:from>
      <xdr:col>8</xdr:col>
      <xdr:colOff>0</xdr:colOff>
      <xdr:row>29</xdr:row>
      <xdr:rowOff>28575</xdr:rowOff>
    </xdr:from>
    <xdr:ext cx="1657349" cy="2533650"/>
    <xdr:pic>
      <xdr:nvPicPr>
        <xdr:cNvPr id="48" name="Picture 47">
          <a:extLst>
            <a:ext uri="{FF2B5EF4-FFF2-40B4-BE49-F238E27FC236}">
              <a16:creationId xmlns:a16="http://schemas.microsoft.com/office/drawing/2014/main" xmlns="" id="{00000000-0008-0000-2200-00003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a:stretch>
          <a:fillRect/>
        </a:stretch>
      </xdr:blipFill>
      <xdr:spPr bwMode="auto">
        <a:xfrm>
          <a:off x="5781675" y="5553075"/>
          <a:ext cx="1657349" cy="2533650"/>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8</xdr:col>
      <xdr:colOff>28574</xdr:colOff>
      <xdr:row>21</xdr:row>
      <xdr:rowOff>148786</xdr:rowOff>
    </xdr:from>
    <xdr:ext cx="1657349" cy="1330763"/>
    <xdr:pic>
      <xdr:nvPicPr>
        <xdr:cNvPr id="49" name="Picture 48">
          <a:extLst>
            <a:ext uri="{FF2B5EF4-FFF2-40B4-BE49-F238E27FC236}">
              <a16:creationId xmlns:a16="http://schemas.microsoft.com/office/drawing/2014/main" xmlns="" id="{00000000-0008-0000-2200-000031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rcRect/>
        <a:stretch>
          <a:fillRect/>
        </a:stretch>
      </xdr:blipFill>
      <xdr:spPr bwMode="auto">
        <a:xfrm>
          <a:off x="5810249" y="4149286"/>
          <a:ext cx="1657349" cy="1330763"/>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4</xdr:col>
      <xdr:colOff>914400</xdr:colOff>
      <xdr:row>51</xdr:row>
      <xdr:rowOff>133350</xdr:rowOff>
    </xdr:from>
    <xdr:ext cx="904875" cy="1190625"/>
    <xdr:pic>
      <xdr:nvPicPr>
        <xdr:cNvPr id="50" name="Picture 49">
          <a:extLst>
            <a:ext uri="{FF2B5EF4-FFF2-40B4-BE49-F238E27FC236}">
              <a16:creationId xmlns:a16="http://schemas.microsoft.com/office/drawing/2014/main" xmlns="" id="{00000000-0008-0000-2200-00003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3114675" y="9848850"/>
          <a:ext cx="904875" cy="1190625"/>
        </a:xfrm>
        <a:prstGeom prst="ellipse">
          <a:avLst/>
        </a:prstGeom>
        <a:ln>
          <a:noFill/>
        </a:ln>
        <a:effectLst>
          <a:softEdge rad="112500"/>
        </a:effectLst>
      </xdr:spPr>
    </xdr:pic>
    <xdr:clientData/>
  </xdr:oneCellAnchor>
  <xdr:oneCellAnchor>
    <xdr:from>
      <xdr:col>11</xdr:col>
      <xdr:colOff>161925</xdr:colOff>
      <xdr:row>5</xdr:row>
      <xdr:rowOff>9526</xdr:rowOff>
    </xdr:from>
    <xdr:ext cx="361949" cy="361949"/>
    <xdr:pic>
      <xdr:nvPicPr>
        <xdr:cNvPr id="51" name="Picture 2">
          <a:hlinkClick xmlns:r="http://schemas.openxmlformats.org/officeDocument/2006/relationships" r:id="rId9"/>
          <a:extLst>
            <a:ext uri="{FF2B5EF4-FFF2-40B4-BE49-F238E27FC236}">
              <a16:creationId xmlns:a16="http://schemas.microsoft.com/office/drawing/2014/main" xmlns="" id="{00000000-0008-0000-2200-000033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7791450" y="962026"/>
          <a:ext cx="361949" cy="361949"/>
        </a:xfrm>
        <a:prstGeom prst="rect">
          <a:avLst/>
        </a:prstGeom>
        <a:noFill/>
      </xdr:spPr>
    </xdr:pic>
    <xdr:clientData/>
  </xdr:oneCellAnchor>
  <xdr:twoCellAnchor>
    <xdr:from>
      <xdr:col>0</xdr:col>
      <xdr:colOff>1</xdr:colOff>
      <xdr:row>0</xdr:row>
      <xdr:rowOff>0</xdr:rowOff>
    </xdr:from>
    <xdr:to>
      <xdr:col>10</xdr:col>
      <xdr:colOff>361951</xdr:colOff>
      <xdr:row>59</xdr:row>
      <xdr:rowOff>183090</xdr:rowOff>
    </xdr:to>
    <xdr:sp macro="" textlink="">
      <xdr:nvSpPr>
        <xdr:cNvPr id="52" name="Freeform 51">
          <a:extLst>
            <a:ext uri="{FF2B5EF4-FFF2-40B4-BE49-F238E27FC236}">
              <a16:creationId xmlns:a16="http://schemas.microsoft.com/office/drawing/2014/main" xmlns="" id="{00000000-0008-0000-2200-000034000000}"/>
            </a:ext>
          </a:extLst>
        </xdr:cNvPr>
        <xdr:cNvSpPr/>
      </xdr:nvSpPr>
      <xdr:spPr>
        <a:xfrm>
          <a:off x="1" y="0"/>
          <a:ext cx="7600950" cy="11422590"/>
        </a:xfrm>
        <a:custGeom>
          <a:avLst/>
          <a:gdLst>
            <a:gd name="connsiteX0" fmla="*/ 0 w 7562850"/>
            <a:gd name="connsiteY0" fmla="*/ 1260500 h 12039600"/>
            <a:gd name="connsiteX1" fmla="*/ 369193 w 7562850"/>
            <a:gd name="connsiteY1" fmla="*/ 369192 h 12039600"/>
            <a:gd name="connsiteX2" fmla="*/ 1260502 w 7562850"/>
            <a:gd name="connsiteY2" fmla="*/ 1 h 12039600"/>
            <a:gd name="connsiteX3" fmla="*/ 6302350 w 7562850"/>
            <a:gd name="connsiteY3" fmla="*/ 0 h 12039600"/>
            <a:gd name="connsiteX4" fmla="*/ 7193658 w 7562850"/>
            <a:gd name="connsiteY4" fmla="*/ 369193 h 12039600"/>
            <a:gd name="connsiteX5" fmla="*/ 7562849 w 7562850"/>
            <a:gd name="connsiteY5" fmla="*/ 1260502 h 12039600"/>
            <a:gd name="connsiteX6" fmla="*/ 7562850 w 7562850"/>
            <a:gd name="connsiteY6" fmla="*/ 10779100 h 12039600"/>
            <a:gd name="connsiteX7" fmla="*/ 7193658 w 7562850"/>
            <a:gd name="connsiteY7" fmla="*/ 11670408 h 12039600"/>
            <a:gd name="connsiteX8" fmla="*/ 6302349 w 7562850"/>
            <a:gd name="connsiteY8" fmla="*/ 12039600 h 12039600"/>
            <a:gd name="connsiteX9" fmla="*/ 1260500 w 7562850"/>
            <a:gd name="connsiteY9" fmla="*/ 12039600 h 12039600"/>
            <a:gd name="connsiteX10" fmla="*/ 369192 w 7562850"/>
            <a:gd name="connsiteY10" fmla="*/ 11670407 h 12039600"/>
            <a:gd name="connsiteX11" fmla="*/ 1 w 7562850"/>
            <a:gd name="connsiteY11" fmla="*/ 10779098 h 12039600"/>
            <a:gd name="connsiteX12" fmla="*/ 0 w 7562850"/>
            <a:gd name="connsiteY12" fmla="*/ 1260500 h 12039600"/>
            <a:gd name="connsiteX0" fmla="*/ 67222 w 7630072"/>
            <a:gd name="connsiteY0" fmla="*/ 1365822 h 12144922"/>
            <a:gd name="connsiteX1" fmla="*/ 236390 w 7630072"/>
            <a:gd name="connsiteY1" fmla="*/ 236389 h 12144922"/>
            <a:gd name="connsiteX2" fmla="*/ 1327724 w 7630072"/>
            <a:gd name="connsiteY2" fmla="*/ 105323 h 12144922"/>
            <a:gd name="connsiteX3" fmla="*/ 6369572 w 7630072"/>
            <a:gd name="connsiteY3" fmla="*/ 105322 h 12144922"/>
            <a:gd name="connsiteX4" fmla="*/ 7260880 w 7630072"/>
            <a:gd name="connsiteY4" fmla="*/ 474515 h 12144922"/>
            <a:gd name="connsiteX5" fmla="*/ 7630071 w 7630072"/>
            <a:gd name="connsiteY5" fmla="*/ 1365824 h 12144922"/>
            <a:gd name="connsiteX6" fmla="*/ 7630072 w 7630072"/>
            <a:gd name="connsiteY6" fmla="*/ 10884422 h 12144922"/>
            <a:gd name="connsiteX7" fmla="*/ 7260880 w 7630072"/>
            <a:gd name="connsiteY7" fmla="*/ 11775730 h 12144922"/>
            <a:gd name="connsiteX8" fmla="*/ 6369571 w 7630072"/>
            <a:gd name="connsiteY8" fmla="*/ 12144922 h 12144922"/>
            <a:gd name="connsiteX9" fmla="*/ 1327722 w 7630072"/>
            <a:gd name="connsiteY9" fmla="*/ 12144922 h 12144922"/>
            <a:gd name="connsiteX10" fmla="*/ 436414 w 7630072"/>
            <a:gd name="connsiteY10" fmla="*/ 11775729 h 12144922"/>
            <a:gd name="connsiteX11" fmla="*/ 67223 w 7630072"/>
            <a:gd name="connsiteY11" fmla="*/ 10884420 h 12144922"/>
            <a:gd name="connsiteX12" fmla="*/ 67222 w 7630072"/>
            <a:gd name="connsiteY12" fmla="*/ 1365822 h 12144922"/>
            <a:gd name="connsiteX0" fmla="*/ 67222 w 7687769"/>
            <a:gd name="connsiteY0" fmla="*/ 1365822 h 12144922"/>
            <a:gd name="connsiteX1" fmla="*/ 236390 w 7687769"/>
            <a:gd name="connsiteY1" fmla="*/ 236389 h 12144922"/>
            <a:gd name="connsiteX2" fmla="*/ 1327724 w 7687769"/>
            <a:gd name="connsiteY2" fmla="*/ 105323 h 12144922"/>
            <a:gd name="connsiteX3" fmla="*/ 6369572 w 7687769"/>
            <a:gd name="connsiteY3" fmla="*/ 105322 h 12144922"/>
            <a:gd name="connsiteX4" fmla="*/ 7451380 w 7687769"/>
            <a:gd name="connsiteY4" fmla="*/ 331640 h 12144922"/>
            <a:gd name="connsiteX5" fmla="*/ 7630071 w 7687769"/>
            <a:gd name="connsiteY5" fmla="*/ 1365824 h 12144922"/>
            <a:gd name="connsiteX6" fmla="*/ 7630072 w 7687769"/>
            <a:gd name="connsiteY6" fmla="*/ 10884422 h 12144922"/>
            <a:gd name="connsiteX7" fmla="*/ 7260880 w 7687769"/>
            <a:gd name="connsiteY7" fmla="*/ 11775730 h 12144922"/>
            <a:gd name="connsiteX8" fmla="*/ 6369571 w 7687769"/>
            <a:gd name="connsiteY8" fmla="*/ 12144922 h 12144922"/>
            <a:gd name="connsiteX9" fmla="*/ 1327722 w 7687769"/>
            <a:gd name="connsiteY9" fmla="*/ 12144922 h 12144922"/>
            <a:gd name="connsiteX10" fmla="*/ 436414 w 7687769"/>
            <a:gd name="connsiteY10" fmla="*/ 11775729 h 12144922"/>
            <a:gd name="connsiteX11" fmla="*/ 67223 w 7687769"/>
            <a:gd name="connsiteY11" fmla="*/ 10884420 h 12144922"/>
            <a:gd name="connsiteX12" fmla="*/ 67222 w 7687769"/>
            <a:gd name="connsiteY12" fmla="*/ 1365822 h 12144922"/>
            <a:gd name="connsiteX0" fmla="*/ 67222 w 7697294"/>
            <a:gd name="connsiteY0" fmla="*/ 1365822 h 12144922"/>
            <a:gd name="connsiteX1" fmla="*/ 236390 w 7697294"/>
            <a:gd name="connsiteY1" fmla="*/ 236389 h 12144922"/>
            <a:gd name="connsiteX2" fmla="*/ 1327724 w 7697294"/>
            <a:gd name="connsiteY2" fmla="*/ 105323 h 12144922"/>
            <a:gd name="connsiteX3" fmla="*/ 6369572 w 7697294"/>
            <a:gd name="connsiteY3" fmla="*/ 105322 h 12144922"/>
            <a:gd name="connsiteX4" fmla="*/ 7460905 w 7697294"/>
            <a:gd name="connsiteY4" fmla="*/ 245915 h 12144922"/>
            <a:gd name="connsiteX5" fmla="*/ 7630071 w 7697294"/>
            <a:gd name="connsiteY5" fmla="*/ 1365824 h 12144922"/>
            <a:gd name="connsiteX6" fmla="*/ 7630072 w 7697294"/>
            <a:gd name="connsiteY6" fmla="*/ 10884422 h 12144922"/>
            <a:gd name="connsiteX7" fmla="*/ 7260880 w 7697294"/>
            <a:gd name="connsiteY7" fmla="*/ 11775730 h 12144922"/>
            <a:gd name="connsiteX8" fmla="*/ 6369571 w 7697294"/>
            <a:gd name="connsiteY8" fmla="*/ 12144922 h 12144922"/>
            <a:gd name="connsiteX9" fmla="*/ 1327722 w 7697294"/>
            <a:gd name="connsiteY9" fmla="*/ 12144922 h 12144922"/>
            <a:gd name="connsiteX10" fmla="*/ 436414 w 7697294"/>
            <a:gd name="connsiteY10" fmla="*/ 11775729 h 12144922"/>
            <a:gd name="connsiteX11" fmla="*/ 67223 w 7697294"/>
            <a:gd name="connsiteY11" fmla="*/ 10884420 h 12144922"/>
            <a:gd name="connsiteX12" fmla="*/ 67222 w 7697294"/>
            <a:gd name="connsiteY12" fmla="*/ 1365822 h 12144922"/>
            <a:gd name="connsiteX0" fmla="*/ 67222 w 7697294"/>
            <a:gd name="connsiteY0" fmla="*/ 1365822 h 12243451"/>
            <a:gd name="connsiteX1" fmla="*/ 236390 w 7697294"/>
            <a:gd name="connsiteY1" fmla="*/ 236389 h 12243451"/>
            <a:gd name="connsiteX2" fmla="*/ 1327724 w 7697294"/>
            <a:gd name="connsiteY2" fmla="*/ 105323 h 12243451"/>
            <a:gd name="connsiteX3" fmla="*/ 6369572 w 7697294"/>
            <a:gd name="connsiteY3" fmla="*/ 105322 h 12243451"/>
            <a:gd name="connsiteX4" fmla="*/ 7460905 w 7697294"/>
            <a:gd name="connsiteY4" fmla="*/ 245915 h 12243451"/>
            <a:gd name="connsiteX5" fmla="*/ 7630071 w 7697294"/>
            <a:gd name="connsiteY5" fmla="*/ 1365824 h 12243451"/>
            <a:gd name="connsiteX6" fmla="*/ 7630072 w 7697294"/>
            <a:gd name="connsiteY6" fmla="*/ 10884422 h 12243451"/>
            <a:gd name="connsiteX7" fmla="*/ 7260880 w 7697294"/>
            <a:gd name="connsiteY7" fmla="*/ 11775730 h 12243451"/>
            <a:gd name="connsiteX8" fmla="*/ 6369571 w 7697294"/>
            <a:gd name="connsiteY8" fmla="*/ 12144922 h 12243451"/>
            <a:gd name="connsiteX9" fmla="*/ 1327722 w 7697294"/>
            <a:gd name="connsiteY9" fmla="*/ 12144922 h 12243451"/>
            <a:gd name="connsiteX10" fmla="*/ 283814 w 7697294"/>
            <a:gd name="connsiteY10" fmla="*/ 12007061 h 12243451"/>
            <a:gd name="connsiteX11" fmla="*/ 67223 w 7697294"/>
            <a:gd name="connsiteY11" fmla="*/ 10884420 h 12243451"/>
            <a:gd name="connsiteX12" fmla="*/ 67222 w 7697294"/>
            <a:gd name="connsiteY12" fmla="*/ 1365822 h 12243451"/>
            <a:gd name="connsiteX0" fmla="*/ 67222 w 7697294"/>
            <a:gd name="connsiteY0" fmla="*/ 1365822 h 12243451"/>
            <a:gd name="connsiteX1" fmla="*/ 236390 w 7697294"/>
            <a:gd name="connsiteY1" fmla="*/ 236389 h 12243451"/>
            <a:gd name="connsiteX2" fmla="*/ 1327724 w 7697294"/>
            <a:gd name="connsiteY2" fmla="*/ 105323 h 12243451"/>
            <a:gd name="connsiteX3" fmla="*/ 6369572 w 7697294"/>
            <a:gd name="connsiteY3" fmla="*/ 105322 h 12243451"/>
            <a:gd name="connsiteX4" fmla="*/ 7460905 w 7697294"/>
            <a:gd name="connsiteY4" fmla="*/ 245915 h 12243451"/>
            <a:gd name="connsiteX5" fmla="*/ 7630071 w 7697294"/>
            <a:gd name="connsiteY5" fmla="*/ 1365824 h 12243451"/>
            <a:gd name="connsiteX6" fmla="*/ 7630072 w 7697294"/>
            <a:gd name="connsiteY6" fmla="*/ 10884422 h 12243451"/>
            <a:gd name="connsiteX7" fmla="*/ 7403942 w 7697294"/>
            <a:gd name="connsiteY7" fmla="*/ 11958868 h 12243451"/>
            <a:gd name="connsiteX8" fmla="*/ 6369571 w 7697294"/>
            <a:gd name="connsiteY8" fmla="*/ 12144922 h 12243451"/>
            <a:gd name="connsiteX9" fmla="*/ 1327722 w 7697294"/>
            <a:gd name="connsiteY9" fmla="*/ 12144922 h 12243451"/>
            <a:gd name="connsiteX10" fmla="*/ 283814 w 7697294"/>
            <a:gd name="connsiteY10" fmla="*/ 12007061 h 12243451"/>
            <a:gd name="connsiteX11" fmla="*/ 67223 w 7697294"/>
            <a:gd name="connsiteY11" fmla="*/ 10884420 h 12243451"/>
            <a:gd name="connsiteX12" fmla="*/ 67222 w 7697294"/>
            <a:gd name="connsiteY12" fmla="*/ 1365822 h 122434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7697294" h="12243451">
              <a:moveTo>
                <a:pt x="67222" y="1365822"/>
              </a:moveTo>
              <a:cubicBezTo>
                <a:pt x="67222" y="1031516"/>
                <a:pt x="0" y="472778"/>
                <a:pt x="236390" y="236389"/>
              </a:cubicBezTo>
              <a:cubicBezTo>
                <a:pt x="472780" y="0"/>
                <a:pt x="993418" y="105323"/>
                <a:pt x="1327724" y="105323"/>
              </a:cubicBezTo>
              <a:lnTo>
                <a:pt x="6369572" y="105322"/>
              </a:lnTo>
              <a:cubicBezTo>
                <a:pt x="6703878" y="105322"/>
                <a:pt x="7224516" y="9525"/>
                <a:pt x="7460905" y="245915"/>
              </a:cubicBezTo>
              <a:cubicBezTo>
                <a:pt x="7697294" y="482305"/>
                <a:pt x="7630071" y="1031518"/>
                <a:pt x="7630071" y="1365824"/>
              </a:cubicBezTo>
              <a:cubicBezTo>
                <a:pt x="7630071" y="4538690"/>
                <a:pt x="7630072" y="7711556"/>
                <a:pt x="7630072" y="10884422"/>
              </a:cubicBezTo>
              <a:cubicBezTo>
                <a:pt x="7630072" y="11218728"/>
                <a:pt x="7640332" y="11722479"/>
                <a:pt x="7403942" y="11958868"/>
              </a:cubicBezTo>
              <a:cubicBezTo>
                <a:pt x="7167552" y="12195258"/>
                <a:pt x="6703877" y="12144922"/>
                <a:pt x="6369571" y="12144922"/>
              </a:cubicBezTo>
              <a:lnTo>
                <a:pt x="1327722" y="12144922"/>
              </a:lnTo>
              <a:cubicBezTo>
                <a:pt x="993416" y="12144922"/>
                <a:pt x="520203" y="12243451"/>
                <a:pt x="283814" y="12007061"/>
              </a:cubicBezTo>
              <a:cubicBezTo>
                <a:pt x="47425" y="11770671"/>
                <a:pt x="67222" y="11218726"/>
                <a:pt x="67223" y="10884420"/>
              </a:cubicBezTo>
              <a:cubicBezTo>
                <a:pt x="67223" y="7711554"/>
                <a:pt x="67222" y="4538688"/>
                <a:pt x="67222" y="1365822"/>
              </a:cubicBezTo>
              <a:close/>
            </a:path>
          </a:pathLst>
        </a:custGeom>
        <a:noFill/>
        <a:ln w="57150" cmpd="dbl">
          <a:solidFill>
            <a:srgbClr val="00B05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200025</xdr:colOff>
      <xdr:row>11</xdr:row>
      <xdr:rowOff>47625</xdr:rowOff>
    </xdr:from>
    <xdr:ext cx="409574" cy="295275"/>
    <xdr:pic>
      <xdr:nvPicPr>
        <xdr:cNvPr id="54" name="Picture 2">
          <a:hlinkClick xmlns:r="http://schemas.openxmlformats.org/officeDocument/2006/relationships" r:id="rId11"/>
          <a:extLst>
            <a:ext uri="{FF2B5EF4-FFF2-40B4-BE49-F238E27FC236}">
              <a16:creationId xmlns:a16="http://schemas.microsoft.com/office/drawing/2014/main" xmlns="" id="{00000000-0008-0000-2200-000036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9877425" y="2019300"/>
          <a:ext cx="409574" cy="295275"/>
        </a:xfrm>
        <a:prstGeom prst="rect">
          <a:avLst/>
        </a:prstGeom>
        <a:noFill/>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Excels\LIC%20Complete%20Plan%20Present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Excels\LIC%20Complete%20Plan%20Presente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Bima%20Diamo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New%20Microsoft%20Excel%20Work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EXCELSSS\Vasantham%20Smart%2027.1%20(%20NEW%20)%20-%20Cop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Vasantham%20Smart%20combo%20-GMai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Main"/>
      <sheetName val="TP"/>
      <sheetName val="look Data"/>
      <sheetName val="Lists"/>
      <sheetName val="work sheet"/>
      <sheetName val="F Endow"/>
      <sheetName val="F Money Back"/>
      <sheetName val="Expi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ain"/>
      <sheetName val="TP"/>
      <sheetName val="look Data"/>
      <sheetName val="Lists"/>
      <sheetName val="work sheet"/>
      <sheetName val="F Endow"/>
      <sheetName val="F Money Back"/>
      <sheetName val="Expi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BD"/>
    </sheetNames>
    <sheetDataSet>
      <sheetData sheetId="0"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BIMADIAMOND"/>
      <sheetName val="BD"/>
      <sheetName val="Sheet1"/>
    </sheetNames>
    <sheetDataSet>
      <sheetData sheetId="0" refreshError="1"/>
      <sheetData sheetId="1" refreshError="1"/>
      <sheetData sheetId="2"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RINT - AAA"/>
      <sheetName val="SC"/>
      <sheetName val="AAA"/>
      <sheetName val="Print-CIII"/>
      <sheetName val="CIII"/>
      <sheetName val="Print-CII"/>
      <sheetName val="CII"/>
      <sheetName val="Print-C"/>
      <sheetName val="CI"/>
      <sheetName val="CCA"/>
      <sheetName val="PRINT-NJJ"/>
      <sheetName val="JEEVAN JYOTHI"/>
      <sheetName val="NEW JEEVAN JYOTHI"/>
      <sheetName val="PRINT-AR"/>
      <sheetName val="ERA CAL"/>
      <sheetName val="ANANDA RAKSHAKEN"/>
      <sheetName val="Print-LSS"/>
      <sheetName val="LSS"/>
      <sheetName val="PRINT - LS "/>
      <sheetName val="LAKSHAYA SAATHI"/>
      <sheetName val="PRINT - LIS"/>
      <sheetName val="LIFE SECURE"/>
      <sheetName val="PRINT - VS"/>
      <sheetName val="VASANTA SHREE"/>
      <sheetName val="PRINT - NBG"/>
      <sheetName val="NEW BIMA GURU"/>
      <sheetName val="PRINT - GMB"/>
      <sheetName val="GOLDEN MONEYBACK"/>
      <sheetName val="PRINT - NJS"/>
      <sheetName val="NEW JEEVAN SHREE"/>
      <sheetName val="PRINT - NJA"/>
      <sheetName val="NEW JEEVAN AASHIKA"/>
      <sheetName val="PRINT - NME"/>
      <sheetName val="NME"/>
      <sheetName val="COMBOS"/>
      <sheetName val="Print - BS"/>
      <sheetName val="BHAAGYA SHREE"/>
      <sheetName val="Kar Print"/>
      <sheetName val="Karunya"/>
      <sheetName val="NEW B VIDYA"/>
      <sheetName val="NEW BALA VIDYA"/>
      <sheetName val="MIX"/>
      <sheetName val="838-PACKAGE"/>
      <sheetName val="833-PACKAGE"/>
      <sheetName val="815-PACKAGE "/>
      <sheetName val="814-PACKAGE"/>
      <sheetName val="R&amp;E"/>
      <sheetName val="ALLPRINT"/>
      <sheetName val="SURPRINT"/>
      <sheetName val="SV"/>
      <sheetName val="JA"/>
      <sheetName val="Print EPLUS"/>
      <sheetName val="ECAL"/>
      <sheetName val="EPLUS"/>
      <sheetName val="PRJA"/>
      <sheetName val="JACA"/>
      <sheetName val="Jeevan Arogya"/>
      <sheetName val="Anmol Jeevan"/>
      <sheetName val="AMULYA JEEVAN"/>
      <sheetName val="JEEVAN RAKSHAK"/>
      <sheetName val="LP ENDOWMENT"/>
      <sheetName val="PRAGATHI"/>
      <sheetName val="BIMADIAMOND"/>
      <sheetName val="JEEVAN LABH"/>
      <sheetName val="SINGLE PREMIUM ENDOWMENT"/>
      <sheetName val="NEW BIMA BACHAT"/>
      <sheetName val="NEW JEEVAN ANAND"/>
      <sheetName val="NEW ENDOWMENT"/>
      <sheetName val="NEW MONEY 25Yrs"/>
      <sheetName val="NEW MONEY 20Yrs "/>
      <sheetName val="JEEVAN TARUN"/>
      <sheetName val="CHILDRENS MONEY"/>
      <sheetName val="JEEVAN LAKSHYA"/>
      <sheetName val="N.J.NIDHI"/>
      <sheetName val="NEW JEEVAN NIDHI"/>
      <sheetName val="AADHAR STUMBH"/>
      <sheetName val="AADHAR SHILA"/>
      <sheetName val="MAT"/>
      <sheetName val="DAT"/>
      <sheetName val="PM"/>
      <sheetName val="Main"/>
      <sheetName val="VASANTHAM HOME"/>
      <sheetName val="CIB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RINT - AAA"/>
      <sheetName val="SC"/>
      <sheetName val="AAA"/>
      <sheetName val="Print-CIII"/>
      <sheetName val="CIII"/>
      <sheetName val="Print-CII"/>
      <sheetName val="CII"/>
      <sheetName val="Print-C"/>
      <sheetName val="CI"/>
      <sheetName val="CCA"/>
      <sheetName val="PRINT-NJJ"/>
      <sheetName val="JEEVAN JYOTHI"/>
      <sheetName val="NEW JEEVAN JYOTHI"/>
      <sheetName val="PRINT-AR"/>
      <sheetName val="ERA CAL"/>
      <sheetName val="ANANDA RAKSHAKEN"/>
      <sheetName val="Print-LSS"/>
      <sheetName val="LSS"/>
      <sheetName val="PRINT - LS "/>
      <sheetName val="LAKSHAYA SAATHI"/>
      <sheetName val="PRINT - LIS"/>
      <sheetName val="LIFE SECURE"/>
      <sheetName val="PRINT - VS"/>
      <sheetName val="VASANTA SHREE"/>
      <sheetName val="PRINT - NBG"/>
      <sheetName val="NEW BIMA GURU"/>
      <sheetName val="PRINT - GMB"/>
      <sheetName val="GOLDEN MONEYBACK"/>
      <sheetName val="PRINT - NJS"/>
      <sheetName val="NEW JEEVAN SHREE"/>
      <sheetName val="PRINT - NJA"/>
      <sheetName val="NEW JEEVAN AASHIKA"/>
      <sheetName val="PRINT - NME"/>
      <sheetName val="NME"/>
      <sheetName val="COMBOS"/>
      <sheetName val="Print - BS"/>
      <sheetName val="BHAAGYA SHREE"/>
      <sheetName val="Kar Print"/>
      <sheetName val="Karunya"/>
      <sheetName val="NEW B VIDYA"/>
      <sheetName val="NEW BALA VIDYA"/>
      <sheetName val="MIX"/>
      <sheetName val="838-PACKAGE"/>
      <sheetName val="833-PACKAGE"/>
      <sheetName val="815-PACKAGE "/>
      <sheetName val="814-PACKAGE"/>
      <sheetName val="R&amp;E"/>
      <sheetName val="MAT"/>
      <sheetName val="DAT"/>
      <sheetName val="PM"/>
      <sheetName val="VASANTHAM HO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sheetPr codeName="Sheet15"/>
  <dimension ref="A1:AH972"/>
  <sheetViews>
    <sheetView showGridLines="0" showRowColHeaders="0" topLeftCell="B1" workbookViewId="0">
      <selection activeCell="T13" sqref="T13:W14"/>
    </sheetView>
  </sheetViews>
  <sheetFormatPr defaultColWidth="0" defaultRowHeight="0" customHeight="1" zeroHeight="1"/>
  <cols>
    <col min="1" max="1" width="3" style="604" hidden="1" customWidth="1"/>
    <col min="2" max="2" width="2.625" style="604" customWidth="1"/>
    <col min="3" max="3" width="7.5" style="604" customWidth="1"/>
    <col min="4" max="4" width="4" style="604" customWidth="1"/>
    <col min="5" max="5" width="8" style="604" customWidth="1"/>
    <col min="6" max="6" width="6" style="604" customWidth="1"/>
    <col min="7" max="7" width="7.875" style="604" customWidth="1"/>
    <col min="8" max="8" width="4.875" style="604" customWidth="1"/>
    <col min="9" max="10" width="8.125" style="604" customWidth="1"/>
    <col min="11" max="11" width="7.5" style="604" customWidth="1"/>
    <col min="12" max="12" width="7.875" style="604" customWidth="1"/>
    <col min="13" max="13" width="8.5" style="604" customWidth="1"/>
    <col min="14" max="14" width="9.125" style="604" customWidth="1"/>
    <col min="15" max="15" width="8.5" style="604" customWidth="1"/>
    <col min="16" max="16" width="4.125" style="604" customWidth="1"/>
    <col min="17" max="17" width="4.375" style="604" customWidth="1"/>
    <col min="18" max="18" width="5.5" style="604" customWidth="1"/>
    <col min="19" max="19" width="6.375" style="604" customWidth="1"/>
    <col min="20" max="20" width="7.5" style="604" customWidth="1"/>
    <col min="21" max="21" width="6.625" style="604" customWidth="1"/>
    <col min="22" max="22" width="8.875" style="604" customWidth="1"/>
    <col min="23" max="23" width="9" style="604" customWidth="1"/>
    <col min="24" max="34" width="8" style="604" hidden="1" customWidth="1"/>
    <col min="35" max="16384" width="15.125" style="604" hidden="1"/>
  </cols>
  <sheetData>
    <row r="1" spans="1:34" ht="15">
      <c r="A1" s="617"/>
      <c r="B1" s="617"/>
      <c r="C1" s="617"/>
      <c r="D1" s="617"/>
      <c r="E1" s="617"/>
      <c r="F1" s="617"/>
      <c r="G1" s="617"/>
      <c r="H1" s="617"/>
      <c r="I1" s="617"/>
      <c r="J1" s="617"/>
      <c r="K1" s="617"/>
      <c r="L1" s="617"/>
      <c r="M1" s="617"/>
      <c r="N1" s="617"/>
      <c r="O1" s="617"/>
      <c r="P1" s="617"/>
      <c r="Q1" s="617"/>
      <c r="R1" s="617"/>
      <c r="S1" s="617"/>
      <c r="T1" s="617"/>
      <c r="U1" s="617"/>
      <c r="V1" s="617"/>
      <c r="W1" s="617"/>
      <c r="X1" s="617"/>
      <c r="Y1" s="617"/>
      <c r="Z1" s="617"/>
      <c r="AA1" s="617"/>
      <c r="AB1" s="617"/>
      <c r="AC1" s="617"/>
      <c r="AD1" s="617"/>
      <c r="AE1" s="617"/>
      <c r="AF1" s="617"/>
      <c r="AG1" s="617"/>
      <c r="AH1" s="617"/>
    </row>
    <row r="2" spans="1:34" ht="15.75">
      <c r="A2" s="617"/>
      <c r="B2" s="617"/>
      <c r="C2" s="617"/>
      <c r="D2" s="617"/>
      <c r="E2" s="617"/>
      <c r="F2" s="617"/>
      <c r="G2" s="617"/>
      <c r="H2" s="617"/>
      <c r="I2" s="617"/>
      <c r="J2" s="617"/>
      <c r="K2" s="617"/>
      <c r="L2" s="617"/>
      <c r="M2" s="617"/>
      <c r="N2" s="617"/>
      <c r="O2" s="1358">
        <f ca="1">TODAY()</f>
        <v>43229</v>
      </c>
      <c r="P2" s="1358"/>
      <c r="Q2" s="1358"/>
      <c r="R2" s="617"/>
      <c r="S2" s="617"/>
      <c r="T2" s="617"/>
      <c r="U2" s="617"/>
      <c r="V2" s="617"/>
      <c r="W2" s="617"/>
      <c r="X2" s="617"/>
      <c r="Y2" s="617"/>
      <c r="Z2" s="617"/>
      <c r="AA2" s="617"/>
      <c r="AB2" s="617"/>
      <c r="AC2" s="617"/>
      <c r="AD2" s="617"/>
      <c r="AE2" s="617"/>
      <c r="AF2" s="617"/>
      <c r="AG2" s="617"/>
      <c r="AH2" s="617"/>
    </row>
    <row r="3" spans="1:34" ht="15">
      <c r="A3" s="617"/>
      <c r="B3" s="617"/>
      <c r="C3" s="617"/>
      <c r="D3" s="617"/>
      <c r="E3" s="617"/>
      <c r="F3" s="617"/>
      <c r="G3" s="617"/>
      <c r="H3" s="617"/>
      <c r="I3" s="617"/>
      <c r="J3" s="617"/>
      <c r="K3" s="617"/>
      <c r="L3" s="617"/>
      <c r="M3" s="617"/>
      <c r="N3" s="617"/>
      <c r="O3" s="617"/>
      <c r="P3" s="617"/>
      <c r="Q3" s="617"/>
      <c r="R3" s="617"/>
      <c r="S3" s="617"/>
      <c r="T3" s="864"/>
      <c r="U3" s="864"/>
      <c r="V3" s="864"/>
      <c r="W3" s="864"/>
      <c r="X3" s="617"/>
      <c r="Y3" s="617"/>
      <c r="Z3" s="617"/>
      <c r="AA3" s="617"/>
      <c r="AB3" s="617"/>
      <c r="AC3" s="617"/>
      <c r="AD3" s="617"/>
      <c r="AE3" s="617"/>
      <c r="AF3" s="617"/>
      <c r="AG3" s="617"/>
      <c r="AH3" s="617"/>
    </row>
    <row r="4" spans="1:34" ht="15.75">
      <c r="A4" s="617"/>
      <c r="B4" s="617"/>
      <c r="C4" s="617"/>
      <c r="D4" s="617"/>
      <c r="E4" s="617"/>
      <c r="F4" s="617"/>
      <c r="G4" s="617"/>
      <c r="H4" s="617"/>
      <c r="I4" s="617"/>
      <c r="J4" s="617"/>
      <c r="K4" s="617"/>
      <c r="L4" s="617"/>
      <c r="M4" s="617"/>
      <c r="N4" s="1360" t="s">
        <v>748</v>
      </c>
      <c r="O4" s="1360"/>
      <c r="P4" s="1360"/>
      <c r="Q4" s="1360"/>
      <c r="R4" s="617"/>
      <c r="S4" s="617"/>
      <c r="T4" s="864"/>
      <c r="U4" s="864"/>
      <c r="V4" s="864"/>
      <c r="W4" s="864"/>
      <c r="X4" s="617"/>
      <c r="Y4" s="617"/>
      <c r="Z4" s="617"/>
      <c r="AA4" s="617"/>
      <c r="AB4" s="617"/>
      <c r="AC4" s="617"/>
      <c r="AD4" s="617"/>
      <c r="AE4" s="617"/>
      <c r="AF4" s="617"/>
      <c r="AG4" s="617"/>
      <c r="AH4" s="617"/>
    </row>
    <row r="5" spans="1:34" ht="15.75">
      <c r="A5" s="617"/>
      <c r="B5" s="617"/>
      <c r="C5" s="617"/>
      <c r="D5" s="1359" t="s">
        <v>661</v>
      </c>
      <c r="E5" s="1359"/>
      <c r="F5" s="1359"/>
      <c r="G5" s="1359"/>
      <c r="H5" s="1359"/>
      <c r="I5" s="1359"/>
      <c r="J5" s="1359"/>
      <c r="K5" s="617"/>
      <c r="L5" s="617"/>
      <c r="M5" s="617"/>
      <c r="N5" s="1360" t="s">
        <v>747</v>
      </c>
      <c r="O5" s="1360"/>
      <c r="P5" s="1360"/>
      <c r="Q5" s="1360"/>
      <c r="R5" s="617"/>
      <c r="S5" s="617"/>
      <c r="T5" s="864"/>
      <c r="U5" s="864"/>
      <c r="V5" s="864"/>
      <c r="W5" s="864"/>
      <c r="X5" s="617"/>
      <c r="Y5" s="617"/>
      <c r="Z5" s="617"/>
      <c r="AA5" s="617"/>
      <c r="AB5" s="617"/>
      <c r="AC5" s="617"/>
      <c r="AD5" s="617"/>
      <c r="AE5" s="617"/>
      <c r="AF5" s="617"/>
      <c r="AG5" s="617"/>
      <c r="AH5" s="617"/>
    </row>
    <row r="6" spans="1:34" ht="15.75">
      <c r="A6" s="617"/>
      <c r="B6" s="617"/>
      <c r="C6" s="617"/>
      <c r="D6" s="1359"/>
      <c r="E6" s="1359"/>
      <c r="F6" s="1359"/>
      <c r="G6" s="1359"/>
      <c r="H6" s="1359"/>
      <c r="I6" s="1359"/>
      <c r="J6" s="1359"/>
      <c r="K6" s="617"/>
      <c r="L6" s="617"/>
      <c r="M6" s="617"/>
      <c r="N6" s="1362" t="str">
        <f>CONCATENATE("AGE  :  ",(EPLUS!I20),  " ", " "," ",       "YEARS")</f>
        <v>AGE  :  10   YEARS</v>
      </c>
      <c r="O6" s="1362"/>
      <c r="P6" s="1362"/>
      <c r="Q6" s="1362"/>
      <c r="R6" s="617"/>
      <c r="S6" s="617"/>
      <c r="T6" s="864"/>
      <c r="U6" s="864"/>
      <c r="V6" s="864"/>
      <c r="W6" s="864"/>
      <c r="X6" s="617"/>
      <c r="Y6" s="617"/>
      <c r="Z6" s="617"/>
      <c r="AA6" s="617"/>
      <c r="AB6" s="617"/>
      <c r="AC6" s="617"/>
      <c r="AD6" s="617"/>
      <c r="AE6" s="617"/>
      <c r="AF6" s="617"/>
      <c r="AG6" s="617"/>
      <c r="AH6" s="617"/>
    </row>
    <row r="7" spans="1:34" ht="13.5" customHeight="1">
      <c r="A7" s="617"/>
      <c r="B7" s="617"/>
      <c r="C7" s="617"/>
      <c r="D7" s="617"/>
      <c r="E7" s="617"/>
      <c r="F7" s="617"/>
      <c r="G7" s="617"/>
      <c r="H7" s="617"/>
      <c r="I7" s="617"/>
      <c r="J7" s="617"/>
      <c r="K7" s="617"/>
      <c r="L7" s="617"/>
      <c r="M7" s="617"/>
      <c r="N7" s="1366" t="str">
        <f>CONCATENATE("TERM  :  ", (EPLUS!I21), " ", " "," ",       "YEARS")</f>
        <v>TERM  :  20   YEARS</v>
      </c>
      <c r="O7" s="1366"/>
      <c r="P7" s="1366"/>
      <c r="Q7" s="1366"/>
      <c r="R7" s="617"/>
      <c r="S7" s="617"/>
      <c r="T7" s="864"/>
      <c r="U7" s="864"/>
      <c r="V7" s="864"/>
      <c r="W7" s="864"/>
      <c r="X7" s="617"/>
      <c r="Y7" s="617"/>
      <c r="Z7" s="617"/>
      <c r="AA7" s="617"/>
      <c r="AB7" s="617"/>
      <c r="AC7" s="617"/>
      <c r="AD7" s="617"/>
      <c r="AE7" s="617"/>
      <c r="AF7" s="617"/>
      <c r="AG7" s="617"/>
      <c r="AH7" s="617"/>
    </row>
    <row r="8" spans="1:34" ht="15.75" customHeight="1">
      <c r="A8" s="617"/>
      <c r="B8" s="617"/>
      <c r="C8" s="1362" t="str">
        <f>CONCATENATE( "A   Special  Ulip Plan  for"," ",(EPLUS!I19),(EPLUS!K19))</f>
        <v>A   Special  Ulip Plan  for Sri.M.RAJAYOGAM</v>
      </c>
      <c r="D8" s="1362"/>
      <c r="E8" s="1362"/>
      <c r="F8" s="1362"/>
      <c r="G8" s="1362"/>
      <c r="H8" s="1362"/>
      <c r="I8" s="1362"/>
      <c r="J8" s="1362"/>
      <c r="K8" s="1362"/>
      <c r="L8" s="617"/>
      <c r="M8" s="617"/>
      <c r="N8" s="1367" t="str">
        <f>CONCATENATE("PREMIUM", " ",  "Rs.  ",(EPLUS!O21))</f>
        <v>PREMIUM Rs.  20000</v>
      </c>
      <c r="O8" s="1367"/>
      <c r="P8" s="1367"/>
      <c r="Q8" s="1367"/>
      <c r="R8" s="617"/>
      <c r="S8" s="617"/>
      <c r="T8" s="864"/>
      <c r="U8" s="864"/>
      <c r="V8" s="864"/>
      <c r="W8" s="864"/>
      <c r="X8" s="617"/>
      <c r="Y8" s="617"/>
      <c r="Z8" s="617"/>
      <c r="AA8" s="617"/>
      <c r="AB8" s="617"/>
      <c r="AC8" s="617"/>
      <c r="AD8" s="617"/>
      <c r="AE8" s="617"/>
      <c r="AF8" s="617"/>
      <c r="AG8" s="617"/>
      <c r="AH8" s="617"/>
    </row>
    <row r="9" spans="1:34" ht="15" customHeight="1">
      <c r="A9" s="617"/>
      <c r="B9" s="617"/>
      <c r="C9" s="617"/>
      <c r="D9" s="1361" t="s">
        <v>227</v>
      </c>
      <c r="E9" s="1361"/>
      <c r="F9" s="1361"/>
      <c r="G9" s="1361"/>
      <c r="H9" s="1361"/>
      <c r="I9" s="617"/>
      <c r="J9" s="617"/>
      <c r="K9" s="617"/>
      <c r="L9" s="617"/>
      <c r="M9" s="617"/>
      <c r="N9" s="1368" t="str">
        <f>CONCATENATE("SUM ASSURED", " ",  "Rs.  ",(ECAL!D73))</f>
        <v>SUM ASSURED Rs.  200000</v>
      </c>
      <c r="O9" s="1368"/>
      <c r="P9" s="1368"/>
      <c r="Q9" s="1368"/>
      <c r="R9" s="1368"/>
      <c r="S9" s="617"/>
      <c r="T9" s="638"/>
      <c r="U9" s="638"/>
      <c r="V9" s="638"/>
      <c r="W9" s="638"/>
      <c r="X9" s="617"/>
      <c r="Y9" s="617"/>
      <c r="Z9" s="617"/>
      <c r="AA9" s="617"/>
      <c r="AB9" s="617"/>
      <c r="AC9" s="617"/>
      <c r="AD9" s="617"/>
      <c r="AE9" s="617"/>
      <c r="AF9" s="617"/>
      <c r="AG9" s="617"/>
      <c r="AH9" s="617"/>
    </row>
    <row r="10" spans="1:34" ht="15" customHeight="1">
      <c r="A10" s="617"/>
      <c r="B10" s="617"/>
      <c r="C10" s="617"/>
      <c r="D10" s="1361"/>
      <c r="E10" s="1361"/>
      <c r="F10" s="1361"/>
      <c r="G10" s="1361"/>
      <c r="H10" s="1361"/>
      <c r="I10" s="617"/>
      <c r="J10" s="617"/>
      <c r="K10" s="617"/>
      <c r="L10" s="617"/>
      <c r="M10" s="617"/>
      <c r="N10" s="617"/>
      <c r="O10" s="617"/>
      <c r="P10" s="617"/>
      <c r="Q10" s="617"/>
      <c r="R10" s="617"/>
      <c r="S10" s="617"/>
      <c r="T10" s="638"/>
      <c r="U10" s="638"/>
      <c r="V10" s="638"/>
      <c r="W10" s="638"/>
      <c r="X10" s="617"/>
      <c r="Y10" s="617"/>
      <c r="Z10" s="617"/>
      <c r="AA10" s="617"/>
      <c r="AB10" s="617"/>
      <c r="AC10" s="617"/>
      <c r="AD10" s="617"/>
      <c r="AE10" s="617"/>
      <c r="AF10" s="617"/>
      <c r="AG10" s="617"/>
      <c r="AH10" s="617"/>
    </row>
    <row r="11" spans="1:34" ht="15" customHeight="1">
      <c r="A11" s="617"/>
      <c r="B11" s="617"/>
      <c r="C11" s="635" t="s">
        <v>243</v>
      </c>
      <c r="D11" s="1369" t="s">
        <v>746</v>
      </c>
      <c r="E11" s="1369"/>
      <c r="F11" s="1369"/>
      <c r="G11" s="1369"/>
      <c r="H11" s="1369"/>
      <c r="I11" s="1369"/>
      <c r="J11" s="1369"/>
      <c r="K11" s="1369"/>
      <c r="L11" s="1369"/>
      <c r="M11" s="1369"/>
      <c r="N11" s="617"/>
      <c r="O11" s="617"/>
      <c r="P11" s="617"/>
      <c r="Q11" s="617"/>
      <c r="R11" s="617"/>
      <c r="S11" s="617"/>
      <c r="T11" s="1375" t="s">
        <v>648</v>
      </c>
      <c r="U11" s="1375"/>
      <c r="V11" s="1375"/>
      <c r="W11" s="1375"/>
      <c r="X11" s="617"/>
      <c r="Y11" s="617"/>
      <c r="Z11" s="617"/>
      <c r="AA11" s="617"/>
      <c r="AB11" s="617"/>
      <c r="AC11" s="617"/>
      <c r="AD11" s="617"/>
      <c r="AE11" s="617"/>
      <c r="AF11" s="617"/>
      <c r="AG11" s="617"/>
      <c r="AH11" s="617"/>
    </row>
    <row r="12" spans="1:34" ht="15.75" customHeight="1">
      <c r="A12" s="617"/>
      <c r="B12" s="617"/>
      <c r="C12" s="635" t="s">
        <v>243</v>
      </c>
      <c r="D12" s="1364" t="str">
        <f>CONCATENATE("Life  cover  for ", " ",  (EPLUS!I21)," ", " ","years  &amp; Wealth creation through Investment.")</f>
        <v>Life  cover  for  20  years  &amp; Wealth creation through Investment.</v>
      </c>
      <c r="E12" s="1364"/>
      <c r="F12" s="1364"/>
      <c r="G12" s="1364"/>
      <c r="H12" s="1364"/>
      <c r="I12" s="1364"/>
      <c r="J12" s="1364"/>
      <c r="K12" s="1364"/>
      <c r="L12" s="1364"/>
      <c r="M12" s="1364"/>
      <c r="N12" s="637"/>
      <c r="O12" s="617"/>
      <c r="P12" s="617"/>
      <c r="Q12" s="617"/>
      <c r="R12" s="617"/>
      <c r="S12" s="617"/>
      <c r="T12" s="1375"/>
      <c r="U12" s="1375"/>
      <c r="V12" s="1375"/>
      <c r="W12" s="1375"/>
      <c r="X12" s="617"/>
      <c r="Y12" s="617"/>
      <c r="Z12" s="617"/>
      <c r="AA12" s="617"/>
      <c r="AB12" s="617"/>
      <c r="AC12" s="617"/>
      <c r="AD12" s="617"/>
      <c r="AE12" s="617"/>
      <c r="AF12" s="617"/>
      <c r="AG12" s="617"/>
      <c r="AH12" s="617"/>
    </row>
    <row r="13" spans="1:34" ht="15" customHeight="1">
      <c r="A13" s="617"/>
      <c r="B13" s="617"/>
      <c r="C13" s="635" t="s">
        <v>243</v>
      </c>
      <c r="D13" s="1365" t="s">
        <v>745</v>
      </c>
      <c r="E13" s="1365"/>
      <c r="F13" s="1365"/>
      <c r="G13" s="1365"/>
      <c r="H13" s="1365"/>
      <c r="I13" s="1365"/>
      <c r="J13" s="1365"/>
      <c r="K13" s="1365"/>
      <c r="L13" s="1365"/>
      <c r="M13" s="1365"/>
      <c r="N13" s="1365"/>
      <c r="O13" s="617"/>
      <c r="P13" s="617"/>
      <c r="Q13" s="617"/>
      <c r="R13" s="617"/>
      <c r="S13" s="617"/>
      <c r="T13" s="1380" t="s">
        <v>226</v>
      </c>
      <c r="U13" s="1381"/>
      <c r="V13" s="1381"/>
      <c r="W13" s="1382"/>
      <c r="X13" s="617"/>
      <c r="Y13" s="617"/>
      <c r="Z13" s="617"/>
      <c r="AA13" s="617"/>
      <c r="AB13" s="617"/>
      <c r="AC13" s="617"/>
      <c r="AD13" s="617"/>
      <c r="AE13" s="617"/>
      <c r="AF13" s="617"/>
      <c r="AG13" s="617"/>
      <c r="AH13" s="617"/>
    </row>
    <row r="14" spans="1:34" ht="15.75" customHeight="1">
      <c r="A14" s="617"/>
      <c r="B14" s="617"/>
      <c r="C14" s="635" t="s">
        <v>243</v>
      </c>
      <c r="D14" s="1354" t="s">
        <v>744</v>
      </c>
      <c r="E14" s="1354"/>
      <c r="F14" s="1354"/>
      <c r="G14" s="1354"/>
      <c r="H14" s="1354"/>
      <c r="I14" s="1354"/>
      <c r="J14" s="1354"/>
      <c r="K14" s="1354"/>
      <c r="L14" s="1354"/>
      <c r="M14" s="1354"/>
      <c r="N14" s="636"/>
      <c r="O14" s="617"/>
      <c r="P14" s="617"/>
      <c r="Q14" s="617"/>
      <c r="R14" s="617"/>
      <c r="S14" s="617"/>
      <c r="T14" s="1380"/>
      <c r="U14" s="1381"/>
      <c r="V14" s="1381"/>
      <c r="W14" s="1382"/>
      <c r="X14" s="617"/>
      <c r="Y14" s="617"/>
      <c r="Z14" s="617"/>
      <c r="AA14" s="617"/>
      <c r="AB14" s="617"/>
      <c r="AC14" s="617"/>
      <c r="AD14" s="617"/>
      <c r="AE14" s="617"/>
      <c r="AF14" s="617"/>
      <c r="AG14" s="617"/>
      <c r="AH14" s="617"/>
    </row>
    <row r="15" spans="1:34" ht="15.75">
      <c r="A15" s="617"/>
      <c r="B15" s="617"/>
      <c r="C15" s="635" t="s">
        <v>243</v>
      </c>
      <c r="D15" s="1354" t="str">
        <f>CONCATENATE(" 4  switches are  free  within ", " ", " ", (EPLUS!I21)," ", " ","policy  years.")</f>
        <v xml:space="preserve"> 4  switches are  free  within   20  policy  years.</v>
      </c>
      <c r="E15" s="1354"/>
      <c r="F15" s="1354"/>
      <c r="G15" s="1354"/>
      <c r="H15" s="1354"/>
      <c r="I15" s="1354"/>
      <c r="J15" s="1354"/>
      <c r="K15" s="1354"/>
      <c r="L15" s="1354"/>
      <c r="M15" s="1354"/>
      <c r="N15" s="617"/>
      <c r="O15" s="617"/>
      <c r="P15" s="617"/>
      <c r="Q15" s="617"/>
      <c r="R15" s="617"/>
      <c r="S15" s="617"/>
      <c r="T15" s="864"/>
      <c r="U15" s="864"/>
      <c r="V15" s="864"/>
      <c r="W15" s="864"/>
      <c r="X15" s="617"/>
      <c r="Y15" s="617"/>
      <c r="Z15" s="617"/>
      <c r="AA15" s="617"/>
      <c r="AB15" s="617"/>
      <c r="AC15" s="617"/>
      <c r="AD15" s="617"/>
      <c r="AE15" s="617"/>
      <c r="AF15" s="617"/>
      <c r="AG15" s="617"/>
      <c r="AH15" s="617"/>
    </row>
    <row r="16" spans="1:34" ht="13.5" customHeight="1">
      <c r="A16" s="617"/>
      <c r="B16" s="617"/>
      <c r="C16" s="635" t="s">
        <v>243</v>
      </c>
      <c r="D16" s="1353" t="s">
        <v>743</v>
      </c>
      <c r="E16" s="1353"/>
      <c r="F16" s="1353"/>
      <c r="G16" s="1353"/>
      <c r="H16" s="1353"/>
      <c r="I16" s="1353"/>
      <c r="J16" s="1353"/>
      <c r="K16" s="1353"/>
      <c r="L16" s="1353"/>
      <c r="M16" s="1353"/>
      <c r="N16" s="617"/>
      <c r="O16" s="617"/>
      <c r="P16" s="617"/>
      <c r="Q16" s="617"/>
      <c r="R16" s="617"/>
      <c r="S16" s="617"/>
      <c r="T16" s="864"/>
      <c r="U16" s="864"/>
      <c r="V16" s="864"/>
      <c r="W16" s="864"/>
      <c r="X16" s="617"/>
      <c r="Y16" s="617"/>
      <c r="Z16" s="617"/>
      <c r="AA16" s="617"/>
      <c r="AB16" s="617"/>
      <c r="AC16" s="617"/>
      <c r="AD16" s="617"/>
      <c r="AE16" s="617"/>
      <c r="AF16" s="617"/>
      <c r="AG16" s="617"/>
      <c r="AH16" s="617"/>
    </row>
    <row r="17" spans="1:34" ht="15.75">
      <c r="A17" s="617"/>
      <c r="B17" s="617"/>
      <c r="C17" s="635" t="s">
        <v>243</v>
      </c>
      <c r="D17" s="1355" t="s">
        <v>742</v>
      </c>
      <c r="E17" s="1355"/>
      <c r="F17" s="1355"/>
      <c r="G17" s="1355"/>
      <c r="H17" s="1355"/>
      <c r="I17" s="1355"/>
      <c r="J17" s="1355"/>
      <c r="K17" s="1355"/>
      <c r="L17" s="1355"/>
      <c r="M17" s="1355"/>
      <c r="N17" s="617"/>
      <c r="O17" s="617"/>
      <c r="P17" s="617"/>
      <c r="Q17" s="617"/>
      <c r="R17" s="617"/>
      <c r="S17" s="617"/>
      <c r="T17" s="864"/>
      <c r="U17" s="864"/>
      <c r="V17" s="864"/>
      <c r="W17" s="864"/>
      <c r="X17" s="617"/>
      <c r="Y17" s="617"/>
      <c r="Z17" s="617"/>
      <c r="AA17" s="617"/>
      <c r="AB17" s="617"/>
      <c r="AC17" s="617"/>
      <c r="AD17" s="617"/>
      <c r="AE17" s="617"/>
      <c r="AF17" s="617"/>
      <c r="AG17" s="617"/>
      <c r="AH17" s="617"/>
    </row>
    <row r="18" spans="1:34" ht="15.75">
      <c r="A18" s="617"/>
      <c r="B18" s="617"/>
      <c r="C18" s="635" t="s">
        <v>243</v>
      </c>
      <c r="D18" s="1352" t="s">
        <v>741</v>
      </c>
      <c r="E18" s="1352"/>
      <c r="F18" s="1352"/>
      <c r="G18" s="1352"/>
      <c r="H18" s="1352"/>
      <c r="I18" s="1352"/>
      <c r="J18" s="1352"/>
      <c r="K18" s="1352"/>
      <c r="L18" s="1352"/>
      <c r="M18" s="1352"/>
      <c r="N18" s="617"/>
      <c r="O18" s="617"/>
      <c r="P18" s="617"/>
      <c r="Q18" s="617"/>
      <c r="R18" s="617"/>
      <c r="S18" s="617"/>
      <c r="T18" s="864"/>
      <c r="U18" s="864"/>
      <c r="V18" s="864"/>
      <c r="W18" s="864"/>
      <c r="X18" s="617"/>
      <c r="Y18" s="617"/>
      <c r="Z18" s="617"/>
      <c r="AA18" s="617"/>
      <c r="AB18" s="617"/>
      <c r="AC18" s="617"/>
      <c r="AD18" s="617"/>
      <c r="AE18" s="617"/>
      <c r="AF18" s="617"/>
      <c r="AG18" s="617"/>
      <c r="AH18" s="617"/>
    </row>
    <row r="19" spans="1:34" ht="18" customHeight="1">
      <c r="A19" s="617"/>
      <c r="B19" s="617"/>
      <c r="C19" s="617"/>
      <c r="D19" s="1353" t="s">
        <v>740</v>
      </c>
      <c r="E19" s="1353"/>
      <c r="F19" s="1353"/>
      <c r="G19" s="1353"/>
      <c r="H19" s="1353"/>
      <c r="I19" s="1353"/>
      <c r="J19" s="1353"/>
      <c r="K19" s="1353"/>
      <c r="L19" s="1353"/>
      <c r="M19" s="1353"/>
      <c r="N19" s="617"/>
      <c r="O19" s="617"/>
      <c r="P19" s="617"/>
      <c r="Q19" s="617"/>
      <c r="R19" s="617"/>
      <c r="S19" s="617"/>
      <c r="T19" s="1390" t="s">
        <v>228</v>
      </c>
      <c r="U19" s="1390"/>
      <c r="V19" s="1390"/>
      <c r="W19" s="1390"/>
      <c r="X19" s="617"/>
      <c r="Y19" s="617"/>
      <c r="Z19" s="617"/>
      <c r="AA19" s="617"/>
      <c r="AB19" s="617"/>
      <c r="AC19" s="617"/>
      <c r="AD19" s="617"/>
      <c r="AE19" s="617"/>
      <c r="AF19" s="617"/>
      <c r="AG19" s="617"/>
      <c r="AH19" s="617"/>
    </row>
    <row r="20" spans="1:34" ht="15.75" customHeight="1">
      <c r="A20" s="617"/>
      <c r="B20" s="617"/>
      <c r="C20" s="617"/>
      <c r="D20" s="1353"/>
      <c r="E20" s="1353"/>
      <c r="F20" s="1353"/>
      <c r="G20" s="1353"/>
      <c r="H20" s="1353"/>
      <c r="I20" s="1353"/>
      <c r="J20" s="1353"/>
      <c r="K20" s="1353"/>
      <c r="L20" s="1353"/>
      <c r="M20" s="1353"/>
      <c r="N20" s="617"/>
      <c r="O20" s="617"/>
      <c r="P20" s="617"/>
      <c r="Q20" s="617"/>
      <c r="R20" s="617"/>
      <c r="S20" s="617"/>
      <c r="T20" s="1390"/>
      <c r="U20" s="1390"/>
      <c r="V20" s="1390"/>
      <c r="W20" s="1390"/>
      <c r="X20" s="617"/>
      <c r="Y20" s="617"/>
      <c r="Z20" s="617"/>
      <c r="AA20" s="617"/>
      <c r="AB20" s="617"/>
      <c r="AC20" s="617"/>
      <c r="AD20" s="617"/>
      <c r="AE20" s="617"/>
      <c r="AF20" s="617"/>
      <c r="AG20" s="617"/>
      <c r="AH20" s="617"/>
    </row>
    <row r="21" spans="1:34" ht="15.75" customHeight="1">
      <c r="A21" s="617"/>
      <c r="B21" s="617"/>
      <c r="C21" s="617"/>
      <c r="D21" s="1353"/>
      <c r="E21" s="1353"/>
      <c r="F21" s="1353"/>
      <c r="G21" s="1353"/>
      <c r="H21" s="1353"/>
      <c r="I21" s="1353"/>
      <c r="J21" s="1353"/>
      <c r="K21" s="1353"/>
      <c r="L21" s="1353"/>
      <c r="M21" s="1353"/>
      <c r="N21" s="617"/>
      <c r="O21" s="617"/>
      <c r="P21" s="617"/>
      <c r="Q21" s="617"/>
      <c r="R21" s="617"/>
      <c r="S21" s="617"/>
      <c r="T21" s="1391" t="s">
        <v>226</v>
      </c>
      <c r="U21" s="1391"/>
      <c r="V21" s="1391"/>
      <c r="W21" s="1392"/>
      <c r="X21" s="617"/>
      <c r="Y21" s="617"/>
      <c r="Z21" s="617"/>
      <c r="AA21" s="617"/>
      <c r="AB21" s="617"/>
      <c r="AC21" s="617"/>
      <c r="AD21" s="617"/>
      <c r="AE21" s="617"/>
      <c r="AF21" s="617"/>
      <c r="AG21" s="617"/>
      <c r="AH21" s="617"/>
    </row>
    <row r="22" spans="1:34" ht="8.25" customHeight="1">
      <c r="A22" s="630"/>
      <c r="B22" s="630"/>
      <c r="C22" s="634"/>
      <c r="D22" s="634"/>
      <c r="E22" s="634"/>
      <c r="F22" s="634"/>
      <c r="G22" s="634"/>
      <c r="H22" s="634"/>
      <c r="I22" s="634"/>
      <c r="J22" s="634"/>
      <c r="K22" s="634"/>
      <c r="L22" s="634"/>
      <c r="M22" s="634"/>
      <c r="N22" s="634"/>
      <c r="O22" s="634"/>
      <c r="P22" s="634"/>
      <c r="Q22" s="634"/>
      <c r="R22" s="634"/>
      <c r="S22" s="634"/>
      <c r="T22" s="1391"/>
      <c r="U22" s="1391"/>
      <c r="V22" s="1391"/>
      <c r="W22" s="1392"/>
      <c r="X22" s="634"/>
      <c r="Y22" s="617"/>
      <c r="Z22" s="617"/>
      <c r="AA22" s="617"/>
      <c r="AB22" s="617"/>
      <c r="AC22" s="617"/>
      <c r="AD22" s="617"/>
      <c r="AE22" s="617"/>
      <c r="AF22" s="617"/>
      <c r="AG22" s="617"/>
      <c r="AH22" s="617"/>
    </row>
    <row r="23" spans="1:34" ht="12" customHeight="1">
      <c r="A23" s="630"/>
      <c r="B23" s="630"/>
      <c r="C23" s="633"/>
      <c r="D23" s="1363" t="str">
        <f>CONCATENATE( (EPLUS!I19),(EPLUS!K19)," 's  CASH FLOW CHART")</f>
        <v>Sri.M.RAJAYOGAM 's  CASH FLOW CHART</v>
      </c>
      <c r="E23" s="1363"/>
      <c r="F23" s="1363"/>
      <c r="G23" s="1363"/>
      <c r="H23" s="1363"/>
      <c r="I23" s="1363"/>
      <c r="J23" s="1363"/>
      <c r="K23" s="1363"/>
      <c r="L23" s="633"/>
      <c r="M23" s="633"/>
      <c r="N23" s="633"/>
      <c r="O23" s="633"/>
      <c r="P23" s="633"/>
      <c r="Q23" s="633"/>
      <c r="R23" s="633"/>
      <c r="S23" s="633"/>
      <c r="T23" s="864"/>
      <c r="U23" s="864"/>
      <c r="V23" s="864"/>
      <c r="W23" s="864"/>
      <c r="X23" s="633"/>
      <c r="Y23" s="617"/>
      <c r="Z23" s="617"/>
      <c r="AA23" s="617"/>
      <c r="AB23" s="617"/>
      <c r="AC23" s="617"/>
      <c r="AD23" s="617"/>
      <c r="AE23" s="617"/>
      <c r="AF23" s="617"/>
      <c r="AG23" s="617"/>
      <c r="AH23" s="617"/>
    </row>
    <row r="24" spans="1:34" ht="12.75" customHeight="1">
      <c r="A24" s="630"/>
      <c r="B24" s="630"/>
      <c r="C24" s="630"/>
      <c r="D24" s="1363"/>
      <c r="E24" s="1363"/>
      <c r="F24" s="1363"/>
      <c r="G24" s="1363"/>
      <c r="H24" s="1363"/>
      <c r="I24" s="1363"/>
      <c r="J24" s="1363"/>
      <c r="K24" s="1363"/>
      <c r="L24" s="632"/>
      <c r="M24" s="632"/>
      <c r="N24" s="632"/>
      <c r="O24" s="632"/>
      <c r="P24" s="632"/>
      <c r="Q24" s="632"/>
      <c r="R24" s="632"/>
      <c r="S24" s="632"/>
      <c r="T24" s="632"/>
      <c r="U24" s="632"/>
      <c r="V24" s="632"/>
      <c r="W24" s="632"/>
      <c r="X24" s="630"/>
      <c r="Y24" s="617"/>
      <c r="Z24" s="617"/>
      <c r="AA24" s="617"/>
      <c r="AB24" s="617"/>
      <c r="AC24" s="617"/>
      <c r="AD24" s="617"/>
      <c r="AE24" s="617"/>
      <c r="AF24" s="617"/>
      <c r="AG24" s="617"/>
      <c r="AH24" s="617"/>
    </row>
    <row r="25" spans="1:34" ht="15.75" thickBot="1">
      <c r="A25" s="617">
        <f>ECAL!B$10</f>
        <v>20</v>
      </c>
      <c r="B25" s="617"/>
      <c r="C25" s="631"/>
      <c r="D25" s="630"/>
      <c r="E25" s="630"/>
      <c r="F25" s="630"/>
      <c r="G25" s="630"/>
      <c r="H25" s="630"/>
      <c r="I25" s="630"/>
      <c r="J25" s="630"/>
      <c r="K25" s="630"/>
      <c r="L25" s="630"/>
      <c r="M25" s="630"/>
      <c r="N25" s="630"/>
      <c r="O25" s="630"/>
      <c r="P25" s="630"/>
      <c r="Q25" s="630"/>
      <c r="R25" s="630"/>
      <c r="S25" s="630"/>
      <c r="T25" s="630"/>
      <c r="U25" s="630"/>
      <c r="V25" s="630"/>
      <c r="W25" s="630"/>
      <c r="X25" s="630"/>
      <c r="Y25" s="617"/>
      <c r="Z25" s="617"/>
      <c r="AA25" s="617"/>
      <c r="AB25" s="617"/>
      <c r="AC25" s="617"/>
      <c r="AD25" s="617"/>
      <c r="AE25" s="617"/>
      <c r="AF25" s="617"/>
      <c r="AG25" s="617"/>
      <c r="AH25" s="617"/>
    </row>
    <row r="26" spans="1:34" ht="15" customHeight="1" thickTop="1" thickBot="1">
      <c r="A26" s="617"/>
      <c r="B26" s="617"/>
      <c r="C26" s="1356" t="s">
        <v>689</v>
      </c>
      <c r="D26" s="1356" t="s">
        <v>138</v>
      </c>
      <c r="E26" s="1356" t="s">
        <v>711</v>
      </c>
      <c r="F26" s="1356" t="s">
        <v>710</v>
      </c>
      <c r="G26" s="1356" t="s">
        <v>709</v>
      </c>
      <c r="H26" s="1356" t="s">
        <v>708</v>
      </c>
      <c r="I26" s="1356" t="s">
        <v>707</v>
      </c>
      <c r="J26" s="1356" t="s">
        <v>739</v>
      </c>
      <c r="K26" s="1356" t="s">
        <v>738</v>
      </c>
      <c r="L26" s="1356" t="s">
        <v>141</v>
      </c>
      <c r="M26" s="1373" t="s">
        <v>704</v>
      </c>
      <c r="N26" s="1373"/>
      <c r="O26" s="1356" t="s">
        <v>692</v>
      </c>
      <c r="P26" s="1356"/>
      <c r="Q26" s="1371" t="str">
        <f>IF(EPLUS!P22="YES","WITH DRAWAL AMOUNT"," ")</f>
        <v/>
      </c>
      <c r="R26" s="1371"/>
      <c r="S26" s="630"/>
      <c r="T26" s="630"/>
      <c r="U26" s="630"/>
      <c r="V26" s="630"/>
      <c r="W26" s="630"/>
      <c r="X26" s="630"/>
      <c r="Y26" s="617"/>
      <c r="Z26" s="617"/>
      <c r="AA26" s="617"/>
      <c r="AB26" s="617"/>
      <c r="AC26" s="617"/>
      <c r="AD26" s="617"/>
      <c r="AE26" s="617"/>
      <c r="AF26" s="617"/>
      <c r="AG26" s="617"/>
      <c r="AH26" s="617"/>
    </row>
    <row r="27" spans="1:34" ht="24.75" customHeight="1" thickTop="1" thickBot="1">
      <c r="A27" s="627" t="s">
        <v>712</v>
      </c>
      <c r="B27" s="627"/>
      <c r="C27" s="1357"/>
      <c r="D27" s="1357"/>
      <c r="E27" s="1357"/>
      <c r="F27" s="1357"/>
      <c r="G27" s="1357"/>
      <c r="H27" s="1357"/>
      <c r="I27" s="1357"/>
      <c r="J27" s="1357"/>
      <c r="K27" s="1357"/>
      <c r="L27" s="1357"/>
      <c r="M27" s="629" t="s">
        <v>737</v>
      </c>
      <c r="N27" s="629" t="s">
        <v>736</v>
      </c>
      <c r="O27" s="1357"/>
      <c r="P27" s="1357"/>
      <c r="Q27" s="1372"/>
      <c r="R27" s="1372"/>
      <c r="S27" s="628"/>
      <c r="T27" s="628"/>
      <c r="U27" s="628"/>
      <c r="V27" s="628"/>
      <c r="W27" s="628"/>
      <c r="X27" s="628"/>
      <c r="Y27" s="627"/>
      <c r="Z27" s="627"/>
      <c r="AA27" s="627"/>
      <c r="AB27" s="627"/>
      <c r="AC27" s="627"/>
      <c r="AD27" s="627"/>
      <c r="AE27" s="627"/>
      <c r="AF27" s="627"/>
      <c r="AG27" s="627"/>
      <c r="AH27" s="627"/>
    </row>
    <row r="28" spans="1:34" ht="15.75" customHeight="1" thickTop="1">
      <c r="A28" s="617">
        <v>1</v>
      </c>
      <c r="B28" s="617"/>
      <c r="C28" s="626">
        <f ca="1">IF(A28&lt;=$A$25,YEAR((NOW()))," ")</f>
        <v>2018</v>
      </c>
      <c r="D28" s="617">
        <f>ECAL!B9</f>
        <v>10</v>
      </c>
      <c r="E28" s="617">
        <f>ECAL!C12*ECAL!D12</f>
        <v>20000</v>
      </c>
      <c r="F28" s="617">
        <f>E28*ECAL!V8/100</f>
        <v>1500</v>
      </c>
      <c r="G28" s="617">
        <f>E28-F28</f>
        <v>18500</v>
      </c>
      <c r="H28" s="622">
        <f>ECAL!B28</f>
        <v>10.594099999999999</v>
      </c>
      <c r="I28" s="622">
        <f t="shared" ref="I28:I47" si="0">IF(A28&lt;=$A$25,G28/H28," ")</f>
        <v>1746.2549909855486</v>
      </c>
      <c r="J28" s="622">
        <f>I28</f>
        <v>1746.2549909855486</v>
      </c>
      <c r="K28" s="621">
        <f>IF(A28&lt;=$A$25,ECAL!AA71+ECAL!AB71," ")</f>
        <v>353.20350000000008</v>
      </c>
      <c r="L28" s="617">
        <f>IF(A28&lt;=$A$25,EPLUS!Z$4," ")</f>
        <v>200000</v>
      </c>
      <c r="M28" s="621">
        <f>IF(A28&lt;=$A$25,ECAL!T71," ")</f>
        <v>200000</v>
      </c>
      <c r="N28" s="621">
        <f>IF(A28&lt;=$A$25,ECAL!AE71," ")</f>
        <v>200000</v>
      </c>
      <c r="O28" s="1374">
        <f>IF(A28&lt;=$A$25,ECAL!AF71," ")</f>
        <v>20274.296499999997</v>
      </c>
      <c r="P28" s="1374"/>
      <c r="Q28" s="1374" t="str">
        <f>IF(A28&lt;=$A$25,ECAL!AL71," ")</f>
        <v/>
      </c>
      <c r="R28" s="1374"/>
      <c r="S28" s="621"/>
      <c r="T28" s="621"/>
      <c r="U28" s="622"/>
      <c r="V28" s="622"/>
      <c r="W28" s="621"/>
      <c r="X28" s="620"/>
      <c r="Y28" s="617"/>
      <c r="Z28" s="617"/>
      <c r="AA28" s="617"/>
      <c r="AB28" s="617"/>
      <c r="AC28" s="617"/>
      <c r="AD28" s="617"/>
      <c r="AE28" s="617"/>
      <c r="AF28" s="617"/>
      <c r="AG28" s="617"/>
      <c r="AH28" s="617"/>
    </row>
    <row r="29" spans="1:34" ht="15.75">
      <c r="A29" s="617">
        <v>2</v>
      </c>
      <c r="B29" s="617"/>
      <c r="C29" s="625">
        <f t="shared" ref="C29:C47" ca="1" si="1">IF(A29&lt;=$A$25,YEAR((NOW()))+A28," ")</f>
        <v>2019</v>
      </c>
      <c r="D29" s="617">
        <f t="shared" ref="D29:D47" si="2">IF(A29&lt;=$A$25,D28+1," ")</f>
        <v>11</v>
      </c>
      <c r="E29" s="617">
        <f t="shared" ref="E29:E47" si="3">IF(A29&lt;=$A$25,E$28," ")</f>
        <v>20000</v>
      </c>
      <c r="F29" s="617">
        <f>IF(A29&lt;=$A$25,E29*ECAL!V9/100," ")</f>
        <v>1000</v>
      </c>
      <c r="G29" s="617">
        <f t="shared" ref="G29:G47" si="4">IF(A29&lt;=$A$25,E29-F29," ")</f>
        <v>19000</v>
      </c>
      <c r="H29" s="622">
        <f>IF(A29&lt;=$A$25,H28*(100+ECAL!B$27)/100," ")</f>
        <v>11.812421499999997</v>
      </c>
      <c r="I29" s="622">
        <f t="shared" si="0"/>
        <v>1608.4762975990998</v>
      </c>
      <c r="J29" s="622">
        <f t="shared" ref="J29:J47" si="5">IF(A29&lt;=$A$25,I29+J28," ")</f>
        <v>3354.7312885846486</v>
      </c>
      <c r="K29" s="621">
        <f>IF(A29&lt;=$A$25,ECAL!AA72+ECAL!AB72," ")</f>
        <v>488.51250700000003</v>
      </c>
      <c r="L29" s="617">
        <f>IF(A29&lt;=$A$25,EPLUS!Z$4," ")</f>
        <v>200000</v>
      </c>
      <c r="M29" s="621">
        <f>IF(A29&lt;=$A$25,ECAL!T72," ")</f>
        <v>200000</v>
      </c>
      <c r="N29" s="621">
        <f>IF(A29&lt;=$A$25,ECAL!AE72," ")</f>
        <v>200000</v>
      </c>
      <c r="O29" s="1370">
        <f>IF(A29&lt;=$A$25,ECAL!AF72," ")</f>
        <v>43696.149992999999</v>
      </c>
      <c r="P29" s="1370"/>
      <c r="Q29" s="1370" t="str">
        <f>IF(A29&lt;=$A$25,ECAL!AL72," ")</f>
        <v/>
      </c>
      <c r="R29" s="1370"/>
      <c r="S29" s="621"/>
      <c r="T29" s="621"/>
      <c r="U29" s="622"/>
      <c r="V29" s="622"/>
      <c r="W29" s="621"/>
      <c r="X29" s="620"/>
      <c r="Y29" s="617"/>
      <c r="Z29" s="617"/>
      <c r="AA29" s="617"/>
      <c r="AB29" s="617"/>
      <c r="AC29" s="617"/>
      <c r="AD29" s="617"/>
      <c r="AE29" s="617"/>
      <c r="AF29" s="617"/>
      <c r="AG29" s="617"/>
      <c r="AH29" s="617"/>
    </row>
    <row r="30" spans="1:34" ht="15.75">
      <c r="A30" s="617">
        <v>3</v>
      </c>
      <c r="B30" s="617"/>
      <c r="C30" s="625">
        <f t="shared" ca="1" si="1"/>
        <v>2020</v>
      </c>
      <c r="D30" s="617">
        <f t="shared" si="2"/>
        <v>12</v>
      </c>
      <c r="E30" s="617">
        <f t="shared" si="3"/>
        <v>20000</v>
      </c>
      <c r="F30" s="617">
        <f>IF(A30&lt;=$A$25,E30*ECAL!V10/100," ")</f>
        <v>1000</v>
      </c>
      <c r="G30" s="617">
        <f t="shared" si="4"/>
        <v>19000</v>
      </c>
      <c r="H30" s="622">
        <f>IF(A30&lt;=$A$25,H29*(100+ECAL!B$27)/100," ")</f>
        <v>13.170849972499997</v>
      </c>
      <c r="I30" s="622">
        <f t="shared" si="0"/>
        <v>1442.5796391023316</v>
      </c>
      <c r="J30" s="622">
        <f t="shared" si="5"/>
        <v>4797.31092768698</v>
      </c>
      <c r="K30" s="621">
        <f>IF(A30&lt;=$A$25,ECAL!AA73+ECAL!AB73," ")</f>
        <v>673.0828872699999</v>
      </c>
      <c r="L30" s="617">
        <f>IF(A30&lt;=$A$25,EPLUS!Z$4," ")</f>
        <v>200000</v>
      </c>
      <c r="M30" s="621">
        <f>IF(A30&lt;=$A$25,ECAL!T73," ")</f>
        <v>200000</v>
      </c>
      <c r="N30" s="621">
        <f>IF(A30&lt;=$A$25,ECAL!AE73," ")</f>
        <v>200000</v>
      </c>
      <c r="O30" s="1370">
        <f>IF(A30&lt;=$A$25,ECAL!AF73," ")</f>
        <v>69777.815800230004</v>
      </c>
      <c r="P30" s="1370"/>
      <c r="Q30" s="1370" t="str">
        <f>IF(A30&lt;=$A$25,ECAL!AL73," ")</f>
        <v/>
      </c>
      <c r="R30" s="1370"/>
      <c r="S30" s="621"/>
      <c r="T30" s="621"/>
      <c r="U30" s="622"/>
      <c r="V30" s="622"/>
      <c r="W30" s="621"/>
      <c r="X30" s="620"/>
      <c r="Y30" s="617"/>
      <c r="Z30" s="617"/>
      <c r="AA30" s="617"/>
      <c r="AB30" s="617"/>
      <c r="AC30" s="617"/>
      <c r="AD30" s="617"/>
      <c r="AE30" s="617"/>
      <c r="AF30" s="617"/>
      <c r="AG30" s="617"/>
      <c r="AH30" s="617"/>
    </row>
    <row r="31" spans="1:34" ht="15.75">
      <c r="A31" s="617">
        <v>4</v>
      </c>
      <c r="B31" s="617"/>
      <c r="C31" s="625">
        <f t="shared" ca="1" si="1"/>
        <v>2021</v>
      </c>
      <c r="D31" s="617">
        <f t="shared" si="2"/>
        <v>13</v>
      </c>
      <c r="E31" s="617">
        <f t="shared" si="3"/>
        <v>20000</v>
      </c>
      <c r="F31" s="617">
        <f>IF(A31&lt;=$A$25,E31*ECAL!V11/100," ")</f>
        <v>1000</v>
      </c>
      <c r="G31" s="617">
        <f t="shared" si="4"/>
        <v>19000</v>
      </c>
      <c r="H31" s="622">
        <f>IF(A31&lt;=$A$25,H30*(100+ECAL!B$27)/100," ")</f>
        <v>14.685497719337498</v>
      </c>
      <c r="I31" s="622">
        <f t="shared" si="0"/>
        <v>1293.7933982980551</v>
      </c>
      <c r="J31" s="622">
        <f t="shared" si="5"/>
        <v>6091.1043259850348</v>
      </c>
      <c r="K31" s="621">
        <f>IF(A31&lt;=$A$25,ECAL!AA74+ECAL!AB74," ")</f>
        <v>881.03076628348754</v>
      </c>
      <c r="L31" s="617">
        <f>IF(A31&lt;=$A$25,EPLUS!Z$4," ")</f>
        <v>200000</v>
      </c>
      <c r="M31" s="621">
        <f>IF(A31&lt;=$A$25,ECAL!T74," ")</f>
        <v>200000</v>
      </c>
      <c r="N31" s="621">
        <f>IF(A31&lt;=$A$25,ECAL!AE74," ")</f>
        <v>200000</v>
      </c>
      <c r="O31" s="1370">
        <f>IF(A31&lt;=$A$25,ECAL!AF74," ")</f>
        <v>98856.721270278998</v>
      </c>
      <c r="P31" s="1370"/>
      <c r="Q31" s="1370" t="str">
        <f>IF(A31&lt;=$A$25,ECAL!AL74," ")</f>
        <v/>
      </c>
      <c r="R31" s="1370"/>
      <c r="S31" s="621"/>
      <c r="T31" s="621"/>
      <c r="U31" s="622"/>
      <c r="V31" s="622"/>
      <c r="W31" s="621"/>
      <c r="X31" s="620"/>
      <c r="Y31" s="617"/>
      <c r="Z31" s="617"/>
      <c r="AA31" s="617"/>
      <c r="AB31" s="617"/>
      <c r="AC31" s="617"/>
      <c r="AD31" s="617"/>
      <c r="AE31" s="617"/>
      <c r="AF31" s="617"/>
      <c r="AG31" s="617"/>
      <c r="AH31" s="617"/>
    </row>
    <row r="32" spans="1:34" ht="15.75">
      <c r="A32" s="617">
        <v>5</v>
      </c>
      <c r="B32" s="617"/>
      <c r="C32" s="625">
        <f t="shared" ca="1" si="1"/>
        <v>2022</v>
      </c>
      <c r="D32" s="617">
        <f t="shared" si="2"/>
        <v>14</v>
      </c>
      <c r="E32" s="617">
        <f t="shared" si="3"/>
        <v>20000</v>
      </c>
      <c r="F32" s="617">
        <f>IF(A32&lt;=$A$25,E32*ECAL!V12/100," ")</f>
        <v>1000</v>
      </c>
      <c r="G32" s="617">
        <f t="shared" si="4"/>
        <v>19000</v>
      </c>
      <c r="H32" s="622">
        <f>IF(A32&lt;=$A$25,H31*(100+ECAL!B$27)/100," ")</f>
        <v>16.37432995706131</v>
      </c>
      <c r="I32" s="622">
        <f t="shared" si="0"/>
        <v>1160.3528235856998</v>
      </c>
      <c r="J32" s="622">
        <f t="shared" si="5"/>
        <v>7251.4571495707351</v>
      </c>
      <c r="K32" s="621">
        <f>IF(A32&lt;=$A$25,ECAL!AA75+ECAL!AB75," ")</f>
        <v>1111.4084471138372</v>
      </c>
      <c r="L32" s="617">
        <f>IF(A32&lt;=$A$25,EPLUS!Z$4," ")</f>
        <v>200000</v>
      </c>
      <c r="M32" s="621">
        <f>IF(A32&lt;=$A$25,ECAL!T75," ")</f>
        <v>200000</v>
      </c>
      <c r="N32" s="621">
        <f>IF(A32&lt;=$A$25,ECAL!AE75," ")</f>
        <v>200000</v>
      </c>
      <c r="O32" s="1370">
        <f>IF(A32&lt;=$A$25,ECAL!AF75," ")</f>
        <v>131281.18507365335</v>
      </c>
      <c r="P32" s="1370"/>
      <c r="Q32" s="1370" t="str">
        <f>IF(A32&lt;=$A$25,ECAL!AL75," ")</f>
        <v/>
      </c>
      <c r="R32" s="1370"/>
      <c r="S32" s="621"/>
      <c r="T32" s="621"/>
      <c r="U32" s="622"/>
      <c r="V32" s="622"/>
      <c r="W32" s="621"/>
      <c r="X32" s="620"/>
      <c r="Y32" s="617"/>
      <c r="Z32" s="617"/>
      <c r="AA32" s="617"/>
      <c r="AB32" s="617"/>
      <c r="AC32" s="617"/>
      <c r="AD32" s="617"/>
      <c r="AE32" s="617"/>
      <c r="AF32" s="617"/>
      <c r="AG32" s="617"/>
      <c r="AH32" s="617"/>
    </row>
    <row r="33" spans="1:34" ht="15.75">
      <c r="A33" s="617">
        <v>6</v>
      </c>
      <c r="B33" s="617"/>
      <c r="C33" s="625">
        <f t="shared" ca="1" si="1"/>
        <v>2023</v>
      </c>
      <c r="D33" s="617">
        <f t="shared" si="2"/>
        <v>15</v>
      </c>
      <c r="E33" s="617">
        <f t="shared" si="3"/>
        <v>20000</v>
      </c>
      <c r="F33" s="617">
        <f>IF(A33&lt;=$A$25,E33*ECAL!V13/100," ")</f>
        <v>600</v>
      </c>
      <c r="G33" s="617">
        <f t="shared" si="4"/>
        <v>19400</v>
      </c>
      <c r="H33" s="622">
        <f>IF(A33&lt;=$A$25,H32*(100+ECAL!B$27)/100," ")</f>
        <v>18.257377902123359</v>
      </c>
      <c r="I33" s="622">
        <f t="shared" si="0"/>
        <v>1062.5841292217406</v>
      </c>
      <c r="J33" s="622">
        <f t="shared" si="5"/>
        <v>8314.0412787924761</v>
      </c>
      <c r="K33" s="621">
        <f>IF(A33&lt;=$A$25,ECAL!AA76+ECAL!AB76," ")</f>
        <v>1359.1686720085681</v>
      </c>
      <c r="L33" s="617">
        <f>IF(A33&lt;=$A$25,EPLUS!Z$4," ")</f>
        <v>200000</v>
      </c>
      <c r="M33" s="621">
        <f>IF(A33&lt;=$A$25,ECAL!T76," ")</f>
        <v>200000</v>
      </c>
      <c r="N33" s="621">
        <f>IF(A33&lt;=$A$25,ECAL!AE76," ")</f>
        <v>200000</v>
      </c>
      <c r="O33" s="1370">
        <f>IF(A33&lt;=$A$25,ECAL!AF76," ")</f>
        <v>167889.57310364684</v>
      </c>
      <c r="P33" s="1370"/>
      <c r="Q33" s="1370" t="str">
        <f>IF(A33&lt;=$A$25,ECAL!AL76," ")</f>
        <v/>
      </c>
      <c r="R33" s="1370"/>
      <c r="S33" s="621"/>
      <c r="T33" s="621"/>
      <c r="U33" s="622"/>
      <c r="V33" s="622"/>
      <c r="W33" s="621"/>
      <c r="X33" s="620"/>
      <c r="Y33" s="617"/>
      <c r="Z33" s="617"/>
      <c r="AA33" s="617"/>
      <c r="AB33" s="617"/>
      <c r="AC33" s="617"/>
      <c r="AD33" s="617"/>
      <c r="AE33" s="617"/>
      <c r="AF33" s="617"/>
      <c r="AG33" s="617"/>
      <c r="AH33" s="617"/>
    </row>
    <row r="34" spans="1:34" ht="15.75">
      <c r="A34" s="617">
        <v>7</v>
      </c>
      <c r="B34" s="617"/>
      <c r="C34" s="625">
        <f t="shared" ca="1" si="1"/>
        <v>2024</v>
      </c>
      <c r="D34" s="617">
        <f t="shared" si="2"/>
        <v>16</v>
      </c>
      <c r="E34" s="617">
        <f t="shared" si="3"/>
        <v>20000</v>
      </c>
      <c r="F34" s="617">
        <f>IF(A34&lt;=$A$25,E34*ECAL!V14/100," ")</f>
        <v>600</v>
      </c>
      <c r="G34" s="617">
        <f t="shared" si="4"/>
        <v>19400</v>
      </c>
      <c r="H34" s="622">
        <f>IF(A34&lt;=$A$25,H33*(100+ECAL!B$27)/100," ")</f>
        <v>20.356976360867545</v>
      </c>
      <c r="I34" s="622">
        <f t="shared" si="0"/>
        <v>952.99025042308585</v>
      </c>
      <c r="J34" s="622">
        <f t="shared" si="5"/>
        <v>9267.031529215561</v>
      </c>
      <c r="K34" s="621">
        <f>IF(A34&lt;=$A$25,ECAL!AA77+ECAL!AB77," ")</f>
        <v>1633.0313370659308</v>
      </c>
      <c r="L34" s="617">
        <f>IF(A34&lt;=$A$25,EPLUS!Z$4," ")</f>
        <v>200000</v>
      </c>
      <c r="M34" s="621">
        <f>IF(A34&lt;=$A$25,ECAL!T77," ")</f>
        <v>208710.31574278983</v>
      </c>
      <c r="N34" s="621">
        <f>IF(A34&lt;=$A$25,ECAL!AE77," ")</f>
        <v>208710.31574278983</v>
      </c>
      <c r="O34" s="1370">
        <f>IF(A34&lt;=$A$25,ECAL!AF77," ")</f>
        <v>208710.31574278983</v>
      </c>
      <c r="P34" s="1370"/>
      <c r="Q34" s="1370" t="str">
        <f>IF(A34&lt;=$A$25,ECAL!AL77," ")</f>
        <v/>
      </c>
      <c r="R34" s="1370"/>
      <c r="S34" s="621"/>
      <c r="T34" s="621"/>
      <c r="U34" s="622"/>
      <c r="V34" s="622"/>
      <c r="W34" s="621"/>
      <c r="X34" s="620"/>
      <c r="Y34" s="617"/>
      <c r="Z34" s="617"/>
      <c r="AA34" s="617"/>
      <c r="AB34" s="617"/>
      <c r="AC34" s="617"/>
      <c r="AD34" s="617"/>
      <c r="AE34" s="617"/>
      <c r="AF34" s="617"/>
      <c r="AG34" s="617"/>
      <c r="AH34" s="617"/>
    </row>
    <row r="35" spans="1:34" ht="15.75">
      <c r="A35" s="617">
        <v>8</v>
      </c>
      <c r="B35" s="617"/>
      <c r="C35" s="625">
        <f t="shared" ca="1" si="1"/>
        <v>2025</v>
      </c>
      <c r="D35" s="617">
        <f t="shared" si="2"/>
        <v>17</v>
      </c>
      <c r="E35" s="617">
        <f t="shared" si="3"/>
        <v>20000</v>
      </c>
      <c r="F35" s="617">
        <f>IF(A35&lt;=$A$25,E35*ECAL!V15/100," ")</f>
        <v>600</v>
      </c>
      <c r="G35" s="617">
        <f t="shared" si="4"/>
        <v>19400</v>
      </c>
      <c r="H35" s="622">
        <f>IF(A35&lt;=$A$25,H34*(100+ECAL!B$27)/100," ")</f>
        <v>22.698028642367312</v>
      </c>
      <c r="I35" s="622">
        <f t="shared" si="0"/>
        <v>854.6997761642026</v>
      </c>
      <c r="J35" s="622">
        <f t="shared" si="5"/>
        <v>10121.731305379764</v>
      </c>
      <c r="K35" s="621">
        <f>IF(A35&lt;=$A$25,ECAL!AA78+ECAL!AB78," ")</f>
        <v>1962.9896874196083</v>
      </c>
      <c r="L35" s="617">
        <f>IF(A35&lt;=$A$25,EPLUS!Z$4," ")</f>
        <v>200000</v>
      </c>
      <c r="M35" s="621">
        <f>IF(A35&lt;=$A$25,ECAL!T78," ")</f>
        <v>254200.8423066196</v>
      </c>
      <c r="N35" s="621">
        <f>IF(A35&lt;=$A$25,ECAL!AE78," ")</f>
        <v>254200.8423066196</v>
      </c>
      <c r="O35" s="1370">
        <f>IF(A35&lt;=$A$25,ECAL!AF78," ")</f>
        <v>254200.8423066196</v>
      </c>
      <c r="P35" s="1370"/>
      <c r="Q35" s="1370" t="str">
        <f>IF(A35&lt;=$A$25,ECAL!AL78," ")</f>
        <v/>
      </c>
      <c r="R35" s="1370"/>
      <c r="S35" s="621"/>
      <c r="T35" s="621"/>
      <c r="U35" s="622"/>
      <c r="V35" s="622"/>
      <c r="W35" s="621"/>
      <c r="X35" s="620"/>
      <c r="Y35" s="617"/>
      <c r="Z35" s="617"/>
      <c r="AA35" s="617"/>
      <c r="AB35" s="617"/>
      <c r="AC35" s="617"/>
      <c r="AD35" s="617"/>
      <c r="AE35" s="617"/>
      <c r="AF35" s="617"/>
      <c r="AG35" s="617"/>
      <c r="AH35" s="617"/>
    </row>
    <row r="36" spans="1:34" ht="15.75">
      <c r="A36" s="617">
        <v>9</v>
      </c>
      <c r="B36" s="617"/>
      <c r="C36" s="625">
        <f t="shared" ca="1" si="1"/>
        <v>2026</v>
      </c>
      <c r="D36" s="617">
        <f t="shared" si="2"/>
        <v>18</v>
      </c>
      <c r="E36" s="617">
        <f t="shared" si="3"/>
        <v>20000</v>
      </c>
      <c r="F36" s="617">
        <f>IF(A36&lt;=$A$25,E36*ECAL!V16/100," ")</f>
        <v>600</v>
      </c>
      <c r="G36" s="617">
        <f t="shared" si="4"/>
        <v>19400</v>
      </c>
      <c r="H36" s="622">
        <f>IF(A36&lt;=$A$25,H35*(100+ECAL!B$27)/100," ")</f>
        <v>25.308301936239555</v>
      </c>
      <c r="I36" s="622">
        <f t="shared" si="0"/>
        <v>766.54688445219949</v>
      </c>
      <c r="J36" s="622">
        <f t="shared" si="5"/>
        <v>10888.278189831964</v>
      </c>
      <c r="K36" s="621">
        <f>IF(A36&lt;=$A$25,ECAL!AA79+ECAL!AB79," ")</f>
        <v>2343.4261820269639</v>
      </c>
      <c r="L36" s="617">
        <f>IF(A36&lt;=$A$25,EPLUS!Z$4," ")</f>
        <v>200000</v>
      </c>
      <c r="M36" s="621">
        <f>IF(A36&lt;=$A$25,ECAL!T79," ")</f>
        <v>304910.24649132678</v>
      </c>
      <c r="N36" s="621">
        <f>IF(A36&lt;=$A$25,ECAL!AE79," ")</f>
        <v>304910.24649132678</v>
      </c>
      <c r="O36" s="1370">
        <f>IF(A36&lt;=$A$25,ECAL!AF79," ")</f>
        <v>304910.24649132678</v>
      </c>
      <c r="P36" s="1370"/>
      <c r="Q36" s="1370" t="str">
        <f>IF(A36&lt;=$A$25,ECAL!AL79," ")</f>
        <v/>
      </c>
      <c r="R36" s="1370"/>
      <c r="S36" s="621"/>
      <c r="T36" s="621"/>
      <c r="U36" s="622"/>
      <c r="V36" s="622"/>
      <c r="W36" s="621"/>
      <c r="X36" s="620"/>
      <c r="Y36" s="617"/>
      <c r="Z36" s="617"/>
      <c r="AA36" s="617"/>
      <c r="AB36" s="617"/>
      <c r="AC36" s="617"/>
      <c r="AD36" s="617"/>
      <c r="AE36" s="617"/>
      <c r="AF36" s="617"/>
      <c r="AG36" s="617"/>
      <c r="AH36" s="617"/>
    </row>
    <row r="37" spans="1:34" ht="15.75">
      <c r="A37" s="617">
        <v>10</v>
      </c>
      <c r="B37" s="617"/>
      <c r="C37" s="625">
        <f t="shared" ca="1" si="1"/>
        <v>2027</v>
      </c>
      <c r="D37" s="617">
        <f t="shared" si="2"/>
        <v>19</v>
      </c>
      <c r="E37" s="617">
        <f t="shared" si="3"/>
        <v>20000</v>
      </c>
      <c r="F37" s="617">
        <f>IF(A37&lt;=$A$25,E37*ECAL!V17/100," ")</f>
        <v>600</v>
      </c>
      <c r="G37" s="617">
        <f t="shared" si="4"/>
        <v>19400</v>
      </c>
      <c r="H37" s="622">
        <f>IF(A37&lt;=$A$25,H36*(100+ECAL!B$27)/100," ")</f>
        <v>28.218756658907104</v>
      </c>
      <c r="I37" s="622">
        <f t="shared" si="0"/>
        <v>687.48599502439424</v>
      </c>
      <c r="J37" s="622">
        <f t="shared" si="5"/>
        <v>11575.764184856358</v>
      </c>
      <c r="K37" s="621">
        <f>IF(A37&lt;=$A$25,ECAL!AA80+ECAL!AB80," ")</f>
        <v>2767.4463339307872</v>
      </c>
      <c r="L37" s="617">
        <f>IF(A37&lt;=$A$25,EPLUS!Z$4," ")</f>
        <v>200000</v>
      </c>
      <c r="M37" s="621">
        <f>IF(A37&lt;=$A$25,ECAL!T80," ")</f>
        <v>361451.39869685867</v>
      </c>
      <c r="N37" s="621">
        <f>IF(A37&lt;=$A$25,ECAL!AE80," ")</f>
        <v>361451.39869685867</v>
      </c>
      <c r="O37" s="1370">
        <f>IF(A37&lt;=$A$25,ECAL!AF80," ")</f>
        <v>361451.39869685867</v>
      </c>
      <c r="P37" s="1370"/>
      <c r="Q37" s="1370" t="str">
        <f>IF(A37&lt;=$A$25,ECAL!AL80," ")</f>
        <v/>
      </c>
      <c r="R37" s="1370"/>
      <c r="S37" s="621"/>
      <c r="T37" s="621"/>
      <c r="U37" s="622"/>
      <c r="V37" s="622"/>
      <c r="W37" s="621"/>
      <c r="X37" s="620"/>
      <c r="Y37" s="617"/>
      <c r="Z37" s="617"/>
      <c r="AA37" s="617"/>
      <c r="AB37" s="617"/>
      <c r="AC37" s="617"/>
      <c r="AD37" s="617"/>
      <c r="AE37" s="617"/>
      <c r="AF37" s="617"/>
      <c r="AG37" s="617"/>
      <c r="AH37" s="617"/>
    </row>
    <row r="38" spans="1:34" ht="15.75">
      <c r="A38" s="617">
        <v>11</v>
      </c>
      <c r="B38" s="617"/>
      <c r="C38" s="625">
        <f t="shared" ca="1" si="1"/>
        <v>2028</v>
      </c>
      <c r="D38" s="617">
        <f t="shared" si="2"/>
        <v>20</v>
      </c>
      <c r="E38" s="617">
        <f t="shared" si="3"/>
        <v>20000</v>
      </c>
      <c r="F38" s="617">
        <f>IF(A38&lt;=$A$25,E38*ECAL!V18/100," ")</f>
        <v>600</v>
      </c>
      <c r="G38" s="617">
        <f t="shared" si="4"/>
        <v>19400</v>
      </c>
      <c r="H38" s="622">
        <f>IF(A38&lt;=$A$25,H37*(100+ECAL!B$27)/100," ")</f>
        <v>31.463913674681422</v>
      </c>
      <c r="I38" s="622">
        <f t="shared" si="0"/>
        <v>616.57936773488268</v>
      </c>
      <c r="J38" s="622">
        <f t="shared" si="5"/>
        <v>12192.343552591241</v>
      </c>
      <c r="K38" s="621">
        <f>IF(A38&lt;=$A$25,ECAL!AA81+ECAL!AB81," ")</f>
        <v>3240.0572675326725</v>
      </c>
      <c r="L38" s="617">
        <f>IF(A38&lt;=$A$25,EPLUS!Z$4," ")</f>
        <v>200000</v>
      </c>
      <c r="M38" s="621">
        <f>IF(A38&lt;=$A$25,ECAL!T81," ")</f>
        <v>424494.95494179748</v>
      </c>
      <c r="N38" s="621">
        <f>IF(A38&lt;=$A$25,ECAL!AE81," ")</f>
        <v>424494.95494179748</v>
      </c>
      <c r="O38" s="1370">
        <f>IF(A38&lt;=$A$25,ECAL!AF81," ")</f>
        <v>424494.95494179748</v>
      </c>
      <c r="P38" s="1370"/>
      <c r="Q38" s="1370" t="str">
        <f>IF(A38&lt;=$A$25,ECAL!AL81," ")</f>
        <v/>
      </c>
      <c r="R38" s="1370"/>
      <c r="S38" s="621"/>
      <c r="T38" s="621"/>
      <c r="U38" s="622"/>
      <c r="V38" s="622"/>
      <c r="W38" s="621"/>
      <c r="X38" s="620"/>
      <c r="Y38" s="617"/>
      <c r="Z38" s="617"/>
      <c r="AA38" s="617"/>
      <c r="AB38" s="617"/>
      <c r="AC38" s="617"/>
      <c r="AD38" s="617"/>
      <c r="AE38" s="617"/>
      <c r="AF38" s="617"/>
      <c r="AG38" s="617"/>
      <c r="AH38" s="617"/>
    </row>
    <row r="39" spans="1:34" ht="15.75">
      <c r="A39" s="617">
        <v>12</v>
      </c>
      <c r="B39" s="617"/>
      <c r="C39" s="625">
        <f t="shared" ca="1" si="1"/>
        <v>2029</v>
      </c>
      <c r="D39" s="617">
        <f t="shared" si="2"/>
        <v>21</v>
      </c>
      <c r="E39" s="617">
        <f t="shared" si="3"/>
        <v>20000</v>
      </c>
      <c r="F39" s="617">
        <f>IF(A39&lt;=$A$25,E39*ECAL!V19/100," ")</f>
        <v>600</v>
      </c>
      <c r="G39" s="617">
        <f t="shared" si="4"/>
        <v>19400</v>
      </c>
      <c r="H39" s="622">
        <f>IF(A39&lt;=$A$25,H38*(100+ECAL!B$27)/100," ")</f>
        <v>35.082263747269785</v>
      </c>
      <c r="I39" s="622">
        <f t="shared" si="0"/>
        <v>552.98598003128495</v>
      </c>
      <c r="J39" s="622">
        <f t="shared" si="5"/>
        <v>12745.329532622525</v>
      </c>
      <c r="K39" s="621">
        <f>IF(A39&lt;=$A$25,ECAL!AA82+ECAL!AB82," ")</f>
        <v>3766.84177665477</v>
      </c>
      <c r="L39" s="617">
        <f>IF(A39&lt;=$A$25,EPLUS!Z$4," ")</f>
        <v>200000</v>
      </c>
      <c r="M39" s="621">
        <f>IF(A39&lt;=$A$25,ECAL!T82," ")</f>
        <v>494788.69683674839</v>
      </c>
      <c r="N39" s="621">
        <f>IF(A39&lt;=$A$25,ECAL!AE82," ")</f>
        <v>494788.69683674839</v>
      </c>
      <c r="O39" s="1370">
        <f>IF(A39&lt;=$A$25,ECAL!AF82," ")</f>
        <v>494788.69683674839</v>
      </c>
      <c r="P39" s="1370"/>
      <c r="Q39" s="1370" t="str">
        <f>IF(A39&lt;=$A$25,ECAL!AL82," ")</f>
        <v/>
      </c>
      <c r="R39" s="1370"/>
      <c r="S39" s="621"/>
      <c r="T39" s="621"/>
      <c r="U39" s="622"/>
      <c r="V39" s="622"/>
      <c r="W39" s="621"/>
      <c r="X39" s="620"/>
      <c r="Y39" s="617"/>
      <c r="Z39" s="617"/>
      <c r="AA39" s="617"/>
      <c r="AB39" s="617"/>
      <c r="AC39" s="617"/>
      <c r="AD39" s="617"/>
      <c r="AE39" s="617"/>
      <c r="AF39" s="617"/>
      <c r="AG39" s="617"/>
      <c r="AH39" s="617"/>
    </row>
    <row r="40" spans="1:34" ht="15.75">
      <c r="A40" s="617">
        <v>13</v>
      </c>
      <c r="B40" s="617"/>
      <c r="C40" s="625">
        <f t="shared" ca="1" si="1"/>
        <v>2030</v>
      </c>
      <c r="D40" s="617">
        <f t="shared" si="2"/>
        <v>22</v>
      </c>
      <c r="E40" s="617">
        <f t="shared" si="3"/>
        <v>20000</v>
      </c>
      <c r="F40" s="617">
        <f>IF(A40&lt;=$A$25,E40*ECAL!V20/100," ")</f>
        <v>600</v>
      </c>
      <c r="G40" s="617">
        <f t="shared" si="4"/>
        <v>19400</v>
      </c>
      <c r="H40" s="622">
        <f>IF(A40&lt;=$A$25,H39*(100+ECAL!B$27)/100," ")</f>
        <v>39.116724078205813</v>
      </c>
      <c r="I40" s="622">
        <f t="shared" si="0"/>
        <v>495.9515515975649</v>
      </c>
      <c r="J40" s="622">
        <f t="shared" si="5"/>
        <v>13241.281084220091</v>
      </c>
      <c r="K40" s="621">
        <f>IF(A40&lt;=$A$25,ECAL!AA83+ECAL!AB83," ")</f>
        <v>4354.0245220265842</v>
      </c>
      <c r="L40" s="617">
        <f>IF(A40&lt;=$A$25,EPLUS!Z$4," ")</f>
        <v>200000</v>
      </c>
      <c r="M40" s="621">
        <f>IF(A40&lt;=$A$25,ECAL!T83," ")</f>
        <v>573166.40103191801</v>
      </c>
      <c r="N40" s="621">
        <f>IF(A40&lt;=$A$25,ECAL!AE83," ")</f>
        <v>573166.40103191801</v>
      </c>
      <c r="O40" s="1370">
        <f>IF(A40&lt;=$A$25,ECAL!AF83," ")</f>
        <v>573166.40103191801</v>
      </c>
      <c r="P40" s="1370"/>
      <c r="Q40" s="1370" t="str">
        <f>IF(A40&lt;=$A$25,ECAL!AL83," ")</f>
        <v/>
      </c>
      <c r="R40" s="1370"/>
      <c r="S40" s="621"/>
      <c r="T40" s="621"/>
      <c r="U40" s="622"/>
      <c r="V40" s="622"/>
      <c r="W40" s="621"/>
      <c r="X40" s="620"/>
      <c r="Y40" s="617"/>
      <c r="Z40" s="617"/>
      <c r="AA40" s="617"/>
      <c r="AB40" s="617"/>
      <c r="AC40" s="617"/>
      <c r="AD40" s="617"/>
      <c r="AE40" s="617"/>
      <c r="AF40" s="617"/>
      <c r="AG40" s="617"/>
      <c r="AH40" s="617"/>
    </row>
    <row r="41" spans="1:34" ht="15.75">
      <c r="A41" s="617">
        <v>14</v>
      </c>
      <c r="B41" s="617"/>
      <c r="C41" s="625">
        <f t="shared" ca="1" si="1"/>
        <v>2031</v>
      </c>
      <c r="D41" s="617">
        <f t="shared" si="2"/>
        <v>23</v>
      </c>
      <c r="E41" s="617">
        <f t="shared" si="3"/>
        <v>20000</v>
      </c>
      <c r="F41" s="617">
        <f>IF(A41&lt;=$A$25,E41*ECAL!V21/100," ")</f>
        <v>600</v>
      </c>
      <c r="G41" s="617">
        <f t="shared" si="4"/>
        <v>19400</v>
      </c>
      <c r="H41" s="622">
        <f>IF(A41&lt;=$A$25,H40*(100+ECAL!B$27)/100," ")</f>
        <v>43.615147347199482</v>
      </c>
      <c r="I41" s="622">
        <f t="shared" si="0"/>
        <v>444.79959784534969</v>
      </c>
      <c r="J41" s="622">
        <f t="shared" si="5"/>
        <v>13686.08068206544</v>
      </c>
      <c r="K41" s="621">
        <f>IF(A41&lt;=$A$25,ECAL!AA84+ECAL!AB84," ")</f>
        <v>5008.5458413478518</v>
      </c>
      <c r="L41" s="617">
        <f>IF(A41&lt;=$A$25,EPLUS!Z$4," ")</f>
        <v>200000</v>
      </c>
      <c r="M41" s="621">
        <f>IF(A41&lt;=$A$25,ECAL!T84," ")</f>
        <v>660557.72865130031</v>
      </c>
      <c r="N41" s="621">
        <f>IF(A41&lt;=$A$25,ECAL!AE84," ")</f>
        <v>660557.72865130031</v>
      </c>
      <c r="O41" s="1370">
        <f>IF(A41&lt;=$A$25,ECAL!AF84," ")</f>
        <v>660557.72865130031</v>
      </c>
      <c r="P41" s="1370"/>
      <c r="Q41" s="1370" t="str">
        <f>IF(A41&lt;=$A$25,ECAL!AL84," ")</f>
        <v/>
      </c>
      <c r="R41" s="1370"/>
      <c r="S41" s="621"/>
      <c r="T41" s="621"/>
      <c r="U41" s="622"/>
      <c r="V41" s="622"/>
      <c r="W41" s="621"/>
      <c r="X41" s="620"/>
      <c r="Y41" s="617"/>
      <c r="Z41" s="617"/>
      <c r="AA41" s="617"/>
      <c r="AB41" s="617"/>
      <c r="AC41" s="617"/>
      <c r="AD41" s="617"/>
      <c r="AE41" s="617"/>
      <c r="AF41" s="617"/>
      <c r="AG41" s="617"/>
      <c r="AH41" s="617"/>
    </row>
    <row r="42" spans="1:34" ht="15.75">
      <c r="A42" s="617">
        <v>15</v>
      </c>
      <c r="B42" s="617"/>
      <c r="C42" s="625">
        <f t="shared" ca="1" si="1"/>
        <v>2032</v>
      </c>
      <c r="D42" s="617">
        <f t="shared" si="2"/>
        <v>24</v>
      </c>
      <c r="E42" s="617">
        <f t="shared" si="3"/>
        <v>20000</v>
      </c>
      <c r="F42" s="617">
        <f>IF(A42&lt;=$A$25,E42*ECAL!V22/100," ")</f>
        <v>600</v>
      </c>
      <c r="G42" s="617">
        <f t="shared" si="4"/>
        <v>19400</v>
      </c>
      <c r="H42" s="622">
        <f>IF(A42&lt;=$A$25,H41*(100+ECAL!B$27)/100," ")</f>
        <v>48.630889292127421</v>
      </c>
      <c r="I42" s="622">
        <f t="shared" si="0"/>
        <v>398.92340613932708</v>
      </c>
      <c r="J42" s="622">
        <f t="shared" si="5"/>
        <v>14085.004088204767</v>
      </c>
      <c r="K42" s="621">
        <f>IF(A42&lt;=$A$25,ECAL!AA85+ECAL!AB85," ")</f>
        <v>5738.144047369713</v>
      </c>
      <c r="L42" s="617">
        <f>IF(A42&lt;=$A$25,EPLUS!Z$4," ")</f>
        <v>200000</v>
      </c>
      <c r="M42" s="621">
        <f>IF(A42&lt;=$A$25,ECAL!T85," ")</f>
        <v>757999.25201193301</v>
      </c>
      <c r="N42" s="621">
        <f>IF(A42&lt;=$A$25,ECAL!AE85," ")</f>
        <v>757999.25201193301</v>
      </c>
      <c r="O42" s="1370">
        <f>IF(A42&lt;=$A$25,ECAL!AF85," ")</f>
        <v>757999.25201193301</v>
      </c>
      <c r="P42" s="1370"/>
      <c r="Q42" s="1370" t="str">
        <f>IF(A42&lt;=$A$25,ECAL!AL85," ")</f>
        <v/>
      </c>
      <c r="R42" s="1370"/>
      <c r="S42" s="621"/>
      <c r="T42" s="621"/>
      <c r="U42" s="622"/>
      <c r="V42" s="622"/>
      <c r="W42" s="621"/>
      <c r="X42" s="620"/>
      <c r="Y42" s="617"/>
      <c r="Z42" s="617"/>
      <c r="AA42" s="617"/>
      <c r="AB42" s="617"/>
      <c r="AC42" s="617"/>
      <c r="AD42" s="617"/>
      <c r="AE42" s="617"/>
      <c r="AF42" s="617"/>
      <c r="AG42" s="617"/>
      <c r="AH42" s="617"/>
    </row>
    <row r="43" spans="1:34" ht="15.75">
      <c r="A43" s="617">
        <v>16</v>
      </c>
      <c r="B43" s="617"/>
      <c r="C43" s="625">
        <f t="shared" ca="1" si="1"/>
        <v>2033</v>
      </c>
      <c r="D43" s="617">
        <f t="shared" si="2"/>
        <v>25</v>
      </c>
      <c r="E43" s="617">
        <f t="shared" si="3"/>
        <v>20000</v>
      </c>
      <c r="F43" s="617">
        <f>IF(A43&lt;=$A$25,E43*ECAL!V23/100," ")</f>
        <v>600</v>
      </c>
      <c r="G43" s="617">
        <f t="shared" si="4"/>
        <v>19400</v>
      </c>
      <c r="H43" s="622">
        <f>IF(A43&lt;=$A$25,H42*(100+ECAL!B$27)/100," ")</f>
        <v>54.22344156072208</v>
      </c>
      <c r="I43" s="622">
        <f t="shared" si="0"/>
        <v>357.77883958684038</v>
      </c>
      <c r="J43" s="622">
        <f t="shared" si="5"/>
        <v>14442.782927791608</v>
      </c>
      <c r="K43" s="621">
        <f>IF(A43&lt;=$A$25,ECAL!AA86+ECAL!AB86," ")</f>
        <v>6551.4471901120933</v>
      </c>
      <c r="L43" s="617">
        <f>IF(A43&lt;=$A$25,EPLUS!Z$4," ")</f>
        <v>200000</v>
      </c>
      <c r="M43" s="621">
        <f>IF(A43&lt;=$A$25,ECAL!T86," ")</f>
        <v>866646.74941601045</v>
      </c>
      <c r="N43" s="621">
        <f>IF(A43&lt;=$A$25,ECAL!AE86," ")</f>
        <v>866646.74941601045</v>
      </c>
      <c r="O43" s="1370">
        <f>IF(A43&lt;=$A$25,ECAL!AF86," ")</f>
        <v>866646.74941601045</v>
      </c>
      <c r="P43" s="1370"/>
      <c r="Q43" s="1370" t="str">
        <f>IF(A43&lt;=$A$25,ECAL!AL86," ")</f>
        <v/>
      </c>
      <c r="R43" s="1370"/>
      <c r="S43" s="621"/>
      <c r="T43" s="621"/>
      <c r="U43" s="622"/>
      <c r="V43" s="622"/>
      <c r="W43" s="621"/>
      <c r="X43" s="620"/>
      <c r="Y43" s="617"/>
      <c r="Z43" s="617"/>
      <c r="AA43" s="617"/>
      <c r="AB43" s="617"/>
      <c r="AC43" s="617"/>
      <c r="AD43" s="617"/>
      <c r="AE43" s="617"/>
      <c r="AF43" s="617"/>
      <c r="AG43" s="617"/>
      <c r="AH43" s="617"/>
    </row>
    <row r="44" spans="1:34" ht="15.75">
      <c r="A44" s="617">
        <v>17</v>
      </c>
      <c r="B44" s="617"/>
      <c r="C44" s="625">
        <f t="shared" ca="1" si="1"/>
        <v>2034</v>
      </c>
      <c r="D44" s="617">
        <f t="shared" si="2"/>
        <v>26</v>
      </c>
      <c r="E44" s="617">
        <f t="shared" si="3"/>
        <v>20000</v>
      </c>
      <c r="F44" s="617">
        <f>IF(A44&lt;=$A$25,E44*ECAL!V24/100," ")</f>
        <v>600</v>
      </c>
      <c r="G44" s="617">
        <f t="shared" si="4"/>
        <v>19400</v>
      </c>
      <c r="H44" s="622">
        <f>IF(A44&lt;=$A$25,H43*(100+ECAL!B$27)/100," ")</f>
        <v>60.459137340205118</v>
      </c>
      <c r="I44" s="622">
        <f t="shared" si="0"/>
        <v>320.87788303752501</v>
      </c>
      <c r="J44" s="622">
        <f t="shared" si="5"/>
        <v>14763.660810829133</v>
      </c>
      <c r="K44" s="621">
        <f>IF(A44&lt;=$A$25,ECAL!AA87+ECAL!AB87," ")</f>
        <v>7458.0753715886913</v>
      </c>
      <c r="L44" s="617">
        <f>IF(A44&lt;=$A$25,EPLUS!Z$4," ")</f>
        <v>200000</v>
      </c>
      <c r="M44" s="621">
        <f>IF(A44&lt;=$A$25,ECAL!T87," ")</f>
        <v>987788.91384423804</v>
      </c>
      <c r="N44" s="621">
        <f>IF(A44&lt;=$A$25,ECAL!AE87," ")</f>
        <v>987788.91384423804</v>
      </c>
      <c r="O44" s="1370">
        <f>IF(A44&lt;=$A$25,ECAL!AF87," ")</f>
        <v>987788.91384423804</v>
      </c>
      <c r="P44" s="1370"/>
      <c r="Q44" s="1370" t="str">
        <f>IF(A44&lt;=$A$25,ECAL!AL87," ")</f>
        <v/>
      </c>
      <c r="R44" s="1370"/>
      <c r="S44" s="621"/>
      <c r="T44" s="621"/>
      <c r="U44" s="622"/>
      <c r="V44" s="622"/>
      <c r="W44" s="621"/>
      <c r="X44" s="620"/>
      <c r="Y44" s="617"/>
      <c r="Z44" s="617"/>
      <c r="AA44" s="617"/>
      <c r="AB44" s="617"/>
      <c r="AC44" s="617"/>
      <c r="AD44" s="617"/>
      <c r="AE44" s="617"/>
      <c r="AF44" s="617"/>
      <c r="AG44" s="617"/>
      <c r="AH44" s="617"/>
    </row>
    <row r="45" spans="1:34" ht="15.75">
      <c r="A45" s="617">
        <v>18</v>
      </c>
      <c r="B45" s="617"/>
      <c r="C45" s="625">
        <f t="shared" ca="1" si="1"/>
        <v>2035</v>
      </c>
      <c r="D45" s="617">
        <f t="shared" si="2"/>
        <v>27</v>
      </c>
      <c r="E45" s="617">
        <f t="shared" si="3"/>
        <v>20000</v>
      </c>
      <c r="F45" s="617">
        <f>IF(A45&lt;=$A$25,E45*ECAL!V25/100," ")</f>
        <v>600</v>
      </c>
      <c r="G45" s="617">
        <f t="shared" si="4"/>
        <v>19400</v>
      </c>
      <c r="H45" s="622">
        <f>IF(A45&lt;=$A$25,H44*(100+ECAL!B$27)/100," ")</f>
        <v>67.411938134328707</v>
      </c>
      <c r="I45" s="622">
        <f t="shared" si="0"/>
        <v>287.78285474217489</v>
      </c>
      <c r="J45" s="622">
        <f t="shared" si="5"/>
        <v>15051.443665571307</v>
      </c>
      <c r="K45" s="621">
        <f>IF(A45&lt;=$A$25,ECAL!AA88+ECAL!AB88," ")</f>
        <v>8468.7548265735113</v>
      </c>
      <c r="L45" s="617">
        <f>IF(A45&lt;=$A$25,EPLUS!Z$4," ")</f>
        <v>200000</v>
      </c>
      <c r="M45" s="621">
        <f>IF(A45&lt;=$A$25,ECAL!T88," ")</f>
        <v>1122862.6381490731</v>
      </c>
      <c r="N45" s="621">
        <f>IF(A45&lt;=$A$25,ECAL!AE88," ")</f>
        <v>1122862.6381490731</v>
      </c>
      <c r="O45" s="1370">
        <f>IF(A45&lt;=$A$25,ECAL!AF88," ")</f>
        <v>1122862.6381490731</v>
      </c>
      <c r="P45" s="1370"/>
      <c r="Q45" s="1370" t="str">
        <f>IF(A45&lt;=$A$25,ECAL!AL88," ")</f>
        <v/>
      </c>
      <c r="R45" s="1370"/>
      <c r="S45" s="621"/>
      <c r="T45" s="621"/>
      <c r="U45" s="622"/>
      <c r="V45" s="622"/>
      <c r="W45" s="621"/>
      <c r="X45" s="620"/>
      <c r="Y45" s="617"/>
      <c r="Z45" s="617"/>
      <c r="AA45" s="617"/>
      <c r="AB45" s="617"/>
      <c r="AC45" s="617"/>
      <c r="AD45" s="617"/>
      <c r="AE45" s="617"/>
      <c r="AF45" s="617"/>
      <c r="AG45" s="617"/>
      <c r="AH45" s="617"/>
    </row>
    <row r="46" spans="1:34" ht="15.75">
      <c r="A46" s="617">
        <v>19</v>
      </c>
      <c r="B46" s="617"/>
      <c r="C46" s="625">
        <f t="shared" ca="1" si="1"/>
        <v>2036</v>
      </c>
      <c r="D46" s="617">
        <f t="shared" si="2"/>
        <v>28</v>
      </c>
      <c r="E46" s="617">
        <f t="shared" si="3"/>
        <v>20000</v>
      </c>
      <c r="F46" s="617">
        <f>IF(A46&lt;=$A$25,E46*ECAL!V26/100," ")</f>
        <v>600</v>
      </c>
      <c r="G46" s="617">
        <f t="shared" si="4"/>
        <v>19400</v>
      </c>
      <c r="H46" s="622">
        <f>IF(A46&lt;=$A$25,H45*(100+ECAL!B$27)/100," ")</f>
        <v>75.164311019776505</v>
      </c>
      <c r="I46" s="622">
        <f t="shared" si="0"/>
        <v>258.10121501540351</v>
      </c>
      <c r="J46" s="622">
        <f t="shared" si="5"/>
        <v>15309.544880586711</v>
      </c>
      <c r="K46" s="621">
        <f>IF(A46&lt;=$A$25,ECAL!AA89+ECAL!AB89," ")</f>
        <v>9595.4451224991481</v>
      </c>
      <c r="L46" s="617">
        <f>IF(A46&lt;=$A$25,EPLUS!Z$4," ")</f>
        <v>200000</v>
      </c>
      <c r="M46" s="621">
        <f>IF(A46&lt;=$A$25,ECAL!T89," ")</f>
        <v>1273470.058045347</v>
      </c>
      <c r="N46" s="621">
        <f>IF(A46&lt;=$A$25,ECAL!AE89," ")</f>
        <v>1273470.058045347</v>
      </c>
      <c r="O46" s="1370">
        <f>IF(A46&lt;=$A$25,ECAL!AF89," ")</f>
        <v>1273470.058045347</v>
      </c>
      <c r="P46" s="1370"/>
      <c r="Q46" s="1370" t="str">
        <f>IF(A46&lt;=$A$25,ECAL!AL89," ")</f>
        <v/>
      </c>
      <c r="R46" s="1370"/>
      <c r="S46" s="621"/>
      <c r="T46" s="621"/>
      <c r="U46" s="622"/>
      <c r="V46" s="622"/>
      <c r="W46" s="621"/>
      <c r="X46" s="620"/>
      <c r="Y46" s="617"/>
      <c r="Z46" s="617"/>
      <c r="AA46" s="617"/>
      <c r="AB46" s="617"/>
      <c r="AC46" s="617"/>
      <c r="AD46" s="617"/>
      <c r="AE46" s="617"/>
      <c r="AF46" s="617"/>
      <c r="AG46" s="617"/>
      <c r="AH46" s="617"/>
    </row>
    <row r="47" spans="1:34" ht="15.75">
      <c r="A47" s="617">
        <v>20</v>
      </c>
      <c r="B47" s="617"/>
      <c r="C47" s="625">
        <f t="shared" ca="1" si="1"/>
        <v>2037</v>
      </c>
      <c r="D47" s="617">
        <f t="shared" si="2"/>
        <v>29</v>
      </c>
      <c r="E47" s="617">
        <f t="shared" si="3"/>
        <v>20000</v>
      </c>
      <c r="F47" s="617">
        <f>IF(A47&lt;=$A$25,E47*ECAL!V27/100," ")</f>
        <v>600</v>
      </c>
      <c r="G47" s="617">
        <f t="shared" si="4"/>
        <v>19400</v>
      </c>
      <c r="H47" s="622">
        <f>IF(A47&lt;=$A$25,H46*(100+ECAL!B$27)/100," ")</f>
        <v>83.808206787050807</v>
      </c>
      <c r="I47" s="622">
        <f t="shared" si="0"/>
        <v>231.48091032771615</v>
      </c>
      <c r="J47" s="622">
        <f t="shared" si="5"/>
        <v>15541.025790914427</v>
      </c>
      <c r="K47" s="621">
        <f>IF(A47&lt;=$A$25,ECAL!AA90+ECAL!AB90," ")</f>
        <v>10851.480987182324</v>
      </c>
      <c r="L47" s="617">
        <f>IF(A47&lt;=$A$25,EPLUS!Z$4," ")</f>
        <v>200000</v>
      </c>
      <c r="M47" s="621">
        <f>IF(A47&lt;=$A$25,ECAL!T90," ")</f>
        <v>1441397.5550449663</v>
      </c>
      <c r="N47" s="621">
        <f>IF(A47&lt;=$A$25,ECAL!AE90," ")</f>
        <v>1441397.5550449663</v>
      </c>
      <c r="O47" s="1370">
        <f>IF(A47&lt;=$A$25,ECAL!AF90," ")</f>
        <v>1441397.5550449663</v>
      </c>
      <c r="P47" s="1370"/>
      <c r="Q47" s="1370" t="str">
        <f>IF(A47&lt;=$A$25,ECAL!AL90," ")</f>
        <v/>
      </c>
      <c r="R47" s="1370"/>
      <c r="S47" s="621"/>
      <c r="T47" s="621"/>
      <c r="U47" s="622"/>
      <c r="V47" s="622"/>
      <c r="W47" s="621"/>
      <c r="X47" s="620"/>
      <c r="Y47" s="617"/>
      <c r="Z47" s="617"/>
      <c r="AA47" s="617"/>
      <c r="AB47" s="617"/>
      <c r="AC47" s="617"/>
      <c r="AD47" s="617"/>
      <c r="AE47" s="617"/>
      <c r="AF47" s="617"/>
      <c r="AG47" s="617"/>
      <c r="AH47" s="617"/>
    </row>
    <row r="48" spans="1:34" ht="15">
      <c r="A48" s="617"/>
      <c r="B48" s="617"/>
      <c r="C48" s="1385" t="str">
        <f>"Fund value available at the end of "&amp;ECAL!B10&amp;" years at the projected rate will be Rs. "&amp;INT(ECAL!A32)</f>
        <v>Fund value available at the end of 20 years at the projected rate will be Rs. 1441397</v>
      </c>
      <c r="D48" s="1385"/>
      <c r="E48" s="1385"/>
      <c r="F48" s="1385"/>
      <c r="G48" s="1385"/>
      <c r="H48" s="1385"/>
      <c r="I48" s="1385"/>
      <c r="J48" s="1385"/>
      <c r="K48" s="1385"/>
      <c r="L48" s="1385"/>
      <c r="M48" s="1385"/>
      <c r="N48" s="1385"/>
      <c r="O48" s="624"/>
      <c r="P48" s="621"/>
      <c r="Q48" s="621"/>
      <c r="R48" s="621"/>
      <c r="S48" s="621"/>
      <c r="T48" s="621"/>
      <c r="U48" s="622"/>
      <c r="V48" s="622"/>
      <c r="W48" s="621"/>
      <c r="X48" s="620"/>
      <c r="Y48" s="617"/>
      <c r="Z48" s="617"/>
      <c r="AA48" s="617"/>
      <c r="AB48" s="617"/>
      <c r="AC48" s="617"/>
      <c r="AD48" s="617"/>
      <c r="AE48" s="617"/>
      <c r="AF48" s="617"/>
      <c r="AG48" s="617"/>
      <c r="AH48" s="617"/>
    </row>
    <row r="49" spans="1:34" ht="15">
      <c r="A49" s="617"/>
      <c r="B49" s="617"/>
      <c r="C49" s="623"/>
      <c r="D49" s="1387" t="str">
        <f>"Presentation based on an assumed NAV growth rate of "&amp;ECAL!B27&amp;" % per annum."</f>
        <v>Presentation based on an assumed NAV growth rate of 11.5 % per annum.</v>
      </c>
      <c r="E49" s="1387"/>
      <c r="F49" s="1387"/>
      <c r="G49" s="1387"/>
      <c r="H49" s="1387"/>
      <c r="I49" s="1387"/>
      <c r="J49" s="1387"/>
      <c r="K49" s="1387"/>
      <c r="L49" s="1387"/>
      <c r="M49" s="1387"/>
      <c r="N49" s="1389" t="s">
        <v>735</v>
      </c>
      <c r="O49" s="1389"/>
      <c r="P49" s="1389"/>
      <c r="Q49" s="1389"/>
      <c r="R49" s="1389"/>
      <c r="S49" s="621"/>
      <c r="T49" s="621"/>
      <c r="U49" s="622"/>
      <c r="V49" s="622"/>
      <c r="W49" s="621"/>
      <c r="X49" s="620"/>
      <c r="Y49" s="617"/>
      <c r="Z49" s="617"/>
      <c r="AA49" s="617"/>
      <c r="AB49" s="617"/>
      <c r="AC49" s="617"/>
      <c r="AD49" s="617"/>
      <c r="AE49" s="617"/>
      <c r="AF49" s="617"/>
      <c r="AG49" s="617"/>
      <c r="AH49" s="617"/>
    </row>
    <row r="50" spans="1:34" ht="15" customHeight="1">
      <c r="A50" s="617"/>
      <c r="B50" s="617"/>
      <c r="C50" s="1386" t="s">
        <v>2128</v>
      </c>
      <c r="D50" s="1386"/>
      <c r="E50" s="1386"/>
      <c r="F50" s="1386"/>
      <c r="G50" s="1386"/>
      <c r="H50" s="1386"/>
      <c r="I50" s="1386"/>
      <c r="J50" s="1386"/>
      <c r="K50" s="1386"/>
      <c r="L50" s="1386"/>
      <c r="M50" s="1386"/>
      <c r="N50" s="1383"/>
      <c r="O50" s="1383"/>
      <c r="P50" s="1383"/>
      <c r="Q50" s="1383"/>
      <c r="R50" s="1383"/>
      <c r="S50" s="617"/>
      <c r="T50" s="617"/>
      <c r="U50" s="617"/>
      <c r="V50" s="617"/>
      <c r="W50" s="617"/>
      <c r="X50" s="617"/>
      <c r="Y50" s="617"/>
      <c r="Z50" s="617"/>
      <c r="AA50" s="617"/>
      <c r="AB50" s="617"/>
      <c r="AC50" s="617"/>
      <c r="AD50" s="617"/>
      <c r="AE50" s="617"/>
      <c r="AF50" s="617"/>
      <c r="AG50" s="617"/>
      <c r="AH50" s="617"/>
    </row>
    <row r="51" spans="1:34" ht="14.25" customHeight="1">
      <c r="A51" s="617"/>
      <c r="B51" s="617"/>
      <c r="C51" s="1386"/>
      <c r="D51" s="1386"/>
      <c r="E51" s="1386"/>
      <c r="F51" s="1386"/>
      <c r="G51" s="1386"/>
      <c r="H51" s="1386"/>
      <c r="I51" s="1386"/>
      <c r="J51" s="1386"/>
      <c r="K51" s="1386"/>
      <c r="L51" s="1386"/>
      <c r="M51" s="1386"/>
      <c r="N51" s="1383" t="str">
        <f>'VASANTHAM HOME'!E9</f>
        <v>ENTER YOUR NAME</v>
      </c>
      <c r="O51" s="1383"/>
      <c r="P51" s="1383"/>
      <c r="Q51" s="1383"/>
      <c r="R51" s="1383"/>
      <c r="S51" s="617"/>
      <c r="T51" s="617"/>
      <c r="U51" s="617"/>
      <c r="V51" s="617"/>
      <c r="W51" s="617"/>
      <c r="X51" s="617"/>
      <c r="Y51" s="617"/>
      <c r="Z51" s="617"/>
      <c r="AA51" s="617"/>
      <c r="AB51" s="617"/>
      <c r="AC51" s="617"/>
      <c r="AD51" s="617"/>
      <c r="AE51" s="617"/>
      <c r="AF51" s="617"/>
      <c r="AG51" s="617"/>
      <c r="AH51" s="617"/>
    </row>
    <row r="52" spans="1:34" ht="14.25" customHeight="1">
      <c r="A52" s="617"/>
      <c r="B52" s="617"/>
      <c r="C52" s="1388" t="s">
        <v>734</v>
      </c>
      <c r="D52" s="1388"/>
      <c r="E52" s="1388"/>
      <c r="F52" s="619"/>
      <c r="G52" s="618"/>
      <c r="H52" s="618"/>
      <c r="I52" s="618"/>
      <c r="J52" s="618"/>
      <c r="K52" s="618"/>
      <c r="L52" s="618"/>
      <c r="M52" s="850"/>
      <c r="N52" s="1383" t="str">
        <f>'VASANTHAM HOME'!E10</f>
        <v>DESIGNATION</v>
      </c>
      <c r="O52" s="1383"/>
      <c r="P52" s="1383"/>
      <c r="Q52" s="1383"/>
      <c r="R52" s="1383"/>
      <c r="S52" s="617"/>
      <c r="T52" s="617"/>
      <c r="U52" s="617"/>
      <c r="V52" s="617"/>
      <c r="W52" s="617"/>
      <c r="X52" s="617"/>
      <c r="Y52" s="617"/>
      <c r="Z52" s="617"/>
      <c r="AA52" s="617"/>
      <c r="AB52" s="617"/>
      <c r="AC52" s="617"/>
      <c r="AD52" s="617"/>
      <c r="AE52" s="617"/>
      <c r="AF52" s="617"/>
      <c r="AG52" s="617"/>
      <c r="AH52" s="617"/>
    </row>
    <row r="53" spans="1:34" ht="15">
      <c r="A53" s="617"/>
      <c r="B53" s="617"/>
      <c r="C53" s="1376" t="s">
        <v>733</v>
      </c>
      <c r="D53" s="1377"/>
      <c r="E53" s="1377"/>
      <c r="F53" s="1377"/>
      <c r="G53" s="1377"/>
      <c r="H53" s="1377"/>
      <c r="I53" s="1377"/>
      <c r="J53" s="1377"/>
      <c r="K53" s="1377"/>
      <c r="L53" s="1377"/>
      <c r="M53" s="1378"/>
      <c r="N53" s="1383" t="str">
        <f>'VASANTHAM HOME'!E11</f>
        <v>ADDRESS 1</v>
      </c>
      <c r="O53" s="1383"/>
      <c r="P53" s="1383"/>
      <c r="Q53" s="1383"/>
      <c r="R53" s="1383"/>
      <c r="S53" s="617"/>
      <c r="T53" s="617"/>
      <c r="U53" s="617"/>
      <c r="V53" s="617"/>
      <c r="W53" s="617"/>
      <c r="X53" s="617"/>
      <c r="Y53" s="617"/>
      <c r="Z53" s="617"/>
      <c r="AA53" s="617"/>
      <c r="AB53" s="617"/>
      <c r="AC53" s="617"/>
      <c r="AD53" s="617"/>
      <c r="AE53" s="617"/>
      <c r="AF53" s="617"/>
      <c r="AG53" s="617"/>
      <c r="AH53" s="617"/>
    </row>
    <row r="54" spans="1:34" ht="15">
      <c r="A54" s="617"/>
      <c r="B54" s="617"/>
      <c r="C54" s="1379" t="s">
        <v>732</v>
      </c>
      <c r="D54" s="1379"/>
      <c r="E54" s="1379"/>
      <c r="F54" s="1379"/>
      <c r="G54" s="1379"/>
      <c r="H54" s="1379"/>
      <c r="I54" s="1379"/>
      <c r="J54" s="1379"/>
      <c r="K54" s="1379"/>
      <c r="L54" s="1379"/>
      <c r="M54" s="1379"/>
      <c r="N54" s="1383" t="str">
        <f>'VASANTHAM HOME'!E12</f>
        <v>ADDRESS 2</v>
      </c>
      <c r="O54" s="1383"/>
      <c r="P54" s="1383"/>
      <c r="Q54" s="1383"/>
      <c r="R54" s="1383"/>
      <c r="S54" s="617"/>
      <c r="T54" s="617"/>
      <c r="U54" s="617"/>
      <c r="V54" s="617"/>
      <c r="W54" s="617"/>
      <c r="X54" s="617"/>
      <c r="Y54" s="617"/>
      <c r="Z54" s="617"/>
      <c r="AA54" s="617"/>
      <c r="AB54" s="617"/>
      <c r="AC54" s="617"/>
      <c r="AD54" s="617"/>
      <c r="AE54" s="617"/>
      <c r="AF54" s="617"/>
      <c r="AG54" s="617"/>
      <c r="AH54" s="617"/>
    </row>
    <row r="55" spans="1:34" ht="15">
      <c r="A55" s="617"/>
      <c r="B55" s="617"/>
      <c r="C55" s="1379" t="s">
        <v>731</v>
      </c>
      <c r="D55" s="1379"/>
      <c r="E55" s="1379"/>
      <c r="F55" s="1379"/>
      <c r="G55" s="1379"/>
      <c r="H55" s="1379"/>
      <c r="I55" s="1379"/>
      <c r="J55" s="1379"/>
      <c r="K55" s="1379"/>
      <c r="L55" s="1379"/>
      <c r="M55" s="1379"/>
      <c r="N55" s="1383" t="str">
        <f>'VASANTHAM HOME'!E13</f>
        <v>ADDRESS 3</v>
      </c>
      <c r="O55" s="1383"/>
      <c r="P55" s="1383"/>
      <c r="Q55" s="1383"/>
      <c r="R55" s="1383"/>
      <c r="S55" s="617"/>
      <c r="T55" s="617"/>
      <c r="U55" s="617"/>
      <c r="V55" s="617"/>
      <c r="W55" s="617"/>
      <c r="X55" s="617"/>
      <c r="Y55" s="617"/>
      <c r="Z55" s="617"/>
      <c r="AA55" s="617"/>
      <c r="AB55" s="617"/>
      <c r="AC55" s="617"/>
      <c r="AD55" s="617"/>
      <c r="AE55" s="617"/>
      <c r="AF55" s="617"/>
      <c r="AG55" s="617"/>
      <c r="AH55" s="617"/>
    </row>
    <row r="56" spans="1:34" ht="15">
      <c r="A56" s="617"/>
      <c r="B56" s="617"/>
      <c r="C56" s="1384" t="s">
        <v>730</v>
      </c>
      <c r="D56" s="1384"/>
      <c r="E56" s="1384"/>
      <c r="F56" s="1384"/>
      <c r="G56" s="1384"/>
      <c r="H56" s="1384"/>
      <c r="I56" s="1384"/>
      <c r="J56" s="1384"/>
      <c r="K56" s="1384"/>
      <c r="L56" s="1384"/>
      <c r="M56" s="1384"/>
      <c r="N56" s="1383" t="str">
        <f>'VASANTHAM HOME'!E14</f>
        <v>MOBILE NO :</v>
      </c>
      <c r="O56" s="1383"/>
      <c r="P56" s="1383"/>
      <c r="Q56" s="1383"/>
      <c r="R56" s="1383"/>
      <c r="S56" s="617"/>
      <c r="T56" s="617"/>
      <c r="U56" s="617"/>
      <c r="V56" s="617"/>
      <c r="W56" s="617"/>
      <c r="X56" s="617"/>
      <c r="Y56" s="617"/>
      <c r="Z56" s="617"/>
      <c r="AA56" s="617"/>
      <c r="AB56" s="617"/>
      <c r="AC56" s="617"/>
      <c r="AD56" s="617"/>
      <c r="AE56" s="617"/>
      <c r="AF56" s="617"/>
      <c r="AG56" s="617"/>
      <c r="AH56" s="617"/>
    </row>
    <row r="57" spans="1:34" ht="15">
      <c r="A57" s="617"/>
      <c r="B57" s="617"/>
      <c r="C57" s="1384"/>
      <c r="D57" s="1384"/>
      <c r="E57" s="1384"/>
      <c r="F57" s="1384"/>
      <c r="G57" s="1384"/>
      <c r="H57" s="1384"/>
      <c r="I57" s="1384"/>
      <c r="J57" s="1384"/>
      <c r="K57" s="1384"/>
      <c r="L57" s="1384"/>
      <c r="M57" s="1384"/>
      <c r="N57" s="1383" t="str">
        <f>'VASANTHAM HOME'!E15</f>
        <v>E.MAIL ID :</v>
      </c>
      <c r="O57" s="1383"/>
      <c r="P57" s="1383"/>
      <c r="Q57" s="1383"/>
      <c r="R57" s="1383"/>
      <c r="S57" s="617"/>
      <c r="T57" s="617"/>
      <c r="U57" s="617"/>
      <c r="V57" s="617"/>
      <c r="W57" s="617"/>
      <c r="X57" s="617"/>
      <c r="Y57" s="617"/>
      <c r="Z57" s="617"/>
      <c r="AA57" s="617"/>
      <c r="AB57" s="617"/>
      <c r="AC57" s="617"/>
      <c r="AD57" s="617"/>
      <c r="AE57" s="617"/>
      <c r="AF57" s="617"/>
      <c r="AG57" s="617"/>
      <c r="AH57" s="617"/>
    </row>
    <row r="58" spans="1:34" ht="15">
      <c r="A58" s="617"/>
      <c r="B58" s="617"/>
      <c r="C58" s="617"/>
      <c r="D58" s="617"/>
      <c r="E58" s="617"/>
      <c r="F58" s="617"/>
      <c r="G58" s="617"/>
      <c r="H58" s="617"/>
      <c r="I58" s="617"/>
      <c r="J58" s="617"/>
      <c r="K58" s="617"/>
      <c r="L58" s="617"/>
      <c r="M58" s="617"/>
      <c r="N58" s="617"/>
      <c r="O58" s="617"/>
      <c r="P58" s="617"/>
      <c r="Q58" s="617"/>
      <c r="R58" s="617"/>
      <c r="S58" s="617"/>
      <c r="T58" s="617"/>
      <c r="U58" s="617"/>
      <c r="V58" s="617"/>
      <c r="W58" s="617"/>
      <c r="X58" s="617"/>
      <c r="Y58" s="617"/>
      <c r="Z58" s="617"/>
      <c r="AA58" s="617"/>
      <c r="AB58" s="617"/>
      <c r="AC58" s="617"/>
      <c r="AD58" s="617"/>
      <c r="AE58" s="617"/>
      <c r="AF58" s="617"/>
      <c r="AG58" s="617"/>
      <c r="AH58" s="617"/>
    </row>
    <row r="59" spans="1:34" ht="15">
      <c r="A59" s="617"/>
      <c r="B59" s="617"/>
      <c r="C59" s="617"/>
      <c r="D59" s="617"/>
      <c r="E59" s="617"/>
      <c r="F59" s="617"/>
      <c r="G59" s="617"/>
      <c r="H59" s="617"/>
      <c r="I59" s="617"/>
      <c r="J59" s="617"/>
      <c r="K59" s="617"/>
      <c r="L59" s="617"/>
      <c r="M59" s="617"/>
      <c r="N59" s="617"/>
      <c r="O59" s="617"/>
      <c r="P59" s="617"/>
      <c r="Q59" s="617"/>
      <c r="R59" s="617"/>
      <c r="S59" s="617"/>
      <c r="T59" s="617"/>
      <c r="U59" s="617"/>
      <c r="V59" s="617"/>
      <c r="W59" s="617"/>
      <c r="X59" s="617"/>
      <c r="Y59" s="617"/>
      <c r="Z59" s="617"/>
      <c r="AA59" s="617"/>
      <c r="AB59" s="617"/>
      <c r="AC59" s="617"/>
      <c r="AD59" s="617"/>
      <c r="AE59" s="617"/>
      <c r="AF59" s="617"/>
      <c r="AG59" s="617"/>
      <c r="AH59" s="617"/>
    </row>
    <row r="60" spans="1:34" ht="15" hidden="1">
      <c r="A60" s="617"/>
      <c r="B60" s="617"/>
      <c r="C60" s="617"/>
      <c r="D60" s="617"/>
      <c r="E60" s="617"/>
      <c r="F60" s="617"/>
      <c r="G60" s="617"/>
      <c r="H60" s="617"/>
      <c r="I60" s="617"/>
      <c r="J60" s="617"/>
      <c r="K60" s="617"/>
      <c r="L60" s="617"/>
      <c r="M60" s="617"/>
      <c r="N60" s="617"/>
      <c r="O60" s="617"/>
      <c r="P60" s="617"/>
      <c r="Q60" s="617"/>
      <c r="R60" s="617"/>
      <c r="S60" s="617"/>
      <c r="T60" s="617"/>
      <c r="U60" s="617"/>
      <c r="V60" s="617"/>
      <c r="W60" s="617"/>
      <c r="X60" s="617"/>
      <c r="Y60" s="617"/>
      <c r="Z60" s="617"/>
      <c r="AA60" s="617"/>
      <c r="AB60" s="617"/>
      <c r="AC60" s="617"/>
      <c r="AD60" s="617"/>
      <c r="AE60" s="617"/>
      <c r="AF60" s="617"/>
      <c r="AG60" s="617"/>
      <c r="AH60" s="617"/>
    </row>
    <row r="61" spans="1:34" ht="15" hidden="1">
      <c r="A61" s="617"/>
      <c r="B61" s="617"/>
      <c r="C61" s="617"/>
      <c r="D61" s="617"/>
      <c r="E61" s="617"/>
      <c r="F61" s="617"/>
      <c r="G61" s="617"/>
      <c r="H61" s="617"/>
      <c r="I61" s="617"/>
      <c r="J61" s="617"/>
      <c r="K61" s="617"/>
      <c r="L61" s="617"/>
      <c r="M61" s="617"/>
      <c r="N61" s="617"/>
      <c r="O61" s="617"/>
      <c r="P61" s="617"/>
      <c r="Q61" s="617"/>
      <c r="R61" s="617"/>
      <c r="S61" s="617"/>
      <c r="T61" s="617"/>
      <c r="U61" s="617"/>
      <c r="V61" s="617"/>
      <c r="W61" s="617"/>
      <c r="X61" s="617"/>
      <c r="Y61" s="617"/>
      <c r="Z61" s="617"/>
      <c r="AA61" s="617"/>
      <c r="AB61" s="617"/>
      <c r="AC61" s="617"/>
      <c r="AD61" s="617"/>
      <c r="AE61" s="617"/>
      <c r="AF61" s="617"/>
      <c r="AG61" s="617"/>
      <c r="AH61" s="617"/>
    </row>
    <row r="62" spans="1:34" ht="15" hidden="1">
      <c r="A62" s="617"/>
      <c r="B62" s="617"/>
      <c r="C62" s="617"/>
      <c r="D62" s="617"/>
      <c r="E62" s="617"/>
      <c r="F62" s="617"/>
      <c r="G62" s="617"/>
      <c r="H62" s="617"/>
      <c r="I62" s="617"/>
      <c r="J62" s="617"/>
      <c r="K62" s="617"/>
      <c r="L62" s="617"/>
      <c r="M62" s="617"/>
      <c r="N62" s="617"/>
      <c r="O62" s="617"/>
      <c r="P62" s="617"/>
      <c r="Q62" s="617"/>
      <c r="R62" s="617"/>
      <c r="S62" s="617"/>
      <c r="T62" s="617"/>
      <c r="U62" s="617"/>
      <c r="V62" s="617"/>
      <c r="W62" s="617"/>
      <c r="X62" s="617"/>
      <c r="Y62" s="617"/>
      <c r="Z62" s="617"/>
      <c r="AA62" s="617"/>
      <c r="AB62" s="617"/>
      <c r="AC62" s="617"/>
      <c r="AD62" s="617"/>
      <c r="AE62" s="617"/>
      <c r="AF62" s="617"/>
      <c r="AG62" s="617"/>
      <c r="AH62" s="617"/>
    </row>
    <row r="63" spans="1:34" ht="15" hidden="1">
      <c r="A63" s="617"/>
      <c r="B63" s="617"/>
      <c r="C63" s="617"/>
      <c r="D63" s="617"/>
      <c r="E63" s="617"/>
      <c r="F63" s="617"/>
      <c r="G63" s="617"/>
      <c r="H63" s="617"/>
      <c r="I63" s="617"/>
      <c r="J63" s="617"/>
      <c r="K63" s="617"/>
      <c r="L63" s="617"/>
      <c r="M63" s="617"/>
      <c r="N63" s="617"/>
      <c r="O63" s="617"/>
      <c r="P63" s="617"/>
      <c r="Q63" s="617"/>
      <c r="R63" s="617"/>
      <c r="S63" s="617"/>
      <c r="T63" s="617"/>
      <c r="U63" s="617"/>
      <c r="V63" s="617"/>
      <c r="W63" s="617"/>
      <c r="X63" s="617"/>
      <c r="Y63" s="617"/>
      <c r="Z63" s="617"/>
      <c r="AA63" s="617"/>
      <c r="AB63" s="617"/>
      <c r="AC63" s="617"/>
      <c r="AD63" s="617"/>
      <c r="AE63" s="617"/>
      <c r="AF63" s="617"/>
      <c r="AG63" s="617"/>
      <c r="AH63" s="617"/>
    </row>
    <row r="64" spans="1:34" ht="15" hidden="1">
      <c r="A64" s="617"/>
      <c r="B64" s="617"/>
      <c r="C64" s="617"/>
      <c r="D64" s="617"/>
      <c r="E64" s="617"/>
      <c r="F64" s="617"/>
      <c r="G64" s="617"/>
      <c r="H64" s="617"/>
      <c r="I64" s="617"/>
      <c r="J64" s="617"/>
      <c r="K64" s="617"/>
      <c r="L64" s="617"/>
      <c r="M64" s="617"/>
      <c r="N64" s="617"/>
      <c r="O64" s="617"/>
      <c r="P64" s="617"/>
      <c r="Q64" s="617"/>
      <c r="R64" s="617"/>
      <c r="S64" s="617"/>
      <c r="T64" s="617"/>
      <c r="U64" s="617"/>
      <c r="V64" s="617"/>
      <c r="W64" s="617"/>
      <c r="X64" s="617"/>
      <c r="Y64" s="617"/>
      <c r="Z64" s="617"/>
      <c r="AA64" s="617"/>
      <c r="AB64" s="617"/>
      <c r="AC64" s="617"/>
      <c r="AD64" s="617"/>
      <c r="AE64" s="617"/>
      <c r="AF64" s="617"/>
      <c r="AG64" s="617"/>
      <c r="AH64" s="617"/>
    </row>
    <row r="65" spans="1:34" ht="15" hidden="1">
      <c r="A65" s="617"/>
      <c r="B65" s="617"/>
      <c r="C65" s="617"/>
      <c r="D65" s="617"/>
      <c r="E65" s="617"/>
      <c r="F65" s="617"/>
      <c r="G65" s="617"/>
      <c r="H65" s="617"/>
      <c r="I65" s="617"/>
      <c r="J65" s="617"/>
      <c r="K65" s="617"/>
      <c r="L65" s="617"/>
      <c r="M65" s="617"/>
      <c r="N65" s="617"/>
      <c r="O65" s="617"/>
      <c r="P65" s="617"/>
      <c r="Q65" s="617"/>
      <c r="R65" s="617"/>
      <c r="S65" s="617"/>
      <c r="T65" s="617"/>
      <c r="U65" s="617"/>
      <c r="V65" s="617"/>
      <c r="W65" s="617"/>
      <c r="X65" s="617"/>
      <c r="Y65" s="617"/>
      <c r="Z65" s="617"/>
      <c r="AA65" s="617"/>
      <c r="AB65" s="617"/>
      <c r="AC65" s="617"/>
      <c r="AD65" s="617"/>
      <c r="AE65" s="617"/>
      <c r="AF65" s="617"/>
      <c r="AG65" s="617"/>
      <c r="AH65" s="617"/>
    </row>
    <row r="66" spans="1:34" ht="15" hidden="1">
      <c r="A66" s="617"/>
      <c r="B66" s="617"/>
      <c r="C66" s="617"/>
      <c r="D66" s="617"/>
      <c r="E66" s="617"/>
      <c r="F66" s="617"/>
      <c r="G66" s="617"/>
      <c r="H66" s="617"/>
      <c r="I66" s="617"/>
      <c r="J66" s="617"/>
      <c r="K66" s="617"/>
      <c r="L66" s="617"/>
      <c r="M66" s="617"/>
      <c r="N66" s="617"/>
      <c r="O66" s="617"/>
      <c r="P66" s="617"/>
      <c r="Q66" s="617"/>
      <c r="R66" s="617"/>
      <c r="S66" s="617"/>
      <c r="T66" s="617"/>
      <c r="U66" s="617"/>
      <c r="V66" s="617"/>
      <c r="W66" s="617"/>
      <c r="X66" s="617"/>
      <c r="Y66" s="617"/>
      <c r="Z66" s="617"/>
      <c r="AA66" s="617"/>
      <c r="AB66" s="617"/>
      <c r="AC66" s="617"/>
      <c r="AD66" s="617"/>
      <c r="AE66" s="617"/>
      <c r="AF66" s="617"/>
      <c r="AG66" s="617"/>
      <c r="AH66" s="617"/>
    </row>
    <row r="67" spans="1:34" ht="15" hidden="1">
      <c r="A67" s="617"/>
      <c r="B67" s="617"/>
      <c r="C67" s="617"/>
      <c r="D67" s="617"/>
      <c r="E67" s="617"/>
      <c r="F67" s="617"/>
      <c r="G67" s="617"/>
      <c r="H67" s="617"/>
      <c r="I67" s="617"/>
      <c r="J67" s="617"/>
      <c r="K67" s="617"/>
      <c r="L67" s="617"/>
      <c r="M67" s="617"/>
      <c r="N67" s="617"/>
      <c r="O67" s="617"/>
      <c r="P67" s="617"/>
      <c r="Q67" s="617"/>
      <c r="R67" s="617"/>
      <c r="S67" s="617"/>
      <c r="T67" s="617"/>
      <c r="U67" s="617"/>
      <c r="V67" s="617"/>
      <c r="W67" s="617"/>
      <c r="X67" s="617"/>
      <c r="Y67" s="617"/>
      <c r="Z67" s="617"/>
      <c r="AA67" s="617"/>
      <c r="AB67" s="617"/>
      <c r="AC67" s="617"/>
      <c r="AD67" s="617"/>
      <c r="AE67" s="617"/>
      <c r="AF67" s="617"/>
      <c r="AG67" s="617"/>
      <c r="AH67" s="617"/>
    </row>
    <row r="68" spans="1:34" ht="15" hidden="1">
      <c r="A68" s="617"/>
      <c r="B68" s="617"/>
      <c r="C68" s="617"/>
      <c r="D68" s="617"/>
      <c r="E68" s="617"/>
      <c r="F68" s="617"/>
      <c r="G68" s="617"/>
      <c r="H68" s="617"/>
      <c r="I68" s="617"/>
      <c r="J68" s="617"/>
      <c r="K68" s="617"/>
      <c r="L68" s="617"/>
      <c r="M68" s="617"/>
      <c r="N68" s="617"/>
      <c r="O68" s="617"/>
      <c r="P68" s="617"/>
      <c r="Q68" s="617"/>
      <c r="R68" s="617"/>
      <c r="S68" s="617"/>
      <c r="T68" s="617"/>
      <c r="U68" s="617"/>
      <c r="V68" s="617"/>
      <c r="W68" s="617"/>
      <c r="X68" s="617"/>
      <c r="Y68" s="617"/>
      <c r="Z68" s="617"/>
      <c r="AA68" s="617"/>
      <c r="AB68" s="617"/>
      <c r="AC68" s="617"/>
      <c r="AD68" s="617"/>
      <c r="AE68" s="617"/>
      <c r="AF68" s="617"/>
      <c r="AG68" s="617"/>
      <c r="AH68" s="617"/>
    </row>
    <row r="69" spans="1:34" ht="15" hidden="1">
      <c r="A69" s="617"/>
      <c r="B69" s="617"/>
      <c r="C69" s="617"/>
      <c r="D69" s="617"/>
      <c r="E69" s="617"/>
      <c r="F69" s="617"/>
      <c r="G69" s="617"/>
      <c r="H69" s="617"/>
      <c r="I69" s="617"/>
      <c r="J69" s="617"/>
      <c r="K69" s="617"/>
      <c r="L69" s="617"/>
      <c r="M69" s="617"/>
      <c r="N69" s="617"/>
      <c r="O69" s="617"/>
      <c r="P69" s="617"/>
      <c r="Q69" s="617"/>
      <c r="R69" s="617"/>
      <c r="S69" s="617"/>
      <c r="T69" s="617"/>
      <c r="U69" s="617"/>
      <c r="V69" s="617"/>
      <c r="W69" s="617"/>
      <c r="X69" s="617"/>
      <c r="Y69" s="617"/>
      <c r="Z69" s="617"/>
      <c r="AA69" s="617"/>
      <c r="AB69" s="617"/>
      <c r="AC69" s="617"/>
      <c r="AD69" s="617"/>
      <c r="AE69" s="617"/>
      <c r="AF69" s="617"/>
      <c r="AG69" s="617"/>
      <c r="AH69" s="617"/>
    </row>
    <row r="70" spans="1:34" ht="15" hidden="1">
      <c r="A70" s="617"/>
      <c r="B70" s="617"/>
      <c r="C70" s="617"/>
      <c r="D70" s="617"/>
      <c r="E70" s="617"/>
      <c r="F70" s="617"/>
      <c r="G70" s="617"/>
      <c r="H70" s="617"/>
      <c r="I70" s="617"/>
      <c r="J70" s="617"/>
      <c r="K70" s="617"/>
      <c r="L70" s="617"/>
      <c r="M70" s="617"/>
      <c r="N70" s="617"/>
      <c r="O70" s="617"/>
      <c r="P70" s="617"/>
      <c r="Q70" s="617"/>
      <c r="R70" s="617"/>
      <c r="S70" s="617"/>
      <c r="T70" s="617"/>
      <c r="U70" s="617"/>
      <c r="V70" s="617"/>
      <c r="W70" s="617"/>
      <c r="X70" s="617"/>
      <c r="Y70" s="617"/>
      <c r="Z70" s="617"/>
      <c r="AA70" s="617"/>
      <c r="AB70" s="617"/>
      <c r="AC70" s="617"/>
      <c r="AD70" s="617"/>
      <c r="AE70" s="617"/>
      <c r="AF70" s="617"/>
      <c r="AG70" s="617"/>
      <c r="AH70" s="617"/>
    </row>
    <row r="71" spans="1:34" ht="15" hidden="1">
      <c r="A71" s="617"/>
      <c r="B71" s="617"/>
      <c r="C71" s="617"/>
      <c r="D71" s="617"/>
      <c r="E71" s="617"/>
      <c r="F71" s="617"/>
      <c r="G71" s="617"/>
      <c r="H71" s="617"/>
      <c r="I71" s="617"/>
      <c r="J71" s="617"/>
      <c r="K71" s="617"/>
      <c r="L71" s="617"/>
      <c r="M71" s="617"/>
      <c r="N71" s="617"/>
      <c r="O71" s="617"/>
      <c r="P71" s="617"/>
      <c r="Q71" s="617"/>
      <c r="R71" s="617"/>
      <c r="S71" s="617"/>
      <c r="T71" s="617"/>
      <c r="U71" s="617"/>
      <c r="V71" s="617"/>
      <c r="W71" s="617"/>
      <c r="X71" s="617"/>
      <c r="Y71" s="617"/>
      <c r="Z71" s="617"/>
      <c r="AA71" s="617"/>
      <c r="AB71" s="617"/>
      <c r="AC71" s="617"/>
      <c r="AD71" s="617"/>
      <c r="AE71" s="617"/>
      <c r="AF71" s="617"/>
      <c r="AG71" s="617"/>
      <c r="AH71" s="617"/>
    </row>
    <row r="72" spans="1:34" ht="15" hidden="1">
      <c r="A72" s="617"/>
      <c r="B72" s="617"/>
      <c r="C72" s="617"/>
      <c r="D72" s="617"/>
      <c r="E72" s="617"/>
      <c r="F72" s="617"/>
      <c r="G72" s="617"/>
      <c r="H72" s="617"/>
      <c r="I72" s="617"/>
      <c r="J72" s="617"/>
      <c r="K72" s="617"/>
      <c r="L72" s="617"/>
      <c r="M72" s="617"/>
      <c r="N72" s="617"/>
      <c r="O72" s="617"/>
      <c r="P72" s="617"/>
      <c r="Q72" s="617"/>
      <c r="R72" s="617"/>
      <c r="S72" s="617"/>
      <c r="T72" s="617"/>
      <c r="U72" s="617"/>
      <c r="V72" s="617"/>
      <c r="W72" s="617"/>
      <c r="X72" s="617"/>
      <c r="Y72" s="617"/>
      <c r="Z72" s="617"/>
      <c r="AA72" s="617"/>
      <c r="AB72" s="617"/>
      <c r="AC72" s="617"/>
      <c r="AD72" s="617"/>
      <c r="AE72" s="617"/>
      <c r="AF72" s="617"/>
      <c r="AG72" s="617"/>
      <c r="AH72" s="617"/>
    </row>
    <row r="73" spans="1:34" ht="15" hidden="1">
      <c r="A73" s="617"/>
      <c r="B73" s="617"/>
      <c r="C73" s="617"/>
      <c r="D73" s="617"/>
      <c r="E73" s="617"/>
      <c r="F73" s="617"/>
      <c r="G73" s="617"/>
      <c r="H73" s="617"/>
      <c r="I73" s="617"/>
      <c r="J73" s="617"/>
      <c r="K73" s="617"/>
      <c r="L73" s="617"/>
      <c r="M73" s="617"/>
      <c r="N73" s="617"/>
      <c r="O73" s="617"/>
      <c r="P73" s="617"/>
      <c r="Q73" s="617"/>
      <c r="R73" s="617"/>
      <c r="S73" s="617"/>
      <c r="T73" s="617"/>
      <c r="U73" s="617"/>
      <c r="V73" s="617"/>
      <c r="W73" s="617"/>
      <c r="X73" s="617"/>
      <c r="Y73" s="617"/>
      <c r="Z73" s="617"/>
      <c r="AA73" s="617"/>
      <c r="AB73" s="617"/>
      <c r="AC73" s="617"/>
      <c r="AD73" s="617"/>
      <c r="AE73" s="617"/>
      <c r="AF73" s="617"/>
      <c r="AG73" s="617"/>
      <c r="AH73" s="617"/>
    </row>
    <row r="74" spans="1:34" ht="15" hidden="1">
      <c r="A74" s="617"/>
      <c r="B74" s="617"/>
      <c r="C74" s="617"/>
      <c r="D74" s="617"/>
      <c r="E74" s="617"/>
      <c r="F74" s="617"/>
      <c r="G74" s="617"/>
      <c r="H74" s="617"/>
      <c r="I74" s="617"/>
      <c r="J74" s="617"/>
      <c r="K74" s="617"/>
      <c r="L74" s="617"/>
      <c r="M74" s="617"/>
      <c r="N74" s="617"/>
      <c r="O74" s="617"/>
      <c r="P74" s="617"/>
      <c r="Q74" s="617"/>
      <c r="R74" s="617"/>
      <c r="S74" s="617"/>
      <c r="T74" s="617"/>
      <c r="U74" s="617"/>
      <c r="V74" s="617"/>
      <c r="W74" s="617"/>
      <c r="X74" s="617"/>
      <c r="Y74" s="617"/>
      <c r="Z74" s="617"/>
      <c r="AA74" s="617"/>
      <c r="AB74" s="617"/>
      <c r="AC74" s="617"/>
      <c r="AD74" s="617"/>
      <c r="AE74" s="617"/>
      <c r="AF74" s="617"/>
      <c r="AG74" s="617"/>
      <c r="AH74" s="617"/>
    </row>
    <row r="75" spans="1:34" ht="15" hidden="1">
      <c r="A75" s="617"/>
      <c r="B75" s="617"/>
      <c r="C75" s="617"/>
      <c r="D75" s="617"/>
      <c r="E75" s="617"/>
      <c r="F75" s="617"/>
      <c r="G75" s="617"/>
      <c r="H75" s="617"/>
      <c r="I75" s="617"/>
      <c r="J75" s="617"/>
      <c r="K75" s="617"/>
      <c r="L75" s="617"/>
      <c r="M75" s="617"/>
      <c r="N75" s="617"/>
      <c r="O75" s="617"/>
      <c r="P75" s="617"/>
      <c r="Q75" s="617"/>
      <c r="R75" s="617"/>
      <c r="S75" s="617"/>
      <c r="T75" s="617"/>
      <c r="U75" s="617"/>
      <c r="V75" s="617"/>
      <c r="W75" s="617"/>
      <c r="X75" s="617"/>
      <c r="Y75" s="617"/>
      <c r="Z75" s="617"/>
      <c r="AA75" s="617"/>
      <c r="AB75" s="617"/>
      <c r="AC75" s="617"/>
      <c r="AD75" s="617"/>
      <c r="AE75" s="617"/>
      <c r="AF75" s="617"/>
      <c r="AG75" s="617"/>
      <c r="AH75" s="617"/>
    </row>
    <row r="76" spans="1:34" ht="15" hidden="1">
      <c r="A76" s="617"/>
      <c r="B76" s="617"/>
      <c r="C76" s="617"/>
      <c r="D76" s="617"/>
      <c r="E76" s="617"/>
      <c r="F76" s="617"/>
      <c r="G76" s="617"/>
      <c r="H76" s="617"/>
      <c r="I76" s="617"/>
      <c r="J76" s="617"/>
      <c r="K76" s="617"/>
      <c r="L76" s="617"/>
      <c r="M76" s="617"/>
      <c r="N76" s="617"/>
      <c r="O76" s="617"/>
      <c r="P76" s="617"/>
      <c r="Q76" s="617"/>
      <c r="R76" s="617"/>
      <c r="S76" s="617"/>
      <c r="T76" s="617"/>
      <c r="U76" s="617"/>
      <c r="V76" s="617"/>
      <c r="W76" s="617"/>
      <c r="X76" s="617"/>
      <c r="Y76" s="617"/>
      <c r="Z76" s="617"/>
      <c r="AA76" s="617"/>
      <c r="AB76" s="617"/>
      <c r="AC76" s="617"/>
      <c r="AD76" s="617"/>
      <c r="AE76" s="617"/>
      <c r="AF76" s="617"/>
      <c r="AG76" s="617"/>
      <c r="AH76" s="617"/>
    </row>
    <row r="77" spans="1:34" ht="15" hidden="1">
      <c r="A77" s="617"/>
      <c r="B77" s="617"/>
      <c r="C77" s="617"/>
      <c r="D77" s="617"/>
      <c r="E77" s="617"/>
      <c r="F77" s="617"/>
      <c r="G77" s="617"/>
      <c r="H77" s="617"/>
      <c r="I77" s="617"/>
      <c r="J77" s="617"/>
      <c r="K77" s="617"/>
      <c r="L77" s="617"/>
      <c r="M77" s="617"/>
      <c r="N77" s="617"/>
      <c r="O77" s="617"/>
      <c r="P77" s="617"/>
      <c r="Q77" s="617"/>
      <c r="R77" s="617"/>
      <c r="S77" s="617"/>
      <c r="T77" s="617"/>
      <c r="U77" s="617"/>
      <c r="V77" s="617"/>
      <c r="W77" s="617"/>
      <c r="X77" s="617"/>
      <c r="Y77" s="617"/>
      <c r="Z77" s="617"/>
      <c r="AA77" s="617"/>
      <c r="AB77" s="617"/>
      <c r="AC77" s="617"/>
      <c r="AD77" s="617"/>
      <c r="AE77" s="617"/>
      <c r="AF77" s="617"/>
      <c r="AG77" s="617"/>
      <c r="AH77" s="617"/>
    </row>
    <row r="78" spans="1:34" ht="15" hidden="1">
      <c r="A78" s="617"/>
      <c r="B78" s="617"/>
      <c r="C78" s="617"/>
      <c r="D78" s="617"/>
      <c r="E78" s="617"/>
      <c r="F78" s="617"/>
      <c r="G78" s="617"/>
      <c r="H78" s="617"/>
      <c r="I78" s="617"/>
      <c r="J78" s="617"/>
      <c r="K78" s="617"/>
      <c r="L78" s="617"/>
      <c r="M78" s="617"/>
      <c r="N78" s="617"/>
      <c r="O78" s="617"/>
      <c r="P78" s="617"/>
      <c r="Q78" s="617"/>
      <c r="R78" s="617"/>
      <c r="S78" s="617"/>
      <c r="T78" s="617"/>
      <c r="U78" s="617"/>
      <c r="V78" s="617"/>
      <c r="W78" s="617"/>
      <c r="X78" s="617"/>
      <c r="Y78" s="617"/>
      <c r="Z78" s="617"/>
      <c r="AA78" s="617"/>
      <c r="AB78" s="617"/>
      <c r="AC78" s="617"/>
      <c r="AD78" s="617"/>
      <c r="AE78" s="617"/>
      <c r="AF78" s="617"/>
      <c r="AG78" s="617"/>
      <c r="AH78" s="617"/>
    </row>
    <row r="79" spans="1:34" ht="15" hidden="1">
      <c r="A79" s="617"/>
      <c r="B79" s="617"/>
      <c r="C79" s="617"/>
      <c r="D79" s="617"/>
      <c r="E79" s="617"/>
      <c r="F79" s="617"/>
      <c r="G79" s="617"/>
      <c r="H79" s="617"/>
      <c r="I79" s="617"/>
      <c r="J79" s="617"/>
      <c r="K79" s="617"/>
      <c r="L79" s="617"/>
      <c r="M79" s="617"/>
      <c r="N79" s="617"/>
      <c r="O79" s="617"/>
      <c r="P79" s="617"/>
      <c r="Q79" s="617"/>
      <c r="R79" s="617"/>
      <c r="S79" s="617"/>
      <c r="T79" s="617"/>
      <c r="U79" s="617"/>
      <c r="V79" s="617"/>
      <c r="W79" s="617"/>
      <c r="X79" s="617"/>
      <c r="Y79" s="617"/>
      <c r="Z79" s="617"/>
      <c r="AA79" s="617"/>
      <c r="AB79" s="617"/>
      <c r="AC79" s="617"/>
      <c r="AD79" s="617"/>
      <c r="AE79" s="617"/>
      <c r="AF79" s="617"/>
      <c r="AG79" s="617"/>
      <c r="AH79" s="617"/>
    </row>
    <row r="80" spans="1:34" ht="15" hidden="1">
      <c r="A80" s="617"/>
      <c r="B80" s="617"/>
      <c r="C80" s="617"/>
      <c r="D80" s="617"/>
      <c r="E80" s="617"/>
      <c r="F80" s="617"/>
      <c r="G80" s="617"/>
      <c r="H80" s="617"/>
      <c r="I80" s="617"/>
      <c r="J80" s="617"/>
      <c r="K80" s="617"/>
      <c r="L80" s="617"/>
      <c r="M80" s="617"/>
      <c r="N80" s="617"/>
      <c r="O80" s="617"/>
      <c r="P80" s="617"/>
      <c r="Q80" s="617"/>
      <c r="R80" s="617"/>
      <c r="S80" s="617"/>
      <c r="T80" s="617"/>
      <c r="U80" s="617"/>
      <c r="V80" s="617"/>
      <c r="W80" s="617"/>
      <c r="X80" s="617"/>
      <c r="Y80" s="617"/>
      <c r="Z80" s="617"/>
      <c r="AA80" s="617"/>
      <c r="AB80" s="617"/>
      <c r="AC80" s="617"/>
      <c r="AD80" s="617"/>
      <c r="AE80" s="617"/>
      <c r="AF80" s="617"/>
      <c r="AG80" s="617"/>
      <c r="AH80" s="617"/>
    </row>
    <row r="81" spans="1:34" ht="15" hidden="1">
      <c r="A81" s="617"/>
      <c r="B81" s="617"/>
      <c r="C81" s="617"/>
      <c r="D81" s="617"/>
      <c r="E81" s="617"/>
      <c r="F81" s="617"/>
      <c r="G81" s="617"/>
      <c r="H81" s="617"/>
      <c r="I81" s="617"/>
      <c r="J81" s="617"/>
      <c r="K81" s="617"/>
      <c r="L81" s="617"/>
      <c r="M81" s="617"/>
      <c r="N81" s="617"/>
      <c r="O81" s="617"/>
      <c r="P81" s="617"/>
      <c r="Q81" s="617"/>
      <c r="R81" s="617"/>
      <c r="S81" s="617"/>
      <c r="T81" s="617"/>
      <c r="U81" s="617"/>
      <c r="V81" s="617"/>
      <c r="W81" s="617"/>
      <c r="X81" s="617"/>
      <c r="Y81" s="617"/>
      <c r="Z81" s="617"/>
      <c r="AA81" s="617"/>
      <c r="AB81" s="617"/>
      <c r="AC81" s="617"/>
      <c r="AD81" s="617"/>
      <c r="AE81" s="617"/>
      <c r="AF81" s="617"/>
      <c r="AG81" s="617"/>
      <c r="AH81" s="617"/>
    </row>
    <row r="82" spans="1:34" ht="15" hidden="1">
      <c r="A82" s="617"/>
      <c r="B82" s="617"/>
      <c r="C82" s="617"/>
      <c r="D82" s="617"/>
      <c r="E82" s="617"/>
      <c r="F82" s="617"/>
      <c r="G82" s="617"/>
      <c r="H82" s="617"/>
      <c r="I82" s="617"/>
      <c r="J82" s="617"/>
      <c r="K82" s="617"/>
      <c r="L82" s="617"/>
      <c r="M82" s="617"/>
      <c r="N82" s="617"/>
      <c r="O82" s="617"/>
      <c r="P82" s="617"/>
      <c r="Q82" s="617"/>
      <c r="R82" s="617"/>
      <c r="S82" s="617"/>
      <c r="T82" s="617"/>
      <c r="U82" s="617"/>
      <c r="V82" s="617"/>
      <c r="W82" s="617"/>
      <c r="X82" s="617"/>
      <c r="Y82" s="617"/>
      <c r="Z82" s="617"/>
      <c r="AA82" s="617"/>
      <c r="AB82" s="617"/>
      <c r="AC82" s="617"/>
      <c r="AD82" s="617"/>
      <c r="AE82" s="617"/>
      <c r="AF82" s="617"/>
      <c r="AG82" s="617"/>
      <c r="AH82" s="617"/>
    </row>
    <row r="83" spans="1:34" ht="15" hidden="1">
      <c r="A83" s="617"/>
      <c r="B83" s="617"/>
      <c r="C83" s="617"/>
      <c r="D83" s="617"/>
      <c r="E83" s="617"/>
      <c r="F83" s="617"/>
      <c r="G83" s="617"/>
      <c r="H83" s="617"/>
      <c r="I83" s="617"/>
      <c r="J83" s="617"/>
      <c r="K83" s="617"/>
      <c r="L83" s="617"/>
      <c r="M83" s="617"/>
      <c r="N83" s="617"/>
      <c r="O83" s="617"/>
      <c r="P83" s="617"/>
      <c r="Q83" s="617"/>
      <c r="R83" s="617"/>
      <c r="S83" s="617"/>
      <c r="T83" s="617"/>
      <c r="U83" s="617"/>
      <c r="V83" s="617"/>
      <c r="W83" s="617"/>
      <c r="X83" s="617"/>
      <c r="Y83" s="617"/>
      <c r="Z83" s="617"/>
      <c r="AA83" s="617"/>
      <c r="AB83" s="617"/>
      <c r="AC83" s="617"/>
      <c r="AD83" s="617"/>
      <c r="AE83" s="617"/>
      <c r="AF83" s="617"/>
      <c r="AG83" s="617"/>
      <c r="AH83" s="617"/>
    </row>
    <row r="84" spans="1:34" ht="15" hidden="1">
      <c r="A84" s="617"/>
      <c r="B84" s="617"/>
      <c r="C84" s="617"/>
      <c r="D84" s="617"/>
      <c r="E84" s="617"/>
      <c r="F84" s="617"/>
      <c r="G84" s="617"/>
      <c r="H84" s="617"/>
      <c r="I84" s="617"/>
      <c r="J84" s="617"/>
      <c r="K84" s="617"/>
      <c r="L84" s="617"/>
      <c r="M84" s="617"/>
      <c r="N84" s="617"/>
      <c r="O84" s="617"/>
      <c r="P84" s="617"/>
      <c r="Q84" s="617"/>
      <c r="R84" s="617"/>
      <c r="S84" s="617"/>
      <c r="T84" s="617"/>
      <c r="U84" s="617"/>
      <c r="V84" s="617"/>
      <c r="W84" s="617"/>
      <c r="X84" s="617"/>
      <c r="Y84" s="617"/>
      <c r="Z84" s="617"/>
      <c r="AA84" s="617"/>
      <c r="AB84" s="617"/>
      <c r="AC84" s="617"/>
      <c r="AD84" s="617"/>
      <c r="AE84" s="617"/>
      <c r="AF84" s="617"/>
      <c r="AG84" s="617"/>
      <c r="AH84" s="617"/>
    </row>
    <row r="85" spans="1:34" ht="15" hidden="1">
      <c r="A85" s="617"/>
      <c r="B85" s="617"/>
      <c r="C85" s="617"/>
      <c r="D85" s="617"/>
      <c r="E85" s="617"/>
      <c r="F85" s="617"/>
      <c r="G85" s="617"/>
      <c r="H85" s="617"/>
      <c r="I85" s="617"/>
      <c r="J85" s="617"/>
      <c r="K85" s="617"/>
      <c r="L85" s="617"/>
      <c r="M85" s="617"/>
      <c r="N85" s="617"/>
      <c r="O85" s="617"/>
      <c r="P85" s="617"/>
      <c r="Q85" s="617"/>
      <c r="R85" s="617"/>
      <c r="S85" s="617"/>
      <c r="T85" s="617"/>
      <c r="U85" s="617"/>
      <c r="V85" s="617"/>
      <c r="W85" s="617"/>
      <c r="X85" s="617"/>
      <c r="Y85" s="617"/>
      <c r="Z85" s="617"/>
      <c r="AA85" s="617"/>
      <c r="AB85" s="617"/>
      <c r="AC85" s="617"/>
      <c r="AD85" s="617"/>
      <c r="AE85" s="617"/>
      <c r="AF85" s="617"/>
      <c r="AG85" s="617"/>
      <c r="AH85" s="617"/>
    </row>
    <row r="86" spans="1:34" ht="15" hidden="1">
      <c r="A86" s="617"/>
      <c r="B86" s="617"/>
      <c r="C86" s="617"/>
      <c r="D86" s="617"/>
      <c r="E86" s="617"/>
      <c r="F86" s="617"/>
      <c r="G86" s="617"/>
      <c r="H86" s="617"/>
      <c r="I86" s="617"/>
      <c r="J86" s="617"/>
      <c r="K86" s="617"/>
      <c r="L86" s="617"/>
      <c r="M86" s="617"/>
      <c r="N86" s="617"/>
      <c r="O86" s="617"/>
      <c r="P86" s="617"/>
      <c r="Q86" s="617"/>
      <c r="R86" s="617"/>
      <c r="S86" s="617"/>
      <c r="T86" s="617"/>
      <c r="U86" s="617"/>
      <c r="V86" s="617"/>
      <c r="W86" s="617"/>
      <c r="X86" s="617"/>
      <c r="Y86" s="617"/>
      <c r="Z86" s="617"/>
      <c r="AA86" s="617"/>
      <c r="AB86" s="617"/>
      <c r="AC86" s="617"/>
      <c r="AD86" s="617"/>
      <c r="AE86" s="617"/>
      <c r="AF86" s="617"/>
      <c r="AG86" s="617"/>
      <c r="AH86" s="617"/>
    </row>
    <row r="87" spans="1:34" ht="15" hidden="1">
      <c r="A87" s="617"/>
      <c r="B87" s="617"/>
      <c r="C87" s="617"/>
      <c r="D87" s="617"/>
      <c r="E87" s="617"/>
      <c r="F87" s="617"/>
      <c r="G87" s="617"/>
      <c r="H87" s="617"/>
      <c r="I87" s="617"/>
      <c r="J87" s="617"/>
      <c r="K87" s="617"/>
      <c r="L87" s="617"/>
      <c r="M87" s="617"/>
      <c r="N87" s="617"/>
      <c r="O87" s="617"/>
      <c r="P87" s="617"/>
      <c r="Q87" s="617"/>
      <c r="R87" s="617"/>
      <c r="S87" s="617"/>
      <c r="T87" s="617"/>
      <c r="U87" s="617"/>
      <c r="V87" s="617"/>
      <c r="W87" s="617"/>
      <c r="X87" s="617"/>
      <c r="Y87" s="617"/>
      <c r="Z87" s="617"/>
      <c r="AA87" s="617"/>
      <c r="AB87" s="617"/>
      <c r="AC87" s="617"/>
      <c r="AD87" s="617"/>
      <c r="AE87" s="617"/>
      <c r="AF87" s="617"/>
      <c r="AG87" s="617"/>
      <c r="AH87" s="617"/>
    </row>
    <row r="88" spans="1:34" ht="15" hidden="1">
      <c r="A88" s="617"/>
      <c r="B88" s="617"/>
      <c r="C88" s="617"/>
      <c r="D88" s="617"/>
      <c r="E88" s="617"/>
      <c r="F88" s="617"/>
      <c r="G88" s="617"/>
      <c r="H88" s="617"/>
      <c r="I88" s="617"/>
      <c r="J88" s="617"/>
      <c r="K88" s="617"/>
      <c r="L88" s="617"/>
      <c r="M88" s="617"/>
      <c r="N88" s="617"/>
      <c r="O88" s="617"/>
      <c r="P88" s="617"/>
      <c r="Q88" s="617"/>
      <c r="R88" s="617"/>
      <c r="S88" s="617"/>
      <c r="T88" s="617"/>
      <c r="U88" s="617"/>
      <c r="V88" s="617"/>
      <c r="W88" s="617"/>
      <c r="X88" s="617"/>
      <c r="Y88" s="617"/>
      <c r="Z88" s="617"/>
      <c r="AA88" s="617"/>
      <c r="AB88" s="617"/>
      <c r="AC88" s="617"/>
      <c r="AD88" s="617"/>
      <c r="AE88" s="617"/>
      <c r="AF88" s="617"/>
      <c r="AG88" s="617"/>
      <c r="AH88" s="617"/>
    </row>
    <row r="89" spans="1:34" ht="15" hidden="1">
      <c r="A89" s="617"/>
      <c r="B89" s="617"/>
      <c r="C89" s="617"/>
      <c r="D89" s="617"/>
      <c r="E89" s="617"/>
      <c r="F89" s="617"/>
      <c r="G89" s="617"/>
      <c r="H89" s="617"/>
      <c r="I89" s="617"/>
      <c r="J89" s="617"/>
      <c r="K89" s="617"/>
      <c r="L89" s="617"/>
      <c r="M89" s="617"/>
      <c r="N89" s="617"/>
      <c r="O89" s="617"/>
      <c r="P89" s="617"/>
      <c r="Q89" s="617"/>
      <c r="R89" s="617"/>
      <c r="S89" s="617"/>
      <c r="T89" s="617"/>
      <c r="U89" s="617"/>
      <c r="V89" s="617"/>
      <c r="W89" s="617"/>
      <c r="X89" s="617"/>
      <c r="Y89" s="617"/>
      <c r="Z89" s="617"/>
      <c r="AA89" s="617"/>
      <c r="AB89" s="617"/>
      <c r="AC89" s="617"/>
      <c r="AD89" s="617"/>
      <c r="AE89" s="617"/>
      <c r="AF89" s="617"/>
      <c r="AG89" s="617"/>
      <c r="AH89" s="617"/>
    </row>
    <row r="90" spans="1:34" ht="15" hidden="1">
      <c r="A90" s="617"/>
      <c r="B90" s="617"/>
      <c r="C90" s="617"/>
      <c r="D90" s="617"/>
      <c r="E90" s="617"/>
      <c r="F90" s="617"/>
      <c r="G90" s="617"/>
      <c r="H90" s="617"/>
      <c r="I90" s="617"/>
      <c r="J90" s="617"/>
      <c r="K90" s="617"/>
      <c r="L90" s="617"/>
      <c r="M90" s="617"/>
      <c r="N90" s="617"/>
      <c r="O90" s="617"/>
      <c r="P90" s="617"/>
      <c r="Q90" s="617"/>
      <c r="R90" s="617"/>
      <c r="S90" s="617"/>
      <c r="T90" s="617"/>
      <c r="U90" s="617"/>
      <c r="V90" s="617"/>
      <c r="W90" s="617"/>
      <c r="X90" s="617"/>
      <c r="Y90" s="617"/>
      <c r="Z90" s="617"/>
      <c r="AA90" s="617"/>
      <c r="AB90" s="617"/>
      <c r="AC90" s="617"/>
      <c r="AD90" s="617"/>
      <c r="AE90" s="617"/>
      <c r="AF90" s="617"/>
      <c r="AG90" s="617"/>
      <c r="AH90" s="617"/>
    </row>
    <row r="91" spans="1:34" ht="15" hidden="1">
      <c r="A91" s="617"/>
      <c r="B91" s="617"/>
      <c r="C91" s="617"/>
      <c r="D91" s="617"/>
      <c r="E91" s="617"/>
      <c r="F91" s="617"/>
      <c r="G91" s="617"/>
      <c r="H91" s="617"/>
      <c r="I91" s="617"/>
      <c r="J91" s="617"/>
      <c r="K91" s="617"/>
      <c r="L91" s="617"/>
      <c r="M91" s="617"/>
      <c r="N91" s="617"/>
      <c r="O91" s="617"/>
      <c r="P91" s="617"/>
      <c r="Q91" s="617"/>
      <c r="R91" s="617"/>
      <c r="S91" s="617"/>
      <c r="T91" s="617"/>
      <c r="U91" s="617"/>
      <c r="V91" s="617"/>
      <c r="W91" s="617"/>
      <c r="X91" s="617"/>
      <c r="Y91" s="617"/>
      <c r="Z91" s="617"/>
      <c r="AA91" s="617"/>
      <c r="AB91" s="617"/>
      <c r="AC91" s="617"/>
      <c r="AD91" s="617"/>
      <c r="AE91" s="617"/>
      <c r="AF91" s="617"/>
      <c r="AG91" s="617"/>
      <c r="AH91" s="617"/>
    </row>
    <row r="92" spans="1:34" ht="15" hidden="1">
      <c r="A92" s="617"/>
      <c r="B92" s="617"/>
      <c r="C92" s="617"/>
      <c r="D92" s="617"/>
      <c r="E92" s="617"/>
      <c r="F92" s="617"/>
      <c r="G92" s="617"/>
      <c r="H92" s="617"/>
      <c r="I92" s="617"/>
      <c r="J92" s="617"/>
      <c r="K92" s="617"/>
      <c r="L92" s="617"/>
      <c r="M92" s="617"/>
      <c r="N92" s="617"/>
      <c r="O92" s="617"/>
      <c r="P92" s="617"/>
      <c r="Q92" s="617"/>
      <c r="R92" s="617"/>
      <c r="S92" s="617"/>
      <c r="T92" s="617"/>
      <c r="U92" s="617"/>
      <c r="V92" s="617"/>
      <c r="W92" s="617"/>
      <c r="X92" s="617"/>
      <c r="Y92" s="617"/>
      <c r="Z92" s="617"/>
      <c r="AA92" s="617"/>
      <c r="AB92" s="617"/>
      <c r="AC92" s="617"/>
      <c r="AD92" s="617"/>
      <c r="AE92" s="617"/>
      <c r="AF92" s="617"/>
      <c r="AG92" s="617"/>
      <c r="AH92" s="617"/>
    </row>
    <row r="93" spans="1:34" ht="15" hidden="1">
      <c r="A93" s="617"/>
      <c r="B93" s="617"/>
      <c r="C93" s="617"/>
      <c r="D93" s="617"/>
      <c r="E93" s="617"/>
      <c r="F93" s="617"/>
      <c r="G93" s="617"/>
      <c r="H93" s="617"/>
      <c r="I93" s="617"/>
      <c r="J93" s="617"/>
      <c r="K93" s="617"/>
      <c r="L93" s="617"/>
      <c r="M93" s="617"/>
      <c r="N93" s="617"/>
      <c r="O93" s="617"/>
      <c r="P93" s="617"/>
      <c r="Q93" s="617"/>
      <c r="R93" s="617"/>
      <c r="S93" s="617"/>
      <c r="T93" s="617"/>
      <c r="U93" s="617"/>
      <c r="V93" s="617"/>
      <c r="W93" s="617"/>
      <c r="X93" s="617"/>
      <c r="Y93" s="617"/>
      <c r="Z93" s="617"/>
      <c r="AA93" s="617"/>
      <c r="AB93" s="617"/>
      <c r="AC93" s="617"/>
      <c r="AD93" s="617"/>
      <c r="AE93" s="617"/>
      <c r="AF93" s="617"/>
      <c r="AG93" s="617"/>
      <c r="AH93" s="617"/>
    </row>
    <row r="94" spans="1:34" ht="15" hidden="1">
      <c r="A94" s="617"/>
      <c r="B94" s="617"/>
      <c r="C94" s="617"/>
      <c r="D94" s="617"/>
      <c r="E94" s="617"/>
      <c r="F94" s="617"/>
      <c r="G94" s="617"/>
      <c r="H94" s="617"/>
      <c r="I94" s="617"/>
      <c r="J94" s="617"/>
      <c r="K94" s="617"/>
      <c r="L94" s="617"/>
      <c r="M94" s="617"/>
      <c r="N94" s="617"/>
      <c r="O94" s="617"/>
      <c r="P94" s="617"/>
      <c r="Q94" s="617"/>
      <c r="R94" s="617"/>
      <c r="S94" s="617"/>
      <c r="T94" s="617"/>
      <c r="U94" s="617"/>
      <c r="V94" s="617"/>
      <c r="W94" s="617"/>
      <c r="X94" s="617"/>
      <c r="Y94" s="617"/>
      <c r="Z94" s="617"/>
      <c r="AA94" s="617"/>
      <c r="AB94" s="617"/>
      <c r="AC94" s="617"/>
      <c r="AD94" s="617"/>
      <c r="AE94" s="617"/>
      <c r="AF94" s="617"/>
      <c r="AG94" s="617"/>
      <c r="AH94" s="617"/>
    </row>
    <row r="95" spans="1:34" ht="15" hidden="1">
      <c r="A95" s="617"/>
      <c r="B95" s="617"/>
      <c r="C95" s="617"/>
      <c r="D95" s="617"/>
      <c r="E95" s="617"/>
      <c r="F95" s="617"/>
      <c r="G95" s="617"/>
      <c r="H95" s="617"/>
      <c r="I95" s="617"/>
      <c r="J95" s="617"/>
      <c r="K95" s="617"/>
      <c r="L95" s="617"/>
      <c r="M95" s="617"/>
      <c r="N95" s="617"/>
      <c r="O95" s="617"/>
      <c r="P95" s="617"/>
      <c r="Q95" s="617"/>
      <c r="R95" s="617"/>
      <c r="S95" s="617"/>
      <c r="T95" s="617"/>
      <c r="U95" s="617"/>
      <c r="V95" s="617"/>
      <c r="W95" s="617"/>
      <c r="X95" s="617"/>
      <c r="Y95" s="617"/>
      <c r="Z95" s="617"/>
      <c r="AA95" s="617"/>
      <c r="AB95" s="617"/>
      <c r="AC95" s="617"/>
      <c r="AD95" s="617"/>
      <c r="AE95" s="617"/>
      <c r="AF95" s="617"/>
      <c r="AG95" s="617"/>
      <c r="AH95" s="617"/>
    </row>
    <row r="96" spans="1:34" ht="15" hidden="1">
      <c r="A96" s="617"/>
      <c r="B96" s="617"/>
      <c r="C96" s="617"/>
      <c r="D96" s="617"/>
      <c r="E96" s="617"/>
      <c r="F96" s="617"/>
      <c r="G96" s="617"/>
      <c r="H96" s="617"/>
      <c r="I96" s="617"/>
      <c r="J96" s="617"/>
      <c r="K96" s="617"/>
      <c r="L96" s="617"/>
      <c r="M96" s="617"/>
      <c r="N96" s="617"/>
      <c r="O96" s="617"/>
      <c r="P96" s="617"/>
      <c r="Q96" s="617"/>
      <c r="R96" s="617"/>
      <c r="S96" s="617"/>
      <c r="T96" s="617"/>
      <c r="U96" s="617"/>
      <c r="V96" s="617"/>
      <c r="W96" s="617"/>
      <c r="X96" s="617"/>
      <c r="Y96" s="617"/>
      <c r="Z96" s="617"/>
      <c r="AA96" s="617"/>
      <c r="AB96" s="617"/>
      <c r="AC96" s="617"/>
      <c r="AD96" s="617"/>
      <c r="AE96" s="617"/>
      <c r="AF96" s="617"/>
      <c r="AG96" s="617"/>
      <c r="AH96" s="617"/>
    </row>
    <row r="97" spans="1:34" ht="15" hidden="1">
      <c r="A97" s="617"/>
      <c r="B97" s="617"/>
      <c r="C97" s="617"/>
      <c r="D97" s="617"/>
      <c r="E97" s="617"/>
      <c r="F97" s="617"/>
      <c r="G97" s="617"/>
      <c r="H97" s="617"/>
      <c r="I97" s="617"/>
      <c r="J97" s="617"/>
      <c r="K97" s="617"/>
      <c r="L97" s="617"/>
      <c r="M97" s="617"/>
      <c r="N97" s="617"/>
      <c r="O97" s="617"/>
      <c r="P97" s="617"/>
      <c r="Q97" s="617"/>
      <c r="R97" s="617"/>
      <c r="S97" s="617"/>
      <c r="T97" s="617"/>
      <c r="U97" s="617"/>
      <c r="V97" s="617"/>
      <c r="W97" s="617"/>
      <c r="X97" s="617"/>
      <c r="Y97" s="617"/>
      <c r="Z97" s="617"/>
      <c r="AA97" s="617"/>
      <c r="AB97" s="617"/>
      <c r="AC97" s="617"/>
      <c r="AD97" s="617"/>
      <c r="AE97" s="617"/>
      <c r="AF97" s="617"/>
      <c r="AG97" s="617"/>
      <c r="AH97" s="617"/>
    </row>
    <row r="98" spans="1:34" ht="15" hidden="1">
      <c r="A98" s="617"/>
      <c r="B98" s="617"/>
      <c r="C98" s="617"/>
      <c r="D98" s="617"/>
      <c r="E98" s="617"/>
      <c r="F98" s="617"/>
      <c r="G98" s="617"/>
      <c r="H98" s="617"/>
      <c r="I98" s="617"/>
      <c r="J98" s="617"/>
      <c r="K98" s="617"/>
      <c r="L98" s="617"/>
      <c r="M98" s="617"/>
      <c r="N98" s="617"/>
      <c r="O98" s="617"/>
      <c r="P98" s="617"/>
      <c r="Q98" s="617"/>
      <c r="R98" s="617"/>
      <c r="S98" s="617"/>
      <c r="T98" s="617"/>
      <c r="U98" s="617"/>
      <c r="V98" s="617"/>
      <c r="W98" s="617"/>
      <c r="X98" s="617"/>
      <c r="Y98" s="617"/>
      <c r="Z98" s="617"/>
      <c r="AA98" s="617"/>
      <c r="AB98" s="617"/>
      <c r="AC98" s="617"/>
      <c r="AD98" s="617"/>
      <c r="AE98" s="617"/>
      <c r="AF98" s="617"/>
      <c r="AG98" s="617"/>
      <c r="AH98" s="617"/>
    </row>
    <row r="99" spans="1:34" ht="15" hidden="1">
      <c r="A99" s="617"/>
      <c r="B99" s="617"/>
      <c r="C99" s="617"/>
      <c r="D99" s="617"/>
      <c r="E99" s="617"/>
      <c r="F99" s="617"/>
      <c r="G99" s="617"/>
      <c r="H99" s="617"/>
      <c r="I99" s="617"/>
      <c r="J99" s="617"/>
      <c r="K99" s="617"/>
      <c r="L99" s="617"/>
      <c r="M99" s="617"/>
      <c r="N99" s="617"/>
      <c r="O99" s="617"/>
      <c r="P99" s="617"/>
      <c r="Q99" s="617"/>
      <c r="R99" s="617"/>
      <c r="S99" s="617"/>
      <c r="T99" s="617"/>
      <c r="U99" s="617"/>
      <c r="V99" s="617"/>
      <c r="W99" s="617"/>
      <c r="X99" s="617"/>
      <c r="Y99" s="617"/>
      <c r="Z99" s="617"/>
      <c r="AA99" s="617"/>
      <c r="AB99" s="617"/>
      <c r="AC99" s="617"/>
      <c r="AD99" s="617"/>
      <c r="AE99" s="617"/>
      <c r="AF99" s="617"/>
      <c r="AG99" s="617"/>
      <c r="AH99" s="617"/>
    </row>
    <row r="100" spans="1:34" ht="15" hidden="1">
      <c r="A100" s="617"/>
      <c r="B100" s="617"/>
      <c r="C100" s="617"/>
      <c r="D100" s="617"/>
      <c r="E100" s="617"/>
      <c r="F100" s="617"/>
      <c r="G100" s="617"/>
      <c r="H100" s="617"/>
      <c r="I100" s="617"/>
      <c r="J100" s="617"/>
      <c r="K100" s="617"/>
      <c r="L100" s="617"/>
      <c r="M100" s="617"/>
      <c r="N100" s="617"/>
      <c r="O100" s="617"/>
      <c r="P100" s="617"/>
      <c r="Q100" s="617"/>
      <c r="R100" s="617"/>
      <c r="S100" s="617"/>
      <c r="T100" s="617"/>
      <c r="U100" s="617"/>
      <c r="V100" s="617"/>
      <c r="W100" s="617"/>
      <c r="X100" s="617"/>
      <c r="Y100" s="617"/>
      <c r="Z100" s="617"/>
      <c r="AA100" s="617"/>
      <c r="AB100" s="617"/>
      <c r="AC100" s="617"/>
      <c r="AD100" s="617"/>
      <c r="AE100" s="617"/>
      <c r="AF100" s="617"/>
      <c r="AG100" s="617"/>
      <c r="AH100" s="617"/>
    </row>
    <row r="101" spans="1:34" ht="15" hidden="1">
      <c r="A101" s="617"/>
      <c r="B101" s="617"/>
      <c r="C101" s="617"/>
      <c r="D101" s="617"/>
      <c r="E101" s="617"/>
      <c r="F101" s="617"/>
      <c r="G101" s="617"/>
      <c r="H101" s="617"/>
      <c r="I101" s="617"/>
      <c r="J101" s="617"/>
      <c r="K101" s="617"/>
      <c r="L101" s="617"/>
      <c r="M101" s="617"/>
      <c r="N101" s="617"/>
      <c r="O101" s="617"/>
      <c r="P101" s="617"/>
      <c r="Q101" s="617"/>
      <c r="R101" s="617"/>
      <c r="S101" s="617"/>
      <c r="T101" s="617"/>
      <c r="U101" s="617"/>
      <c r="V101" s="617"/>
      <c r="W101" s="617"/>
      <c r="X101" s="617"/>
      <c r="Y101" s="617"/>
      <c r="Z101" s="617"/>
      <c r="AA101" s="617"/>
      <c r="AB101" s="617"/>
      <c r="AC101" s="617"/>
      <c r="AD101" s="617"/>
      <c r="AE101" s="617"/>
      <c r="AF101" s="617"/>
      <c r="AG101" s="617"/>
      <c r="AH101" s="617"/>
    </row>
    <row r="102" spans="1:34" ht="15" hidden="1">
      <c r="A102" s="617"/>
      <c r="B102" s="617"/>
      <c r="C102" s="617"/>
      <c r="D102" s="617"/>
      <c r="E102" s="617"/>
      <c r="F102" s="617"/>
      <c r="G102" s="617"/>
      <c r="H102" s="617"/>
      <c r="I102" s="617"/>
      <c r="J102" s="617"/>
      <c r="K102" s="617"/>
      <c r="L102" s="617"/>
      <c r="M102" s="617"/>
      <c r="N102" s="617"/>
      <c r="O102" s="617"/>
      <c r="P102" s="617"/>
      <c r="Q102" s="617"/>
      <c r="R102" s="617"/>
      <c r="S102" s="617"/>
      <c r="T102" s="617"/>
      <c r="U102" s="617"/>
      <c r="V102" s="617"/>
      <c r="W102" s="617"/>
      <c r="X102" s="617"/>
      <c r="Y102" s="617"/>
      <c r="Z102" s="617"/>
      <c r="AA102" s="617"/>
      <c r="AB102" s="617"/>
      <c r="AC102" s="617"/>
      <c r="AD102" s="617"/>
      <c r="AE102" s="617"/>
      <c r="AF102" s="617"/>
      <c r="AG102" s="617"/>
      <c r="AH102" s="617"/>
    </row>
    <row r="103" spans="1:34" ht="15" hidden="1">
      <c r="A103" s="617"/>
      <c r="B103" s="617"/>
      <c r="C103" s="617"/>
      <c r="D103" s="617"/>
      <c r="E103" s="617"/>
      <c r="F103" s="617"/>
      <c r="G103" s="617"/>
      <c r="H103" s="617"/>
      <c r="I103" s="617"/>
      <c r="J103" s="617"/>
      <c r="K103" s="617"/>
      <c r="L103" s="617"/>
      <c r="M103" s="617"/>
      <c r="N103" s="617"/>
      <c r="O103" s="617"/>
      <c r="P103" s="617"/>
      <c r="Q103" s="617"/>
      <c r="R103" s="617"/>
      <c r="S103" s="617"/>
      <c r="T103" s="617"/>
      <c r="U103" s="617"/>
      <c r="V103" s="617"/>
      <c r="W103" s="617"/>
      <c r="X103" s="617"/>
      <c r="Y103" s="617"/>
      <c r="Z103" s="617"/>
      <c r="AA103" s="617"/>
      <c r="AB103" s="617"/>
      <c r="AC103" s="617"/>
      <c r="AD103" s="617"/>
      <c r="AE103" s="617"/>
      <c r="AF103" s="617"/>
      <c r="AG103" s="617"/>
      <c r="AH103" s="617"/>
    </row>
    <row r="104" spans="1:34" ht="15" hidden="1">
      <c r="A104" s="617"/>
      <c r="B104" s="617"/>
      <c r="C104" s="617"/>
      <c r="D104" s="617"/>
      <c r="E104" s="617"/>
      <c r="F104" s="617"/>
      <c r="G104" s="617"/>
      <c r="H104" s="617"/>
      <c r="I104" s="617"/>
      <c r="J104" s="617"/>
      <c r="K104" s="617"/>
      <c r="L104" s="617"/>
      <c r="M104" s="617"/>
      <c r="N104" s="617"/>
      <c r="O104" s="617"/>
      <c r="P104" s="617"/>
      <c r="Q104" s="617"/>
      <c r="R104" s="617"/>
      <c r="S104" s="617"/>
      <c r="T104" s="617"/>
      <c r="U104" s="617"/>
      <c r="V104" s="617"/>
      <c r="W104" s="617"/>
      <c r="X104" s="617"/>
      <c r="Y104" s="617"/>
      <c r="Z104" s="617"/>
      <c r="AA104" s="617"/>
      <c r="AB104" s="617"/>
      <c r="AC104" s="617"/>
      <c r="AD104" s="617"/>
      <c r="AE104" s="617"/>
      <c r="AF104" s="617"/>
      <c r="AG104" s="617"/>
      <c r="AH104" s="617"/>
    </row>
    <row r="105" spans="1:34" ht="15" hidden="1">
      <c r="A105" s="617"/>
      <c r="B105" s="617"/>
      <c r="C105" s="617"/>
      <c r="D105" s="617"/>
      <c r="E105" s="617"/>
      <c r="F105" s="617"/>
      <c r="G105" s="617"/>
      <c r="H105" s="617"/>
      <c r="I105" s="617"/>
      <c r="J105" s="617"/>
      <c r="K105" s="617"/>
      <c r="L105" s="617"/>
      <c r="M105" s="617"/>
      <c r="N105" s="617"/>
      <c r="O105" s="617"/>
      <c r="P105" s="617"/>
      <c r="Q105" s="617"/>
      <c r="R105" s="617"/>
      <c r="S105" s="617"/>
      <c r="T105" s="617"/>
      <c r="U105" s="617"/>
      <c r="V105" s="617"/>
      <c r="W105" s="617"/>
      <c r="X105" s="617"/>
      <c r="Y105" s="617"/>
      <c r="Z105" s="617"/>
      <c r="AA105" s="617"/>
      <c r="AB105" s="617"/>
      <c r="AC105" s="617"/>
      <c r="AD105" s="617"/>
      <c r="AE105" s="617"/>
      <c r="AF105" s="617"/>
      <c r="AG105" s="617"/>
      <c r="AH105" s="617"/>
    </row>
    <row r="106" spans="1:34" ht="15" hidden="1">
      <c r="A106" s="617"/>
      <c r="B106" s="617"/>
      <c r="C106" s="617"/>
      <c r="D106" s="617"/>
      <c r="E106" s="617"/>
      <c r="F106" s="617"/>
      <c r="G106" s="617"/>
      <c r="H106" s="617"/>
      <c r="I106" s="617"/>
      <c r="J106" s="617"/>
      <c r="K106" s="617"/>
      <c r="L106" s="617"/>
      <c r="M106" s="617"/>
      <c r="N106" s="617"/>
      <c r="O106" s="617"/>
      <c r="P106" s="617"/>
      <c r="Q106" s="617"/>
      <c r="R106" s="617"/>
      <c r="S106" s="617"/>
      <c r="T106" s="617"/>
      <c r="U106" s="617"/>
      <c r="V106" s="617"/>
      <c r="W106" s="617"/>
      <c r="X106" s="617"/>
      <c r="Y106" s="617"/>
      <c r="Z106" s="617"/>
      <c r="AA106" s="617"/>
      <c r="AB106" s="617"/>
      <c r="AC106" s="617"/>
      <c r="AD106" s="617"/>
      <c r="AE106" s="617"/>
      <c r="AF106" s="617"/>
      <c r="AG106" s="617"/>
      <c r="AH106" s="617"/>
    </row>
    <row r="107" spans="1:34" ht="15" hidden="1">
      <c r="A107" s="617"/>
      <c r="B107" s="617"/>
      <c r="C107" s="617"/>
      <c r="D107" s="617"/>
      <c r="E107" s="617"/>
      <c r="F107" s="617"/>
      <c r="G107" s="617"/>
      <c r="H107" s="617"/>
      <c r="I107" s="617"/>
      <c r="J107" s="617"/>
      <c r="K107" s="617"/>
      <c r="L107" s="617"/>
      <c r="M107" s="617"/>
      <c r="N107" s="617"/>
      <c r="O107" s="617"/>
      <c r="P107" s="617"/>
      <c r="Q107" s="617"/>
      <c r="R107" s="617"/>
      <c r="S107" s="617"/>
      <c r="T107" s="617"/>
      <c r="U107" s="617"/>
      <c r="V107" s="617"/>
      <c r="W107" s="617"/>
      <c r="X107" s="617"/>
      <c r="Y107" s="617"/>
      <c r="Z107" s="617"/>
      <c r="AA107" s="617"/>
      <c r="AB107" s="617"/>
      <c r="AC107" s="617"/>
      <c r="AD107" s="617"/>
      <c r="AE107" s="617"/>
      <c r="AF107" s="617"/>
      <c r="AG107" s="617"/>
      <c r="AH107" s="617"/>
    </row>
    <row r="108" spans="1:34" ht="15" hidden="1">
      <c r="A108" s="617"/>
      <c r="B108" s="617"/>
      <c r="C108" s="617"/>
      <c r="D108" s="617"/>
      <c r="E108" s="617"/>
      <c r="F108" s="617"/>
      <c r="G108" s="617"/>
      <c r="H108" s="617"/>
      <c r="I108" s="617"/>
      <c r="J108" s="617"/>
      <c r="K108" s="617"/>
      <c r="L108" s="617"/>
      <c r="M108" s="617"/>
      <c r="N108" s="617"/>
      <c r="O108" s="617"/>
      <c r="P108" s="617"/>
      <c r="Q108" s="617"/>
      <c r="R108" s="617"/>
      <c r="S108" s="617"/>
      <c r="T108" s="617"/>
      <c r="U108" s="617"/>
      <c r="V108" s="617"/>
      <c r="W108" s="617"/>
      <c r="X108" s="617"/>
      <c r="Y108" s="617"/>
      <c r="Z108" s="617"/>
      <c r="AA108" s="617"/>
      <c r="AB108" s="617"/>
      <c r="AC108" s="617"/>
      <c r="AD108" s="617"/>
      <c r="AE108" s="617"/>
      <c r="AF108" s="617"/>
      <c r="AG108" s="617"/>
      <c r="AH108" s="617"/>
    </row>
    <row r="109" spans="1:34" ht="15" hidden="1">
      <c r="A109" s="617"/>
      <c r="B109" s="617"/>
      <c r="C109" s="617"/>
      <c r="D109" s="617"/>
      <c r="E109" s="617"/>
      <c r="F109" s="617"/>
      <c r="G109" s="617"/>
      <c r="H109" s="617"/>
      <c r="I109" s="617"/>
      <c r="J109" s="617"/>
      <c r="K109" s="617"/>
      <c r="L109" s="617"/>
      <c r="M109" s="617"/>
      <c r="N109" s="617"/>
      <c r="O109" s="617"/>
      <c r="P109" s="617"/>
      <c r="Q109" s="617"/>
      <c r="R109" s="617"/>
      <c r="S109" s="617"/>
      <c r="T109" s="617"/>
      <c r="U109" s="617"/>
      <c r="V109" s="617"/>
      <c r="W109" s="617"/>
      <c r="X109" s="617"/>
      <c r="Y109" s="617"/>
      <c r="Z109" s="617"/>
      <c r="AA109" s="617"/>
      <c r="AB109" s="617"/>
      <c r="AC109" s="617"/>
      <c r="AD109" s="617"/>
      <c r="AE109" s="617"/>
      <c r="AF109" s="617"/>
      <c r="AG109" s="617"/>
      <c r="AH109" s="617"/>
    </row>
    <row r="110" spans="1:34" ht="15" hidden="1">
      <c r="A110" s="617"/>
      <c r="B110" s="617"/>
      <c r="C110" s="617"/>
      <c r="D110" s="617"/>
      <c r="E110" s="617"/>
      <c r="F110" s="617"/>
      <c r="G110" s="617"/>
      <c r="H110" s="617"/>
      <c r="I110" s="617"/>
      <c r="J110" s="617"/>
      <c r="K110" s="617"/>
      <c r="L110" s="617"/>
      <c r="M110" s="617"/>
      <c r="N110" s="617"/>
      <c r="O110" s="617"/>
      <c r="P110" s="617"/>
      <c r="Q110" s="617"/>
      <c r="R110" s="617"/>
      <c r="S110" s="617"/>
      <c r="T110" s="617"/>
      <c r="U110" s="617"/>
      <c r="V110" s="617"/>
      <c r="W110" s="617"/>
      <c r="X110" s="617"/>
      <c r="Y110" s="617"/>
      <c r="Z110" s="617"/>
      <c r="AA110" s="617"/>
      <c r="AB110" s="617"/>
      <c r="AC110" s="617"/>
      <c r="AD110" s="617"/>
      <c r="AE110" s="617"/>
      <c r="AF110" s="617"/>
      <c r="AG110" s="617"/>
      <c r="AH110" s="617"/>
    </row>
    <row r="111" spans="1:34" ht="15" hidden="1">
      <c r="A111" s="617"/>
      <c r="B111" s="617"/>
      <c r="C111" s="617"/>
      <c r="D111" s="617"/>
      <c r="E111" s="617"/>
      <c r="F111" s="617"/>
      <c r="G111" s="617"/>
      <c r="H111" s="617"/>
      <c r="I111" s="617"/>
      <c r="J111" s="617"/>
      <c r="K111" s="617"/>
      <c r="L111" s="617"/>
      <c r="M111" s="617"/>
      <c r="N111" s="617"/>
      <c r="O111" s="617"/>
      <c r="P111" s="617"/>
      <c r="Q111" s="617"/>
      <c r="R111" s="617"/>
      <c r="S111" s="617"/>
      <c r="T111" s="617"/>
      <c r="U111" s="617"/>
      <c r="V111" s="617"/>
      <c r="W111" s="617"/>
      <c r="X111" s="617"/>
      <c r="Y111" s="617"/>
      <c r="Z111" s="617"/>
      <c r="AA111" s="617"/>
      <c r="AB111" s="617"/>
      <c r="AC111" s="617"/>
      <c r="AD111" s="617"/>
      <c r="AE111" s="617"/>
      <c r="AF111" s="617"/>
      <c r="AG111" s="617"/>
      <c r="AH111" s="617"/>
    </row>
    <row r="112" spans="1:34" ht="15" hidden="1">
      <c r="A112" s="617"/>
      <c r="B112" s="617"/>
      <c r="C112" s="617"/>
      <c r="D112" s="617"/>
      <c r="E112" s="617"/>
      <c r="F112" s="617"/>
      <c r="G112" s="617"/>
      <c r="H112" s="617"/>
      <c r="I112" s="617"/>
      <c r="J112" s="617"/>
      <c r="K112" s="617"/>
      <c r="L112" s="617"/>
      <c r="M112" s="617"/>
      <c r="N112" s="617"/>
      <c r="O112" s="617"/>
      <c r="P112" s="617"/>
      <c r="Q112" s="617"/>
      <c r="R112" s="617"/>
      <c r="S112" s="617"/>
      <c r="T112" s="617"/>
      <c r="U112" s="617"/>
      <c r="V112" s="617"/>
      <c r="W112" s="617"/>
      <c r="X112" s="617"/>
      <c r="Y112" s="617"/>
      <c r="Z112" s="617"/>
      <c r="AA112" s="617"/>
      <c r="AB112" s="617"/>
      <c r="AC112" s="617"/>
      <c r="AD112" s="617"/>
      <c r="AE112" s="617"/>
      <c r="AF112" s="617"/>
      <c r="AG112" s="617"/>
      <c r="AH112" s="617"/>
    </row>
    <row r="113" spans="1:34" ht="15" hidden="1">
      <c r="A113" s="617"/>
      <c r="B113" s="617"/>
      <c r="C113" s="617"/>
      <c r="D113" s="617"/>
      <c r="E113" s="617"/>
      <c r="F113" s="617"/>
      <c r="G113" s="617"/>
      <c r="H113" s="617"/>
      <c r="I113" s="617"/>
      <c r="J113" s="617"/>
      <c r="K113" s="617"/>
      <c r="L113" s="617"/>
      <c r="M113" s="617"/>
      <c r="N113" s="617"/>
      <c r="O113" s="617"/>
      <c r="P113" s="617"/>
      <c r="Q113" s="617"/>
      <c r="R113" s="617"/>
      <c r="S113" s="617"/>
      <c r="T113" s="617"/>
      <c r="U113" s="617"/>
      <c r="V113" s="617"/>
      <c r="W113" s="617"/>
      <c r="X113" s="617"/>
      <c r="Y113" s="617"/>
      <c r="Z113" s="617"/>
      <c r="AA113" s="617"/>
      <c r="AB113" s="617"/>
      <c r="AC113" s="617"/>
      <c r="AD113" s="617"/>
      <c r="AE113" s="617"/>
      <c r="AF113" s="617"/>
      <c r="AG113" s="617"/>
      <c r="AH113" s="617"/>
    </row>
    <row r="114" spans="1:34" ht="15" hidden="1">
      <c r="A114" s="617"/>
      <c r="B114" s="617"/>
      <c r="C114" s="617"/>
      <c r="D114" s="617"/>
      <c r="E114" s="617"/>
      <c r="F114" s="617"/>
      <c r="G114" s="617"/>
      <c r="H114" s="617"/>
      <c r="I114" s="617"/>
      <c r="J114" s="617"/>
      <c r="K114" s="617"/>
      <c r="L114" s="617"/>
      <c r="M114" s="617"/>
      <c r="N114" s="617"/>
      <c r="O114" s="617"/>
      <c r="P114" s="617"/>
      <c r="Q114" s="617"/>
      <c r="R114" s="617"/>
      <c r="S114" s="617"/>
      <c r="T114" s="617"/>
      <c r="U114" s="617"/>
      <c r="V114" s="617"/>
      <c r="W114" s="617"/>
      <c r="X114" s="617"/>
      <c r="Y114" s="617"/>
      <c r="Z114" s="617"/>
      <c r="AA114" s="617"/>
      <c r="AB114" s="617"/>
      <c r="AC114" s="617"/>
      <c r="AD114" s="617"/>
      <c r="AE114" s="617"/>
      <c r="AF114" s="617"/>
      <c r="AG114" s="617"/>
      <c r="AH114" s="617"/>
    </row>
    <row r="115" spans="1:34" ht="15" hidden="1">
      <c r="A115" s="617"/>
      <c r="B115" s="617"/>
      <c r="C115" s="617"/>
      <c r="D115" s="617"/>
      <c r="E115" s="617"/>
      <c r="F115" s="617"/>
      <c r="G115" s="617"/>
      <c r="H115" s="617"/>
      <c r="I115" s="617"/>
      <c r="J115" s="617"/>
      <c r="K115" s="617"/>
      <c r="L115" s="617"/>
      <c r="M115" s="617"/>
      <c r="N115" s="617"/>
      <c r="O115" s="617"/>
      <c r="P115" s="617"/>
      <c r="Q115" s="617"/>
      <c r="R115" s="617"/>
      <c r="S115" s="617"/>
      <c r="T115" s="617"/>
      <c r="U115" s="617"/>
      <c r="V115" s="617"/>
      <c r="W115" s="617"/>
      <c r="X115" s="617"/>
      <c r="Y115" s="617"/>
      <c r="Z115" s="617"/>
      <c r="AA115" s="617"/>
      <c r="AB115" s="617"/>
      <c r="AC115" s="617"/>
      <c r="AD115" s="617"/>
      <c r="AE115" s="617"/>
      <c r="AF115" s="617"/>
      <c r="AG115" s="617"/>
      <c r="AH115" s="617"/>
    </row>
    <row r="116" spans="1:34" ht="15" hidden="1">
      <c r="A116" s="617"/>
      <c r="B116" s="617"/>
      <c r="C116" s="617"/>
      <c r="D116" s="617"/>
      <c r="E116" s="617"/>
      <c r="F116" s="617"/>
      <c r="G116" s="617"/>
      <c r="H116" s="617"/>
      <c r="I116" s="617"/>
      <c r="J116" s="617"/>
      <c r="K116" s="617"/>
      <c r="L116" s="617"/>
      <c r="M116" s="617"/>
      <c r="N116" s="617"/>
      <c r="O116" s="617"/>
      <c r="P116" s="617"/>
      <c r="Q116" s="617"/>
      <c r="R116" s="617"/>
      <c r="S116" s="617"/>
      <c r="T116" s="617"/>
      <c r="U116" s="617"/>
      <c r="V116" s="617"/>
      <c r="W116" s="617"/>
      <c r="X116" s="617"/>
      <c r="Y116" s="617"/>
      <c r="Z116" s="617"/>
      <c r="AA116" s="617"/>
      <c r="AB116" s="617"/>
      <c r="AC116" s="617"/>
      <c r="AD116" s="617"/>
      <c r="AE116" s="617"/>
      <c r="AF116" s="617"/>
      <c r="AG116" s="617"/>
      <c r="AH116" s="617"/>
    </row>
    <row r="117" spans="1:34" ht="15" hidden="1">
      <c r="A117" s="617"/>
      <c r="B117" s="617"/>
      <c r="C117" s="617"/>
      <c r="D117" s="617"/>
      <c r="E117" s="617"/>
      <c r="F117" s="617"/>
      <c r="G117" s="617"/>
      <c r="H117" s="617"/>
      <c r="I117" s="617"/>
      <c r="J117" s="617"/>
      <c r="K117" s="617"/>
      <c r="L117" s="617"/>
      <c r="M117" s="617"/>
      <c r="N117" s="617"/>
      <c r="O117" s="617"/>
      <c r="P117" s="617"/>
      <c r="Q117" s="617"/>
      <c r="R117" s="617"/>
      <c r="S117" s="617"/>
      <c r="T117" s="617"/>
      <c r="U117" s="617"/>
      <c r="V117" s="617"/>
      <c r="W117" s="617"/>
      <c r="X117" s="617"/>
      <c r="Y117" s="617"/>
      <c r="Z117" s="617"/>
      <c r="AA117" s="617"/>
      <c r="AB117" s="617"/>
      <c r="AC117" s="617"/>
      <c r="AD117" s="617"/>
      <c r="AE117" s="617"/>
      <c r="AF117" s="617"/>
      <c r="AG117" s="617"/>
      <c r="AH117" s="617"/>
    </row>
    <row r="118" spans="1:34" ht="15" hidden="1">
      <c r="A118" s="617"/>
      <c r="B118" s="617"/>
      <c r="C118" s="617"/>
      <c r="D118" s="617"/>
      <c r="E118" s="617"/>
      <c r="F118" s="617"/>
      <c r="G118" s="617"/>
      <c r="H118" s="617"/>
      <c r="I118" s="617"/>
      <c r="J118" s="617"/>
      <c r="K118" s="617"/>
      <c r="L118" s="617"/>
      <c r="M118" s="617"/>
      <c r="N118" s="617"/>
      <c r="O118" s="617"/>
      <c r="P118" s="617"/>
      <c r="Q118" s="617"/>
      <c r="R118" s="617"/>
      <c r="S118" s="617"/>
      <c r="T118" s="617"/>
      <c r="U118" s="617"/>
      <c r="V118" s="617"/>
      <c r="W118" s="617"/>
      <c r="X118" s="617"/>
      <c r="Y118" s="617"/>
      <c r="Z118" s="617"/>
      <c r="AA118" s="617"/>
      <c r="AB118" s="617"/>
      <c r="AC118" s="617"/>
      <c r="AD118" s="617"/>
      <c r="AE118" s="617"/>
      <c r="AF118" s="617"/>
      <c r="AG118" s="617"/>
      <c r="AH118" s="617"/>
    </row>
    <row r="119" spans="1:34" ht="15" hidden="1">
      <c r="A119" s="617"/>
      <c r="B119" s="617"/>
      <c r="C119" s="617"/>
      <c r="D119" s="617"/>
      <c r="E119" s="617"/>
      <c r="F119" s="617"/>
      <c r="G119" s="617"/>
      <c r="H119" s="617"/>
      <c r="I119" s="617"/>
      <c r="J119" s="617"/>
      <c r="K119" s="617"/>
      <c r="L119" s="617"/>
      <c r="M119" s="617"/>
      <c r="N119" s="617"/>
      <c r="O119" s="617"/>
      <c r="P119" s="617"/>
      <c r="Q119" s="617"/>
      <c r="R119" s="617"/>
      <c r="S119" s="617"/>
      <c r="T119" s="617"/>
      <c r="U119" s="617"/>
      <c r="V119" s="617"/>
      <c r="W119" s="617"/>
      <c r="X119" s="617"/>
      <c r="Y119" s="617"/>
      <c r="Z119" s="617"/>
      <c r="AA119" s="617"/>
      <c r="AB119" s="617"/>
      <c r="AC119" s="617"/>
      <c r="AD119" s="617"/>
      <c r="AE119" s="617"/>
      <c r="AF119" s="617"/>
      <c r="AG119" s="617"/>
      <c r="AH119" s="617"/>
    </row>
    <row r="120" spans="1:34" ht="15" hidden="1">
      <c r="A120" s="617"/>
      <c r="B120" s="617"/>
      <c r="C120" s="617"/>
      <c r="D120" s="617"/>
      <c r="E120" s="617"/>
      <c r="F120" s="617"/>
      <c r="G120" s="617"/>
      <c r="H120" s="617"/>
      <c r="I120" s="617"/>
      <c r="J120" s="617"/>
      <c r="K120" s="617"/>
      <c r="L120" s="617"/>
      <c r="M120" s="617"/>
      <c r="N120" s="617"/>
      <c r="O120" s="617"/>
      <c r="P120" s="617"/>
      <c r="Q120" s="617"/>
      <c r="R120" s="617"/>
      <c r="S120" s="617"/>
      <c r="T120" s="617"/>
      <c r="U120" s="617"/>
      <c r="V120" s="617"/>
      <c r="W120" s="617"/>
      <c r="X120" s="617"/>
      <c r="Y120" s="617"/>
      <c r="Z120" s="617"/>
      <c r="AA120" s="617"/>
      <c r="AB120" s="617"/>
      <c r="AC120" s="617"/>
      <c r="AD120" s="617"/>
      <c r="AE120" s="617"/>
      <c r="AF120" s="617"/>
      <c r="AG120" s="617"/>
      <c r="AH120" s="617"/>
    </row>
    <row r="121" spans="1:34" ht="15" hidden="1">
      <c r="A121" s="617"/>
      <c r="B121" s="617"/>
      <c r="C121" s="617"/>
      <c r="D121" s="617"/>
      <c r="E121" s="617"/>
      <c r="F121" s="617"/>
      <c r="G121" s="617"/>
      <c r="H121" s="617"/>
      <c r="I121" s="617"/>
      <c r="J121" s="617"/>
      <c r="K121" s="617"/>
      <c r="L121" s="617"/>
      <c r="M121" s="617"/>
      <c r="N121" s="617"/>
      <c r="O121" s="617"/>
      <c r="P121" s="617"/>
      <c r="Q121" s="617"/>
      <c r="R121" s="617"/>
      <c r="S121" s="617"/>
      <c r="T121" s="617"/>
      <c r="U121" s="617"/>
      <c r="V121" s="617"/>
      <c r="W121" s="617"/>
      <c r="X121" s="617"/>
      <c r="Y121" s="617"/>
      <c r="Z121" s="617"/>
      <c r="AA121" s="617"/>
      <c r="AB121" s="617"/>
      <c r="AC121" s="617"/>
      <c r="AD121" s="617"/>
      <c r="AE121" s="617"/>
      <c r="AF121" s="617"/>
      <c r="AG121" s="617"/>
      <c r="AH121" s="617"/>
    </row>
    <row r="122" spans="1:34" ht="15" hidden="1">
      <c r="A122" s="617"/>
      <c r="B122" s="617"/>
      <c r="C122" s="617"/>
      <c r="D122" s="617"/>
      <c r="E122" s="617"/>
      <c r="F122" s="617"/>
      <c r="G122" s="617"/>
      <c r="H122" s="617"/>
      <c r="I122" s="617"/>
      <c r="J122" s="617"/>
      <c r="K122" s="617"/>
      <c r="L122" s="617"/>
      <c r="M122" s="617"/>
      <c r="N122" s="617"/>
      <c r="O122" s="617"/>
      <c r="P122" s="617"/>
      <c r="Q122" s="617"/>
      <c r="R122" s="617"/>
      <c r="S122" s="617"/>
      <c r="T122" s="617"/>
      <c r="U122" s="617"/>
      <c r="V122" s="617"/>
      <c r="W122" s="617"/>
      <c r="X122" s="617"/>
      <c r="Y122" s="617"/>
      <c r="Z122" s="617"/>
      <c r="AA122" s="617"/>
      <c r="AB122" s="617"/>
      <c r="AC122" s="617"/>
      <c r="AD122" s="617"/>
      <c r="AE122" s="617"/>
      <c r="AF122" s="617"/>
      <c r="AG122" s="617"/>
      <c r="AH122" s="617"/>
    </row>
    <row r="123" spans="1:34" ht="15" hidden="1">
      <c r="A123" s="617"/>
      <c r="B123" s="617"/>
      <c r="C123" s="617"/>
      <c r="D123" s="617"/>
      <c r="E123" s="617"/>
      <c r="F123" s="617"/>
      <c r="G123" s="617"/>
      <c r="H123" s="617"/>
      <c r="I123" s="617"/>
      <c r="J123" s="617"/>
      <c r="K123" s="617"/>
      <c r="L123" s="617"/>
      <c r="M123" s="617"/>
      <c r="N123" s="617"/>
      <c r="O123" s="617"/>
      <c r="P123" s="617"/>
      <c r="Q123" s="617"/>
      <c r="R123" s="617"/>
      <c r="S123" s="617"/>
      <c r="T123" s="617"/>
      <c r="U123" s="617"/>
      <c r="V123" s="617"/>
      <c r="W123" s="617"/>
      <c r="X123" s="617"/>
      <c r="Y123" s="617"/>
      <c r="Z123" s="617"/>
      <c r="AA123" s="617"/>
      <c r="AB123" s="617"/>
      <c r="AC123" s="617"/>
      <c r="AD123" s="617"/>
      <c r="AE123" s="617"/>
      <c r="AF123" s="617"/>
      <c r="AG123" s="617"/>
      <c r="AH123" s="617"/>
    </row>
    <row r="124" spans="1:34" ht="15" hidden="1">
      <c r="A124" s="617"/>
      <c r="B124" s="617"/>
      <c r="C124" s="617"/>
      <c r="D124" s="617"/>
      <c r="E124" s="617"/>
      <c r="F124" s="617"/>
      <c r="G124" s="617"/>
      <c r="H124" s="617"/>
      <c r="I124" s="617"/>
      <c r="J124" s="617"/>
      <c r="K124" s="617"/>
      <c r="L124" s="617"/>
      <c r="M124" s="617"/>
      <c r="N124" s="617"/>
      <c r="O124" s="617"/>
      <c r="P124" s="617"/>
      <c r="Q124" s="617"/>
      <c r="R124" s="617"/>
      <c r="S124" s="617"/>
      <c r="T124" s="617"/>
      <c r="U124" s="617"/>
      <c r="V124" s="617"/>
      <c r="W124" s="617"/>
      <c r="X124" s="617"/>
      <c r="Y124" s="617"/>
      <c r="Z124" s="617"/>
      <c r="AA124" s="617"/>
      <c r="AB124" s="617"/>
      <c r="AC124" s="617"/>
      <c r="AD124" s="617"/>
      <c r="AE124" s="617"/>
      <c r="AF124" s="617"/>
      <c r="AG124" s="617"/>
      <c r="AH124" s="617"/>
    </row>
    <row r="125" spans="1:34" ht="15" hidden="1">
      <c r="A125" s="617"/>
      <c r="B125" s="617"/>
      <c r="C125" s="617"/>
      <c r="D125" s="617"/>
      <c r="E125" s="617"/>
      <c r="F125" s="617"/>
      <c r="G125" s="617"/>
      <c r="H125" s="617"/>
      <c r="I125" s="617"/>
      <c r="J125" s="617"/>
      <c r="K125" s="617"/>
      <c r="L125" s="617"/>
      <c r="M125" s="617"/>
      <c r="N125" s="617"/>
      <c r="O125" s="617"/>
      <c r="P125" s="617"/>
      <c r="Q125" s="617"/>
      <c r="R125" s="617"/>
      <c r="S125" s="617"/>
      <c r="T125" s="617"/>
      <c r="U125" s="617"/>
      <c r="V125" s="617"/>
      <c r="W125" s="617"/>
      <c r="X125" s="617"/>
      <c r="Y125" s="617"/>
      <c r="Z125" s="617"/>
      <c r="AA125" s="617"/>
      <c r="AB125" s="617"/>
      <c r="AC125" s="617"/>
      <c r="AD125" s="617"/>
      <c r="AE125" s="617"/>
      <c r="AF125" s="617"/>
      <c r="AG125" s="617"/>
      <c r="AH125" s="617"/>
    </row>
    <row r="126" spans="1:34" ht="15" hidden="1">
      <c r="A126" s="617"/>
      <c r="B126" s="617"/>
      <c r="C126" s="617"/>
      <c r="D126" s="617"/>
      <c r="E126" s="617"/>
      <c r="F126" s="617"/>
      <c r="G126" s="617"/>
      <c r="H126" s="617"/>
      <c r="I126" s="617"/>
      <c r="J126" s="617"/>
      <c r="K126" s="617"/>
      <c r="L126" s="617"/>
      <c r="M126" s="617"/>
      <c r="N126" s="617"/>
      <c r="O126" s="617"/>
      <c r="P126" s="617"/>
      <c r="Q126" s="617"/>
      <c r="R126" s="617"/>
      <c r="S126" s="617"/>
      <c r="T126" s="617"/>
      <c r="U126" s="617"/>
      <c r="V126" s="617"/>
      <c r="W126" s="617"/>
      <c r="X126" s="617"/>
      <c r="Y126" s="617"/>
      <c r="Z126" s="617"/>
      <c r="AA126" s="617"/>
      <c r="AB126" s="617"/>
      <c r="AC126" s="617"/>
      <c r="AD126" s="617"/>
      <c r="AE126" s="617"/>
      <c r="AF126" s="617"/>
      <c r="AG126" s="617"/>
      <c r="AH126" s="617"/>
    </row>
    <row r="127" spans="1:34" ht="15" hidden="1">
      <c r="A127" s="617"/>
      <c r="B127" s="617"/>
      <c r="C127" s="617"/>
      <c r="D127" s="617"/>
      <c r="E127" s="617"/>
      <c r="F127" s="617"/>
      <c r="G127" s="617"/>
      <c r="H127" s="617"/>
      <c r="I127" s="617"/>
      <c r="J127" s="617"/>
      <c r="K127" s="617"/>
      <c r="L127" s="617"/>
      <c r="M127" s="617"/>
      <c r="N127" s="617"/>
      <c r="O127" s="617"/>
      <c r="P127" s="617"/>
      <c r="Q127" s="617"/>
      <c r="R127" s="617"/>
      <c r="S127" s="617"/>
      <c r="T127" s="617"/>
      <c r="U127" s="617"/>
      <c r="V127" s="617"/>
      <c r="W127" s="617"/>
      <c r="X127" s="617"/>
      <c r="Y127" s="617"/>
      <c r="Z127" s="617"/>
      <c r="AA127" s="617"/>
      <c r="AB127" s="617"/>
      <c r="AC127" s="617"/>
      <c r="AD127" s="617"/>
      <c r="AE127" s="617"/>
      <c r="AF127" s="617"/>
      <c r="AG127" s="617"/>
      <c r="AH127" s="617"/>
    </row>
    <row r="128" spans="1:34" ht="15" hidden="1">
      <c r="A128" s="617"/>
      <c r="B128" s="617"/>
      <c r="C128" s="617"/>
      <c r="D128" s="617"/>
      <c r="E128" s="617"/>
      <c r="F128" s="617"/>
      <c r="G128" s="617"/>
      <c r="H128" s="617"/>
      <c r="I128" s="617"/>
      <c r="J128" s="617"/>
      <c r="K128" s="617"/>
      <c r="L128" s="617"/>
      <c r="M128" s="617"/>
      <c r="N128" s="617"/>
      <c r="O128" s="617"/>
      <c r="P128" s="617"/>
      <c r="Q128" s="617"/>
      <c r="R128" s="617"/>
      <c r="S128" s="617"/>
      <c r="T128" s="617"/>
      <c r="U128" s="617"/>
      <c r="V128" s="617"/>
      <c r="W128" s="617"/>
      <c r="X128" s="617"/>
      <c r="Y128" s="617"/>
      <c r="Z128" s="617"/>
      <c r="AA128" s="617"/>
      <c r="AB128" s="617"/>
      <c r="AC128" s="617"/>
      <c r="AD128" s="617"/>
      <c r="AE128" s="617"/>
      <c r="AF128" s="617"/>
      <c r="AG128" s="617"/>
      <c r="AH128" s="617"/>
    </row>
    <row r="129" spans="1:34" ht="15" hidden="1">
      <c r="A129" s="617"/>
      <c r="B129" s="617"/>
      <c r="C129" s="617"/>
      <c r="D129" s="617"/>
      <c r="E129" s="617"/>
      <c r="F129" s="617"/>
      <c r="G129" s="617"/>
      <c r="H129" s="617"/>
      <c r="I129" s="617"/>
      <c r="J129" s="617"/>
      <c r="K129" s="617"/>
      <c r="L129" s="617"/>
      <c r="M129" s="617"/>
      <c r="N129" s="617"/>
      <c r="O129" s="617"/>
      <c r="P129" s="617"/>
      <c r="Q129" s="617"/>
      <c r="R129" s="617"/>
      <c r="S129" s="617"/>
      <c r="T129" s="617"/>
      <c r="U129" s="617"/>
      <c r="V129" s="617"/>
      <c r="W129" s="617"/>
      <c r="X129" s="617"/>
      <c r="Y129" s="617"/>
      <c r="Z129" s="617"/>
      <c r="AA129" s="617"/>
      <c r="AB129" s="617"/>
      <c r="AC129" s="617"/>
      <c r="AD129" s="617"/>
      <c r="AE129" s="617"/>
      <c r="AF129" s="617"/>
      <c r="AG129" s="617"/>
      <c r="AH129" s="617"/>
    </row>
    <row r="130" spans="1:34" ht="15" hidden="1">
      <c r="A130" s="617"/>
      <c r="B130" s="617"/>
      <c r="C130" s="617"/>
      <c r="D130" s="617"/>
      <c r="E130" s="617"/>
      <c r="F130" s="617"/>
      <c r="G130" s="617"/>
      <c r="H130" s="617"/>
      <c r="I130" s="617"/>
      <c r="J130" s="617"/>
      <c r="K130" s="617"/>
      <c r="L130" s="617"/>
      <c r="M130" s="617"/>
      <c r="N130" s="617"/>
      <c r="O130" s="617"/>
      <c r="P130" s="617"/>
      <c r="Q130" s="617"/>
      <c r="R130" s="617"/>
      <c r="S130" s="617"/>
      <c r="T130" s="617"/>
      <c r="U130" s="617"/>
      <c r="V130" s="617"/>
      <c r="W130" s="617"/>
      <c r="X130" s="617"/>
      <c r="Y130" s="617"/>
      <c r="Z130" s="617"/>
      <c r="AA130" s="617"/>
      <c r="AB130" s="617"/>
      <c r="AC130" s="617"/>
      <c r="AD130" s="617"/>
      <c r="AE130" s="617"/>
      <c r="AF130" s="617"/>
      <c r="AG130" s="617"/>
      <c r="AH130" s="617"/>
    </row>
    <row r="131" spans="1:34" ht="15" hidden="1">
      <c r="A131" s="617"/>
      <c r="B131" s="617"/>
      <c r="C131" s="617"/>
      <c r="D131" s="617"/>
      <c r="E131" s="617"/>
      <c r="F131" s="617"/>
      <c r="G131" s="617"/>
      <c r="H131" s="617"/>
      <c r="I131" s="617"/>
      <c r="J131" s="617"/>
      <c r="K131" s="617"/>
      <c r="L131" s="617"/>
      <c r="M131" s="617"/>
      <c r="N131" s="617"/>
      <c r="O131" s="617"/>
      <c r="P131" s="617"/>
      <c r="Q131" s="617"/>
      <c r="R131" s="617"/>
      <c r="S131" s="617"/>
      <c r="T131" s="617"/>
      <c r="U131" s="617"/>
      <c r="V131" s="617"/>
      <c r="W131" s="617"/>
      <c r="X131" s="617"/>
      <c r="Y131" s="617"/>
      <c r="Z131" s="617"/>
      <c r="AA131" s="617"/>
      <c r="AB131" s="617"/>
      <c r="AC131" s="617"/>
      <c r="AD131" s="617"/>
      <c r="AE131" s="617"/>
      <c r="AF131" s="617"/>
      <c r="AG131" s="617"/>
      <c r="AH131" s="617"/>
    </row>
    <row r="132" spans="1:34" ht="15" hidden="1">
      <c r="A132" s="617"/>
      <c r="B132" s="617"/>
      <c r="C132" s="617"/>
      <c r="D132" s="617"/>
      <c r="E132" s="617"/>
      <c r="F132" s="617"/>
      <c r="G132" s="617"/>
      <c r="H132" s="617"/>
      <c r="I132" s="617"/>
      <c r="J132" s="617"/>
      <c r="K132" s="617"/>
      <c r="L132" s="617"/>
      <c r="M132" s="617"/>
      <c r="N132" s="617"/>
      <c r="O132" s="617"/>
      <c r="P132" s="617"/>
      <c r="Q132" s="617"/>
      <c r="R132" s="617"/>
      <c r="S132" s="617"/>
      <c r="T132" s="617"/>
      <c r="U132" s="617"/>
      <c r="V132" s="617"/>
      <c r="W132" s="617"/>
      <c r="X132" s="617"/>
      <c r="Y132" s="617"/>
      <c r="Z132" s="617"/>
      <c r="AA132" s="617"/>
      <c r="AB132" s="617"/>
      <c r="AC132" s="617"/>
      <c r="AD132" s="617"/>
      <c r="AE132" s="617"/>
      <c r="AF132" s="617"/>
      <c r="AG132" s="617"/>
      <c r="AH132" s="617"/>
    </row>
    <row r="133" spans="1:34" ht="15" hidden="1">
      <c r="A133" s="617"/>
      <c r="B133" s="617"/>
      <c r="C133" s="617"/>
      <c r="D133" s="617"/>
      <c r="E133" s="617"/>
      <c r="F133" s="617"/>
      <c r="G133" s="617"/>
      <c r="H133" s="617"/>
      <c r="I133" s="617"/>
      <c r="J133" s="617"/>
      <c r="K133" s="617"/>
      <c r="L133" s="617"/>
      <c r="M133" s="617"/>
      <c r="N133" s="617"/>
      <c r="O133" s="617"/>
      <c r="P133" s="617"/>
      <c r="Q133" s="617"/>
      <c r="R133" s="617"/>
      <c r="S133" s="617"/>
      <c r="T133" s="617"/>
      <c r="U133" s="617"/>
      <c r="V133" s="617"/>
      <c r="W133" s="617"/>
      <c r="X133" s="617"/>
      <c r="Y133" s="617"/>
      <c r="Z133" s="617"/>
      <c r="AA133" s="617"/>
      <c r="AB133" s="617"/>
      <c r="AC133" s="617"/>
      <c r="AD133" s="617"/>
      <c r="AE133" s="617"/>
      <c r="AF133" s="617"/>
      <c r="AG133" s="617"/>
      <c r="AH133" s="617"/>
    </row>
    <row r="134" spans="1:34" ht="15" hidden="1">
      <c r="A134" s="617"/>
      <c r="B134" s="617"/>
      <c r="C134" s="617"/>
      <c r="D134" s="617"/>
      <c r="E134" s="617"/>
      <c r="F134" s="617"/>
      <c r="G134" s="617"/>
      <c r="H134" s="617"/>
      <c r="I134" s="617"/>
      <c r="J134" s="617"/>
      <c r="K134" s="617"/>
      <c r="L134" s="617"/>
      <c r="M134" s="617"/>
      <c r="N134" s="617"/>
      <c r="O134" s="617"/>
      <c r="P134" s="617"/>
      <c r="Q134" s="617"/>
      <c r="R134" s="617"/>
      <c r="S134" s="617"/>
      <c r="T134" s="617"/>
      <c r="U134" s="617"/>
      <c r="V134" s="617"/>
      <c r="W134" s="617"/>
      <c r="X134" s="617"/>
      <c r="Y134" s="617"/>
      <c r="Z134" s="617"/>
      <c r="AA134" s="617"/>
      <c r="AB134" s="617"/>
      <c r="AC134" s="617"/>
      <c r="AD134" s="617"/>
      <c r="AE134" s="617"/>
      <c r="AF134" s="617"/>
      <c r="AG134" s="617"/>
      <c r="AH134" s="617"/>
    </row>
    <row r="135" spans="1:34" ht="15" hidden="1">
      <c r="A135" s="617"/>
      <c r="B135" s="617"/>
      <c r="C135" s="617"/>
      <c r="D135" s="617"/>
      <c r="E135" s="617"/>
      <c r="F135" s="617"/>
      <c r="G135" s="617"/>
      <c r="H135" s="617"/>
      <c r="I135" s="617"/>
      <c r="J135" s="617"/>
      <c r="K135" s="617"/>
      <c r="L135" s="617"/>
      <c r="M135" s="617"/>
      <c r="N135" s="617"/>
      <c r="O135" s="617"/>
      <c r="P135" s="617"/>
      <c r="Q135" s="617"/>
      <c r="R135" s="617"/>
      <c r="S135" s="617"/>
      <c r="T135" s="617"/>
      <c r="U135" s="617"/>
      <c r="V135" s="617"/>
      <c r="W135" s="617"/>
      <c r="X135" s="617"/>
      <c r="Y135" s="617"/>
      <c r="Z135" s="617"/>
      <c r="AA135" s="617"/>
      <c r="AB135" s="617"/>
      <c r="AC135" s="617"/>
      <c r="AD135" s="617"/>
      <c r="AE135" s="617"/>
      <c r="AF135" s="617"/>
      <c r="AG135" s="617"/>
      <c r="AH135" s="617"/>
    </row>
    <row r="136" spans="1:34" ht="15" hidden="1">
      <c r="A136" s="617"/>
      <c r="B136" s="617"/>
      <c r="C136" s="617"/>
      <c r="D136" s="617"/>
      <c r="E136" s="617"/>
      <c r="F136" s="617"/>
      <c r="G136" s="617"/>
      <c r="H136" s="617"/>
      <c r="I136" s="617"/>
      <c r="J136" s="617"/>
      <c r="K136" s="617"/>
      <c r="L136" s="617"/>
      <c r="M136" s="617"/>
      <c r="N136" s="617"/>
      <c r="O136" s="617"/>
      <c r="P136" s="617"/>
      <c r="Q136" s="617"/>
      <c r="R136" s="617"/>
      <c r="S136" s="617"/>
      <c r="T136" s="617"/>
      <c r="U136" s="617"/>
      <c r="V136" s="617"/>
      <c r="W136" s="617"/>
      <c r="X136" s="617"/>
      <c r="Y136" s="617"/>
      <c r="Z136" s="617"/>
      <c r="AA136" s="617"/>
      <c r="AB136" s="617"/>
      <c r="AC136" s="617"/>
      <c r="AD136" s="617"/>
      <c r="AE136" s="617"/>
      <c r="AF136" s="617"/>
      <c r="AG136" s="617"/>
      <c r="AH136" s="617"/>
    </row>
    <row r="137" spans="1:34" ht="15" hidden="1">
      <c r="A137" s="617"/>
      <c r="B137" s="617"/>
      <c r="C137" s="617"/>
      <c r="D137" s="617"/>
      <c r="E137" s="617"/>
      <c r="F137" s="617"/>
      <c r="G137" s="617"/>
      <c r="H137" s="617"/>
      <c r="I137" s="617"/>
      <c r="J137" s="617"/>
      <c r="K137" s="617"/>
      <c r="L137" s="617"/>
      <c r="M137" s="617"/>
      <c r="N137" s="617"/>
      <c r="O137" s="617"/>
      <c r="P137" s="617"/>
      <c r="Q137" s="617"/>
      <c r="R137" s="617"/>
      <c r="S137" s="617"/>
      <c r="T137" s="617"/>
      <c r="U137" s="617"/>
      <c r="V137" s="617"/>
      <c r="W137" s="617"/>
      <c r="X137" s="617"/>
      <c r="Y137" s="617"/>
      <c r="Z137" s="617"/>
      <c r="AA137" s="617"/>
      <c r="AB137" s="617"/>
      <c r="AC137" s="617"/>
      <c r="AD137" s="617"/>
      <c r="AE137" s="617"/>
      <c r="AF137" s="617"/>
      <c r="AG137" s="617"/>
      <c r="AH137" s="617"/>
    </row>
    <row r="138" spans="1:34" ht="15" hidden="1">
      <c r="A138" s="617"/>
      <c r="B138" s="617"/>
      <c r="C138" s="617"/>
      <c r="D138" s="617"/>
      <c r="E138" s="617"/>
      <c r="F138" s="617"/>
      <c r="G138" s="617"/>
      <c r="H138" s="617"/>
      <c r="I138" s="617"/>
      <c r="J138" s="617"/>
      <c r="K138" s="617"/>
      <c r="L138" s="617"/>
      <c r="M138" s="617"/>
      <c r="N138" s="617"/>
      <c r="O138" s="617"/>
      <c r="P138" s="617"/>
      <c r="Q138" s="617"/>
      <c r="R138" s="617"/>
      <c r="S138" s="617"/>
      <c r="T138" s="617"/>
      <c r="U138" s="617"/>
      <c r="V138" s="617"/>
      <c r="W138" s="617"/>
      <c r="X138" s="617"/>
      <c r="Y138" s="617"/>
      <c r="Z138" s="617"/>
      <c r="AA138" s="617"/>
      <c r="AB138" s="617"/>
      <c r="AC138" s="617"/>
      <c r="AD138" s="617"/>
      <c r="AE138" s="617"/>
      <c r="AF138" s="617"/>
      <c r="AG138" s="617"/>
      <c r="AH138" s="617"/>
    </row>
    <row r="139" spans="1:34" ht="15" hidden="1">
      <c r="A139" s="617"/>
      <c r="B139" s="617"/>
      <c r="C139" s="617"/>
      <c r="D139" s="617"/>
      <c r="E139" s="617"/>
      <c r="F139" s="617"/>
      <c r="G139" s="617"/>
      <c r="H139" s="617"/>
      <c r="I139" s="617"/>
      <c r="J139" s="617"/>
      <c r="K139" s="617"/>
      <c r="L139" s="617"/>
      <c r="M139" s="617"/>
      <c r="N139" s="617"/>
      <c r="O139" s="617"/>
      <c r="P139" s="617"/>
      <c r="Q139" s="617"/>
      <c r="R139" s="617"/>
      <c r="S139" s="617"/>
      <c r="T139" s="617"/>
      <c r="U139" s="617"/>
      <c r="V139" s="617"/>
      <c r="W139" s="617"/>
      <c r="X139" s="617"/>
      <c r="Y139" s="617"/>
      <c r="Z139" s="617"/>
      <c r="AA139" s="617"/>
      <c r="AB139" s="617"/>
      <c r="AC139" s="617"/>
      <c r="AD139" s="617"/>
      <c r="AE139" s="617"/>
      <c r="AF139" s="617"/>
      <c r="AG139" s="617"/>
      <c r="AH139" s="617"/>
    </row>
    <row r="140" spans="1:34" ht="15" hidden="1">
      <c r="A140" s="617"/>
      <c r="B140" s="617"/>
      <c r="C140" s="617"/>
      <c r="D140" s="617"/>
      <c r="E140" s="617"/>
      <c r="F140" s="617"/>
      <c r="G140" s="617"/>
      <c r="H140" s="617"/>
      <c r="I140" s="617"/>
      <c r="J140" s="617"/>
      <c r="K140" s="617"/>
      <c r="L140" s="617"/>
      <c r="M140" s="617"/>
      <c r="N140" s="617"/>
      <c r="O140" s="617"/>
      <c r="P140" s="617"/>
      <c r="Q140" s="617"/>
      <c r="R140" s="617"/>
      <c r="S140" s="617"/>
      <c r="T140" s="617"/>
      <c r="U140" s="617"/>
      <c r="V140" s="617"/>
      <c r="W140" s="617"/>
      <c r="X140" s="617"/>
      <c r="Y140" s="617"/>
      <c r="Z140" s="617"/>
      <c r="AA140" s="617"/>
      <c r="AB140" s="617"/>
      <c r="AC140" s="617"/>
      <c r="AD140" s="617"/>
      <c r="AE140" s="617"/>
      <c r="AF140" s="617"/>
      <c r="AG140" s="617"/>
      <c r="AH140" s="617"/>
    </row>
    <row r="141" spans="1:34" ht="15" hidden="1">
      <c r="A141" s="617"/>
      <c r="B141" s="617"/>
      <c r="C141" s="617"/>
      <c r="D141" s="617"/>
      <c r="E141" s="617"/>
      <c r="F141" s="617"/>
      <c r="G141" s="617"/>
      <c r="H141" s="617"/>
      <c r="I141" s="617"/>
      <c r="J141" s="617"/>
      <c r="K141" s="617"/>
      <c r="L141" s="617"/>
      <c r="M141" s="617"/>
      <c r="N141" s="617"/>
      <c r="O141" s="617"/>
      <c r="P141" s="617"/>
      <c r="Q141" s="617"/>
      <c r="R141" s="617"/>
      <c r="S141" s="617"/>
      <c r="T141" s="617"/>
      <c r="U141" s="617"/>
      <c r="V141" s="617"/>
      <c r="W141" s="617"/>
      <c r="X141" s="617"/>
      <c r="Y141" s="617"/>
      <c r="Z141" s="617"/>
      <c r="AA141" s="617"/>
      <c r="AB141" s="617"/>
      <c r="AC141" s="617"/>
      <c r="AD141" s="617"/>
      <c r="AE141" s="617"/>
      <c r="AF141" s="617"/>
      <c r="AG141" s="617"/>
      <c r="AH141" s="617"/>
    </row>
    <row r="142" spans="1:34" ht="15" hidden="1">
      <c r="A142" s="617"/>
      <c r="B142" s="617"/>
      <c r="C142" s="617"/>
      <c r="D142" s="617"/>
      <c r="E142" s="617"/>
      <c r="F142" s="617"/>
      <c r="G142" s="617"/>
      <c r="H142" s="617"/>
      <c r="I142" s="617"/>
      <c r="J142" s="617"/>
      <c r="K142" s="617"/>
      <c r="L142" s="617"/>
      <c r="M142" s="617"/>
      <c r="N142" s="617"/>
      <c r="O142" s="617"/>
      <c r="P142" s="617"/>
      <c r="Q142" s="617"/>
      <c r="R142" s="617"/>
      <c r="S142" s="617"/>
      <c r="T142" s="617"/>
      <c r="U142" s="617"/>
      <c r="V142" s="617"/>
      <c r="W142" s="617"/>
      <c r="X142" s="617"/>
      <c r="Y142" s="617"/>
      <c r="Z142" s="617"/>
      <c r="AA142" s="617"/>
      <c r="AB142" s="617"/>
      <c r="AC142" s="617"/>
      <c r="AD142" s="617"/>
      <c r="AE142" s="617"/>
      <c r="AF142" s="617"/>
      <c r="AG142" s="617"/>
      <c r="AH142" s="617"/>
    </row>
    <row r="143" spans="1:34" ht="15" hidden="1">
      <c r="A143" s="617"/>
      <c r="B143" s="617"/>
      <c r="C143" s="617"/>
      <c r="D143" s="617"/>
      <c r="E143" s="617"/>
      <c r="F143" s="617"/>
      <c r="G143" s="617"/>
      <c r="H143" s="617"/>
      <c r="I143" s="617"/>
      <c r="J143" s="617"/>
      <c r="K143" s="617"/>
      <c r="L143" s="617"/>
      <c r="M143" s="617"/>
      <c r="N143" s="617"/>
      <c r="O143" s="617"/>
      <c r="P143" s="617"/>
      <c r="Q143" s="617"/>
      <c r="R143" s="617"/>
      <c r="S143" s="617"/>
      <c r="T143" s="617"/>
      <c r="U143" s="617"/>
      <c r="V143" s="617"/>
      <c r="W143" s="617"/>
      <c r="X143" s="617"/>
      <c r="Y143" s="617"/>
      <c r="Z143" s="617"/>
      <c r="AA143" s="617"/>
      <c r="AB143" s="617"/>
      <c r="AC143" s="617"/>
      <c r="AD143" s="617"/>
      <c r="AE143" s="617"/>
      <c r="AF143" s="617"/>
      <c r="AG143" s="617"/>
      <c r="AH143" s="617"/>
    </row>
    <row r="144" spans="1:34" ht="15" hidden="1">
      <c r="A144" s="617"/>
      <c r="B144" s="617"/>
      <c r="C144" s="617"/>
      <c r="D144" s="617"/>
      <c r="E144" s="617"/>
      <c r="F144" s="617"/>
      <c r="G144" s="617"/>
      <c r="H144" s="617"/>
      <c r="I144" s="617"/>
      <c r="J144" s="617"/>
      <c r="K144" s="617"/>
      <c r="L144" s="617"/>
      <c r="M144" s="617"/>
      <c r="N144" s="617"/>
      <c r="O144" s="617"/>
      <c r="P144" s="617"/>
      <c r="Q144" s="617"/>
      <c r="R144" s="617"/>
      <c r="S144" s="617"/>
      <c r="T144" s="617"/>
      <c r="U144" s="617"/>
      <c r="V144" s="617"/>
      <c r="W144" s="617"/>
      <c r="X144" s="617"/>
      <c r="Y144" s="617"/>
      <c r="Z144" s="617"/>
      <c r="AA144" s="617"/>
      <c r="AB144" s="617"/>
      <c r="AC144" s="617"/>
      <c r="AD144" s="617"/>
      <c r="AE144" s="617"/>
      <c r="AF144" s="617"/>
      <c r="AG144" s="617"/>
      <c r="AH144" s="617"/>
    </row>
    <row r="145" spans="1:34" ht="15" hidden="1">
      <c r="A145" s="617"/>
      <c r="B145" s="617"/>
      <c r="C145" s="617"/>
      <c r="D145" s="617"/>
      <c r="E145" s="617"/>
      <c r="F145" s="617"/>
      <c r="G145" s="617"/>
      <c r="H145" s="617"/>
      <c r="I145" s="617"/>
      <c r="J145" s="617"/>
      <c r="K145" s="617"/>
      <c r="L145" s="617"/>
      <c r="M145" s="617"/>
      <c r="N145" s="617"/>
      <c r="O145" s="617"/>
      <c r="P145" s="617"/>
      <c r="Q145" s="617"/>
      <c r="R145" s="617"/>
      <c r="S145" s="617"/>
      <c r="T145" s="617"/>
      <c r="U145" s="617"/>
      <c r="V145" s="617"/>
      <c r="W145" s="617"/>
      <c r="X145" s="617"/>
      <c r="Y145" s="617"/>
      <c r="Z145" s="617"/>
      <c r="AA145" s="617"/>
      <c r="AB145" s="617"/>
      <c r="AC145" s="617"/>
      <c r="AD145" s="617"/>
      <c r="AE145" s="617"/>
      <c r="AF145" s="617"/>
      <c r="AG145" s="617"/>
      <c r="AH145" s="617"/>
    </row>
    <row r="146" spans="1:34" ht="15" hidden="1">
      <c r="A146" s="617"/>
      <c r="B146" s="617"/>
      <c r="C146" s="617"/>
      <c r="D146" s="617"/>
      <c r="E146" s="617"/>
      <c r="F146" s="617"/>
      <c r="G146" s="617"/>
      <c r="H146" s="617"/>
      <c r="I146" s="617"/>
      <c r="J146" s="617"/>
      <c r="K146" s="617"/>
      <c r="L146" s="617"/>
      <c r="M146" s="617"/>
      <c r="N146" s="617"/>
      <c r="O146" s="617"/>
      <c r="P146" s="617"/>
      <c r="Q146" s="617"/>
      <c r="R146" s="617"/>
      <c r="S146" s="617"/>
      <c r="T146" s="617"/>
      <c r="U146" s="617"/>
      <c r="V146" s="617"/>
      <c r="W146" s="617"/>
      <c r="X146" s="617"/>
      <c r="Y146" s="617"/>
      <c r="Z146" s="617"/>
      <c r="AA146" s="617"/>
      <c r="AB146" s="617"/>
      <c r="AC146" s="617"/>
      <c r="AD146" s="617"/>
      <c r="AE146" s="617"/>
      <c r="AF146" s="617"/>
      <c r="AG146" s="617"/>
      <c r="AH146" s="617"/>
    </row>
    <row r="147" spans="1:34" ht="15" hidden="1">
      <c r="A147" s="617"/>
      <c r="B147" s="617"/>
      <c r="C147" s="617"/>
      <c r="D147" s="617"/>
      <c r="E147" s="617"/>
      <c r="F147" s="617"/>
      <c r="G147" s="617"/>
      <c r="H147" s="617"/>
      <c r="I147" s="617"/>
      <c r="J147" s="617"/>
      <c r="K147" s="617"/>
      <c r="L147" s="617"/>
      <c r="M147" s="617"/>
      <c r="N147" s="617"/>
      <c r="O147" s="617"/>
      <c r="P147" s="617"/>
      <c r="Q147" s="617"/>
      <c r="R147" s="617"/>
      <c r="S147" s="617"/>
      <c r="T147" s="617"/>
      <c r="U147" s="617"/>
      <c r="V147" s="617"/>
      <c r="W147" s="617"/>
      <c r="X147" s="617"/>
      <c r="Y147" s="617"/>
      <c r="Z147" s="617"/>
      <c r="AA147" s="617"/>
      <c r="AB147" s="617"/>
      <c r="AC147" s="617"/>
      <c r="AD147" s="617"/>
      <c r="AE147" s="617"/>
      <c r="AF147" s="617"/>
      <c r="AG147" s="617"/>
      <c r="AH147" s="617"/>
    </row>
    <row r="148" spans="1:34" ht="15" hidden="1">
      <c r="A148" s="617"/>
      <c r="B148" s="617"/>
      <c r="C148" s="617"/>
      <c r="D148" s="617"/>
      <c r="E148" s="617"/>
      <c r="F148" s="617"/>
      <c r="G148" s="617"/>
      <c r="H148" s="617"/>
      <c r="I148" s="617"/>
      <c r="J148" s="617"/>
      <c r="K148" s="617"/>
      <c r="L148" s="617"/>
      <c r="M148" s="617"/>
      <c r="N148" s="617"/>
      <c r="O148" s="617"/>
      <c r="P148" s="617"/>
      <c r="Q148" s="617"/>
      <c r="R148" s="617"/>
      <c r="S148" s="617"/>
      <c r="T148" s="617"/>
      <c r="U148" s="617"/>
      <c r="V148" s="617"/>
      <c r="W148" s="617"/>
      <c r="X148" s="617"/>
      <c r="Y148" s="617"/>
      <c r="Z148" s="617"/>
      <c r="AA148" s="617"/>
      <c r="AB148" s="617"/>
      <c r="AC148" s="617"/>
      <c r="AD148" s="617"/>
      <c r="AE148" s="617"/>
      <c r="AF148" s="617"/>
      <c r="AG148" s="617"/>
      <c r="AH148" s="617"/>
    </row>
    <row r="149" spans="1:34" ht="15" hidden="1">
      <c r="A149" s="617"/>
      <c r="B149" s="617"/>
      <c r="C149" s="617"/>
      <c r="D149" s="617"/>
      <c r="E149" s="617"/>
      <c r="F149" s="617"/>
      <c r="G149" s="617"/>
      <c r="H149" s="617"/>
      <c r="I149" s="617"/>
      <c r="J149" s="617"/>
      <c r="K149" s="617"/>
      <c r="L149" s="617"/>
      <c r="M149" s="617"/>
      <c r="N149" s="617"/>
      <c r="O149" s="617"/>
      <c r="P149" s="617"/>
      <c r="Q149" s="617"/>
      <c r="R149" s="617"/>
      <c r="S149" s="617"/>
      <c r="T149" s="617"/>
      <c r="U149" s="617"/>
      <c r="V149" s="617"/>
      <c r="W149" s="617"/>
      <c r="X149" s="617"/>
      <c r="Y149" s="617"/>
      <c r="Z149" s="617"/>
      <c r="AA149" s="617"/>
      <c r="AB149" s="617"/>
      <c r="AC149" s="617"/>
      <c r="AD149" s="617"/>
      <c r="AE149" s="617"/>
      <c r="AF149" s="617"/>
      <c r="AG149" s="617"/>
      <c r="AH149" s="617"/>
    </row>
    <row r="150" spans="1:34" ht="15" hidden="1">
      <c r="A150" s="617"/>
      <c r="B150" s="617"/>
      <c r="C150" s="617"/>
      <c r="D150" s="617"/>
      <c r="E150" s="617"/>
      <c r="F150" s="617"/>
      <c r="G150" s="617"/>
      <c r="H150" s="617"/>
      <c r="I150" s="617"/>
      <c r="J150" s="617"/>
      <c r="K150" s="617"/>
      <c r="L150" s="617"/>
      <c r="M150" s="617"/>
      <c r="N150" s="617"/>
      <c r="O150" s="617"/>
      <c r="P150" s="617"/>
      <c r="Q150" s="617"/>
      <c r="R150" s="617"/>
      <c r="S150" s="617"/>
      <c r="T150" s="617"/>
      <c r="U150" s="617"/>
      <c r="V150" s="617"/>
      <c r="W150" s="617"/>
      <c r="X150" s="617"/>
      <c r="Y150" s="617"/>
      <c r="Z150" s="617"/>
      <c r="AA150" s="617"/>
      <c r="AB150" s="617"/>
      <c r="AC150" s="617"/>
      <c r="AD150" s="617"/>
      <c r="AE150" s="617"/>
      <c r="AF150" s="617"/>
      <c r="AG150" s="617"/>
      <c r="AH150" s="617"/>
    </row>
    <row r="151" spans="1:34" ht="15" hidden="1">
      <c r="A151" s="617"/>
      <c r="B151" s="617"/>
      <c r="C151" s="617"/>
      <c r="D151" s="617"/>
      <c r="E151" s="617"/>
      <c r="F151" s="617"/>
      <c r="G151" s="617"/>
      <c r="H151" s="617"/>
      <c r="I151" s="617"/>
      <c r="J151" s="617"/>
      <c r="K151" s="617"/>
      <c r="L151" s="617"/>
      <c r="M151" s="617"/>
      <c r="N151" s="617"/>
      <c r="O151" s="617"/>
      <c r="P151" s="617"/>
      <c r="Q151" s="617"/>
      <c r="R151" s="617"/>
      <c r="S151" s="617"/>
      <c r="T151" s="617"/>
      <c r="U151" s="617"/>
      <c r="V151" s="617"/>
      <c r="W151" s="617"/>
      <c r="X151" s="617"/>
      <c r="Y151" s="617"/>
      <c r="Z151" s="617"/>
      <c r="AA151" s="617"/>
      <c r="AB151" s="617"/>
      <c r="AC151" s="617"/>
      <c r="AD151" s="617"/>
      <c r="AE151" s="617"/>
      <c r="AF151" s="617"/>
      <c r="AG151" s="617"/>
      <c r="AH151" s="617"/>
    </row>
    <row r="152" spans="1:34" ht="15" hidden="1">
      <c r="A152" s="617"/>
      <c r="B152" s="617"/>
      <c r="C152" s="617"/>
      <c r="D152" s="617"/>
      <c r="E152" s="617"/>
      <c r="F152" s="617"/>
      <c r="G152" s="617"/>
      <c r="H152" s="617"/>
      <c r="I152" s="617"/>
      <c r="J152" s="617"/>
      <c r="K152" s="617"/>
      <c r="L152" s="617"/>
      <c r="M152" s="617"/>
      <c r="N152" s="617"/>
      <c r="O152" s="617"/>
      <c r="P152" s="617"/>
      <c r="Q152" s="617"/>
      <c r="R152" s="617"/>
      <c r="S152" s="617"/>
      <c r="T152" s="617"/>
      <c r="U152" s="617"/>
      <c r="V152" s="617"/>
      <c r="W152" s="617"/>
      <c r="X152" s="617"/>
      <c r="Y152" s="617"/>
      <c r="Z152" s="617"/>
      <c r="AA152" s="617"/>
      <c r="AB152" s="617"/>
      <c r="AC152" s="617"/>
      <c r="AD152" s="617"/>
      <c r="AE152" s="617"/>
      <c r="AF152" s="617"/>
      <c r="AG152" s="617"/>
      <c r="AH152" s="617"/>
    </row>
    <row r="153" spans="1:34" ht="15" hidden="1">
      <c r="A153" s="617"/>
      <c r="B153" s="617"/>
      <c r="C153" s="617"/>
      <c r="D153" s="617"/>
      <c r="E153" s="617"/>
      <c r="F153" s="617"/>
      <c r="G153" s="617"/>
      <c r="H153" s="617"/>
      <c r="I153" s="617"/>
      <c r="J153" s="617"/>
      <c r="K153" s="617"/>
      <c r="L153" s="617"/>
      <c r="M153" s="617"/>
      <c r="N153" s="617"/>
      <c r="O153" s="617"/>
      <c r="P153" s="617"/>
      <c r="Q153" s="617"/>
      <c r="R153" s="617"/>
      <c r="S153" s="617"/>
      <c r="T153" s="617"/>
      <c r="U153" s="617"/>
      <c r="V153" s="617"/>
      <c r="W153" s="617"/>
      <c r="X153" s="617"/>
      <c r="Y153" s="617"/>
      <c r="Z153" s="617"/>
      <c r="AA153" s="617"/>
      <c r="AB153" s="617"/>
      <c r="AC153" s="617"/>
      <c r="AD153" s="617"/>
      <c r="AE153" s="617"/>
      <c r="AF153" s="617"/>
      <c r="AG153" s="617"/>
      <c r="AH153" s="617"/>
    </row>
    <row r="154" spans="1:34" ht="15" hidden="1">
      <c r="A154" s="617"/>
      <c r="B154" s="617"/>
      <c r="C154" s="617"/>
      <c r="D154" s="617"/>
      <c r="E154" s="617"/>
      <c r="F154" s="617"/>
      <c r="G154" s="617"/>
      <c r="H154" s="617"/>
      <c r="I154" s="617"/>
      <c r="J154" s="617"/>
      <c r="K154" s="617"/>
      <c r="L154" s="617"/>
      <c r="M154" s="617"/>
      <c r="N154" s="617"/>
      <c r="O154" s="617"/>
      <c r="P154" s="617"/>
      <c r="Q154" s="617"/>
      <c r="R154" s="617"/>
      <c r="S154" s="617"/>
      <c r="T154" s="617"/>
      <c r="U154" s="617"/>
      <c r="V154" s="617"/>
      <c r="W154" s="617"/>
      <c r="X154" s="617"/>
      <c r="Y154" s="617"/>
      <c r="Z154" s="617"/>
      <c r="AA154" s="617"/>
      <c r="AB154" s="617"/>
      <c r="AC154" s="617"/>
      <c r="AD154" s="617"/>
      <c r="AE154" s="617"/>
      <c r="AF154" s="617"/>
      <c r="AG154" s="617"/>
      <c r="AH154" s="617"/>
    </row>
    <row r="155" spans="1:34" ht="15" hidden="1">
      <c r="A155" s="617"/>
      <c r="B155" s="617"/>
      <c r="C155" s="617"/>
      <c r="D155" s="617"/>
      <c r="E155" s="617"/>
      <c r="F155" s="617"/>
      <c r="G155" s="617"/>
      <c r="H155" s="617"/>
      <c r="I155" s="617"/>
      <c r="J155" s="617"/>
      <c r="K155" s="617"/>
      <c r="L155" s="617"/>
      <c r="M155" s="617"/>
      <c r="N155" s="617"/>
      <c r="O155" s="617"/>
      <c r="P155" s="617"/>
      <c r="Q155" s="617"/>
      <c r="R155" s="617"/>
      <c r="S155" s="617"/>
      <c r="T155" s="617"/>
      <c r="U155" s="617"/>
      <c r="V155" s="617"/>
      <c r="W155" s="617"/>
      <c r="X155" s="617"/>
      <c r="Y155" s="617"/>
      <c r="Z155" s="617"/>
      <c r="AA155" s="617"/>
      <c r="AB155" s="617"/>
      <c r="AC155" s="617"/>
      <c r="AD155" s="617"/>
      <c r="AE155" s="617"/>
      <c r="AF155" s="617"/>
      <c r="AG155" s="617"/>
      <c r="AH155" s="617"/>
    </row>
    <row r="156" spans="1:34" ht="15" hidden="1">
      <c r="A156" s="617"/>
      <c r="B156" s="617"/>
      <c r="C156" s="617"/>
      <c r="D156" s="617"/>
      <c r="E156" s="617"/>
      <c r="F156" s="617"/>
      <c r="G156" s="617"/>
      <c r="H156" s="617"/>
      <c r="I156" s="617"/>
      <c r="J156" s="617"/>
      <c r="K156" s="617"/>
      <c r="L156" s="617"/>
      <c r="M156" s="617"/>
      <c r="N156" s="617"/>
      <c r="O156" s="617"/>
      <c r="P156" s="617"/>
      <c r="Q156" s="617"/>
      <c r="R156" s="617"/>
      <c r="S156" s="617"/>
      <c r="T156" s="617"/>
      <c r="U156" s="617"/>
      <c r="V156" s="617"/>
      <c r="W156" s="617"/>
      <c r="X156" s="617"/>
      <c r="Y156" s="617"/>
      <c r="Z156" s="617"/>
      <c r="AA156" s="617"/>
      <c r="AB156" s="617"/>
      <c r="AC156" s="617"/>
      <c r="AD156" s="617"/>
      <c r="AE156" s="617"/>
      <c r="AF156" s="617"/>
      <c r="AG156" s="617"/>
      <c r="AH156" s="617"/>
    </row>
    <row r="157" spans="1:34" ht="15" hidden="1">
      <c r="A157" s="617"/>
      <c r="B157" s="617"/>
      <c r="C157" s="617"/>
      <c r="D157" s="617"/>
      <c r="E157" s="617"/>
      <c r="F157" s="617"/>
      <c r="G157" s="617"/>
      <c r="H157" s="617"/>
      <c r="I157" s="617"/>
      <c r="J157" s="617"/>
      <c r="K157" s="617"/>
      <c r="L157" s="617"/>
      <c r="M157" s="617"/>
      <c r="N157" s="617"/>
      <c r="O157" s="617"/>
      <c r="P157" s="617"/>
      <c r="Q157" s="617"/>
      <c r="R157" s="617"/>
      <c r="S157" s="617"/>
      <c r="T157" s="617"/>
      <c r="U157" s="617"/>
      <c r="V157" s="617"/>
      <c r="W157" s="617"/>
      <c r="X157" s="617"/>
      <c r="Y157" s="617"/>
      <c r="Z157" s="617"/>
      <c r="AA157" s="617"/>
      <c r="AB157" s="617"/>
      <c r="AC157" s="617"/>
      <c r="AD157" s="617"/>
      <c r="AE157" s="617"/>
      <c r="AF157" s="617"/>
      <c r="AG157" s="617"/>
      <c r="AH157" s="617"/>
    </row>
    <row r="158" spans="1:34" ht="15" hidden="1">
      <c r="A158" s="617"/>
      <c r="B158" s="617"/>
      <c r="C158" s="617"/>
      <c r="D158" s="617"/>
      <c r="E158" s="617"/>
      <c r="F158" s="617"/>
      <c r="G158" s="617"/>
      <c r="H158" s="617"/>
      <c r="I158" s="617"/>
      <c r="J158" s="617"/>
      <c r="K158" s="617"/>
      <c r="L158" s="617"/>
      <c r="M158" s="617"/>
      <c r="N158" s="617"/>
      <c r="O158" s="617"/>
      <c r="P158" s="617"/>
      <c r="Q158" s="617"/>
      <c r="R158" s="617"/>
      <c r="S158" s="617"/>
      <c r="T158" s="617"/>
      <c r="U158" s="617"/>
      <c r="V158" s="617"/>
      <c r="W158" s="617"/>
      <c r="X158" s="617"/>
      <c r="Y158" s="617"/>
      <c r="Z158" s="617"/>
      <c r="AA158" s="617"/>
      <c r="AB158" s="617"/>
      <c r="AC158" s="617"/>
      <c r="AD158" s="617"/>
      <c r="AE158" s="617"/>
      <c r="AF158" s="617"/>
      <c r="AG158" s="617"/>
      <c r="AH158" s="617"/>
    </row>
    <row r="159" spans="1:34" ht="15" hidden="1">
      <c r="A159" s="617"/>
      <c r="B159" s="617"/>
      <c r="C159" s="617"/>
      <c r="D159" s="617"/>
      <c r="E159" s="617"/>
      <c r="F159" s="617"/>
      <c r="G159" s="617"/>
      <c r="H159" s="617"/>
      <c r="I159" s="617"/>
      <c r="J159" s="617"/>
      <c r="K159" s="617"/>
      <c r="L159" s="617"/>
      <c r="M159" s="617"/>
      <c r="N159" s="617"/>
      <c r="O159" s="617"/>
      <c r="P159" s="617"/>
      <c r="Q159" s="617"/>
      <c r="R159" s="617"/>
      <c r="S159" s="617"/>
      <c r="T159" s="617"/>
      <c r="U159" s="617"/>
      <c r="V159" s="617"/>
      <c r="W159" s="617"/>
      <c r="X159" s="617"/>
      <c r="Y159" s="617"/>
      <c r="Z159" s="617"/>
      <c r="AA159" s="617"/>
      <c r="AB159" s="617"/>
      <c r="AC159" s="617"/>
      <c r="AD159" s="617"/>
      <c r="AE159" s="617"/>
      <c r="AF159" s="617"/>
      <c r="AG159" s="617"/>
      <c r="AH159" s="617"/>
    </row>
    <row r="160" spans="1:34" ht="15" hidden="1">
      <c r="A160" s="617"/>
      <c r="B160" s="617"/>
      <c r="C160" s="617"/>
      <c r="D160" s="617"/>
      <c r="E160" s="617"/>
      <c r="F160" s="617"/>
      <c r="G160" s="617"/>
      <c r="H160" s="617"/>
      <c r="I160" s="617"/>
      <c r="J160" s="617"/>
      <c r="K160" s="617"/>
      <c r="L160" s="617"/>
      <c r="M160" s="617"/>
      <c r="N160" s="617"/>
      <c r="O160" s="617"/>
      <c r="P160" s="617"/>
      <c r="Q160" s="617"/>
      <c r="R160" s="617"/>
      <c r="S160" s="617"/>
      <c r="T160" s="617"/>
      <c r="U160" s="617"/>
      <c r="V160" s="617"/>
      <c r="W160" s="617"/>
      <c r="X160" s="617"/>
      <c r="Y160" s="617"/>
      <c r="Z160" s="617"/>
      <c r="AA160" s="617"/>
      <c r="AB160" s="617"/>
      <c r="AC160" s="617"/>
      <c r="AD160" s="617"/>
      <c r="AE160" s="617"/>
      <c r="AF160" s="617"/>
      <c r="AG160" s="617"/>
      <c r="AH160" s="617"/>
    </row>
    <row r="161" spans="1:34" ht="15" hidden="1">
      <c r="A161" s="617"/>
      <c r="B161" s="617"/>
      <c r="C161" s="617"/>
      <c r="D161" s="617"/>
      <c r="E161" s="617"/>
      <c r="F161" s="617"/>
      <c r="G161" s="617"/>
      <c r="H161" s="617"/>
      <c r="I161" s="617"/>
      <c r="J161" s="617"/>
      <c r="K161" s="617"/>
      <c r="L161" s="617"/>
      <c r="M161" s="617"/>
      <c r="N161" s="617"/>
      <c r="O161" s="617"/>
      <c r="P161" s="617"/>
      <c r="Q161" s="617"/>
      <c r="R161" s="617"/>
      <c r="S161" s="617"/>
      <c r="T161" s="617"/>
      <c r="U161" s="617"/>
      <c r="V161" s="617"/>
      <c r="W161" s="617"/>
      <c r="X161" s="617"/>
      <c r="Y161" s="617"/>
      <c r="Z161" s="617"/>
      <c r="AA161" s="617"/>
      <c r="AB161" s="617"/>
      <c r="AC161" s="617"/>
      <c r="AD161" s="617"/>
      <c r="AE161" s="617"/>
      <c r="AF161" s="617"/>
      <c r="AG161" s="617"/>
      <c r="AH161" s="617"/>
    </row>
    <row r="162" spans="1:34" ht="15" hidden="1">
      <c r="A162" s="617"/>
      <c r="B162" s="617"/>
      <c r="C162" s="617"/>
      <c r="D162" s="617"/>
      <c r="E162" s="617"/>
      <c r="F162" s="617"/>
      <c r="G162" s="617"/>
      <c r="H162" s="617"/>
      <c r="I162" s="617"/>
      <c r="J162" s="617"/>
      <c r="K162" s="617"/>
      <c r="L162" s="617"/>
      <c r="M162" s="617"/>
      <c r="N162" s="617"/>
      <c r="O162" s="617"/>
      <c r="P162" s="617"/>
      <c r="Q162" s="617"/>
      <c r="R162" s="617"/>
      <c r="S162" s="617"/>
      <c r="T162" s="617"/>
      <c r="U162" s="617"/>
      <c r="V162" s="617"/>
      <c r="W162" s="617"/>
      <c r="X162" s="617"/>
      <c r="Y162" s="617"/>
      <c r="Z162" s="617"/>
      <c r="AA162" s="617"/>
      <c r="AB162" s="617"/>
      <c r="AC162" s="617"/>
      <c r="AD162" s="617"/>
      <c r="AE162" s="617"/>
      <c r="AF162" s="617"/>
      <c r="AG162" s="617"/>
      <c r="AH162" s="617"/>
    </row>
    <row r="163" spans="1:34" ht="15" hidden="1">
      <c r="A163" s="617"/>
      <c r="B163" s="617"/>
      <c r="C163" s="617"/>
      <c r="D163" s="617"/>
      <c r="E163" s="617"/>
      <c r="F163" s="617"/>
      <c r="G163" s="617"/>
      <c r="H163" s="617"/>
      <c r="I163" s="617"/>
      <c r="J163" s="617"/>
      <c r="K163" s="617"/>
      <c r="L163" s="617"/>
      <c r="M163" s="617"/>
      <c r="N163" s="617"/>
      <c r="O163" s="617"/>
      <c r="P163" s="617"/>
      <c r="Q163" s="617"/>
      <c r="R163" s="617"/>
      <c r="S163" s="617"/>
      <c r="T163" s="617"/>
      <c r="U163" s="617"/>
      <c r="V163" s="617"/>
      <c r="W163" s="617"/>
      <c r="X163" s="617"/>
      <c r="Y163" s="617"/>
      <c r="Z163" s="617"/>
      <c r="AA163" s="617"/>
      <c r="AB163" s="617"/>
      <c r="AC163" s="617"/>
      <c r="AD163" s="617"/>
      <c r="AE163" s="617"/>
      <c r="AF163" s="617"/>
      <c r="AG163" s="617"/>
      <c r="AH163" s="617"/>
    </row>
    <row r="164" spans="1:34" ht="15" hidden="1">
      <c r="A164" s="617"/>
      <c r="B164" s="617"/>
      <c r="C164" s="617"/>
      <c r="D164" s="617"/>
      <c r="E164" s="617"/>
      <c r="F164" s="617"/>
      <c r="G164" s="617"/>
      <c r="H164" s="617"/>
      <c r="I164" s="617"/>
      <c r="J164" s="617"/>
      <c r="K164" s="617"/>
      <c r="L164" s="617"/>
      <c r="M164" s="617"/>
      <c r="N164" s="617"/>
      <c r="O164" s="617"/>
      <c r="P164" s="617"/>
      <c r="Q164" s="617"/>
      <c r="R164" s="617"/>
      <c r="S164" s="617"/>
      <c r="T164" s="617"/>
      <c r="U164" s="617"/>
      <c r="V164" s="617"/>
      <c r="W164" s="617"/>
      <c r="X164" s="617"/>
      <c r="Y164" s="617"/>
      <c r="Z164" s="617"/>
      <c r="AA164" s="617"/>
      <c r="AB164" s="617"/>
      <c r="AC164" s="617"/>
      <c r="AD164" s="617"/>
      <c r="AE164" s="617"/>
      <c r="AF164" s="617"/>
      <c r="AG164" s="617"/>
      <c r="AH164" s="617"/>
    </row>
    <row r="165" spans="1:34" ht="15" hidden="1">
      <c r="A165" s="617"/>
      <c r="B165" s="617"/>
      <c r="C165" s="617"/>
      <c r="D165" s="617"/>
      <c r="E165" s="617"/>
      <c r="F165" s="617"/>
      <c r="G165" s="617"/>
      <c r="H165" s="617"/>
      <c r="I165" s="617"/>
      <c r="J165" s="617"/>
      <c r="K165" s="617"/>
      <c r="L165" s="617"/>
      <c r="M165" s="617"/>
      <c r="N165" s="617"/>
      <c r="O165" s="617"/>
      <c r="P165" s="617"/>
      <c r="Q165" s="617"/>
      <c r="R165" s="617"/>
      <c r="S165" s="617"/>
      <c r="T165" s="617"/>
      <c r="U165" s="617"/>
      <c r="V165" s="617"/>
      <c r="W165" s="617"/>
      <c r="X165" s="617"/>
      <c r="Y165" s="617"/>
      <c r="Z165" s="617"/>
      <c r="AA165" s="617"/>
      <c r="AB165" s="617"/>
      <c r="AC165" s="617"/>
      <c r="AD165" s="617"/>
      <c r="AE165" s="617"/>
      <c r="AF165" s="617"/>
      <c r="AG165" s="617"/>
      <c r="AH165" s="617"/>
    </row>
    <row r="166" spans="1:34" ht="15" hidden="1">
      <c r="A166" s="617"/>
      <c r="B166" s="617"/>
      <c r="C166" s="617"/>
      <c r="D166" s="617"/>
      <c r="E166" s="617"/>
      <c r="F166" s="617"/>
      <c r="G166" s="617"/>
      <c r="H166" s="617"/>
      <c r="I166" s="617"/>
      <c r="J166" s="617"/>
      <c r="K166" s="617"/>
      <c r="L166" s="617"/>
      <c r="M166" s="617"/>
      <c r="N166" s="617"/>
      <c r="O166" s="617"/>
      <c r="P166" s="617"/>
      <c r="Q166" s="617"/>
      <c r="R166" s="617"/>
      <c r="S166" s="617"/>
      <c r="T166" s="617"/>
      <c r="U166" s="617"/>
      <c r="V166" s="617"/>
      <c r="W166" s="617"/>
      <c r="X166" s="617"/>
      <c r="Y166" s="617"/>
      <c r="Z166" s="617"/>
      <c r="AA166" s="617"/>
      <c r="AB166" s="617"/>
      <c r="AC166" s="617"/>
      <c r="AD166" s="617"/>
      <c r="AE166" s="617"/>
      <c r="AF166" s="617"/>
      <c r="AG166" s="617"/>
      <c r="AH166" s="617"/>
    </row>
    <row r="167" spans="1:34" ht="15" hidden="1">
      <c r="A167" s="617"/>
      <c r="B167" s="617"/>
      <c r="C167" s="617"/>
      <c r="D167" s="617"/>
      <c r="E167" s="617"/>
      <c r="F167" s="617"/>
      <c r="G167" s="617"/>
      <c r="H167" s="617"/>
      <c r="I167" s="617"/>
      <c r="J167" s="617"/>
      <c r="K167" s="617"/>
      <c r="L167" s="617"/>
      <c r="M167" s="617"/>
      <c r="N167" s="617"/>
      <c r="O167" s="617"/>
      <c r="P167" s="617"/>
      <c r="Q167" s="617"/>
      <c r="R167" s="617"/>
      <c r="S167" s="617"/>
      <c r="T167" s="617"/>
      <c r="U167" s="617"/>
      <c r="V167" s="617"/>
      <c r="W167" s="617"/>
      <c r="X167" s="617"/>
      <c r="Y167" s="617"/>
      <c r="Z167" s="617"/>
      <c r="AA167" s="617"/>
      <c r="AB167" s="617"/>
      <c r="AC167" s="617"/>
      <c r="AD167" s="617"/>
      <c r="AE167" s="617"/>
      <c r="AF167" s="617"/>
      <c r="AG167" s="617"/>
      <c r="AH167" s="617"/>
    </row>
    <row r="168" spans="1:34" ht="15" hidden="1">
      <c r="A168" s="617"/>
      <c r="B168" s="617"/>
      <c r="C168" s="617"/>
      <c r="D168" s="617"/>
      <c r="E168" s="617"/>
      <c r="F168" s="617"/>
      <c r="G168" s="617"/>
      <c r="H168" s="617"/>
      <c r="I168" s="617"/>
      <c r="J168" s="617"/>
      <c r="K168" s="617"/>
      <c r="L168" s="617"/>
      <c r="M168" s="617"/>
      <c r="N168" s="617"/>
      <c r="O168" s="617"/>
      <c r="P168" s="617"/>
      <c r="Q168" s="617"/>
      <c r="R168" s="617"/>
      <c r="S168" s="617"/>
      <c r="T168" s="617"/>
      <c r="U168" s="617"/>
      <c r="V168" s="617"/>
      <c r="W168" s="617"/>
      <c r="X168" s="617"/>
      <c r="Y168" s="617"/>
      <c r="Z168" s="617"/>
      <c r="AA168" s="617"/>
      <c r="AB168" s="617"/>
      <c r="AC168" s="617"/>
      <c r="AD168" s="617"/>
      <c r="AE168" s="617"/>
      <c r="AF168" s="617"/>
      <c r="AG168" s="617"/>
      <c r="AH168" s="617"/>
    </row>
    <row r="169" spans="1:34" ht="15" hidden="1">
      <c r="A169" s="617"/>
      <c r="B169" s="617"/>
      <c r="C169" s="617"/>
      <c r="D169" s="617"/>
      <c r="E169" s="617"/>
      <c r="F169" s="617"/>
      <c r="G169" s="617"/>
      <c r="H169" s="617"/>
      <c r="I169" s="617"/>
      <c r="J169" s="617"/>
      <c r="K169" s="617"/>
      <c r="L169" s="617"/>
      <c r="M169" s="617"/>
      <c r="N169" s="617"/>
      <c r="O169" s="617"/>
      <c r="P169" s="617"/>
      <c r="Q169" s="617"/>
      <c r="R169" s="617"/>
      <c r="S169" s="617"/>
      <c r="T169" s="617"/>
      <c r="U169" s="617"/>
      <c r="V169" s="617"/>
      <c r="W169" s="617"/>
      <c r="X169" s="617"/>
      <c r="Y169" s="617"/>
      <c r="Z169" s="617"/>
      <c r="AA169" s="617"/>
      <c r="AB169" s="617"/>
      <c r="AC169" s="617"/>
      <c r="AD169" s="617"/>
      <c r="AE169" s="617"/>
      <c r="AF169" s="617"/>
      <c r="AG169" s="617"/>
      <c r="AH169" s="617"/>
    </row>
    <row r="170" spans="1:34" ht="15" hidden="1">
      <c r="A170" s="617"/>
      <c r="B170" s="617"/>
      <c r="C170" s="617"/>
      <c r="D170" s="617"/>
      <c r="E170" s="617"/>
      <c r="F170" s="617"/>
      <c r="G170" s="617"/>
      <c r="H170" s="617"/>
      <c r="I170" s="617"/>
      <c r="J170" s="617"/>
      <c r="K170" s="617"/>
      <c r="L170" s="617"/>
      <c r="M170" s="617"/>
      <c r="N170" s="617"/>
      <c r="O170" s="617"/>
      <c r="P170" s="617"/>
      <c r="Q170" s="617"/>
      <c r="R170" s="617"/>
      <c r="S170" s="617"/>
      <c r="T170" s="617"/>
      <c r="U170" s="617"/>
      <c r="V170" s="617"/>
      <c r="W170" s="617"/>
      <c r="X170" s="617"/>
      <c r="Y170" s="617"/>
      <c r="Z170" s="617"/>
      <c r="AA170" s="617"/>
      <c r="AB170" s="617"/>
      <c r="AC170" s="617"/>
      <c r="AD170" s="617"/>
      <c r="AE170" s="617"/>
      <c r="AF170" s="617"/>
      <c r="AG170" s="617"/>
      <c r="AH170" s="617"/>
    </row>
    <row r="171" spans="1:34" ht="15" hidden="1">
      <c r="A171" s="617"/>
      <c r="B171" s="617"/>
      <c r="C171" s="617"/>
      <c r="D171" s="617"/>
      <c r="E171" s="617"/>
      <c r="F171" s="617"/>
      <c r="G171" s="617"/>
      <c r="H171" s="617"/>
      <c r="I171" s="617"/>
      <c r="J171" s="617"/>
      <c r="K171" s="617"/>
      <c r="L171" s="617"/>
      <c r="M171" s="617"/>
      <c r="N171" s="617"/>
      <c r="O171" s="617"/>
      <c r="P171" s="617"/>
      <c r="Q171" s="617"/>
      <c r="R171" s="617"/>
      <c r="S171" s="617"/>
      <c r="T171" s="617"/>
      <c r="U171" s="617"/>
      <c r="V171" s="617"/>
      <c r="W171" s="617"/>
      <c r="X171" s="617"/>
      <c r="Y171" s="617"/>
      <c r="Z171" s="617"/>
      <c r="AA171" s="617"/>
      <c r="AB171" s="617"/>
      <c r="AC171" s="617"/>
      <c r="AD171" s="617"/>
      <c r="AE171" s="617"/>
      <c r="AF171" s="617"/>
      <c r="AG171" s="617"/>
      <c r="AH171" s="617"/>
    </row>
    <row r="172" spans="1:34" ht="15" hidden="1">
      <c r="A172" s="617"/>
      <c r="B172" s="617"/>
      <c r="C172" s="617"/>
      <c r="D172" s="617"/>
      <c r="E172" s="617"/>
      <c r="F172" s="617"/>
      <c r="G172" s="617"/>
      <c r="H172" s="617"/>
      <c r="I172" s="617"/>
      <c r="J172" s="617"/>
      <c r="K172" s="617"/>
      <c r="L172" s="617"/>
      <c r="M172" s="617"/>
      <c r="N172" s="617"/>
      <c r="O172" s="617"/>
      <c r="P172" s="617"/>
      <c r="Q172" s="617"/>
      <c r="R172" s="617"/>
      <c r="S172" s="617"/>
      <c r="T172" s="617"/>
      <c r="U172" s="617"/>
      <c r="V172" s="617"/>
      <c r="W172" s="617"/>
      <c r="X172" s="617"/>
      <c r="Y172" s="617"/>
      <c r="Z172" s="617"/>
      <c r="AA172" s="617"/>
      <c r="AB172" s="617"/>
      <c r="AC172" s="617"/>
      <c r="AD172" s="617"/>
      <c r="AE172" s="617"/>
      <c r="AF172" s="617"/>
      <c r="AG172" s="617"/>
      <c r="AH172" s="617"/>
    </row>
    <row r="173" spans="1:34" ht="15" hidden="1">
      <c r="A173" s="617"/>
      <c r="B173" s="617"/>
      <c r="C173" s="617"/>
      <c r="D173" s="617"/>
      <c r="E173" s="617"/>
      <c r="F173" s="617"/>
      <c r="G173" s="617"/>
      <c r="H173" s="617"/>
      <c r="I173" s="617"/>
      <c r="J173" s="617"/>
      <c r="K173" s="617"/>
      <c r="L173" s="617"/>
      <c r="M173" s="617"/>
      <c r="N173" s="617"/>
      <c r="O173" s="617"/>
      <c r="P173" s="617"/>
      <c r="Q173" s="617"/>
      <c r="R173" s="617"/>
      <c r="S173" s="617"/>
      <c r="T173" s="617"/>
      <c r="U173" s="617"/>
      <c r="V173" s="617"/>
      <c r="W173" s="617"/>
      <c r="X173" s="617"/>
      <c r="Y173" s="617"/>
      <c r="Z173" s="617"/>
      <c r="AA173" s="617"/>
      <c r="AB173" s="617"/>
      <c r="AC173" s="617"/>
      <c r="AD173" s="617"/>
      <c r="AE173" s="617"/>
      <c r="AF173" s="617"/>
      <c r="AG173" s="617"/>
      <c r="AH173" s="617"/>
    </row>
    <row r="174" spans="1:34" ht="15" hidden="1">
      <c r="A174" s="617"/>
      <c r="B174" s="617"/>
      <c r="C174" s="617"/>
      <c r="D174" s="617"/>
      <c r="E174" s="617"/>
      <c r="F174" s="617"/>
      <c r="G174" s="617"/>
      <c r="H174" s="617"/>
      <c r="I174" s="617"/>
      <c r="J174" s="617"/>
      <c r="K174" s="617"/>
      <c r="L174" s="617"/>
      <c r="M174" s="617"/>
      <c r="N174" s="617"/>
      <c r="O174" s="617"/>
      <c r="P174" s="617"/>
      <c r="Q174" s="617"/>
      <c r="R174" s="617"/>
      <c r="S174" s="617"/>
      <c r="T174" s="617"/>
      <c r="U174" s="617"/>
      <c r="V174" s="617"/>
      <c r="W174" s="617"/>
      <c r="X174" s="617"/>
      <c r="Y174" s="617"/>
      <c r="Z174" s="617"/>
      <c r="AA174" s="617"/>
      <c r="AB174" s="617"/>
      <c r="AC174" s="617"/>
      <c r="AD174" s="617"/>
      <c r="AE174" s="617"/>
      <c r="AF174" s="617"/>
      <c r="AG174" s="617"/>
      <c r="AH174" s="617"/>
    </row>
    <row r="175" spans="1:34" ht="15" hidden="1">
      <c r="A175" s="617"/>
      <c r="B175" s="617"/>
      <c r="C175" s="617"/>
      <c r="D175" s="617"/>
      <c r="E175" s="617"/>
      <c r="F175" s="617"/>
      <c r="G175" s="617"/>
      <c r="H175" s="617"/>
      <c r="I175" s="617"/>
      <c r="J175" s="617"/>
      <c r="K175" s="617"/>
      <c r="L175" s="617"/>
      <c r="M175" s="617"/>
      <c r="N175" s="617"/>
      <c r="O175" s="617"/>
      <c r="P175" s="617"/>
      <c r="Q175" s="617"/>
      <c r="R175" s="617"/>
      <c r="S175" s="617"/>
      <c r="T175" s="617"/>
      <c r="U175" s="617"/>
      <c r="V175" s="617"/>
      <c r="W175" s="617"/>
      <c r="X175" s="617"/>
      <c r="Y175" s="617"/>
      <c r="Z175" s="617"/>
      <c r="AA175" s="617"/>
      <c r="AB175" s="617"/>
      <c r="AC175" s="617"/>
      <c r="AD175" s="617"/>
      <c r="AE175" s="617"/>
      <c r="AF175" s="617"/>
      <c r="AG175" s="617"/>
      <c r="AH175" s="617"/>
    </row>
    <row r="176" spans="1:34" ht="15" hidden="1">
      <c r="A176" s="617"/>
      <c r="B176" s="617"/>
      <c r="C176" s="617"/>
      <c r="D176" s="617"/>
      <c r="E176" s="617"/>
      <c r="F176" s="617"/>
      <c r="G176" s="617"/>
      <c r="H176" s="617"/>
      <c r="I176" s="617"/>
      <c r="J176" s="617"/>
      <c r="K176" s="617"/>
      <c r="L176" s="617"/>
      <c r="M176" s="617"/>
      <c r="N176" s="617"/>
      <c r="O176" s="617"/>
      <c r="P176" s="617"/>
      <c r="Q176" s="617"/>
      <c r="R176" s="617"/>
      <c r="S176" s="617"/>
      <c r="T176" s="617"/>
      <c r="U176" s="617"/>
      <c r="V176" s="617"/>
      <c r="W176" s="617"/>
      <c r="X176" s="617"/>
      <c r="Y176" s="617"/>
      <c r="Z176" s="617"/>
      <c r="AA176" s="617"/>
      <c r="AB176" s="617"/>
      <c r="AC176" s="617"/>
      <c r="AD176" s="617"/>
      <c r="AE176" s="617"/>
      <c r="AF176" s="617"/>
      <c r="AG176" s="617"/>
      <c r="AH176" s="617"/>
    </row>
    <row r="177" spans="1:34" ht="15" hidden="1">
      <c r="A177" s="617"/>
      <c r="B177" s="617"/>
      <c r="C177" s="617"/>
      <c r="D177" s="617"/>
      <c r="E177" s="617"/>
      <c r="F177" s="617"/>
      <c r="G177" s="617"/>
      <c r="H177" s="617"/>
      <c r="I177" s="617"/>
      <c r="J177" s="617"/>
      <c r="K177" s="617"/>
      <c r="L177" s="617"/>
      <c r="M177" s="617"/>
      <c r="N177" s="617"/>
      <c r="O177" s="617"/>
      <c r="P177" s="617"/>
      <c r="Q177" s="617"/>
      <c r="R177" s="617"/>
      <c r="S177" s="617"/>
      <c r="T177" s="617"/>
      <c r="U177" s="617"/>
      <c r="V177" s="617"/>
      <c r="W177" s="617"/>
      <c r="X177" s="617"/>
      <c r="Y177" s="617"/>
      <c r="Z177" s="617"/>
      <c r="AA177" s="617"/>
      <c r="AB177" s="617"/>
      <c r="AC177" s="617"/>
      <c r="AD177" s="617"/>
      <c r="AE177" s="617"/>
      <c r="AF177" s="617"/>
      <c r="AG177" s="617"/>
      <c r="AH177" s="617"/>
    </row>
    <row r="178" spans="1:34" ht="15" hidden="1">
      <c r="A178" s="617"/>
      <c r="B178" s="617"/>
      <c r="C178" s="617"/>
      <c r="D178" s="617"/>
      <c r="E178" s="617"/>
      <c r="F178" s="617"/>
      <c r="G178" s="617"/>
      <c r="H178" s="617"/>
      <c r="I178" s="617"/>
      <c r="J178" s="617"/>
      <c r="K178" s="617"/>
      <c r="L178" s="617"/>
      <c r="M178" s="617"/>
      <c r="N178" s="617"/>
      <c r="O178" s="617"/>
      <c r="P178" s="617"/>
      <c r="Q178" s="617"/>
      <c r="R178" s="617"/>
      <c r="S178" s="617"/>
      <c r="T178" s="617"/>
      <c r="U178" s="617"/>
      <c r="V178" s="617"/>
      <c r="W178" s="617"/>
      <c r="X178" s="617"/>
      <c r="Y178" s="617"/>
      <c r="Z178" s="617"/>
      <c r="AA178" s="617"/>
      <c r="AB178" s="617"/>
      <c r="AC178" s="617"/>
      <c r="AD178" s="617"/>
      <c r="AE178" s="617"/>
      <c r="AF178" s="617"/>
      <c r="AG178" s="617"/>
      <c r="AH178" s="617"/>
    </row>
    <row r="179" spans="1:34" ht="15" hidden="1">
      <c r="A179" s="617"/>
      <c r="B179" s="617"/>
      <c r="C179" s="617"/>
      <c r="D179" s="617"/>
      <c r="E179" s="617"/>
      <c r="F179" s="617"/>
      <c r="G179" s="617"/>
      <c r="H179" s="617"/>
      <c r="I179" s="617"/>
      <c r="J179" s="617"/>
      <c r="K179" s="617"/>
      <c r="L179" s="617"/>
      <c r="M179" s="617"/>
      <c r="N179" s="617"/>
      <c r="O179" s="617"/>
      <c r="P179" s="617"/>
      <c r="Q179" s="617"/>
      <c r="R179" s="617"/>
      <c r="S179" s="617"/>
      <c r="T179" s="617"/>
      <c r="U179" s="617"/>
      <c r="V179" s="617"/>
      <c r="W179" s="617"/>
      <c r="X179" s="617"/>
      <c r="Y179" s="617"/>
      <c r="Z179" s="617"/>
      <c r="AA179" s="617"/>
      <c r="AB179" s="617"/>
      <c r="AC179" s="617"/>
      <c r="AD179" s="617"/>
      <c r="AE179" s="617"/>
      <c r="AF179" s="617"/>
      <c r="AG179" s="617"/>
      <c r="AH179" s="617"/>
    </row>
    <row r="180" spans="1:34" ht="15" hidden="1">
      <c r="A180" s="617"/>
      <c r="B180" s="617"/>
      <c r="C180" s="617"/>
      <c r="D180" s="617"/>
      <c r="E180" s="617"/>
      <c r="F180" s="617"/>
      <c r="G180" s="617"/>
      <c r="H180" s="617"/>
      <c r="I180" s="617"/>
      <c r="J180" s="617"/>
      <c r="K180" s="617"/>
      <c r="L180" s="617"/>
      <c r="M180" s="617"/>
      <c r="N180" s="617"/>
      <c r="O180" s="617"/>
      <c r="P180" s="617"/>
      <c r="Q180" s="617"/>
      <c r="R180" s="617"/>
      <c r="S180" s="617"/>
      <c r="T180" s="617"/>
      <c r="U180" s="617"/>
      <c r="V180" s="617"/>
      <c r="W180" s="617"/>
      <c r="X180" s="617"/>
      <c r="Y180" s="617"/>
      <c r="Z180" s="617"/>
      <c r="AA180" s="617"/>
      <c r="AB180" s="617"/>
      <c r="AC180" s="617"/>
      <c r="AD180" s="617"/>
      <c r="AE180" s="617"/>
      <c r="AF180" s="617"/>
      <c r="AG180" s="617"/>
      <c r="AH180" s="617"/>
    </row>
    <row r="181" spans="1:34" ht="15" hidden="1">
      <c r="A181" s="617"/>
      <c r="B181" s="617"/>
      <c r="C181" s="617"/>
      <c r="D181" s="617"/>
      <c r="E181" s="617"/>
      <c r="F181" s="617"/>
      <c r="G181" s="617"/>
      <c r="H181" s="617"/>
      <c r="I181" s="617"/>
      <c r="J181" s="617"/>
      <c r="K181" s="617"/>
      <c r="L181" s="617"/>
      <c r="M181" s="617"/>
      <c r="N181" s="617"/>
      <c r="O181" s="617"/>
      <c r="P181" s="617"/>
      <c r="Q181" s="617"/>
      <c r="R181" s="617"/>
      <c r="S181" s="617"/>
      <c r="T181" s="617"/>
      <c r="U181" s="617"/>
      <c r="V181" s="617"/>
      <c r="W181" s="617"/>
      <c r="X181" s="617"/>
      <c r="Y181" s="617"/>
      <c r="Z181" s="617"/>
      <c r="AA181" s="617"/>
      <c r="AB181" s="617"/>
      <c r="AC181" s="617"/>
      <c r="AD181" s="617"/>
      <c r="AE181" s="617"/>
      <c r="AF181" s="617"/>
      <c r="AG181" s="617"/>
      <c r="AH181" s="617"/>
    </row>
    <row r="182" spans="1:34" ht="15" hidden="1">
      <c r="A182" s="617"/>
      <c r="B182" s="617"/>
      <c r="C182" s="617"/>
      <c r="D182" s="617"/>
      <c r="E182" s="617"/>
      <c r="F182" s="617"/>
      <c r="G182" s="617"/>
      <c r="H182" s="617"/>
      <c r="I182" s="617"/>
      <c r="J182" s="617"/>
      <c r="K182" s="617"/>
      <c r="L182" s="617"/>
      <c r="M182" s="617"/>
      <c r="N182" s="617"/>
      <c r="O182" s="617"/>
      <c r="P182" s="617"/>
      <c r="Q182" s="617"/>
      <c r="R182" s="617"/>
      <c r="S182" s="617"/>
      <c r="T182" s="617"/>
      <c r="U182" s="617"/>
      <c r="V182" s="617"/>
      <c r="W182" s="617"/>
      <c r="X182" s="617"/>
      <c r="Y182" s="617"/>
      <c r="Z182" s="617"/>
      <c r="AA182" s="617"/>
      <c r="AB182" s="617"/>
      <c r="AC182" s="617"/>
      <c r="AD182" s="617"/>
      <c r="AE182" s="617"/>
      <c r="AF182" s="617"/>
      <c r="AG182" s="617"/>
      <c r="AH182" s="617"/>
    </row>
    <row r="183" spans="1:34" ht="15" hidden="1">
      <c r="A183" s="617"/>
      <c r="B183" s="617"/>
      <c r="C183" s="617"/>
      <c r="D183" s="617"/>
      <c r="E183" s="617"/>
      <c r="F183" s="617"/>
      <c r="G183" s="617"/>
      <c r="H183" s="617"/>
      <c r="I183" s="617"/>
      <c r="J183" s="617"/>
      <c r="K183" s="617"/>
      <c r="L183" s="617"/>
      <c r="M183" s="617"/>
      <c r="N183" s="617"/>
      <c r="O183" s="617"/>
      <c r="P183" s="617"/>
      <c r="Q183" s="617"/>
      <c r="R183" s="617"/>
      <c r="S183" s="617"/>
      <c r="T183" s="617"/>
      <c r="U183" s="617"/>
      <c r="V183" s="617"/>
      <c r="W183" s="617"/>
      <c r="X183" s="617"/>
      <c r="Y183" s="617"/>
      <c r="Z183" s="617"/>
      <c r="AA183" s="617"/>
      <c r="AB183" s="617"/>
      <c r="AC183" s="617"/>
      <c r="AD183" s="617"/>
      <c r="AE183" s="617"/>
      <c r="AF183" s="617"/>
      <c r="AG183" s="617"/>
      <c r="AH183" s="617"/>
    </row>
    <row r="184" spans="1:34" ht="15" hidden="1">
      <c r="A184" s="617"/>
      <c r="B184" s="617"/>
      <c r="C184" s="617"/>
      <c r="D184" s="617"/>
      <c r="E184" s="617"/>
      <c r="F184" s="617"/>
      <c r="G184" s="617"/>
      <c r="H184" s="617"/>
      <c r="I184" s="617"/>
      <c r="J184" s="617"/>
      <c r="K184" s="617"/>
      <c r="L184" s="617"/>
      <c r="M184" s="617"/>
      <c r="N184" s="617"/>
      <c r="O184" s="617"/>
      <c r="P184" s="617"/>
      <c r="Q184" s="617"/>
      <c r="R184" s="617"/>
      <c r="S184" s="617"/>
      <c r="T184" s="617"/>
      <c r="U184" s="617"/>
      <c r="V184" s="617"/>
      <c r="W184" s="617"/>
      <c r="X184" s="617"/>
      <c r="Y184" s="617"/>
      <c r="Z184" s="617"/>
      <c r="AA184" s="617"/>
      <c r="AB184" s="617"/>
      <c r="AC184" s="617"/>
      <c r="AD184" s="617"/>
      <c r="AE184" s="617"/>
      <c r="AF184" s="617"/>
      <c r="AG184" s="617"/>
      <c r="AH184" s="617"/>
    </row>
    <row r="185" spans="1:34" ht="15" hidden="1">
      <c r="A185" s="617"/>
      <c r="B185" s="617"/>
      <c r="C185" s="617"/>
      <c r="D185" s="617"/>
      <c r="E185" s="617"/>
      <c r="F185" s="617"/>
      <c r="G185" s="617"/>
      <c r="H185" s="617"/>
      <c r="I185" s="617"/>
      <c r="J185" s="617"/>
      <c r="K185" s="617"/>
      <c r="L185" s="617"/>
      <c r="M185" s="617"/>
      <c r="N185" s="617"/>
      <c r="O185" s="617"/>
      <c r="P185" s="617"/>
      <c r="Q185" s="617"/>
      <c r="R185" s="617"/>
      <c r="S185" s="617"/>
      <c r="T185" s="617"/>
      <c r="U185" s="617"/>
      <c r="V185" s="617"/>
      <c r="W185" s="617"/>
      <c r="X185" s="617"/>
      <c r="Y185" s="617"/>
      <c r="Z185" s="617"/>
      <c r="AA185" s="617"/>
      <c r="AB185" s="617"/>
      <c r="AC185" s="617"/>
      <c r="AD185" s="617"/>
      <c r="AE185" s="617"/>
      <c r="AF185" s="617"/>
      <c r="AG185" s="617"/>
      <c r="AH185" s="617"/>
    </row>
    <row r="186" spans="1:34" ht="15" hidden="1">
      <c r="A186" s="617"/>
      <c r="B186" s="617"/>
      <c r="C186" s="617"/>
      <c r="D186" s="617"/>
      <c r="E186" s="617"/>
      <c r="F186" s="617"/>
      <c r="G186" s="617"/>
      <c r="H186" s="617"/>
      <c r="I186" s="617"/>
      <c r="J186" s="617"/>
      <c r="K186" s="617"/>
      <c r="L186" s="617"/>
      <c r="M186" s="617"/>
      <c r="N186" s="617"/>
      <c r="O186" s="617"/>
      <c r="P186" s="617"/>
      <c r="Q186" s="617"/>
      <c r="R186" s="617"/>
      <c r="S186" s="617"/>
      <c r="T186" s="617"/>
      <c r="U186" s="617"/>
      <c r="V186" s="617"/>
      <c r="W186" s="617"/>
      <c r="X186" s="617"/>
      <c r="Y186" s="617"/>
      <c r="Z186" s="617"/>
      <c r="AA186" s="617"/>
      <c r="AB186" s="617"/>
      <c r="AC186" s="617"/>
      <c r="AD186" s="617"/>
      <c r="AE186" s="617"/>
      <c r="AF186" s="617"/>
      <c r="AG186" s="617"/>
      <c r="AH186" s="617"/>
    </row>
    <row r="187" spans="1:34" ht="15" hidden="1">
      <c r="A187" s="617"/>
      <c r="B187" s="617"/>
      <c r="C187" s="617"/>
      <c r="D187" s="617"/>
      <c r="E187" s="617"/>
      <c r="F187" s="617"/>
      <c r="G187" s="617"/>
      <c r="H187" s="617"/>
      <c r="I187" s="617"/>
      <c r="J187" s="617"/>
      <c r="K187" s="617"/>
      <c r="L187" s="617"/>
      <c r="M187" s="617"/>
      <c r="N187" s="617"/>
      <c r="O187" s="617"/>
      <c r="P187" s="617"/>
      <c r="Q187" s="617"/>
      <c r="R187" s="617"/>
      <c r="S187" s="617"/>
      <c r="T187" s="617"/>
      <c r="U187" s="617"/>
      <c r="V187" s="617"/>
      <c r="W187" s="617"/>
      <c r="X187" s="617"/>
      <c r="Y187" s="617"/>
      <c r="Z187" s="617"/>
      <c r="AA187" s="617"/>
      <c r="AB187" s="617"/>
      <c r="AC187" s="617"/>
      <c r="AD187" s="617"/>
      <c r="AE187" s="617"/>
      <c r="AF187" s="617"/>
      <c r="AG187" s="617"/>
      <c r="AH187" s="617"/>
    </row>
    <row r="188" spans="1:34" ht="15" hidden="1">
      <c r="A188" s="617"/>
      <c r="B188" s="617"/>
      <c r="C188" s="617"/>
      <c r="D188" s="617"/>
      <c r="E188" s="617"/>
      <c r="F188" s="617"/>
      <c r="G188" s="617"/>
      <c r="H188" s="617"/>
      <c r="I188" s="617"/>
      <c r="J188" s="617"/>
      <c r="K188" s="617"/>
      <c r="L188" s="617"/>
      <c r="M188" s="617"/>
      <c r="N188" s="617"/>
      <c r="O188" s="617"/>
      <c r="P188" s="617"/>
      <c r="Q188" s="617"/>
      <c r="R188" s="617"/>
      <c r="S188" s="617"/>
      <c r="T188" s="617"/>
      <c r="U188" s="617"/>
      <c r="V188" s="617"/>
      <c r="W188" s="617"/>
      <c r="X188" s="617"/>
      <c r="Y188" s="617"/>
      <c r="Z188" s="617"/>
      <c r="AA188" s="617"/>
      <c r="AB188" s="617"/>
      <c r="AC188" s="617"/>
      <c r="AD188" s="617"/>
      <c r="AE188" s="617"/>
      <c r="AF188" s="617"/>
      <c r="AG188" s="617"/>
      <c r="AH188" s="617"/>
    </row>
    <row r="189" spans="1:34" ht="15" hidden="1">
      <c r="A189" s="617"/>
      <c r="B189" s="617"/>
      <c r="C189" s="617"/>
      <c r="D189" s="617"/>
      <c r="E189" s="617"/>
      <c r="F189" s="617"/>
      <c r="G189" s="617"/>
      <c r="H189" s="617"/>
      <c r="I189" s="617"/>
      <c r="J189" s="617"/>
      <c r="K189" s="617"/>
      <c r="L189" s="617"/>
      <c r="M189" s="617"/>
      <c r="N189" s="617"/>
      <c r="O189" s="617"/>
      <c r="P189" s="617"/>
      <c r="Q189" s="617"/>
      <c r="R189" s="617"/>
      <c r="S189" s="617"/>
      <c r="T189" s="617"/>
      <c r="U189" s="617"/>
      <c r="V189" s="617"/>
      <c r="W189" s="617"/>
      <c r="X189" s="617"/>
      <c r="Y189" s="617"/>
      <c r="Z189" s="617"/>
      <c r="AA189" s="617"/>
      <c r="AB189" s="617"/>
      <c r="AC189" s="617"/>
      <c r="AD189" s="617"/>
      <c r="AE189" s="617"/>
      <c r="AF189" s="617"/>
      <c r="AG189" s="617"/>
      <c r="AH189" s="617"/>
    </row>
    <row r="190" spans="1:34" ht="15" hidden="1">
      <c r="A190" s="617"/>
      <c r="B190" s="617"/>
      <c r="C190" s="617"/>
      <c r="D190" s="617"/>
      <c r="E190" s="617"/>
      <c r="F190" s="617"/>
      <c r="G190" s="617"/>
      <c r="H190" s="617"/>
      <c r="I190" s="617"/>
      <c r="J190" s="617"/>
      <c r="K190" s="617"/>
      <c r="L190" s="617"/>
      <c r="M190" s="617"/>
      <c r="N190" s="617"/>
      <c r="O190" s="617"/>
      <c r="P190" s="617"/>
      <c r="Q190" s="617"/>
      <c r="R190" s="617"/>
      <c r="S190" s="617"/>
      <c r="T190" s="617"/>
      <c r="U190" s="617"/>
      <c r="V190" s="617"/>
      <c r="W190" s="617"/>
      <c r="X190" s="617"/>
      <c r="Y190" s="617"/>
      <c r="Z190" s="617"/>
      <c r="AA190" s="617"/>
      <c r="AB190" s="617"/>
      <c r="AC190" s="617"/>
      <c r="AD190" s="617"/>
      <c r="AE190" s="617"/>
      <c r="AF190" s="617"/>
      <c r="AG190" s="617"/>
      <c r="AH190" s="617"/>
    </row>
    <row r="191" spans="1:34" ht="15" hidden="1">
      <c r="A191" s="617"/>
      <c r="B191" s="617"/>
      <c r="C191" s="617"/>
      <c r="D191" s="617"/>
      <c r="E191" s="617"/>
      <c r="F191" s="617"/>
      <c r="G191" s="617"/>
      <c r="H191" s="617"/>
      <c r="I191" s="617"/>
      <c r="J191" s="617"/>
      <c r="K191" s="617"/>
      <c r="L191" s="617"/>
      <c r="M191" s="617"/>
      <c r="N191" s="617"/>
      <c r="O191" s="617"/>
      <c r="P191" s="617"/>
      <c r="Q191" s="617"/>
      <c r="R191" s="617"/>
      <c r="S191" s="617"/>
      <c r="T191" s="617"/>
      <c r="U191" s="617"/>
      <c r="V191" s="617"/>
      <c r="W191" s="617"/>
      <c r="X191" s="617"/>
      <c r="Y191" s="617"/>
      <c r="Z191" s="617"/>
      <c r="AA191" s="617"/>
      <c r="AB191" s="617"/>
      <c r="AC191" s="617"/>
      <c r="AD191" s="617"/>
      <c r="AE191" s="617"/>
      <c r="AF191" s="617"/>
      <c r="AG191" s="617"/>
      <c r="AH191" s="617"/>
    </row>
    <row r="192" spans="1:34" ht="15" hidden="1">
      <c r="A192" s="617"/>
      <c r="B192" s="617"/>
      <c r="C192" s="617"/>
      <c r="D192" s="617"/>
      <c r="E192" s="617"/>
      <c r="F192" s="617"/>
      <c r="G192" s="617"/>
      <c r="H192" s="617"/>
      <c r="I192" s="617"/>
      <c r="J192" s="617"/>
      <c r="K192" s="617"/>
      <c r="L192" s="617"/>
      <c r="M192" s="617"/>
      <c r="N192" s="617"/>
      <c r="O192" s="617"/>
      <c r="P192" s="617"/>
      <c r="Q192" s="617"/>
      <c r="R192" s="617"/>
      <c r="S192" s="617"/>
      <c r="T192" s="617"/>
      <c r="U192" s="617"/>
      <c r="V192" s="617"/>
      <c r="W192" s="617"/>
      <c r="X192" s="617"/>
      <c r="Y192" s="617"/>
      <c r="Z192" s="617"/>
      <c r="AA192" s="617"/>
      <c r="AB192" s="617"/>
      <c r="AC192" s="617"/>
      <c r="AD192" s="617"/>
      <c r="AE192" s="617"/>
      <c r="AF192" s="617"/>
      <c r="AG192" s="617"/>
      <c r="AH192" s="617"/>
    </row>
    <row r="193" spans="1:34" ht="15" hidden="1">
      <c r="A193" s="617"/>
      <c r="B193" s="617"/>
      <c r="C193" s="617"/>
      <c r="D193" s="617"/>
      <c r="E193" s="617"/>
      <c r="F193" s="617"/>
      <c r="G193" s="617"/>
      <c r="H193" s="617"/>
      <c r="I193" s="617"/>
      <c r="J193" s="617"/>
      <c r="K193" s="617"/>
      <c r="L193" s="617"/>
      <c r="M193" s="617"/>
      <c r="N193" s="617"/>
      <c r="O193" s="617"/>
      <c r="P193" s="617"/>
      <c r="Q193" s="617"/>
      <c r="R193" s="617"/>
      <c r="S193" s="617"/>
      <c r="T193" s="617"/>
      <c r="U193" s="617"/>
      <c r="V193" s="617"/>
      <c r="W193" s="617"/>
      <c r="X193" s="617"/>
      <c r="Y193" s="617"/>
      <c r="Z193" s="617"/>
      <c r="AA193" s="617"/>
      <c r="AB193" s="617"/>
      <c r="AC193" s="617"/>
      <c r="AD193" s="617"/>
      <c r="AE193" s="617"/>
      <c r="AF193" s="617"/>
      <c r="AG193" s="617"/>
      <c r="AH193" s="617"/>
    </row>
    <row r="194" spans="1:34" ht="15" hidden="1">
      <c r="A194" s="617"/>
      <c r="B194" s="617"/>
      <c r="C194" s="617"/>
      <c r="D194" s="617"/>
      <c r="E194" s="617"/>
      <c r="F194" s="617"/>
      <c r="G194" s="617"/>
      <c r="H194" s="617"/>
      <c r="I194" s="617"/>
      <c r="J194" s="617"/>
      <c r="K194" s="617"/>
      <c r="L194" s="617"/>
      <c r="M194" s="617"/>
      <c r="N194" s="617"/>
      <c r="O194" s="617"/>
      <c r="P194" s="617"/>
      <c r="Q194" s="617"/>
      <c r="R194" s="617"/>
      <c r="S194" s="617"/>
      <c r="T194" s="617"/>
      <c r="U194" s="617"/>
      <c r="V194" s="617"/>
      <c r="W194" s="617"/>
      <c r="X194" s="617"/>
      <c r="Y194" s="617"/>
      <c r="Z194" s="617"/>
      <c r="AA194" s="617"/>
      <c r="AB194" s="617"/>
      <c r="AC194" s="617"/>
      <c r="AD194" s="617"/>
      <c r="AE194" s="617"/>
      <c r="AF194" s="617"/>
      <c r="AG194" s="617"/>
      <c r="AH194" s="617"/>
    </row>
    <row r="195" spans="1:34" ht="15" hidden="1">
      <c r="A195" s="617"/>
      <c r="B195" s="617"/>
      <c r="C195" s="617"/>
      <c r="D195" s="617"/>
      <c r="E195" s="617"/>
      <c r="F195" s="617"/>
      <c r="G195" s="617"/>
      <c r="H195" s="617"/>
      <c r="I195" s="617"/>
      <c r="J195" s="617"/>
      <c r="K195" s="617"/>
      <c r="L195" s="617"/>
      <c r="M195" s="617"/>
      <c r="N195" s="617"/>
      <c r="O195" s="617"/>
      <c r="P195" s="617"/>
      <c r="Q195" s="617"/>
      <c r="R195" s="617"/>
      <c r="S195" s="617"/>
      <c r="T195" s="617"/>
      <c r="U195" s="617"/>
      <c r="V195" s="617"/>
      <c r="W195" s="617"/>
      <c r="X195" s="617"/>
      <c r="Y195" s="617"/>
      <c r="Z195" s="617"/>
      <c r="AA195" s="617"/>
      <c r="AB195" s="617"/>
      <c r="AC195" s="617"/>
      <c r="AD195" s="617"/>
      <c r="AE195" s="617"/>
      <c r="AF195" s="617"/>
      <c r="AG195" s="617"/>
      <c r="AH195" s="617"/>
    </row>
    <row r="196" spans="1:34" ht="15" hidden="1">
      <c r="A196" s="617"/>
      <c r="B196" s="617"/>
      <c r="C196" s="617"/>
      <c r="D196" s="617"/>
      <c r="E196" s="617"/>
      <c r="F196" s="617"/>
      <c r="G196" s="617"/>
      <c r="H196" s="617"/>
      <c r="I196" s="617"/>
      <c r="J196" s="617"/>
      <c r="K196" s="617"/>
      <c r="L196" s="617"/>
      <c r="M196" s="617"/>
      <c r="N196" s="617"/>
      <c r="O196" s="617"/>
      <c r="P196" s="617"/>
      <c r="Q196" s="617"/>
      <c r="R196" s="617"/>
      <c r="S196" s="617"/>
      <c r="T196" s="617"/>
      <c r="U196" s="617"/>
      <c r="V196" s="617"/>
      <c r="W196" s="617"/>
      <c r="X196" s="617"/>
      <c r="Y196" s="617"/>
      <c r="Z196" s="617"/>
      <c r="AA196" s="617"/>
      <c r="AB196" s="617"/>
      <c r="AC196" s="617"/>
      <c r="AD196" s="617"/>
      <c r="AE196" s="617"/>
      <c r="AF196" s="617"/>
      <c r="AG196" s="617"/>
      <c r="AH196" s="617"/>
    </row>
    <row r="197" spans="1:34" ht="15" hidden="1">
      <c r="A197" s="617"/>
      <c r="B197" s="617"/>
      <c r="C197" s="617"/>
      <c r="D197" s="617"/>
      <c r="E197" s="617"/>
      <c r="F197" s="617"/>
      <c r="G197" s="617"/>
      <c r="H197" s="617"/>
      <c r="I197" s="617"/>
      <c r="J197" s="617"/>
      <c r="K197" s="617"/>
      <c r="L197" s="617"/>
      <c r="M197" s="617"/>
      <c r="N197" s="617"/>
      <c r="O197" s="617"/>
      <c r="P197" s="617"/>
      <c r="Q197" s="617"/>
      <c r="R197" s="617"/>
      <c r="S197" s="617"/>
      <c r="T197" s="617"/>
      <c r="U197" s="617"/>
      <c r="V197" s="617"/>
      <c r="W197" s="617"/>
      <c r="X197" s="617"/>
      <c r="Y197" s="617"/>
      <c r="Z197" s="617"/>
      <c r="AA197" s="617"/>
      <c r="AB197" s="617"/>
      <c r="AC197" s="617"/>
      <c r="AD197" s="617"/>
      <c r="AE197" s="617"/>
      <c r="AF197" s="617"/>
      <c r="AG197" s="617"/>
      <c r="AH197" s="617"/>
    </row>
    <row r="198" spans="1:34" ht="15" hidden="1">
      <c r="A198" s="617"/>
      <c r="B198" s="617"/>
      <c r="C198" s="617"/>
      <c r="D198" s="617"/>
      <c r="E198" s="617"/>
      <c r="F198" s="617"/>
      <c r="G198" s="617"/>
      <c r="H198" s="617"/>
      <c r="I198" s="617"/>
      <c r="J198" s="617"/>
      <c r="K198" s="617"/>
      <c r="L198" s="617"/>
      <c r="M198" s="617"/>
      <c r="N198" s="617"/>
      <c r="O198" s="617"/>
      <c r="P198" s="617"/>
      <c r="Q198" s="617"/>
      <c r="R198" s="617"/>
      <c r="S198" s="617"/>
      <c r="T198" s="617"/>
      <c r="U198" s="617"/>
      <c r="V198" s="617"/>
      <c r="W198" s="617"/>
      <c r="X198" s="617"/>
      <c r="Y198" s="617"/>
      <c r="Z198" s="617"/>
      <c r="AA198" s="617"/>
      <c r="AB198" s="617"/>
      <c r="AC198" s="617"/>
      <c r="AD198" s="617"/>
      <c r="AE198" s="617"/>
      <c r="AF198" s="617"/>
      <c r="AG198" s="617"/>
      <c r="AH198" s="617"/>
    </row>
    <row r="199" spans="1:34" ht="15" hidden="1">
      <c r="A199" s="617"/>
      <c r="B199" s="617"/>
      <c r="C199" s="617"/>
      <c r="D199" s="617"/>
      <c r="E199" s="617"/>
      <c r="F199" s="617"/>
      <c r="G199" s="617"/>
      <c r="H199" s="617"/>
      <c r="I199" s="617"/>
      <c r="J199" s="617"/>
      <c r="K199" s="617"/>
      <c r="L199" s="617"/>
      <c r="M199" s="617"/>
      <c r="N199" s="617"/>
      <c r="O199" s="617"/>
      <c r="P199" s="617"/>
      <c r="Q199" s="617"/>
      <c r="R199" s="617"/>
      <c r="S199" s="617"/>
      <c r="T199" s="617"/>
      <c r="U199" s="617"/>
      <c r="V199" s="617"/>
      <c r="W199" s="617"/>
      <c r="X199" s="617"/>
      <c r="Y199" s="617"/>
      <c r="Z199" s="617"/>
      <c r="AA199" s="617"/>
      <c r="AB199" s="617"/>
      <c r="AC199" s="617"/>
      <c r="AD199" s="617"/>
      <c r="AE199" s="617"/>
      <c r="AF199" s="617"/>
      <c r="AG199" s="617"/>
      <c r="AH199" s="617"/>
    </row>
    <row r="200" spans="1:34" ht="15" hidden="1">
      <c r="A200" s="617"/>
      <c r="B200" s="617"/>
      <c r="C200" s="617"/>
      <c r="D200" s="617"/>
      <c r="E200" s="617"/>
      <c r="F200" s="617"/>
      <c r="G200" s="617"/>
      <c r="H200" s="617"/>
      <c r="I200" s="617"/>
      <c r="J200" s="617"/>
      <c r="K200" s="617"/>
      <c r="L200" s="617"/>
      <c r="M200" s="617"/>
      <c r="N200" s="617"/>
      <c r="O200" s="617"/>
      <c r="P200" s="617"/>
      <c r="Q200" s="617"/>
      <c r="R200" s="617"/>
      <c r="S200" s="617"/>
      <c r="T200" s="617"/>
      <c r="U200" s="617"/>
      <c r="V200" s="617"/>
      <c r="W200" s="617"/>
      <c r="X200" s="617"/>
      <c r="Y200" s="617"/>
      <c r="Z200" s="617"/>
      <c r="AA200" s="617"/>
      <c r="AB200" s="617"/>
      <c r="AC200" s="617"/>
      <c r="AD200" s="617"/>
      <c r="AE200" s="617"/>
      <c r="AF200" s="617"/>
      <c r="AG200" s="617"/>
      <c r="AH200" s="617"/>
    </row>
    <row r="201" spans="1:34" ht="15" hidden="1">
      <c r="A201" s="617"/>
      <c r="B201" s="617"/>
      <c r="C201" s="617"/>
      <c r="D201" s="617"/>
      <c r="E201" s="617"/>
      <c r="F201" s="617"/>
      <c r="G201" s="617"/>
      <c r="H201" s="617"/>
      <c r="I201" s="617"/>
      <c r="J201" s="617"/>
      <c r="K201" s="617"/>
      <c r="L201" s="617"/>
      <c r="M201" s="617"/>
      <c r="N201" s="617"/>
      <c r="O201" s="617"/>
      <c r="P201" s="617"/>
      <c r="Q201" s="617"/>
      <c r="R201" s="617"/>
      <c r="S201" s="617"/>
      <c r="T201" s="617"/>
      <c r="U201" s="617"/>
      <c r="V201" s="617"/>
      <c r="W201" s="617"/>
      <c r="X201" s="617"/>
      <c r="Y201" s="617"/>
      <c r="Z201" s="617"/>
      <c r="AA201" s="617"/>
      <c r="AB201" s="617"/>
      <c r="AC201" s="617"/>
      <c r="AD201" s="617"/>
      <c r="AE201" s="617"/>
      <c r="AF201" s="617"/>
      <c r="AG201" s="617"/>
      <c r="AH201" s="617"/>
    </row>
    <row r="202" spans="1:34" ht="15" hidden="1">
      <c r="A202" s="617"/>
      <c r="B202" s="617"/>
      <c r="C202" s="617"/>
      <c r="D202" s="617"/>
      <c r="E202" s="617"/>
      <c r="F202" s="617"/>
      <c r="G202" s="617"/>
      <c r="H202" s="617"/>
      <c r="I202" s="617"/>
      <c r="J202" s="617"/>
      <c r="K202" s="617"/>
      <c r="L202" s="617"/>
      <c r="M202" s="617"/>
      <c r="N202" s="617"/>
      <c r="O202" s="617"/>
      <c r="P202" s="617"/>
      <c r="Q202" s="617"/>
      <c r="R202" s="617"/>
      <c r="S202" s="617"/>
      <c r="T202" s="617"/>
      <c r="U202" s="617"/>
      <c r="V202" s="617"/>
      <c r="W202" s="617"/>
      <c r="X202" s="617"/>
      <c r="Y202" s="617"/>
      <c r="Z202" s="617"/>
      <c r="AA202" s="617"/>
      <c r="AB202" s="617"/>
      <c r="AC202" s="617"/>
      <c r="AD202" s="617"/>
      <c r="AE202" s="617"/>
      <c r="AF202" s="617"/>
      <c r="AG202" s="617"/>
      <c r="AH202" s="617"/>
    </row>
    <row r="203" spans="1:34" ht="15" hidden="1">
      <c r="A203" s="617"/>
      <c r="B203" s="617"/>
      <c r="C203" s="617"/>
      <c r="D203" s="617"/>
      <c r="E203" s="617"/>
      <c r="F203" s="617"/>
      <c r="G203" s="617"/>
      <c r="H203" s="617"/>
      <c r="I203" s="617"/>
      <c r="J203" s="617"/>
      <c r="K203" s="617"/>
      <c r="L203" s="617"/>
      <c r="M203" s="617"/>
      <c r="N203" s="617"/>
      <c r="O203" s="617"/>
      <c r="P203" s="617"/>
      <c r="Q203" s="617"/>
      <c r="R203" s="617"/>
      <c r="S203" s="617"/>
      <c r="T203" s="617"/>
      <c r="U203" s="617"/>
      <c r="V203" s="617"/>
      <c r="W203" s="617"/>
      <c r="X203" s="617"/>
      <c r="Y203" s="617"/>
      <c r="Z203" s="617"/>
      <c r="AA203" s="617"/>
      <c r="AB203" s="617"/>
      <c r="AC203" s="617"/>
      <c r="AD203" s="617"/>
      <c r="AE203" s="617"/>
      <c r="AF203" s="617"/>
      <c r="AG203" s="617"/>
      <c r="AH203" s="617"/>
    </row>
    <row r="204" spans="1:34" ht="15" hidden="1">
      <c r="A204" s="617"/>
      <c r="B204" s="617"/>
      <c r="C204" s="617"/>
      <c r="D204" s="617"/>
      <c r="E204" s="617"/>
      <c r="F204" s="617"/>
      <c r="G204" s="617"/>
      <c r="H204" s="617"/>
      <c r="I204" s="617"/>
      <c r="J204" s="617"/>
      <c r="K204" s="617"/>
      <c r="L204" s="617"/>
      <c r="M204" s="617"/>
      <c r="N204" s="617"/>
      <c r="O204" s="617"/>
      <c r="P204" s="617"/>
      <c r="Q204" s="617"/>
      <c r="R204" s="617"/>
      <c r="S204" s="617"/>
      <c r="T204" s="617"/>
      <c r="U204" s="617"/>
      <c r="V204" s="617"/>
      <c r="W204" s="617"/>
      <c r="X204" s="617"/>
      <c r="Y204" s="617"/>
      <c r="Z204" s="617"/>
      <c r="AA204" s="617"/>
      <c r="AB204" s="617"/>
      <c r="AC204" s="617"/>
      <c r="AD204" s="617"/>
      <c r="AE204" s="617"/>
      <c r="AF204" s="617"/>
      <c r="AG204" s="617"/>
      <c r="AH204" s="617"/>
    </row>
    <row r="205" spans="1:34" ht="15" hidden="1">
      <c r="A205" s="617"/>
      <c r="B205" s="617"/>
      <c r="C205" s="617"/>
      <c r="D205" s="617"/>
      <c r="E205" s="617"/>
      <c r="F205" s="617"/>
      <c r="G205" s="617"/>
      <c r="H205" s="617"/>
      <c r="I205" s="617"/>
      <c r="J205" s="617"/>
      <c r="K205" s="617"/>
      <c r="L205" s="617"/>
      <c r="M205" s="617"/>
      <c r="N205" s="617"/>
      <c r="O205" s="617"/>
      <c r="P205" s="617"/>
      <c r="Q205" s="617"/>
      <c r="R205" s="617"/>
      <c r="S205" s="617"/>
      <c r="T205" s="617"/>
      <c r="U205" s="617"/>
      <c r="V205" s="617"/>
      <c r="W205" s="617"/>
      <c r="X205" s="617"/>
      <c r="Y205" s="617"/>
      <c r="Z205" s="617"/>
      <c r="AA205" s="617"/>
      <c r="AB205" s="617"/>
      <c r="AC205" s="617"/>
      <c r="AD205" s="617"/>
      <c r="AE205" s="617"/>
      <c r="AF205" s="617"/>
      <c r="AG205" s="617"/>
      <c r="AH205" s="617"/>
    </row>
    <row r="206" spans="1:34" ht="15" hidden="1">
      <c r="A206" s="617"/>
      <c r="B206" s="617"/>
      <c r="C206" s="617"/>
      <c r="D206" s="617"/>
      <c r="E206" s="617"/>
      <c r="F206" s="617"/>
      <c r="G206" s="617"/>
      <c r="H206" s="617"/>
      <c r="I206" s="617"/>
      <c r="J206" s="617"/>
      <c r="K206" s="617"/>
      <c r="L206" s="617"/>
      <c r="M206" s="617"/>
      <c r="N206" s="617"/>
      <c r="O206" s="617"/>
      <c r="P206" s="617"/>
      <c r="Q206" s="617"/>
      <c r="R206" s="617"/>
      <c r="S206" s="617"/>
      <c r="T206" s="617"/>
      <c r="U206" s="617"/>
      <c r="V206" s="617"/>
      <c r="W206" s="617"/>
      <c r="X206" s="617"/>
      <c r="Y206" s="617"/>
      <c r="Z206" s="617"/>
      <c r="AA206" s="617"/>
      <c r="AB206" s="617"/>
      <c r="AC206" s="617"/>
      <c r="AD206" s="617"/>
      <c r="AE206" s="617"/>
      <c r="AF206" s="617"/>
      <c r="AG206" s="617"/>
      <c r="AH206" s="617"/>
    </row>
    <row r="207" spans="1:34" ht="15" hidden="1">
      <c r="A207" s="617"/>
      <c r="B207" s="617"/>
      <c r="C207" s="617"/>
      <c r="D207" s="617"/>
      <c r="E207" s="617"/>
      <c r="F207" s="617"/>
      <c r="G207" s="617"/>
      <c r="H207" s="617"/>
      <c r="I207" s="617"/>
      <c r="J207" s="617"/>
      <c r="K207" s="617"/>
      <c r="L207" s="617"/>
      <c r="M207" s="617"/>
      <c r="N207" s="617"/>
      <c r="O207" s="617"/>
      <c r="P207" s="617"/>
      <c r="Q207" s="617"/>
      <c r="R207" s="617"/>
      <c r="S207" s="617"/>
      <c r="T207" s="617"/>
      <c r="U207" s="617"/>
      <c r="V207" s="617"/>
      <c r="W207" s="617"/>
      <c r="X207" s="617"/>
      <c r="Y207" s="617"/>
      <c r="Z207" s="617"/>
      <c r="AA207" s="617"/>
      <c r="AB207" s="617"/>
      <c r="AC207" s="617"/>
      <c r="AD207" s="617"/>
      <c r="AE207" s="617"/>
      <c r="AF207" s="617"/>
      <c r="AG207" s="617"/>
      <c r="AH207" s="617"/>
    </row>
    <row r="208" spans="1:34" ht="15" hidden="1">
      <c r="A208" s="617"/>
      <c r="B208" s="617"/>
      <c r="C208" s="617"/>
      <c r="D208" s="617"/>
      <c r="E208" s="617"/>
      <c r="F208" s="617"/>
      <c r="G208" s="617"/>
      <c r="H208" s="617"/>
      <c r="I208" s="617"/>
      <c r="J208" s="617"/>
      <c r="K208" s="617"/>
      <c r="L208" s="617"/>
      <c r="M208" s="617"/>
      <c r="N208" s="617"/>
      <c r="O208" s="617"/>
      <c r="P208" s="617"/>
      <c r="Q208" s="617"/>
      <c r="R208" s="617"/>
      <c r="S208" s="617"/>
      <c r="T208" s="617"/>
      <c r="U208" s="617"/>
      <c r="V208" s="617"/>
      <c r="W208" s="617"/>
      <c r="X208" s="617"/>
      <c r="Y208" s="617"/>
      <c r="Z208" s="617"/>
      <c r="AA208" s="617"/>
      <c r="AB208" s="617"/>
      <c r="AC208" s="617"/>
      <c r="AD208" s="617"/>
      <c r="AE208" s="617"/>
      <c r="AF208" s="617"/>
      <c r="AG208" s="617"/>
      <c r="AH208" s="617"/>
    </row>
    <row r="209" spans="1:34" ht="15" hidden="1">
      <c r="A209" s="617"/>
      <c r="B209" s="617"/>
      <c r="C209" s="617"/>
      <c r="D209" s="617"/>
      <c r="E209" s="617"/>
      <c r="F209" s="617"/>
      <c r="G209" s="617"/>
      <c r="H209" s="617"/>
      <c r="I209" s="617"/>
      <c r="J209" s="617"/>
      <c r="K209" s="617"/>
      <c r="L209" s="617"/>
      <c r="M209" s="617"/>
      <c r="N209" s="617"/>
      <c r="O209" s="617"/>
      <c r="P209" s="617"/>
      <c r="Q209" s="617"/>
      <c r="R209" s="617"/>
      <c r="S209" s="617"/>
      <c r="T209" s="617"/>
      <c r="U209" s="617"/>
      <c r="V209" s="617"/>
      <c r="W209" s="617"/>
      <c r="X209" s="617"/>
      <c r="Y209" s="617"/>
      <c r="Z209" s="617"/>
      <c r="AA209" s="617"/>
      <c r="AB209" s="617"/>
      <c r="AC209" s="617"/>
      <c r="AD209" s="617"/>
      <c r="AE209" s="617"/>
      <c r="AF209" s="617"/>
      <c r="AG209" s="617"/>
      <c r="AH209" s="617"/>
    </row>
    <row r="210" spans="1:34" ht="15" hidden="1">
      <c r="A210" s="617"/>
      <c r="B210" s="617"/>
      <c r="C210" s="617"/>
      <c r="D210" s="617"/>
      <c r="E210" s="617"/>
      <c r="F210" s="617"/>
      <c r="G210" s="617"/>
      <c r="H210" s="617"/>
      <c r="I210" s="617"/>
      <c r="J210" s="617"/>
      <c r="K210" s="617"/>
      <c r="L210" s="617"/>
      <c r="M210" s="617"/>
      <c r="N210" s="617"/>
      <c r="O210" s="617"/>
      <c r="P210" s="617"/>
      <c r="Q210" s="617"/>
      <c r="R210" s="617"/>
      <c r="S210" s="617"/>
      <c r="T210" s="617"/>
      <c r="U210" s="617"/>
      <c r="V210" s="617"/>
      <c r="W210" s="617"/>
      <c r="X210" s="617"/>
      <c r="Y210" s="617"/>
      <c r="Z210" s="617"/>
      <c r="AA210" s="617"/>
      <c r="AB210" s="617"/>
      <c r="AC210" s="617"/>
      <c r="AD210" s="617"/>
      <c r="AE210" s="617"/>
      <c r="AF210" s="617"/>
      <c r="AG210" s="617"/>
      <c r="AH210" s="617"/>
    </row>
    <row r="211" spans="1:34" ht="15" hidden="1">
      <c r="A211" s="617"/>
      <c r="B211" s="617"/>
      <c r="C211" s="617"/>
      <c r="D211" s="617"/>
      <c r="E211" s="617"/>
      <c r="F211" s="617"/>
      <c r="G211" s="617"/>
      <c r="H211" s="617"/>
      <c r="I211" s="617"/>
      <c r="J211" s="617"/>
      <c r="K211" s="617"/>
      <c r="L211" s="617"/>
      <c r="M211" s="617"/>
      <c r="N211" s="617"/>
      <c r="O211" s="617"/>
      <c r="P211" s="617"/>
      <c r="Q211" s="617"/>
      <c r="R211" s="617"/>
      <c r="S211" s="617"/>
      <c r="T211" s="617"/>
      <c r="U211" s="617"/>
      <c r="V211" s="617"/>
      <c r="W211" s="617"/>
      <c r="X211" s="617"/>
      <c r="Y211" s="617"/>
      <c r="Z211" s="617"/>
      <c r="AA211" s="617"/>
      <c r="AB211" s="617"/>
      <c r="AC211" s="617"/>
      <c r="AD211" s="617"/>
      <c r="AE211" s="617"/>
      <c r="AF211" s="617"/>
      <c r="AG211" s="617"/>
      <c r="AH211" s="617"/>
    </row>
    <row r="212" spans="1:34" ht="15" hidden="1">
      <c r="A212" s="617"/>
      <c r="B212" s="617"/>
      <c r="C212" s="617"/>
      <c r="D212" s="617"/>
      <c r="E212" s="617"/>
      <c r="F212" s="617"/>
      <c r="G212" s="617"/>
      <c r="H212" s="617"/>
      <c r="I212" s="617"/>
      <c r="J212" s="617"/>
      <c r="K212" s="617"/>
      <c r="L212" s="617"/>
      <c r="M212" s="617"/>
      <c r="N212" s="617"/>
      <c r="O212" s="617"/>
      <c r="P212" s="617"/>
      <c r="Q212" s="617"/>
      <c r="R212" s="617"/>
      <c r="S212" s="617"/>
      <c r="T212" s="617"/>
      <c r="U212" s="617"/>
      <c r="V212" s="617"/>
      <c r="W212" s="617"/>
      <c r="X212" s="617"/>
      <c r="Y212" s="617"/>
      <c r="Z212" s="617"/>
      <c r="AA212" s="617"/>
      <c r="AB212" s="617"/>
      <c r="AC212" s="617"/>
      <c r="AD212" s="617"/>
      <c r="AE212" s="617"/>
      <c r="AF212" s="617"/>
      <c r="AG212" s="617"/>
      <c r="AH212" s="617"/>
    </row>
    <row r="213" spans="1:34" ht="15" hidden="1">
      <c r="A213" s="617"/>
      <c r="B213" s="617"/>
      <c r="C213" s="617"/>
      <c r="D213" s="617"/>
      <c r="E213" s="617"/>
      <c r="F213" s="617"/>
      <c r="G213" s="617"/>
      <c r="H213" s="617"/>
      <c r="I213" s="617"/>
      <c r="J213" s="617"/>
      <c r="K213" s="617"/>
      <c r="L213" s="617"/>
      <c r="M213" s="617"/>
      <c r="N213" s="617"/>
      <c r="O213" s="617"/>
      <c r="P213" s="617"/>
      <c r="Q213" s="617"/>
      <c r="R213" s="617"/>
      <c r="S213" s="617"/>
      <c r="T213" s="617"/>
      <c r="U213" s="617"/>
      <c r="V213" s="617"/>
      <c r="W213" s="617"/>
      <c r="X213" s="617"/>
      <c r="Y213" s="617"/>
      <c r="Z213" s="617"/>
      <c r="AA213" s="617"/>
      <c r="AB213" s="617"/>
      <c r="AC213" s="617"/>
      <c r="AD213" s="617"/>
      <c r="AE213" s="617"/>
      <c r="AF213" s="617"/>
      <c r="AG213" s="617"/>
      <c r="AH213" s="617"/>
    </row>
    <row r="214" spans="1:34" ht="15" hidden="1">
      <c r="A214" s="617"/>
      <c r="B214" s="617"/>
      <c r="C214" s="617"/>
      <c r="D214" s="617"/>
      <c r="E214" s="617"/>
      <c r="F214" s="617"/>
      <c r="G214" s="617"/>
      <c r="H214" s="617"/>
      <c r="I214" s="617"/>
      <c r="J214" s="617"/>
      <c r="K214" s="617"/>
      <c r="L214" s="617"/>
      <c r="M214" s="617"/>
      <c r="N214" s="617"/>
      <c r="O214" s="617"/>
      <c r="P214" s="617"/>
      <c r="Q214" s="617"/>
      <c r="R214" s="617"/>
      <c r="S214" s="617"/>
      <c r="T214" s="617"/>
      <c r="U214" s="617"/>
      <c r="V214" s="617"/>
      <c r="W214" s="617"/>
      <c r="X214" s="617"/>
      <c r="Y214" s="617"/>
      <c r="Z214" s="617"/>
      <c r="AA214" s="617"/>
      <c r="AB214" s="617"/>
      <c r="AC214" s="617"/>
      <c r="AD214" s="617"/>
      <c r="AE214" s="617"/>
      <c r="AF214" s="617"/>
      <c r="AG214" s="617"/>
      <c r="AH214" s="617"/>
    </row>
    <row r="215" spans="1:34" ht="15" hidden="1">
      <c r="A215" s="617"/>
      <c r="B215" s="617"/>
      <c r="C215" s="617"/>
      <c r="D215" s="617"/>
      <c r="E215" s="617"/>
      <c r="F215" s="617"/>
      <c r="G215" s="617"/>
      <c r="H215" s="617"/>
      <c r="I215" s="617"/>
      <c r="J215" s="617"/>
      <c r="K215" s="617"/>
      <c r="L215" s="617"/>
      <c r="M215" s="617"/>
      <c r="N215" s="617"/>
      <c r="O215" s="617"/>
      <c r="P215" s="617"/>
      <c r="Q215" s="617"/>
      <c r="R215" s="617"/>
      <c r="S215" s="617"/>
      <c r="T215" s="617"/>
      <c r="U215" s="617"/>
      <c r="V215" s="617"/>
      <c r="W215" s="617"/>
      <c r="X215" s="617"/>
      <c r="Y215" s="617"/>
      <c r="Z215" s="617"/>
      <c r="AA215" s="617"/>
      <c r="AB215" s="617"/>
      <c r="AC215" s="617"/>
      <c r="AD215" s="617"/>
      <c r="AE215" s="617"/>
      <c r="AF215" s="617"/>
      <c r="AG215" s="617"/>
      <c r="AH215" s="617"/>
    </row>
    <row r="216" spans="1:34" ht="15" hidden="1">
      <c r="A216" s="617"/>
      <c r="B216" s="617"/>
      <c r="C216" s="617"/>
      <c r="D216" s="617"/>
      <c r="E216" s="617"/>
      <c r="F216" s="617"/>
      <c r="G216" s="617"/>
      <c r="H216" s="617"/>
      <c r="I216" s="617"/>
      <c r="J216" s="617"/>
      <c r="K216" s="617"/>
      <c r="L216" s="617"/>
      <c r="M216" s="617"/>
      <c r="N216" s="617"/>
      <c r="O216" s="617"/>
      <c r="P216" s="617"/>
      <c r="Q216" s="617"/>
      <c r="R216" s="617"/>
      <c r="S216" s="617"/>
      <c r="T216" s="617"/>
      <c r="U216" s="617"/>
      <c r="V216" s="617"/>
      <c r="W216" s="617"/>
      <c r="X216" s="617"/>
      <c r="Y216" s="617"/>
      <c r="Z216" s="617"/>
      <c r="AA216" s="617"/>
      <c r="AB216" s="617"/>
      <c r="AC216" s="617"/>
      <c r="AD216" s="617"/>
      <c r="AE216" s="617"/>
      <c r="AF216" s="617"/>
      <c r="AG216" s="617"/>
      <c r="AH216" s="617"/>
    </row>
    <row r="217" spans="1:34" ht="15" hidden="1">
      <c r="A217" s="617"/>
      <c r="B217" s="617"/>
      <c r="C217" s="617"/>
      <c r="D217" s="617"/>
      <c r="E217" s="617"/>
      <c r="F217" s="617"/>
      <c r="G217" s="617"/>
      <c r="H217" s="617"/>
      <c r="I217" s="617"/>
      <c r="J217" s="617"/>
      <c r="K217" s="617"/>
      <c r="L217" s="617"/>
      <c r="M217" s="617"/>
      <c r="N217" s="617"/>
      <c r="O217" s="617"/>
      <c r="P217" s="617"/>
      <c r="Q217" s="617"/>
      <c r="R217" s="617"/>
      <c r="S217" s="617"/>
      <c r="T217" s="617"/>
      <c r="U217" s="617"/>
      <c r="V217" s="617"/>
      <c r="W217" s="617"/>
      <c r="X217" s="617"/>
      <c r="Y217" s="617"/>
      <c r="Z217" s="617"/>
      <c r="AA217" s="617"/>
      <c r="AB217" s="617"/>
      <c r="AC217" s="617"/>
      <c r="AD217" s="617"/>
      <c r="AE217" s="617"/>
      <c r="AF217" s="617"/>
      <c r="AG217" s="617"/>
      <c r="AH217" s="617"/>
    </row>
    <row r="218" spans="1:34" ht="15" hidden="1">
      <c r="A218" s="617"/>
      <c r="B218" s="617"/>
      <c r="C218" s="617"/>
      <c r="D218" s="617"/>
      <c r="E218" s="617"/>
      <c r="F218" s="617"/>
      <c r="G218" s="617"/>
      <c r="H218" s="617"/>
      <c r="I218" s="617"/>
      <c r="J218" s="617"/>
      <c r="K218" s="617"/>
      <c r="L218" s="617"/>
      <c r="M218" s="617"/>
      <c r="N218" s="617"/>
      <c r="O218" s="617"/>
      <c r="P218" s="617"/>
      <c r="Q218" s="617"/>
      <c r="R218" s="617"/>
      <c r="S218" s="617"/>
      <c r="T218" s="617"/>
      <c r="U218" s="617"/>
      <c r="V218" s="617"/>
      <c r="W218" s="617"/>
      <c r="X218" s="617"/>
      <c r="Y218" s="617"/>
      <c r="Z218" s="617"/>
      <c r="AA218" s="617"/>
      <c r="AB218" s="617"/>
      <c r="AC218" s="617"/>
      <c r="AD218" s="617"/>
      <c r="AE218" s="617"/>
      <c r="AF218" s="617"/>
      <c r="AG218" s="617"/>
      <c r="AH218" s="617"/>
    </row>
    <row r="219" spans="1:34" ht="15" hidden="1">
      <c r="A219" s="617"/>
      <c r="B219" s="617"/>
      <c r="C219" s="617"/>
      <c r="D219" s="617"/>
      <c r="E219" s="617"/>
      <c r="F219" s="617"/>
      <c r="G219" s="617"/>
      <c r="H219" s="617"/>
      <c r="I219" s="617"/>
      <c r="J219" s="617"/>
      <c r="K219" s="617"/>
      <c r="L219" s="617"/>
      <c r="M219" s="617"/>
      <c r="N219" s="617"/>
      <c r="O219" s="617"/>
      <c r="P219" s="617"/>
      <c r="Q219" s="617"/>
      <c r="R219" s="617"/>
      <c r="S219" s="617"/>
      <c r="T219" s="617"/>
      <c r="U219" s="617"/>
      <c r="V219" s="617"/>
      <c r="W219" s="617"/>
      <c r="X219" s="617"/>
      <c r="Y219" s="617"/>
      <c r="Z219" s="617"/>
      <c r="AA219" s="617"/>
      <c r="AB219" s="617"/>
      <c r="AC219" s="617"/>
      <c r="AD219" s="617"/>
      <c r="AE219" s="617"/>
      <c r="AF219" s="617"/>
      <c r="AG219" s="617"/>
      <c r="AH219" s="617"/>
    </row>
    <row r="220" spans="1:34" ht="15" hidden="1">
      <c r="A220" s="617"/>
      <c r="B220" s="617"/>
      <c r="C220" s="617"/>
      <c r="D220" s="617"/>
      <c r="E220" s="617"/>
      <c r="F220" s="617"/>
      <c r="G220" s="617"/>
      <c r="H220" s="617"/>
      <c r="I220" s="617"/>
      <c r="J220" s="617"/>
      <c r="K220" s="617"/>
      <c r="L220" s="617"/>
      <c r="M220" s="617"/>
      <c r="N220" s="617"/>
      <c r="O220" s="617"/>
      <c r="P220" s="617"/>
      <c r="Q220" s="617"/>
      <c r="R220" s="617"/>
      <c r="S220" s="617"/>
      <c r="T220" s="617"/>
      <c r="U220" s="617"/>
      <c r="V220" s="617"/>
      <c r="W220" s="617"/>
      <c r="X220" s="617"/>
      <c r="Y220" s="617"/>
      <c r="Z220" s="617"/>
      <c r="AA220" s="617"/>
      <c r="AB220" s="617"/>
      <c r="AC220" s="617"/>
      <c r="AD220" s="617"/>
      <c r="AE220" s="617"/>
      <c r="AF220" s="617"/>
      <c r="AG220" s="617"/>
      <c r="AH220" s="617"/>
    </row>
    <row r="221" spans="1:34" ht="15" hidden="1">
      <c r="A221" s="617"/>
      <c r="B221" s="617"/>
      <c r="C221" s="617"/>
      <c r="D221" s="617"/>
      <c r="E221" s="617"/>
      <c r="F221" s="617"/>
      <c r="G221" s="617"/>
      <c r="H221" s="617"/>
      <c r="I221" s="617"/>
      <c r="J221" s="617"/>
      <c r="K221" s="617"/>
      <c r="L221" s="617"/>
      <c r="M221" s="617"/>
      <c r="N221" s="617"/>
      <c r="O221" s="617"/>
      <c r="P221" s="617"/>
      <c r="Q221" s="617"/>
      <c r="R221" s="617"/>
      <c r="S221" s="617"/>
      <c r="T221" s="617"/>
      <c r="U221" s="617"/>
      <c r="V221" s="617"/>
      <c r="W221" s="617"/>
      <c r="X221" s="617"/>
      <c r="Y221" s="617"/>
      <c r="Z221" s="617"/>
      <c r="AA221" s="617"/>
      <c r="AB221" s="617"/>
      <c r="AC221" s="617"/>
      <c r="AD221" s="617"/>
      <c r="AE221" s="617"/>
      <c r="AF221" s="617"/>
      <c r="AG221" s="617"/>
      <c r="AH221" s="617"/>
    </row>
    <row r="222" spans="1:34" ht="15" hidden="1">
      <c r="A222" s="617"/>
      <c r="B222" s="617"/>
      <c r="C222" s="617"/>
      <c r="D222" s="617"/>
      <c r="E222" s="617"/>
      <c r="F222" s="617"/>
      <c r="G222" s="617"/>
      <c r="H222" s="617"/>
      <c r="I222" s="617"/>
      <c r="J222" s="617"/>
      <c r="K222" s="617"/>
      <c r="L222" s="617"/>
      <c r="M222" s="617"/>
      <c r="N222" s="617"/>
      <c r="O222" s="617"/>
      <c r="P222" s="617"/>
      <c r="Q222" s="617"/>
      <c r="R222" s="617"/>
      <c r="S222" s="617"/>
      <c r="T222" s="617"/>
      <c r="U222" s="617"/>
      <c r="V222" s="617"/>
      <c r="W222" s="617"/>
      <c r="X222" s="617"/>
      <c r="Y222" s="617"/>
      <c r="Z222" s="617"/>
      <c r="AA222" s="617"/>
      <c r="AB222" s="617"/>
      <c r="AC222" s="617"/>
      <c r="AD222" s="617"/>
      <c r="AE222" s="617"/>
      <c r="AF222" s="617"/>
      <c r="AG222" s="617"/>
      <c r="AH222" s="617"/>
    </row>
    <row r="223" spans="1:34" ht="15" hidden="1">
      <c r="A223" s="617"/>
      <c r="B223" s="617"/>
      <c r="C223" s="617"/>
      <c r="D223" s="617"/>
      <c r="E223" s="617"/>
      <c r="F223" s="617"/>
      <c r="G223" s="617"/>
      <c r="H223" s="617"/>
      <c r="I223" s="617"/>
      <c r="J223" s="617"/>
      <c r="K223" s="617"/>
      <c r="L223" s="617"/>
      <c r="M223" s="617"/>
      <c r="N223" s="617"/>
      <c r="O223" s="617"/>
      <c r="P223" s="617"/>
      <c r="Q223" s="617"/>
      <c r="R223" s="617"/>
      <c r="S223" s="617"/>
      <c r="T223" s="617"/>
      <c r="U223" s="617"/>
      <c r="V223" s="617"/>
      <c r="W223" s="617"/>
      <c r="X223" s="617"/>
      <c r="Y223" s="617"/>
      <c r="Z223" s="617"/>
      <c r="AA223" s="617"/>
      <c r="AB223" s="617"/>
      <c r="AC223" s="617"/>
      <c r="AD223" s="617"/>
      <c r="AE223" s="617"/>
      <c r="AF223" s="617"/>
      <c r="AG223" s="617"/>
      <c r="AH223" s="617"/>
    </row>
    <row r="224" spans="1:34" ht="15" hidden="1">
      <c r="A224" s="617"/>
      <c r="B224" s="617"/>
      <c r="C224" s="617"/>
      <c r="D224" s="617"/>
      <c r="E224" s="617"/>
      <c r="F224" s="617"/>
      <c r="G224" s="617"/>
      <c r="H224" s="617"/>
      <c r="I224" s="617"/>
      <c r="J224" s="617"/>
      <c r="K224" s="617"/>
      <c r="L224" s="617"/>
      <c r="M224" s="617"/>
      <c r="N224" s="617"/>
      <c r="O224" s="617"/>
      <c r="P224" s="617"/>
      <c r="Q224" s="617"/>
      <c r="R224" s="617"/>
      <c r="S224" s="617"/>
      <c r="T224" s="617"/>
      <c r="U224" s="617"/>
      <c r="V224" s="617"/>
      <c r="W224" s="617"/>
      <c r="X224" s="617"/>
      <c r="Y224" s="617"/>
      <c r="Z224" s="617"/>
      <c r="AA224" s="617"/>
      <c r="AB224" s="617"/>
      <c r="AC224" s="617"/>
      <c r="AD224" s="617"/>
      <c r="AE224" s="617"/>
      <c r="AF224" s="617"/>
      <c r="AG224" s="617"/>
      <c r="AH224" s="617"/>
    </row>
    <row r="225" spans="1:34" ht="15" hidden="1">
      <c r="A225" s="617"/>
      <c r="B225" s="617"/>
      <c r="C225" s="617"/>
      <c r="D225" s="617"/>
      <c r="E225" s="617"/>
      <c r="F225" s="617"/>
      <c r="G225" s="617"/>
      <c r="H225" s="617"/>
      <c r="I225" s="617"/>
      <c r="J225" s="617"/>
      <c r="K225" s="617"/>
      <c r="L225" s="617"/>
      <c r="M225" s="617"/>
      <c r="N225" s="617"/>
      <c r="O225" s="617"/>
      <c r="P225" s="617"/>
      <c r="Q225" s="617"/>
      <c r="R225" s="617"/>
      <c r="S225" s="617"/>
      <c r="T225" s="617"/>
      <c r="U225" s="617"/>
      <c r="V225" s="617"/>
      <c r="W225" s="617"/>
      <c r="X225" s="617"/>
      <c r="Y225" s="617"/>
      <c r="Z225" s="617"/>
      <c r="AA225" s="617"/>
      <c r="AB225" s="617"/>
      <c r="AC225" s="617"/>
      <c r="AD225" s="617"/>
      <c r="AE225" s="617"/>
      <c r="AF225" s="617"/>
      <c r="AG225" s="617"/>
      <c r="AH225" s="617"/>
    </row>
    <row r="226" spans="1:34" ht="15" hidden="1">
      <c r="A226" s="617"/>
      <c r="B226" s="617"/>
      <c r="C226" s="617"/>
      <c r="D226" s="617"/>
      <c r="E226" s="617"/>
      <c r="F226" s="617"/>
      <c r="G226" s="617"/>
      <c r="H226" s="617"/>
      <c r="I226" s="617"/>
      <c r="J226" s="617"/>
      <c r="K226" s="617"/>
      <c r="L226" s="617"/>
      <c r="M226" s="617"/>
      <c r="N226" s="617"/>
      <c r="O226" s="617"/>
      <c r="P226" s="617"/>
      <c r="Q226" s="617"/>
      <c r="R226" s="617"/>
      <c r="S226" s="617"/>
      <c r="T226" s="617"/>
      <c r="U226" s="617"/>
      <c r="V226" s="617"/>
      <c r="W226" s="617"/>
      <c r="X226" s="617"/>
      <c r="Y226" s="617"/>
      <c r="Z226" s="617"/>
      <c r="AA226" s="617"/>
      <c r="AB226" s="617"/>
      <c r="AC226" s="617"/>
      <c r="AD226" s="617"/>
      <c r="AE226" s="617"/>
      <c r="AF226" s="617"/>
      <c r="AG226" s="617"/>
      <c r="AH226" s="617"/>
    </row>
    <row r="227" spans="1:34" ht="15" hidden="1">
      <c r="A227" s="617"/>
      <c r="B227" s="617"/>
      <c r="C227" s="617"/>
      <c r="D227" s="617"/>
      <c r="E227" s="617"/>
      <c r="F227" s="617"/>
      <c r="G227" s="617"/>
      <c r="H227" s="617"/>
      <c r="I227" s="617"/>
      <c r="J227" s="617"/>
      <c r="K227" s="617"/>
      <c r="L227" s="617"/>
      <c r="M227" s="617"/>
      <c r="N227" s="617"/>
      <c r="O227" s="617"/>
      <c r="P227" s="617"/>
      <c r="Q227" s="617"/>
      <c r="R227" s="617"/>
      <c r="S227" s="617"/>
      <c r="T227" s="617"/>
      <c r="U227" s="617"/>
      <c r="V227" s="617"/>
      <c r="W227" s="617"/>
      <c r="X227" s="617"/>
      <c r="Y227" s="617"/>
      <c r="Z227" s="617"/>
      <c r="AA227" s="617"/>
      <c r="AB227" s="617"/>
      <c r="AC227" s="617"/>
      <c r="AD227" s="617"/>
      <c r="AE227" s="617"/>
      <c r="AF227" s="617"/>
      <c r="AG227" s="617"/>
      <c r="AH227" s="617"/>
    </row>
    <row r="228" spans="1:34" ht="15" hidden="1">
      <c r="A228" s="617"/>
      <c r="B228" s="617"/>
      <c r="C228" s="617"/>
      <c r="D228" s="617"/>
      <c r="E228" s="617"/>
      <c r="F228" s="617"/>
      <c r="G228" s="617"/>
      <c r="H228" s="617"/>
      <c r="I228" s="617"/>
      <c r="J228" s="617"/>
      <c r="K228" s="617"/>
      <c r="L228" s="617"/>
      <c r="M228" s="617"/>
      <c r="N228" s="617"/>
      <c r="O228" s="617"/>
      <c r="P228" s="617"/>
      <c r="Q228" s="617"/>
      <c r="R228" s="617"/>
      <c r="S228" s="617"/>
      <c r="T228" s="617"/>
      <c r="U228" s="617"/>
      <c r="V228" s="617"/>
      <c r="W228" s="617"/>
      <c r="X228" s="617"/>
      <c r="Y228" s="617"/>
      <c r="Z228" s="617"/>
      <c r="AA228" s="617"/>
      <c r="AB228" s="617"/>
      <c r="AC228" s="617"/>
      <c r="AD228" s="617"/>
      <c r="AE228" s="617"/>
      <c r="AF228" s="617"/>
      <c r="AG228" s="617"/>
      <c r="AH228" s="617"/>
    </row>
    <row r="229" spans="1:34" ht="15" hidden="1">
      <c r="A229" s="617"/>
      <c r="B229" s="617"/>
      <c r="C229" s="617"/>
      <c r="D229" s="617"/>
      <c r="E229" s="617"/>
      <c r="F229" s="617"/>
      <c r="G229" s="617"/>
      <c r="H229" s="617"/>
      <c r="I229" s="617"/>
      <c r="J229" s="617"/>
      <c r="K229" s="617"/>
      <c r="L229" s="617"/>
      <c r="M229" s="617"/>
      <c r="N229" s="617"/>
      <c r="O229" s="617"/>
      <c r="P229" s="617"/>
      <c r="Q229" s="617"/>
      <c r="R229" s="617"/>
      <c r="S229" s="617"/>
      <c r="T229" s="617"/>
      <c r="U229" s="617"/>
      <c r="V229" s="617"/>
      <c r="W229" s="617"/>
      <c r="X229" s="617"/>
      <c r="Y229" s="617"/>
      <c r="Z229" s="617"/>
      <c r="AA229" s="617"/>
      <c r="AB229" s="617"/>
      <c r="AC229" s="617"/>
      <c r="AD229" s="617"/>
      <c r="AE229" s="617"/>
      <c r="AF229" s="617"/>
      <c r="AG229" s="617"/>
      <c r="AH229" s="617"/>
    </row>
    <row r="230" spans="1:34" ht="15" hidden="1">
      <c r="A230" s="617"/>
      <c r="B230" s="617"/>
      <c r="C230" s="617"/>
      <c r="D230" s="617"/>
      <c r="E230" s="617"/>
      <c r="F230" s="617"/>
      <c r="G230" s="617"/>
      <c r="H230" s="617"/>
      <c r="I230" s="617"/>
      <c r="J230" s="617"/>
      <c r="K230" s="617"/>
      <c r="L230" s="617"/>
      <c r="M230" s="617"/>
      <c r="N230" s="617"/>
      <c r="O230" s="617"/>
      <c r="P230" s="617"/>
      <c r="Q230" s="617"/>
      <c r="R230" s="617"/>
      <c r="S230" s="617"/>
      <c r="T230" s="617"/>
      <c r="U230" s="617"/>
      <c r="V230" s="617"/>
      <c r="W230" s="617"/>
      <c r="X230" s="617"/>
      <c r="Y230" s="617"/>
      <c r="Z230" s="617"/>
      <c r="AA230" s="617"/>
      <c r="AB230" s="617"/>
      <c r="AC230" s="617"/>
      <c r="AD230" s="617"/>
      <c r="AE230" s="617"/>
      <c r="AF230" s="617"/>
      <c r="AG230" s="617"/>
      <c r="AH230" s="617"/>
    </row>
    <row r="231" spans="1:34" ht="15" hidden="1">
      <c r="A231" s="617"/>
      <c r="B231" s="617"/>
      <c r="C231" s="617"/>
      <c r="D231" s="617"/>
      <c r="E231" s="617"/>
      <c r="F231" s="617"/>
      <c r="G231" s="617"/>
      <c r="H231" s="617"/>
      <c r="I231" s="617"/>
      <c r="J231" s="617"/>
      <c r="K231" s="617"/>
      <c r="L231" s="617"/>
      <c r="M231" s="617"/>
      <c r="N231" s="617"/>
      <c r="O231" s="617"/>
      <c r="P231" s="617"/>
      <c r="Q231" s="617"/>
      <c r="R231" s="617"/>
      <c r="S231" s="617"/>
      <c r="T231" s="617"/>
      <c r="U231" s="617"/>
      <c r="V231" s="617"/>
      <c r="W231" s="617"/>
      <c r="X231" s="617"/>
      <c r="Y231" s="617"/>
      <c r="Z231" s="617"/>
      <c r="AA231" s="617"/>
      <c r="AB231" s="617"/>
      <c r="AC231" s="617"/>
      <c r="AD231" s="617"/>
      <c r="AE231" s="617"/>
      <c r="AF231" s="617"/>
      <c r="AG231" s="617"/>
      <c r="AH231" s="617"/>
    </row>
    <row r="232" spans="1:34" ht="15" hidden="1">
      <c r="A232" s="617"/>
      <c r="B232" s="617"/>
      <c r="C232" s="617"/>
      <c r="D232" s="617"/>
      <c r="E232" s="617"/>
      <c r="F232" s="617"/>
      <c r="G232" s="617"/>
      <c r="H232" s="617"/>
      <c r="I232" s="617"/>
      <c r="J232" s="617"/>
      <c r="K232" s="617"/>
      <c r="L232" s="617"/>
      <c r="M232" s="617"/>
      <c r="N232" s="617"/>
      <c r="O232" s="617"/>
      <c r="P232" s="617"/>
      <c r="Q232" s="617"/>
      <c r="R232" s="617"/>
      <c r="S232" s="617"/>
      <c r="T232" s="617"/>
      <c r="U232" s="617"/>
      <c r="V232" s="617"/>
      <c r="W232" s="617"/>
      <c r="X232" s="617"/>
      <c r="Y232" s="617"/>
      <c r="Z232" s="617"/>
      <c r="AA232" s="617"/>
      <c r="AB232" s="617"/>
      <c r="AC232" s="617"/>
      <c r="AD232" s="617"/>
      <c r="AE232" s="617"/>
      <c r="AF232" s="617"/>
      <c r="AG232" s="617"/>
      <c r="AH232" s="617"/>
    </row>
    <row r="233" spans="1:34" ht="15" hidden="1">
      <c r="A233" s="617"/>
      <c r="B233" s="617"/>
      <c r="C233" s="617"/>
      <c r="D233" s="617"/>
      <c r="E233" s="617"/>
      <c r="F233" s="617"/>
      <c r="G233" s="617"/>
      <c r="H233" s="617"/>
      <c r="I233" s="617"/>
      <c r="J233" s="617"/>
      <c r="K233" s="617"/>
      <c r="L233" s="617"/>
      <c r="M233" s="617"/>
      <c r="N233" s="617"/>
      <c r="O233" s="617"/>
      <c r="P233" s="617"/>
      <c r="Q233" s="617"/>
      <c r="R233" s="617"/>
      <c r="S233" s="617"/>
      <c r="T233" s="617"/>
      <c r="U233" s="617"/>
      <c r="V233" s="617"/>
      <c r="W233" s="617"/>
      <c r="X233" s="617"/>
      <c r="Y233" s="617"/>
      <c r="Z233" s="617"/>
      <c r="AA233" s="617"/>
      <c r="AB233" s="617"/>
      <c r="AC233" s="617"/>
      <c r="AD233" s="617"/>
      <c r="AE233" s="617"/>
      <c r="AF233" s="617"/>
      <c r="AG233" s="617"/>
      <c r="AH233" s="617"/>
    </row>
    <row r="234" spans="1:34" ht="15" hidden="1">
      <c r="A234" s="617"/>
      <c r="B234" s="617"/>
      <c r="C234" s="617"/>
      <c r="D234" s="617"/>
      <c r="E234" s="617"/>
      <c r="F234" s="617"/>
      <c r="G234" s="617"/>
      <c r="H234" s="617"/>
      <c r="I234" s="617"/>
      <c r="J234" s="617"/>
      <c r="K234" s="617"/>
      <c r="L234" s="617"/>
      <c r="M234" s="617"/>
      <c r="N234" s="617"/>
      <c r="O234" s="617"/>
      <c r="P234" s="617"/>
      <c r="Q234" s="617"/>
      <c r="R234" s="617"/>
      <c r="S234" s="617"/>
      <c r="T234" s="617"/>
      <c r="U234" s="617"/>
      <c r="V234" s="617"/>
      <c r="W234" s="617"/>
      <c r="X234" s="617"/>
      <c r="Y234" s="617"/>
      <c r="Z234" s="617"/>
      <c r="AA234" s="617"/>
      <c r="AB234" s="617"/>
      <c r="AC234" s="617"/>
      <c r="AD234" s="617"/>
      <c r="AE234" s="617"/>
      <c r="AF234" s="617"/>
      <c r="AG234" s="617"/>
      <c r="AH234" s="617"/>
    </row>
    <row r="235" spans="1:34" ht="15" hidden="1">
      <c r="A235" s="617"/>
      <c r="B235" s="617"/>
      <c r="C235" s="617"/>
      <c r="D235" s="617"/>
      <c r="E235" s="617"/>
      <c r="F235" s="617"/>
      <c r="G235" s="617"/>
      <c r="H235" s="617"/>
      <c r="I235" s="617"/>
      <c r="J235" s="617"/>
      <c r="K235" s="617"/>
      <c r="L235" s="617"/>
      <c r="M235" s="617"/>
      <c r="N235" s="617"/>
      <c r="O235" s="617"/>
      <c r="P235" s="617"/>
      <c r="Q235" s="617"/>
      <c r="R235" s="617"/>
      <c r="S235" s="617"/>
      <c r="T235" s="617"/>
      <c r="U235" s="617"/>
      <c r="V235" s="617"/>
      <c r="W235" s="617"/>
      <c r="X235" s="617"/>
      <c r="Y235" s="617"/>
      <c r="Z235" s="617"/>
      <c r="AA235" s="617"/>
      <c r="AB235" s="617"/>
      <c r="AC235" s="617"/>
      <c r="AD235" s="617"/>
      <c r="AE235" s="617"/>
      <c r="AF235" s="617"/>
      <c r="AG235" s="617"/>
      <c r="AH235" s="617"/>
    </row>
    <row r="236" spans="1:34" ht="15" hidden="1">
      <c r="A236" s="617"/>
      <c r="B236" s="617"/>
      <c r="C236" s="617"/>
      <c r="D236" s="617"/>
      <c r="E236" s="617"/>
      <c r="F236" s="617"/>
      <c r="G236" s="617"/>
      <c r="H236" s="617"/>
      <c r="I236" s="617"/>
      <c r="J236" s="617"/>
      <c r="K236" s="617"/>
      <c r="L236" s="617"/>
      <c r="M236" s="617"/>
      <c r="N236" s="617"/>
      <c r="O236" s="617"/>
      <c r="P236" s="617"/>
      <c r="Q236" s="617"/>
      <c r="R236" s="617"/>
      <c r="S236" s="617"/>
      <c r="T236" s="617"/>
      <c r="U236" s="617"/>
      <c r="V236" s="617"/>
      <c r="W236" s="617"/>
      <c r="X236" s="617"/>
      <c r="Y236" s="617"/>
      <c r="Z236" s="617"/>
      <c r="AA236" s="617"/>
      <c r="AB236" s="617"/>
      <c r="AC236" s="617"/>
      <c r="AD236" s="617"/>
      <c r="AE236" s="617"/>
      <c r="AF236" s="617"/>
      <c r="AG236" s="617"/>
      <c r="AH236" s="617"/>
    </row>
    <row r="237" spans="1:34" ht="15" hidden="1">
      <c r="A237" s="617"/>
      <c r="B237" s="617"/>
      <c r="C237" s="617"/>
      <c r="D237" s="617"/>
      <c r="E237" s="617"/>
      <c r="F237" s="617"/>
      <c r="G237" s="617"/>
      <c r="H237" s="617"/>
      <c r="I237" s="617"/>
      <c r="J237" s="617"/>
      <c r="K237" s="617"/>
      <c r="L237" s="617"/>
      <c r="M237" s="617"/>
      <c r="N237" s="617"/>
      <c r="O237" s="617"/>
      <c r="P237" s="617"/>
      <c r="Q237" s="617"/>
      <c r="R237" s="617"/>
      <c r="S237" s="617"/>
      <c r="T237" s="617"/>
      <c r="U237" s="617"/>
      <c r="V237" s="617"/>
      <c r="W237" s="617"/>
      <c r="X237" s="617"/>
      <c r="Y237" s="617"/>
      <c r="Z237" s="617"/>
      <c r="AA237" s="617"/>
      <c r="AB237" s="617"/>
      <c r="AC237" s="617"/>
      <c r="AD237" s="617"/>
      <c r="AE237" s="617"/>
      <c r="AF237" s="617"/>
      <c r="AG237" s="617"/>
      <c r="AH237" s="617"/>
    </row>
    <row r="238" spans="1:34" ht="15" hidden="1">
      <c r="A238" s="617"/>
      <c r="B238" s="617"/>
      <c r="C238" s="617"/>
      <c r="D238" s="617"/>
      <c r="E238" s="617"/>
      <c r="F238" s="617"/>
      <c r="G238" s="617"/>
      <c r="H238" s="617"/>
      <c r="I238" s="617"/>
      <c r="J238" s="617"/>
      <c r="K238" s="617"/>
      <c r="L238" s="617"/>
      <c r="M238" s="617"/>
      <c r="N238" s="617"/>
      <c r="O238" s="617"/>
      <c r="P238" s="617"/>
      <c r="Q238" s="617"/>
      <c r="R238" s="617"/>
      <c r="S238" s="617"/>
      <c r="T238" s="617"/>
      <c r="U238" s="617"/>
      <c r="V238" s="617"/>
      <c r="W238" s="617"/>
      <c r="X238" s="617"/>
      <c r="Y238" s="617"/>
      <c r="Z238" s="617"/>
      <c r="AA238" s="617"/>
      <c r="AB238" s="617"/>
      <c r="AC238" s="617"/>
      <c r="AD238" s="617"/>
      <c r="AE238" s="617"/>
      <c r="AF238" s="617"/>
      <c r="AG238" s="617"/>
      <c r="AH238" s="617"/>
    </row>
    <row r="239" spans="1:34" ht="15" hidden="1">
      <c r="A239" s="617"/>
      <c r="B239" s="617"/>
      <c r="C239" s="617"/>
      <c r="D239" s="617"/>
      <c r="E239" s="617"/>
      <c r="F239" s="617"/>
      <c r="G239" s="617"/>
      <c r="H239" s="617"/>
      <c r="I239" s="617"/>
      <c r="J239" s="617"/>
      <c r="K239" s="617"/>
      <c r="L239" s="617"/>
      <c r="M239" s="617"/>
      <c r="N239" s="617"/>
      <c r="O239" s="617"/>
      <c r="P239" s="617"/>
      <c r="Q239" s="617"/>
      <c r="R239" s="617"/>
      <c r="S239" s="617"/>
      <c r="T239" s="617"/>
      <c r="U239" s="617"/>
      <c r="V239" s="617"/>
      <c r="W239" s="617"/>
      <c r="X239" s="617"/>
      <c r="Y239" s="617"/>
      <c r="Z239" s="617"/>
      <c r="AA239" s="617"/>
      <c r="AB239" s="617"/>
      <c r="AC239" s="617"/>
      <c r="AD239" s="617"/>
      <c r="AE239" s="617"/>
      <c r="AF239" s="617"/>
      <c r="AG239" s="617"/>
      <c r="AH239" s="617"/>
    </row>
    <row r="240" spans="1:34" ht="15" hidden="1">
      <c r="A240" s="617"/>
      <c r="B240" s="617"/>
      <c r="C240" s="617"/>
      <c r="D240" s="617"/>
      <c r="E240" s="617"/>
      <c r="F240" s="617"/>
      <c r="G240" s="617"/>
      <c r="H240" s="617"/>
      <c r="I240" s="617"/>
      <c r="J240" s="617"/>
      <c r="K240" s="617"/>
      <c r="L240" s="617"/>
      <c r="M240" s="617"/>
      <c r="N240" s="617"/>
      <c r="O240" s="617"/>
      <c r="P240" s="617"/>
      <c r="Q240" s="617"/>
      <c r="R240" s="617"/>
      <c r="S240" s="617"/>
      <c r="T240" s="617"/>
      <c r="U240" s="617"/>
      <c r="V240" s="617"/>
      <c r="W240" s="617"/>
      <c r="X240" s="617"/>
      <c r="Y240" s="617"/>
      <c r="Z240" s="617"/>
      <c r="AA240" s="617"/>
      <c r="AB240" s="617"/>
      <c r="AC240" s="617"/>
      <c r="AD240" s="617"/>
      <c r="AE240" s="617"/>
      <c r="AF240" s="617"/>
      <c r="AG240" s="617"/>
      <c r="AH240" s="617"/>
    </row>
    <row r="241" spans="1:34" ht="15" hidden="1">
      <c r="A241" s="617"/>
      <c r="B241" s="617"/>
      <c r="C241" s="617"/>
      <c r="D241" s="617"/>
      <c r="E241" s="617"/>
      <c r="F241" s="617"/>
      <c r="G241" s="617"/>
      <c r="H241" s="617"/>
      <c r="I241" s="617"/>
      <c r="J241" s="617"/>
      <c r="K241" s="617"/>
      <c r="L241" s="617"/>
      <c r="M241" s="617"/>
      <c r="N241" s="617"/>
      <c r="O241" s="617"/>
      <c r="P241" s="617"/>
      <c r="Q241" s="617"/>
      <c r="R241" s="617"/>
      <c r="S241" s="617"/>
      <c r="T241" s="617"/>
      <c r="U241" s="617"/>
      <c r="V241" s="617"/>
      <c r="W241" s="617"/>
      <c r="X241" s="617"/>
      <c r="Y241" s="617"/>
      <c r="Z241" s="617"/>
      <c r="AA241" s="617"/>
      <c r="AB241" s="617"/>
      <c r="AC241" s="617"/>
      <c r="AD241" s="617"/>
      <c r="AE241" s="617"/>
      <c r="AF241" s="617"/>
      <c r="AG241" s="617"/>
      <c r="AH241" s="617"/>
    </row>
    <row r="242" spans="1:34" ht="15" hidden="1">
      <c r="A242" s="617"/>
      <c r="B242" s="617"/>
      <c r="C242" s="617"/>
      <c r="D242" s="617"/>
      <c r="E242" s="617"/>
      <c r="F242" s="617"/>
      <c r="G242" s="617"/>
      <c r="H242" s="617"/>
      <c r="I242" s="617"/>
      <c r="J242" s="617"/>
      <c r="K242" s="617"/>
      <c r="L242" s="617"/>
      <c r="M242" s="617"/>
      <c r="N242" s="617"/>
      <c r="O242" s="617"/>
      <c r="P242" s="617"/>
      <c r="Q242" s="617"/>
      <c r="R242" s="617"/>
      <c r="S242" s="617"/>
      <c r="T242" s="617"/>
      <c r="U242" s="617"/>
      <c r="V242" s="617"/>
      <c r="W242" s="617"/>
      <c r="X242" s="617"/>
      <c r="Y242" s="617"/>
      <c r="Z242" s="617"/>
      <c r="AA242" s="617"/>
      <c r="AB242" s="617"/>
      <c r="AC242" s="617"/>
      <c r="AD242" s="617"/>
      <c r="AE242" s="617"/>
      <c r="AF242" s="617"/>
      <c r="AG242" s="617"/>
      <c r="AH242" s="617"/>
    </row>
    <row r="243" spans="1:34" ht="15" hidden="1">
      <c r="A243" s="617"/>
      <c r="B243" s="617"/>
      <c r="C243" s="617"/>
      <c r="D243" s="617"/>
      <c r="E243" s="617"/>
      <c r="F243" s="617"/>
      <c r="G243" s="617"/>
      <c r="H243" s="617"/>
      <c r="I243" s="617"/>
      <c r="J243" s="617"/>
      <c r="K243" s="617"/>
      <c r="L243" s="617"/>
      <c r="M243" s="617"/>
      <c r="N243" s="617"/>
      <c r="O243" s="617"/>
      <c r="P243" s="617"/>
      <c r="Q243" s="617"/>
      <c r="R243" s="617"/>
      <c r="S243" s="617"/>
      <c r="T243" s="617"/>
      <c r="U243" s="617"/>
      <c r="V243" s="617"/>
      <c r="W243" s="617"/>
      <c r="X243" s="617"/>
      <c r="Y243" s="617"/>
      <c r="Z243" s="617"/>
      <c r="AA243" s="617"/>
      <c r="AB243" s="617"/>
      <c r="AC243" s="617"/>
      <c r="AD243" s="617"/>
      <c r="AE243" s="617"/>
      <c r="AF243" s="617"/>
      <c r="AG243" s="617"/>
      <c r="AH243" s="617"/>
    </row>
    <row r="244" spans="1:34" ht="15" hidden="1">
      <c r="A244" s="617"/>
      <c r="B244" s="617"/>
      <c r="C244" s="617"/>
      <c r="D244" s="617"/>
      <c r="E244" s="617"/>
      <c r="F244" s="617"/>
      <c r="G244" s="617"/>
      <c r="H244" s="617"/>
      <c r="I244" s="617"/>
      <c r="J244" s="617"/>
      <c r="K244" s="617"/>
      <c r="L244" s="617"/>
      <c r="M244" s="617"/>
      <c r="N244" s="617"/>
      <c r="O244" s="617"/>
      <c r="P244" s="617"/>
      <c r="Q244" s="617"/>
      <c r="R244" s="617"/>
      <c r="S244" s="617"/>
      <c r="T244" s="617"/>
      <c r="U244" s="617"/>
      <c r="V244" s="617"/>
      <c r="W244" s="617"/>
      <c r="X244" s="617"/>
      <c r="Y244" s="617"/>
      <c r="Z244" s="617"/>
      <c r="AA244" s="617"/>
      <c r="AB244" s="617"/>
      <c r="AC244" s="617"/>
      <c r="AD244" s="617"/>
      <c r="AE244" s="617"/>
      <c r="AF244" s="617"/>
      <c r="AG244" s="617"/>
      <c r="AH244" s="617"/>
    </row>
    <row r="245" spans="1:34" ht="15" hidden="1">
      <c r="A245" s="617"/>
      <c r="B245" s="617"/>
      <c r="C245" s="617"/>
      <c r="D245" s="617"/>
      <c r="E245" s="617"/>
      <c r="F245" s="617"/>
      <c r="G245" s="617"/>
      <c r="H245" s="617"/>
      <c r="I245" s="617"/>
      <c r="J245" s="617"/>
      <c r="K245" s="617"/>
      <c r="L245" s="617"/>
      <c r="M245" s="617"/>
      <c r="N245" s="617"/>
      <c r="O245" s="617"/>
      <c r="P245" s="617"/>
      <c r="Q245" s="617"/>
      <c r="R245" s="617"/>
      <c r="S245" s="617"/>
      <c r="T245" s="617"/>
      <c r="U245" s="617"/>
      <c r="V245" s="617"/>
      <c r="W245" s="617"/>
      <c r="X245" s="617"/>
      <c r="Y245" s="617"/>
      <c r="Z245" s="617"/>
      <c r="AA245" s="617"/>
      <c r="AB245" s="617"/>
      <c r="AC245" s="617"/>
      <c r="AD245" s="617"/>
      <c r="AE245" s="617"/>
      <c r="AF245" s="617"/>
      <c r="AG245" s="617"/>
      <c r="AH245" s="617"/>
    </row>
    <row r="246" spans="1:34" ht="15" hidden="1">
      <c r="A246" s="617"/>
      <c r="B246" s="617"/>
      <c r="C246" s="617"/>
      <c r="D246" s="617"/>
      <c r="E246" s="617"/>
      <c r="F246" s="617"/>
      <c r="G246" s="617"/>
      <c r="H246" s="617"/>
      <c r="I246" s="617"/>
      <c r="J246" s="617"/>
      <c r="K246" s="617"/>
      <c r="L246" s="617"/>
      <c r="M246" s="617"/>
      <c r="N246" s="617"/>
      <c r="O246" s="617"/>
      <c r="P246" s="617"/>
      <c r="Q246" s="617"/>
      <c r="R246" s="617"/>
      <c r="S246" s="617"/>
      <c r="T246" s="617"/>
      <c r="U246" s="617"/>
      <c r="V246" s="617"/>
      <c r="W246" s="617"/>
      <c r="X246" s="617"/>
      <c r="Y246" s="617"/>
      <c r="Z246" s="617"/>
      <c r="AA246" s="617"/>
      <c r="AB246" s="617"/>
      <c r="AC246" s="617"/>
      <c r="AD246" s="617"/>
      <c r="AE246" s="617"/>
      <c r="AF246" s="617"/>
      <c r="AG246" s="617"/>
      <c r="AH246" s="617"/>
    </row>
    <row r="247" spans="1:34" ht="15" hidden="1">
      <c r="A247" s="617"/>
      <c r="B247" s="617"/>
      <c r="C247" s="617"/>
      <c r="D247" s="617"/>
      <c r="E247" s="617"/>
      <c r="F247" s="617"/>
      <c r="G247" s="617"/>
      <c r="H247" s="617"/>
      <c r="I247" s="617"/>
      <c r="J247" s="617"/>
      <c r="K247" s="617"/>
      <c r="L247" s="617"/>
      <c r="M247" s="617"/>
      <c r="N247" s="617"/>
      <c r="O247" s="617"/>
      <c r="P247" s="617"/>
      <c r="Q247" s="617"/>
      <c r="R247" s="617"/>
      <c r="S247" s="617"/>
      <c r="T247" s="617"/>
      <c r="U247" s="617"/>
      <c r="V247" s="617"/>
      <c r="W247" s="617"/>
      <c r="X247" s="617"/>
      <c r="Y247" s="617"/>
      <c r="Z247" s="617"/>
      <c r="AA247" s="617"/>
      <c r="AB247" s="617"/>
      <c r="AC247" s="617"/>
      <c r="AD247" s="617"/>
      <c r="AE247" s="617"/>
      <c r="AF247" s="617"/>
      <c r="AG247" s="617"/>
      <c r="AH247" s="617"/>
    </row>
    <row r="248" spans="1:34" ht="15" hidden="1">
      <c r="A248" s="617"/>
      <c r="B248" s="617"/>
      <c r="C248" s="617"/>
      <c r="D248" s="617"/>
      <c r="E248" s="617"/>
      <c r="F248" s="617"/>
      <c r="G248" s="617"/>
      <c r="H248" s="617"/>
      <c r="I248" s="617"/>
      <c r="J248" s="617"/>
      <c r="K248" s="617"/>
      <c r="L248" s="617"/>
      <c r="M248" s="617"/>
      <c r="N248" s="617"/>
      <c r="O248" s="617"/>
      <c r="P248" s="617"/>
      <c r="Q248" s="617"/>
      <c r="R248" s="617"/>
      <c r="S248" s="617"/>
      <c r="T248" s="617"/>
      <c r="U248" s="617"/>
      <c r="V248" s="617"/>
      <c r="W248" s="617"/>
      <c r="X248" s="617"/>
      <c r="Y248" s="617"/>
      <c r="Z248" s="617"/>
      <c r="AA248" s="617"/>
      <c r="AB248" s="617"/>
      <c r="AC248" s="617"/>
      <c r="AD248" s="617"/>
      <c r="AE248" s="617"/>
      <c r="AF248" s="617"/>
      <c r="AG248" s="617"/>
      <c r="AH248" s="617"/>
    </row>
    <row r="249" spans="1:34" ht="15" hidden="1">
      <c r="A249" s="617"/>
      <c r="B249" s="617"/>
      <c r="C249" s="617"/>
      <c r="D249" s="617"/>
      <c r="E249" s="617"/>
      <c r="F249" s="617"/>
      <c r="G249" s="617"/>
      <c r="H249" s="617"/>
      <c r="I249" s="617"/>
      <c r="J249" s="617"/>
      <c r="K249" s="617"/>
      <c r="L249" s="617"/>
      <c r="M249" s="617"/>
      <c r="N249" s="617"/>
      <c r="O249" s="617"/>
      <c r="P249" s="617"/>
      <c r="Q249" s="617"/>
      <c r="R249" s="617"/>
      <c r="S249" s="617"/>
      <c r="T249" s="617"/>
      <c r="U249" s="617"/>
      <c r="V249" s="617"/>
      <c r="W249" s="617"/>
      <c r="X249" s="617"/>
      <c r="Y249" s="617"/>
      <c r="Z249" s="617"/>
      <c r="AA249" s="617"/>
      <c r="AB249" s="617"/>
      <c r="AC249" s="617"/>
      <c r="AD249" s="617"/>
      <c r="AE249" s="617"/>
      <c r="AF249" s="617"/>
      <c r="AG249" s="617"/>
      <c r="AH249" s="617"/>
    </row>
    <row r="250" spans="1:34" ht="15" hidden="1">
      <c r="A250" s="617"/>
      <c r="B250" s="617"/>
      <c r="C250" s="617"/>
      <c r="D250" s="617"/>
      <c r="E250" s="617"/>
      <c r="F250" s="617"/>
      <c r="G250" s="617"/>
      <c r="H250" s="617"/>
      <c r="I250" s="617"/>
      <c r="J250" s="617"/>
      <c r="K250" s="617"/>
      <c r="L250" s="617"/>
      <c r="M250" s="617"/>
      <c r="N250" s="617"/>
      <c r="O250" s="617"/>
      <c r="P250" s="617"/>
      <c r="Q250" s="617"/>
      <c r="R250" s="617"/>
      <c r="S250" s="617"/>
      <c r="T250" s="617"/>
      <c r="U250" s="617"/>
      <c r="V250" s="617"/>
      <c r="W250" s="617"/>
      <c r="X250" s="617"/>
      <c r="Y250" s="617"/>
      <c r="Z250" s="617"/>
      <c r="AA250" s="617"/>
      <c r="AB250" s="617"/>
      <c r="AC250" s="617"/>
      <c r="AD250" s="617"/>
      <c r="AE250" s="617"/>
      <c r="AF250" s="617"/>
      <c r="AG250" s="617"/>
      <c r="AH250" s="617"/>
    </row>
    <row r="251" spans="1:34" ht="15" hidden="1">
      <c r="A251" s="617"/>
      <c r="B251" s="617"/>
      <c r="C251" s="617"/>
      <c r="D251" s="617"/>
      <c r="E251" s="617"/>
      <c r="F251" s="617"/>
      <c r="G251" s="617"/>
      <c r="H251" s="617"/>
      <c r="I251" s="617"/>
      <c r="J251" s="617"/>
      <c r="K251" s="617"/>
      <c r="L251" s="617"/>
      <c r="M251" s="617"/>
      <c r="N251" s="617"/>
      <c r="O251" s="617"/>
      <c r="P251" s="617"/>
      <c r="Q251" s="617"/>
      <c r="R251" s="617"/>
      <c r="S251" s="617"/>
      <c r="T251" s="617"/>
      <c r="U251" s="617"/>
      <c r="V251" s="617"/>
      <c r="W251" s="617"/>
      <c r="X251" s="617"/>
      <c r="Y251" s="617"/>
      <c r="Z251" s="617"/>
      <c r="AA251" s="617"/>
      <c r="AB251" s="617"/>
      <c r="AC251" s="617"/>
      <c r="AD251" s="617"/>
      <c r="AE251" s="617"/>
      <c r="AF251" s="617"/>
      <c r="AG251" s="617"/>
      <c r="AH251" s="617"/>
    </row>
    <row r="252" spans="1:34" ht="15" hidden="1">
      <c r="A252" s="617"/>
      <c r="B252" s="617"/>
      <c r="C252" s="617"/>
      <c r="D252" s="617"/>
      <c r="E252" s="617"/>
      <c r="F252" s="617"/>
      <c r="G252" s="617"/>
      <c r="H252" s="617"/>
      <c r="I252" s="617"/>
      <c r="J252" s="617"/>
      <c r="K252" s="617"/>
      <c r="L252" s="617"/>
      <c r="M252" s="617"/>
      <c r="N252" s="617"/>
      <c r="O252" s="617"/>
      <c r="P252" s="617"/>
      <c r="Q252" s="617"/>
      <c r="R252" s="617"/>
      <c r="S252" s="617"/>
      <c r="T252" s="617"/>
      <c r="U252" s="617"/>
      <c r="V252" s="617"/>
      <c r="W252" s="617"/>
      <c r="X252" s="617"/>
      <c r="Y252" s="617"/>
      <c r="Z252" s="617"/>
      <c r="AA252" s="617"/>
      <c r="AB252" s="617"/>
      <c r="AC252" s="617"/>
      <c r="AD252" s="617"/>
      <c r="AE252" s="617"/>
      <c r="AF252" s="617"/>
      <c r="AG252" s="617"/>
      <c r="AH252" s="617"/>
    </row>
    <row r="253" spans="1:34" ht="15" hidden="1">
      <c r="A253" s="617"/>
      <c r="B253" s="617"/>
      <c r="C253" s="617"/>
      <c r="D253" s="617"/>
      <c r="E253" s="617"/>
      <c r="F253" s="617"/>
      <c r="G253" s="617"/>
      <c r="H253" s="617"/>
      <c r="I253" s="617"/>
      <c r="J253" s="617"/>
      <c r="K253" s="617"/>
      <c r="L253" s="617"/>
      <c r="M253" s="617"/>
      <c r="N253" s="617"/>
      <c r="O253" s="617"/>
      <c r="P253" s="617"/>
      <c r="Q253" s="617"/>
      <c r="R253" s="617"/>
      <c r="S253" s="617"/>
      <c r="T253" s="617"/>
      <c r="U253" s="617"/>
      <c r="V253" s="617"/>
      <c r="W253" s="617"/>
      <c r="X253" s="617"/>
      <c r="Y253" s="617"/>
      <c r="Z253" s="617"/>
      <c r="AA253" s="617"/>
      <c r="AB253" s="617"/>
      <c r="AC253" s="617"/>
      <c r="AD253" s="617"/>
      <c r="AE253" s="617"/>
      <c r="AF253" s="617"/>
      <c r="AG253" s="617"/>
      <c r="AH253" s="617"/>
    </row>
    <row r="254" spans="1:34" ht="15" hidden="1">
      <c r="A254" s="617"/>
      <c r="B254" s="617"/>
      <c r="C254" s="617"/>
      <c r="D254" s="617"/>
      <c r="E254" s="617"/>
      <c r="F254" s="617"/>
      <c r="G254" s="617"/>
      <c r="H254" s="617"/>
      <c r="I254" s="617"/>
      <c r="J254" s="617"/>
      <c r="K254" s="617"/>
      <c r="L254" s="617"/>
      <c r="M254" s="617"/>
      <c r="N254" s="617"/>
      <c r="O254" s="617"/>
      <c r="P254" s="617"/>
      <c r="Q254" s="617"/>
      <c r="R254" s="617"/>
      <c r="S254" s="617"/>
      <c r="T254" s="617"/>
      <c r="U254" s="617"/>
      <c r="V254" s="617"/>
      <c r="W254" s="617"/>
      <c r="X254" s="617"/>
      <c r="Y254" s="617"/>
      <c r="Z254" s="617"/>
      <c r="AA254" s="617"/>
      <c r="AB254" s="617"/>
      <c r="AC254" s="617"/>
      <c r="AD254" s="617"/>
      <c r="AE254" s="617"/>
      <c r="AF254" s="617"/>
      <c r="AG254" s="617"/>
      <c r="AH254" s="617"/>
    </row>
    <row r="255" spans="1:34" ht="15" hidden="1">
      <c r="A255" s="617"/>
      <c r="B255" s="617"/>
      <c r="C255" s="617"/>
      <c r="D255" s="617"/>
      <c r="E255" s="617"/>
      <c r="F255" s="617"/>
      <c r="G255" s="617"/>
      <c r="H255" s="617"/>
      <c r="I255" s="617"/>
      <c r="J255" s="617"/>
      <c r="K255" s="617"/>
      <c r="L255" s="617"/>
      <c r="M255" s="617"/>
      <c r="N255" s="617"/>
      <c r="O255" s="617"/>
      <c r="P255" s="617"/>
      <c r="Q255" s="617"/>
      <c r="R255" s="617"/>
      <c r="S255" s="617"/>
      <c r="T255" s="617"/>
      <c r="U255" s="617"/>
      <c r="V255" s="617"/>
      <c r="W255" s="617"/>
      <c r="X255" s="617"/>
      <c r="Y255" s="617"/>
      <c r="Z255" s="617"/>
      <c r="AA255" s="617"/>
      <c r="AB255" s="617"/>
      <c r="AC255" s="617"/>
      <c r="AD255" s="617"/>
      <c r="AE255" s="617"/>
      <c r="AF255" s="617"/>
      <c r="AG255" s="617"/>
      <c r="AH255" s="617"/>
    </row>
    <row r="256" spans="1:34" ht="15" hidden="1">
      <c r="A256" s="617"/>
      <c r="B256" s="617"/>
      <c r="C256" s="617"/>
      <c r="D256" s="617"/>
      <c r="E256" s="617"/>
      <c r="F256" s="617"/>
      <c r="G256" s="617"/>
      <c r="H256" s="617"/>
      <c r="I256" s="617"/>
      <c r="J256" s="617"/>
      <c r="K256" s="617"/>
      <c r="L256" s="617"/>
      <c r="M256" s="617"/>
      <c r="N256" s="617"/>
      <c r="O256" s="617"/>
      <c r="P256" s="617"/>
      <c r="Q256" s="617"/>
      <c r="R256" s="617"/>
      <c r="S256" s="617"/>
      <c r="T256" s="617"/>
      <c r="U256" s="617"/>
      <c r="V256" s="617"/>
      <c r="W256" s="617"/>
      <c r="X256" s="617"/>
      <c r="Y256" s="617"/>
      <c r="Z256" s="617"/>
      <c r="AA256" s="617"/>
      <c r="AB256" s="617"/>
      <c r="AC256" s="617"/>
      <c r="AD256" s="617"/>
      <c r="AE256" s="617"/>
      <c r="AF256" s="617"/>
      <c r="AG256" s="617"/>
      <c r="AH256" s="617"/>
    </row>
    <row r="257" spans="1:34" ht="15" hidden="1">
      <c r="A257" s="617"/>
      <c r="B257" s="617"/>
      <c r="C257" s="617"/>
      <c r="D257" s="617"/>
      <c r="E257" s="617"/>
      <c r="F257" s="617"/>
      <c r="G257" s="617"/>
      <c r="H257" s="617"/>
      <c r="I257" s="617"/>
      <c r="J257" s="617"/>
      <c r="K257" s="617"/>
      <c r="L257" s="617"/>
      <c r="M257" s="617"/>
      <c r="N257" s="617"/>
      <c r="O257" s="617"/>
      <c r="P257" s="617"/>
      <c r="Q257" s="617"/>
      <c r="R257" s="617"/>
      <c r="S257" s="617"/>
      <c r="T257" s="617"/>
      <c r="U257" s="617"/>
      <c r="V257" s="617"/>
      <c r="W257" s="617"/>
      <c r="X257" s="617"/>
      <c r="Y257" s="617"/>
      <c r="Z257" s="617"/>
      <c r="AA257" s="617"/>
      <c r="AB257" s="617"/>
      <c r="AC257" s="617"/>
      <c r="AD257" s="617"/>
      <c r="AE257" s="617"/>
      <c r="AF257" s="617"/>
      <c r="AG257" s="617"/>
      <c r="AH257" s="617"/>
    </row>
    <row r="258" spans="1:34" ht="15" hidden="1">
      <c r="A258" s="617"/>
      <c r="B258" s="617"/>
      <c r="C258" s="617"/>
      <c r="D258" s="617"/>
      <c r="E258" s="617"/>
      <c r="F258" s="617"/>
      <c r="G258" s="617"/>
      <c r="H258" s="617"/>
      <c r="I258" s="617"/>
      <c r="J258" s="617"/>
      <c r="K258" s="617"/>
      <c r="L258" s="617"/>
      <c r="M258" s="617"/>
      <c r="N258" s="617"/>
      <c r="O258" s="617"/>
      <c r="P258" s="617"/>
      <c r="Q258" s="617"/>
      <c r="R258" s="617"/>
      <c r="S258" s="617"/>
      <c r="T258" s="617"/>
      <c r="U258" s="617"/>
      <c r="V258" s="617"/>
      <c r="W258" s="617"/>
      <c r="X258" s="617"/>
      <c r="Y258" s="617"/>
      <c r="Z258" s="617"/>
      <c r="AA258" s="617"/>
      <c r="AB258" s="617"/>
      <c r="AC258" s="617"/>
      <c r="AD258" s="617"/>
      <c r="AE258" s="617"/>
      <c r="AF258" s="617"/>
      <c r="AG258" s="617"/>
      <c r="AH258" s="617"/>
    </row>
    <row r="259" spans="1:34" ht="15" hidden="1">
      <c r="A259" s="617"/>
      <c r="B259" s="617"/>
      <c r="C259" s="617"/>
      <c r="D259" s="617"/>
      <c r="E259" s="617"/>
      <c r="F259" s="617"/>
      <c r="G259" s="617"/>
      <c r="H259" s="617"/>
      <c r="I259" s="617"/>
      <c r="J259" s="617"/>
      <c r="K259" s="617"/>
      <c r="L259" s="617"/>
      <c r="M259" s="617"/>
      <c r="N259" s="617"/>
      <c r="O259" s="617"/>
      <c r="P259" s="617"/>
      <c r="Q259" s="617"/>
      <c r="R259" s="617"/>
      <c r="S259" s="617"/>
      <c r="T259" s="617"/>
      <c r="U259" s="617"/>
      <c r="V259" s="617"/>
      <c r="W259" s="617"/>
      <c r="X259" s="617"/>
      <c r="Y259" s="617"/>
      <c r="Z259" s="617"/>
      <c r="AA259" s="617"/>
      <c r="AB259" s="617"/>
      <c r="AC259" s="617"/>
      <c r="AD259" s="617"/>
      <c r="AE259" s="617"/>
      <c r="AF259" s="617"/>
      <c r="AG259" s="617"/>
      <c r="AH259" s="617"/>
    </row>
    <row r="260" spans="1:34" ht="15" hidden="1">
      <c r="A260" s="617"/>
      <c r="B260" s="617"/>
      <c r="C260" s="617"/>
      <c r="D260" s="617"/>
      <c r="E260" s="617"/>
      <c r="F260" s="617"/>
      <c r="G260" s="617"/>
      <c r="H260" s="617"/>
      <c r="I260" s="617"/>
      <c r="J260" s="617"/>
      <c r="K260" s="617"/>
      <c r="L260" s="617"/>
      <c r="M260" s="617"/>
      <c r="N260" s="617"/>
      <c r="O260" s="617"/>
      <c r="P260" s="617"/>
      <c r="Q260" s="617"/>
      <c r="R260" s="617"/>
      <c r="S260" s="617"/>
      <c r="T260" s="617"/>
      <c r="U260" s="617"/>
      <c r="V260" s="617"/>
      <c r="W260" s="617"/>
      <c r="X260" s="617"/>
      <c r="Y260" s="617"/>
      <c r="Z260" s="617"/>
      <c r="AA260" s="617"/>
      <c r="AB260" s="617"/>
      <c r="AC260" s="617"/>
      <c r="AD260" s="617"/>
      <c r="AE260" s="617"/>
      <c r="AF260" s="617"/>
      <c r="AG260" s="617"/>
      <c r="AH260" s="617"/>
    </row>
    <row r="261" spans="1:34" ht="15" hidden="1">
      <c r="A261" s="617"/>
      <c r="B261" s="617"/>
      <c r="C261" s="617"/>
      <c r="D261" s="617"/>
      <c r="E261" s="617"/>
      <c r="F261" s="617"/>
      <c r="G261" s="617"/>
      <c r="H261" s="617"/>
      <c r="I261" s="617"/>
      <c r="J261" s="617"/>
      <c r="K261" s="617"/>
      <c r="L261" s="617"/>
      <c r="M261" s="617"/>
      <c r="N261" s="617"/>
      <c r="O261" s="617"/>
      <c r="P261" s="617"/>
      <c r="Q261" s="617"/>
      <c r="R261" s="617"/>
      <c r="S261" s="617"/>
      <c r="T261" s="617"/>
      <c r="U261" s="617"/>
      <c r="V261" s="617"/>
      <c r="W261" s="617"/>
      <c r="X261" s="617"/>
      <c r="Y261" s="617"/>
      <c r="Z261" s="617"/>
      <c r="AA261" s="617"/>
      <c r="AB261" s="617"/>
      <c r="AC261" s="617"/>
      <c r="AD261" s="617"/>
      <c r="AE261" s="617"/>
      <c r="AF261" s="617"/>
      <c r="AG261" s="617"/>
      <c r="AH261" s="617"/>
    </row>
    <row r="262" spans="1:34" ht="15" hidden="1">
      <c r="A262" s="617"/>
      <c r="B262" s="617"/>
      <c r="C262" s="617"/>
      <c r="D262" s="617"/>
      <c r="E262" s="617"/>
      <c r="F262" s="617"/>
      <c r="G262" s="617"/>
      <c r="H262" s="617"/>
      <c r="I262" s="617"/>
      <c r="J262" s="617"/>
      <c r="K262" s="617"/>
      <c r="L262" s="617"/>
      <c r="M262" s="617"/>
      <c r="N262" s="617"/>
      <c r="O262" s="617"/>
      <c r="P262" s="617"/>
      <c r="Q262" s="617"/>
      <c r="R262" s="617"/>
      <c r="S262" s="617"/>
      <c r="T262" s="617"/>
      <c r="U262" s="617"/>
      <c r="V262" s="617"/>
      <c r="W262" s="617"/>
      <c r="X262" s="617"/>
      <c r="Y262" s="617"/>
      <c r="Z262" s="617"/>
      <c r="AA262" s="617"/>
      <c r="AB262" s="617"/>
      <c r="AC262" s="617"/>
      <c r="AD262" s="617"/>
      <c r="AE262" s="617"/>
      <c r="AF262" s="617"/>
      <c r="AG262" s="617"/>
      <c r="AH262" s="617"/>
    </row>
    <row r="263" spans="1:34" ht="15" hidden="1">
      <c r="A263" s="617"/>
      <c r="B263" s="617"/>
      <c r="C263" s="617"/>
      <c r="D263" s="617"/>
      <c r="E263" s="617"/>
      <c r="F263" s="617"/>
      <c r="G263" s="617"/>
      <c r="H263" s="617"/>
      <c r="I263" s="617"/>
      <c r="J263" s="617"/>
      <c r="K263" s="617"/>
      <c r="L263" s="617"/>
      <c r="M263" s="617"/>
      <c r="N263" s="617"/>
      <c r="O263" s="617"/>
      <c r="P263" s="617"/>
      <c r="Q263" s="617"/>
      <c r="R263" s="617"/>
      <c r="S263" s="617"/>
      <c r="T263" s="617"/>
      <c r="U263" s="617"/>
      <c r="V263" s="617"/>
      <c r="W263" s="617"/>
      <c r="X263" s="617"/>
      <c r="Y263" s="617"/>
      <c r="Z263" s="617"/>
      <c r="AA263" s="617"/>
      <c r="AB263" s="617"/>
      <c r="AC263" s="617"/>
      <c r="AD263" s="617"/>
      <c r="AE263" s="617"/>
      <c r="AF263" s="617"/>
      <c r="AG263" s="617"/>
      <c r="AH263" s="617"/>
    </row>
    <row r="264" spans="1:34" ht="15" hidden="1">
      <c r="A264" s="617"/>
      <c r="B264" s="617"/>
      <c r="C264" s="617"/>
      <c r="D264" s="617"/>
      <c r="E264" s="617"/>
      <c r="F264" s="617"/>
      <c r="G264" s="617"/>
      <c r="H264" s="617"/>
      <c r="I264" s="617"/>
      <c r="J264" s="617"/>
      <c r="K264" s="617"/>
      <c r="L264" s="617"/>
      <c r="M264" s="617"/>
      <c r="N264" s="617"/>
      <c r="O264" s="617"/>
      <c r="P264" s="617"/>
      <c r="Q264" s="617"/>
      <c r="R264" s="617"/>
      <c r="S264" s="617"/>
      <c r="T264" s="617"/>
      <c r="U264" s="617"/>
      <c r="V264" s="617"/>
      <c r="W264" s="617"/>
      <c r="X264" s="617"/>
      <c r="Y264" s="617"/>
      <c r="Z264" s="617"/>
      <c r="AA264" s="617"/>
      <c r="AB264" s="617"/>
      <c r="AC264" s="617"/>
      <c r="AD264" s="617"/>
      <c r="AE264" s="617"/>
      <c r="AF264" s="617"/>
      <c r="AG264" s="617"/>
      <c r="AH264" s="617"/>
    </row>
    <row r="265" spans="1:34" ht="15" hidden="1">
      <c r="A265" s="617"/>
      <c r="B265" s="617"/>
      <c r="C265" s="617"/>
      <c r="D265" s="617"/>
      <c r="E265" s="617"/>
      <c r="F265" s="617"/>
      <c r="G265" s="617"/>
      <c r="H265" s="617"/>
      <c r="I265" s="617"/>
      <c r="J265" s="617"/>
      <c r="K265" s="617"/>
      <c r="L265" s="617"/>
      <c r="M265" s="617"/>
      <c r="N265" s="617"/>
      <c r="O265" s="617"/>
      <c r="P265" s="617"/>
      <c r="Q265" s="617"/>
      <c r="R265" s="617"/>
      <c r="S265" s="617"/>
      <c r="T265" s="617"/>
      <c r="U265" s="617"/>
      <c r="V265" s="617"/>
      <c r="W265" s="617"/>
      <c r="X265" s="617"/>
      <c r="Y265" s="617"/>
      <c r="Z265" s="617"/>
      <c r="AA265" s="617"/>
      <c r="AB265" s="617"/>
      <c r="AC265" s="617"/>
      <c r="AD265" s="617"/>
      <c r="AE265" s="617"/>
      <c r="AF265" s="617"/>
      <c r="AG265" s="617"/>
      <c r="AH265" s="617"/>
    </row>
    <row r="266" spans="1:34" ht="15" hidden="1">
      <c r="A266" s="617"/>
      <c r="B266" s="617"/>
      <c r="C266" s="617"/>
      <c r="D266" s="617"/>
      <c r="E266" s="617"/>
      <c r="F266" s="617"/>
      <c r="G266" s="617"/>
      <c r="H266" s="617"/>
      <c r="I266" s="617"/>
      <c r="J266" s="617"/>
      <c r="K266" s="617"/>
      <c r="L266" s="617"/>
      <c r="M266" s="617"/>
      <c r="N266" s="617"/>
      <c r="O266" s="617"/>
      <c r="P266" s="617"/>
      <c r="Q266" s="617"/>
      <c r="R266" s="617"/>
      <c r="S266" s="617"/>
      <c r="T266" s="617"/>
      <c r="U266" s="617"/>
      <c r="V266" s="617"/>
      <c r="W266" s="617"/>
      <c r="X266" s="617"/>
      <c r="Y266" s="617"/>
      <c r="Z266" s="617"/>
      <c r="AA266" s="617"/>
      <c r="AB266" s="617"/>
      <c r="AC266" s="617"/>
      <c r="AD266" s="617"/>
      <c r="AE266" s="617"/>
      <c r="AF266" s="617"/>
      <c r="AG266" s="617"/>
      <c r="AH266" s="617"/>
    </row>
    <row r="267" spans="1:34" ht="15" hidden="1">
      <c r="A267" s="617"/>
      <c r="B267" s="617"/>
      <c r="C267" s="617"/>
      <c r="D267" s="617"/>
      <c r="E267" s="617"/>
      <c r="F267" s="617"/>
      <c r="G267" s="617"/>
      <c r="H267" s="617"/>
      <c r="I267" s="617"/>
      <c r="J267" s="617"/>
      <c r="K267" s="617"/>
      <c r="L267" s="617"/>
      <c r="M267" s="617"/>
      <c r="N267" s="617"/>
      <c r="O267" s="617"/>
      <c r="P267" s="617"/>
      <c r="Q267" s="617"/>
      <c r="R267" s="617"/>
      <c r="S267" s="617"/>
      <c r="T267" s="617"/>
      <c r="U267" s="617"/>
      <c r="V267" s="617"/>
      <c r="W267" s="617"/>
      <c r="X267" s="617"/>
      <c r="Y267" s="617"/>
      <c r="Z267" s="617"/>
      <c r="AA267" s="617"/>
      <c r="AB267" s="617"/>
      <c r="AC267" s="617"/>
      <c r="AD267" s="617"/>
      <c r="AE267" s="617"/>
      <c r="AF267" s="617"/>
      <c r="AG267" s="617"/>
      <c r="AH267" s="617"/>
    </row>
    <row r="268" spans="1:34" ht="15" hidden="1">
      <c r="A268" s="617"/>
      <c r="B268" s="617"/>
      <c r="C268" s="617"/>
      <c r="D268" s="617"/>
      <c r="E268" s="617"/>
      <c r="F268" s="617"/>
      <c r="G268" s="617"/>
      <c r="H268" s="617"/>
      <c r="I268" s="617"/>
      <c r="J268" s="617"/>
      <c r="K268" s="617"/>
      <c r="L268" s="617"/>
      <c r="M268" s="617"/>
      <c r="N268" s="617"/>
      <c r="O268" s="617"/>
      <c r="P268" s="617"/>
      <c r="Q268" s="617"/>
      <c r="R268" s="617"/>
      <c r="S268" s="617"/>
      <c r="T268" s="617"/>
      <c r="U268" s="617"/>
      <c r="V268" s="617"/>
      <c r="W268" s="617"/>
      <c r="X268" s="617"/>
      <c r="Y268" s="617"/>
      <c r="Z268" s="617"/>
      <c r="AA268" s="617"/>
      <c r="AB268" s="617"/>
      <c r="AC268" s="617"/>
      <c r="AD268" s="617"/>
      <c r="AE268" s="617"/>
      <c r="AF268" s="617"/>
      <c r="AG268" s="617"/>
      <c r="AH268" s="617"/>
    </row>
    <row r="269" spans="1:34" ht="15" hidden="1">
      <c r="A269" s="617"/>
      <c r="B269" s="617"/>
      <c r="C269" s="617"/>
      <c r="D269" s="617"/>
      <c r="E269" s="617"/>
      <c r="F269" s="617"/>
      <c r="G269" s="617"/>
      <c r="H269" s="617"/>
      <c r="I269" s="617"/>
      <c r="J269" s="617"/>
      <c r="K269" s="617"/>
      <c r="L269" s="617"/>
      <c r="M269" s="617"/>
      <c r="N269" s="617"/>
      <c r="O269" s="617"/>
      <c r="P269" s="617"/>
      <c r="Q269" s="617"/>
      <c r="R269" s="617"/>
      <c r="S269" s="617"/>
      <c r="T269" s="617"/>
      <c r="U269" s="617"/>
      <c r="V269" s="617"/>
      <c r="W269" s="617"/>
      <c r="X269" s="617"/>
      <c r="Y269" s="617"/>
      <c r="Z269" s="617"/>
      <c r="AA269" s="617"/>
      <c r="AB269" s="617"/>
      <c r="AC269" s="617"/>
      <c r="AD269" s="617"/>
      <c r="AE269" s="617"/>
      <c r="AF269" s="617"/>
      <c r="AG269" s="617"/>
      <c r="AH269" s="617"/>
    </row>
    <row r="270" spans="1:34" ht="15" hidden="1">
      <c r="A270" s="617"/>
      <c r="B270" s="617"/>
      <c r="C270" s="617"/>
      <c r="D270" s="617"/>
      <c r="E270" s="617"/>
      <c r="F270" s="617"/>
      <c r="G270" s="617"/>
      <c r="H270" s="617"/>
      <c r="I270" s="617"/>
      <c r="J270" s="617"/>
      <c r="K270" s="617"/>
      <c r="L270" s="617"/>
      <c r="M270" s="617"/>
      <c r="N270" s="617"/>
      <c r="O270" s="617"/>
      <c r="P270" s="617"/>
      <c r="Q270" s="617"/>
      <c r="R270" s="617"/>
      <c r="S270" s="617"/>
      <c r="T270" s="617"/>
      <c r="U270" s="617"/>
      <c r="V270" s="617"/>
      <c r="W270" s="617"/>
      <c r="X270" s="617"/>
      <c r="Y270" s="617"/>
      <c r="Z270" s="617"/>
      <c r="AA270" s="617"/>
      <c r="AB270" s="617"/>
      <c r="AC270" s="617"/>
      <c r="AD270" s="617"/>
      <c r="AE270" s="617"/>
      <c r="AF270" s="617"/>
      <c r="AG270" s="617"/>
      <c r="AH270" s="617"/>
    </row>
    <row r="271" spans="1:34" ht="15" hidden="1">
      <c r="A271" s="617"/>
      <c r="B271" s="617"/>
      <c r="C271" s="617"/>
      <c r="D271" s="617"/>
      <c r="E271" s="617"/>
      <c r="F271" s="617"/>
      <c r="G271" s="617"/>
      <c r="H271" s="617"/>
      <c r="I271" s="617"/>
      <c r="J271" s="617"/>
      <c r="K271" s="617"/>
      <c r="L271" s="617"/>
      <c r="M271" s="617"/>
      <c r="N271" s="617"/>
      <c r="O271" s="617"/>
      <c r="P271" s="617"/>
      <c r="Q271" s="617"/>
      <c r="R271" s="617"/>
      <c r="S271" s="617"/>
      <c r="T271" s="617"/>
      <c r="U271" s="617"/>
      <c r="V271" s="617"/>
      <c r="W271" s="617"/>
      <c r="X271" s="617"/>
      <c r="Y271" s="617"/>
      <c r="Z271" s="617"/>
      <c r="AA271" s="617"/>
      <c r="AB271" s="617"/>
      <c r="AC271" s="617"/>
      <c r="AD271" s="617"/>
      <c r="AE271" s="617"/>
      <c r="AF271" s="617"/>
      <c r="AG271" s="617"/>
      <c r="AH271" s="617"/>
    </row>
    <row r="272" spans="1:34" ht="15" hidden="1">
      <c r="A272" s="617"/>
      <c r="B272" s="617"/>
      <c r="C272" s="617"/>
      <c r="D272" s="617"/>
      <c r="E272" s="617"/>
      <c r="F272" s="617"/>
      <c r="G272" s="617"/>
      <c r="H272" s="617"/>
      <c r="I272" s="617"/>
      <c r="J272" s="617"/>
      <c r="K272" s="617"/>
      <c r="L272" s="617"/>
      <c r="M272" s="617"/>
      <c r="N272" s="617"/>
      <c r="O272" s="617"/>
      <c r="P272" s="617"/>
      <c r="Q272" s="617"/>
      <c r="R272" s="617"/>
      <c r="S272" s="617"/>
      <c r="T272" s="617"/>
      <c r="U272" s="617"/>
      <c r="V272" s="617"/>
      <c r="W272" s="617"/>
      <c r="X272" s="617"/>
      <c r="Y272" s="617"/>
      <c r="Z272" s="617"/>
      <c r="AA272" s="617"/>
      <c r="AB272" s="617"/>
      <c r="AC272" s="617"/>
      <c r="AD272" s="617"/>
      <c r="AE272" s="617"/>
      <c r="AF272" s="617"/>
      <c r="AG272" s="617"/>
      <c r="AH272" s="617"/>
    </row>
    <row r="273" spans="1:34" ht="15" hidden="1">
      <c r="A273" s="617"/>
      <c r="B273" s="617"/>
      <c r="C273" s="617"/>
      <c r="D273" s="617"/>
      <c r="E273" s="617"/>
      <c r="F273" s="617"/>
      <c r="G273" s="617"/>
      <c r="H273" s="617"/>
      <c r="I273" s="617"/>
      <c r="J273" s="617"/>
      <c r="K273" s="617"/>
      <c r="L273" s="617"/>
      <c r="M273" s="617"/>
      <c r="N273" s="617"/>
      <c r="O273" s="617"/>
      <c r="P273" s="617"/>
      <c r="Q273" s="617"/>
      <c r="R273" s="617"/>
      <c r="S273" s="617"/>
      <c r="T273" s="617"/>
      <c r="U273" s="617"/>
      <c r="V273" s="617"/>
      <c r="W273" s="617"/>
      <c r="X273" s="617"/>
      <c r="Y273" s="617"/>
      <c r="Z273" s="617"/>
      <c r="AA273" s="617"/>
      <c r="AB273" s="617"/>
      <c r="AC273" s="617"/>
      <c r="AD273" s="617"/>
      <c r="AE273" s="617"/>
      <c r="AF273" s="617"/>
      <c r="AG273" s="617"/>
      <c r="AH273" s="617"/>
    </row>
    <row r="274" spans="1:34" ht="15" hidden="1">
      <c r="A274" s="617"/>
      <c r="B274" s="617"/>
      <c r="C274" s="617"/>
      <c r="D274" s="617"/>
      <c r="E274" s="617"/>
      <c r="F274" s="617"/>
      <c r="G274" s="617"/>
      <c r="H274" s="617"/>
      <c r="I274" s="617"/>
      <c r="J274" s="617"/>
      <c r="K274" s="617"/>
      <c r="L274" s="617"/>
      <c r="M274" s="617"/>
      <c r="N274" s="617"/>
      <c r="O274" s="617"/>
      <c r="P274" s="617"/>
      <c r="Q274" s="617"/>
      <c r="R274" s="617"/>
      <c r="S274" s="617"/>
      <c r="T274" s="617"/>
      <c r="U274" s="617"/>
      <c r="V274" s="617"/>
      <c r="W274" s="617"/>
      <c r="X274" s="617"/>
      <c r="Y274" s="617"/>
      <c r="Z274" s="617"/>
      <c r="AA274" s="617"/>
      <c r="AB274" s="617"/>
      <c r="AC274" s="617"/>
      <c r="AD274" s="617"/>
      <c r="AE274" s="617"/>
      <c r="AF274" s="617"/>
      <c r="AG274" s="617"/>
      <c r="AH274" s="617"/>
    </row>
    <row r="275" spans="1:34" ht="15" hidden="1">
      <c r="A275" s="617"/>
      <c r="B275" s="617"/>
      <c r="C275" s="617"/>
      <c r="D275" s="617"/>
      <c r="E275" s="617"/>
      <c r="F275" s="617"/>
      <c r="G275" s="617"/>
      <c r="H275" s="617"/>
      <c r="I275" s="617"/>
      <c r="J275" s="617"/>
      <c r="K275" s="617"/>
      <c r="L275" s="617"/>
      <c r="M275" s="617"/>
      <c r="N275" s="617"/>
      <c r="O275" s="617"/>
      <c r="P275" s="617"/>
      <c r="Q275" s="617"/>
      <c r="R275" s="617"/>
      <c r="S275" s="617"/>
      <c r="T275" s="617"/>
      <c r="U275" s="617"/>
      <c r="V275" s="617"/>
      <c r="W275" s="617"/>
      <c r="X275" s="617"/>
      <c r="Y275" s="617"/>
      <c r="Z275" s="617"/>
      <c r="AA275" s="617"/>
      <c r="AB275" s="617"/>
      <c r="AC275" s="617"/>
      <c r="AD275" s="617"/>
      <c r="AE275" s="617"/>
      <c r="AF275" s="617"/>
      <c r="AG275" s="617"/>
      <c r="AH275" s="617"/>
    </row>
    <row r="276" spans="1:34" ht="15" hidden="1">
      <c r="A276" s="617"/>
      <c r="B276" s="617"/>
      <c r="C276" s="617"/>
      <c r="D276" s="617"/>
      <c r="E276" s="617"/>
      <c r="F276" s="617"/>
      <c r="G276" s="617"/>
      <c r="H276" s="617"/>
      <c r="I276" s="617"/>
      <c r="J276" s="617"/>
      <c r="K276" s="617"/>
      <c r="L276" s="617"/>
      <c r="M276" s="617"/>
      <c r="N276" s="617"/>
      <c r="O276" s="617"/>
      <c r="P276" s="617"/>
      <c r="Q276" s="617"/>
      <c r="R276" s="617"/>
      <c r="S276" s="617"/>
      <c r="T276" s="617"/>
      <c r="U276" s="617"/>
      <c r="V276" s="617"/>
      <c r="W276" s="617"/>
      <c r="X276" s="617"/>
      <c r="Y276" s="617"/>
      <c r="Z276" s="617"/>
      <c r="AA276" s="617"/>
      <c r="AB276" s="617"/>
      <c r="AC276" s="617"/>
      <c r="AD276" s="617"/>
      <c r="AE276" s="617"/>
      <c r="AF276" s="617"/>
      <c r="AG276" s="617"/>
      <c r="AH276" s="617"/>
    </row>
    <row r="277" spans="1:34" ht="15" hidden="1">
      <c r="A277" s="617"/>
      <c r="B277" s="617"/>
      <c r="C277" s="617"/>
      <c r="D277" s="617"/>
      <c r="E277" s="617"/>
      <c r="F277" s="617"/>
      <c r="G277" s="617"/>
      <c r="H277" s="617"/>
      <c r="I277" s="617"/>
      <c r="J277" s="617"/>
      <c r="K277" s="617"/>
      <c r="L277" s="617"/>
      <c r="M277" s="617"/>
      <c r="N277" s="617"/>
      <c r="O277" s="617"/>
      <c r="P277" s="617"/>
      <c r="Q277" s="617"/>
      <c r="R277" s="617"/>
      <c r="S277" s="617"/>
      <c r="T277" s="617"/>
      <c r="U277" s="617"/>
      <c r="V277" s="617"/>
      <c r="W277" s="617"/>
      <c r="X277" s="617"/>
      <c r="Y277" s="617"/>
      <c r="Z277" s="617"/>
      <c r="AA277" s="617"/>
      <c r="AB277" s="617"/>
      <c r="AC277" s="617"/>
      <c r="AD277" s="617"/>
      <c r="AE277" s="617"/>
      <c r="AF277" s="617"/>
      <c r="AG277" s="617"/>
      <c r="AH277" s="617"/>
    </row>
    <row r="278" spans="1:34" ht="15" hidden="1">
      <c r="A278" s="617"/>
      <c r="B278" s="617"/>
      <c r="C278" s="617"/>
      <c r="D278" s="617"/>
      <c r="E278" s="617"/>
      <c r="F278" s="617"/>
      <c r="G278" s="617"/>
      <c r="H278" s="617"/>
      <c r="I278" s="617"/>
      <c r="J278" s="617"/>
      <c r="K278" s="617"/>
      <c r="L278" s="617"/>
      <c r="M278" s="617"/>
      <c r="N278" s="617"/>
      <c r="O278" s="617"/>
      <c r="P278" s="617"/>
      <c r="Q278" s="617"/>
      <c r="R278" s="617"/>
      <c r="S278" s="617"/>
      <c r="T278" s="617"/>
      <c r="U278" s="617"/>
      <c r="V278" s="617"/>
      <c r="W278" s="617"/>
      <c r="X278" s="617"/>
      <c r="Y278" s="617"/>
      <c r="Z278" s="617"/>
      <c r="AA278" s="617"/>
      <c r="AB278" s="617"/>
      <c r="AC278" s="617"/>
      <c r="AD278" s="617"/>
      <c r="AE278" s="617"/>
      <c r="AF278" s="617"/>
      <c r="AG278" s="617"/>
      <c r="AH278" s="617"/>
    </row>
    <row r="279" spans="1:34" ht="15" hidden="1">
      <c r="A279" s="617"/>
      <c r="B279" s="617"/>
      <c r="C279" s="617"/>
      <c r="D279" s="617"/>
      <c r="E279" s="617"/>
      <c r="F279" s="617"/>
      <c r="G279" s="617"/>
      <c r="H279" s="617"/>
      <c r="I279" s="617"/>
      <c r="J279" s="617"/>
      <c r="K279" s="617"/>
      <c r="L279" s="617"/>
      <c r="M279" s="617"/>
      <c r="N279" s="617"/>
      <c r="O279" s="617"/>
      <c r="P279" s="617"/>
      <c r="Q279" s="617"/>
      <c r="R279" s="617"/>
      <c r="S279" s="617"/>
      <c r="T279" s="617"/>
      <c r="U279" s="617"/>
      <c r="V279" s="617"/>
      <c r="W279" s="617"/>
      <c r="X279" s="617"/>
      <c r="Y279" s="617"/>
      <c r="Z279" s="617"/>
      <c r="AA279" s="617"/>
      <c r="AB279" s="617"/>
      <c r="AC279" s="617"/>
      <c r="AD279" s="617"/>
      <c r="AE279" s="617"/>
      <c r="AF279" s="617"/>
      <c r="AG279" s="617"/>
      <c r="AH279" s="617"/>
    </row>
    <row r="280" spans="1:34" ht="15" hidden="1">
      <c r="A280" s="617"/>
      <c r="B280" s="617"/>
      <c r="C280" s="617"/>
      <c r="D280" s="617"/>
      <c r="E280" s="617"/>
      <c r="F280" s="617"/>
      <c r="G280" s="617"/>
      <c r="H280" s="617"/>
      <c r="I280" s="617"/>
      <c r="J280" s="617"/>
      <c r="K280" s="617"/>
      <c r="L280" s="617"/>
      <c r="M280" s="617"/>
      <c r="N280" s="617"/>
      <c r="O280" s="617"/>
      <c r="P280" s="617"/>
      <c r="Q280" s="617"/>
      <c r="R280" s="617"/>
      <c r="S280" s="617"/>
      <c r="T280" s="617"/>
      <c r="U280" s="617"/>
      <c r="V280" s="617"/>
      <c r="W280" s="617"/>
      <c r="X280" s="617"/>
      <c r="Y280" s="617"/>
      <c r="Z280" s="617"/>
      <c r="AA280" s="617"/>
      <c r="AB280" s="617"/>
      <c r="AC280" s="617"/>
      <c r="AD280" s="617"/>
      <c r="AE280" s="617"/>
      <c r="AF280" s="617"/>
      <c r="AG280" s="617"/>
      <c r="AH280" s="617"/>
    </row>
    <row r="281" spans="1:34" ht="15" hidden="1">
      <c r="A281" s="617"/>
      <c r="B281" s="617"/>
      <c r="C281" s="617"/>
      <c r="D281" s="617"/>
      <c r="E281" s="617"/>
      <c r="F281" s="617"/>
      <c r="G281" s="617"/>
      <c r="H281" s="617"/>
      <c r="I281" s="617"/>
      <c r="J281" s="617"/>
      <c r="K281" s="617"/>
      <c r="L281" s="617"/>
      <c r="M281" s="617"/>
      <c r="N281" s="617"/>
      <c r="O281" s="617"/>
      <c r="P281" s="617"/>
      <c r="Q281" s="617"/>
      <c r="R281" s="617"/>
      <c r="S281" s="617"/>
      <c r="T281" s="617"/>
      <c r="U281" s="617"/>
      <c r="V281" s="617"/>
      <c r="W281" s="617"/>
      <c r="X281" s="617"/>
      <c r="Y281" s="617"/>
      <c r="Z281" s="617"/>
      <c r="AA281" s="617"/>
      <c r="AB281" s="617"/>
      <c r="AC281" s="617"/>
      <c r="AD281" s="617"/>
      <c r="AE281" s="617"/>
      <c r="AF281" s="617"/>
      <c r="AG281" s="617"/>
      <c r="AH281" s="617"/>
    </row>
    <row r="282" spans="1:34" ht="15" hidden="1">
      <c r="A282" s="617"/>
      <c r="B282" s="617"/>
      <c r="C282" s="617"/>
      <c r="D282" s="617"/>
      <c r="E282" s="617"/>
      <c r="F282" s="617"/>
      <c r="G282" s="617"/>
      <c r="H282" s="617"/>
      <c r="I282" s="617"/>
      <c r="J282" s="617"/>
      <c r="K282" s="617"/>
      <c r="L282" s="617"/>
      <c r="M282" s="617"/>
      <c r="N282" s="617"/>
      <c r="O282" s="617"/>
      <c r="P282" s="617"/>
      <c r="Q282" s="617"/>
      <c r="R282" s="617"/>
      <c r="S282" s="617"/>
      <c r="T282" s="617"/>
      <c r="U282" s="617"/>
      <c r="V282" s="617"/>
      <c r="W282" s="617"/>
      <c r="X282" s="617"/>
      <c r="Y282" s="617"/>
      <c r="Z282" s="617"/>
      <c r="AA282" s="617"/>
      <c r="AB282" s="617"/>
      <c r="AC282" s="617"/>
      <c r="AD282" s="617"/>
      <c r="AE282" s="617"/>
      <c r="AF282" s="617"/>
      <c r="AG282" s="617"/>
      <c r="AH282" s="617"/>
    </row>
    <row r="283" spans="1:34" ht="15" hidden="1">
      <c r="A283" s="617"/>
      <c r="B283" s="617"/>
      <c r="C283" s="617"/>
      <c r="D283" s="617"/>
      <c r="E283" s="617"/>
      <c r="F283" s="617"/>
      <c r="G283" s="617"/>
      <c r="H283" s="617"/>
      <c r="I283" s="617"/>
      <c r="J283" s="617"/>
      <c r="K283" s="617"/>
      <c r="L283" s="617"/>
      <c r="M283" s="617"/>
      <c r="N283" s="617"/>
      <c r="O283" s="617"/>
      <c r="P283" s="617"/>
      <c r="Q283" s="617"/>
      <c r="R283" s="617"/>
      <c r="S283" s="617"/>
      <c r="T283" s="617"/>
      <c r="U283" s="617"/>
      <c r="V283" s="617"/>
      <c r="W283" s="617"/>
      <c r="X283" s="617"/>
      <c r="Y283" s="617"/>
      <c r="Z283" s="617"/>
      <c r="AA283" s="617"/>
      <c r="AB283" s="617"/>
      <c r="AC283" s="617"/>
      <c r="AD283" s="617"/>
      <c r="AE283" s="617"/>
      <c r="AF283" s="617"/>
      <c r="AG283" s="617"/>
      <c r="AH283" s="617"/>
    </row>
    <row r="284" spans="1:34" ht="15" hidden="1">
      <c r="A284" s="617"/>
      <c r="B284" s="617"/>
      <c r="C284" s="617"/>
      <c r="D284" s="617"/>
      <c r="E284" s="617"/>
      <c r="F284" s="617"/>
      <c r="G284" s="617"/>
      <c r="H284" s="617"/>
      <c r="I284" s="617"/>
      <c r="J284" s="617"/>
      <c r="K284" s="617"/>
      <c r="L284" s="617"/>
      <c r="M284" s="617"/>
      <c r="N284" s="617"/>
      <c r="O284" s="617"/>
      <c r="P284" s="617"/>
      <c r="Q284" s="617"/>
      <c r="R284" s="617"/>
      <c r="S284" s="617"/>
      <c r="T284" s="617"/>
      <c r="U284" s="617"/>
      <c r="V284" s="617"/>
      <c r="W284" s="617"/>
      <c r="X284" s="617"/>
      <c r="Y284" s="617"/>
      <c r="Z284" s="617"/>
      <c r="AA284" s="617"/>
      <c r="AB284" s="617"/>
      <c r="AC284" s="617"/>
      <c r="AD284" s="617"/>
      <c r="AE284" s="617"/>
      <c r="AF284" s="617"/>
      <c r="AG284" s="617"/>
      <c r="AH284" s="617"/>
    </row>
    <row r="285" spans="1:34" ht="15" hidden="1">
      <c r="A285" s="617"/>
      <c r="B285" s="617"/>
      <c r="C285" s="617"/>
      <c r="D285" s="617"/>
      <c r="E285" s="617"/>
      <c r="F285" s="617"/>
      <c r="G285" s="617"/>
      <c r="H285" s="617"/>
      <c r="I285" s="617"/>
      <c r="J285" s="617"/>
      <c r="K285" s="617"/>
      <c r="L285" s="617"/>
      <c r="M285" s="617"/>
      <c r="N285" s="617"/>
      <c r="O285" s="617"/>
      <c r="P285" s="617"/>
      <c r="Q285" s="617"/>
      <c r="R285" s="617"/>
      <c r="S285" s="617"/>
      <c r="T285" s="617"/>
      <c r="U285" s="617"/>
      <c r="V285" s="617"/>
      <c r="W285" s="617"/>
      <c r="X285" s="617"/>
      <c r="Y285" s="617"/>
      <c r="Z285" s="617"/>
      <c r="AA285" s="617"/>
      <c r="AB285" s="617"/>
      <c r="AC285" s="617"/>
      <c r="AD285" s="617"/>
      <c r="AE285" s="617"/>
      <c r="AF285" s="617"/>
      <c r="AG285" s="617"/>
      <c r="AH285" s="617"/>
    </row>
    <row r="286" spans="1:34" ht="15" hidden="1">
      <c r="A286" s="617"/>
      <c r="B286" s="617"/>
      <c r="C286" s="617"/>
      <c r="D286" s="617"/>
      <c r="E286" s="617"/>
      <c r="F286" s="617"/>
      <c r="G286" s="617"/>
      <c r="H286" s="617"/>
      <c r="I286" s="617"/>
      <c r="J286" s="617"/>
      <c r="K286" s="617"/>
      <c r="L286" s="617"/>
      <c r="M286" s="617"/>
      <c r="N286" s="617"/>
      <c r="O286" s="617"/>
      <c r="P286" s="617"/>
      <c r="Q286" s="617"/>
      <c r="R286" s="617"/>
      <c r="S286" s="617"/>
      <c r="T286" s="617"/>
      <c r="U286" s="617"/>
      <c r="V286" s="617"/>
      <c r="W286" s="617"/>
      <c r="X286" s="617"/>
      <c r="Y286" s="617"/>
      <c r="Z286" s="617"/>
      <c r="AA286" s="617"/>
      <c r="AB286" s="617"/>
      <c r="AC286" s="617"/>
      <c r="AD286" s="617"/>
      <c r="AE286" s="617"/>
      <c r="AF286" s="617"/>
      <c r="AG286" s="617"/>
      <c r="AH286" s="617"/>
    </row>
    <row r="287" spans="1:34" ht="15" hidden="1">
      <c r="A287" s="617"/>
      <c r="B287" s="617"/>
      <c r="C287" s="617"/>
      <c r="D287" s="617"/>
      <c r="E287" s="617"/>
      <c r="F287" s="617"/>
      <c r="G287" s="617"/>
      <c r="H287" s="617"/>
      <c r="I287" s="617"/>
      <c r="J287" s="617"/>
      <c r="K287" s="617"/>
      <c r="L287" s="617"/>
      <c r="M287" s="617"/>
      <c r="N287" s="617"/>
      <c r="O287" s="617"/>
      <c r="P287" s="617"/>
      <c r="Q287" s="617"/>
      <c r="R287" s="617"/>
      <c r="S287" s="617"/>
      <c r="T287" s="617"/>
      <c r="U287" s="617"/>
      <c r="V287" s="617"/>
      <c r="W287" s="617"/>
      <c r="X287" s="617"/>
      <c r="Y287" s="617"/>
      <c r="Z287" s="617"/>
      <c r="AA287" s="617"/>
      <c r="AB287" s="617"/>
      <c r="AC287" s="617"/>
      <c r="AD287" s="617"/>
      <c r="AE287" s="617"/>
      <c r="AF287" s="617"/>
      <c r="AG287" s="617"/>
      <c r="AH287" s="617"/>
    </row>
    <row r="288" spans="1:34" ht="15" hidden="1">
      <c r="A288" s="617"/>
      <c r="B288" s="617"/>
      <c r="C288" s="617"/>
      <c r="D288" s="617"/>
      <c r="E288" s="617"/>
      <c r="F288" s="617"/>
      <c r="G288" s="617"/>
      <c r="H288" s="617"/>
      <c r="I288" s="617"/>
      <c r="J288" s="617"/>
      <c r="K288" s="617"/>
      <c r="L288" s="617"/>
      <c r="M288" s="617"/>
      <c r="N288" s="617"/>
      <c r="O288" s="617"/>
      <c r="P288" s="617"/>
      <c r="Q288" s="617"/>
      <c r="R288" s="617"/>
      <c r="S288" s="617"/>
      <c r="T288" s="617"/>
      <c r="U288" s="617"/>
      <c r="V288" s="617"/>
      <c r="W288" s="617"/>
      <c r="X288" s="617"/>
      <c r="Y288" s="617"/>
      <c r="Z288" s="617"/>
      <c r="AA288" s="617"/>
      <c r="AB288" s="617"/>
      <c r="AC288" s="617"/>
      <c r="AD288" s="617"/>
      <c r="AE288" s="617"/>
      <c r="AF288" s="617"/>
      <c r="AG288" s="617"/>
      <c r="AH288" s="617"/>
    </row>
    <row r="289" spans="1:34" ht="15" hidden="1">
      <c r="A289" s="617"/>
      <c r="B289" s="617"/>
      <c r="C289" s="617"/>
      <c r="D289" s="617"/>
      <c r="E289" s="617"/>
      <c r="F289" s="617"/>
      <c r="G289" s="617"/>
      <c r="H289" s="617"/>
      <c r="I289" s="617"/>
      <c r="J289" s="617"/>
      <c r="K289" s="617"/>
      <c r="L289" s="617"/>
      <c r="M289" s="617"/>
      <c r="N289" s="617"/>
      <c r="O289" s="617"/>
      <c r="P289" s="617"/>
      <c r="Q289" s="617"/>
      <c r="R289" s="617"/>
      <c r="S289" s="617"/>
      <c r="T289" s="617"/>
      <c r="U289" s="617"/>
      <c r="V289" s="617"/>
      <c r="W289" s="617"/>
      <c r="X289" s="617"/>
      <c r="Y289" s="617"/>
      <c r="Z289" s="617"/>
      <c r="AA289" s="617"/>
      <c r="AB289" s="617"/>
      <c r="AC289" s="617"/>
      <c r="AD289" s="617"/>
      <c r="AE289" s="617"/>
      <c r="AF289" s="617"/>
      <c r="AG289" s="617"/>
      <c r="AH289" s="617"/>
    </row>
    <row r="290" spans="1:34" ht="15" hidden="1">
      <c r="A290" s="617"/>
      <c r="B290" s="617"/>
      <c r="C290" s="617"/>
      <c r="D290" s="617"/>
      <c r="E290" s="617"/>
      <c r="F290" s="617"/>
      <c r="G290" s="617"/>
      <c r="H290" s="617"/>
      <c r="I290" s="617"/>
      <c r="J290" s="617"/>
      <c r="K290" s="617"/>
      <c r="L290" s="617"/>
      <c r="M290" s="617"/>
      <c r="N290" s="617"/>
      <c r="O290" s="617"/>
      <c r="P290" s="617"/>
      <c r="Q290" s="617"/>
      <c r="R290" s="617"/>
      <c r="S290" s="617"/>
      <c r="T290" s="617"/>
      <c r="U290" s="617"/>
      <c r="V290" s="617"/>
      <c r="W290" s="617"/>
      <c r="X290" s="617"/>
      <c r="Y290" s="617"/>
      <c r="Z290" s="617"/>
      <c r="AA290" s="617"/>
      <c r="AB290" s="617"/>
      <c r="AC290" s="617"/>
      <c r="AD290" s="617"/>
      <c r="AE290" s="617"/>
      <c r="AF290" s="617"/>
      <c r="AG290" s="617"/>
      <c r="AH290" s="617"/>
    </row>
    <row r="291" spans="1:34" ht="15" hidden="1">
      <c r="A291" s="617"/>
      <c r="B291" s="617"/>
      <c r="C291" s="617"/>
      <c r="D291" s="617"/>
      <c r="E291" s="617"/>
      <c r="F291" s="617"/>
      <c r="G291" s="617"/>
      <c r="H291" s="617"/>
      <c r="I291" s="617"/>
      <c r="J291" s="617"/>
      <c r="K291" s="617"/>
      <c r="L291" s="617"/>
      <c r="M291" s="617"/>
      <c r="N291" s="617"/>
      <c r="O291" s="617"/>
      <c r="P291" s="617"/>
      <c r="Q291" s="617"/>
      <c r="R291" s="617"/>
      <c r="S291" s="617"/>
      <c r="T291" s="617"/>
      <c r="U291" s="617"/>
      <c r="V291" s="617"/>
      <c r="W291" s="617"/>
      <c r="X291" s="617"/>
      <c r="Y291" s="617"/>
      <c r="Z291" s="617"/>
      <c r="AA291" s="617"/>
      <c r="AB291" s="617"/>
      <c r="AC291" s="617"/>
      <c r="AD291" s="617"/>
      <c r="AE291" s="617"/>
      <c r="AF291" s="617"/>
      <c r="AG291" s="617"/>
      <c r="AH291" s="617"/>
    </row>
    <row r="292" spans="1:34" ht="15" hidden="1">
      <c r="A292" s="617"/>
      <c r="B292" s="617"/>
      <c r="C292" s="617"/>
      <c r="D292" s="617"/>
      <c r="E292" s="617"/>
      <c r="F292" s="617"/>
      <c r="G292" s="617"/>
      <c r="H292" s="617"/>
      <c r="I292" s="617"/>
      <c r="J292" s="617"/>
      <c r="K292" s="617"/>
      <c r="L292" s="617"/>
      <c r="M292" s="617"/>
      <c r="N292" s="617"/>
      <c r="O292" s="617"/>
      <c r="P292" s="617"/>
      <c r="Q292" s="617"/>
      <c r="R292" s="617"/>
      <c r="S292" s="617"/>
      <c r="T292" s="617"/>
      <c r="U292" s="617"/>
      <c r="V292" s="617"/>
      <c r="W292" s="617"/>
      <c r="X292" s="617"/>
      <c r="Y292" s="617"/>
      <c r="Z292" s="617"/>
      <c r="AA292" s="617"/>
      <c r="AB292" s="617"/>
      <c r="AC292" s="617"/>
      <c r="AD292" s="617"/>
      <c r="AE292" s="617"/>
      <c r="AF292" s="617"/>
      <c r="AG292" s="617"/>
      <c r="AH292" s="617"/>
    </row>
    <row r="293" spans="1:34" ht="15" hidden="1">
      <c r="A293" s="617"/>
      <c r="B293" s="617"/>
      <c r="C293" s="617"/>
      <c r="D293" s="617"/>
      <c r="E293" s="617"/>
      <c r="F293" s="617"/>
      <c r="G293" s="617"/>
      <c r="H293" s="617"/>
      <c r="I293" s="617"/>
      <c r="J293" s="617"/>
      <c r="K293" s="617"/>
      <c r="L293" s="617"/>
      <c r="M293" s="617"/>
      <c r="N293" s="617"/>
      <c r="O293" s="617"/>
      <c r="P293" s="617"/>
      <c r="Q293" s="617"/>
      <c r="R293" s="617"/>
      <c r="S293" s="617"/>
      <c r="T293" s="617"/>
      <c r="U293" s="617"/>
      <c r="V293" s="617"/>
      <c r="W293" s="617"/>
      <c r="X293" s="617"/>
      <c r="Y293" s="617"/>
      <c r="Z293" s="617"/>
      <c r="AA293" s="617"/>
      <c r="AB293" s="617"/>
      <c r="AC293" s="617"/>
      <c r="AD293" s="617"/>
      <c r="AE293" s="617"/>
      <c r="AF293" s="617"/>
      <c r="AG293" s="617"/>
      <c r="AH293" s="617"/>
    </row>
    <row r="294" spans="1:34" ht="15" hidden="1">
      <c r="A294" s="617"/>
      <c r="B294" s="617"/>
      <c r="C294" s="617"/>
      <c r="D294" s="617"/>
      <c r="E294" s="617"/>
      <c r="F294" s="617"/>
      <c r="G294" s="617"/>
      <c r="H294" s="617"/>
      <c r="I294" s="617"/>
      <c r="J294" s="617"/>
      <c r="K294" s="617"/>
      <c r="L294" s="617"/>
      <c r="M294" s="617"/>
      <c r="N294" s="617"/>
      <c r="O294" s="617"/>
      <c r="P294" s="617"/>
      <c r="Q294" s="617"/>
      <c r="R294" s="617"/>
      <c r="S294" s="617"/>
      <c r="T294" s="617"/>
      <c r="U294" s="617"/>
      <c r="V294" s="617"/>
      <c r="W294" s="617"/>
      <c r="X294" s="617"/>
      <c r="Y294" s="617"/>
      <c r="Z294" s="617"/>
      <c r="AA294" s="617"/>
      <c r="AB294" s="617"/>
      <c r="AC294" s="617"/>
      <c r="AD294" s="617"/>
      <c r="AE294" s="617"/>
      <c r="AF294" s="617"/>
      <c r="AG294" s="617"/>
      <c r="AH294" s="617"/>
    </row>
    <row r="295" spans="1:34" ht="15" hidden="1">
      <c r="A295" s="617"/>
      <c r="B295" s="617"/>
      <c r="C295" s="617"/>
      <c r="D295" s="617"/>
      <c r="E295" s="617"/>
      <c r="F295" s="617"/>
      <c r="G295" s="617"/>
      <c r="H295" s="617"/>
      <c r="I295" s="617"/>
      <c r="J295" s="617"/>
      <c r="K295" s="617"/>
      <c r="L295" s="617"/>
      <c r="M295" s="617"/>
      <c r="N295" s="617"/>
      <c r="O295" s="617"/>
      <c r="P295" s="617"/>
      <c r="Q295" s="617"/>
      <c r="R295" s="617"/>
      <c r="S295" s="617"/>
      <c r="T295" s="617"/>
      <c r="U295" s="617"/>
      <c r="V295" s="617"/>
      <c r="W295" s="617"/>
      <c r="X295" s="617"/>
      <c r="Y295" s="617"/>
      <c r="Z295" s="617"/>
      <c r="AA295" s="617"/>
      <c r="AB295" s="617"/>
      <c r="AC295" s="617"/>
      <c r="AD295" s="617"/>
      <c r="AE295" s="617"/>
      <c r="AF295" s="617"/>
      <c r="AG295" s="617"/>
      <c r="AH295" s="617"/>
    </row>
    <row r="296" spans="1:34" ht="15" hidden="1">
      <c r="A296" s="617"/>
      <c r="B296" s="617"/>
      <c r="C296" s="617"/>
      <c r="D296" s="617"/>
      <c r="E296" s="617"/>
      <c r="F296" s="617"/>
      <c r="G296" s="617"/>
      <c r="H296" s="617"/>
      <c r="I296" s="617"/>
      <c r="J296" s="617"/>
      <c r="K296" s="617"/>
      <c r="L296" s="617"/>
      <c r="M296" s="617"/>
      <c r="N296" s="617"/>
      <c r="O296" s="617"/>
      <c r="P296" s="617"/>
      <c r="Q296" s="617"/>
      <c r="R296" s="617"/>
      <c r="S296" s="617"/>
      <c r="T296" s="617"/>
      <c r="U296" s="617"/>
      <c r="V296" s="617"/>
      <c r="W296" s="617"/>
      <c r="X296" s="617"/>
      <c r="Y296" s="617"/>
      <c r="Z296" s="617"/>
      <c r="AA296" s="617"/>
      <c r="AB296" s="617"/>
      <c r="AC296" s="617"/>
      <c r="AD296" s="617"/>
      <c r="AE296" s="617"/>
      <c r="AF296" s="617"/>
      <c r="AG296" s="617"/>
      <c r="AH296" s="617"/>
    </row>
    <row r="297" spans="1:34" ht="15" hidden="1">
      <c r="A297" s="617"/>
      <c r="B297" s="617"/>
      <c r="C297" s="617"/>
      <c r="D297" s="617"/>
      <c r="E297" s="617"/>
      <c r="F297" s="617"/>
      <c r="G297" s="617"/>
      <c r="H297" s="617"/>
      <c r="I297" s="617"/>
      <c r="J297" s="617"/>
      <c r="K297" s="617"/>
      <c r="L297" s="617"/>
      <c r="M297" s="617"/>
      <c r="N297" s="617"/>
      <c r="O297" s="617"/>
      <c r="P297" s="617"/>
      <c r="Q297" s="617"/>
      <c r="R297" s="617"/>
      <c r="S297" s="617"/>
      <c r="T297" s="617"/>
      <c r="U297" s="617"/>
      <c r="V297" s="617"/>
      <c r="W297" s="617"/>
      <c r="X297" s="617"/>
      <c r="Y297" s="617"/>
      <c r="Z297" s="617"/>
      <c r="AA297" s="617"/>
      <c r="AB297" s="617"/>
      <c r="AC297" s="617"/>
      <c r="AD297" s="617"/>
      <c r="AE297" s="617"/>
      <c r="AF297" s="617"/>
      <c r="AG297" s="617"/>
      <c r="AH297" s="617"/>
    </row>
    <row r="298" spans="1:34" ht="15" hidden="1">
      <c r="A298" s="617"/>
      <c r="B298" s="617"/>
      <c r="C298" s="617"/>
      <c r="D298" s="617"/>
      <c r="E298" s="617"/>
      <c r="F298" s="617"/>
      <c r="G298" s="617"/>
      <c r="H298" s="617"/>
      <c r="I298" s="617"/>
      <c r="J298" s="617"/>
      <c r="K298" s="617"/>
      <c r="L298" s="617"/>
      <c r="M298" s="617"/>
      <c r="N298" s="617"/>
      <c r="O298" s="617"/>
      <c r="P298" s="617"/>
      <c r="Q298" s="617"/>
      <c r="R298" s="617"/>
      <c r="S298" s="617"/>
      <c r="T298" s="617"/>
      <c r="U298" s="617"/>
      <c r="V298" s="617"/>
      <c r="W298" s="617"/>
      <c r="X298" s="617"/>
      <c r="Y298" s="617"/>
      <c r="Z298" s="617"/>
      <c r="AA298" s="617"/>
      <c r="AB298" s="617"/>
      <c r="AC298" s="617"/>
      <c r="AD298" s="617"/>
      <c r="AE298" s="617"/>
      <c r="AF298" s="617"/>
      <c r="AG298" s="617"/>
      <c r="AH298" s="617"/>
    </row>
    <row r="299" spans="1:34" ht="15" hidden="1">
      <c r="A299" s="617"/>
      <c r="B299" s="617"/>
      <c r="C299" s="617"/>
      <c r="D299" s="617"/>
      <c r="E299" s="617"/>
      <c r="F299" s="617"/>
      <c r="G299" s="617"/>
      <c r="H299" s="617"/>
      <c r="I299" s="617"/>
      <c r="J299" s="617"/>
      <c r="K299" s="617"/>
      <c r="L299" s="617"/>
      <c r="M299" s="617"/>
      <c r="N299" s="617"/>
      <c r="O299" s="617"/>
      <c r="P299" s="617"/>
      <c r="Q299" s="617"/>
      <c r="R299" s="617"/>
      <c r="S299" s="617"/>
      <c r="T299" s="617"/>
      <c r="U299" s="617"/>
      <c r="V299" s="617"/>
      <c r="W299" s="617"/>
      <c r="X299" s="617"/>
      <c r="Y299" s="617"/>
      <c r="Z299" s="617"/>
      <c r="AA299" s="617"/>
      <c r="AB299" s="617"/>
      <c r="AC299" s="617"/>
      <c r="AD299" s="617"/>
      <c r="AE299" s="617"/>
      <c r="AF299" s="617"/>
      <c r="AG299" s="617"/>
      <c r="AH299" s="617"/>
    </row>
    <row r="300" spans="1:34" ht="15" hidden="1">
      <c r="A300" s="617"/>
      <c r="B300" s="617"/>
      <c r="C300" s="617"/>
      <c r="D300" s="617"/>
      <c r="E300" s="617"/>
      <c r="F300" s="617"/>
      <c r="G300" s="617"/>
      <c r="H300" s="617"/>
      <c r="I300" s="617"/>
      <c r="J300" s="617"/>
      <c r="K300" s="617"/>
      <c r="L300" s="617"/>
      <c r="M300" s="617"/>
      <c r="N300" s="617"/>
      <c r="O300" s="617"/>
      <c r="P300" s="617"/>
      <c r="Q300" s="617"/>
      <c r="R300" s="617"/>
      <c r="S300" s="617"/>
      <c r="T300" s="617"/>
      <c r="U300" s="617"/>
      <c r="V300" s="617"/>
      <c r="W300" s="617"/>
      <c r="X300" s="617"/>
      <c r="Y300" s="617"/>
      <c r="Z300" s="617"/>
      <c r="AA300" s="617"/>
      <c r="AB300" s="617"/>
      <c r="AC300" s="617"/>
      <c r="AD300" s="617"/>
      <c r="AE300" s="617"/>
      <c r="AF300" s="617"/>
      <c r="AG300" s="617"/>
      <c r="AH300" s="617"/>
    </row>
    <row r="301" spans="1:34" ht="15" hidden="1">
      <c r="A301" s="617"/>
      <c r="B301" s="617"/>
      <c r="C301" s="617"/>
      <c r="D301" s="617"/>
      <c r="E301" s="617"/>
      <c r="F301" s="617"/>
      <c r="G301" s="617"/>
      <c r="H301" s="617"/>
      <c r="I301" s="617"/>
      <c r="J301" s="617"/>
      <c r="K301" s="617"/>
      <c r="L301" s="617"/>
      <c r="M301" s="617"/>
      <c r="N301" s="617"/>
      <c r="O301" s="617"/>
      <c r="P301" s="617"/>
      <c r="Q301" s="617"/>
      <c r="R301" s="617"/>
      <c r="S301" s="617"/>
      <c r="T301" s="617"/>
      <c r="U301" s="617"/>
      <c r="V301" s="617"/>
      <c r="W301" s="617"/>
      <c r="X301" s="617"/>
      <c r="Y301" s="617"/>
      <c r="Z301" s="617"/>
      <c r="AA301" s="617"/>
      <c r="AB301" s="617"/>
      <c r="AC301" s="617"/>
      <c r="AD301" s="617"/>
      <c r="AE301" s="617"/>
      <c r="AF301" s="617"/>
      <c r="AG301" s="617"/>
      <c r="AH301" s="617"/>
    </row>
    <row r="302" spans="1:34" ht="15" hidden="1">
      <c r="A302" s="617"/>
      <c r="B302" s="617"/>
      <c r="C302" s="617"/>
      <c r="D302" s="617"/>
      <c r="E302" s="617"/>
      <c r="F302" s="617"/>
      <c r="G302" s="617"/>
      <c r="H302" s="617"/>
      <c r="I302" s="617"/>
      <c r="J302" s="617"/>
      <c r="K302" s="617"/>
      <c r="L302" s="617"/>
      <c r="M302" s="617"/>
      <c r="N302" s="617"/>
      <c r="O302" s="617"/>
      <c r="P302" s="617"/>
      <c r="Q302" s="617"/>
      <c r="R302" s="617"/>
      <c r="S302" s="617"/>
      <c r="T302" s="617"/>
      <c r="U302" s="617"/>
      <c r="V302" s="617"/>
      <c r="W302" s="617"/>
      <c r="X302" s="617"/>
      <c r="Y302" s="617"/>
      <c r="Z302" s="617"/>
      <c r="AA302" s="617"/>
      <c r="AB302" s="617"/>
      <c r="AC302" s="617"/>
      <c r="AD302" s="617"/>
      <c r="AE302" s="617"/>
      <c r="AF302" s="617"/>
      <c r="AG302" s="617"/>
      <c r="AH302" s="617"/>
    </row>
    <row r="303" spans="1:34" ht="15" hidden="1">
      <c r="A303" s="617"/>
      <c r="B303" s="617"/>
      <c r="C303" s="617"/>
      <c r="D303" s="617"/>
      <c r="E303" s="617"/>
      <c r="F303" s="617"/>
      <c r="G303" s="617"/>
      <c r="H303" s="617"/>
      <c r="I303" s="617"/>
      <c r="J303" s="617"/>
      <c r="K303" s="617"/>
      <c r="L303" s="617"/>
      <c r="M303" s="617"/>
      <c r="N303" s="617"/>
      <c r="O303" s="617"/>
      <c r="P303" s="617"/>
      <c r="Q303" s="617"/>
      <c r="R303" s="617"/>
      <c r="S303" s="617"/>
      <c r="T303" s="617"/>
      <c r="U303" s="617"/>
      <c r="V303" s="617"/>
      <c r="W303" s="617"/>
      <c r="X303" s="617"/>
      <c r="Y303" s="617"/>
      <c r="Z303" s="617"/>
      <c r="AA303" s="617"/>
      <c r="AB303" s="617"/>
      <c r="AC303" s="617"/>
      <c r="AD303" s="617"/>
      <c r="AE303" s="617"/>
      <c r="AF303" s="617"/>
      <c r="AG303" s="617"/>
      <c r="AH303" s="617"/>
    </row>
    <row r="304" spans="1:34" ht="15" hidden="1">
      <c r="A304" s="617"/>
      <c r="B304" s="617"/>
      <c r="C304" s="617"/>
      <c r="D304" s="617"/>
      <c r="E304" s="617"/>
      <c r="F304" s="617"/>
      <c r="G304" s="617"/>
      <c r="H304" s="617"/>
      <c r="I304" s="617"/>
      <c r="J304" s="617"/>
      <c r="K304" s="617"/>
      <c r="L304" s="617"/>
      <c r="M304" s="617"/>
      <c r="N304" s="617"/>
      <c r="O304" s="617"/>
      <c r="P304" s="617"/>
      <c r="Q304" s="617"/>
      <c r="R304" s="617"/>
      <c r="S304" s="617"/>
      <c r="T304" s="617"/>
      <c r="U304" s="617"/>
      <c r="V304" s="617"/>
      <c r="W304" s="617"/>
      <c r="X304" s="617"/>
      <c r="Y304" s="617"/>
      <c r="Z304" s="617"/>
      <c r="AA304" s="617"/>
      <c r="AB304" s="617"/>
      <c r="AC304" s="617"/>
      <c r="AD304" s="617"/>
      <c r="AE304" s="617"/>
      <c r="AF304" s="617"/>
      <c r="AG304" s="617"/>
      <c r="AH304" s="617"/>
    </row>
    <row r="305" spans="1:34" ht="15" hidden="1">
      <c r="A305" s="617"/>
      <c r="B305" s="617"/>
      <c r="C305" s="617"/>
      <c r="D305" s="617"/>
      <c r="E305" s="617"/>
      <c r="F305" s="617"/>
      <c r="G305" s="617"/>
      <c r="H305" s="617"/>
      <c r="I305" s="617"/>
      <c r="J305" s="617"/>
      <c r="K305" s="617"/>
      <c r="L305" s="617"/>
      <c r="M305" s="617"/>
      <c r="N305" s="617"/>
      <c r="O305" s="617"/>
      <c r="P305" s="617"/>
      <c r="Q305" s="617"/>
      <c r="R305" s="617"/>
      <c r="S305" s="617"/>
      <c r="T305" s="617"/>
      <c r="U305" s="617"/>
      <c r="V305" s="617"/>
      <c r="W305" s="617"/>
      <c r="X305" s="617"/>
      <c r="Y305" s="617"/>
      <c r="Z305" s="617"/>
      <c r="AA305" s="617"/>
      <c r="AB305" s="617"/>
      <c r="AC305" s="617"/>
      <c r="AD305" s="617"/>
      <c r="AE305" s="617"/>
      <c r="AF305" s="617"/>
      <c r="AG305" s="617"/>
      <c r="AH305" s="617"/>
    </row>
    <row r="306" spans="1:34" ht="15" hidden="1">
      <c r="A306" s="617"/>
      <c r="B306" s="617"/>
      <c r="C306" s="617"/>
      <c r="D306" s="617"/>
      <c r="E306" s="617"/>
      <c r="F306" s="617"/>
      <c r="G306" s="617"/>
      <c r="H306" s="617"/>
      <c r="I306" s="617"/>
      <c r="J306" s="617"/>
      <c r="K306" s="617"/>
      <c r="L306" s="617"/>
      <c r="M306" s="617"/>
      <c r="N306" s="617"/>
      <c r="O306" s="617"/>
      <c r="P306" s="617"/>
      <c r="Q306" s="617"/>
      <c r="R306" s="617"/>
      <c r="S306" s="617"/>
      <c r="T306" s="617"/>
      <c r="U306" s="617"/>
      <c r="V306" s="617"/>
      <c r="W306" s="617"/>
      <c r="X306" s="617"/>
      <c r="Y306" s="617"/>
      <c r="Z306" s="617"/>
      <c r="AA306" s="617"/>
      <c r="AB306" s="617"/>
      <c r="AC306" s="617"/>
      <c r="AD306" s="617"/>
      <c r="AE306" s="617"/>
      <c r="AF306" s="617"/>
      <c r="AG306" s="617"/>
      <c r="AH306" s="617"/>
    </row>
    <row r="307" spans="1:34" ht="15" hidden="1">
      <c r="A307" s="617"/>
      <c r="B307" s="617"/>
      <c r="C307" s="617"/>
      <c r="D307" s="617"/>
      <c r="E307" s="617"/>
      <c r="F307" s="617"/>
      <c r="G307" s="617"/>
      <c r="H307" s="617"/>
      <c r="I307" s="617"/>
      <c r="J307" s="617"/>
      <c r="K307" s="617"/>
      <c r="L307" s="617"/>
      <c r="M307" s="617"/>
      <c r="N307" s="617"/>
      <c r="O307" s="617"/>
      <c r="P307" s="617"/>
      <c r="Q307" s="617"/>
      <c r="R307" s="617"/>
      <c r="S307" s="617"/>
      <c r="T307" s="617"/>
      <c r="U307" s="617"/>
      <c r="V307" s="617"/>
      <c r="W307" s="617"/>
      <c r="X307" s="617"/>
      <c r="Y307" s="617"/>
      <c r="Z307" s="617"/>
      <c r="AA307" s="617"/>
      <c r="AB307" s="617"/>
      <c r="AC307" s="617"/>
      <c r="AD307" s="617"/>
      <c r="AE307" s="617"/>
      <c r="AF307" s="617"/>
      <c r="AG307" s="617"/>
      <c r="AH307" s="617"/>
    </row>
    <row r="308" spans="1:34" ht="15" hidden="1">
      <c r="A308" s="617"/>
      <c r="B308" s="617"/>
      <c r="C308" s="617"/>
      <c r="D308" s="617"/>
      <c r="E308" s="617"/>
      <c r="F308" s="617"/>
      <c r="G308" s="617"/>
      <c r="H308" s="617"/>
      <c r="I308" s="617"/>
      <c r="J308" s="617"/>
      <c r="K308" s="617"/>
      <c r="L308" s="617"/>
      <c r="M308" s="617"/>
      <c r="N308" s="617"/>
      <c r="O308" s="617"/>
      <c r="P308" s="617"/>
      <c r="Q308" s="617"/>
      <c r="R308" s="617"/>
      <c r="S308" s="617"/>
      <c r="T308" s="617"/>
      <c r="U308" s="617"/>
      <c r="V308" s="617"/>
      <c r="W308" s="617"/>
      <c r="X308" s="617"/>
      <c r="Y308" s="617"/>
      <c r="Z308" s="617"/>
      <c r="AA308" s="617"/>
      <c r="AB308" s="617"/>
      <c r="AC308" s="617"/>
      <c r="AD308" s="617"/>
      <c r="AE308" s="617"/>
      <c r="AF308" s="617"/>
      <c r="AG308" s="617"/>
      <c r="AH308" s="617"/>
    </row>
    <row r="309" spans="1:34" ht="15" hidden="1">
      <c r="A309" s="617"/>
      <c r="B309" s="617"/>
      <c r="C309" s="617"/>
      <c r="D309" s="617"/>
      <c r="E309" s="617"/>
      <c r="F309" s="617"/>
      <c r="G309" s="617"/>
      <c r="H309" s="617"/>
      <c r="I309" s="617"/>
      <c r="J309" s="617"/>
      <c r="K309" s="617"/>
      <c r="L309" s="617"/>
      <c r="M309" s="617"/>
      <c r="N309" s="617"/>
      <c r="O309" s="617"/>
      <c r="P309" s="617"/>
      <c r="Q309" s="617"/>
      <c r="R309" s="617"/>
      <c r="S309" s="617"/>
      <c r="T309" s="617"/>
      <c r="U309" s="617"/>
      <c r="V309" s="617"/>
      <c r="W309" s="617"/>
      <c r="X309" s="617"/>
      <c r="Y309" s="617"/>
      <c r="Z309" s="617"/>
      <c r="AA309" s="617"/>
      <c r="AB309" s="617"/>
      <c r="AC309" s="617"/>
      <c r="AD309" s="617"/>
      <c r="AE309" s="617"/>
      <c r="AF309" s="617"/>
      <c r="AG309" s="617"/>
      <c r="AH309" s="617"/>
    </row>
    <row r="310" spans="1:34" ht="15" hidden="1">
      <c r="A310" s="617"/>
      <c r="B310" s="617"/>
      <c r="C310" s="617"/>
      <c r="D310" s="617"/>
      <c r="E310" s="617"/>
      <c r="F310" s="617"/>
      <c r="G310" s="617"/>
      <c r="H310" s="617"/>
      <c r="I310" s="617"/>
      <c r="J310" s="617"/>
      <c r="K310" s="617"/>
      <c r="L310" s="617"/>
      <c r="M310" s="617"/>
      <c r="N310" s="617"/>
      <c r="O310" s="617"/>
      <c r="P310" s="617"/>
      <c r="Q310" s="617"/>
      <c r="R310" s="617"/>
      <c r="S310" s="617"/>
      <c r="T310" s="617"/>
      <c r="U310" s="617"/>
      <c r="V310" s="617"/>
      <c r="W310" s="617"/>
      <c r="X310" s="617"/>
      <c r="Y310" s="617"/>
      <c r="Z310" s="617"/>
      <c r="AA310" s="617"/>
      <c r="AB310" s="617"/>
      <c r="AC310" s="617"/>
      <c r="AD310" s="617"/>
      <c r="AE310" s="617"/>
      <c r="AF310" s="617"/>
      <c r="AG310" s="617"/>
      <c r="AH310" s="617"/>
    </row>
    <row r="311" spans="1:34" ht="15" hidden="1">
      <c r="A311" s="617"/>
      <c r="B311" s="617"/>
      <c r="C311" s="617"/>
      <c r="D311" s="617"/>
      <c r="E311" s="617"/>
      <c r="F311" s="617"/>
      <c r="G311" s="617"/>
      <c r="H311" s="617"/>
      <c r="I311" s="617"/>
      <c r="J311" s="617"/>
      <c r="K311" s="617"/>
      <c r="L311" s="617"/>
      <c r="M311" s="617"/>
      <c r="N311" s="617"/>
      <c r="O311" s="617"/>
      <c r="P311" s="617"/>
      <c r="Q311" s="617"/>
      <c r="R311" s="617"/>
      <c r="S311" s="617"/>
      <c r="T311" s="617"/>
      <c r="U311" s="617"/>
      <c r="V311" s="617"/>
      <c r="W311" s="617"/>
      <c r="X311" s="617"/>
      <c r="Y311" s="617"/>
      <c r="Z311" s="617"/>
      <c r="AA311" s="617"/>
      <c r="AB311" s="617"/>
      <c r="AC311" s="617"/>
      <c r="AD311" s="617"/>
      <c r="AE311" s="617"/>
      <c r="AF311" s="617"/>
      <c r="AG311" s="617"/>
      <c r="AH311" s="617"/>
    </row>
    <row r="312" spans="1:34" ht="15" hidden="1">
      <c r="A312" s="617"/>
      <c r="B312" s="617"/>
      <c r="C312" s="617"/>
      <c r="D312" s="617"/>
      <c r="E312" s="617"/>
      <c r="F312" s="617"/>
      <c r="G312" s="617"/>
      <c r="H312" s="617"/>
      <c r="I312" s="617"/>
      <c r="J312" s="617"/>
      <c r="K312" s="617"/>
      <c r="L312" s="617"/>
      <c r="M312" s="617"/>
      <c r="N312" s="617"/>
      <c r="O312" s="617"/>
      <c r="P312" s="617"/>
      <c r="Q312" s="617"/>
      <c r="R312" s="617"/>
      <c r="S312" s="617"/>
      <c r="T312" s="617"/>
      <c r="U312" s="617"/>
      <c r="V312" s="617"/>
      <c r="W312" s="617"/>
      <c r="X312" s="617"/>
      <c r="Y312" s="617"/>
      <c r="Z312" s="617"/>
      <c r="AA312" s="617"/>
      <c r="AB312" s="617"/>
      <c r="AC312" s="617"/>
      <c r="AD312" s="617"/>
      <c r="AE312" s="617"/>
      <c r="AF312" s="617"/>
      <c r="AG312" s="617"/>
      <c r="AH312" s="617"/>
    </row>
    <row r="313" spans="1:34" ht="15" hidden="1">
      <c r="A313" s="617"/>
      <c r="B313" s="617"/>
      <c r="C313" s="617"/>
      <c r="D313" s="617"/>
      <c r="E313" s="617"/>
      <c r="F313" s="617"/>
      <c r="G313" s="617"/>
      <c r="H313" s="617"/>
      <c r="I313" s="617"/>
      <c r="J313" s="617"/>
      <c r="K313" s="617"/>
      <c r="L313" s="617"/>
      <c r="M313" s="617"/>
      <c r="N313" s="617"/>
      <c r="O313" s="617"/>
      <c r="P313" s="617"/>
      <c r="Q313" s="617"/>
      <c r="R313" s="617"/>
      <c r="S313" s="617"/>
      <c r="T313" s="617"/>
      <c r="U313" s="617"/>
      <c r="V313" s="617"/>
      <c r="W313" s="617"/>
      <c r="X313" s="617"/>
      <c r="Y313" s="617"/>
      <c r="Z313" s="617"/>
      <c r="AA313" s="617"/>
      <c r="AB313" s="617"/>
      <c r="AC313" s="617"/>
      <c r="AD313" s="617"/>
      <c r="AE313" s="617"/>
      <c r="AF313" s="617"/>
      <c r="AG313" s="617"/>
      <c r="AH313" s="617"/>
    </row>
    <row r="314" spans="1:34" ht="15" hidden="1">
      <c r="A314" s="617"/>
      <c r="B314" s="617"/>
      <c r="C314" s="617"/>
      <c r="D314" s="617"/>
      <c r="E314" s="617"/>
      <c r="F314" s="617"/>
      <c r="G314" s="617"/>
      <c r="H314" s="617"/>
      <c r="I314" s="617"/>
      <c r="J314" s="617"/>
      <c r="K314" s="617"/>
      <c r="L314" s="617"/>
      <c r="M314" s="617"/>
      <c r="N314" s="617"/>
      <c r="O314" s="617"/>
      <c r="P314" s="617"/>
      <c r="Q314" s="617"/>
      <c r="R314" s="617"/>
      <c r="S314" s="617"/>
      <c r="T314" s="617"/>
      <c r="U314" s="617"/>
      <c r="V314" s="617"/>
      <c r="W314" s="617"/>
      <c r="X314" s="617"/>
      <c r="Y314" s="617"/>
      <c r="Z314" s="617"/>
      <c r="AA314" s="617"/>
      <c r="AB314" s="617"/>
      <c r="AC314" s="617"/>
      <c r="AD314" s="617"/>
      <c r="AE314" s="617"/>
      <c r="AF314" s="617"/>
      <c r="AG314" s="617"/>
      <c r="AH314" s="617"/>
    </row>
    <row r="315" spans="1:34" ht="15" hidden="1">
      <c r="A315" s="617"/>
      <c r="B315" s="617"/>
      <c r="C315" s="617"/>
      <c r="D315" s="617"/>
      <c r="E315" s="617"/>
      <c r="F315" s="617"/>
      <c r="G315" s="617"/>
      <c r="H315" s="617"/>
      <c r="I315" s="617"/>
      <c r="J315" s="617"/>
      <c r="K315" s="617"/>
      <c r="L315" s="617"/>
      <c r="M315" s="617"/>
      <c r="N315" s="617"/>
      <c r="O315" s="617"/>
      <c r="P315" s="617"/>
      <c r="Q315" s="617"/>
      <c r="R315" s="617"/>
      <c r="S315" s="617"/>
      <c r="T315" s="617"/>
      <c r="U315" s="617"/>
      <c r="V315" s="617"/>
      <c r="W315" s="617"/>
      <c r="X315" s="617"/>
      <c r="Y315" s="617"/>
      <c r="Z315" s="617"/>
      <c r="AA315" s="617"/>
      <c r="AB315" s="617"/>
      <c r="AC315" s="617"/>
      <c r="AD315" s="617"/>
      <c r="AE315" s="617"/>
      <c r="AF315" s="617"/>
      <c r="AG315" s="617"/>
      <c r="AH315" s="617"/>
    </row>
    <row r="316" spans="1:34" ht="15" hidden="1">
      <c r="A316" s="617"/>
      <c r="B316" s="617"/>
      <c r="C316" s="617"/>
      <c r="D316" s="617"/>
      <c r="E316" s="617"/>
      <c r="F316" s="617"/>
      <c r="G316" s="617"/>
      <c r="H316" s="617"/>
      <c r="I316" s="617"/>
      <c r="J316" s="617"/>
      <c r="K316" s="617"/>
      <c r="L316" s="617"/>
      <c r="M316" s="617"/>
      <c r="N316" s="617"/>
      <c r="O316" s="617"/>
      <c r="P316" s="617"/>
      <c r="Q316" s="617"/>
      <c r="R316" s="617"/>
      <c r="S316" s="617"/>
      <c r="T316" s="617"/>
      <c r="U316" s="617"/>
      <c r="V316" s="617"/>
      <c r="W316" s="617"/>
      <c r="X316" s="617"/>
      <c r="Y316" s="617"/>
      <c r="Z316" s="617"/>
      <c r="AA316" s="617"/>
      <c r="AB316" s="617"/>
      <c r="AC316" s="617"/>
      <c r="AD316" s="617"/>
      <c r="AE316" s="617"/>
      <c r="AF316" s="617"/>
      <c r="AG316" s="617"/>
      <c r="AH316" s="617"/>
    </row>
    <row r="317" spans="1:34" ht="15" hidden="1">
      <c r="A317" s="617"/>
      <c r="B317" s="617"/>
      <c r="C317" s="617"/>
      <c r="D317" s="617"/>
      <c r="E317" s="617"/>
      <c r="F317" s="617"/>
      <c r="G317" s="617"/>
      <c r="H317" s="617"/>
      <c r="I317" s="617"/>
      <c r="J317" s="617"/>
      <c r="K317" s="617"/>
      <c r="L317" s="617"/>
      <c r="M317" s="617"/>
      <c r="N317" s="617"/>
      <c r="O317" s="617"/>
      <c r="P317" s="617"/>
      <c r="Q317" s="617"/>
      <c r="R317" s="617"/>
      <c r="S317" s="617"/>
      <c r="T317" s="617"/>
      <c r="U317" s="617"/>
      <c r="V317" s="617"/>
      <c r="W317" s="617"/>
      <c r="X317" s="617"/>
      <c r="Y317" s="617"/>
      <c r="Z317" s="617"/>
      <c r="AA317" s="617"/>
      <c r="AB317" s="617"/>
      <c r="AC317" s="617"/>
      <c r="AD317" s="617"/>
      <c r="AE317" s="617"/>
      <c r="AF317" s="617"/>
      <c r="AG317" s="617"/>
      <c r="AH317" s="617"/>
    </row>
    <row r="318" spans="1:34" ht="15" hidden="1">
      <c r="A318" s="617"/>
      <c r="B318" s="617"/>
      <c r="C318" s="617"/>
      <c r="D318" s="617"/>
      <c r="E318" s="617"/>
      <c r="F318" s="617"/>
      <c r="G318" s="617"/>
      <c r="H318" s="617"/>
      <c r="I318" s="617"/>
      <c r="J318" s="617"/>
      <c r="K318" s="617"/>
      <c r="L318" s="617"/>
      <c r="M318" s="617"/>
      <c r="N318" s="617"/>
      <c r="O318" s="617"/>
      <c r="P318" s="617"/>
      <c r="Q318" s="617"/>
      <c r="R318" s="617"/>
      <c r="S318" s="617"/>
      <c r="T318" s="617"/>
      <c r="U318" s="617"/>
      <c r="V318" s="617"/>
      <c r="W318" s="617"/>
      <c r="X318" s="617"/>
      <c r="Y318" s="617"/>
      <c r="Z318" s="617"/>
      <c r="AA318" s="617"/>
      <c r="AB318" s="617"/>
      <c r="AC318" s="617"/>
      <c r="AD318" s="617"/>
      <c r="AE318" s="617"/>
      <c r="AF318" s="617"/>
      <c r="AG318" s="617"/>
      <c r="AH318" s="617"/>
    </row>
    <row r="319" spans="1:34" ht="15" hidden="1">
      <c r="A319" s="617"/>
      <c r="B319" s="617"/>
      <c r="C319" s="617"/>
      <c r="D319" s="617"/>
      <c r="E319" s="617"/>
      <c r="F319" s="617"/>
      <c r="G319" s="617"/>
      <c r="H319" s="617"/>
      <c r="I319" s="617"/>
      <c r="J319" s="617"/>
      <c r="K319" s="617"/>
      <c r="L319" s="617"/>
      <c r="M319" s="617"/>
      <c r="N319" s="617"/>
      <c r="O319" s="617"/>
      <c r="P319" s="617"/>
      <c r="Q319" s="617"/>
      <c r="R319" s="617"/>
      <c r="S319" s="617"/>
      <c r="T319" s="617"/>
      <c r="U319" s="617"/>
      <c r="V319" s="617"/>
      <c r="W319" s="617"/>
      <c r="X319" s="617"/>
      <c r="Y319" s="617"/>
      <c r="Z319" s="617"/>
      <c r="AA319" s="617"/>
      <c r="AB319" s="617"/>
      <c r="AC319" s="617"/>
      <c r="AD319" s="617"/>
      <c r="AE319" s="617"/>
      <c r="AF319" s="617"/>
      <c r="AG319" s="617"/>
      <c r="AH319" s="617"/>
    </row>
    <row r="320" spans="1:34" ht="15" hidden="1">
      <c r="A320" s="617"/>
      <c r="B320" s="617"/>
      <c r="C320" s="617"/>
      <c r="D320" s="617"/>
      <c r="E320" s="617"/>
      <c r="F320" s="617"/>
      <c r="G320" s="617"/>
      <c r="H320" s="617"/>
      <c r="I320" s="617"/>
      <c r="J320" s="617"/>
      <c r="K320" s="617"/>
      <c r="L320" s="617"/>
      <c r="M320" s="617"/>
      <c r="N320" s="617"/>
      <c r="O320" s="617"/>
      <c r="P320" s="617"/>
      <c r="Q320" s="617"/>
      <c r="R320" s="617"/>
      <c r="S320" s="617"/>
      <c r="T320" s="617"/>
      <c r="U320" s="617"/>
      <c r="V320" s="617"/>
      <c r="W320" s="617"/>
      <c r="X320" s="617"/>
      <c r="Y320" s="617"/>
      <c r="Z320" s="617"/>
      <c r="AA320" s="617"/>
      <c r="AB320" s="617"/>
      <c r="AC320" s="617"/>
      <c r="AD320" s="617"/>
      <c r="AE320" s="617"/>
      <c r="AF320" s="617"/>
      <c r="AG320" s="617"/>
      <c r="AH320" s="617"/>
    </row>
    <row r="321" spans="1:34" ht="15" hidden="1">
      <c r="A321" s="617"/>
      <c r="B321" s="617"/>
      <c r="C321" s="617"/>
      <c r="D321" s="617"/>
      <c r="E321" s="617"/>
      <c r="F321" s="617"/>
      <c r="G321" s="617"/>
      <c r="H321" s="617"/>
      <c r="I321" s="617"/>
      <c r="J321" s="617"/>
      <c r="K321" s="617"/>
      <c r="L321" s="617"/>
      <c r="M321" s="617"/>
      <c r="N321" s="617"/>
      <c r="O321" s="617"/>
      <c r="P321" s="617"/>
      <c r="Q321" s="617"/>
      <c r="R321" s="617"/>
      <c r="S321" s="617"/>
      <c r="T321" s="617"/>
      <c r="U321" s="617"/>
      <c r="V321" s="617"/>
      <c r="W321" s="617"/>
      <c r="X321" s="617"/>
      <c r="Y321" s="617"/>
      <c r="Z321" s="617"/>
      <c r="AA321" s="617"/>
      <c r="AB321" s="617"/>
      <c r="AC321" s="617"/>
      <c r="AD321" s="617"/>
      <c r="AE321" s="617"/>
      <c r="AF321" s="617"/>
      <c r="AG321" s="617"/>
      <c r="AH321" s="617"/>
    </row>
    <row r="322" spans="1:34" ht="15" hidden="1">
      <c r="A322" s="617"/>
      <c r="B322" s="617"/>
      <c r="C322" s="617"/>
      <c r="D322" s="617"/>
      <c r="E322" s="617"/>
      <c r="F322" s="617"/>
      <c r="G322" s="617"/>
      <c r="H322" s="617"/>
      <c r="I322" s="617"/>
      <c r="J322" s="617"/>
      <c r="K322" s="617"/>
      <c r="L322" s="617"/>
      <c r="M322" s="617"/>
      <c r="N322" s="617"/>
      <c r="O322" s="617"/>
      <c r="P322" s="617"/>
      <c r="Q322" s="617"/>
      <c r="R322" s="617"/>
      <c r="S322" s="617"/>
      <c r="T322" s="617"/>
      <c r="U322" s="617"/>
      <c r="V322" s="617"/>
      <c r="W322" s="617"/>
      <c r="X322" s="617"/>
      <c r="Y322" s="617"/>
      <c r="Z322" s="617"/>
      <c r="AA322" s="617"/>
      <c r="AB322" s="617"/>
      <c r="AC322" s="617"/>
      <c r="AD322" s="617"/>
      <c r="AE322" s="617"/>
      <c r="AF322" s="617"/>
      <c r="AG322" s="617"/>
      <c r="AH322" s="617"/>
    </row>
    <row r="323" spans="1:34" ht="15" hidden="1">
      <c r="A323" s="617"/>
      <c r="B323" s="617"/>
      <c r="C323" s="617"/>
      <c r="D323" s="617"/>
      <c r="E323" s="617"/>
      <c r="F323" s="617"/>
      <c r="G323" s="617"/>
      <c r="H323" s="617"/>
      <c r="I323" s="617"/>
      <c r="J323" s="617"/>
      <c r="K323" s="617"/>
      <c r="L323" s="617"/>
      <c r="M323" s="617"/>
      <c r="N323" s="617"/>
      <c r="O323" s="617"/>
      <c r="P323" s="617"/>
      <c r="Q323" s="617"/>
      <c r="R323" s="617"/>
      <c r="S323" s="617"/>
      <c r="T323" s="617"/>
      <c r="U323" s="617"/>
      <c r="V323" s="617"/>
      <c r="W323" s="617"/>
      <c r="X323" s="617"/>
      <c r="Y323" s="617"/>
      <c r="Z323" s="617"/>
      <c r="AA323" s="617"/>
      <c r="AB323" s="617"/>
      <c r="AC323" s="617"/>
      <c r="AD323" s="617"/>
      <c r="AE323" s="617"/>
      <c r="AF323" s="617"/>
      <c r="AG323" s="617"/>
      <c r="AH323" s="617"/>
    </row>
    <row r="324" spans="1:34" ht="15" hidden="1">
      <c r="A324" s="617"/>
      <c r="B324" s="617"/>
      <c r="C324" s="617"/>
      <c r="D324" s="617"/>
      <c r="E324" s="617"/>
      <c r="F324" s="617"/>
      <c r="G324" s="617"/>
      <c r="H324" s="617"/>
      <c r="I324" s="617"/>
      <c r="J324" s="617"/>
      <c r="K324" s="617"/>
      <c r="L324" s="617"/>
      <c r="M324" s="617"/>
      <c r="N324" s="617"/>
      <c r="O324" s="617"/>
      <c r="P324" s="617"/>
      <c r="Q324" s="617"/>
      <c r="R324" s="617"/>
      <c r="S324" s="617"/>
      <c r="T324" s="617"/>
      <c r="U324" s="617"/>
      <c r="V324" s="617"/>
      <c r="W324" s="617"/>
      <c r="X324" s="617"/>
      <c r="Y324" s="617"/>
      <c r="Z324" s="617"/>
      <c r="AA324" s="617"/>
      <c r="AB324" s="617"/>
      <c r="AC324" s="617"/>
      <c r="AD324" s="617"/>
      <c r="AE324" s="617"/>
      <c r="AF324" s="617"/>
      <c r="AG324" s="617"/>
      <c r="AH324" s="617"/>
    </row>
    <row r="325" spans="1:34" ht="15" hidden="1">
      <c r="A325" s="617"/>
      <c r="B325" s="617"/>
      <c r="C325" s="617"/>
      <c r="D325" s="617"/>
      <c r="E325" s="617"/>
      <c r="F325" s="617"/>
      <c r="G325" s="617"/>
      <c r="H325" s="617"/>
      <c r="I325" s="617"/>
      <c r="J325" s="617"/>
      <c r="K325" s="617"/>
      <c r="L325" s="617"/>
      <c r="M325" s="617"/>
      <c r="N325" s="617"/>
      <c r="O325" s="617"/>
      <c r="P325" s="617"/>
      <c r="Q325" s="617"/>
      <c r="R325" s="617"/>
      <c r="S325" s="617"/>
      <c r="T325" s="617"/>
      <c r="U325" s="617"/>
      <c r="V325" s="617"/>
      <c r="W325" s="617"/>
      <c r="X325" s="617"/>
      <c r="Y325" s="617"/>
      <c r="Z325" s="617"/>
      <c r="AA325" s="617"/>
      <c r="AB325" s="617"/>
      <c r="AC325" s="617"/>
      <c r="AD325" s="617"/>
      <c r="AE325" s="617"/>
      <c r="AF325" s="617"/>
      <c r="AG325" s="617"/>
      <c r="AH325" s="617"/>
    </row>
    <row r="326" spans="1:34" ht="15" hidden="1">
      <c r="A326" s="617"/>
      <c r="B326" s="617"/>
      <c r="C326" s="617"/>
      <c r="D326" s="617"/>
      <c r="E326" s="617"/>
      <c r="F326" s="617"/>
      <c r="G326" s="617"/>
      <c r="H326" s="617"/>
      <c r="I326" s="617"/>
      <c r="J326" s="617"/>
      <c r="K326" s="617"/>
      <c r="L326" s="617"/>
      <c r="M326" s="617"/>
      <c r="N326" s="617"/>
      <c r="O326" s="617"/>
      <c r="P326" s="617"/>
      <c r="Q326" s="617"/>
      <c r="R326" s="617"/>
      <c r="S326" s="617"/>
      <c r="T326" s="617"/>
      <c r="U326" s="617"/>
      <c r="V326" s="617"/>
      <c r="W326" s="617"/>
      <c r="X326" s="617"/>
      <c r="Y326" s="617"/>
      <c r="Z326" s="617"/>
      <c r="AA326" s="617"/>
      <c r="AB326" s="617"/>
      <c r="AC326" s="617"/>
      <c r="AD326" s="617"/>
      <c r="AE326" s="617"/>
      <c r="AF326" s="617"/>
      <c r="AG326" s="617"/>
      <c r="AH326" s="617"/>
    </row>
    <row r="327" spans="1:34" ht="15" hidden="1">
      <c r="A327" s="617"/>
      <c r="B327" s="617"/>
      <c r="C327" s="617"/>
      <c r="D327" s="617"/>
      <c r="E327" s="617"/>
      <c r="F327" s="617"/>
      <c r="G327" s="617"/>
      <c r="H327" s="617"/>
      <c r="I327" s="617"/>
      <c r="J327" s="617"/>
      <c r="K327" s="617"/>
      <c r="L327" s="617"/>
      <c r="M327" s="617"/>
      <c r="N327" s="617"/>
      <c r="O327" s="617"/>
      <c r="P327" s="617"/>
      <c r="Q327" s="617"/>
      <c r="R327" s="617"/>
      <c r="S327" s="617"/>
      <c r="T327" s="617"/>
      <c r="U327" s="617"/>
      <c r="V327" s="617"/>
      <c r="W327" s="617"/>
      <c r="X327" s="617"/>
      <c r="Y327" s="617"/>
      <c r="Z327" s="617"/>
      <c r="AA327" s="617"/>
      <c r="AB327" s="617"/>
      <c r="AC327" s="617"/>
      <c r="AD327" s="617"/>
      <c r="AE327" s="617"/>
      <c r="AF327" s="617"/>
      <c r="AG327" s="617"/>
      <c r="AH327" s="617"/>
    </row>
    <row r="328" spans="1:34" ht="15" hidden="1">
      <c r="A328" s="617"/>
      <c r="B328" s="617"/>
      <c r="C328" s="617"/>
      <c r="D328" s="617"/>
      <c r="E328" s="617"/>
      <c r="F328" s="617"/>
      <c r="G328" s="617"/>
      <c r="H328" s="617"/>
      <c r="I328" s="617"/>
      <c r="J328" s="617"/>
      <c r="K328" s="617"/>
      <c r="L328" s="617"/>
      <c r="M328" s="617"/>
      <c r="N328" s="617"/>
      <c r="O328" s="617"/>
      <c r="P328" s="617"/>
      <c r="Q328" s="617"/>
      <c r="R328" s="617"/>
      <c r="S328" s="617"/>
      <c r="T328" s="617"/>
      <c r="U328" s="617"/>
      <c r="V328" s="617"/>
      <c r="W328" s="617"/>
      <c r="X328" s="617"/>
      <c r="Y328" s="617"/>
      <c r="Z328" s="617"/>
      <c r="AA328" s="617"/>
      <c r="AB328" s="617"/>
      <c r="AC328" s="617"/>
      <c r="AD328" s="617"/>
      <c r="AE328" s="617"/>
      <c r="AF328" s="617"/>
      <c r="AG328" s="617"/>
      <c r="AH328" s="617"/>
    </row>
    <row r="329" spans="1:34" ht="15" hidden="1">
      <c r="A329" s="617"/>
      <c r="B329" s="617"/>
      <c r="C329" s="617"/>
      <c r="D329" s="617"/>
      <c r="E329" s="617"/>
      <c r="F329" s="617"/>
      <c r="G329" s="617"/>
      <c r="H329" s="617"/>
      <c r="I329" s="617"/>
      <c r="J329" s="617"/>
      <c r="K329" s="617"/>
      <c r="L329" s="617"/>
      <c r="M329" s="617"/>
      <c r="N329" s="617"/>
      <c r="O329" s="617"/>
      <c r="P329" s="617"/>
      <c r="Q329" s="617"/>
      <c r="R329" s="617"/>
      <c r="S329" s="617"/>
      <c r="T329" s="617"/>
      <c r="U329" s="617"/>
      <c r="V329" s="617"/>
      <c r="W329" s="617"/>
      <c r="X329" s="617"/>
      <c r="Y329" s="617"/>
      <c r="Z329" s="617"/>
      <c r="AA329" s="617"/>
      <c r="AB329" s="617"/>
      <c r="AC329" s="617"/>
      <c r="AD329" s="617"/>
      <c r="AE329" s="617"/>
      <c r="AF329" s="617"/>
      <c r="AG329" s="617"/>
      <c r="AH329" s="617"/>
    </row>
    <row r="330" spans="1:34" ht="15" hidden="1">
      <c r="A330" s="617"/>
      <c r="B330" s="617"/>
      <c r="C330" s="617"/>
      <c r="D330" s="617"/>
      <c r="E330" s="617"/>
      <c r="F330" s="617"/>
      <c r="G330" s="617"/>
      <c r="H330" s="617"/>
      <c r="I330" s="617"/>
      <c r="J330" s="617"/>
      <c r="K330" s="617"/>
      <c r="L330" s="617"/>
      <c r="M330" s="617"/>
      <c r="N330" s="617"/>
      <c r="O330" s="617"/>
      <c r="P330" s="617"/>
      <c r="Q330" s="617"/>
      <c r="R330" s="617"/>
      <c r="S330" s="617"/>
      <c r="T330" s="617"/>
      <c r="U330" s="617"/>
      <c r="V330" s="617"/>
      <c r="W330" s="617"/>
      <c r="X330" s="617"/>
      <c r="Y330" s="617"/>
      <c r="Z330" s="617"/>
      <c r="AA330" s="617"/>
      <c r="AB330" s="617"/>
      <c r="AC330" s="617"/>
      <c r="AD330" s="617"/>
      <c r="AE330" s="617"/>
      <c r="AF330" s="617"/>
      <c r="AG330" s="617"/>
      <c r="AH330" s="617"/>
    </row>
    <row r="331" spans="1:34" ht="15" hidden="1">
      <c r="A331" s="617"/>
      <c r="B331" s="617"/>
      <c r="C331" s="617"/>
      <c r="D331" s="617"/>
      <c r="E331" s="617"/>
      <c r="F331" s="617"/>
      <c r="G331" s="617"/>
      <c r="H331" s="617"/>
      <c r="I331" s="617"/>
      <c r="J331" s="617"/>
      <c r="K331" s="617"/>
      <c r="L331" s="617"/>
      <c r="M331" s="617"/>
      <c r="N331" s="617"/>
      <c r="O331" s="617"/>
      <c r="P331" s="617"/>
      <c r="Q331" s="617"/>
      <c r="R331" s="617"/>
      <c r="S331" s="617"/>
      <c r="T331" s="617"/>
      <c r="U331" s="617"/>
      <c r="V331" s="617"/>
      <c r="W331" s="617"/>
      <c r="X331" s="617"/>
      <c r="Y331" s="617"/>
      <c r="Z331" s="617"/>
      <c r="AA331" s="617"/>
      <c r="AB331" s="617"/>
      <c r="AC331" s="617"/>
      <c r="AD331" s="617"/>
      <c r="AE331" s="617"/>
      <c r="AF331" s="617"/>
      <c r="AG331" s="617"/>
      <c r="AH331" s="617"/>
    </row>
    <row r="332" spans="1:34" ht="15" hidden="1">
      <c r="A332" s="617"/>
      <c r="B332" s="617"/>
      <c r="C332" s="617"/>
      <c r="D332" s="617"/>
      <c r="E332" s="617"/>
      <c r="F332" s="617"/>
      <c r="G332" s="617"/>
      <c r="H332" s="617"/>
      <c r="I332" s="617"/>
      <c r="J332" s="617"/>
      <c r="K332" s="617"/>
      <c r="L332" s="617"/>
      <c r="M332" s="617"/>
      <c r="N332" s="617"/>
      <c r="O332" s="617"/>
      <c r="P332" s="617"/>
      <c r="Q332" s="617"/>
      <c r="R332" s="617"/>
      <c r="S332" s="617"/>
      <c r="T332" s="617"/>
      <c r="U332" s="617"/>
      <c r="V332" s="617"/>
      <c r="W332" s="617"/>
      <c r="X332" s="617"/>
      <c r="Y332" s="617"/>
      <c r="Z332" s="617"/>
      <c r="AA332" s="617"/>
      <c r="AB332" s="617"/>
      <c r="AC332" s="617"/>
      <c r="AD332" s="617"/>
      <c r="AE332" s="617"/>
      <c r="AF332" s="617"/>
      <c r="AG332" s="617"/>
      <c r="AH332" s="617"/>
    </row>
    <row r="333" spans="1:34" ht="15" hidden="1">
      <c r="A333" s="617"/>
      <c r="B333" s="617"/>
      <c r="C333" s="617"/>
      <c r="D333" s="617"/>
      <c r="E333" s="617"/>
      <c r="F333" s="617"/>
      <c r="G333" s="617"/>
      <c r="H333" s="617"/>
      <c r="I333" s="617"/>
      <c r="J333" s="617"/>
      <c r="K333" s="617"/>
      <c r="L333" s="617"/>
      <c r="M333" s="617"/>
      <c r="N333" s="617"/>
      <c r="O333" s="617"/>
      <c r="P333" s="617"/>
      <c r="Q333" s="617"/>
      <c r="R333" s="617"/>
      <c r="S333" s="617"/>
      <c r="T333" s="617"/>
      <c r="U333" s="617"/>
      <c r="V333" s="617"/>
      <c r="W333" s="617"/>
      <c r="X333" s="617"/>
      <c r="Y333" s="617"/>
      <c r="Z333" s="617"/>
      <c r="AA333" s="617"/>
      <c r="AB333" s="617"/>
      <c r="AC333" s="617"/>
      <c r="AD333" s="617"/>
      <c r="AE333" s="617"/>
      <c r="AF333" s="617"/>
      <c r="AG333" s="617"/>
      <c r="AH333" s="617"/>
    </row>
    <row r="334" spans="1:34" ht="15" hidden="1">
      <c r="A334" s="617"/>
      <c r="B334" s="617"/>
      <c r="C334" s="617"/>
      <c r="D334" s="617"/>
      <c r="E334" s="617"/>
      <c r="F334" s="617"/>
      <c r="G334" s="617"/>
      <c r="H334" s="617"/>
      <c r="I334" s="617"/>
      <c r="J334" s="617"/>
      <c r="K334" s="617"/>
      <c r="L334" s="617"/>
      <c r="M334" s="617"/>
      <c r="N334" s="617"/>
      <c r="O334" s="617"/>
      <c r="P334" s="617"/>
      <c r="Q334" s="617"/>
      <c r="R334" s="617"/>
      <c r="S334" s="617"/>
      <c r="T334" s="617"/>
      <c r="U334" s="617"/>
      <c r="V334" s="617"/>
      <c r="W334" s="617"/>
      <c r="X334" s="617"/>
      <c r="Y334" s="617"/>
      <c r="Z334" s="617"/>
      <c r="AA334" s="617"/>
      <c r="AB334" s="617"/>
      <c r="AC334" s="617"/>
      <c r="AD334" s="617"/>
      <c r="AE334" s="617"/>
      <c r="AF334" s="617"/>
      <c r="AG334" s="617"/>
      <c r="AH334" s="617"/>
    </row>
    <row r="335" spans="1:34" ht="15" hidden="1">
      <c r="A335" s="617"/>
      <c r="B335" s="617"/>
      <c r="C335" s="617"/>
      <c r="D335" s="617"/>
      <c r="E335" s="617"/>
      <c r="F335" s="617"/>
      <c r="G335" s="617"/>
      <c r="H335" s="617"/>
      <c r="I335" s="617"/>
      <c r="J335" s="617"/>
      <c r="K335" s="617"/>
      <c r="L335" s="617"/>
      <c r="M335" s="617"/>
      <c r="N335" s="617"/>
      <c r="O335" s="617"/>
      <c r="P335" s="617"/>
      <c r="Q335" s="617"/>
      <c r="R335" s="617"/>
      <c r="S335" s="617"/>
      <c r="T335" s="617"/>
      <c r="U335" s="617"/>
      <c r="V335" s="617"/>
      <c r="W335" s="617"/>
      <c r="X335" s="617"/>
      <c r="Y335" s="617"/>
      <c r="Z335" s="617"/>
      <c r="AA335" s="617"/>
      <c r="AB335" s="617"/>
      <c r="AC335" s="617"/>
      <c r="AD335" s="617"/>
      <c r="AE335" s="617"/>
      <c r="AF335" s="617"/>
      <c r="AG335" s="617"/>
      <c r="AH335" s="617"/>
    </row>
    <row r="336" spans="1:34" ht="15" hidden="1">
      <c r="A336" s="617"/>
      <c r="B336" s="617"/>
      <c r="C336" s="617"/>
      <c r="D336" s="617"/>
      <c r="E336" s="617"/>
      <c r="F336" s="617"/>
      <c r="G336" s="617"/>
      <c r="H336" s="617"/>
      <c r="I336" s="617"/>
      <c r="J336" s="617"/>
      <c r="K336" s="617"/>
      <c r="L336" s="617"/>
      <c r="M336" s="617"/>
      <c r="N336" s="617"/>
      <c r="O336" s="617"/>
      <c r="P336" s="617"/>
      <c r="Q336" s="617"/>
      <c r="R336" s="617"/>
      <c r="S336" s="617"/>
      <c r="T336" s="617"/>
      <c r="U336" s="617"/>
      <c r="V336" s="617"/>
      <c r="W336" s="617"/>
      <c r="X336" s="617"/>
      <c r="Y336" s="617"/>
      <c r="Z336" s="617"/>
      <c r="AA336" s="617"/>
      <c r="AB336" s="617"/>
      <c r="AC336" s="617"/>
      <c r="AD336" s="617"/>
      <c r="AE336" s="617"/>
      <c r="AF336" s="617"/>
      <c r="AG336" s="617"/>
      <c r="AH336" s="617"/>
    </row>
    <row r="337" spans="1:34" ht="15" hidden="1">
      <c r="A337" s="617"/>
      <c r="B337" s="617"/>
      <c r="C337" s="617"/>
      <c r="D337" s="617"/>
      <c r="E337" s="617"/>
      <c r="F337" s="617"/>
      <c r="G337" s="617"/>
      <c r="H337" s="617"/>
      <c r="I337" s="617"/>
      <c r="J337" s="617"/>
      <c r="K337" s="617"/>
      <c r="L337" s="617"/>
      <c r="M337" s="617"/>
      <c r="N337" s="617"/>
      <c r="O337" s="617"/>
      <c r="P337" s="617"/>
      <c r="Q337" s="617"/>
      <c r="R337" s="617"/>
      <c r="S337" s="617"/>
      <c r="T337" s="617"/>
      <c r="U337" s="617"/>
      <c r="V337" s="617"/>
      <c r="W337" s="617"/>
      <c r="X337" s="617"/>
      <c r="Y337" s="617"/>
      <c r="Z337" s="617"/>
      <c r="AA337" s="617"/>
      <c r="AB337" s="617"/>
      <c r="AC337" s="617"/>
      <c r="AD337" s="617"/>
      <c r="AE337" s="617"/>
      <c r="AF337" s="617"/>
      <c r="AG337" s="617"/>
      <c r="AH337" s="617"/>
    </row>
    <row r="338" spans="1:34" ht="15" hidden="1">
      <c r="A338" s="617"/>
      <c r="B338" s="617"/>
      <c r="C338" s="617"/>
      <c r="D338" s="617"/>
      <c r="E338" s="617"/>
      <c r="F338" s="617"/>
      <c r="G338" s="617"/>
      <c r="H338" s="617"/>
      <c r="I338" s="617"/>
      <c r="J338" s="617"/>
      <c r="K338" s="617"/>
      <c r="L338" s="617"/>
      <c r="M338" s="617"/>
      <c r="N338" s="617"/>
      <c r="O338" s="617"/>
      <c r="P338" s="617"/>
      <c r="Q338" s="617"/>
      <c r="R338" s="617"/>
      <c r="S338" s="617"/>
      <c r="T338" s="617"/>
      <c r="U338" s="617"/>
      <c r="V338" s="617"/>
      <c r="W338" s="617"/>
      <c r="X338" s="617"/>
      <c r="Y338" s="617"/>
      <c r="Z338" s="617"/>
      <c r="AA338" s="617"/>
      <c r="AB338" s="617"/>
      <c r="AC338" s="617"/>
      <c r="AD338" s="617"/>
      <c r="AE338" s="617"/>
      <c r="AF338" s="617"/>
      <c r="AG338" s="617"/>
      <c r="AH338" s="617"/>
    </row>
    <row r="339" spans="1:34" ht="15" hidden="1">
      <c r="A339" s="617"/>
      <c r="B339" s="617"/>
      <c r="C339" s="617"/>
      <c r="D339" s="617"/>
      <c r="E339" s="617"/>
      <c r="F339" s="617"/>
      <c r="G339" s="617"/>
      <c r="H339" s="617"/>
      <c r="I339" s="617"/>
      <c r="J339" s="617"/>
      <c r="K339" s="617"/>
      <c r="L339" s="617"/>
      <c r="M339" s="617"/>
      <c r="N339" s="617"/>
      <c r="O339" s="617"/>
      <c r="P339" s="617"/>
      <c r="Q339" s="617"/>
      <c r="R339" s="617"/>
      <c r="S339" s="617"/>
      <c r="T339" s="617"/>
      <c r="U339" s="617"/>
      <c r="V339" s="617"/>
      <c r="W339" s="617"/>
      <c r="X339" s="617"/>
      <c r="Y339" s="617"/>
      <c r="Z339" s="617"/>
      <c r="AA339" s="617"/>
      <c r="AB339" s="617"/>
      <c r="AC339" s="617"/>
      <c r="AD339" s="617"/>
      <c r="AE339" s="617"/>
      <c r="AF339" s="617"/>
      <c r="AG339" s="617"/>
      <c r="AH339" s="617"/>
    </row>
    <row r="340" spans="1:34" ht="15" hidden="1">
      <c r="A340" s="617"/>
      <c r="B340" s="617"/>
      <c r="C340" s="617"/>
      <c r="D340" s="617"/>
      <c r="E340" s="617"/>
      <c r="F340" s="617"/>
      <c r="G340" s="617"/>
      <c r="H340" s="617"/>
      <c r="I340" s="617"/>
      <c r="J340" s="617"/>
      <c r="K340" s="617"/>
      <c r="L340" s="617"/>
      <c r="M340" s="617"/>
      <c r="N340" s="617"/>
      <c r="O340" s="617"/>
      <c r="P340" s="617"/>
      <c r="Q340" s="617"/>
      <c r="R340" s="617"/>
      <c r="S340" s="617"/>
      <c r="T340" s="617"/>
      <c r="U340" s="617"/>
      <c r="V340" s="617"/>
      <c r="W340" s="617"/>
      <c r="X340" s="617"/>
      <c r="Y340" s="617"/>
      <c r="Z340" s="617"/>
      <c r="AA340" s="617"/>
      <c r="AB340" s="617"/>
      <c r="AC340" s="617"/>
      <c r="AD340" s="617"/>
      <c r="AE340" s="617"/>
      <c r="AF340" s="617"/>
      <c r="AG340" s="617"/>
      <c r="AH340" s="617"/>
    </row>
    <row r="341" spans="1:34" ht="15" hidden="1">
      <c r="A341" s="617"/>
      <c r="B341" s="617"/>
      <c r="C341" s="617"/>
      <c r="D341" s="617"/>
      <c r="E341" s="617"/>
      <c r="F341" s="617"/>
      <c r="G341" s="617"/>
      <c r="H341" s="617"/>
      <c r="I341" s="617"/>
      <c r="J341" s="617"/>
      <c r="K341" s="617"/>
      <c r="L341" s="617"/>
      <c r="M341" s="617"/>
      <c r="N341" s="617"/>
      <c r="O341" s="617"/>
      <c r="P341" s="617"/>
      <c r="Q341" s="617"/>
      <c r="R341" s="617"/>
      <c r="S341" s="617"/>
      <c r="T341" s="617"/>
      <c r="U341" s="617"/>
      <c r="V341" s="617"/>
      <c r="W341" s="617"/>
      <c r="X341" s="617"/>
      <c r="Y341" s="617"/>
      <c r="Z341" s="617"/>
      <c r="AA341" s="617"/>
      <c r="AB341" s="617"/>
      <c r="AC341" s="617"/>
      <c r="AD341" s="617"/>
      <c r="AE341" s="617"/>
      <c r="AF341" s="617"/>
      <c r="AG341" s="617"/>
      <c r="AH341" s="617"/>
    </row>
    <row r="342" spans="1:34" ht="15" hidden="1">
      <c r="A342" s="617"/>
      <c r="B342" s="617"/>
      <c r="C342" s="617"/>
      <c r="D342" s="617"/>
      <c r="E342" s="617"/>
      <c r="F342" s="617"/>
      <c r="G342" s="617"/>
      <c r="H342" s="617"/>
      <c r="I342" s="617"/>
      <c r="J342" s="617"/>
      <c r="K342" s="617"/>
      <c r="L342" s="617"/>
      <c r="M342" s="617"/>
      <c r="N342" s="617"/>
      <c r="O342" s="617"/>
      <c r="P342" s="617"/>
      <c r="Q342" s="617"/>
      <c r="R342" s="617"/>
      <c r="S342" s="617"/>
      <c r="T342" s="617"/>
      <c r="U342" s="617"/>
      <c r="V342" s="617"/>
      <c r="W342" s="617"/>
      <c r="X342" s="617"/>
      <c r="Y342" s="617"/>
      <c r="Z342" s="617"/>
      <c r="AA342" s="617"/>
      <c r="AB342" s="617"/>
      <c r="AC342" s="617"/>
      <c r="AD342" s="617"/>
      <c r="AE342" s="617"/>
      <c r="AF342" s="617"/>
      <c r="AG342" s="617"/>
      <c r="AH342" s="617"/>
    </row>
    <row r="343" spans="1:34" ht="15" hidden="1">
      <c r="A343" s="617"/>
      <c r="B343" s="617"/>
      <c r="C343" s="617"/>
      <c r="D343" s="617"/>
      <c r="E343" s="617"/>
      <c r="F343" s="617"/>
      <c r="G343" s="617"/>
      <c r="H343" s="617"/>
      <c r="I343" s="617"/>
      <c r="J343" s="617"/>
      <c r="K343" s="617"/>
      <c r="L343" s="617"/>
      <c r="M343" s="617"/>
      <c r="N343" s="617"/>
      <c r="O343" s="617"/>
      <c r="P343" s="617"/>
      <c r="Q343" s="617"/>
      <c r="R343" s="617"/>
      <c r="S343" s="617"/>
      <c r="T343" s="617"/>
      <c r="U343" s="617"/>
      <c r="V343" s="617"/>
      <c r="W343" s="617"/>
      <c r="X343" s="617"/>
      <c r="Y343" s="617"/>
      <c r="Z343" s="617"/>
      <c r="AA343" s="617"/>
      <c r="AB343" s="617"/>
      <c r="AC343" s="617"/>
      <c r="AD343" s="617"/>
      <c r="AE343" s="617"/>
      <c r="AF343" s="617"/>
      <c r="AG343" s="617"/>
      <c r="AH343" s="617"/>
    </row>
    <row r="344" spans="1:34" ht="15" hidden="1">
      <c r="A344" s="617"/>
      <c r="B344" s="617"/>
      <c r="C344" s="617"/>
      <c r="D344" s="617"/>
      <c r="E344" s="617"/>
      <c r="F344" s="617"/>
      <c r="G344" s="617"/>
      <c r="H344" s="617"/>
      <c r="I344" s="617"/>
      <c r="J344" s="617"/>
      <c r="K344" s="617"/>
      <c r="L344" s="617"/>
      <c r="M344" s="617"/>
      <c r="N344" s="617"/>
      <c r="O344" s="617"/>
      <c r="P344" s="617"/>
      <c r="Q344" s="617"/>
      <c r="R344" s="617"/>
      <c r="S344" s="617"/>
      <c r="T344" s="617"/>
      <c r="U344" s="617"/>
      <c r="V344" s="617"/>
      <c r="W344" s="617"/>
      <c r="X344" s="617"/>
      <c r="Y344" s="617"/>
      <c r="Z344" s="617"/>
      <c r="AA344" s="617"/>
      <c r="AB344" s="617"/>
      <c r="AC344" s="617"/>
      <c r="AD344" s="617"/>
      <c r="AE344" s="617"/>
      <c r="AF344" s="617"/>
      <c r="AG344" s="617"/>
      <c r="AH344" s="617"/>
    </row>
    <row r="345" spans="1:34" ht="15" hidden="1">
      <c r="A345" s="617"/>
      <c r="B345" s="617"/>
      <c r="C345" s="617"/>
      <c r="D345" s="617"/>
      <c r="E345" s="617"/>
      <c r="F345" s="617"/>
      <c r="G345" s="617"/>
      <c r="H345" s="617"/>
      <c r="I345" s="617"/>
      <c r="J345" s="617"/>
      <c r="K345" s="617"/>
      <c r="L345" s="617"/>
      <c r="M345" s="617"/>
      <c r="N345" s="617"/>
      <c r="O345" s="617"/>
      <c r="P345" s="617"/>
      <c r="Q345" s="617"/>
      <c r="R345" s="617"/>
      <c r="S345" s="617"/>
      <c r="T345" s="617"/>
      <c r="U345" s="617"/>
      <c r="V345" s="617"/>
      <c r="W345" s="617"/>
      <c r="X345" s="617"/>
      <c r="Y345" s="617"/>
      <c r="Z345" s="617"/>
      <c r="AA345" s="617"/>
      <c r="AB345" s="617"/>
      <c r="AC345" s="617"/>
      <c r="AD345" s="617"/>
      <c r="AE345" s="617"/>
      <c r="AF345" s="617"/>
      <c r="AG345" s="617"/>
      <c r="AH345" s="617"/>
    </row>
    <row r="346" spans="1:34" ht="15" hidden="1">
      <c r="A346" s="617"/>
      <c r="B346" s="617"/>
      <c r="C346" s="617"/>
      <c r="D346" s="617"/>
      <c r="E346" s="617"/>
      <c r="F346" s="617"/>
      <c r="G346" s="617"/>
      <c r="H346" s="617"/>
      <c r="I346" s="617"/>
      <c r="J346" s="617"/>
      <c r="K346" s="617"/>
      <c r="L346" s="617"/>
      <c r="M346" s="617"/>
      <c r="N346" s="617"/>
      <c r="O346" s="617"/>
      <c r="P346" s="617"/>
      <c r="Q346" s="617"/>
      <c r="R346" s="617"/>
      <c r="S346" s="617"/>
      <c r="T346" s="617"/>
      <c r="U346" s="617"/>
      <c r="V346" s="617"/>
      <c r="W346" s="617"/>
      <c r="X346" s="617"/>
      <c r="Y346" s="617"/>
      <c r="Z346" s="617"/>
      <c r="AA346" s="617"/>
      <c r="AB346" s="617"/>
      <c r="AC346" s="617"/>
      <c r="AD346" s="617"/>
      <c r="AE346" s="617"/>
      <c r="AF346" s="617"/>
      <c r="AG346" s="617"/>
      <c r="AH346" s="617"/>
    </row>
    <row r="347" spans="1:34" ht="15" hidden="1">
      <c r="A347" s="617"/>
      <c r="B347" s="617"/>
      <c r="C347" s="617"/>
      <c r="D347" s="617"/>
      <c r="E347" s="617"/>
      <c r="F347" s="617"/>
      <c r="G347" s="617"/>
      <c r="H347" s="617"/>
      <c r="I347" s="617"/>
      <c r="J347" s="617"/>
      <c r="K347" s="617"/>
      <c r="L347" s="617"/>
      <c r="M347" s="617"/>
      <c r="N347" s="617"/>
      <c r="O347" s="617"/>
      <c r="P347" s="617"/>
      <c r="Q347" s="617"/>
      <c r="R347" s="617"/>
      <c r="S347" s="617"/>
      <c r="T347" s="617"/>
      <c r="U347" s="617"/>
      <c r="V347" s="617"/>
      <c r="W347" s="617"/>
      <c r="X347" s="617"/>
      <c r="Y347" s="617"/>
      <c r="Z347" s="617"/>
      <c r="AA347" s="617"/>
      <c r="AB347" s="617"/>
      <c r="AC347" s="617"/>
      <c r="AD347" s="617"/>
      <c r="AE347" s="617"/>
      <c r="AF347" s="617"/>
      <c r="AG347" s="617"/>
      <c r="AH347" s="617"/>
    </row>
    <row r="348" spans="1:34" ht="15" hidden="1">
      <c r="A348" s="617"/>
      <c r="B348" s="617"/>
      <c r="C348" s="617"/>
      <c r="D348" s="617"/>
      <c r="E348" s="617"/>
      <c r="F348" s="617"/>
      <c r="G348" s="617"/>
      <c r="H348" s="617"/>
      <c r="I348" s="617"/>
      <c r="J348" s="617"/>
      <c r="K348" s="617"/>
      <c r="L348" s="617"/>
      <c r="M348" s="617"/>
      <c r="N348" s="617"/>
      <c r="O348" s="617"/>
      <c r="P348" s="617"/>
      <c r="Q348" s="617"/>
      <c r="R348" s="617"/>
      <c r="S348" s="617"/>
      <c r="T348" s="617"/>
      <c r="U348" s="617"/>
      <c r="V348" s="617"/>
      <c r="W348" s="617"/>
      <c r="X348" s="617"/>
      <c r="Y348" s="617"/>
      <c r="Z348" s="617"/>
      <c r="AA348" s="617"/>
      <c r="AB348" s="617"/>
      <c r="AC348" s="617"/>
      <c r="AD348" s="617"/>
      <c r="AE348" s="617"/>
      <c r="AF348" s="617"/>
      <c r="AG348" s="617"/>
      <c r="AH348" s="617"/>
    </row>
    <row r="349" spans="1:34" ht="15" hidden="1">
      <c r="A349" s="617"/>
      <c r="B349" s="617"/>
      <c r="C349" s="617"/>
      <c r="D349" s="617"/>
      <c r="E349" s="617"/>
      <c r="F349" s="617"/>
      <c r="G349" s="617"/>
      <c r="H349" s="617"/>
      <c r="I349" s="617"/>
      <c r="J349" s="617"/>
      <c r="K349" s="617"/>
      <c r="L349" s="617"/>
      <c r="M349" s="617"/>
      <c r="N349" s="617"/>
      <c r="O349" s="617"/>
      <c r="P349" s="617"/>
      <c r="Q349" s="617"/>
      <c r="R349" s="617"/>
      <c r="S349" s="617"/>
      <c r="T349" s="617"/>
      <c r="U349" s="617"/>
      <c r="V349" s="617"/>
      <c r="W349" s="617"/>
      <c r="X349" s="617"/>
      <c r="Y349" s="617"/>
      <c r="Z349" s="617"/>
      <c r="AA349" s="617"/>
      <c r="AB349" s="617"/>
      <c r="AC349" s="617"/>
      <c r="AD349" s="617"/>
      <c r="AE349" s="617"/>
      <c r="AF349" s="617"/>
      <c r="AG349" s="617"/>
      <c r="AH349" s="617"/>
    </row>
    <row r="350" spans="1:34" ht="15" hidden="1">
      <c r="A350" s="617"/>
      <c r="B350" s="617"/>
      <c r="C350" s="617"/>
      <c r="D350" s="617"/>
      <c r="E350" s="617"/>
      <c r="F350" s="617"/>
      <c r="G350" s="617"/>
      <c r="H350" s="617"/>
      <c r="I350" s="617"/>
      <c r="J350" s="617"/>
      <c r="K350" s="617"/>
      <c r="L350" s="617"/>
      <c r="M350" s="617"/>
      <c r="N350" s="617"/>
      <c r="O350" s="617"/>
      <c r="P350" s="617"/>
      <c r="Q350" s="617"/>
      <c r="R350" s="617"/>
      <c r="S350" s="617"/>
      <c r="T350" s="617"/>
      <c r="U350" s="617"/>
      <c r="V350" s="617"/>
      <c r="W350" s="617"/>
      <c r="X350" s="617"/>
      <c r="Y350" s="617"/>
      <c r="Z350" s="617"/>
      <c r="AA350" s="617"/>
      <c r="AB350" s="617"/>
      <c r="AC350" s="617"/>
      <c r="AD350" s="617"/>
      <c r="AE350" s="617"/>
      <c r="AF350" s="617"/>
      <c r="AG350" s="617"/>
      <c r="AH350" s="617"/>
    </row>
    <row r="351" spans="1:34" ht="15" hidden="1">
      <c r="A351" s="617"/>
      <c r="B351" s="617"/>
      <c r="C351" s="617"/>
      <c r="D351" s="617"/>
      <c r="E351" s="617"/>
      <c r="F351" s="617"/>
      <c r="G351" s="617"/>
      <c r="H351" s="617"/>
      <c r="I351" s="617"/>
      <c r="J351" s="617"/>
      <c r="K351" s="617"/>
      <c r="L351" s="617"/>
      <c r="M351" s="617"/>
      <c r="N351" s="617"/>
      <c r="O351" s="617"/>
      <c r="P351" s="617"/>
      <c r="Q351" s="617"/>
      <c r="R351" s="617"/>
      <c r="S351" s="617"/>
      <c r="T351" s="617"/>
      <c r="U351" s="617"/>
      <c r="V351" s="617"/>
      <c r="W351" s="617"/>
      <c r="X351" s="617"/>
      <c r="Y351" s="617"/>
      <c r="Z351" s="617"/>
      <c r="AA351" s="617"/>
      <c r="AB351" s="617"/>
      <c r="AC351" s="617"/>
      <c r="AD351" s="617"/>
      <c r="AE351" s="617"/>
      <c r="AF351" s="617"/>
      <c r="AG351" s="617"/>
      <c r="AH351" s="617"/>
    </row>
    <row r="352" spans="1:34" ht="15" hidden="1">
      <c r="A352" s="617"/>
      <c r="B352" s="617"/>
      <c r="C352" s="617"/>
      <c r="D352" s="617"/>
      <c r="E352" s="617"/>
      <c r="F352" s="617"/>
      <c r="G352" s="617"/>
      <c r="H352" s="617"/>
      <c r="I352" s="617"/>
      <c r="J352" s="617"/>
      <c r="K352" s="617"/>
      <c r="L352" s="617"/>
      <c r="M352" s="617"/>
      <c r="N352" s="617"/>
      <c r="O352" s="617"/>
      <c r="P352" s="617"/>
      <c r="Q352" s="617"/>
      <c r="R352" s="617"/>
      <c r="S352" s="617"/>
      <c r="T352" s="617"/>
      <c r="U352" s="617"/>
      <c r="V352" s="617"/>
      <c r="W352" s="617"/>
      <c r="X352" s="617"/>
      <c r="Y352" s="617"/>
      <c r="Z352" s="617"/>
      <c r="AA352" s="617"/>
      <c r="AB352" s="617"/>
      <c r="AC352" s="617"/>
      <c r="AD352" s="617"/>
      <c r="AE352" s="617"/>
      <c r="AF352" s="617"/>
      <c r="AG352" s="617"/>
      <c r="AH352" s="617"/>
    </row>
    <row r="353" spans="1:34" ht="15" hidden="1">
      <c r="A353" s="617"/>
      <c r="B353" s="617"/>
      <c r="C353" s="617"/>
      <c r="D353" s="617"/>
      <c r="E353" s="617"/>
      <c r="F353" s="617"/>
      <c r="G353" s="617"/>
      <c r="H353" s="617"/>
      <c r="I353" s="617"/>
      <c r="J353" s="617"/>
      <c r="K353" s="617"/>
      <c r="L353" s="617"/>
      <c r="M353" s="617"/>
      <c r="N353" s="617"/>
      <c r="O353" s="617"/>
      <c r="P353" s="617"/>
      <c r="Q353" s="617"/>
      <c r="R353" s="617"/>
      <c r="S353" s="617"/>
      <c r="T353" s="617"/>
      <c r="U353" s="617"/>
      <c r="V353" s="617"/>
      <c r="W353" s="617"/>
      <c r="X353" s="617"/>
      <c r="Y353" s="617"/>
      <c r="Z353" s="617"/>
      <c r="AA353" s="617"/>
      <c r="AB353" s="617"/>
      <c r="AC353" s="617"/>
      <c r="AD353" s="617"/>
      <c r="AE353" s="617"/>
      <c r="AF353" s="617"/>
      <c r="AG353" s="617"/>
      <c r="AH353" s="617"/>
    </row>
    <row r="354" spans="1:34" ht="15" hidden="1">
      <c r="A354" s="617"/>
      <c r="B354" s="617"/>
      <c r="C354" s="617"/>
      <c r="D354" s="617"/>
      <c r="E354" s="617"/>
      <c r="F354" s="617"/>
      <c r="G354" s="617"/>
      <c r="H354" s="617"/>
      <c r="I354" s="617"/>
      <c r="J354" s="617"/>
      <c r="K354" s="617"/>
      <c r="L354" s="617"/>
      <c r="M354" s="617"/>
      <c r="N354" s="617"/>
      <c r="O354" s="617"/>
      <c r="P354" s="617"/>
      <c r="Q354" s="617"/>
      <c r="R354" s="617"/>
      <c r="S354" s="617"/>
      <c r="T354" s="617"/>
      <c r="U354" s="617"/>
      <c r="V354" s="617"/>
      <c r="W354" s="617"/>
      <c r="X354" s="617"/>
      <c r="Y354" s="617"/>
      <c r="Z354" s="617"/>
      <c r="AA354" s="617"/>
      <c r="AB354" s="617"/>
      <c r="AC354" s="617"/>
      <c r="AD354" s="617"/>
      <c r="AE354" s="617"/>
      <c r="AF354" s="617"/>
      <c r="AG354" s="617"/>
      <c r="AH354" s="617"/>
    </row>
    <row r="355" spans="1:34" ht="15" hidden="1">
      <c r="A355" s="617"/>
      <c r="B355" s="617"/>
      <c r="C355" s="617"/>
      <c r="D355" s="617"/>
      <c r="E355" s="617"/>
      <c r="F355" s="617"/>
      <c r="G355" s="617"/>
      <c r="H355" s="617"/>
      <c r="I355" s="617"/>
      <c r="J355" s="617"/>
      <c r="K355" s="617"/>
      <c r="L355" s="617"/>
      <c r="M355" s="617"/>
      <c r="N355" s="617"/>
      <c r="O355" s="617"/>
      <c r="P355" s="617"/>
      <c r="Q355" s="617"/>
      <c r="R355" s="617"/>
      <c r="S355" s="617"/>
      <c r="T355" s="617"/>
      <c r="U355" s="617"/>
      <c r="V355" s="617"/>
      <c r="W355" s="617"/>
      <c r="X355" s="617"/>
      <c r="Y355" s="617"/>
      <c r="Z355" s="617"/>
      <c r="AA355" s="617"/>
      <c r="AB355" s="617"/>
      <c r="AC355" s="617"/>
      <c r="AD355" s="617"/>
      <c r="AE355" s="617"/>
      <c r="AF355" s="617"/>
      <c r="AG355" s="617"/>
      <c r="AH355" s="617"/>
    </row>
    <row r="356" spans="1:34" ht="15" hidden="1">
      <c r="A356" s="617"/>
      <c r="B356" s="617"/>
      <c r="C356" s="617"/>
      <c r="D356" s="617"/>
      <c r="E356" s="617"/>
      <c r="F356" s="617"/>
      <c r="G356" s="617"/>
      <c r="H356" s="617"/>
      <c r="I356" s="617"/>
      <c r="J356" s="617"/>
      <c r="K356" s="617"/>
      <c r="L356" s="617"/>
      <c r="M356" s="617"/>
      <c r="N356" s="617"/>
      <c r="O356" s="617"/>
      <c r="P356" s="617"/>
      <c r="Q356" s="617"/>
      <c r="R356" s="617"/>
      <c r="S356" s="617"/>
      <c r="T356" s="617"/>
      <c r="U356" s="617"/>
      <c r="V356" s="617"/>
      <c r="W356" s="617"/>
      <c r="X356" s="617"/>
      <c r="Y356" s="617"/>
      <c r="Z356" s="617"/>
      <c r="AA356" s="617"/>
      <c r="AB356" s="617"/>
      <c r="AC356" s="617"/>
      <c r="AD356" s="617"/>
      <c r="AE356" s="617"/>
      <c r="AF356" s="617"/>
      <c r="AG356" s="617"/>
      <c r="AH356" s="617"/>
    </row>
    <row r="357" spans="1:34" ht="15" hidden="1">
      <c r="A357" s="617"/>
      <c r="B357" s="617"/>
      <c r="C357" s="617"/>
      <c r="D357" s="617"/>
      <c r="E357" s="617"/>
      <c r="F357" s="617"/>
      <c r="G357" s="617"/>
      <c r="H357" s="617"/>
      <c r="I357" s="617"/>
      <c r="J357" s="617"/>
      <c r="K357" s="617"/>
      <c r="L357" s="617"/>
      <c r="M357" s="617"/>
      <c r="N357" s="617"/>
      <c r="O357" s="617"/>
      <c r="P357" s="617"/>
      <c r="Q357" s="617"/>
      <c r="R357" s="617"/>
      <c r="S357" s="617"/>
      <c r="T357" s="617"/>
      <c r="U357" s="617"/>
      <c r="V357" s="617"/>
      <c r="W357" s="617"/>
      <c r="X357" s="617"/>
      <c r="Y357" s="617"/>
      <c r="Z357" s="617"/>
      <c r="AA357" s="617"/>
      <c r="AB357" s="617"/>
      <c r="AC357" s="617"/>
      <c r="AD357" s="617"/>
      <c r="AE357" s="617"/>
      <c r="AF357" s="617"/>
      <c r="AG357" s="617"/>
      <c r="AH357" s="617"/>
    </row>
    <row r="358" spans="1:34" ht="15" hidden="1">
      <c r="A358" s="617"/>
      <c r="B358" s="617"/>
      <c r="C358" s="617"/>
      <c r="D358" s="617"/>
      <c r="E358" s="617"/>
      <c r="F358" s="617"/>
      <c r="G358" s="617"/>
      <c r="H358" s="617"/>
      <c r="I358" s="617"/>
      <c r="J358" s="617"/>
      <c r="K358" s="617"/>
      <c r="L358" s="617"/>
      <c r="M358" s="617"/>
      <c r="N358" s="617"/>
      <c r="O358" s="617"/>
      <c r="P358" s="617"/>
      <c r="Q358" s="617"/>
      <c r="R358" s="617"/>
      <c r="S358" s="617"/>
      <c r="T358" s="617"/>
      <c r="U358" s="617"/>
      <c r="V358" s="617"/>
      <c r="W358" s="617"/>
      <c r="X358" s="617"/>
      <c r="Y358" s="617"/>
      <c r="Z358" s="617"/>
      <c r="AA358" s="617"/>
      <c r="AB358" s="617"/>
      <c r="AC358" s="617"/>
      <c r="AD358" s="617"/>
      <c r="AE358" s="617"/>
      <c r="AF358" s="617"/>
      <c r="AG358" s="617"/>
      <c r="AH358" s="617"/>
    </row>
    <row r="359" spans="1:34" ht="15" hidden="1">
      <c r="A359" s="617"/>
      <c r="B359" s="617"/>
      <c r="C359" s="617"/>
      <c r="D359" s="617"/>
      <c r="E359" s="617"/>
      <c r="F359" s="617"/>
      <c r="G359" s="617"/>
      <c r="H359" s="617"/>
      <c r="I359" s="617"/>
      <c r="J359" s="617"/>
      <c r="K359" s="617"/>
      <c r="L359" s="617"/>
      <c r="M359" s="617"/>
      <c r="N359" s="617"/>
      <c r="O359" s="617"/>
      <c r="P359" s="617"/>
      <c r="Q359" s="617"/>
      <c r="R359" s="617"/>
      <c r="S359" s="617"/>
      <c r="T359" s="617"/>
      <c r="U359" s="617"/>
      <c r="V359" s="617"/>
      <c r="W359" s="617"/>
      <c r="X359" s="617"/>
      <c r="Y359" s="617"/>
      <c r="Z359" s="617"/>
      <c r="AA359" s="617"/>
      <c r="AB359" s="617"/>
      <c r="AC359" s="617"/>
      <c r="AD359" s="617"/>
      <c r="AE359" s="617"/>
      <c r="AF359" s="617"/>
      <c r="AG359" s="617"/>
      <c r="AH359" s="617"/>
    </row>
    <row r="360" spans="1:34" ht="15" hidden="1">
      <c r="A360" s="617"/>
      <c r="B360" s="617"/>
      <c r="C360" s="617"/>
      <c r="D360" s="617"/>
      <c r="E360" s="617"/>
      <c r="F360" s="617"/>
      <c r="G360" s="617"/>
      <c r="H360" s="617"/>
      <c r="I360" s="617"/>
      <c r="J360" s="617"/>
      <c r="K360" s="617"/>
      <c r="L360" s="617"/>
      <c r="M360" s="617"/>
      <c r="N360" s="617"/>
      <c r="O360" s="617"/>
      <c r="P360" s="617"/>
      <c r="Q360" s="617"/>
      <c r="R360" s="617"/>
      <c r="S360" s="617"/>
      <c r="T360" s="617"/>
      <c r="U360" s="617"/>
      <c r="V360" s="617"/>
      <c r="W360" s="617"/>
      <c r="X360" s="617"/>
      <c r="Y360" s="617"/>
      <c r="Z360" s="617"/>
      <c r="AA360" s="617"/>
      <c r="AB360" s="617"/>
      <c r="AC360" s="617"/>
      <c r="AD360" s="617"/>
      <c r="AE360" s="617"/>
      <c r="AF360" s="617"/>
      <c r="AG360" s="617"/>
      <c r="AH360" s="617"/>
    </row>
    <row r="361" spans="1:34" ht="15" hidden="1">
      <c r="A361" s="617"/>
      <c r="B361" s="617"/>
      <c r="C361" s="617"/>
      <c r="D361" s="617"/>
      <c r="E361" s="617"/>
      <c r="F361" s="617"/>
      <c r="G361" s="617"/>
      <c r="H361" s="617"/>
      <c r="I361" s="617"/>
      <c r="J361" s="617"/>
      <c r="K361" s="617"/>
      <c r="L361" s="617"/>
      <c r="M361" s="617"/>
      <c r="N361" s="617"/>
      <c r="O361" s="617"/>
      <c r="P361" s="617"/>
      <c r="Q361" s="617"/>
      <c r="R361" s="617"/>
      <c r="S361" s="617"/>
      <c r="T361" s="617"/>
      <c r="U361" s="617"/>
      <c r="V361" s="617"/>
      <c r="W361" s="617"/>
      <c r="X361" s="617"/>
      <c r="Y361" s="617"/>
      <c r="Z361" s="617"/>
      <c r="AA361" s="617"/>
      <c r="AB361" s="617"/>
      <c r="AC361" s="617"/>
      <c r="AD361" s="617"/>
      <c r="AE361" s="617"/>
      <c r="AF361" s="617"/>
      <c r="AG361" s="617"/>
      <c r="AH361" s="617"/>
    </row>
    <row r="362" spans="1:34" ht="15" hidden="1">
      <c r="A362" s="617"/>
      <c r="B362" s="617"/>
      <c r="C362" s="617"/>
      <c r="D362" s="617"/>
      <c r="E362" s="617"/>
      <c r="F362" s="617"/>
      <c r="G362" s="617"/>
      <c r="H362" s="617"/>
      <c r="I362" s="617"/>
      <c r="J362" s="617"/>
      <c r="K362" s="617"/>
      <c r="L362" s="617"/>
      <c r="M362" s="617"/>
      <c r="N362" s="617"/>
      <c r="O362" s="617"/>
      <c r="P362" s="617"/>
      <c r="Q362" s="617"/>
      <c r="R362" s="617"/>
      <c r="S362" s="617"/>
      <c r="T362" s="617"/>
      <c r="U362" s="617"/>
      <c r="V362" s="617"/>
      <c r="W362" s="617"/>
      <c r="X362" s="617"/>
      <c r="Y362" s="617"/>
      <c r="Z362" s="617"/>
      <c r="AA362" s="617"/>
      <c r="AB362" s="617"/>
      <c r="AC362" s="617"/>
      <c r="AD362" s="617"/>
      <c r="AE362" s="617"/>
      <c r="AF362" s="617"/>
      <c r="AG362" s="617"/>
      <c r="AH362" s="617"/>
    </row>
    <row r="363" spans="1:34" ht="15" hidden="1">
      <c r="A363" s="617"/>
      <c r="B363" s="617"/>
      <c r="C363" s="617"/>
      <c r="D363" s="617"/>
      <c r="E363" s="617"/>
      <c r="F363" s="617"/>
      <c r="G363" s="617"/>
      <c r="H363" s="617"/>
      <c r="I363" s="617"/>
      <c r="J363" s="617"/>
      <c r="K363" s="617"/>
      <c r="L363" s="617"/>
      <c r="M363" s="617"/>
      <c r="N363" s="617"/>
      <c r="O363" s="617"/>
      <c r="P363" s="617"/>
      <c r="Q363" s="617"/>
      <c r="R363" s="617"/>
      <c r="S363" s="617"/>
      <c r="T363" s="617"/>
      <c r="U363" s="617"/>
      <c r="V363" s="617"/>
      <c r="W363" s="617"/>
      <c r="X363" s="617"/>
      <c r="Y363" s="617"/>
      <c r="Z363" s="617"/>
      <c r="AA363" s="617"/>
      <c r="AB363" s="617"/>
      <c r="AC363" s="617"/>
      <c r="AD363" s="617"/>
      <c r="AE363" s="617"/>
      <c r="AF363" s="617"/>
      <c r="AG363" s="617"/>
      <c r="AH363" s="617"/>
    </row>
    <row r="364" spans="1:34" ht="15" hidden="1">
      <c r="A364" s="617"/>
      <c r="B364" s="617"/>
      <c r="C364" s="617"/>
      <c r="D364" s="617"/>
      <c r="E364" s="617"/>
      <c r="F364" s="617"/>
      <c r="G364" s="617"/>
      <c r="H364" s="617"/>
      <c r="I364" s="617"/>
      <c r="J364" s="617"/>
      <c r="K364" s="617"/>
      <c r="L364" s="617"/>
      <c r="M364" s="617"/>
      <c r="N364" s="617"/>
      <c r="O364" s="617"/>
      <c r="P364" s="617"/>
      <c r="Q364" s="617"/>
      <c r="R364" s="617"/>
      <c r="S364" s="617"/>
      <c r="T364" s="617"/>
      <c r="U364" s="617"/>
      <c r="V364" s="617"/>
      <c r="W364" s="617"/>
      <c r="X364" s="617"/>
      <c r="Y364" s="617"/>
      <c r="Z364" s="617"/>
      <c r="AA364" s="617"/>
      <c r="AB364" s="617"/>
      <c r="AC364" s="617"/>
      <c r="AD364" s="617"/>
      <c r="AE364" s="617"/>
      <c r="AF364" s="617"/>
      <c r="AG364" s="617"/>
      <c r="AH364" s="617"/>
    </row>
    <row r="365" spans="1:34" ht="15" hidden="1">
      <c r="A365" s="617"/>
      <c r="B365" s="617"/>
      <c r="C365" s="617"/>
      <c r="D365" s="617"/>
      <c r="E365" s="617"/>
      <c r="F365" s="617"/>
      <c r="G365" s="617"/>
      <c r="H365" s="617"/>
      <c r="I365" s="617"/>
      <c r="J365" s="617"/>
      <c r="K365" s="617"/>
      <c r="L365" s="617"/>
      <c r="M365" s="617"/>
      <c r="N365" s="617"/>
      <c r="O365" s="617"/>
      <c r="P365" s="617"/>
      <c r="Q365" s="617"/>
      <c r="R365" s="617"/>
      <c r="S365" s="617"/>
      <c r="T365" s="617"/>
      <c r="U365" s="617"/>
      <c r="V365" s="617"/>
      <c r="W365" s="617"/>
      <c r="X365" s="617"/>
      <c r="Y365" s="617"/>
      <c r="Z365" s="617"/>
      <c r="AA365" s="617"/>
      <c r="AB365" s="617"/>
      <c r="AC365" s="617"/>
      <c r="AD365" s="617"/>
      <c r="AE365" s="617"/>
      <c r="AF365" s="617"/>
      <c r="AG365" s="617"/>
      <c r="AH365" s="617"/>
    </row>
    <row r="366" spans="1:34" ht="15" hidden="1">
      <c r="A366" s="617"/>
      <c r="B366" s="617"/>
      <c r="C366" s="617"/>
      <c r="D366" s="617"/>
      <c r="E366" s="617"/>
      <c r="F366" s="617"/>
      <c r="G366" s="617"/>
      <c r="H366" s="617"/>
      <c r="I366" s="617"/>
      <c r="J366" s="617"/>
      <c r="K366" s="617"/>
      <c r="L366" s="617"/>
      <c r="M366" s="617"/>
      <c r="N366" s="617"/>
      <c r="O366" s="617"/>
      <c r="P366" s="617"/>
      <c r="Q366" s="617"/>
      <c r="R366" s="617"/>
      <c r="S366" s="617"/>
      <c r="T366" s="617"/>
      <c r="U366" s="617"/>
      <c r="V366" s="617"/>
      <c r="W366" s="617"/>
      <c r="X366" s="617"/>
      <c r="Y366" s="617"/>
      <c r="Z366" s="617"/>
      <c r="AA366" s="617"/>
      <c r="AB366" s="617"/>
      <c r="AC366" s="617"/>
      <c r="AD366" s="617"/>
      <c r="AE366" s="617"/>
      <c r="AF366" s="617"/>
      <c r="AG366" s="617"/>
      <c r="AH366" s="617"/>
    </row>
    <row r="367" spans="1:34" ht="15" hidden="1">
      <c r="A367" s="617"/>
      <c r="B367" s="617"/>
      <c r="C367" s="617"/>
      <c r="D367" s="617"/>
      <c r="E367" s="617"/>
      <c r="F367" s="617"/>
      <c r="G367" s="617"/>
      <c r="H367" s="617"/>
      <c r="I367" s="617"/>
      <c r="J367" s="617"/>
      <c r="K367" s="617"/>
      <c r="L367" s="617"/>
      <c r="M367" s="617"/>
      <c r="N367" s="617"/>
      <c r="O367" s="617"/>
      <c r="P367" s="617"/>
      <c r="Q367" s="617"/>
      <c r="R367" s="617"/>
      <c r="S367" s="617"/>
      <c r="T367" s="617"/>
      <c r="U367" s="617"/>
      <c r="V367" s="617"/>
      <c r="W367" s="617"/>
      <c r="X367" s="617"/>
      <c r="Y367" s="617"/>
      <c r="Z367" s="617"/>
      <c r="AA367" s="617"/>
      <c r="AB367" s="617"/>
      <c r="AC367" s="617"/>
      <c r="AD367" s="617"/>
      <c r="AE367" s="617"/>
      <c r="AF367" s="617"/>
      <c r="AG367" s="617"/>
      <c r="AH367" s="617"/>
    </row>
    <row r="368" spans="1:34" ht="15" hidden="1">
      <c r="A368" s="617"/>
      <c r="B368" s="617"/>
      <c r="C368" s="617"/>
      <c r="D368" s="617"/>
      <c r="E368" s="617"/>
      <c r="F368" s="617"/>
      <c r="G368" s="617"/>
      <c r="H368" s="617"/>
      <c r="I368" s="617"/>
      <c r="J368" s="617"/>
      <c r="K368" s="617"/>
      <c r="L368" s="617"/>
      <c r="M368" s="617"/>
      <c r="N368" s="617"/>
      <c r="O368" s="617"/>
      <c r="P368" s="617"/>
      <c r="Q368" s="617"/>
      <c r="R368" s="617"/>
      <c r="S368" s="617"/>
      <c r="T368" s="617"/>
      <c r="U368" s="617"/>
      <c r="V368" s="617"/>
      <c r="W368" s="617"/>
      <c r="X368" s="617"/>
      <c r="Y368" s="617"/>
      <c r="Z368" s="617"/>
      <c r="AA368" s="617"/>
      <c r="AB368" s="617"/>
      <c r="AC368" s="617"/>
      <c r="AD368" s="617"/>
      <c r="AE368" s="617"/>
      <c r="AF368" s="617"/>
      <c r="AG368" s="617"/>
      <c r="AH368" s="617"/>
    </row>
    <row r="369" spans="1:34" ht="15" hidden="1">
      <c r="A369" s="617"/>
      <c r="B369" s="617"/>
      <c r="C369" s="617"/>
      <c r="D369" s="617"/>
      <c r="E369" s="617"/>
      <c r="F369" s="617"/>
      <c r="G369" s="617"/>
      <c r="H369" s="617"/>
      <c r="I369" s="617"/>
      <c r="J369" s="617"/>
      <c r="K369" s="617"/>
      <c r="L369" s="617"/>
      <c r="M369" s="617"/>
      <c r="N369" s="617"/>
      <c r="O369" s="617"/>
      <c r="P369" s="617"/>
      <c r="Q369" s="617"/>
      <c r="R369" s="617"/>
      <c r="S369" s="617"/>
      <c r="T369" s="617"/>
      <c r="U369" s="617"/>
      <c r="V369" s="617"/>
      <c r="W369" s="617"/>
      <c r="X369" s="617"/>
      <c r="Y369" s="617"/>
      <c r="Z369" s="617"/>
      <c r="AA369" s="617"/>
      <c r="AB369" s="617"/>
      <c r="AC369" s="617"/>
      <c r="AD369" s="617"/>
      <c r="AE369" s="617"/>
      <c r="AF369" s="617"/>
      <c r="AG369" s="617"/>
      <c r="AH369" s="617"/>
    </row>
    <row r="370" spans="1:34" ht="15" hidden="1">
      <c r="A370" s="617"/>
      <c r="B370" s="617"/>
      <c r="C370" s="617"/>
      <c r="D370" s="617"/>
      <c r="E370" s="617"/>
      <c r="F370" s="617"/>
      <c r="G370" s="617"/>
      <c r="H370" s="617"/>
      <c r="I370" s="617"/>
      <c r="J370" s="617"/>
      <c r="K370" s="617"/>
      <c r="L370" s="617"/>
      <c r="M370" s="617"/>
      <c r="N370" s="617"/>
      <c r="O370" s="617"/>
      <c r="P370" s="617"/>
      <c r="Q370" s="617"/>
      <c r="R370" s="617"/>
      <c r="S370" s="617"/>
      <c r="T370" s="617"/>
      <c r="U370" s="617"/>
      <c r="V370" s="617"/>
      <c r="W370" s="617"/>
      <c r="X370" s="617"/>
      <c r="Y370" s="617"/>
      <c r="Z370" s="617"/>
      <c r="AA370" s="617"/>
      <c r="AB370" s="617"/>
      <c r="AC370" s="617"/>
      <c r="AD370" s="617"/>
      <c r="AE370" s="617"/>
      <c r="AF370" s="617"/>
      <c r="AG370" s="617"/>
      <c r="AH370" s="617"/>
    </row>
    <row r="371" spans="1:34" ht="15" hidden="1">
      <c r="A371" s="617"/>
      <c r="B371" s="617"/>
      <c r="C371" s="617"/>
      <c r="D371" s="617"/>
      <c r="E371" s="617"/>
      <c r="F371" s="617"/>
      <c r="G371" s="617"/>
      <c r="H371" s="617"/>
      <c r="I371" s="617"/>
      <c r="J371" s="617"/>
      <c r="K371" s="617"/>
      <c r="L371" s="617"/>
      <c r="M371" s="617"/>
      <c r="N371" s="617"/>
      <c r="O371" s="617"/>
      <c r="P371" s="617"/>
      <c r="Q371" s="617"/>
      <c r="R371" s="617"/>
      <c r="S371" s="617"/>
      <c r="T371" s="617"/>
      <c r="U371" s="617"/>
      <c r="V371" s="617"/>
      <c r="W371" s="617"/>
      <c r="X371" s="617"/>
      <c r="Y371" s="617"/>
      <c r="Z371" s="617"/>
      <c r="AA371" s="617"/>
      <c r="AB371" s="617"/>
      <c r="AC371" s="617"/>
      <c r="AD371" s="617"/>
      <c r="AE371" s="617"/>
      <c r="AF371" s="617"/>
      <c r="AG371" s="617"/>
      <c r="AH371" s="617"/>
    </row>
    <row r="372" spans="1:34" ht="15" hidden="1">
      <c r="A372" s="617"/>
      <c r="B372" s="617"/>
      <c r="C372" s="617"/>
      <c r="D372" s="617"/>
      <c r="E372" s="617"/>
      <c r="F372" s="617"/>
      <c r="G372" s="617"/>
      <c r="H372" s="617"/>
      <c r="I372" s="617"/>
      <c r="J372" s="617"/>
      <c r="K372" s="617"/>
      <c r="L372" s="617"/>
      <c r="M372" s="617"/>
      <c r="N372" s="617"/>
      <c r="O372" s="617"/>
      <c r="P372" s="617"/>
      <c r="Q372" s="617"/>
      <c r="R372" s="617"/>
      <c r="S372" s="617"/>
      <c r="T372" s="617"/>
      <c r="U372" s="617"/>
      <c r="V372" s="617"/>
      <c r="W372" s="617"/>
      <c r="X372" s="617"/>
      <c r="Y372" s="617"/>
      <c r="Z372" s="617"/>
      <c r="AA372" s="617"/>
      <c r="AB372" s="617"/>
      <c r="AC372" s="617"/>
      <c r="AD372" s="617"/>
      <c r="AE372" s="617"/>
      <c r="AF372" s="617"/>
      <c r="AG372" s="617"/>
      <c r="AH372" s="617"/>
    </row>
    <row r="373" spans="1:34" ht="15" hidden="1">
      <c r="A373" s="617"/>
      <c r="B373" s="617"/>
      <c r="C373" s="617"/>
      <c r="D373" s="617"/>
      <c r="E373" s="617"/>
      <c r="F373" s="617"/>
      <c r="G373" s="617"/>
      <c r="H373" s="617"/>
      <c r="I373" s="617"/>
      <c r="J373" s="617"/>
      <c r="K373" s="617"/>
      <c r="L373" s="617"/>
      <c r="M373" s="617"/>
      <c r="N373" s="617"/>
      <c r="O373" s="617"/>
      <c r="P373" s="617"/>
      <c r="Q373" s="617"/>
      <c r="R373" s="617"/>
      <c r="S373" s="617"/>
      <c r="T373" s="617"/>
      <c r="U373" s="617"/>
      <c r="V373" s="617"/>
      <c r="W373" s="617"/>
      <c r="X373" s="617"/>
      <c r="Y373" s="617"/>
      <c r="Z373" s="617"/>
      <c r="AA373" s="617"/>
      <c r="AB373" s="617"/>
      <c r="AC373" s="617"/>
      <c r="AD373" s="617"/>
      <c r="AE373" s="617"/>
      <c r="AF373" s="617"/>
      <c r="AG373" s="617"/>
      <c r="AH373" s="617"/>
    </row>
    <row r="374" spans="1:34" ht="15" hidden="1">
      <c r="A374" s="617"/>
      <c r="B374" s="617"/>
      <c r="C374" s="617"/>
      <c r="D374" s="617"/>
      <c r="E374" s="617"/>
      <c r="F374" s="617"/>
      <c r="G374" s="617"/>
      <c r="H374" s="617"/>
      <c r="I374" s="617"/>
      <c r="J374" s="617"/>
      <c r="K374" s="617"/>
      <c r="L374" s="617"/>
      <c r="M374" s="617"/>
      <c r="N374" s="617"/>
      <c r="O374" s="617"/>
      <c r="P374" s="617"/>
      <c r="Q374" s="617"/>
      <c r="R374" s="617"/>
      <c r="S374" s="617"/>
      <c r="T374" s="617"/>
      <c r="U374" s="617"/>
      <c r="V374" s="617"/>
      <c r="W374" s="617"/>
      <c r="X374" s="617"/>
      <c r="Y374" s="617"/>
      <c r="Z374" s="617"/>
      <c r="AA374" s="617"/>
      <c r="AB374" s="617"/>
      <c r="AC374" s="617"/>
      <c r="AD374" s="617"/>
      <c r="AE374" s="617"/>
      <c r="AF374" s="617"/>
      <c r="AG374" s="617"/>
      <c r="AH374" s="617"/>
    </row>
    <row r="375" spans="1:34" ht="15" hidden="1">
      <c r="A375" s="617"/>
      <c r="B375" s="617"/>
      <c r="C375" s="617"/>
      <c r="D375" s="617"/>
      <c r="E375" s="617"/>
      <c r="F375" s="617"/>
      <c r="G375" s="617"/>
      <c r="H375" s="617"/>
      <c r="I375" s="617"/>
      <c r="J375" s="617"/>
      <c r="K375" s="617"/>
      <c r="L375" s="617"/>
      <c r="M375" s="617"/>
      <c r="N375" s="617"/>
      <c r="O375" s="617"/>
      <c r="P375" s="617"/>
      <c r="Q375" s="617"/>
      <c r="R375" s="617"/>
      <c r="S375" s="617"/>
      <c r="T375" s="617"/>
      <c r="U375" s="617"/>
      <c r="V375" s="617"/>
      <c r="W375" s="617"/>
      <c r="X375" s="617"/>
      <c r="Y375" s="617"/>
      <c r="Z375" s="617"/>
      <c r="AA375" s="617"/>
      <c r="AB375" s="617"/>
      <c r="AC375" s="617"/>
      <c r="AD375" s="617"/>
      <c r="AE375" s="617"/>
      <c r="AF375" s="617"/>
      <c r="AG375" s="617"/>
      <c r="AH375" s="617"/>
    </row>
    <row r="376" spans="1:34" ht="15" hidden="1">
      <c r="A376" s="617"/>
      <c r="B376" s="617"/>
      <c r="C376" s="617"/>
      <c r="D376" s="617"/>
      <c r="E376" s="617"/>
      <c r="F376" s="617"/>
      <c r="G376" s="617"/>
      <c r="H376" s="617"/>
      <c r="I376" s="617"/>
      <c r="J376" s="617"/>
      <c r="K376" s="617"/>
      <c r="L376" s="617"/>
      <c r="M376" s="617"/>
      <c r="N376" s="617"/>
      <c r="O376" s="617"/>
      <c r="P376" s="617"/>
      <c r="Q376" s="617"/>
      <c r="R376" s="617"/>
      <c r="S376" s="617"/>
      <c r="T376" s="617"/>
      <c r="U376" s="617"/>
      <c r="V376" s="617"/>
      <c r="W376" s="617"/>
      <c r="X376" s="617"/>
      <c r="Y376" s="617"/>
      <c r="Z376" s="617"/>
      <c r="AA376" s="617"/>
      <c r="AB376" s="617"/>
      <c r="AC376" s="617"/>
      <c r="AD376" s="617"/>
      <c r="AE376" s="617"/>
      <c r="AF376" s="617"/>
      <c r="AG376" s="617"/>
      <c r="AH376" s="617"/>
    </row>
    <row r="377" spans="1:34" ht="15" hidden="1">
      <c r="A377" s="617"/>
      <c r="B377" s="617"/>
      <c r="C377" s="617"/>
      <c r="D377" s="617"/>
      <c r="E377" s="617"/>
      <c r="F377" s="617"/>
      <c r="G377" s="617"/>
      <c r="H377" s="617"/>
      <c r="I377" s="617"/>
      <c r="J377" s="617"/>
      <c r="K377" s="617"/>
      <c r="L377" s="617"/>
      <c r="M377" s="617"/>
      <c r="N377" s="617"/>
      <c r="O377" s="617"/>
      <c r="P377" s="617"/>
      <c r="Q377" s="617"/>
      <c r="R377" s="617"/>
      <c r="S377" s="617"/>
      <c r="T377" s="617"/>
      <c r="U377" s="617"/>
      <c r="V377" s="617"/>
      <c r="W377" s="617"/>
      <c r="X377" s="617"/>
      <c r="Y377" s="617"/>
      <c r="Z377" s="617"/>
      <c r="AA377" s="617"/>
      <c r="AB377" s="617"/>
      <c r="AC377" s="617"/>
      <c r="AD377" s="617"/>
      <c r="AE377" s="617"/>
      <c r="AF377" s="617"/>
      <c r="AG377" s="617"/>
      <c r="AH377" s="617"/>
    </row>
    <row r="378" spans="1:34" ht="15" hidden="1">
      <c r="A378" s="617"/>
      <c r="B378" s="617"/>
      <c r="C378" s="617"/>
      <c r="D378" s="617"/>
      <c r="E378" s="617"/>
      <c r="F378" s="617"/>
      <c r="G378" s="617"/>
      <c r="H378" s="617"/>
      <c r="I378" s="617"/>
      <c r="J378" s="617"/>
      <c r="K378" s="617"/>
      <c r="L378" s="617"/>
      <c r="M378" s="617"/>
      <c r="N378" s="617"/>
      <c r="O378" s="617"/>
      <c r="P378" s="617"/>
      <c r="Q378" s="617"/>
      <c r="R378" s="617"/>
      <c r="S378" s="617"/>
      <c r="T378" s="617"/>
      <c r="U378" s="617"/>
      <c r="V378" s="617"/>
      <c r="W378" s="617"/>
      <c r="X378" s="617"/>
      <c r="Y378" s="617"/>
      <c r="Z378" s="617"/>
      <c r="AA378" s="617"/>
      <c r="AB378" s="617"/>
      <c r="AC378" s="617"/>
      <c r="AD378" s="617"/>
      <c r="AE378" s="617"/>
      <c r="AF378" s="617"/>
      <c r="AG378" s="617"/>
      <c r="AH378" s="617"/>
    </row>
    <row r="379" spans="1:34" ht="15" hidden="1">
      <c r="A379" s="617"/>
      <c r="B379" s="617"/>
      <c r="C379" s="617"/>
      <c r="D379" s="617"/>
      <c r="E379" s="617"/>
      <c r="F379" s="617"/>
      <c r="G379" s="617"/>
      <c r="H379" s="617"/>
      <c r="I379" s="617"/>
      <c r="J379" s="617"/>
      <c r="K379" s="617"/>
      <c r="L379" s="617"/>
      <c r="M379" s="617"/>
      <c r="N379" s="617"/>
      <c r="O379" s="617"/>
      <c r="P379" s="617"/>
      <c r="Q379" s="617"/>
      <c r="R379" s="617"/>
      <c r="S379" s="617"/>
      <c r="T379" s="617"/>
      <c r="U379" s="617"/>
      <c r="V379" s="617"/>
      <c r="W379" s="617"/>
      <c r="X379" s="617"/>
      <c r="Y379" s="617"/>
      <c r="Z379" s="617"/>
      <c r="AA379" s="617"/>
      <c r="AB379" s="617"/>
      <c r="AC379" s="617"/>
      <c r="AD379" s="617"/>
      <c r="AE379" s="617"/>
      <c r="AF379" s="617"/>
      <c r="AG379" s="617"/>
      <c r="AH379" s="617"/>
    </row>
    <row r="380" spans="1:34" ht="15" hidden="1">
      <c r="A380" s="617"/>
      <c r="B380" s="617"/>
      <c r="C380" s="617"/>
      <c r="D380" s="617"/>
      <c r="E380" s="617"/>
      <c r="F380" s="617"/>
      <c r="G380" s="617"/>
      <c r="H380" s="617"/>
      <c r="I380" s="617"/>
      <c r="J380" s="617"/>
      <c r="K380" s="617"/>
      <c r="L380" s="617"/>
      <c r="M380" s="617"/>
      <c r="N380" s="617"/>
      <c r="O380" s="617"/>
      <c r="P380" s="617"/>
      <c r="Q380" s="617"/>
      <c r="R380" s="617"/>
      <c r="S380" s="617"/>
      <c r="T380" s="617"/>
      <c r="U380" s="617"/>
      <c r="V380" s="617"/>
      <c r="W380" s="617"/>
      <c r="X380" s="617"/>
      <c r="Y380" s="617"/>
      <c r="Z380" s="617"/>
      <c r="AA380" s="617"/>
      <c r="AB380" s="617"/>
      <c r="AC380" s="617"/>
      <c r="AD380" s="617"/>
      <c r="AE380" s="617"/>
      <c r="AF380" s="617"/>
      <c r="AG380" s="617"/>
      <c r="AH380" s="617"/>
    </row>
    <row r="381" spans="1:34" ht="15" hidden="1">
      <c r="A381" s="617"/>
      <c r="B381" s="617"/>
      <c r="C381" s="617"/>
      <c r="D381" s="617"/>
      <c r="E381" s="617"/>
      <c r="F381" s="617"/>
      <c r="G381" s="617"/>
      <c r="H381" s="617"/>
      <c r="I381" s="617"/>
      <c r="J381" s="617"/>
      <c r="K381" s="617"/>
      <c r="L381" s="617"/>
      <c r="M381" s="617"/>
      <c r="N381" s="617"/>
      <c r="O381" s="617"/>
      <c r="P381" s="617"/>
      <c r="Q381" s="617"/>
      <c r="R381" s="617"/>
      <c r="S381" s="617"/>
      <c r="T381" s="617"/>
      <c r="U381" s="617"/>
      <c r="V381" s="617"/>
      <c r="W381" s="617"/>
      <c r="X381" s="617"/>
      <c r="Y381" s="617"/>
      <c r="Z381" s="617"/>
      <c r="AA381" s="617"/>
      <c r="AB381" s="617"/>
      <c r="AC381" s="617"/>
      <c r="AD381" s="617"/>
      <c r="AE381" s="617"/>
      <c r="AF381" s="617"/>
      <c r="AG381" s="617"/>
      <c r="AH381" s="617"/>
    </row>
    <row r="382" spans="1:34" ht="15" hidden="1">
      <c r="A382" s="617"/>
      <c r="B382" s="617"/>
      <c r="C382" s="617"/>
      <c r="D382" s="617"/>
      <c r="E382" s="617"/>
      <c r="F382" s="617"/>
      <c r="G382" s="617"/>
      <c r="H382" s="617"/>
      <c r="I382" s="617"/>
      <c r="J382" s="617"/>
      <c r="K382" s="617"/>
      <c r="L382" s="617"/>
      <c r="M382" s="617"/>
      <c r="N382" s="617"/>
      <c r="O382" s="617"/>
      <c r="P382" s="617"/>
      <c r="Q382" s="617"/>
      <c r="R382" s="617"/>
      <c r="S382" s="617"/>
      <c r="T382" s="617"/>
      <c r="U382" s="617"/>
      <c r="V382" s="617"/>
      <c r="W382" s="617"/>
      <c r="X382" s="617"/>
      <c r="Y382" s="617"/>
      <c r="Z382" s="617"/>
      <c r="AA382" s="617"/>
      <c r="AB382" s="617"/>
      <c r="AC382" s="617"/>
      <c r="AD382" s="617"/>
      <c r="AE382" s="617"/>
      <c r="AF382" s="617"/>
      <c r="AG382" s="617"/>
      <c r="AH382" s="617"/>
    </row>
    <row r="383" spans="1:34" ht="15" hidden="1">
      <c r="A383" s="617"/>
      <c r="B383" s="617"/>
      <c r="C383" s="617"/>
      <c r="D383" s="617"/>
      <c r="E383" s="617"/>
      <c r="F383" s="617"/>
      <c r="G383" s="617"/>
      <c r="H383" s="617"/>
      <c r="I383" s="617"/>
      <c r="J383" s="617"/>
      <c r="K383" s="617"/>
      <c r="L383" s="617"/>
      <c r="M383" s="617"/>
      <c r="N383" s="617"/>
      <c r="O383" s="617"/>
      <c r="P383" s="617"/>
      <c r="Q383" s="617"/>
      <c r="R383" s="617"/>
      <c r="S383" s="617"/>
      <c r="T383" s="617"/>
      <c r="U383" s="617"/>
      <c r="V383" s="617"/>
      <c r="W383" s="617"/>
      <c r="X383" s="617"/>
      <c r="Y383" s="617"/>
      <c r="Z383" s="617"/>
      <c r="AA383" s="617"/>
      <c r="AB383" s="617"/>
      <c r="AC383" s="617"/>
      <c r="AD383" s="617"/>
      <c r="AE383" s="617"/>
      <c r="AF383" s="617"/>
      <c r="AG383" s="617"/>
      <c r="AH383" s="617"/>
    </row>
    <row r="384" spans="1:34" ht="15" hidden="1">
      <c r="A384" s="617"/>
      <c r="B384" s="617"/>
      <c r="C384" s="617"/>
      <c r="D384" s="617"/>
      <c r="E384" s="617"/>
      <c r="F384" s="617"/>
      <c r="G384" s="617"/>
      <c r="H384" s="617"/>
      <c r="I384" s="617"/>
      <c r="J384" s="617"/>
      <c r="K384" s="617"/>
      <c r="L384" s="617"/>
      <c r="M384" s="617"/>
      <c r="N384" s="617"/>
      <c r="O384" s="617"/>
      <c r="P384" s="617"/>
      <c r="Q384" s="617"/>
      <c r="R384" s="617"/>
      <c r="S384" s="617"/>
      <c r="T384" s="617"/>
      <c r="U384" s="617"/>
      <c r="V384" s="617"/>
      <c r="W384" s="617"/>
      <c r="X384" s="617"/>
      <c r="Y384" s="617"/>
      <c r="Z384" s="617"/>
      <c r="AA384" s="617"/>
      <c r="AB384" s="617"/>
      <c r="AC384" s="617"/>
      <c r="AD384" s="617"/>
      <c r="AE384" s="617"/>
      <c r="AF384" s="617"/>
      <c r="AG384" s="617"/>
      <c r="AH384" s="617"/>
    </row>
    <row r="385" spans="1:34" ht="15" hidden="1">
      <c r="A385" s="617"/>
      <c r="B385" s="617"/>
      <c r="C385" s="617"/>
      <c r="D385" s="617"/>
      <c r="E385" s="617"/>
      <c r="F385" s="617"/>
      <c r="G385" s="617"/>
      <c r="H385" s="617"/>
      <c r="I385" s="617"/>
      <c r="J385" s="617"/>
      <c r="K385" s="617"/>
      <c r="L385" s="617"/>
      <c r="M385" s="617"/>
      <c r="N385" s="617"/>
      <c r="O385" s="617"/>
      <c r="P385" s="617"/>
      <c r="Q385" s="617"/>
      <c r="R385" s="617"/>
      <c r="S385" s="617"/>
      <c r="T385" s="617"/>
      <c r="U385" s="617"/>
      <c r="V385" s="617"/>
      <c r="W385" s="617"/>
      <c r="X385" s="617"/>
      <c r="Y385" s="617"/>
      <c r="Z385" s="617"/>
      <c r="AA385" s="617"/>
      <c r="AB385" s="617"/>
      <c r="AC385" s="617"/>
      <c r="AD385" s="617"/>
      <c r="AE385" s="617"/>
      <c r="AF385" s="617"/>
      <c r="AG385" s="617"/>
      <c r="AH385" s="617"/>
    </row>
    <row r="386" spans="1:34" ht="15" hidden="1">
      <c r="A386" s="617"/>
      <c r="B386" s="617"/>
      <c r="C386" s="617"/>
      <c r="D386" s="617"/>
      <c r="E386" s="617"/>
      <c r="F386" s="617"/>
      <c r="G386" s="617"/>
      <c r="H386" s="617"/>
      <c r="I386" s="617"/>
      <c r="J386" s="617"/>
      <c r="K386" s="617"/>
      <c r="L386" s="617"/>
      <c r="M386" s="617"/>
      <c r="N386" s="617"/>
      <c r="O386" s="617"/>
      <c r="P386" s="617"/>
      <c r="Q386" s="617"/>
      <c r="R386" s="617"/>
      <c r="S386" s="617"/>
      <c r="T386" s="617"/>
      <c r="U386" s="617"/>
      <c r="V386" s="617"/>
      <c r="W386" s="617"/>
      <c r="X386" s="617"/>
      <c r="Y386" s="617"/>
      <c r="Z386" s="617"/>
      <c r="AA386" s="617"/>
      <c r="AB386" s="617"/>
      <c r="AC386" s="617"/>
      <c r="AD386" s="617"/>
      <c r="AE386" s="617"/>
      <c r="AF386" s="617"/>
      <c r="AG386" s="617"/>
      <c r="AH386" s="617"/>
    </row>
    <row r="387" spans="1:34" ht="15" hidden="1">
      <c r="A387" s="617"/>
      <c r="B387" s="617"/>
      <c r="C387" s="617"/>
      <c r="D387" s="617"/>
      <c r="E387" s="617"/>
      <c r="F387" s="617"/>
      <c r="G387" s="617"/>
      <c r="H387" s="617"/>
      <c r="I387" s="617"/>
      <c r="J387" s="617"/>
      <c r="K387" s="617"/>
      <c r="L387" s="617"/>
      <c r="M387" s="617"/>
      <c r="N387" s="617"/>
      <c r="O387" s="617"/>
      <c r="P387" s="617"/>
      <c r="Q387" s="617"/>
      <c r="R387" s="617"/>
      <c r="S387" s="617"/>
      <c r="T387" s="617"/>
      <c r="U387" s="617"/>
      <c r="V387" s="617"/>
      <c r="W387" s="617"/>
      <c r="X387" s="617"/>
      <c r="Y387" s="617"/>
      <c r="Z387" s="617"/>
      <c r="AA387" s="617"/>
      <c r="AB387" s="617"/>
      <c r="AC387" s="617"/>
      <c r="AD387" s="617"/>
      <c r="AE387" s="617"/>
      <c r="AF387" s="617"/>
      <c r="AG387" s="617"/>
      <c r="AH387" s="617"/>
    </row>
    <row r="388" spans="1:34" ht="15" hidden="1">
      <c r="A388" s="617"/>
      <c r="B388" s="617"/>
      <c r="C388" s="617"/>
      <c r="D388" s="617"/>
      <c r="E388" s="617"/>
      <c r="F388" s="617"/>
      <c r="G388" s="617"/>
      <c r="H388" s="617"/>
      <c r="I388" s="617"/>
      <c r="J388" s="617"/>
      <c r="K388" s="617"/>
      <c r="L388" s="617"/>
      <c r="M388" s="617"/>
      <c r="N388" s="617"/>
      <c r="O388" s="617"/>
      <c r="P388" s="617"/>
      <c r="Q388" s="617"/>
      <c r="R388" s="617"/>
      <c r="S388" s="617"/>
      <c r="T388" s="617"/>
      <c r="U388" s="617"/>
      <c r="V388" s="617"/>
      <c r="W388" s="617"/>
      <c r="X388" s="617"/>
      <c r="Y388" s="617"/>
      <c r="Z388" s="617"/>
      <c r="AA388" s="617"/>
      <c r="AB388" s="617"/>
      <c r="AC388" s="617"/>
      <c r="AD388" s="617"/>
      <c r="AE388" s="617"/>
      <c r="AF388" s="617"/>
      <c r="AG388" s="617"/>
      <c r="AH388" s="617"/>
    </row>
    <row r="389" spans="1:34" ht="15" hidden="1">
      <c r="A389" s="617"/>
      <c r="B389" s="617"/>
      <c r="C389" s="617"/>
      <c r="D389" s="617"/>
      <c r="E389" s="617"/>
      <c r="F389" s="617"/>
      <c r="G389" s="617"/>
      <c r="H389" s="617"/>
      <c r="I389" s="617"/>
      <c r="J389" s="617"/>
      <c r="K389" s="617"/>
      <c r="L389" s="617"/>
      <c r="M389" s="617"/>
      <c r="N389" s="617"/>
      <c r="O389" s="617"/>
      <c r="P389" s="617"/>
      <c r="Q389" s="617"/>
      <c r="R389" s="617"/>
      <c r="S389" s="617"/>
      <c r="T389" s="617"/>
      <c r="U389" s="617"/>
      <c r="V389" s="617"/>
      <c r="W389" s="617"/>
      <c r="X389" s="617"/>
      <c r="Y389" s="617"/>
      <c r="Z389" s="617"/>
      <c r="AA389" s="617"/>
      <c r="AB389" s="617"/>
      <c r="AC389" s="617"/>
      <c r="AD389" s="617"/>
      <c r="AE389" s="617"/>
      <c r="AF389" s="617"/>
      <c r="AG389" s="617"/>
      <c r="AH389" s="617"/>
    </row>
    <row r="390" spans="1:34" ht="15" hidden="1">
      <c r="A390" s="617"/>
      <c r="B390" s="617"/>
      <c r="C390" s="617"/>
      <c r="D390" s="617"/>
      <c r="E390" s="617"/>
      <c r="F390" s="617"/>
      <c r="G390" s="617"/>
      <c r="H390" s="617"/>
      <c r="I390" s="617"/>
      <c r="J390" s="617"/>
      <c r="K390" s="617"/>
      <c r="L390" s="617"/>
      <c r="M390" s="617"/>
      <c r="N390" s="617"/>
      <c r="O390" s="617"/>
      <c r="P390" s="617"/>
      <c r="Q390" s="617"/>
      <c r="R390" s="617"/>
      <c r="S390" s="617"/>
      <c r="T390" s="617"/>
      <c r="U390" s="617"/>
      <c r="V390" s="617"/>
      <c r="W390" s="617"/>
      <c r="X390" s="617"/>
      <c r="Y390" s="617"/>
      <c r="Z390" s="617"/>
      <c r="AA390" s="617"/>
      <c r="AB390" s="617"/>
      <c r="AC390" s="617"/>
      <c r="AD390" s="617"/>
      <c r="AE390" s="617"/>
      <c r="AF390" s="617"/>
      <c r="AG390" s="617"/>
      <c r="AH390" s="617"/>
    </row>
    <row r="391" spans="1:34" ht="15" hidden="1">
      <c r="A391" s="617"/>
      <c r="B391" s="617"/>
      <c r="C391" s="617"/>
      <c r="D391" s="617"/>
      <c r="E391" s="617"/>
      <c r="F391" s="617"/>
      <c r="G391" s="617"/>
      <c r="H391" s="617"/>
      <c r="I391" s="617"/>
      <c r="J391" s="617"/>
      <c r="K391" s="617"/>
      <c r="L391" s="617"/>
      <c r="M391" s="617"/>
      <c r="N391" s="617"/>
      <c r="O391" s="617"/>
      <c r="P391" s="617"/>
      <c r="Q391" s="617"/>
      <c r="R391" s="617"/>
      <c r="S391" s="617"/>
      <c r="T391" s="617"/>
      <c r="U391" s="617"/>
      <c r="V391" s="617"/>
      <c r="W391" s="617"/>
      <c r="X391" s="617"/>
      <c r="Y391" s="617"/>
      <c r="Z391" s="617"/>
      <c r="AA391" s="617"/>
      <c r="AB391" s="617"/>
      <c r="AC391" s="617"/>
      <c r="AD391" s="617"/>
      <c r="AE391" s="617"/>
      <c r="AF391" s="617"/>
      <c r="AG391" s="617"/>
      <c r="AH391" s="617"/>
    </row>
    <row r="392" spans="1:34" ht="15" hidden="1">
      <c r="A392" s="617"/>
      <c r="B392" s="617"/>
      <c r="C392" s="617"/>
      <c r="D392" s="617"/>
      <c r="E392" s="617"/>
      <c r="F392" s="617"/>
      <c r="G392" s="617"/>
      <c r="H392" s="617"/>
      <c r="I392" s="617"/>
      <c r="J392" s="617"/>
      <c r="K392" s="617"/>
      <c r="L392" s="617"/>
      <c r="M392" s="617"/>
      <c r="N392" s="617"/>
      <c r="O392" s="617"/>
      <c r="P392" s="617"/>
      <c r="Q392" s="617"/>
      <c r="R392" s="617"/>
      <c r="S392" s="617"/>
      <c r="T392" s="617"/>
      <c r="U392" s="617"/>
      <c r="V392" s="617"/>
      <c r="W392" s="617"/>
      <c r="X392" s="617"/>
      <c r="Y392" s="617"/>
      <c r="Z392" s="617"/>
      <c r="AA392" s="617"/>
      <c r="AB392" s="617"/>
      <c r="AC392" s="617"/>
      <c r="AD392" s="617"/>
      <c r="AE392" s="617"/>
      <c r="AF392" s="617"/>
      <c r="AG392" s="617"/>
      <c r="AH392" s="617"/>
    </row>
    <row r="393" spans="1:34" ht="15" hidden="1">
      <c r="A393" s="617"/>
      <c r="B393" s="617"/>
      <c r="C393" s="617"/>
      <c r="D393" s="617"/>
      <c r="E393" s="617"/>
      <c r="F393" s="617"/>
      <c r="G393" s="617"/>
      <c r="H393" s="617"/>
      <c r="I393" s="617"/>
      <c r="J393" s="617"/>
      <c r="K393" s="617"/>
      <c r="L393" s="617"/>
      <c r="M393" s="617"/>
      <c r="N393" s="617"/>
      <c r="O393" s="617"/>
      <c r="P393" s="617"/>
      <c r="Q393" s="617"/>
      <c r="R393" s="617"/>
      <c r="S393" s="617"/>
      <c r="T393" s="617"/>
      <c r="U393" s="617"/>
      <c r="V393" s="617"/>
      <c r="W393" s="617"/>
      <c r="X393" s="617"/>
      <c r="Y393" s="617"/>
      <c r="Z393" s="617"/>
      <c r="AA393" s="617"/>
      <c r="AB393" s="617"/>
      <c r="AC393" s="617"/>
      <c r="AD393" s="617"/>
      <c r="AE393" s="617"/>
      <c r="AF393" s="617"/>
      <c r="AG393" s="617"/>
      <c r="AH393" s="617"/>
    </row>
    <row r="394" spans="1:34" ht="15" hidden="1">
      <c r="A394" s="617"/>
      <c r="B394" s="617"/>
      <c r="C394" s="617"/>
      <c r="D394" s="617"/>
      <c r="E394" s="617"/>
      <c r="F394" s="617"/>
      <c r="G394" s="617"/>
      <c r="H394" s="617"/>
      <c r="I394" s="617"/>
      <c r="J394" s="617"/>
      <c r="K394" s="617"/>
      <c r="L394" s="617"/>
      <c r="M394" s="617"/>
      <c r="N394" s="617"/>
      <c r="O394" s="617"/>
      <c r="P394" s="617"/>
      <c r="Q394" s="617"/>
      <c r="R394" s="617"/>
      <c r="S394" s="617"/>
      <c r="T394" s="617"/>
      <c r="U394" s="617"/>
      <c r="V394" s="617"/>
      <c r="W394" s="617"/>
      <c r="X394" s="617"/>
      <c r="Y394" s="617"/>
      <c r="Z394" s="617"/>
      <c r="AA394" s="617"/>
      <c r="AB394" s="617"/>
      <c r="AC394" s="617"/>
      <c r="AD394" s="617"/>
      <c r="AE394" s="617"/>
      <c r="AF394" s="617"/>
      <c r="AG394" s="617"/>
      <c r="AH394" s="617"/>
    </row>
    <row r="395" spans="1:34" ht="15" hidden="1">
      <c r="A395" s="617"/>
      <c r="B395" s="617"/>
      <c r="C395" s="617"/>
      <c r="D395" s="617"/>
      <c r="E395" s="617"/>
      <c r="F395" s="617"/>
      <c r="G395" s="617"/>
      <c r="H395" s="617"/>
      <c r="I395" s="617"/>
      <c r="J395" s="617"/>
      <c r="K395" s="617"/>
      <c r="L395" s="617"/>
      <c r="M395" s="617"/>
      <c r="N395" s="617"/>
      <c r="O395" s="617"/>
      <c r="P395" s="617"/>
      <c r="Q395" s="617"/>
      <c r="R395" s="617"/>
      <c r="S395" s="617"/>
      <c r="T395" s="617"/>
      <c r="U395" s="617"/>
      <c r="V395" s="617"/>
      <c r="W395" s="617"/>
      <c r="X395" s="617"/>
      <c r="Y395" s="617"/>
      <c r="Z395" s="617"/>
      <c r="AA395" s="617"/>
      <c r="AB395" s="617"/>
      <c r="AC395" s="617"/>
      <c r="AD395" s="617"/>
      <c r="AE395" s="617"/>
      <c r="AF395" s="617"/>
      <c r="AG395" s="617"/>
      <c r="AH395" s="617"/>
    </row>
    <row r="396" spans="1:34" ht="15" hidden="1">
      <c r="A396" s="617"/>
      <c r="B396" s="617"/>
      <c r="C396" s="617"/>
      <c r="D396" s="617"/>
      <c r="E396" s="617"/>
      <c r="F396" s="617"/>
      <c r="G396" s="617"/>
      <c r="H396" s="617"/>
      <c r="I396" s="617"/>
      <c r="J396" s="617"/>
      <c r="K396" s="617"/>
      <c r="L396" s="617"/>
      <c r="M396" s="617"/>
      <c r="N396" s="617"/>
      <c r="O396" s="617"/>
      <c r="P396" s="617"/>
      <c r="Q396" s="617"/>
      <c r="R396" s="617"/>
      <c r="S396" s="617"/>
      <c r="T396" s="617"/>
      <c r="U396" s="617"/>
      <c r="V396" s="617"/>
      <c r="W396" s="617"/>
      <c r="X396" s="617"/>
      <c r="Y396" s="617"/>
      <c r="Z396" s="617"/>
      <c r="AA396" s="617"/>
      <c r="AB396" s="617"/>
      <c r="AC396" s="617"/>
      <c r="AD396" s="617"/>
      <c r="AE396" s="617"/>
      <c r="AF396" s="617"/>
      <c r="AG396" s="617"/>
      <c r="AH396" s="617"/>
    </row>
    <row r="397" spans="1:34" ht="15" hidden="1">
      <c r="A397" s="617"/>
      <c r="B397" s="617"/>
      <c r="C397" s="617"/>
      <c r="D397" s="617"/>
      <c r="E397" s="617"/>
      <c r="F397" s="617"/>
      <c r="G397" s="617"/>
      <c r="H397" s="617"/>
      <c r="I397" s="617"/>
      <c r="J397" s="617"/>
      <c r="K397" s="617"/>
      <c r="L397" s="617"/>
      <c r="M397" s="617"/>
      <c r="N397" s="617"/>
      <c r="O397" s="617"/>
      <c r="P397" s="617"/>
      <c r="Q397" s="617"/>
      <c r="R397" s="617"/>
      <c r="S397" s="617"/>
      <c r="T397" s="617"/>
      <c r="U397" s="617"/>
      <c r="V397" s="617"/>
      <c r="W397" s="617"/>
      <c r="X397" s="617"/>
      <c r="Y397" s="617"/>
      <c r="Z397" s="617"/>
      <c r="AA397" s="617"/>
      <c r="AB397" s="617"/>
      <c r="AC397" s="617"/>
      <c r="AD397" s="617"/>
      <c r="AE397" s="617"/>
      <c r="AF397" s="617"/>
      <c r="AG397" s="617"/>
      <c r="AH397" s="617"/>
    </row>
    <row r="398" spans="1:34" ht="15" hidden="1">
      <c r="A398" s="617"/>
      <c r="B398" s="617"/>
      <c r="C398" s="617"/>
      <c r="D398" s="617"/>
      <c r="E398" s="617"/>
      <c r="F398" s="617"/>
      <c r="G398" s="617"/>
      <c r="H398" s="617"/>
      <c r="I398" s="617"/>
      <c r="J398" s="617"/>
      <c r="K398" s="617"/>
      <c r="L398" s="617"/>
      <c r="M398" s="617"/>
      <c r="N398" s="617"/>
      <c r="O398" s="617"/>
      <c r="P398" s="617"/>
      <c r="Q398" s="617"/>
      <c r="R398" s="617"/>
      <c r="S398" s="617"/>
      <c r="T398" s="617"/>
      <c r="U398" s="617"/>
      <c r="V398" s="617"/>
      <c r="W398" s="617"/>
      <c r="X398" s="617"/>
      <c r="Y398" s="617"/>
      <c r="Z398" s="617"/>
      <c r="AA398" s="617"/>
      <c r="AB398" s="617"/>
      <c r="AC398" s="617"/>
      <c r="AD398" s="617"/>
      <c r="AE398" s="617"/>
      <c r="AF398" s="617"/>
      <c r="AG398" s="617"/>
      <c r="AH398" s="617"/>
    </row>
    <row r="399" spans="1:34" ht="15" hidden="1">
      <c r="A399" s="617"/>
      <c r="B399" s="617"/>
      <c r="C399" s="617"/>
      <c r="D399" s="617"/>
      <c r="E399" s="617"/>
      <c r="F399" s="617"/>
      <c r="G399" s="617"/>
      <c r="H399" s="617"/>
      <c r="I399" s="617"/>
      <c r="J399" s="617"/>
      <c r="K399" s="617"/>
      <c r="L399" s="617"/>
      <c r="M399" s="617"/>
      <c r="N399" s="617"/>
      <c r="O399" s="617"/>
      <c r="P399" s="617"/>
      <c r="Q399" s="617"/>
      <c r="R399" s="617"/>
      <c r="S399" s="617"/>
      <c r="T399" s="617"/>
      <c r="U399" s="617"/>
      <c r="V399" s="617"/>
      <c r="W399" s="617"/>
      <c r="X399" s="617"/>
      <c r="Y399" s="617"/>
      <c r="Z399" s="617"/>
      <c r="AA399" s="617"/>
      <c r="AB399" s="617"/>
      <c r="AC399" s="617"/>
      <c r="AD399" s="617"/>
      <c r="AE399" s="617"/>
      <c r="AF399" s="617"/>
      <c r="AG399" s="617"/>
      <c r="AH399" s="617"/>
    </row>
    <row r="400" spans="1:34" ht="15" hidden="1">
      <c r="A400" s="617"/>
      <c r="B400" s="617"/>
      <c r="C400" s="617"/>
      <c r="D400" s="617"/>
      <c r="E400" s="617"/>
      <c r="F400" s="617"/>
      <c r="G400" s="617"/>
      <c r="H400" s="617"/>
      <c r="I400" s="617"/>
      <c r="J400" s="617"/>
      <c r="K400" s="617"/>
      <c r="L400" s="617"/>
      <c r="M400" s="617"/>
      <c r="N400" s="617"/>
      <c r="O400" s="617"/>
      <c r="P400" s="617"/>
      <c r="Q400" s="617"/>
      <c r="R400" s="617"/>
      <c r="S400" s="617"/>
      <c r="T400" s="617"/>
      <c r="U400" s="617"/>
      <c r="V400" s="617"/>
      <c r="W400" s="617"/>
      <c r="X400" s="617"/>
      <c r="Y400" s="617"/>
      <c r="Z400" s="617"/>
      <c r="AA400" s="617"/>
      <c r="AB400" s="617"/>
      <c r="AC400" s="617"/>
      <c r="AD400" s="617"/>
      <c r="AE400" s="617"/>
      <c r="AF400" s="617"/>
      <c r="AG400" s="617"/>
      <c r="AH400" s="617"/>
    </row>
    <row r="401" spans="1:34" ht="15" hidden="1">
      <c r="A401" s="617"/>
      <c r="B401" s="617"/>
      <c r="C401" s="617"/>
      <c r="D401" s="617"/>
      <c r="E401" s="617"/>
      <c r="F401" s="617"/>
      <c r="G401" s="617"/>
      <c r="H401" s="617"/>
      <c r="I401" s="617"/>
      <c r="J401" s="617"/>
      <c r="K401" s="617"/>
      <c r="L401" s="617"/>
      <c r="M401" s="617"/>
      <c r="N401" s="617"/>
      <c r="O401" s="617"/>
      <c r="P401" s="617"/>
      <c r="Q401" s="617"/>
      <c r="R401" s="617"/>
      <c r="S401" s="617"/>
      <c r="T401" s="617"/>
      <c r="U401" s="617"/>
      <c r="V401" s="617"/>
      <c r="W401" s="617"/>
      <c r="X401" s="617"/>
      <c r="Y401" s="617"/>
      <c r="Z401" s="617"/>
      <c r="AA401" s="617"/>
      <c r="AB401" s="617"/>
      <c r="AC401" s="617"/>
      <c r="AD401" s="617"/>
      <c r="AE401" s="617"/>
      <c r="AF401" s="617"/>
      <c r="AG401" s="617"/>
      <c r="AH401" s="617"/>
    </row>
    <row r="402" spans="1:34" ht="15" hidden="1">
      <c r="A402" s="617"/>
      <c r="B402" s="617"/>
      <c r="C402" s="617"/>
      <c r="D402" s="617"/>
      <c r="E402" s="617"/>
      <c r="F402" s="617"/>
      <c r="G402" s="617"/>
      <c r="H402" s="617"/>
      <c r="I402" s="617"/>
      <c r="J402" s="617"/>
      <c r="K402" s="617"/>
      <c r="L402" s="617"/>
      <c r="M402" s="617"/>
      <c r="N402" s="617"/>
      <c r="O402" s="617"/>
      <c r="P402" s="617"/>
      <c r="Q402" s="617"/>
      <c r="R402" s="617"/>
      <c r="S402" s="617"/>
      <c r="T402" s="617"/>
      <c r="U402" s="617"/>
      <c r="V402" s="617"/>
      <c r="W402" s="617"/>
      <c r="X402" s="617"/>
      <c r="Y402" s="617"/>
      <c r="Z402" s="617"/>
      <c r="AA402" s="617"/>
      <c r="AB402" s="617"/>
      <c r="AC402" s="617"/>
      <c r="AD402" s="617"/>
      <c r="AE402" s="617"/>
      <c r="AF402" s="617"/>
      <c r="AG402" s="617"/>
      <c r="AH402" s="617"/>
    </row>
    <row r="403" spans="1:34" ht="15" hidden="1">
      <c r="A403" s="617"/>
      <c r="B403" s="617"/>
      <c r="C403" s="617"/>
      <c r="D403" s="617"/>
      <c r="E403" s="617"/>
      <c r="F403" s="617"/>
      <c r="G403" s="617"/>
      <c r="H403" s="617"/>
      <c r="I403" s="617"/>
      <c r="J403" s="617"/>
      <c r="K403" s="617"/>
      <c r="L403" s="617"/>
      <c r="M403" s="617"/>
      <c r="N403" s="617"/>
      <c r="O403" s="617"/>
      <c r="P403" s="617"/>
      <c r="Q403" s="617"/>
      <c r="R403" s="617"/>
      <c r="S403" s="617"/>
      <c r="T403" s="617"/>
      <c r="U403" s="617"/>
      <c r="V403" s="617"/>
      <c r="W403" s="617"/>
      <c r="X403" s="617"/>
      <c r="Y403" s="617"/>
      <c r="Z403" s="617"/>
      <c r="AA403" s="617"/>
      <c r="AB403" s="617"/>
      <c r="AC403" s="617"/>
      <c r="AD403" s="617"/>
      <c r="AE403" s="617"/>
      <c r="AF403" s="617"/>
      <c r="AG403" s="617"/>
      <c r="AH403" s="617"/>
    </row>
    <row r="404" spans="1:34" ht="15" hidden="1">
      <c r="A404" s="617"/>
      <c r="B404" s="617"/>
      <c r="C404" s="617"/>
      <c r="D404" s="617"/>
      <c r="E404" s="617"/>
      <c r="F404" s="617"/>
      <c r="G404" s="617"/>
      <c r="H404" s="617"/>
      <c r="I404" s="617"/>
      <c r="J404" s="617"/>
      <c r="K404" s="617"/>
      <c r="L404" s="617"/>
      <c r="M404" s="617"/>
      <c r="N404" s="617"/>
      <c r="O404" s="617"/>
      <c r="P404" s="617"/>
      <c r="Q404" s="617"/>
      <c r="R404" s="617"/>
      <c r="S404" s="617"/>
      <c r="T404" s="617"/>
      <c r="U404" s="617"/>
      <c r="V404" s="617"/>
      <c r="W404" s="617"/>
      <c r="X404" s="617"/>
      <c r="Y404" s="617"/>
      <c r="Z404" s="617"/>
      <c r="AA404" s="617"/>
      <c r="AB404" s="617"/>
      <c r="AC404" s="617"/>
      <c r="AD404" s="617"/>
      <c r="AE404" s="617"/>
      <c r="AF404" s="617"/>
      <c r="AG404" s="617"/>
      <c r="AH404" s="617"/>
    </row>
    <row r="405" spans="1:34" ht="15" hidden="1">
      <c r="A405" s="617"/>
      <c r="B405" s="617"/>
      <c r="C405" s="617"/>
      <c r="D405" s="617"/>
      <c r="E405" s="617"/>
      <c r="F405" s="617"/>
      <c r="G405" s="617"/>
      <c r="H405" s="617"/>
      <c r="I405" s="617"/>
      <c r="J405" s="617"/>
      <c r="K405" s="617"/>
      <c r="L405" s="617"/>
      <c r="M405" s="617"/>
      <c r="N405" s="617"/>
      <c r="O405" s="617"/>
      <c r="P405" s="617"/>
      <c r="Q405" s="617"/>
      <c r="R405" s="617"/>
      <c r="S405" s="617"/>
      <c r="T405" s="617"/>
      <c r="U405" s="617"/>
      <c r="V405" s="617"/>
      <c r="W405" s="617"/>
      <c r="X405" s="617"/>
      <c r="Y405" s="617"/>
      <c r="Z405" s="617"/>
      <c r="AA405" s="617"/>
      <c r="AB405" s="617"/>
      <c r="AC405" s="617"/>
      <c r="AD405" s="617"/>
      <c r="AE405" s="617"/>
      <c r="AF405" s="617"/>
      <c r="AG405" s="617"/>
      <c r="AH405" s="617"/>
    </row>
    <row r="406" spans="1:34" ht="15" hidden="1">
      <c r="A406" s="617"/>
      <c r="B406" s="617"/>
      <c r="C406" s="617"/>
      <c r="D406" s="617"/>
      <c r="E406" s="617"/>
      <c r="F406" s="617"/>
      <c r="G406" s="617"/>
      <c r="H406" s="617"/>
      <c r="I406" s="617"/>
      <c r="J406" s="617"/>
      <c r="K406" s="617"/>
      <c r="L406" s="617"/>
      <c r="M406" s="617"/>
      <c r="N406" s="617"/>
      <c r="O406" s="617"/>
      <c r="P406" s="617"/>
      <c r="Q406" s="617"/>
      <c r="R406" s="617"/>
      <c r="S406" s="617"/>
      <c r="T406" s="617"/>
      <c r="U406" s="617"/>
      <c r="V406" s="617"/>
      <c r="W406" s="617"/>
      <c r="X406" s="617"/>
      <c r="Y406" s="617"/>
      <c r="Z406" s="617"/>
      <c r="AA406" s="617"/>
      <c r="AB406" s="617"/>
      <c r="AC406" s="617"/>
      <c r="AD406" s="617"/>
      <c r="AE406" s="617"/>
      <c r="AF406" s="617"/>
      <c r="AG406" s="617"/>
      <c r="AH406" s="617"/>
    </row>
    <row r="407" spans="1:34" ht="15" hidden="1">
      <c r="A407" s="617"/>
      <c r="B407" s="617"/>
      <c r="C407" s="617"/>
      <c r="D407" s="617"/>
      <c r="E407" s="617"/>
      <c r="F407" s="617"/>
      <c r="G407" s="617"/>
      <c r="H407" s="617"/>
      <c r="I407" s="617"/>
      <c r="J407" s="617"/>
      <c r="K407" s="617"/>
      <c r="L407" s="617"/>
      <c r="M407" s="617"/>
      <c r="N407" s="617"/>
      <c r="O407" s="617"/>
      <c r="P407" s="617"/>
      <c r="Q407" s="617"/>
      <c r="R407" s="617"/>
      <c r="S407" s="617"/>
      <c r="T407" s="617"/>
      <c r="U407" s="617"/>
      <c r="V407" s="617"/>
      <c r="W407" s="617"/>
      <c r="X407" s="617"/>
      <c r="Y407" s="617"/>
      <c r="Z407" s="617"/>
      <c r="AA407" s="617"/>
      <c r="AB407" s="617"/>
      <c r="AC407" s="617"/>
      <c r="AD407" s="617"/>
      <c r="AE407" s="617"/>
      <c r="AF407" s="617"/>
      <c r="AG407" s="617"/>
      <c r="AH407" s="617"/>
    </row>
    <row r="408" spans="1:34" ht="15" hidden="1">
      <c r="A408" s="617"/>
      <c r="B408" s="617"/>
      <c r="C408" s="617"/>
      <c r="D408" s="617"/>
      <c r="E408" s="617"/>
      <c r="F408" s="617"/>
      <c r="G408" s="617"/>
      <c r="H408" s="617"/>
      <c r="I408" s="617"/>
      <c r="J408" s="617"/>
      <c r="K408" s="617"/>
      <c r="L408" s="617"/>
      <c r="M408" s="617"/>
      <c r="N408" s="617"/>
      <c r="O408" s="617"/>
      <c r="P408" s="617"/>
      <c r="Q408" s="617"/>
      <c r="R408" s="617"/>
      <c r="S408" s="617"/>
      <c r="T408" s="617"/>
      <c r="U408" s="617"/>
      <c r="V408" s="617"/>
      <c r="W408" s="617"/>
      <c r="X408" s="617"/>
      <c r="Y408" s="617"/>
      <c r="Z408" s="617"/>
      <c r="AA408" s="617"/>
      <c r="AB408" s="617"/>
      <c r="AC408" s="617"/>
      <c r="AD408" s="617"/>
      <c r="AE408" s="617"/>
      <c r="AF408" s="617"/>
      <c r="AG408" s="617"/>
      <c r="AH408" s="617"/>
    </row>
    <row r="409" spans="1:34" ht="15" hidden="1">
      <c r="A409" s="617"/>
      <c r="B409" s="617"/>
      <c r="C409" s="617"/>
      <c r="D409" s="617"/>
      <c r="E409" s="617"/>
      <c r="F409" s="617"/>
      <c r="G409" s="617"/>
      <c r="H409" s="617"/>
      <c r="I409" s="617"/>
      <c r="J409" s="617"/>
      <c r="K409" s="617"/>
      <c r="L409" s="617"/>
      <c r="M409" s="617"/>
      <c r="N409" s="617"/>
      <c r="O409" s="617"/>
      <c r="P409" s="617"/>
      <c r="Q409" s="617"/>
      <c r="R409" s="617"/>
      <c r="S409" s="617"/>
      <c r="T409" s="617"/>
      <c r="U409" s="617"/>
      <c r="V409" s="617"/>
      <c r="W409" s="617"/>
      <c r="X409" s="617"/>
      <c r="Y409" s="617"/>
      <c r="Z409" s="617"/>
      <c r="AA409" s="617"/>
      <c r="AB409" s="617"/>
      <c r="AC409" s="617"/>
      <c r="AD409" s="617"/>
      <c r="AE409" s="617"/>
      <c r="AF409" s="617"/>
      <c r="AG409" s="617"/>
      <c r="AH409" s="617"/>
    </row>
    <row r="410" spans="1:34" ht="15" hidden="1">
      <c r="A410" s="617"/>
      <c r="B410" s="617"/>
      <c r="C410" s="617"/>
      <c r="D410" s="617"/>
      <c r="E410" s="617"/>
      <c r="F410" s="617"/>
      <c r="G410" s="617"/>
      <c r="H410" s="617"/>
      <c r="I410" s="617"/>
      <c r="J410" s="617"/>
      <c r="K410" s="617"/>
      <c r="L410" s="617"/>
      <c r="M410" s="617"/>
      <c r="N410" s="617"/>
      <c r="O410" s="617"/>
      <c r="P410" s="617"/>
      <c r="Q410" s="617"/>
      <c r="R410" s="617"/>
      <c r="S410" s="617"/>
      <c r="T410" s="617"/>
      <c r="U410" s="617"/>
      <c r="V410" s="617"/>
      <c r="W410" s="617"/>
      <c r="X410" s="617"/>
      <c r="Y410" s="617"/>
      <c r="Z410" s="617"/>
      <c r="AA410" s="617"/>
      <c r="AB410" s="617"/>
      <c r="AC410" s="617"/>
      <c r="AD410" s="617"/>
      <c r="AE410" s="617"/>
      <c r="AF410" s="617"/>
      <c r="AG410" s="617"/>
      <c r="AH410" s="617"/>
    </row>
    <row r="411" spans="1:34" ht="15" hidden="1">
      <c r="A411" s="617"/>
      <c r="B411" s="617"/>
      <c r="C411" s="617"/>
      <c r="D411" s="617"/>
      <c r="E411" s="617"/>
      <c r="F411" s="617"/>
      <c r="G411" s="617"/>
      <c r="H411" s="617"/>
      <c r="I411" s="617"/>
      <c r="J411" s="617"/>
      <c r="K411" s="617"/>
      <c r="L411" s="617"/>
      <c r="M411" s="617"/>
      <c r="N411" s="617"/>
      <c r="O411" s="617"/>
      <c r="P411" s="617"/>
      <c r="Q411" s="617"/>
      <c r="R411" s="617"/>
      <c r="S411" s="617"/>
      <c r="T411" s="617"/>
      <c r="U411" s="617"/>
      <c r="V411" s="617"/>
      <c r="W411" s="617"/>
      <c r="X411" s="617"/>
      <c r="Y411" s="617"/>
      <c r="Z411" s="617"/>
      <c r="AA411" s="617"/>
      <c r="AB411" s="617"/>
      <c r="AC411" s="617"/>
      <c r="AD411" s="617"/>
      <c r="AE411" s="617"/>
      <c r="AF411" s="617"/>
      <c r="AG411" s="617"/>
      <c r="AH411" s="617"/>
    </row>
    <row r="412" spans="1:34" ht="15" hidden="1">
      <c r="A412" s="617"/>
      <c r="B412" s="617"/>
      <c r="C412" s="617"/>
      <c r="D412" s="617"/>
      <c r="E412" s="617"/>
      <c r="F412" s="617"/>
      <c r="G412" s="617"/>
      <c r="H412" s="617"/>
      <c r="I412" s="617"/>
      <c r="J412" s="617"/>
      <c r="K412" s="617"/>
      <c r="L412" s="617"/>
      <c r="M412" s="617"/>
      <c r="N412" s="617"/>
      <c r="O412" s="617"/>
      <c r="P412" s="617"/>
      <c r="Q412" s="617"/>
      <c r="R412" s="617"/>
      <c r="S412" s="617"/>
      <c r="T412" s="617"/>
      <c r="U412" s="617"/>
      <c r="V412" s="617"/>
      <c r="W412" s="617"/>
      <c r="X412" s="617"/>
      <c r="Y412" s="617"/>
      <c r="Z412" s="617"/>
      <c r="AA412" s="617"/>
      <c r="AB412" s="617"/>
      <c r="AC412" s="617"/>
      <c r="AD412" s="617"/>
      <c r="AE412" s="617"/>
      <c r="AF412" s="617"/>
      <c r="AG412" s="617"/>
      <c r="AH412" s="617"/>
    </row>
    <row r="413" spans="1:34" ht="15" hidden="1">
      <c r="A413" s="617"/>
      <c r="B413" s="617"/>
      <c r="C413" s="617"/>
      <c r="D413" s="617"/>
      <c r="E413" s="617"/>
      <c r="F413" s="617"/>
      <c r="G413" s="617"/>
      <c r="H413" s="617"/>
      <c r="I413" s="617"/>
      <c r="J413" s="617"/>
      <c r="K413" s="617"/>
      <c r="L413" s="617"/>
      <c r="M413" s="617"/>
      <c r="N413" s="617"/>
      <c r="O413" s="617"/>
      <c r="P413" s="617"/>
      <c r="Q413" s="617"/>
      <c r="R413" s="617"/>
      <c r="S413" s="617"/>
      <c r="T413" s="617"/>
      <c r="U413" s="617"/>
      <c r="V413" s="617"/>
      <c r="W413" s="617"/>
      <c r="X413" s="617"/>
      <c r="Y413" s="617"/>
      <c r="Z413" s="617"/>
      <c r="AA413" s="617"/>
      <c r="AB413" s="617"/>
      <c r="AC413" s="617"/>
      <c r="AD413" s="617"/>
      <c r="AE413" s="617"/>
      <c r="AF413" s="617"/>
      <c r="AG413" s="617"/>
      <c r="AH413" s="617"/>
    </row>
    <row r="414" spans="1:34" ht="15" hidden="1">
      <c r="A414" s="617"/>
      <c r="B414" s="617"/>
      <c r="C414" s="617"/>
      <c r="D414" s="617"/>
      <c r="E414" s="617"/>
      <c r="F414" s="617"/>
      <c r="G414" s="617"/>
      <c r="H414" s="617"/>
      <c r="I414" s="617"/>
      <c r="J414" s="617"/>
      <c r="K414" s="617"/>
      <c r="L414" s="617"/>
      <c r="M414" s="617"/>
      <c r="N414" s="617"/>
      <c r="O414" s="617"/>
      <c r="P414" s="617"/>
      <c r="Q414" s="617"/>
      <c r="R414" s="617"/>
      <c r="S414" s="617"/>
      <c r="T414" s="617"/>
      <c r="U414" s="617"/>
      <c r="V414" s="617"/>
      <c r="W414" s="617"/>
      <c r="X414" s="617"/>
      <c r="Y414" s="617"/>
      <c r="Z414" s="617"/>
      <c r="AA414" s="617"/>
      <c r="AB414" s="617"/>
      <c r="AC414" s="617"/>
      <c r="AD414" s="617"/>
      <c r="AE414" s="617"/>
      <c r="AF414" s="617"/>
      <c r="AG414" s="617"/>
      <c r="AH414" s="617"/>
    </row>
    <row r="415" spans="1:34" ht="15" hidden="1">
      <c r="A415" s="617"/>
      <c r="B415" s="617"/>
      <c r="C415" s="617"/>
      <c r="D415" s="617"/>
      <c r="E415" s="617"/>
      <c r="F415" s="617"/>
      <c r="G415" s="617"/>
      <c r="H415" s="617"/>
      <c r="I415" s="617"/>
      <c r="J415" s="617"/>
      <c r="K415" s="617"/>
      <c r="L415" s="617"/>
      <c r="M415" s="617"/>
      <c r="N415" s="617"/>
      <c r="O415" s="617"/>
      <c r="P415" s="617"/>
      <c r="Q415" s="617"/>
      <c r="R415" s="617"/>
      <c r="S415" s="617"/>
      <c r="T415" s="617"/>
      <c r="U415" s="617"/>
      <c r="V415" s="617"/>
      <c r="W415" s="617"/>
      <c r="X415" s="617"/>
      <c r="Y415" s="617"/>
      <c r="Z415" s="617"/>
      <c r="AA415" s="617"/>
      <c r="AB415" s="617"/>
      <c r="AC415" s="617"/>
      <c r="AD415" s="617"/>
      <c r="AE415" s="617"/>
      <c r="AF415" s="617"/>
      <c r="AG415" s="617"/>
      <c r="AH415" s="617"/>
    </row>
    <row r="416" spans="1:34" ht="15" hidden="1">
      <c r="A416" s="617"/>
      <c r="B416" s="617"/>
      <c r="C416" s="617"/>
      <c r="D416" s="617"/>
      <c r="E416" s="617"/>
      <c r="F416" s="617"/>
      <c r="G416" s="617"/>
      <c r="H416" s="617"/>
      <c r="I416" s="617"/>
      <c r="J416" s="617"/>
      <c r="K416" s="617"/>
      <c r="L416" s="617"/>
      <c r="M416" s="617"/>
      <c r="N416" s="617"/>
      <c r="O416" s="617"/>
      <c r="P416" s="617"/>
      <c r="Q416" s="617"/>
      <c r="R416" s="617"/>
      <c r="S416" s="617"/>
      <c r="T416" s="617"/>
      <c r="U416" s="617"/>
      <c r="V416" s="617"/>
      <c r="W416" s="617"/>
      <c r="X416" s="617"/>
      <c r="Y416" s="617"/>
      <c r="Z416" s="617"/>
      <c r="AA416" s="617"/>
      <c r="AB416" s="617"/>
      <c r="AC416" s="617"/>
      <c r="AD416" s="617"/>
      <c r="AE416" s="617"/>
      <c r="AF416" s="617"/>
      <c r="AG416" s="617"/>
      <c r="AH416" s="617"/>
    </row>
    <row r="417" spans="1:34" ht="15" hidden="1">
      <c r="A417" s="617"/>
      <c r="B417" s="617"/>
      <c r="C417" s="617"/>
      <c r="D417" s="617"/>
      <c r="E417" s="617"/>
      <c r="F417" s="617"/>
      <c r="G417" s="617"/>
      <c r="H417" s="617"/>
      <c r="I417" s="617"/>
      <c r="J417" s="617"/>
      <c r="K417" s="617"/>
      <c r="L417" s="617"/>
      <c r="M417" s="617"/>
      <c r="N417" s="617"/>
      <c r="O417" s="617"/>
      <c r="P417" s="617"/>
      <c r="Q417" s="617"/>
      <c r="R417" s="617"/>
      <c r="S417" s="617"/>
      <c r="T417" s="617"/>
      <c r="U417" s="617"/>
      <c r="V417" s="617"/>
      <c r="W417" s="617"/>
      <c r="X417" s="617"/>
      <c r="Y417" s="617"/>
      <c r="Z417" s="617"/>
      <c r="AA417" s="617"/>
      <c r="AB417" s="617"/>
      <c r="AC417" s="617"/>
      <c r="AD417" s="617"/>
      <c r="AE417" s="617"/>
      <c r="AF417" s="617"/>
      <c r="AG417" s="617"/>
      <c r="AH417" s="617"/>
    </row>
    <row r="418" spans="1:34" ht="15" hidden="1">
      <c r="A418" s="617"/>
      <c r="B418" s="617"/>
      <c r="C418" s="617"/>
      <c r="D418" s="617"/>
      <c r="E418" s="617"/>
      <c r="F418" s="617"/>
      <c r="G418" s="617"/>
      <c r="H418" s="617"/>
      <c r="I418" s="617"/>
      <c r="J418" s="617"/>
      <c r="K418" s="617"/>
      <c r="L418" s="617"/>
      <c r="M418" s="617"/>
      <c r="N418" s="617"/>
      <c r="O418" s="617"/>
      <c r="P418" s="617"/>
      <c r="Q418" s="617"/>
      <c r="R418" s="617"/>
      <c r="S418" s="617"/>
      <c r="T418" s="617"/>
      <c r="U418" s="617"/>
      <c r="V418" s="617"/>
      <c r="W418" s="617"/>
      <c r="X418" s="617"/>
      <c r="Y418" s="617"/>
      <c r="Z418" s="617"/>
      <c r="AA418" s="617"/>
      <c r="AB418" s="617"/>
      <c r="AC418" s="617"/>
      <c r="AD418" s="617"/>
      <c r="AE418" s="617"/>
      <c r="AF418" s="617"/>
      <c r="AG418" s="617"/>
      <c r="AH418" s="617"/>
    </row>
    <row r="419" spans="1:34" ht="15" hidden="1">
      <c r="A419" s="617"/>
      <c r="B419" s="617"/>
      <c r="C419" s="617"/>
      <c r="D419" s="617"/>
      <c r="E419" s="617"/>
      <c r="F419" s="617"/>
      <c r="G419" s="617"/>
      <c r="H419" s="617"/>
      <c r="I419" s="617"/>
      <c r="J419" s="617"/>
      <c r="K419" s="617"/>
      <c r="L419" s="617"/>
      <c r="M419" s="617"/>
      <c r="N419" s="617"/>
      <c r="O419" s="617"/>
      <c r="P419" s="617"/>
      <c r="Q419" s="617"/>
      <c r="R419" s="617"/>
      <c r="S419" s="617"/>
      <c r="T419" s="617"/>
      <c r="U419" s="617"/>
      <c r="V419" s="617"/>
      <c r="W419" s="617"/>
      <c r="X419" s="617"/>
      <c r="Y419" s="617"/>
      <c r="Z419" s="617"/>
      <c r="AA419" s="617"/>
      <c r="AB419" s="617"/>
      <c r="AC419" s="617"/>
      <c r="AD419" s="617"/>
      <c r="AE419" s="617"/>
      <c r="AF419" s="617"/>
      <c r="AG419" s="617"/>
      <c r="AH419" s="617"/>
    </row>
    <row r="420" spans="1:34" ht="15" hidden="1">
      <c r="A420" s="617"/>
      <c r="B420" s="617"/>
      <c r="C420" s="617"/>
      <c r="D420" s="617"/>
      <c r="E420" s="617"/>
      <c r="F420" s="617"/>
      <c r="G420" s="617"/>
      <c r="H420" s="617"/>
      <c r="I420" s="617"/>
      <c r="J420" s="617"/>
      <c r="K420" s="617"/>
      <c r="L420" s="617"/>
      <c r="M420" s="617"/>
      <c r="N420" s="617"/>
      <c r="O420" s="617"/>
      <c r="P420" s="617"/>
      <c r="Q420" s="617"/>
      <c r="R420" s="617"/>
      <c r="S420" s="617"/>
      <c r="T420" s="617"/>
      <c r="U420" s="617"/>
      <c r="V420" s="617"/>
      <c r="W420" s="617"/>
      <c r="X420" s="617"/>
      <c r="Y420" s="617"/>
      <c r="Z420" s="617"/>
      <c r="AA420" s="617"/>
      <c r="AB420" s="617"/>
      <c r="AC420" s="617"/>
      <c r="AD420" s="617"/>
      <c r="AE420" s="617"/>
      <c r="AF420" s="617"/>
      <c r="AG420" s="617"/>
      <c r="AH420" s="617"/>
    </row>
    <row r="421" spans="1:34" ht="15" hidden="1">
      <c r="A421" s="617"/>
      <c r="B421" s="617"/>
      <c r="C421" s="617"/>
      <c r="D421" s="617"/>
      <c r="E421" s="617"/>
      <c r="F421" s="617"/>
      <c r="G421" s="617"/>
      <c r="H421" s="617"/>
      <c r="I421" s="617"/>
      <c r="J421" s="617"/>
      <c r="K421" s="617"/>
      <c r="L421" s="617"/>
      <c r="M421" s="617"/>
      <c r="N421" s="617"/>
      <c r="O421" s="617"/>
      <c r="P421" s="617"/>
      <c r="Q421" s="617"/>
      <c r="R421" s="617"/>
      <c r="S421" s="617"/>
      <c r="T421" s="617"/>
      <c r="U421" s="617"/>
      <c r="V421" s="617"/>
      <c r="W421" s="617"/>
      <c r="X421" s="617"/>
      <c r="Y421" s="617"/>
      <c r="Z421" s="617"/>
      <c r="AA421" s="617"/>
      <c r="AB421" s="617"/>
      <c r="AC421" s="617"/>
      <c r="AD421" s="617"/>
      <c r="AE421" s="617"/>
      <c r="AF421" s="617"/>
      <c r="AG421" s="617"/>
      <c r="AH421" s="617"/>
    </row>
    <row r="422" spans="1:34" ht="15" hidden="1">
      <c r="A422" s="617"/>
      <c r="B422" s="617"/>
      <c r="C422" s="617"/>
      <c r="D422" s="617"/>
      <c r="E422" s="617"/>
      <c r="F422" s="617"/>
      <c r="G422" s="617"/>
      <c r="H422" s="617"/>
      <c r="I422" s="617"/>
      <c r="J422" s="617"/>
      <c r="K422" s="617"/>
      <c r="L422" s="617"/>
      <c r="M422" s="617"/>
      <c r="N422" s="617"/>
      <c r="O422" s="617"/>
      <c r="P422" s="617"/>
      <c r="Q422" s="617"/>
      <c r="R422" s="617"/>
      <c r="S422" s="617"/>
      <c r="T422" s="617"/>
      <c r="U422" s="617"/>
      <c r="V422" s="617"/>
      <c r="W422" s="617"/>
      <c r="X422" s="617"/>
      <c r="Y422" s="617"/>
      <c r="Z422" s="617"/>
      <c r="AA422" s="617"/>
      <c r="AB422" s="617"/>
      <c r="AC422" s="617"/>
      <c r="AD422" s="617"/>
      <c r="AE422" s="617"/>
      <c r="AF422" s="617"/>
      <c r="AG422" s="617"/>
      <c r="AH422" s="617"/>
    </row>
    <row r="423" spans="1:34" ht="15" hidden="1">
      <c r="A423" s="617"/>
      <c r="B423" s="617"/>
      <c r="C423" s="617"/>
      <c r="D423" s="617"/>
      <c r="E423" s="617"/>
      <c r="F423" s="617"/>
      <c r="G423" s="617"/>
      <c r="H423" s="617"/>
      <c r="I423" s="617"/>
      <c r="J423" s="617"/>
      <c r="K423" s="617"/>
      <c r="L423" s="617"/>
      <c r="M423" s="617"/>
      <c r="N423" s="617"/>
      <c r="O423" s="617"/>
      <c r="P423" s="617"/>
      <c r="Q423" s="617"/>
      <c r="R423" s="617"/>
      <c r="S423" s="617"/>
      <c r="T423" s="617"/>
      <c r="U423" s="617"/>
      <c r="V423" s="617"/>
      <c r="W423" s="617"/>
      <c r="X423" s="617"/>
      <c r="Y423" s="617"/>
      <c r="Z423" s="617"/>
      <c r="AA423" s="617"/>
      <c r="AB423" s="617"/>
      <c r="AC423" s="617"/>
      <c r="AD423" s="617"/>
      <c r="AE423" s="617"/>
      <c r="AF423" s="617"/>
      <c r="AG423" s="617"/>
      <c r="AH423" s="617"/>
    </row>
    <row r="424" spans="1:34" ht="15" hidden="1">
      <c r="A424" s="617"/>
      <c r="B424" s="617"/>
      <c r="C424" s="617"/>
      <c r="D424" s="617"/>
      <c r="E424" s="617"/>
      <c r="F424" s="617"/>
      <c r="G424" s="617"/>
      <c r="H424" s="617"/>
      <c r="I424" s="617"/>
      <c r="J424" s="617"/>
      <c r="K424" s="617"/>
      <c r="L424" s="617"/>
      <c r="M424" s="617"/>
      <c r="N424" s="617"/>
      <c r="O424" s="617"/>
      <c r="P424" s="617"/>
      <c r="Q424" s="617"/>
      <c r="R424" s="617"/>
      <c r="S424" s="617"/>
      <c r="T424" s="617"/>
      <c r="U424" s="617"/>
      <c r="V424" s="617"/>
      <c r="W424" s="617"/>
      <c r="X424" s="617"/>
      <c r="Y424" s="617"/>
      <c r="Z424" s="617"/>
      <c r="AA424" s="617"/>
      <c r="AB424" s="617"/>
      <c r="AC424" s="617"/>
      <c r="AD424" s="617"/>
      <c r="AE424" s="617"/>
      <c r="AF424" s="617"/>
      <c r="AG424" s="617"/>
      <c r="AH424" s="617"/>
    </row>
    <row r="425" spans="1:34" ht="15" hidden="1">
      <c r="A425" s="617"/>
      <c r="B425" s="617"/>
      <c r="C425" s="617"/>
      <c r="D425" s="617"/>
      <c r="E425" s="617"/>
      <c r="F425" s="617"/>
      <c r="G425" s="617"/>
      <c r="H425" s="617"/>
      <c r="I425" s="617"/>
      <c r="J425" s="617"/>
      <c r="K425" s="617"/>
      <c r="L425" s="617"/>
      <c r="M425" s="617"/>
      <c r="N425" s="617"/>
      <c r="O425" s="617"/>
      <c r="P425" s="617"/>
      <c r="Q425" s="617"/>
      <c r="R425" s="617"/>
      <c r="S425" s="617"/>
      <c r="T425" s="617"/>
      <c r="U425" s="617"/>
      <c r="V425" s="617"/>
      <c r="W425" s="617"/>
      <c r="X425" s="617"/>
      <c r="Y425" s="617"/>
      <c r="Z425" s="617"/>
      <c r="AA425" s="617"/>
      <c r="AB425" s="617"/>
      <c r="AC425" s="617"/>
      <c r="AD425" s="617"/>
      <c r="AE425" s="617"/>
      <c r="AF425" s="617"/>
      <c r="AG425" s="617"/>
      <c r="AH425" s="617"/>
    </row>
    <row r="426" spans="1:34" ht="15" hidden="1">
      <c r="A426" s="617"/>
      <c r="B426" s="617"/>
      <c r="C426" s="617"/>
      <c r="D426" s="617"/>
      <c r="E426" s="617"/>
      <c r="F426" s="617"/>
      <c r="G426" s="617"/>
      <c r="H426" s="617"/>
      <c r="I426" s="617"/>
      <c r="J426" s="617"/>
      <c r="K426" s="617"/>
      <c r="L426" s="617"/>
      <c r="M426" s="617"/>
      <c r="N426" s="617"/>
      <c r="O426" s="617"/>
      <c r="P426" s="617"/>
      <c r="Q426" s="617"/>
      <c r="R426" s="617"/>
      <c r="S426" s="617"/>
      <c r="T426" s="617"/>
      <c r="U426" s="617"/>
      <c r="V426" s="617"/>
      <c r="W426" s="617"/>
      <c r="X426" s="617"/>
      <c r="Y426" s="617"/>
      <c r="Z426" s="617"/>
      <c r="AA426" s="617"/>
      <c r="AB426" s="617"/>
      <c r="AC426" s="617"/>
      <c r="AD426" s="617"/>
      <c r="AE426" s="617"/>
      <c r="AF426" s="617"/>
      <c r="AG426" s="617"/>
      <c r="AH426" s="617"/>
    </row>
    <row r="427" spans="1:34" ht="15" hidden="1">
      <c r="A427" s="617"/>
      <c r="B427" s="617"/>
      <c r="C427" s="617"/>
      <c r="D427" s="617"/>
      <c r="E427" s="617"/>
      <c r="F427" s="617"/>
      <c r="G427" s="617"/>
      <c r="H427" s="617"/>
      <c r="I427" s="617"/>
      <c r="J427" s="617"/>
      <c r="K427" s="617"/>
      <c r="L427" s="617"/>
      <c r="M427" s="617"/>
      <c r="N427" s="617"/>
      <c r="O427" s="617"/>
      <c r="P427" s="617"/>
      <c r="Q427" s="617"/>
      <c r="R427" s="617"/>
      <c r="S427" s="617"/>
      <c r="T427" s="617"/>
      <c r="U427" s="617"/>
      <c r="V427" s="617"/>
      <c r="W427" s="617"/>
      <c r="X427" s="617"/>
      <c r="Y427" s="617"/>
      <c r="Z427" s="617"/>
      <c r="AA427" s="617"/>
      <c r="AB427" s="617"/>
      <c r="AC427" s="617"/>
      <c r="AD427" s="617"/>
      <c r="AE427" s="617"/>
      <c r="AF427" s="617"/>
      <c r="AG427" s="617"/>
      <c r="AH427" s="617"/>
    </row>
    <row r="428" spans="1:34" ht="15" hidden="1">
      <c r="A428" s="617"/>
      <c r="B428" s="617"/>
      <c r="C428" s="617"/>
      <c r="D428" s="617"/>
      <c r="E428" s="617"/>
      <c r="F428" s="617"/>
      <c r="G428" s="617"/>
      <c r="H428" s="617"/>
      <c r="I428" s="617"/>
      <c r="J428" s="617"/>
      <c r="K428" s="617"/>
      <c r="L428" s="617"/>
      <c r="M428" s="617"/>
      <c r="N428" s="617"/>
      <c r="O428" s="617"/>
      <c r="P428" s="617"/>
      <c r="Q428" s="617"/>
      <c r="R428" s="617"/>
      <c r="S428" s="617"/>
      <c r="T428" s="617"/>
      <c r="U428" s="617"/>
      <c r="V428" s="617"/>
      <c r="W428" s="617"/>
      <c r="X428" s="617"/>
      <c r="Y428" s="617"/>
      <c r="Z428" s="617"/>
      <c r="AA428" s="617"/>
      <c r="AB428" s="617"/>
      <c r="AC428" s="617"/>
      <c r="AD428" s="617"/>
      <c r="AE428" s="617"/>
      <c r="AF428" s="617"/>
      <c r="AG428" s="617"/>
      <c r="AH428" s="617"/>
    </row>
    <row r="429" spans="1:34" ht="15" hidden="1">
      <c r="A429" s="617"/>
      <c r="B429" s="617"/>
      <c r="C429" s="617"/>
      <c r="D429" s="617"/>
      <c r="E429" s="617"/>
      <c r="F429" s="617"/>
      <c r="G429" s="617"/>
      <c r="H429" s="617"/>
      <c r="I429" s="617"/>
      <c r="J429" s="617"/>
      <c r="K429" s="617"/>
      <c r="L429" s="617"/>
      <c r="M429" s="617"/>
      <c r="N429" s="617"/>
      <c r="O429" s="617"/>
      <c r="P429" s="617"/>
      <c r="Q429" s="617"/>
      <c r="R429" s="617"/>
      <c r="S429" s="617"/>
      <c r="T429" s="617"/>
      <c r="U429" s="617"/>
      <c r="V429" s="617"/>
      <c r="W429" s="617"/>
      <c r="X429" s="617"/>
      <c r="Y429" s="617"/>
      <c r="Z429" s="617"/>
      <c r="AA429" s="617"/>
      <c r="AB429" s="617"/>
      <c r="AC429" s="617"/>
      <c r="AD429" s="617"/>
      <c r="AE429" s="617"/>
      <c r="AF429" s="617"/>
      <c r="AG429" s="617"/>
      <c r="AH429" s="617"/>
    </row>
    <row r="430" spans="1:34" ht="15" hidden="1">
      <c r="A430" s="617"/>
      <c r="B430" s="617"/>
      <c r="C430" s="617"/>
      <c r="D430" s="617"/>
      <c r="E430" s="617"/>
      <c r="F430" s="617"/>
      <c r="G430" s="617"/>
      <c r="H430" s="617"/>
      <c r="I430" s="617"/>
      <c r="J430" s="617"/>
      <c r="K430" s="617"/>
      <c r="L430" s="617"/>
      <c r="M430" s="617"/>
      <c r="N430" s="617"/>
      <c r="O430" s="617"/>
      <c r="P430" s="617"/>
      <c r="Q430" s="617"/>
      <c r="R430" s="617"/>
      <c r="S430" s="617"/>
      <c r="T430" s="617"/>
      <c r="U430" s="617"/>
      <c r="V430" s="617"/>
      <c r="W430" s="617"/>
      <c r="X430" s="617"/>
      <c r="Y430" s="617"/>
      <c r="Z430" s="617"/>
      <c r="AA430" s="617"/>
      <c r="AB430" s="617"/>
      <c r="AC430" s="617"/>
      <c r="AD430" s="617"/>
      <c r="AE430" s="617"/>
      <c r="AF430" s="617"/>
      <c r="AG430" s="617"/>
      <c r="AH430" s="617"/>
    </row>
    <row r="431" spans="1:34" ht="15" hidden="1">
      <c r="A431" s="617"/>
      <c r="B431" s="617"/>
      <c r="C431" s="617"/>
      <c r="D431" s="617"/>
      <c r="E431" s="617"/>
      <c r="F431" s="617"/>
      <c r="G431" s="617"/>
      <c r="H431" s="617"/>
      <c r="I431" s="617"/>
      <c r="J431" s="617"/>
      <c r="K431" s="617"/>
      <c r="L431" s="617"/>
      <c r="M431" s="617"/>
      <c r="N431" s="617"/>
      <c r="O431" s="617"/>
      <c r="P431" s="617"/>
      <c r="Q431" s="617"/>
      <c r="R431" s="617"/>
      <c r="S431" s="617"/>
      <c r="T431" s="617"/>
      <c r="U431" s="617"/>
      <c r="V431" s="617"/>
      <c r="W431" s="617"/>
      <c r="X431" s="617"/>
      <c r="Y431" s="617"/>
      <c r="Z431" s="617"/>
      <c r="AA431" s="617"/>
      <c r="AB431" s="617"/>
      <c r="AC431" s="617"/>
      <c r="AD431" s="617"/>
      <c r="AE431" s="617"/>
      <c r="AF431" s="617"/>
      <c r="AG431" s="617"/>
      <c r="AH431" s="617"/>
    </row>
    <row r="432" spans="1:34" ht="15" hidden="1">
      <c r="A432" s="617"/>
      <c r="B432" s="617"/>
      <c r="C432" s="617"/>
      <c r="D432" s="617"/>
      <c r="E432" s="617"/>
      <c r="F432" s="617"/>
      <c r="G432" s="617"/>
      <c r="H432" s="617"/>
      <c r="I432" s="617"/>
      <c r="J432" s="617"/>
      <c r="K432" s="617"/>
      <c r="L432" s="617"/>
      <c r="M432" s="617"/>
      <c r="N432" s="617"/>
      <c r="O432" s="617"/>
      <c r="P432" s="617"/>
      <c r="Q432" s="617"/>
      <c r="R432" s="617"/>
      <c r="S432" s="617"/>
      <c r="T432" s="617"/>
      <c r="U432" s="617"/>
      <c r="V432" s="617"/>
      <c r="W432" s="617"/>
      <c r="X432" s="617"/>
      <c r="Y432" s="617"/>
      <c r="Z432" s="617"/>
      <c r="AA432" s="617"/>
      <c r="AB432" s="617"/>
      <c r="AC432" s="617"/>
      <c r="AD432" s="617"/>
      <c r="AE432" s="617"/>
      <c r="AF432" s="617"/>
      <c r="AG432" s="617"/>
      <c r="AH432" s="617"/>
    </row>
    <row r="433" spans="1:34" ht="15" hidden="1">
      <c r="A433" s="617"/>
      <c r="B433" s="617"/>
      <c r="C433" s="617"/>
      <c r="D433" s="617"/>
      <c r="E433" s="617"/>
      <c r="F433" s="617"/>
      <c r="G433" s="617"/>
      <c r="H433" s="617"/>
      <c r="I433" s="617"/>
      <c r="J433" s="617"/>
      <c r="K433" s="617"/>
      <c r="L433" s="617"/>
      <c r="M433" s="617"/>
      <c r="N433" s="617"/>
      <c r="O433" s="617"/>
      <c r="P433" s="617"/>
      <c r="Q433" s="617"/>
      <c r="R433" s="617"/>
      <c r="S433" s="617"/>
      <c r="T433" s="617"/>
      <c r="U433" s="617"/>
      <c r="V433" s="617"/>
      <c r="W433" s="617"/>
      <c r="X433" s="617"/>
      <c r="Y433" s="617"/>
      <c r="Z433" s="617"/>
      <c r="AA433" s="617"/>
      <c r="AB433" s="617"/>
      <c r="AC433" s="617"/>
      <c r="AD433" s="617"/>
      <c r="AE433" s="617"/>
      <c r="AF433" s="617"/>
      <c r="AG433" s="617"/>
      <c r="AH433" s="617"/>
    </row>
    <row r="434" spans="1:34" ht="15" hidden="1">
      <c r="A434" s="617"/>
      <c r="B434" s="617"/>
      <c r="C434" s="617"/>
      <c r="D434" s="617"/>
      <c r="E434" s="617"/>
      <c r="F434" s="617"/>
      <c r="G434" s="617"/>
      <c r="H434" s="617"/>
      <c r="I434" s="617"/>
      <c r="J434" s="617"/>
      <c r="K434" s="617"/>
      <c r="L434" s="617"/>
      <c r="M434" s="617"/>
      <c r="N434" s="617"/>
      <c r="O434" s="617"/>
      <c r="P434" s="617"/>
      <c r="Q434" s="617"/>
      <c r="R434" s="617"/>
      <c r="S434" s="617"/>
      <c r="T434" s="617"/>
      <c r="U434" s="617"/>
      <c r="V434" s="617"/>
      <c r="W434" s="617"/>
      <c r="X434" s="617"/>
      <c r="Y434" s="617"/>
      <c r="Z434" s="617"/>
      <c r="AA434" s="617"/>
      <c r="AB434" s="617"/>
      <c r="AC434" s="617"/>
      <c r="AD434" s="617"/>
      <c r="AE434" s="617"/>
      <c r="AF434" s="617"/>
      <c r="AG434" s="617"/>
      <c r="AH434" s="617"/>
    </row>
    <row r="435" spans="1:34" ht="15" hidden="1">
      <c r="A435" s="617"/>
      <c r="B435" s="617"/>
      <c r="C435" s="617"/>
      <c r="D435" s="617"/>
      <c r="E435" s="617"/>
      <c r="F435" s="617"/>
      <c r="G435" s="617"/>
      <c r="H435" s="617"/>
      <c r="I435" s="617"/>
      <c r="J435" s="617"/>
      <c r="K435" s="617"/>
      <c r="L435" s="617"/>
      <c r="M435" s="617"/>
      <c r="N435" s="617"/>
      <c r="O435" s="617"/>
      <c r="P435" s="617"/>
      <c r="Q435" s="617"/>
      <c r="R435" s="617"/>
      <c r="S435" s="617"/>
      <c r="T435" s="617"/>
      <c r="U435" s="617"/>
      <c r="V435" s="617"/>
      <c r="W435" s="617"/>
      <c r="X435" s="617"/>
      <c r="Y435" s="617"/>
      <c r="Z435" s="617"/>
      <c r="AA435" s="617"/>
      <c r="AB435" s="617"/>
      <c r="AC435" s="617"/>
      <c r="AD435" s="617"/>
      <c r="AE435" s="617"/>
      <c r="AF435" s="617"/>
      <c r="AG435" s="617"/>
      <c r="AH435" s="617"/>
    </row>
    <row r="436" spans="1:34" ht="15" hidden="1">
      <c r="A436" s="617"/>
      <c r="B436" s="617"/>
      <c r="C436" s="617"/>
      <c r="D436" s="617"/>
      <c r="E436" s="617"/>
      <c r="F436" s="617"/>
      <c r="G436" s="617"/>
      <c r="H436" s="617"/>
      <c r="I436" s="617"/>
      <c r="J436" s="617"/>
      <c r="K436" s="617"/>
      <c r="L436" s="617"/>
      <c r="M436" s="617"/>
      <c r="N436" s="617"/>
      <c r="O436" s="617"/>
      <c r="P436" s="617"/>
      <c r="Q436" s="617"/>
      <c r="R436" s="617"/>
      <c r="S436" s="617"/>
      <c r="T436" s="617"/>
      <c r="U436" s="617"/>
      <c r="V436" s="617"/>
      <c r="W436" s="617"/>
      <c r="X436" s="617"/>
      <c r="Y436" s="617"/>
      <c r="Z436" s="617"/>
      <c r="AA436" s="617"/>
      <c r="AB436" s="617"/>
      <c r="AC436" s="617"/>
      <c r="AD436" s="617"/>
      <c r="AE436" s="617"/>
      <c r="AF436" s="617"/>
      <c r="AG436" s="617"/>
      <c r="AH436" s="617"/>
    </row>
    <row r="437" spans="1:34" ht="15" hidden="1">
      <c r="A437" s="617"/>
      <c r="B437" s="617"/>
      <c r="C437" s="617"/>
      <c r="D437" s="617"/>
      <c r="E437" s="617"/>
      <c r="F437" s="617"/>
      <c r="G437" s="617"/>
      <c r="H437" s="617"/>
      <c r="I437" s="617"/>
      <c r="J437" s="617"/>
      <c r="K437" s="617"/>
      <c r="L437" s="617"/>
      <c r="M437" s="617"/>
      <c r="N437" s="617"/>
      <c r="O437" s="617"/>
      <c r="P437" s="617"/>
      <c r="Q437" s="617"/>
      <c r="R437" s="617"/>
      <c r="S437" s="617"/>
      <c r="T437" s="617"/>
      <c r="U437" s="617"/>
      <c r="V437" s="617"/>
      <c r="W437" s="617"/>
      <c r="X437" s="617"/>
      <c r="Y437" s="617"/>
      <c r="Z437" s="617"/>
      <c r="AA437" s="617"/>
      <c r="AB437" s="617"/>
      <c r="AC437" s="617"/>
      <c r="AD437" s="617"/>
      <c r="AE437" s="617"/>
      <c r="AF437" s="617"/>
      <c r="AG437" s="617"/>
      <c r="AH437" s="617"/>
    </row>
    <row r="438" spans="1:34" ht="15" hidden="1">
      <c r="A438" s="617"/>
      <c r="B438" s="617"/>
      <c r="C438" s="617"/>
      <c r="D438" s="617"/>
      <c r="E438" s="617"/>
      <c r="F438" s="617"/>
      <c r="G438" s="617"/>
      <c r="H438" s="617"/>
      <c r="I438" s="617"/>
      <c r="J438" s="617"/>
      <c r="K438" s="617"/>
      <c r="L438" s="617"/>
      <c r="M438" s="617"/>
      <c r="N438" s="617"/>
      <c r="O438" s="617"/>
      <c r="P438" s="617"/>
      <c r="Q438" s="617"/>
      <c r="R438" s="617"/>
      <c r="S438" s="617"/>
      <c r="T438" s="617"/>
      <c r="U438" s="617"/>
      <c r="V438" s="617"/>
      <c r="W438" s="617"/>
      <c r="X438" s="617"/>
      <c r="Y438" s="617"/>
      <c r="Z438" s="617"/>
      <c r="AA438" s="617"/>
      <c r="AB438" s="617"/>
      <c r="AC438" s="617"/>
      <c r="AD438" s="617"/>
      <c r="AE438" s="617"/>
      <c r="AF438" s="617"/>
      <c r="AG438" s="617"/>
      <c r="AH438" s="617"/>
    </row>
    <row r="439" spans="1:34" ht="15" hidden="1">
      <c r="A439" s="617"/>
      <c r="B439" s="617"/>
      <c r="C439" s="617"/>
      <c r="D439" s="617"/>
      <c r="E439" s="617"/>
      <c r="F439" s="617"/>
      <c r="G439" s="617"/>
      <c r="H439" s="617"/>
      <c r="I439" s="617"/>
      <c r="J439" s="617"/>
      <c r="K439" s="617"/>
      <c r="L439" s="617"/>
      <c r="M439" s="617"/>
      <c r="N439" s="617"/>
      <c r="O439" s="617"/>
      <c r="P439" s="617"/>
      <c r="Q439" s="617"/>
      <c r="R439" s="617"/>
      <c r="S439" s="617"/>
      <c r="T439" s="617"/>
      <c r="U439" s="617"/>
      <c r="V439" s="617"/>
      <c r="W439" s="617"/>
      <c r="X439" s="617"/>
      <c r="Y439" s="617"/>
      <c r="Z439" s="617"/>
      <c r="AA439" s="617"/>
      <c r="AB439" s="617"/>
      <c r="AC439" s="617"/>
      <c r="AD439" s="617"/>
      <c r="AE439" s="617"/>
      <c r="AF439" s="617"/>
      <c r="AG439" s="617"/>
      <c r="AH439" s="617"/>
    </row>
    <row r="440" spans="1:34" ht="15" hidden="1">
      <c r="A440" s="617"/>
      <c r="B440" s="617"/>
      <c r="C440" s="617"/>
      <c r="D440" s="617"/>
      <c r="E440" s="617"/>
      <c r="F440" s="617"/>
      <c r="G440" s="617"/>
      <c r="H440" s="617"/>
      <c r="I440" s="617"/>
      <c r="J440" s="617"/>
      <c r="K440" s="617"/>
      <c r="L440" s="617"/>
      <c r="M440" s="617"/>
      <c r="N440" s="617"/>
      <c r="O440" s="617"/>
      <c r="P440" s="617"/>
      <c r="Q440" s="617"/>
      <c r="R440" s="617"/>
      <c r="S440" s="617"/>
      <c r="T440" s="617"/>
      <c r="U440" s="617"/>
      <c r="V440" s="617"/>
      <c r="W440" s="617"/>
      <c r="X440" s="617"/>
      <c r="Y440" s="617"/>
      <c r="Z440" s="617"/>
      <c r="AA440" s="617"/>
      <c r="AB440" s="617"/>
      <c r="AC440" s="617"/>
      <c r="AD440" s="617"/>
      <c r="AE440" s="617"/>
      <c r="AF440" s="617"/>
      <c r="AG440" s="617"/>
      <c r="AH440" s="617"/>
    </row>
    <row r="441" spans="1:34" ht="15" hidden="1">
      <c r="A441" s="617"/>
      <c r="B441" s="617"/>
      <c r="C441" s="617"/>
      <c r="D441" s="617"/>
      <c r="E441" s="617"/>
      <c r="F441" s="617"/>
      <c r="G441" s="617"/>
      <c r="H441" s="617"/>
      <c r="I441" s="617"/>
      <c r="J441" s="617"/>
      <c r="K441" s="617"/>
      <c r="L441" s="617"/>
      <c r="M441" s="617"/>
      <c r="N441" s="617"/>
      <c r="O441" s="617"/>
      <c r="P441" s="617"/>
      <c r="Q441" s="617"/>
      <c r="R441" s="617"/>
      <c r="S441" s="617"/>
      <c r="T441" s="617"/>
      <c r="U441" s="617"/>
      <c r="V441" s="617"/>
      <c r="W441" s="617"/>
      <c r="X441" s="617"/>
      <c r="Y441" s="617"/>
      <c r="Z441" s="617"/>
      <c r="AA441" s="617"/>
      <c r="AB441" s="617"/>
      <c r="AC441" s="617"/>
      <c r="AD441" s="617"/>
      <c r="AE441" s="617"/>
      <c r="AF441" s="617"/>
      <c r="AG441" s="617"/>
      <c r="AH441" s="617"/>
    </row>
    <row r="442" spans="1:34" ht="15" hidden="1">
      <c r="A442" s="617"/>
      <c r="B442" s="617"/>
      <c r="C442" s="617"/>
      <c r="D442" s="617"/>
      <c r="E442" s="617"/>
      <c r="F442" s="617"/>
      <c r="G442" s="617"/>
      <c r="H442" s="617"/>
      <c r="I442" s="617"/>
      <c r="J442" s="617"/>
      <c r="K442" s="617"/>
      <c r="L442" s="617"/>
      <c r="M442" s="617"/>
      <c r="N442" s="617"/>
      <c r="O442" s="617"/>
      <c r="P442" s="617"/>
      <c r="Q442" s="617"/>
      <c r="R442" s="617"/>
      <c r="S442" s="617"/>
      <c r="T442" s="617"/>
      <c r="U442" s="617"/>
      <c r="V442" s="617"/>
      <c r="W442" s="617"/>
      <c r="X442" s="617"/>
      <c r="Y442" s="617"/>
      <c r="Z442" s="617"/>
      <c r="AA442" s="617"/>
      <c r="AB442" s="617"/>
      <c r="AC442" s="617"/>
      <c r="AD442" s="617"/>
      <c r="AE442" s="617"/>
      <c r="AF442" s="617"/>
      <c r="AG442" s="617"/>
      <c r="AH442" s="617"/>
    </row>
    <row r="443" spans="1:34" ht="15" hidden="1">
      <c r="A443" s="617"/>
      <c r="B443" s="617"/>
      <c r="C443" s="617"/>
      <c r="D443" s="617"/>
      <c r="E443" s="617"/>
      <c r="F443" s="617"/>
      <c r="G443" s="617"/>
      <c r="H443" s="617"/>
      <c r="I443" s="617"/>
      <c r="J443" s="617"/>
      <c r="K443" s="617"/>
      <c r="L443" s="617"/>
      <c r="M443" s="617"/>
      <c r="N443" s="617"/>
      <c r="O443" s="617"/>
      <c r="P443" s="617"/>
      <c r="Q443" s="617"/>
      <c r="R443" s="617"/>
      <c r="S443" s="617"/>
      <c r="T443" s="617"/>
      <c r="U443" s="617"/>
      <c r="V443" s="617"/>
      <c r="W443" s="617"/>
      <c r="X443" s="617"/>
      <c r="Y443" s="617"/>
      <c r="Z443" s="617"/>
      <c r="AA443" s="617"/>
      <c r="AB443" s="617"/>
      <c r="AC443" s="617"/>
      <c r="AD443" s="617"/>
      <c r="AE443" s="617"/>
      <c r="AF443" s="617"/>
      <c r="AG443" s="617"/>
      <c r="AH443" s="617"/>
    </row>
    <row r="444" spans="1:34" ht="15" hidden="1">
      <c r="A444" s="617"/>
      <c r="B444" s="617"/>
      <c r="C444" s="617"/>
      <c r="D444" s="617"/>
      <c r="E444" s="617"/>
      <c r="F444" s="617"/>
      <c r="G444" s="617"/>
      <c r="H444" s="617"/>
      <c r="I444" s="617"/>
      <c r="J444" s="617"/>
      <c r="K444" s="617"/>
      <c r="L444" s="617"/>
      <c r="M444" s="617"/>
      <c r="N444" s="617"/>
      <c r="O444" s="617"/>
      <c r="P444" s="617"/>
      <c r="Q444" s="617"/>
      <c r="R444" s="617"/>
      <c r="S444" s="617"/>
      <c r="T444" s="617"/>
      <c r="U444" s="617"/>
      <c r="V444" s="617"/>
      <c r="W444" s="617"/>
      <c r="X444" s="617"/>
      <c r="Y444" s="617"/>
      <c r="Z444" s="617"/>
      <c r="AA444" s="617"/>
      <c r="AB444" s="617"/>
      <c r="AC444" s="617"/>
      <c r="AD444" s="617"/>
      <c r="AE444" s="617"/>
      <c r="AF444" s="617"/>
      <c r="AG444" s="617"/>
      <c r="AH444" s="617"/>
    </row>
    <row r="445" spans="1:34" ht="15" hidden="1">
      <c r="A445" s="617"/>
      <c r="B445" s="617"/>
      <c r="C445" s="617"/>
      <c r="D445" s="617"/>
      <c r="E445" s="617"/>
      <c r="F445" s="617"/>
      <c r="G445" s="617"/>
      <c r="H445" s="617"/>
      <c r="I445" s="617"/>
      <c r="J445" s="617"/>
      <c r="K445" s="617"/>
      <c r="L445" s="617"/>
      <c r="M445" s="617"/>
      <c r="N445" s="617"/>
      <c r="O445" s="617"/>
      <c r="P445" s="617"/>
      <c r="Q445" s="617"/>
      <c r="R445" s="617"/>
      <c r="S445" s="617"/>
      <c r="T445" s="617"/>
      <c r="U445" s="617"/>
      <c r="V445" s="617"/>
      <c r="W445" s="617"/>
      <c r="X445" s="617"/>
      <c r="Y445" s="617"/>
      <c r="Z445" s="617"/>
      <c r="AA445" s="617"/>
      <c r="AB445" s="617"/>
      <c r="AC445" s="617"/>
      <c r="AD445" s="617"/>
      <c r="AE445" s="617"/>
      <c r="AF445" s="617"/>
      <c r="AG445" s="617"/>
      <c r="AH445" s="617"/>
    </row>
    <row r="446" spans="1:34" ht="15" hidden="1">
      <c r="A446" s="617"/>
      <c r="B446" s="617"/>
      <c r="C446" s="617"/>
      <c r="D446" s="617"/>
      <c r="E446" s="617"/>
      <c r="F446" s="617"/>
      <c r="G446" s="617"/>
      <c r="H446" s="617"/>
      <c r="I446" s="617"/>
      <c r="J446" s="617"/>
      <c r="K446" s="617"/>
      <c r="L446" s="617"/>
      <c r="M446" s="617"/>
      <c r="N446" s="617"/>
      <c r="O446" s="617"/>
      <c r="P446" s="617"/>
      <c r="Q446" s="617"/>
      <c r="R446" s="617"/>
      <c r="S446" s="617"/>
      <c r="T446" s="617"/>
      <c r="U446" s="617"/>
      <c r="V446" s="617"/>
      <c r="W446" s="617"/>
      <c r="X446" s="617"/>
      <c r="Y446" s="617"/>
      <c r="Z446" s="617"/>
      <c r="AA446" s="617"/>
      <c r="AB446" s="617"/>
      <c r="AC446" s="617"/>
      <c r="AD446" s="617"/>
      <c r="AE446" s="617"/>
      <c r="AF446" s="617"/>
      <c r="AG446" s="617"/>
      <c r="AH446" s="617"/>
    </row>
    <row r="447" spans="1:34" ht="15" hidden="1">
      <c r="A447" s="617"/>
      <c r="B447" s="617"/>
      <c r="C447" s="617"/>
      <c r="D447" s="617"/>
      <c r="E447" s="617"/>
      <c r="F447" s="617"/>
      <c r="G447" s="617"/>
      <c r="H447" s="617"/>
      <c r="I447" s="617"/>
      <c r="J447" s="617"/>
      <c r="K447" s="617"/>
      <c r="L447" s="617"/>
      <c r="M447" s="617"/>
      <c r="N447" s="617"/>
      <c r="O447" s="617"/>
      <c r="P447" s="617"/>
      <c r="Q447" s="617"/>
      <c r="R447" s="617"/>
      <c r="S447" s="617"/>
      <c r="T447" s="617"/>
      <c r="U447" s="617"/>
      <c r="V447" s="617"/>
      <c r="W447" s="617"/>
      <c r="X447" s="617"/>
      <c r="Y447" s="617"/>
      <c r="Z447" s="617"/>
      <c r="AA447" s="617"/>
      <c r="AB447" s="617"/>
      <c r="AC447" s="617"/>
      <c r="AD447" s="617"/>
      <c r="AE447" s="617"/>
      <c r="AF447" s="617"/>
      <c r="AG447" s="617"/>
      <c r="AH447" s="617"/>
    </row>
    <row r="448" spans="1:34" ht="15" hidden="1">
      <c r="A448" s="617"/>
      <c r="B448" s="617"/>
      <c r="C448" s="617"/>
      <c r="D448" s="617"/>
      <c r="E448" s="617"/>
      <c r="F448" s="617"/>
      <c r="G448" s="617"/>
      <c r="H448" s="617"/>
      <c r="I448" s="617"/>
      <c r="J448" s="617"/>
      <c r="K448" s="617"/>
      <c r="L448" s="617"/>
      <c r="M448" s="617"/>
      <c r="N448" s="617"/>
      <c r="O448" s="617"/>
      <c r="P448" s="617"/>
      <c r="Q448" s="617"/>
      <c r="R448" s="617"/>
      <c r="S448" s="617"/>
      <c r="T448" s="617"/>
      <c r="U448" s="617"/>
      <c r="V448" s="617"/>
      <c r="W448" s="617"/>
      <c r="X448" s="617"/>
      <c r="Y448" s="617"/>
      <c r="Z448" s="617"/>
      <c r="AA448" s="617"/>
      <c r="AB448" s="617"/>
      <c r="AC448" s="617"/>
      <c r="AD448" s="617"/>
      <c r="AE448" s="617"/>
      <c r="AF448" s="617"/>
      <c r="AG448" s="617"/>
      <c r="AH448" s="617"/>
    </row>
    <row r="449" spans="1:34" ht="15" hidden="1">
      <c r="A449" s="617"/>
      <c r="B449" s="617"/>
      <c r="C449" s="617"/>
      <c r="D449" s="617"/>
      <c r="E449" s="617"/>
      <c r="F449" s="617"/>
      <c r="G449" s="617"/>
      <c r="H449" s="617"/>
      <c r="I449" s="617"/>
      <c r="J449" s="617"/>
      <c r="K449" s="617"/>
      <c r="L449" s="617"/>
      <c r="M449" s="617"/>
      <c r="N449" s="617"/>
      <c r="O449" s="617"/>
      <c r="P449" s="617"/>
      <c r="Q449" s="617"/>
      <c r="R449" s="617"/>
      <c r="S449" s="617"/>
      <c r="T449" s="617"/>
      <c r="U449" s="617"/>
      <c r="V449" s="617"/>
      <c r="W449" s="617"/>
      <c r="X449" s="617"/>
      <c r="Y449" s="617"/>
      <c r="Z449" s="617"/>
      <c r="AA449" s="617"/>
      <c r="AB449" s="617"/>
      <c r="AC449" s="617"/>
      <c r="AD449" s="617"/>
      <c r="AE449" s="617"/>
      <c r="AF449" s="617"/>
      <c r="AG449" s="617"/>
      <c r="AH449" s="617"/>
    </row>
    <row r="450" spans="1:34" ht="15" hidden="1">
      <c r="A450" s="617"/>
      <c r="B450" s="617"/>
      <c r="C450" s="617"/>
      <c r="D450" s="617"/>
      <c r="E450" s="617"/>
      <c r="F450" s="617"/>
      <c r="G450" s="617"/>
      <c r="H450" s="617"/>
      <c r="I450" s="617"/>
      <c r="J450" s="617"/>
      <c r="K450" s="617"/>
      <c r="L450" s="617"/>
      <c r="M450" s="617"/>
      <c r="N450" s="617"/>
      <c r="O450" s="617"/>
      <c r="P450" s="617"/>
      <c r="Q450" s="617"/>
      <c r="R450" s="617"/>
      <c r="S450" s="617"/>
      <c r="T450" s="617"/>
      <c r="U450" s="617"/>
      <c r="V450" s="617"/>
      <c r="W450" s="617"/>
      <c r="X450" s="617"/>
      <c r="Y450" s="617"/>
      <c r="Z450" s="617"/>
      <c r="AA450" s="617"/>
      <c r="AB450" s="617"/>
      <c r="AC450" s="617"/>
      <c r="AD450" s="617"/>
      <c r="AE450" s="617"/>
      <c r="AF450" s="617"/>
      <c r="AG450" s="617"/>
      <c r="AH450" s="617"/>
    </row>
    <row r="451" spans="1:34" ht="15" hidden="1">
      <c r="A451" s="617"/>
      <c r="B451" s="617"/>
      <c r="C451" s="617"/>
      <c r="D451" s="617"/>
      <c r="E451" s="617"/>
      <c r="F451" s="617"/>
      <c r="G451" s="617"/>
      <c r="H451" s="617"/>
      <c r="I451" s="617"/>
      <c r="J451" s="617"/>
      <c r="K451" s="617"/>
      <c r="L451" s="617"/>
      <c r="M451" s="617"/>
      <c r="N451" s="617"/>
      <c r="O451" s="617"/>
      <c r="P451" s="617"/>
      <c r="Q451" s="617"/>
      <c r="R451" s="617"/>
      <c r="S451" s="617"/>
      <c r="T451" s="617"/>
      <c r="U451" s="617"/>
      <c r="V451" s="617"/>
      <c r="W451" s="617"/>
      <c r="X451" s="617"/>
      <c r="Y451" s="617"/>
      <c r="Z451" s="617"/>
      <c r="AA451" s="617"/>
      <c r="AB451" s="617"/>
      <c r="AC451" s="617"/>
      <c r="AD451" s="617"/>
      <c r="AE451" s="617"/>
      <c r="AF451" s="617"/>
      <c r="AG451" s="617"/>
      <c r="AH451" s="617"/>
    </row>
    <row r="452" spans="1:34" ht="15" hidden="1">
      <c r="A452" s="617"/>
      <c r="B452" s="617"/>
      <c r="C452" s="617"/>
      <c r="D452" s="617"/>
      <c r="E452" s="617"/>
      <c r="F452" s="617"/>
      <c r="G452" s="617"/>
      <c r="H452" s="617"/>
      <c r="I452" s="617"/>
      <c r="J452" s="617"/>
      <c r="K452" s="617"/>
      <c r="L452" s="617"/>
      <c r="M452" s="617"/>
      <c r="N452" s="617"/>
      <c r="O452" s="617"/>
      <c r="P452" s="617"/>
      <c r="Q452" s="617"/>
      <c r="R452" s="617"/>
      <c r="S452" s="617"/>
      <c r="T452" s="617"/>
      <c r="U452" s="617"/>
      <c r="V452" s="617"/>
      <c r="W452" s="617"/>
      <c r="X452" s="617"/>
      <c r="Y452" s="617"/>
      <c r="Z452" s="617"/>
      <c r="AA452" s="617"/>
      <c r="AB452" s="617"/>
      <c r="AC452" s="617"/>
      <c r="AD452" s="617"/>
      <c r="AE452" s="617"/>
      <c r="AF452" s="617"/>
      <c r="AG452" s="617"/>
      <c r="AH452" s="617"/>
    </row>
    <row r="453" spans="1:34" ht="15" hidden="1">
      <c r="A453" s="617"/>
      <c r="B453" s="617"/>
      <c r="C453" s="617"/>
      <c r="D453" s="617"/>
      <c r="E453" s="617"/>
      <c r="F453" s="617"/>
      <c r="G453" s="617"/>
      <c r="H453" s="617"/>
      <c r="I453" s="617"/>
      <c r="J453" s="617"/>
      <c r="K453" s="617"/>
      <c r="L453" s="617"/>
      <c r="M453" s="617"/>
      <c r="N453" s="617"/>
      <c r="O453" s="617"/>
      <c r="P453" s="617"/>
      <c r="Q453" s="617"/>
      <c r="R453" s="617"/>
      <c r="S453" s="617"/>
      <c r="T453" s="617"/>
      <c r="U453" s="617"/>
      <c r="V453" s="617"/>
      <c r="W453" s="617"/>
      <c r="X453" s="617"/>
      <c r="Y453" s="617"/>
      <c r="Z453" s="617"/>
      <c r="AA453" s="617"/>
      <c r="AB453" s="617"/>
      <c r="AC453" s="617"/>
      <c r="AD453" s="617"/>
      <c r="AE453" s="617"/>
      <c r="AF453" s="617"/>
      <c r="AG453" s="617"/>
      <c r="AH453" s="617"/>
    </row>
    <row r="454" spans="1:34" ht="15" hidden="1">
      <c r="A454" s="617"/>
      <c r="B454" s="617"/>
      <c r="C454" s="617"/>
      <c r="D454" s="617"/>
      <c r="E454" s="617"/>
      <c r="F454" s="617"/>
      <c r="G454" s="617"/>
      <c r="H454" s="617"/>
      <c r="I454" s="617"/>
      <c r="J454" s="617"/>
      <c r="K454" s="617"/>
      <c r="L454" s="617"/>
      <c r="M454" s="617"/>
      <c r="N454" s="617"/>
      <c r="O454" s="617"/>
      <c r="P454" s="617"/>
      <c r="Q454" s="617"/>
      <c r="R454" s="617"/>
      <c r="S454" s="617"/>
      <c r="T454" s="617"/>
      <c r="U454" s="617"/>
      <c r="V454" s="617"/>
      <c r="W454" s="617"/>
      <c r="X454" s="617"/>
      <c r="Y454" s="617"/>
      <c r="Z454" s="617"/>
      <c r="AA454" s="617"/>
      <c r="AB454" s="617"/>
      <c r="AC454" s="617"/>
      <c r="AD454" s="617"/>
      <c r="AE454" s="617"/>
      <c r="AF454" s="617"/>
      <c r="AG454" s="617"/>
      <c r="AH454" s="617"/>
    </row>
    <row r="455" spans="1:34" ht="15" hidden="1">
      <c r="A455" s="617"/>
      <c r="B455" s="617"/>
      <c r="C455" s="617"/>
      <c r="D455" s="617"/>
      <c r="E455" s="617"/>
      <c r="F455" s="617"/>
      <c r="G455" s="617"/>
      <c r="H455" s="617"/>
      <c r="I455" s="617"/>
      <c r="J455" s="617"/>
      <c r="K455" s="617"/>
      <c r="L455" s="617"/>
      <c r="M455" s="617"/>
      <c r="N455" s="617"/>
      <c r="O455" s="617"/>
      <c r="P455" s="617"/>
      <c r="Q455" s="617"/>
      <c r="R455" s="617"/>
      <c r="S455" s="617"/>
      <c r="T455" s="617"/>
      <c r="U455" s="617"/>
      <c r="V455" s="617"/>
      <c r="W455" s="617"/>
      <c r="X455" s="617"/>
      <c r="Y455" s="617"/>
      <c r="Z455" s="617"/>
      <c r="AA455" s="617"/>
      <c r="AB455" s="617"/>
      <c r="AC455" s="617"/>
      <c r="AD455" s="617"/>
      <c r="AE455" s="617"/>
      <c r="AF455" s="617"/>
      <c r="AG455" s="617"/>
      <c r="AH455" s="617"/>
    </row>
    <row r="456" spans="1:34" ht="15" hidden="1">
      <c r="A456" s="617"/>
      <c r="B456" s="617"/>
      <c r="C456" s="617"/>
      <c r="D456" s="617"/>
      <c r="E456" s="617"/>
      <c r="F456" s="617"/>
      <c r="G456" s="617"/>
      <c r="H456" s="617"/>
      <c r="I456" s="617"/>
      <c r="J456" s="617"/>
      <c r="K456" s="617"/>
      <c r="L456" s="617"/>
      <c r="M456" s="617"/>
      <c r="N456" s="617"/>
      <c r="O456" s="617"/>
      <c r="P456" s="617"/>
      <c r="Q456" s="617"/>
      <c r="R456" s="617"/>
      <c r="S456" s="617"/>
      <c r="T456" s="617"/>
      <c r="U456" s="617"/>
      <c r="V456" s="617"/>
      <c r="W456" s="617"/>
      <c r="X456" s="617"/>
      <c r="Y456" s="617"/>
      <c r="Z456" s="617"/>
      <c r="AA456" s="617"/>
      <c r="AB456" s="617"/>
      <c r="AC456" s="617"/>
      <c r="AD456" s="617"/>
      <c r="AE456" s="617"/>
      <c r="AF456" s="617"/>
      <c r="AG456" s="617"/>
      <c r="AH456" s="617"/>
    </row>
    <row r="457" spans="1:34" ht="15" hidden="1">
      <c r="A457" s="617"/>
      <c r="B457" s="617"/>
      <c r="C457" s="617"/>
      <c r="D457" s="617"/>
      <c r="E457" s="617"/>
      <c r="F457" s="617"/>
      <c r="G457" s="617"/>
      <c r="H457" s="617"/>
      <c r="I457" s="617"/>
      <c r="J457" s="617"/>
      <c r="K457" s="617"/>
      <c r="L457" s="617"/>
      <c r="M457" s="617"/>
      <c r="N457" s="617"/>
      <c r="O457" s="617"/>
      <c r="P457" s="617"/>
      <c r="Q457" s="617"/>
      <c r="R457" s="617"/>
      <c r="S457" s="617"/>
      <c r="T457" s="617"/>
      <c r="U457" s="617"/>
      <c r="V457" s="617"/>
      <c r="W457" s="617"/>
      <c r="X457" s="617"/>
      <c r="Y457" s="617"/>
      <c r="Z457" s="617"/>
      <c r="AA457" s="617"/>
      <c r="AB457" s="617"/>
      <c r="AC457" s="617"/>
      <c r="AD457" s="617"/>
      <c r="AE457" s="617"/>
      <c r="AF457" s="617"/>
      <c r="AG457" s="617"/>
      <c r="AH457" s="617"/>
    </row>
    <row r="458" spans="1:34" ht="15" hidden="1">
      <c r="A458" s="617"/>
      <c r="B458" s="617"/>
      <c r="C458" s="617"/>
      <c r="D458" s="617"/>
      <c r="E458" s="617"/>
      <c r="F458" s="617"/>
      <c r="G458" s="617"/>
      <c r="H458" s="617"/>
      <c r="I458" s="617"/>
      <c r="J458" s="617"/>
      <c r="K458" s="617"/>
      <c r="L458" s="617"/>
      <c r="M458" s="617"/>
      <c r="N458" s="617"/>
      <c r="O458" s="617"/>
      <c r="P458" s="617"/>
      <c r="Q458" s="617"/>
      <c r="R458" s="617"/>
      <c r="S458" s="617"/>
      <c r="T458" s="617"/>
      <c r="U458" s="617"/>
      <c r="V458" s="617"/>
      <c r="W458" s="617"/>
      <c r="X458" s="617"/>
      <c r="Y458" s="617"/>
      <c r="Z458" s="617"/>
      <c r="AA458" s="617"/>
      <c r="AB458" s="617"/>
      <c r="AC458" s="617"/>
      <c r="AD458" s="617"/>
      <c r="AE458" s="617"/>
      <c r="AF458" s="617"/>
      <c r="AG458" s="617"/>
      <c r="AH458" s="617"/>
    </row>
    <row r="459" spans="1:34" ht="15" hidden="1">
      <c r="A459" s="617"/>
      <c r="B459" s="617"/>
      <c r="C459" s="617"/>
      <c r="D459" s="617"/>
      <c r="E459" s="617"/>
      <c r="F459" s="617"/>
      <c r="G459" s="617"/>
      <c r="H459" s="617"/>
      <c r="I459" s="617"/>
      <c r="J459" s="617"/>
      <c r="K459" s="617"/>
      <c r="L459" s="617"/>
      <c r="M459" s="617"/>
      <c r="N459" s="617"/>
      <c r="O459" s="617"/>
      <c r="P459" s="617"/>
      <c r="Q459" s="617"/>
      <c r="R459" s="617"/>
      <c r="S459" s="617"/>
      <c r="T459" s="617"/>
      <c r="U459" s="617"/>
      <c r="V459" s="617"/>
      <c r="W459" s="617"/>
      <c r="X459" s="617"/>
      <c r="Y459" s="617"/>
      <c r="Z459" s="617"/>
      <c r="AA459" s="617"/>
      <c r="AB459" s="617"/>
      <c r="AC459" s="617"/>
      <c r="AD459" s="617"/>
      <c r="AE459" s="617"/>
      <c r="AF459" s="617"/>
      <c r="AG459" s="617"/>
      <c r="AH459" s="617"/>
    </row>
    <row r="460" spans="1:34" ht="15" hidden="1">
      <c r="A460" s="617"/>
      <c r="B460" s="617"/>
      <c r="C460" s="617"/>
      <c r="D460" s="617"/>
      <c r="E460" s="617"/>
      <c r="F460" s="617"/>
      <c r="G460" s="617"/>
      <c r="H460" s="617"/>
      <c r="I460" s="617"/>
      <c r="J460" s="617"/>
      <c r="K460" s="617"/>
      <c r="L460" s="617"/>
      <c r="M460" s="617"/>
      <c r="N460" s="617"/>
      <c r="O460" s="617"/>
      <c r="P460" s="617"/>
      <c r="Q460" s="617"/>
      <c r="R460" s="617"/>
      <c r="S460" s="617"/>
      <c r="T460" s="617"/>
      <c r="U460" s="617"/>
      <c r="V460" s="617"/>
      <c r="W460" s="617"/>
      <c r="X460" s="617"/>
      <c r="Y460" s="617"/>
      <c r="Z460" s="617"/>
      <c r="AA460" s="617"/>
      <c r="AB460" s="617"/>
      <c r="AC460" s="617"/>
      <c r="AD460" s="617"/>
      <c r="AE460" s="617"/>
      <c r="AF460" s="617"/>
      <c r="AG460" s="617"/>
      <c r="AH460" s="617"/>
    </row>
    <row r="461" spans="1:34" ht="15" hidden="1">
      <c r="A461" s="617"/>
      <c r="B461" s="617"/>
      <c r="C461" s="617"/>
      <c r="D461" s="617"/>
      <c r="E461" s="617"/>
      <c r="F461" s="617"/>
      <c r="G461" s="617"/>
      <c r="H461" s="617"/>
      <c r="I461" s="617"/>
      <c r="J461" s="617"/>
      <c r="K461" s="617"/>
      <c r="L461" s="617"/>
      <c r="M461" s="617"/>
      <c r="N461" s="617"/>
      <c r="O461" s="617"/>
      <c r="P461" s="617"/>
      <c r="Q461" s="617"/>
      <c r="R461" s="617"/>
      <c r="S461" s="617"/>
      <c r="T461" s="617"/>
      <c r="U461" s="617"/>
      <c r="V461" s="617"/>
      <c r="W461" s="617"/>
      <c r="X461" s="617"/>
      <c r="Y461" s="617"/>
      <c r="Z461" s="617"/>
      <c r="AA461" s="617"/>
      <c r="AB461" s="617"/>
      <c r="AC461" s="617"/>
      <c r="AD461" s="617"/>
      <c r="AE461" s="617"/>
      <c r="AF461" s="617"/>
      <c r="AG461" s="617"/>
      <c r="AH461" s="617"/>
    </row>
    <row r="462" spans="1:34" ht="15" hidden="1">
      <c r="A462" s="617"/>
      <c r="B462" s="617"/>
      <c r="C462" s="617"/>
      <c r="D462" s="617"/>
      <c r="E462" s="617"/>
      <c r="F462" s="617"/>
      <c r="G462" s="617"/>
      <c r="H462" s="617"/>
      <c r="I462" s="617"/>
      <c r="J462" s="617"/>
      <c r="K462" s="617"/>
      <c r="L462" s="617"/>
      <c r="M462" s="617"/>
      <c r="N462" s="617"/>
      <c r="O462" s="617"/>
      <c r="P462" s="617"/>
      <c r="Q462" s="617"/>
      <c r="R462" s="617"/>
      <c r="S462" s="617"/>
      <c r="T462" s="617"/>
      <c r="U462" s="617"/>
      <c r="V462" s="617"/>
      <c r="W462" s="617"/>
      <c r="X462" s="617"/>
      <c r="Y462" s="617"/>
      <c r="Z462" s="617"/>
      <c r="AA462" s="617"/>
      <c r="AB462" s="617"/>
      <c r="AC462" s="617"/>
      <c r="AD462" s="617"/>
      <c r="AE462" s="617"/>
      <c r="AF462" s="617"/>
      <c r="AG462" s="617"/>
      <c r="AH462" s="617"/>
    </row>
    <row r="463" spans="1:34" ht="15" hidden="1">
      <c r="A463" s="617"/>
      <c r="B463" s="617"/>
      <c r="C463" s="617"/>
      <c r="D463" s="617"/>
      <c r="E463" s="617"/>
      <c r="F463" s="617"/>
      <c r="G463" s="617"/>
      <c r="H463" s="617"/>
      <c r="I463" s="617"/>
      <c r="J463" s="617"/>
      <c r="K463" s="617"/>
      <c r="L463" s="617"/>
      <c r="M463" s="617"/>
      <c r="N463" s="617"/>
      <c r="O463" s="617"/>
      <c r="P463" s="617"/>
      <c r="Q463" s="617"/>
      <c r="R463" s="617"/>
      <c r="S463" s="617"/>
      <c r="T463" s="617"/>
      <c r="U463" s="617"/>
      <c r="V463" s="617"/>
      <c r="W463" s="617"/>
      <c r="X463" s="617"/>
      <c r="Y463" s="617"/>
      <c r="Z463" s="617"/>
      <c r="AA463" s="617"/>
      <c r="AB463" s="617"/>
      <c r="AC463" s="617"/>
      <c r="AD463" s="617"/>
      <c r="AE463" s="617"/>
      <c r="AF463" s="617"/>
      <c r="AG463" s="617"/>
      <c r="AH463" s="617"/>
    </row>
    <row r="464" spans="1:34" ht="15" hidden="1">
      <c r="A464" s="617"/>
      <c r="B464" s="617"/>
      <c r="C464" s="617"/>
      <c r="D464" s="617"/>
      <c r="E464" s="617"/>
      <c r="F464" s="617"/>
      <c r="G464" s="617"/>
      <c r="H464" s="617"/>
      <c r="I464" s="617"/>
      <c r="J464" s="617"/>
      <c r="K464" s="617"/>
      <c r="L464" s="617"/>
      <c r="M464" s="617"/>
      <c r="N464" s="617"/>
      <c r="O464" s="617"/>
      <c r="P464" s="617"/>
      <c r="Q464" s="617"/>
      <c r="R464" s="617"/>
      <c r="S464" s="617"/>
      <c r="T464" s="617"/>
      <c r="U464" s="617"/>
      <c r="V464" s="617"/>
      <c r="W464" s="617"/>
      <c r="X464" s="617"/>
      <c r="Y464" s="617"/>
      <c r="Z464" s="617"/>
      <c r="AA464" s="617"/>
      <c r="AB464" s="617"/>
      <c r="AC464" s="617"/>
      <c r="AD464" s="617"/>
      <c r="AE464" s="617"/>
      <c r="AF464" s="617"/>
      <c r="AG464" s="617"/>
      <c r="AH464" s="617"/>
    </row>
    <row r="465" spans="1:34" ht="15" hidden="1">
      <c r="A465" s="617"/>
      <c r="B465" s="617"/>
      <c r="C465" s="617"/>
      <c r="D465" s="617"/>
      <c r="E465" s="617"/>
      <c r="F465" s="617"/>
      <c r="G465" s="617"/>
      <c r="H465" s="617"/>
      <c r="I465" s="617"/>
      <c r="J465" s="617"/>
      <c r="K465" s="617"/>
      <c r="L465" s="617"/>
      <c r="M465" s="617"/>
      <c r="N465" s="617"/>
      <c r="O465" s="617"/>
      <c r="P465" s="617"/>
      <c r="Q465" s="617"/>
      <c r="R465" s="617"/>
      <c r="S465" s="617"/>
      <c r="T465" s="617"/>
      <c r="U465" s="617"/>
      <c r="V465" s="617"/>
      <c r="W465" s="617"/>
      <c r="X465" s="617"/>
      <c r="Y465" s="617"/>
      <c r="Z465" s="617"/>
      <c r="AA465" s="617"/>
      <c r="AB465" s="617"/>
      <c r="AC465" s="617"/>
      <c r="AD465" s="617"/>
      <c r="AE465" s="617"/>
      <c r="AF465" s="617"/>
      <c r="AG465" s="617"/>
      <c r="AH465" s="617"/>
    </row>
    <row r="466" spans="1:34" ht="15" hidden="1">
      <c r="A466" s="617"/>
      <c r="B466" s="617"/>
      <c r="C466" s="617"/>
      <c r="D466" s="617"/>
      <c r="E466" s="617"/>
      <c r="F466" s="617"/>
      <c r="G466" s="617"/>
      <c r="H466" s="617"/>
      <c r="I466" s="617"/>
      <c r="J466" s="617"/>
      <c r="K466" s="617"/>
      <c r="L466" s="617"/>
      <c r="M466" s="617"/>
      <c r="N466" s="617"/>
      <c r="O466" s="617"/>
      <c r="P466" s="617"/>
      <c r="Q466" s="617"/>
      <c r="R466" s="617"/>
      <c r="S466" s="617"/>
      <c r="T466" s="617"/>
      <c r="U466" s="617"/>
      <c r="V466" s="617"/>
      <c r="W466" s="617"/>
      <c r="X466" s="617"/>
      <c r="Y466" s="617"/>
      <c r="Z466" s="617"/>
      <c r="AA466" s="617"/>
      <c r="AB466" s="617"/>
      <c r="AC466" s="617"/>
      <c r="AD466" s="617"/>
      <c r="AE466" s="617"/>
      <c r="AF466" s="617"/>
      <c r="AG466" s="617"/>
      <c r="AH466" s="617"/>
    </row>
    <row r="467" spans="1:34" ht="15" hidden="1">
      <c r="A467" s="617"/>
      <c r="B467" s="617"/>
      <c r="C467" s="617"/>
      <c r="D467" s="617"/>
      <c r="E467" s="617"/>
      <c r="F467" s="617"/>
      <c r="G467" s="617"/>
      <c r="H467" s="617"/>
      <c r="I467" s="617"/>
      <c r="J467" s="617"/>
      <c r="K467" s="617"/>
      <c r="L467" s="617"/>
      <c r="M467" s="617"/>
      <c r="N467" s="617"/>
      <c r="O467" s="617"/>
      <c r="P467" s="617"/>
      <c r="Q467" s="617"/>
      <c r="R467" s="617"/>
      <c r="S467" s="617"/>
      <c r="T467" s="617"/>
      <c r="U467" s="617"/>
      <c r="V467" s="617"/>
      <c r="W467" s="617"/>
      <c r="X467" s="617"/>
      <c r="Y467" s="617"/>
      <c r="Z467" s="617"/>
      <c r="AA467" s="617"/>
      <c r="AB467" s="617"/>
      <c r="AC467" s="617"/>
      <c r="AD467" s="617"/>
      <c r="AE467" s="617"/>
      <c r="AF467" s="617"/>
      <c r="AG467" s="617"/>
      <c r="AH467" s="617"/>
    </row>
    <row r="468" spans="1:34" ht="15" hidden="1">
      <c r="A468" s="617"/>
      <c r="B468" s="617"/>
      <c r="C468" s="617"/>
      <c r="D468" s="617"/>
      <c r="E468" s="617"/>
      <c r="F468" s="617"/>
      <c r="G468" s="617"/>
      <c r="H468" s="617"/>
      <c r="I468" s="617"/>
      <c r="J468" s="617"/>
      <c r="K468" s="617"/>
      <c r="L468" s="617"/>
      <c r="M468" s="617"/>
      <c r="N468" s="617"/>
      <c r="O468" s="617"/>
      <c r="P468" s="617"/>
      <c r="Q468" s="617"/>
      <c r="R468" s="617"/>
      <c r="S468" s="617"/>
      <c r="T468" s="617"/>
      <c r="U468" s="617"/>
      <c r="V468" s="617"/>
      <c r="W468" s="617"/>
      <c r="X468" s="617"/>
      <c r="Y468" s="617"/>
      <c r="Z468" s="617"/>
      <c r="AA468" s="617"/>
      <c r="AB468" s="617"/>
      <c r="AC468" s="617"/>
      <c r="AD468" s="617"/>
      <c r="AE468" s="617"/>
      <c r="AF468" s="617"/>
      <c r="AG468" s="617"/>
      <c r="AH468" s="617"/>
    </row>
    <row r="469" spans="1:34" ht="15" hidden="1">
      <c r="A469" s="617"/>
      <c r="B469" s="617"/>
      <c r="C469" s="617"/>
      <c r="D469" s="617"/>
      <c r="E469" s="617"/>
      <c r="F469" s="617"/>
      <c r="G469" s="617"/>
      <c r="H469" s="617"/>
      <c r="I469" s="617"/>
      <c r="J469" s="617"/>
      <c r="K469" s="617"/>
      <c r="L469" s="617"/>
      <c r="M469" s="617"/>
      <c r="N469" s="617"/>
      <c r="O469" s="617"/>
      <c r="P469" s="617"/>
      <c r="Q469" s="617"/>
      <c r="R469" s="617"/>
      <c r="S469" s="617"/>
      <c r="T469" s="617"/>
      <c r="U469" s="617"/>
      <c r="V469" s="617"/>
      <c r="W469" s="617"/>
      <c r="X469" s="617"/>
      <c r="Y469" s="617"/>
      <c r="Z469" s="617"/>
      <c r="AA469" s="617"/>
      <c r="AB469" s="617"/>
      <c r="AC469" s="617"/>
      <c r="AD469" s="617"/>
      <c r="AE469" s="617"/>
      <c r="AF469" s="617"/>
      <c r="AG469" s="617"/>
      <c r="AH469" s="617"/>
    </row>
    <row r="470" spans="1:34" ht="15" hidden="1">
      <c r="A470" s="617"/>
      <c r="B470" s="617"/>
      <c r="C470" s="617"/>
      <c r="D470" s="617"/>
      <c r="E470" s="617"/>
      <c r="F470" s="617"/>
      <c r="G470" s="617"/>
      <c r="H470" s="617"/>
      <c r="I470" s="617"/>
      <c r="J470" s="617"/>
      <c r="K470" s="617"/>
      <c r="L470" s="617"/>
      <c r="M470" s="617"/>
      <c r="N470" s="617"/>
      <c r="O470" s="617"/>
      <c r="P470" s="617"/>
      <c r="Q470" s="617"/>
      <c r="R470" s="617"/>
      <c r="S470" s="617"/>
      <c r="T470" s="617"/>
      <c r="U470" s="617"/>
      <c r="V470" s="617"/>
      <c r="W470" s="617"/>
      <c r="X470" s="617"/>
      <c r="Y470" s="617"/>
      <c r="Z470" s="617"/>
      <c r="AA470" s="617"/>
      <c r="AB470" s="617"/>
      <c r="AC470" s="617"/>
      <c r="AD470" s="617"/>
      <c r="AE470" s="617"/>
      <c r="AF470" s="617"/>
      <c r="AG470" s="617"/>
      <c r="AH470" s="617"/>
    </row>
    <row r="471" spans="1:34" ht="15" hidden="1">
      <c r="A471" s="617"/>
      <c r="B471" s="617"/>
      <c r="C471" s="617"/>
      <c r="D471" s="617"/>
      <c r="E471" s="617"/>
      <c r="F471" s="617"/>
      <c r="G471" s="617"/>
      <c r="H471" s="617"/>
      <c r="I471" s="617"/>
      <c r="J471" s="617"/>
      <c r="K471" s="617"/>
      <c r="L471" s="617"/>
      <c r="M471" s="617"/>
      <c r="N471" s="617"/>
      <c r="O471" s="617"/>
      <c r="P471" s="617"/>
      <c r="Q471" s="617"/>
      <c r="R471" s="617"/>
      <c r="S471" s="617"/>
      <c r="T471" s="617"/>
      <c r="U471" s="617"/>
      <c r="V471" s="617"/>
      <c r="W471" s="617"/>
      <c r="X471" s="617"/>
      <c r="Y471" s="617"/>
      <c r="Z471" s="617"/>
      <c r="AA471" s="617"/>
      <c r="AB471" s="617"/>
      <c r="AC471" s="617"/>
      <c r="AD471" s="617"/>
      <c r="AE471" s="617"/>
      <c r="AF471" s="617"/>
      <c r="AG471" s="617"/>
      <c r="AH471" s="617"/>
    </row>
    <row r="472" spans="1:34" ht="15" hidden="1">
      <c r="A472" s="617"/>
      <c r="B472" s="617"/>
      <c r="C472" s="617"/>
      <c r="D472" s="617"/>
      <c r="E472" s="617"/>
      <c r="F472" s="617"/>
      <c r="G472" s="617"/>
      <c r="H472" s="617"/>
      <c r="I472" s="617"/>
      <c r="J472" s="617"/>
      <c r="K472" s="617"/>
      <c r="L472" s="617"/>
      <c r="M472" s="617"/>
      <c r="N472" s="617"/>
      <c r="O472" s="617"/>
      <c r="P472" s="617"/>
      <c r="Q472" s="617"/>
      <c r="R472" s="617"/>
      <c r="S472" s="617"/>
      <c r="T472" s="617"/>
      <c r="U472" s="617"/>
      <c r="V472" s="617"/>
      <c r="W472" s="617"/>
      <c r="X472" s="617"/>
      <c r="Y472" s="617"/>
      <c r="Z472" s="617"/>
      <c r="AA472" s="617"/>
      <c r="AB472" s="617"/>
      <c r="AC472" s="617"/>
      <c r="AD472" s="617"/>
      <c r="AE472" s="617"/>
      <c r="AF472" s="617"/>
      <c r="AG472" s="617"/>
      <c r="AH472" s="617"/>
    </row>
    <row r="473" spans="1:34" ht="15" hidden="1">
      <c r="A473" s="617"/>
      <c r="B473" s="617"/>
      <c r="C473" s="617"/>
      <c r="D473" s="617"/>
      <c r="E473" s="617"/>
      <c r="F473" s="617"/>
      <c r="G473" s="617"/>
      <c r="H473" s="617"/>
      <c r="I473" s="617"/>
      <c r="J473" s="617"/>
      <c r="K473" s="617"/>
      <c r="L473" s="617"/>
      <c r="M473" s="617"/>
      <c r="N473" s="617"/>
      <c r="O473" s="617"/>
      <c r="P473" s="617"/>
      <c r="Q473" s="617"/>
      <c r="R473" s="617"/>
      <c r="S473" s="617"/>
      <c r="T473" s="617"/>
      <c r="U473" s="617"/>
      <c r="V473" s="617"/>
      <c r="W473" s="617"/>
      <c r="X473" s="617"/>
      <c r="Y473" s="617"/>
      <c r="Z473" s="617"/>
      <c r="AA473" s="617"/>
      <c r="AB473" s="617"/>
      <c r="AC473" s="617"/>
      <c r="AD473" s="617"/>
      <c r="AE473" s="617"/>
      <c r="AF473" s="617"/>
      <c r="AG473" s="617"/>
      <c r="AH473" s="617"/>
    </row>
    <row r="474" spans="1:34" ht="15" hidden="1">
      <c r="A474" s="617"/>
      <c r="B474" s="617"/>
      <c r="C474" s="617"/>
      <c r="D474" s="617"/>
      <c r="E474" s="617"/>
      <c r="F474" s="617"/>
      <c r="G474" s="617"/>
      <c r="H474" s="617"/>
      <c r="I474" s="617"/>
      <c r="J474" s="617"/>
      <c r="K474" s="617"/>
      <c r="L474" s="617"/>
      <c r="M474" s="617"/>
      <c r="N474" s="617"/>
      <c r="O474" s="617"/>
      <c r="P474" s="617"/>
      <c r="Q474" s="617"/>
      <c r="R474" s="617"/>
      <c r="S474" s="617"/>
      <c r="T474" s="617"/>
      <c r="U474" s="617"/>
      <c r="V474" s="617"/>
      <c r="W474" s="617"/>
      <c r="X474" s="617"/>
      <c r="Y474" s="617"/>
      <c r="Z474" s="617"/>
      <c r="AA474" s="617"/>
      <c r="AB474" s="617"/>
      <c r="AC474" s="617"/>
      <c r="AD474" s="617"/>
      <c r="AE474" s="617"/>
      <c r="AF474" s="617"/>
      <c r="AG474" s="617"/>
      <c r="AH474" s="617"/>
    </row>
    <row r="475" spans="1:34" ht="15" hidden="1">
      <c r="A475" s="617"/>
      <c r="B475" s="617"/>
      <c r="C475" s="617"/>
      <c r="D475" s="617"/>
      <c r="E475" s="617"/>
      <c r="F475" s="617"/>
      <c r="G475" s="617"/>
      <c r="H475" s="617"/>
      <c r="I475" s="617"/>
      <c r="J475" s="617"/>
      <c r="K475" s="617"/>
      <c r="L475" s="617"/>
      <c r="M475" s="617"/>
      <c r="N475" s="617"/>
      <c r="O475" s="617"/>
      <c r="P475" s="617"/>
      <c r="Q475" s="617"/>
      <c r="R475" s="617"/>
      <c r="S475" s="617"/>
      <c r="T475" s="617"/>
      <c r="U475" s="617"/>
      <c r="V475" s="617"/>
      <c r="W475" s="617"/>
      <c r="X475" s="617"/>
      <c r="Y475" s="617"/>
      <c r="Z475" s="617"/>
      <c r="AA475" s="617"/>
      <c r="AB475" s="617"/>
      <c r="AC475" s="617"/>
      <c r="AD475" s="617"/>
      <c r="AE475" s="617"/>
      <c r="AF475" s="617"/>
      <c r="AG475" s="617"/>
      <c r="AH475" s="617"/>
    </row>
    <row r="476" spans="1:34" ht="15" hidden="1">
      <c r="A476" s="617"/>
      <c r="B476" s="617"/>
      <c r="C476" s="617"/>
      <c r="D476" s="617"/>
      <c r="E476" s="617"/>
      <c r="F476" s="617"/>
      <c r="G476" s="617"/>
      <c r="H476" s="617"/>
      <c r="I476" s="617"/>
      <c r="J476" s="617"/>
      <c r="K476" s="617"/>
      <c r="L476" s="617"/>
      <c r="M476" s="617"/>
      <c r="N476" s="617"/>
      <c r="O476" s="617"/>
      <c r="P476" s="617"/>
      <c r="Q476" s="617"/>
      <c r="R476" s="617"/>
      <c r="S476" s="617"/>
      <c r="T476" s="617"/>
      <c r="U476" s="617"/>
      <c r="V476" s="617"/>
      <c r="W476" s="617"/>
      <c r="X476" s="617"/>
      <c r="Y476" s="617"/>
      <c r="Z476" s="617"/>
      <c r="AA476" s="617"/>
      <c r="AB476" s="617"/>
      <c r="AC476" s="617"/>
      <c r="AD476" s="617"/>
      <c r="AE476" s="617"/>
      <c r="AF476" s="617"/>
      <c r="AG476" s="617"/>
      <c r="AH476" s="617"/>
    </row>
    <row r="477" spans="1:34" ht="15" hidden="1">
      <c r="A477" s="617"/>
      <c r="B477" s="617"/>
      <c r="C477" s="617"/>
      <c r="D477" s="617"/>
      <c r="E477" s="617"/>
      <c r="F477" s="617"/>
      <c r="G477" s="617"/>
      <c r="H477" s="617"/>
      <c r="I477" s="617"/>
      <c r="J477" s="617"/>
      <c r="K477" s="617"/>
      <c r="L477" s="617"/>
      <c r="M477" s="617"/>
      <c r="N477" s="617"/>
      <c r="O477" s="617"/>
      <c r="P477" s="617"/>
      <c r="Q477" s="617"/>
      <c r="R477" s="617"/>
      <c r="S477" s="617"/>
      <c r="T477" s="617"/>
      <c r="U477" s="617"/>
      <c r="V477" s="617"/>
      <c r="W477" s="617"/>
      <c r="X477" s="617"/>
      <c r="Y477" s="617"/>
      <c r="Z477" s="617"/>
      <c r="AA477" s="617"/>
      <c r="AB477" s="617"/>
      <c r="AC477" s="617"/>
      <c r="AD477" s="617"/>
      <c r="AE477" s="617"/>
      <c r="AF477" s="617"/>
      <c r="AG477" s="617"/>
      <c r="AH477" s="617"/>
    </row>
    <row r="478" spans="1:34" ht="15" hidden="1">
      <c r="A478" s="617"/>
      <c r="B478" s="617"/>
      <c r="C478" s="617"/>
      <c r="D478" s="617"/>
      <c r="E478" s="617"/>
      <c r="F478" s="617"/>
      <c r="G478" s="617"/>
      <c r="H478" s="617"/>
      <c r="I478" s="617"/>
      <c r="J478" s="617"/>
      <c r="K478" s="617"/>
      <c r="L478" s="617"/>
      <c r="M478" s="617"/>
      <c r="N478" s="617"/>
      <c r="O478" s="617"/>
      <c r="P478" s="617"/>
      <c r="Q478" s="617"/>
      <c r="R478" s="617"/>
      <c r="S478" s="617"/>
      <c r="T478" s="617"/>
      <c r="U478" s="617"/>
      <c r="V478" s="617"/>
      <c r="W478" s="617"/>
      <c r="X478" s="617"/>
      <c r="Y478" s="617"/>
      <c r="Z478" s="617"/>
      <c r="AA478" s="617"/>
      <c r="AB478" s="617"/>
      <c r="AC478" s="617"/>
      <c r="AD478" s="617"/>
      <c r="AE478" s="617"/>
      <c r="AF478" s="617"/>
      <c r="AG478" s="617"/>
      <c r="AH478" s="617"/>
    </row>
    <row r="479" spans="1:34" ht="15" hidden="1">
      <c r="A479" s="617"/>
      <c r="B479" s="617"/>
      <c r="C479" s="617"/>
      <c r="D479" s="617"/>
      <c r="E479" s="617"/>
      <c r="F479" s="617"/>
      <c r="G479" s="617"/>
      <c r="H479" s="617"/>
      <c r="I479" s="617"/>
      <c r="J479" s="617"/>
      <c r="K479" s="617"/>
      <c r="L479" s="617"/>
      <c r="M479" s="617"/>
      <c r="N479" s="617"/>
      <c r="O479" s="617"/>
      <c r="P479" s="617"/>
      <c r="Q479" s="617"/>
      <c r="R479" s="617"/>
      <c r="S479" s="617"/>
      <c r="T479" s="617"/>
      <c r="U479" s="617"/>
      <c r="V479" s="617"/>
      <c r="W479" s="617"/>
      <c r="X479" s="617"/>
      <c r="Y479" s="617"/>
      <c r="Z479" s="617"/>
      <c r="AA479" s="617"/>
      <c r="AB479" s="617"/>
      <c r="AC479" s="617"/>
      <c r="AD479" s="617"/>
      <c r="AE479" s="617"/>
      <c r="AF479" s="617"/>
      <c r="AG479" s="617"/>
      <c r="AH479" s="617"/>
    </row>
    <row r="480" spans="1:34" ht="15" hidden="1">
      <c r="A480" s="617"/>
      <c r="B480" s="617"/>
      <c r="C480" s="617"/>
      <c r="D480" s="617"/>
      <c r="E480" s="617"/>
      <c r="F480" s="617"/>
      <c r="G480" s="617"/>
      <c r="H480" s="617"/>
      <c r="I480" s="617"/>
      <c r="J480" s="617"/>
      <c r="K480" s="617"/>
      <c r="L480" s="617"/>
      <c r="M480" s="617"/>
      <c r="N480" s="617"/>
      <c r="O480" s="617"/>
      <c r="P480" s="617"/>
      <c r="Q480" s="617"/>
      <c r="R480" s="617"/>
      <c r="S480" s="617"/>
      <c r="T480" s="617"/>
      <c r="U480" s="617"/>
      <c r="V480" s="617"/>
      <c r="W480" s="617"/>
      <c r="X480" s="617"/>
      <c r="Y480" s="617"/>
      <c r="Z480" s="617"/>
      <c r="AA480" s="617"/>
      <c r="AB480" s="617"/>
      <c r="AC480" s="617"/>
      <c r="AD480" s="617"/>
      <c r="AE480" s="617"/>
      <c r="AF480" s="617"/>
      <c r="AG480" s="617"/>
      <c r="AH480" s="617"/>
    </row>
    <row r="481" spans="1:34" ht="15" hidden="1">
      <c r="A481" s="617"/>
      <c r="B481" s="617"/>
      <c r="C481" s="617"/>
      <c r="D481" s="617"/>
      <c r="E481" s="617"/>
      <c r="F481" s="617"/>
      <c r="G481" s="617"/>
      <c r="H481" s="617"/>
      <c r="I481" s="617"/>
      <c r="J481" s="617"/>
      <c r="K481" s="617"/>
      <c r="L481" s="617"/>
      <c r="M481" s="617"/>
      <c r="N481" s="617"/>
      <c r="O481" s="617"/>
      <c r="P481" s="617"/>
      <c r="Q481" s="617"/>
      <c r="R481" s="617"/>
      <c r="S481" s="617"/>
      <c r="T481" s="617"/>
      <c r="U481" s="617"/>
      <c r="V481" s="617"/>
      <c r="W481" s="617"/>
      <c r="X481" s="617"/>
      <c r="Y481" s="617"/>
      <c r="Z481" s="617"/>
      <c r="AA481" s="617"/>
      <c r="AB481" s="617"/>
      <c r="AC481" s="617"/>
      <c r="AD481" s="617"/>
      <c r="AE481" s="617"/>
      <c r="AF481" s="617"/>
      <c r="AG481" s="617"/>
      <c r="AH481" s="617"/>
    </row>
    <row r="482" spans="1:34" ht="15" hidden="1">
      <c r="A482" s="617"/>
      <c r="B482" s="617"/>
      <c r="C482" s="617"/>
      <c r="D482" s="617"/>
      <c r="E482" s="617"/>
      <c r="F482" s="617"/>
      <c r="G482" s="617"/>
      <c r="H482" s="617"/>
      <c r="I482" s="617"/>
      <c r="J482" s="617"/>
      <c r="K482" s="617"/>
      <c r="L482" s="617"/>
      <c r="M482" s="617"/>
      <c r="N482" s="617"/>
      <c r="O482" s="617"/>
      <c r="P482" s="617"/>
      <c r="Q482" s="617"/>
      <c r="R482" s="617"/>
      <c r="S482" s="617"/>
      <c r="T482" s="617"/>
      <c r="U482" s="617"/>
      <c r="V482" s="617"/>
      <c r="W482" s="617"/>
      <c r="X482" s="617"/>
      <c r="Y482" s="617"/>
      <c r="Z482" s="617"/>
      <c r="AA482" s="617"/>
      <c r="AB482" s="617"/>
      <c r="AC482" s="617"/>
      <c r="AD482" s="617"/>
      <c r="AE482" s="617"/>
      <c r="AF482" s="617"/>
      <c r="AG482" s="617"/>
      <c r="AH482" s="617"/>
    </row>
    <row r="483" spans="1:34" ht="15" hidden="1">
      <c r="A483" s="617"/>
      <c r="B483" s="617"/>
      <c r="C483" s="617"/>
      <c r="D483" s="617"/>
      <c r="E483" s="617"/>
      <c r="F483" s="617"/>
      <c r="G483" s="617"/>
      <c r="H483" s="617"/>
      <c r="I483" s="617"/>
      <c r="J483" s="617"/>
      <c r="K483" s="617"/>
      <c r="L483" s="617"/>
      <c r="M483" s="617"/>
      <c r="N483" s="617"/>
      <c r="O483" s="617"/>
      <c r="P483" s="617"/>
      <c r="Q483" s="617"/>
      <c r="R483" s="617"/>
      <c r="S483" s="617"/>
      <c r="T483" s="617"/>
      <c r="U483" s="617"/>
      <c r="V483" s="617"/>
      <c r="W483" s="617"/>
      <c r="X483" s="617"/>
      <c r="Y483" s="617"/>
      <c r="Z483" s="617"/>
      <c r="AA483" s="617"/>
      <c r="AB483" s="617"/>
      <c r="AC483" s="617"/>
      <c r="AD483" s="617"/>
      <c r="AE483" s="617"/>
      <c r="AF483" s="617"/>
      <c r="AG483" s="617"/>
      <c r="AH483" s="617"/>
    </row>
    <row r="484" spans="1:34" ht="15" hidden="1">
      <c r="A484" s="617"/>
      <c r="B484" s="617"/>
      <c r="C484" s="617"/>
      <c r="D484" s="617"/>
      <c r="E484" s="617"/>
      <c r="F484" s="617"/>
      <c r="G484" s="617"/>
      <c r="H484" s="617"/>
      <c r="I484" s="617"/>
      <c r="J484" s="617"/>
      <c r="K484" s="617"/>
      <c r="L484" s="617"/>
      <c r="M484" s="617"/>
      <c r="N484" s="617"/>
      <c r="O484" s="617"/>
      <c r="P484" s="617"/>
      <c r="Q484" s="617"/>
      <c r="R484" s="617"/>
      <c r="S484" s="617"/>
      <c r="T484" s="617"/>
      <c r="U484" s="617"/>
      <c r="V484" s="617"/>
      <c r="W484" s="617"/>
      <c r="X484" s="617"/>
      <c r="Y484" s="617"/>
      <c r="Z484" s="617"/>
      <c r="AA484" s="617"/>
      <c r="AB484" s="617"/>
      <c r="AC484" s="617"/>
      <c r="AD484" s="617"/>
      <c r="AE484" s="617"/>
      <c r="AF484" s="617"/>
      <c r="AG484" s="617"/>
      <c r="AH484" s="617"/>
    </row>
    <row r="485" spans="1:34" ht="15" hidden="1">
      <c r="A485" s="617"/>
      <c r="B485" s="617"/>
      <c r="C485" s="617"/>
      <c r="D485" s="617"/>
      <c r="E485" s="617"/>
      <c r="F485" s="617"/>
      <c r="G485" s="617"/>
      <c r="H485" s="617"/>
      <c r="I485" s="617"/>
      <c r="J485" s="617"/>
      <c r="K485" s="617"/>
      <c r="L485" s="617"/>
      <c r="M485" s="617"/>
      <c r="N485" s="617"/>
      <c r="O485" s="617"/>
      <c r="P485" s="617"/>
      <c r="Q485" s="617"/>
      <c r="R485" s="617"/>
      <c r="S485" s="617"/>
      <c r="T485" s="617"/>
      <c r="U485" s="617"/>
      <c r="V485" s="617"/>
      <c r="W485" s="617"/>
      <c r="X485" s="617"/>
      <c r="Y485" s="617"/>
      <c r="Z485" s="617"/>
      <c r="AA485" s="617"/>
      <c r="AB485" s="617"/>
      <c r="AC485" s="617"/>
      <c r="AD485" s="617"/>
      <c r="AE485" s="617"/>
      <c r="AF485" s="617"/>
      <c r="AG485" s="617"/>
      <c r="AH485" s="617"/>
    </row>
    <row r="486" spans="1:34" ht="15" hidden="1">
      <c r="A486" s="617"/>
      <c r="B486" s="617"/>
      <c r="C486" s="617"/>
      <c r="D486" s="617"/>
      <c r="E486" s="617"/>
      <c r="F486" s="617"/>
      <c r="G486" s="617"/>
      <c r="H486" s="617"/>
      <c r="I486" s="617"/>
      <c r="J486" s="617"/>
      <c r="K486" s="617"/>
      <c r="L486" s="617"/>
      <c r="M486" s="617"/>
      <c r="N486" s="617"/>
      <c r="O486" s="617"/>
      <c r="P486" s="617"/>
      <c r="Q486" s="617"/>
      <c r="R486" s="617"/>
      <c r="S486" s="617"/>
      <c r="T486" s="617"/>
      <c r="U486" s="617"/>
      <c r="V486" s="617"/>
      <c r="W486" s="617"/>
      <c r="X486" s="617"/>
      <c r="Y486" s="617"/>
      <c r="Z486" s="617"/>
      <c r="AA486" s="617"/>
      <c r="AB486" s="617"/>
      <c r="AC486" s="617"/>
      <c r="AD486" s="617"/>
      <c r="AE486" s="617"/>
      <c r="AF486" s="617"/>
      <c r="AG486" s="617"/>
      <c r="AH486" s="617"/>
    </row>
    <row r="487" spans="1:34" ht="15" hidden="1">
      <c r="A487" s="617"/>
      <c r="B487" s="617"/>
      <c r="C487" s="617"/>
      <c r="D487" s="617"/>
      <c r="E487" s="617"/>
      <c r="F487" s="617"/>
      <c r="G487" s="617"/>
      <c r="H487" s="617"/>
      <c r="I487" s="617"/>
      <c r="J487" s="617"/>
      <c r="K487" s="617"/>
      <c r="L487" s="617"/>
      <c r="M487" s="617"/>
      <c r="N487" s="617"/>
      <c r="O487" s="617"/>
      <c r="P487" s="617"/>
      <c r="Q487" s="617"/>
      <c r="R487" s="617"/>
      <c r="S487" s="617"/>
      <c r="T487" s="617"/>
      <c r="U487" s="617"/>
      <c r="V487" s="617"/>
      <c r="W487" s="617"/>
      <c r="X487" s="617"/>
      <c r="Y487" s="617"/>
      <c r="Z487" s="617"/>
      <c r="AA487" s="617"/>
      <c r="AB487" s="617"/>
      <c r="AC487" s="617"/>
      <c r="AD487" s="617"/>
      <c r="AE487" s="617"/>
      <c r="AF487" s="617"/>
      <c r="AG487" s="617"/>
      <c r="AH487" s="617"/>
    </row>
    <row r="488" spans="1:34" ht="15" hidden="1">
      <c r="A488" s="617"/>
      <c r="B488" s="617"/>
      <c r="C488" s="617"/>
      <c r="D488" s="617"/>
      <c r="E488" s="617"/>
      <c r="F488" s="617"/>
      <c r="G488" s="617"/>
      <c r="H488" s="617"/>
      <c r="I488" s="617"/>
      <c r="J488" s="617"/>
      <c r="K488" s="617"/>
      <c r="L488" s="617"/>
      <c r="M488" s="617"/>
      <c r="N488" s="617"/>
      <c r="O488" s="617"/>
      <c r="P488" s="617"/>
      <c r="Q488" s="617"/>
      <c r="R488" s="617"/>
      <c r="S488" s="617"/>
      <c r="T488" s="617"/>
      <c r="U488" s="617"/>
      <c r="V488" s="617"/>
      <c r="W488" s="617"/>
      <c r="X488" s="617"/>
      <c r="Y488" s="617"/>
      <c r="Z488" s="617"/>
      <c r="AA488" s="617"/>
      <c r="AB488" s="617"/>
      <c r="AC488" s="617"/>
      <c r="AD488" s="617"/>
      <c r="AE488" s="617"/>
      <c r="AF488" s="617"/>
      <c r="AG488" s="617"/>
      <c r="AH488" s="617"/>
    </row>
    <row r="489" spans="1:34" ht="15" hidden="1">
      <c r="A489" s="617"/>
      <c r="B489" s="617"/>
      <c r="C489" s="617"/>
      <c r="D489" s="617"/>
      <c r="E489" s="617"/>
      <c r="F489" s="617"/>
      <c r="G489" s="617"/>
      <c r="H489" s="617"/>
      <c r="I489" s="617"/>
      <c r="J489" s="617"/>
      <c r="K489" s="617"/>
      <c r="L489" s="617"/>
      <c r="M489" s="617"/>
      <c r="N489" s="617"/>
      <c r="O489" s="617"/>
      <c r="P489" s="617"/>
      <c r="Q489" s="617"/>
      <c r="R489" s="617"/>
      <c r="S489" s="617"/>
      <c r="T489" s="617"/>
      <c r="U489" s="617"/>
      <c r="V489" s="617"/>
      <c r="W489" s="617"/>
      <c r="X489" s="617"/>
      <c r="Y489" s="617"/>
      <c r="Z489" s="617"/>
      <c r="AA489" s="617"/>
      <c r="AB489" s="617"/>
      <c r="AC489" s="617"/>
      <c r="AD489" s="617"/>
      <c r="AE489" s="617"/>
      <c r="AF489" s="617"/>
      <c r="AG489" s="617"/>
      <c r="AH489" s="617"/>
    </row>
    <row r="490" spans="1:34" ht="15" hidden="1">
      <c r="A490" s="617"/>
      <c r="B490" s="617"/>
      <c r="C490" s="617"/>
      <c r="D490" s="617"/>
      <c r="E490" s="617"/>
      <c r="F490" s="617"/>
      <c r="G490" s="617"/>
      <c r="H490" s="617"/>
      <c r="I490" s="617"/>
      <c r="J490" s="617"/>
      <c r="K490" s="617"/>
      <c r="L490" s="617"/>
      <c r="M490" s="617"/>
      <c r="N490" s="617"/>
      <c r="O490" s="617"/>
      <c r="P490" s="617"/>
      <c r="Q490" s="617"/>
      <c r="R490" s="617"/>
      <c r="S490" s="617"/>
      <c r="T490" s="617"/>
      <c r="U490" s="617"/>
      <c r="V490" s="617"/>
      <c r="W490" s="617"/>
      <c r="X490" s="617"/>
      <c r="Y490" s="617"/>
      <c r="Z490" s="617"/>
      <c r="AA490" s="617"/>
      <c r="AB490" s="617"/>
      <c r="AC490" s="617"/>
      <c r="AD490" s="617"/>
      <c r="AE490" s="617"/>
      <c r="AF490" s="617"/>
      <c r="AG490" s="617"/>
      <c r="AH490" s="617"/>
    </row>
    <row r="491" spans="1:34" ht="15" hidden="1">
      <c r="A491" s="617"/>
      <c r="B491" s="617"/>
      <c r="C491" s="617"/>
      <c r="D491" s="617"/>
      <c r="E491" s="617"/>
      <c r="F491" s="617"/>
      <c r="G491" s="617"/>
      <c r="H491" s="617"/>
      <c r="I491" s="617"/>
      <c r="J491" s="617"/>
      <c r="K491" s="617"/>
      <c r="L491" s="617"/>
      <c r="M491" s="617"/>
      <c r="N491" s="617"/>
      <c r="O491" s="617"/>
      <c r="P491" s="617"/>
      <c r="Q491" s="617"/>
      <c r="R491" s="617"/>
      <c r="S491" s="617"/>
      <c r="T491" s="617"/>
      <c r="U491" s="617"/>
      <c r="V491" s="617"/>
      <c r="W491" s="617"/>
      <c r="X491" s="617"/>
      <c r="Y491" s="617"/>
      <c r="Z491" s="617"/>
      <c r="AA491" s="617"/>
      <c r="AB491" s="617"/>
      <c r="AC491" s="617"/>
      <c r="AD491" s="617"/>
      <c r="AE491" s="617"/>
      <c r="AF491" s="617"/>
      <c r="AG491" s="617"/>
      <c r="AH491" s="617"/>
    </row>
    <row r="492" spans="1:34" ht="15" hidden="1">
      <c r="A492" s="617"/>
      <c r="B492" s="617"/>
      <c r="C492" s="617"/>
      <c r="D492" s="617"/>
      <c r="E492" s="617"/>
      <c r="F492" s="617"/>
      <c r="G492" s="617"/>
      <c r="H492" s="617"/>
      <c r="I492" s="617"/>
      <c r="J492" s="617"/>
      <c r="K492" s="617"/>
      <c r="L492" s="617"/>
      <c r="M492" s="617"/>
      <c r="N492" s="617"/>
      <c r="O492" s="617"/>
      <c r="P492" s="617"/>
      <c r="Q492" s="617"/>
      <c r="R492" s="617"/>
      <c r="S492" s="617"/>
      <c r="T492" s="617"/>
      <c r="U492" s="617"/>
      <c r="V492" s="617"/>
      <c r="W492" s="617"/>
      <c r="X492" s="617"/>
      <c r="Y492" s="617"/>
      <c r="Z492" s="617"/>
      <c r="AA492" s="617"/>
      <c r="AB492" s="617"/>
      <c r="AC492" s="617"/>
      <c r="AD492" s="617"/>
      <c r="AE492" s="617"/>
      <c r="AF492" s="617"/>
      <c r="AG492" s="617"/>
      <c r="AH492" s="617"/>
    </row>
    <row r="493" spans="1:34" ht="15" hidden="1">
      <c r="A493" s="617"/>
      <c r="B493" s="617"/>
      <c r="C493" s="617"/>
      <c r="D493" s="617"/>
      <c r="E493" s="617"/>
      <c r="F493" s="617"/>
      <c r="G493" s="617"/>
      <c r="H493" s="617"/>
      <c r="I493" s="617"/>
      <c r="J493" s="617"/>
      <c r="K493" s="617"/>
      <c r="L493" s="617"/>
      <c r="M493" s="617"/>
      <c r="N493" s="617"/>
      <c r="O493" s="617"/>
      <c r="P493" s="617"/>
      <c r="Q493" s="617"/>
      <c r="R493" s="617"/>
      <c r="S493" s="617"/>
      <c r="T493" s="617"/>
      <c r="U493" s="617"/>
      <c r="V493" s="617"/>
      <c r="W493" s="617"/>
      <c r="X493" s="617"/>
      <c r="Y493" s="617"/>
      <c r="Z493" s="617"/>
      <c r="AA493" s="617"/>
      <c r="AB493" s="617"/>
      <c r="AC493" s="617"/>
      <c r="AD493" s="617"/>
      <c r="AE493" s="617"/>
      <c r="AF493" s="617"/>
      <c r="AG493" s="617"/>
      <c r="AH493" s="617"/>
    </row>
    <row r="494" spans="1:34" ht="15" hidden="1">
      <c r="A494" s="617"/>
      <c r="B494" s="617"/>
      <c r="C494" s="617"/>
      <c r="D494" s="617"/>
      <c r="E494" s="617"/>
      <c r="F494" s="617"/>
      <c r="G494" s="617"/>
      <c r="H494" s="617"/>
      <c r="I494" s="617"/>
      <c r="J494" s="617"/>
      <c r="K494" s="617"/>
      <c r="L494" s="617"/>
      <c r="M494" s="617"/>
      <c r="N494" s="617"/>
      <c r="O494" s="617"/>
      <c r="P494" s="617"/>
      <c r="Q494" s="617"/>
      <c r="R494" s="617"/>
      <c r="S494" s="617"/>
      <c r="T494" s="617"/>
      <c r="U494" s="617"/>
      <c r="V494" s="617"/>
      <c r="W494" s="617"/>
      <c r="X494" s="617"/>
      <c r="Y494" s="617"/>
      <c r="Z494" s="617"/>
      <c r="AA494" s="617"/>
      <c r="AB494" s="617"/>
      <c r="AC494" s="617"/>
      <c r="AD494" s="617"/>
      <c r="AE494" s="617"/>
      <c r="AF494" s="617"/>
      <c r="AG494" s="617"/>
      <c r="AH494" s="617"/>
    </row>
    <row r="495" spans="1:34" ht="15" hidden="1">
      <c r="A495" s="617"/>
      <c r="B495" s="617"/>
      <c r="C495" s="617"/>
      <c r="D495" s="617"/>
      <c r="E495" s="617"/>
      <c r="F495" s="617"/>
      <c r="G495" s="617"/>
      <c r="H495" s="617"/>
      <c r="I495" s="617"/>
      <c r="J495" s="617"/>
      <c r="K495" s="617"/>
      <c r="L495" s="617"/>
      <c r="M495" s="617"/>
      <c r="N495" s="617"/>
      <c r="O495" s="617"/>
      <c r="P495" s="617"/>
      <c r="Q495" s="617"/>
      <c r="R495" s="617"/>
      <c r="S495" s="617"/>
      <c r="T495" s="617"/>
      <c r="U495" s="617"/>
      <c r="V495" s="617"/>
      <c r="W495" s="617"/>
      <c r="X495" s="617"/>
      <c r="Y495" s="617"/>
      <c r="Z495" s="617"/>
      <c r="AA495" s="617"/>
      <c r="AB495" s="617"/>
      <c r="AC495" s="617"/>
      <c r="AD495" s="617"/>
      <c r="AE495" s="617"/>
      <c r="AF495" s="617"/>
      <c r="AG495" s="617"/>
      <c r="AH495" s="617"/>
    </row>
    <row r="496" spans="1:34" ht="15" hidden="1">
      <c r="A496" s="617"/>
      <c r="B496" s="617"/>
      <c r="C496" s="617"/>
      <c r="D496" s="617"/>
      <c r="E496" s="617"/>
      <c r="F496" s="617"/>
      <c r="G496" s="617"/>
      <c r="H496" s="617"/>
      <c r="I496" s="617"/>
      <c r="J496" s="617"/>
      <c r="K496" s="617"/>
      <c r="L496" s="617"/>
      <c r="M496" s="617"/>
      <c r="N496" s="617"/>
      <c r="O496" s="617"/>
      <c r="P496" s="617"/>
      <c r="Q496" s="617"/>
      <c r="R496" s="617"/>
      <c r="S496" s="617"/>
      <c r="T496" s="617"/>
      <c r="U496" s="617"/>
      <c r="V496" s="617"/>
      <c r="W496" s="617"/>
      <c r="X496" s="617"/>
      <c r="Y496" s="617"/>
      <c r="Z496" s="617"/>
      <c r="AA496" s="617"/>
      <c r="AB496" s="617"/>
      <c r="AC496" s="617"/>
      <c r="AD496" s="617"/>
      <c r="AE496" s="617"/>
      <c r="AF496" s="617"/>
      <c r="AG496" s="617"/>
      <c r="AH496" s="617"/>
    </row>
    <row r="497" spans="1:34" ht="15" hidden="1">
      <c r="A497" s="617"/>
      <c r="B497" s="617"/>
      <c r="C497" s="617"/>
      <c r="D497" s="617"/>
      <c r="E497" s="617"/>
      <c r="F497" s="617"/>
      <c r="G497" s="617"/>
      <c r="H497" s="617"/>
      <c r="I497" s="617"/>
      <c r="J497" s="617"/>
      <c r="K497" s="617"/>
      <c r="L497" s="617"/>
      <c r="M497" s="617"/>
      <c r="N497" s="617"/>
      <c r="O497" s="617"/>
      <c r="P497" s="617"/>
      <c r="Q497" s="617"/>
      <c r="R497" s="617"/>
      <c r="S497" s="617"/>
      <c r="T497" s="617"/>
      <c r="U497" s="617"/>
      <c r="V497" s="617"/>
      <c r="W497" s="617"/>
      <c r="X497" s="617"/>
      <c r="Y497" s="617"/>
      <c r="Z497" s="617"/>
      <c r="AA497" s="617"/>
      <c r="AB497" s="617"/>
      <c r="AC497" s="617"/>
      <c r="AD497" s="617"/>
      <c r="AE497" s="617"/>
      <c r="AF497" s="617"/>
      <c r="AG497" s="617"/>
      <c r="AH497" s="617"/>
    </row>
    <row r="498" spans="1:34" ht="15" hidden="1">
      <c r="A498" s="617"/>
      <c r="B498" s="617"/>
      <c r="C498" s="617"/>
      <c r="D498" s="617"/>
      <c r="E498" s="617"/>
      <c r="F498" s="617"/>
      <c r="G498" s="617"/>
      <c r="H498" s="617"/>
      <c r="I498" s="617"/>
      <c r="J498" s="617"/>
      <c r="K498" s="617"/>
      <c r="L498" s="617"/>
      <c r="M498" s="617"/>
      <c r="N498" s="617"/>
      <c r="O498" s="617"/>
      <c r="P498" s="617"/>
      <c r="Q498" s="617"/>
      <c r="R498" s="617"/>
      <c r="S498" s="617"/>
      <c r="T498" s="617"/>
      <c r="U498" s="617"/>
      <c r="V498" s="617"/>
      <c r="W498" s="617"/>
      <c r="X498" s="617"/>
      <c r="Y498" s="617"/>
      <c r="Z498" s="617"/>
      <c r="AA498" s="617"/>
      <c r="AB498" s="617"/>
      <c r="AC498" s="617"/>
      <c r="AD498" s="617"/>
      <c r="AE498" s="617"/>
      <c r="AF498" s="617"/>
      <c r="AG498" s="617"/>
      <c r="AH498" s="617"/>
    </row>
    <row r="499" spans="1:34" ht="15" hidden="1">
      <c r="A499" s="617"/>
      <c r="B499" s="617"/>
      <c r="C499" s="617"/>
      <c r="D499" s="617"/>
      <c r="E499" s="617"/>
      <c r="F499" s="617"/>
      <c r="G499" s="617"/>
      <c r="H499" s="617"/>
      <c r="I499" s="617"/>
      <c r="J499" s="617"/>
      <c r="K499" s="617"/>
      <c r="L499" s="617"/>
      <c r="M499" s="617"/>
      <c r="N499" s="617"/>
      <c r="O499" s="617"/>
      <c r="P499" s="617"/>
      <c r="Q499" s="617"/>
      <c r="R499" s="617"/>
      <c r="S499" s="617"/>
      <c r="T499" s="617"/>
      <c r="U499" s="617"/>
      <c r="V499" s="617"/>
      <c r="W499" s="617"/>
      <c r="X499" s="617"/>
      <c r="Y499" s="617"/>
      <c r="Z499" s="617"/>
      <c r="AA499" s="617"/>
      <c r="AB499" s="617"/>
      <c r="AC499" s="617"/>
      <c r="AD499" s="617"/>
      <c r="AE499" s="617"/>
      <c r="AF499" s="617"/>
      <c r="AG499" s="617"/>
      <c r="AH499" s="617"/>
    </row>
    <row r="500" spans="1:34" ht="15" hidden="1">
      <c r="A500" s="617"/>
      <c r="B500" s="617"/>
      <c r="C500" s="617"/>
      <c r="D500" s="617"/>
      <c r="E500" s="617"/>
      <c r="F500" s="617"/>
      <c r="G500" s="617"/>
      <c r="H500" s="617"/>
      <c r="I500" s="617"/>
      <c r="J500" s="617"/>
      <c r="K500" s="617"/>
      <c r="L500" s="617"/>
      <c r="M500" s="617"/>
      <c r="N500" s="617"/>
      <c r="O500" s="617"/>
      <c r="P500" s="617"/>
      <c r="Q500" s="617"/>
      <c r="R500" s="617"/>
      <c r="S500" s="617"/>
      <c r="T500" s="617"/>
      <c r="U500" s="617"/>
      <c r="V500" s="617"/>
      <c r="W500" s="617"/>
      <c r="X500" s="617"/>
      <c r="Y500" s="617"/>
      <c r="Z500" s="617"/>
      <c r="AA500" s="617"/>
      <c r="AB500" s="617"/>
      <c r="AC500" s="617"/>
      <c r="AD500" s="617"/>
      <c r="AE500" s="617"/>
      <c r="AF500" s="617"/>
      <c r="AG500" s="617"/>
      <c r="AH500" s="617"/>
    </row>
    <row r="501" spans="1:34" ht="15" hidden="1">
      <c r="A501" s="617"/>
      <c r="B501" s="617"/>
      <c r="C501" s="617"/>
      <c r="D501" s="617"/>
      <c r="E501" s="617"/>
      <c r="F501" s="617"/>
      <c r="G501" s="617"/>
      <c r="H501" s="617"/>
      <c r="I501" s="617"/>
      <c r="J501" s="617"/>
      <c r="K501" s="617"/>
      <c r="L501" s="617"/>
      <c r="M501" s="617"/>
      <c r="N501" s="617"/>
      <c r="O501" s="617"/>
      <c r="P501" s="617"/>
      <c r="Q501" s="617"/>
      <c r="R501" s="617"/>
      <c r="S501" s="617"/>
      <c r="T501" s="617"/>
      <c r="U501" s="617"/>
      <c r="V501" s="617"/>
      <c r="W501" s="617"/>
      <c r="X501" s="617"/>
      <c r="Y501" s="617"/>
      <c r="Z501" s="617"/>
      <c r="AA501" s="617"/>
      <c r="AB501" s="617"/>
      <c r="AC501" s="617"/>
      <c r="AD501" s="617"/>
      <c r="AE501" s="617"/>
      <c r="AF501" s="617"/>
      <c r="AG501" s="617"/>
      <c r="AH501" s="617"/>
    </row>
    <row r="502" spans="1:34" ht="15" hidden="1">
      <c r="A502" s="617"/>
      <c r="B502" s="617"/>
      <c r="C502" s="617"/>
      <c r="D502" s="617"/>
      <c r="E502" s="617"/>
      <c r="F502" s="617"/>
      <c r="G502" s="617"/>
      <c r="H502" s="617"/>
      <c r="I502" s="617"/>
      <c r="J502" s="617"/>
      <c r="K502" s="617"/>
      <c r="L502" s="617"/>
      <c r="M502" s="617"/>
      <c r="N502" s="617"/>
      <c r="O502" s="617"/>
      <c r="P502" s="617"/>
      <c r="Q502" s="617"/>
      <c r="R502" s="617"/>
      <c r="S502" s="617"/>
      <c r="T502" s="617"/>
      <c r="U502" s="617"/>
      <c r="V502" s="617"/>
      <c r="W502" s="617"/>
      <c r="X502" s="617"/>
      <c r="Y502" s="617"/>
      <c r="Z502" s="617"/>
      <c r="AA502" s="617"/>
      <c r="AB502" s="617"/>
      <c r="AC502" s="617"/>
      <c r="AD502" s="617"/>
      <c r="AE502" s="617"/>
      <c r="AF502" s="617"/>
      <c r="AG502" s="617"/>
      <c r="AH502" s="617"/>
    </row>
    <row r="503" spans="1:34" ht="15" hidden="1">
      <c r="A503" s="617"/>
      <c r="B503" s="617"/>
      <c r="C503" s="617"/>
      <c r="D503" s="617"/>
      <c r="E503" s="617"/>
      <c r="F503" s="617"/>
      <c r="G503" s="617"/>
      <c r="H503" s="617"/>
      <c r="I503" s="617"/>
      <c r="J503" s="617"/>
      <c r="K503" s="617"/>
      <c r="L503" s="617"/>
      <c r="M503" s="617"/>
      <c r="N503" s="617"/>
      <c r="O503" s="617"/>
      <c r="P503" s="617"/>
      <c r="Q503" s="617"/>
      <c r="R503" s="617"/>
      <c r="S503" s="617"/>
      <c r="T503" s="617"/>
      <c r="U503" s="617"/>
      <c r="V503" s="617"/>
      <c r="W503" s="617"/>
      <c r="X503" s="617"/>
      <c r="Y503" s="617"/>
      <c r="Z503" s="617"/>
      <c r="AA503" s="617"/>
      <c r="AB503" s="617"/>
      <c r="AC503" s="617"/>
      <c r="AD503" s="617"/>
      <c r="AE503" s="617"/>
      <c r="AF503" s="617"/>
      <c r="AG503" s="617"/>
      <c r="AH503" s="617"/>
    </row>
    <row r="504" spans="1:34" ht="15" hidden="1">
      <c r="A504" s="617"/>
      <c r="B504" s="617"/>
      <c r="C504" s="617"/>
      <c r="D504" s="617"/>
      <c r="E504" s="617"/>
      <c r="F504" s="617"/>
      <c r="G504" s="617"/>
      <c r="H504" s="617"/>
      <c r="I504" s="617"/>
      <c r="J504" s="617"/>
      <c r="K504" s="617"/>
      <c r="L504" s="617"/>
      <c r="M504" s="617"/>
      <c r="N504" s="617"/>
      <c r="O504" s="617"/>
      <c r="P504" s="617"/>
      <c r="Q504" s="617"/>
      <c r="R504" s="617"/>
      <c r="S504" s="617"/>
      <c r="T504" s="617"/>
      <c r="U504" s="617"/>
      <c r="V504" s="617"/>
      <c r="W504" s="617"/>
      <c r="X504" s="617"/>
      <c r="Y504" s="617"/>
      <c r="Z504" s="617"/>
      <c r="AA504" s="617"/>
      <c r="AB504" s="617"/>
      <c r="AC504" s="617"/>
      <c r="AD504" s="617"/>
      <c r="AE504" s="617"/>
      <c r="AF504" s="617"/>
      <c r="AG504" s="617"/>
      <c r="AH504" s="617"/>
    </row>
    <row r="505" spans="1:34" ht="15" hidden="1">
      <c r="A505" s="617"/>
      <c r="B505" s="617"/>
      <c r="C505" s="617"/>
      <c r="D505" s="617"/>
      <c r="E505" s="617"/>
      <c r="F505" s="617"/>
      <c r="G505" s="617"/>
      <c r="H505" s="617"/>
      <c r="I505" s="617"/>
      <c r="J505" s="617"/>
      <c r="K505" s="617"/>
      <c r="L505" s="617"/>
      <c r="M505" s="617"/>
      <c r="N505" s="617"/>
      <c r="O505" s="617"/>
      <c r="P505" s="617"/>
      <c r="Q505" s="617"/>
      <c r="R505" s="617"/>
      <c r="S505" s="617"/>
      <c r="T505" s="617"/>
      <c r="U505" s="617"/>
      <c r="V505" s="617"/>
      <c r="W505" s="617"/>
      <c r="X505" s="617"/>
      <c r="Y505" s="617"/>
      <c r="Z505" s="617"/>
      <c r="AA505" s="617"/>
      <c r="AB505" s="617"/>
      <c r="AC505" s="617"/>
      <c r="AD505" s="617"/>
      <c r="AE505" s="617"/>
      <c r="AF505" s="617"/>
      <c r="AG505" s="617"/>
      <c r="AH505" s="617"/>
    </row>
    <row r="506" spans="1:34" ht="15" hidden="1">
      <c r="A506" s="617"/>
      <c r="B506" s="617"/>
      <c r="C506" s="617"/>
      <c r="D506" s="617"/>
      <c r="E506" s="617"/>
      <c r="F506" s="617"/>
      <c r="G506" s="617"/>
      <c r="H506" s="617"/>
      <c r="I506" s="617"/>
      <c r="J506" s="617"/>
      <c r="K506" s="617"/>
      <c r="L506" s="617"/>
      <c r="M506" s="617"/>
      <c r="N506" s="617"/>
      <c r="O506" s="617"/>
      <c r="P506" s="617"/>
      <c r="Q506" s="617"/>
      <c r="R506" s="617"/>
      <c r="S506" s="617"/>
      <c r="T506" s="617"/>
      <c r="U506" s="617"/>
      <c r="V506" s="617"/>
      <c r="W506" s="617"/>
      <c r="X506" s="617"/>
      <c r="Y506" s="617"/>
      <c r="Z506" s="617"/>
      <c r="AA506" s="617"/>
      <c r="AB506" s="617"/>
      <c r="AC506" s="617"/>
      <c r="AD506" s="617"/>
      <c r="AE506" s="617"/>
      <c r="AF506" s="617"/>
      <c r="AG506" s="617"/>
      <c r="AH506" s="617"/>
    </row>
    <row r="507" spans="1:34" ht="15" hidden="1">
      <c r="A507" s="617"/>
      <c r="B507" s="617"/>
      <c r="C507" s="617"/>
      <c r="D507" s="617"/>
      <c r="E507" s="617"/>
      <c r="F507" s="617"/>
      <c r="G507" s="617"/>
      <c r="H507" s="617"/>
      <c r="I507" s="617"/>
      <c r="J507" s="617"/>
      <c r="K507" s="617"/>
      <c r="L507" s="617"/>
      <c r="M507" s="617"/>
      <c r="N507" s="617"/>
      <c r="O507" s="617"/>
      <c r="P507" s="617"/>
      <c r="Q507" s="617"/>
      <c r="R507" s="617"/>
      <c r="S507" s="617"/>
      <c r="T507" s="617"/>
      <c r="U507" s="617"/>
      <c r="V507" s="617"/>
      <c r="W507" s="617"/>
      <c r="X507" s="617"/>
      <c r="Y507" s="617"/>
      <c r="Z507" s="617"/>
      <c r="AA507" s="617"/>
      <c r="AB507" s="617"/>
      <c r="AC507" s="617"/>
      <c r="AD507" s="617"/>
      <c r="AE507" s="617"/>
      <c r="AF507" s="617"/>
      <c r="AG507" s="617"/>
      <c r="AH507" s="617"/>
    </row>
    <row r="508" spans="1:34" ht="15" hidden="1">
      <c r="A508" s="617"/>
      <c r="B508" s="617"/>
      <c r="C508" s="617"/>
      <c r="D508" s="617"/>
      <c r="E508" s="617"/>
      <c r="F508" s="617"/>
      <c r="G508" s="617"/>
      <c r="H508" s="617"/>
      <c r="I508" s="617"/>
      <c r="J508" s="617"/>
      <c r="K508" s="617"/>
      <c r="L508" s="617"/>
      <c r="M508" s="617"/>
      <c r="N508" s="617"/>
      <c r="O508" s="617"/>
      <c r="P508" s="617"/>
      <c r="Q508" s="617"/>
      <c r="R508" s="617"/>
      <c r="S508" s="617"/>
      <c r="T508" s="617"/>
      <c r="U508" s="617"/>
      <c r="V508" s="617"/>
      <c r="W508" s="617"/>
      <c r="X508" s="617"/>
      <c r="Y508" s="617"/>
      <c r="Z508" s="617"/>
      <c r="AA508" s="617"/>
      <c r="AB508" s="617"/>
      <c r="AC508" s="617"/>
      <c r="AD508" s="617"/>
      <c r="AE508" s="617"/>
      <c r="AF508" s="617"/>
      <c r="AG508" s="617"/>
      <c r="AH508" s="617"/>
    </row>
    <row r="509" spans="1:34" ht="15" hidden="1">
      <c r="A509" s="617"/>
      <c r="B509" s="617"/>
      <c r="C509" s="617"/>
      <c r="D509" s="617"/>
      <c r="E509" s="617"/>
      <c r="F509" s="617"/>
      <c r="G509" s="617"/>
      <c r="H509" s="617"/>
      <c r="I509" s="617"/>
      <c r="J509" s="617"/>
      <c r="K509" s="617"/>
      <c r="L509" s="617"/>
      <c r="M509" s="617"/>
      <c r="N509" s="617"/>
      <c r="O509" s="617"/>
      <c r="P509" s="617"/>
      <c r="Q509" s="617"/>
      <c r="R509" s="617"/>
      <c r="S509" s="617"/>
      <c r="T509" s="617"/>
      <c r="U509" s="617"/>
      <c r="V509" s="617"/>
      <c r="W509" s="617"/>
      <c r="X509" s="617"/>
      <c r="Y509" s="617"/>
      <c r="Z509" s="617"/>
      <c r="AA509" s="617"/>
      <c r="AB509" s="617"/>
      <c r="AC509" s="617"/>
      <c r="AD509" s="617"/>
      <c r="AE509" s="617"/>
      <c r="AF509" s="617"/>
      <c r="AG509" s="617"/>
      <c r="AH509" s="617"/>
    </row>
    <row r="510" spans="1:34" ht="15" hidden="1">
      <c r="A510" s="617"/>
      <c r="B510" s="617"/>
      <c r="C510" s="617"/>
      <c r="D510" s="617"/>
      <c r="E510" s="617"/>
      <c r="F510" s="617"/>
      <c r="G510" s="617"/>
      <c r="H510" s="617"/>
      <c r="I510" s="617"/>
      <c r="J510" s="617"/>
      <c r="K510" s="617"/>
      <c r="L510" s="617"/>
      <c r="M510" s="617"/>
      <c r="N510" s="617"/>
      <c r="O510" s="617"/>
      <c r="P510" s="617"/>
      <c r="Q510" s="617"/>
      <c r="R510" s="617"/>
      <c r="S510" s="617"/>
      <c r="T510" s="617"/>
      <c r="U510" s="617"/>
      <c r="V510" s="617"/>
      <c r="W510" s="617"/>
      <c r="X510" s="617"/>
      <c r="Y510" s="617"/>
      <c r="Z510" s="617"/>
      <c r="AA510" s="617"/>
      <c r="AB510" s="617"/>
      <c r="AC510" s="617"/>
      <c r="AD510" s="617"/>
      <c r="AE510" s="617"/>
      <c r="AF510" s="617"/>
      <c r="AG510" s="617"/>
      <c r="AH510" s="617"/>
    </row>
    <row r="511" spans="1:34" ht="15" hidden="1">
      <c r="A511" s="617"/>
      <c r="B511" s="617"/>
      <c r="C511" s="617"/>
      <c r="D511" s="617"/>
      <c r="E511" s="617"/>
      <c r="F511" s="617"/>
      <c r="G511" s="617"/>
      <c r="H511" s="617"/>
      <c r="I511" s="617"/>
      <c r="J511" s="617"/>
      <c r="K511" s="617"/>
      <c r="L511" s="617"/>
      <c r="M511" s="617"/>
      <c r="N511" s="617"/>
      <c r="O511" s="617"/>
      <c r="P511" s="617"/>
      <c r="Q511" s="617"/>
      <c r="R511" s="617"/>
      <c r="S511" s="617"/>
      <c r="T511" s="617"/>
      <c r="U511" s="617"/>
      <c r="V511" s="617"/>
      <c r="W511" s="617"/>
      <c r="X511" s="617"/>
      <c r="Y511" s="617"/>
      <c r="Z511" s="617"/>
      <c r="AA511" s="617"/>
      <c r="AB511" s="617"/>
      <c r="AC511" s="617"/>
      <c r="AD511" s="617"/>
      <c r="AE511" s="617"/>
      <c r="AF511" s="617"/>
      <c r="AG511" s="617"/>
      <c r="AH511" s="617"/>
    </row>
    <row r="512" spans="1:34" ht="15" hidden="1">
      <c r="A512" s="617"/>
      <c r="B512" s="617"/>
      <c r="C512" s="617"/>
      <c r="D512" s="617"/>
      <c r="E512" s="617"/>
      <c r="F512" s="617"/>
      <c r="G512" s="617"/>
      <c r="H512" s="617"/>
      <c r="I512" s="617"/>
      <c r="J512" s="617"/>
      <c r="K512" s="617"/>
      <c r="L512" s="617"/>
      <c r="M512" s="617"/>
      <c r="N512" s="617"/>
      <c r="O512" s="617"/>
      <c r="P512" s="617"/>
      <c r="Q512" s="617"/>
      <c r="R512" s="617"/>
      <c r="S512" s="617"/>
      <c r="T512" s="617"/>
      <c r="U512" s="617"/>
      <c r="V512" s="617"/>
      <c r="W512" s="617"/>
      <c r="X512" s="617"/>
      <c r="Y512" s="617"/>
      <c r="Z512" s="617"/>
      <c r="AA512" s="617"/>
      <c r="AB512" s="617"/>
      <c r="AC512" s="617"/>
      <c r="AD512" s="617"/>
      <c r="AE512" s="617"/>
      <c r="AF512" s="617"/>
      <c r="AG512" s="617"/>
      <c r="AH512" s="617"/>
    </row>
    <row r="513" spans="1:34" ht="15" hidden="1">
      <c r="A513" s="617"/>
      <c r="B513" s="617"/>
      <c r="C513" s="617"/>
      <c r="D513" s="617"/>
      <c r="E513" s="617"/>
      <c r="F513" s="617"/>
      <c r="G513" s="617"/>
      <c r="H513" s="617"/>
      <c r="I513" s="617"/>
      <c r="J513" s="617"/>
      <c r="K513" s="617"/>
      <c r="L513" s="617"/>
      <c r="M513" s="617"/>
      <c r="N513" s="617"/>
      <c r="O513" s="617"/>
      <c r="P513" s="617"/>
      <c r="Q513" s="617"/>
      <c r="R513" s="617"/>
      <c r="S513" s="617"/>
      <c r="T513" s="617"/>
      <c r="U513" s="617"/>
      <c r="V513" s="617"/>
      <c r="W513" s="617"/>
      <c r="X513" s="617"/>
      <c r="Y513" s="617"/>
      <c r="Z513" s="617"/>
      <c r="AA513" s="617"/>
      <c r="AB513" s="617"/>
      <c r="AC513" s="617"/>
      <c r="AD513" s="617"/>
      <c r="AE513" s="617"/>
      <c r="AF513" s="617"/>
      <c r="AG513" s="617"/>
      <c r="AH513" s="617"/>
    </row>
    <row r="514" spans="1:34" ht="15" hidden="1">
      <c r="A514" s="617"/>
      <c r="B514" s="617"/>
      <c r="C514" s="617"/>
      <c r="D514" s="617"/>
      <c r="E514" s="617"/>
      <c r="F514" s="617"/>
      <c r="G514" s="617"/>
      <c r="H514" s="617"/>
      <c r="I514" s="617"/>
      <c r="J514" s="617"/>
      <c r="K514" s="617"/>
      <c r="L514" s="617"/>
      <c r="M514" s="617"/>
      <c r="N514" s="617"/>
      <c r="O514" s="617"/>
      <c r="P514" s="617"/>
      <c r="Q514" s="617"/>
      <c r="R514" s="617"/>
      <c r="S514" s="617"/>
      <c r="T514" s="617"/>
      <c r="U514" s="617"/>
      <c r="V514" s="617"/>
      <c r="W514" s="617"/>
      <c r="X514" s="617"/>
      <c r="Y514" s="617"/>
      <c r="Z514" s="617"/>
      <c r="AA514" s="617"/>
      <c r="AB514" s="617"/>
      <c r="AC514" s="617"/>
      <c r="AD514" s="617"/>
      <c r="AE514" s="617"/>
      <c r="AF514" s="617"/>
      <c r="AG514" s="617"/>
      <c r="AH514" s="617"/>
    </row>
    <row r="515" spans="1:34" ht="15" hidden="1">
      <c r="A515" s="617"/>
      <c r="B515" s="617"/>
      <c r="C515" s="617"/>
      <c r="D515" s="617"/>
      <c r="E515" s="617"/>
      <c r="F515" s="617"/>
      <c r="G515" s="617"/>
      <c r="H515" s="617"/>
      <c r="I515" s="617"/>
      <c r="J515" s="617"/>
      <c r="K515" s="617"/>
      <c r="L515" s="617"/>
      <c r="M515" s="617"/>
      <c r="N515" s="617"/>
      <c r="O515" s="617"/>
      <c r="P515" s="617"/>
      <c r="Q515" s="617"/>
      <c r="R515" s="617"/>
      <c r="S515" s="617"/>
      <c r="T515" s="617"/>
      <c r="U515" s="617"/>
      <c r="V515" s="617"/>
      <c r="W515" s="617"/>
      <c r="X515" s="617"/>
      <c r="Y515" s="617"/>
      <c r="Z515" s="617"/>
      <c r="AA515" s="617"/>
      <c r="AB515" s="617"/>
      <c r="AC515" s="617"/>
      <c r="AD515" s="617"/>
      <c r="AE515" s="617"/>
      <c r="AF515" s="617"/>
      <c r="AG515" s="617"/>
      <c r="AH515" s="617"/>
    </row>
    <row r="516" spans="1:34" ht="15" hidden="1">
      <c r="A516" s="617"/>
      <c r="B516" s="617"/>
      <c r="C516" s="617"/>
      <c r="D516" s="617"/>
      <c r="E516" s="617"/>
      <c r="F516" s="617"/>
      <c r="G516" s="617"/>
      <c r="H516" s="617"/>
      <c r="I516" s="617"/>
      <c r="J516" s="617"/>
      <c r="K516" s="617"/>
      <c r="L516" s="617"/>
      <c r="M516" s="617"/>
      <c r="N516" s="617"/>
      <c r="O516" s="617"/>
      <c r="P516" s="617"/>
      <c r="Q516" s="617"/>
      <c r="R516" s="617"/>
      <c r="S516" s="617"/>
      <c r="T516" s="617"/>
      <c r="U516" s="617"/>
      <c r="V516" s="617"/>
      <c r="W516" s="617"/>
      <c r="X516" s="617"/>
      <c r="Y516" s="617"/>
      <c r="Z516" s="617"/>
      <c r="AA516" s="617"/>
      <c r="AB516" s="617"/>
      <c r="AC516" s="617"/>
      <c r="AD516" s="617"/>
      <c r="AE516" s="617"/>
      <c r="AF516" s="617"/>
      <c r="AG516" s="617"/>
      <c r="AH516" s="617"/>
    </row>
    <row r="517" spans="1:34" ht="15" hidden="1">
      <c r="A517" s="617"/>
      <c r="B517" s="617"/>
      <c r="C517" s="617"/>
      <c r="D517" s="617"/>
      <c r="E517" s="617"/>
      <c r="F517" s="617"/>
      <c r="G517" s="617"/>
      <c r="H517" s="617"/>
      <c r="I517" s="617"/>
      <c r="J517" s="617"/>
      <c r="K517" s="617"/>
      <c r="L517" s="617"/>
      <c r="M517" s="617"/>
      <c r="N517" s="617"/>
      <c r="O517" s="617"/>
      <c r="P517" s="617"/>
      <c r="Q517" s="617"/>
      <c r="R517" s="617"/>
      <c r="S517" s="617"/>
      <c r="T517" s="617"/>
      <c r="U517" s="617"/>
      <c r="V517" s="617"/>
      <c r="W517" s="617"/>
      <c r="X517" s="617"/>
      <c r="Y517" s="617"/>
      <c r="Z517" s="617"/>
      <c r="AA517" s="617"/>
      <c r="AB517" s="617"/>
      <c r="AC517" s="617"/>
      <c r="AD517" s="617"/>
      <c r="AE517" s="617"/>
      <c r="AF517" s="617"/>
      <c r="AG517" s="617"/>
      <c r="AH517" s="617"/>
    </row>
    <row r="518" spans="1:34" ht="15" hidden="1">
      <c r="A518" s="617"/>
      <c r="B518" s="617"/>
      <c r="C518" s="617"/>
      <c r="D518" s="617"/>
      <c r="E518" s="617"/>
      <c r="F518" s="617"/>
      <c r="G518" s="617"/>
      <c r="H518" s="617"/>
      <c r="I518" s="617"/>
      <c r="J518" s="617"/>
      <c r="K518" s="617"/>
      <c r="L518" s="617"/>
      <c r="M518" s="617"/>
      <c r="N518" s="617"/>
      <c r="O518" s="617"/>
      <c r="P518" s="617"/>
      <c r="Q518" s="617"/>
      <c r="R518" s="617"/>
      <c r="S518" s="617"/>
      <c r="T518" s="617"/>
      <c r="U518" s="617"/>
      <c r="V518" s="617"/>
      <c r="W518" s="617"/>
      <c r="X518" s="617"/>
      <c r="Y518" s="617"/>
      <c r="Z518" s="617"/>
      <c r="AA518" s="617"/>
      <c r="AB518" s="617"/>
      <c r="AC518" s="617"/>
      <c r="AD518" s="617"/>
      <c r="AE518" s="617"/>
      <c r="AF518" s="617"/>
      <c r="AG518" s="617"/>
      <c r="AH518" s="617"/>
    </row>
    <row r="519" spans="1:34" ht="15" hidden="1">
      <c r="A519" s="617"/>
      <c r="B519" s="617"/>
      <c r="C519" s="617"/>
      <c r="D519" s="617"/>
      <c r="E519" s="617"/>
      <c r="F519" s="617"/>
      <c r="G519" s="617"/>
      <c r="H519" s="617"/>
      <c r="I519" s="617"/>
      <c r="J519" s="617"/>
      <c r="K519" s="617"/>
      <c r="L519" s="617"/>
      <c r="M519" s="617"/>
      <c r="N519" s="617"/>
      <c r="O519" s="617"/>
      <c r="P519" s="617"/>
      <c r="Q519" s="617"/>
      <c r="R519" s="617"/>
      <c r="S519" s="617"/>
      <c r="T519" s="617"/>
      <c r="U519" s="617"/>
      <c r="V519" s="617"/>
      <c r="W519" s="617"/>
      <c r="X519" s="617"/>
      <c r="Y519" s="617"/>
      <c r="Z519" s="617"/>
      <c r="AA519" s="617"/>
      <c r="AB519" s="617"/>
      <c r="AC519" s="617"/>
      <c r="AD519" s="617"/>
      <c r="AE519" s="617"/>
      <c r="AF519" s="617"/>
      <c r="AG519" s="617"/>
      <c r="AH519" s="617"/>
    </row>
    <row r="520" spans="1:34" ht="15" hidden="1">
      <c r="A520" s="617"/>
      <c r="B520" s="617"/>
      <c r="C520" s="617"/>
      <c r="D520" s="617"/>
      <c r="E520" s="617"/>
      <c r="F520" s="617"/>
      <c r="G520" s="617"/>
      <c r="H520" s="617"/>
      <c r="I520" s="617"/>
      <c r="J520" s="617"/>
      <c r="K520" s="617"/>
      <c r="L520" s="617"/>
      <c r="M520" s="617"/>
      <c r="N520" s="617"/>
      <c r="O520" s="617"/>
      <c r="P520" s="617"/>
      <c r="Q520" s="617"/>
      <c r="R520" s="617"/>
      <c r="S520" s="617"/>
      <c r="T520" s="617"/>
      <c r="U520" s="617"/>
      <c r="V520" s="617"/>
      <c r="W520" s="617"/>
      <c r="X520" s="617"/>
      <c r="Y520" s="617"/>
      <c r="Z520" s="617"/>
      <c r="AA520" s="617"/>
      <c r="AB520" s="617"/>
      <c r="AC520" s="617"/>
      <c r="AD520" s="617"/>
      <c r="AE520" s="617"/>
      <c r="AF520" s="617"/>
      <c r="AG520" s="617"/>
      <c r="AH520" s="617"/>
    </row>
    <row r="521" spans="1:34" ht="15" hidden="1">
      <c r="A521" s="617"/>
      <c r="B521" s="617"/>
      <c r="C521" s="617"/>
      <c r="D521" s="617"/>
      <c r="E521" s="617"/>
      <c r="F521" s="617"/>
      <c r="G521" s="617"/>
      <c r="H521" s="617"/>
      <c r="I521" s="617"/>
      <c r="J521" s="617"/>
      <c r="K521" s="617"/>
      <c r="L521" s="617"/>
      <c r="M521" s="617"/>
      <c r="N521" s="617"/>
      <c r="O521" s="617"/>
      <c r="P521" s="617"/>
      <c r="Q521" s="617"/>
      <c r="R521" s="617"/>
      <c r="S521" s="617"/>
      <c r="T521" s="617"/>
      <c r="U521" s="617"/>
      <c r="V521" s="617"/>
      <c r="W521" s="617"/>
      <c r="X521" s="617"/>
      <c r="Y521" s="617"/>
      <c r="Z521" s="617"/>
      <c r="AA521" s="617"/>
      <c r="AB521" s="617"/>
      <c r="AC521" s="617"/>
      <c r="AD521" s="617"/>
      <c r="AE521" s="617"/>
      <c r="AF521" s="617"/>
      <c r="AG521" s="617"/>
      <c r="AH521" s="617"/>
    </row>
    <row r="522" spans="1:34" ht="15" hidden="1">
      <c r="A522" s="617"/>
      <c r="B522" s="617"/>
      <c r="C522" s="617"/>
      <c r="D522" s="617"/>
      <c r="E522" s="617"/>
      <c r="F522" s="617"/>
      <c r="G522" s="617"/>
      <c r="H522" s="617"/>
      <c r="I522" s="617"/>
      <c r="J522" s="617"/>
      <c r="K522" s="617"/>
      <c r="L522" s="617"/>
      <c r="M522" s="617"/>
      <c r="N522" s="617"/>
      <c r="O522" s="617"/>
      <c r="P522" s="617"/>
      <c r="Q522" s="617"/>
      <c r="R522" s="617"/>
      <c r="S522" s="617"/>
      <c r="T522" s="617"/>
      <c r="U522" s="617"/>
      <c r="V522" s="617"/>
      <c r="W522" s="617"/>
      <c r="X522" s="617"/>
      <c r="Y522" s="617"/>
      <c r="Z522" s="617"/>
      <c r="AA522" s="617"/>
      <c r="AB522" s="617"/>
      <c r="AC522" s="617"/>
      <c r="AD522" s="617"/>
      <c r="AE522" s="617"/>
      <c r="AF522" s="617"/>
      <c r="AG522" s="617"/>
      <c r="AH522" s="617"/>
    </row>
    <row r="523" spans="1:34" ht="15" hidden="1">
      <c r="A523" s="617"/>
      <c r="B523" s="617"/>
      <c r="C523" s="617"/>
      <c r="D523" s="617"/>
      <c r="E523" s="617"/>
      <c r="F523" s="617"/>
      <c r="G523" s="617"/>
      <c r="H523" s="617"/>
      <c r="I523" s="617"/>
      <c r="J523" s="617"/>
      <c r="K523" s="617"/>
      <c r="L523" s="617"/>
      <c r="M523" s="617"/>
      <c r="N523" s="617"/>
      <c r="O523" s="617"/>
      <c r="P523" s="617"/>
      <c r="Q523" s="617"/>
      <c r="R523" s="617"/>
      <c r="S523" s="617"/>
      <c r="T523" s="617"/>
      <c r="U523" s="617"/>
      <c r="V523" s="617"/>
      <c r="W523" s="617"/>
      <c r="X523" s="617"/>
      <c r="Y523" s="617"/>
      <c r="Z523" s="617"/>
      <c r="AA523" s="617"/>
      <c r="AB523" s="617"/>
      <c r="AC523" s="617"/>
      <c r="AD523" s="617"/>
      <c r="AE523" s="617"/>
      <c r="AF523" s="617"/>
      <c r="AG523" s="617"/>
      <c r="AH523" s="617"/>
    </row>
    <row r="524" spans="1:34" ht="15" hidden="1">
      <c r="A524" s="617"/>
      <c r="B524" s="617"/>
      <c r="C524" s="617"/>
      <c r="D524" s="617"/>
      <c r="E524" s="617"/>
      <c r="F524" s="617"/>
      <c r="G524" s="617"/>
      <c r="H524" s="617"/>
      <c r="I524" s="617"/>
      <c r="J524" s="617"/>
      <c r="K524" s="617"/>
      <c r="L524" s="617"/>
      <c r="M524" s="617"/>
      <c r="N524" s="617"/>
      <c r="O524" s="617"/>
      <c r="P524" s="617"/>
      <c r="Q524" s="617"/>
      <c r="R524" s="617"/>
      <c r="S524" s="617"/>
      <c r="T524" s="617"/>
      <c r="U524" s="617"/>
      <c r="V524" s="617"/>
      <c r="W524" s="617"/>
      <c r="X524" s="617"/>
      <c r="Y524" s="617"/>
      <c r="Z524" s="617"/>
      <c r="AA524" s="617"/>
      <c r="AB524" s="617"/>
      <c r="AC524" s="617"/>
      <c r="AD524" s="617"/>
      <c r="AE524" s="617"/>
      <c r="AF524" s="617"/>
      <c r="AG524" s="617"/>
      <c r="AH524" s="617"/>
    </row>
    <row r="525" spans="1:34" ht="15" hidden="1">
      <c r="A525" s="617"/>
      <c r="B525" s="617"/>
      <c r="C525" s="617"/>
      <c r="D525" s="617"/>
      <c r="E525" s="617"/>
      <c r="F525" s="617"/>
      <c r="G525" s="617"/>
      <c r="H525" s="617"/>
      <c r="I525" s="617"/>
      <c r="J525" s="617"/>
      <c r="K525" s="617"/>
      <c r="L525" s="617"/>
      <c r="M525" s="617"/>
      <c r="N525" s="617"/>
      <c r="O525" s="617"/>
      <c r="P525" s="617"/>
      <c r="Q525" s="617"/>
      <c r="R525" s="617"/>
      <c r="S525" s="617"/>
      <c r="T525" s="617"/>
      <c r="U525" s="617"/>
      <c r="V525" s="617"/>
      <c r="W525" s="617"/>
      <c r="X525" s="617"/>
      <c r="Y525" s="617"/>
      <c r="Z525" s="617"/>
      <c r="AA525" s="617"/>
      <c r="AB525" s="617"/>
      <c r="AC525" s="617"/>
      <c r="AD525" s="617"/>
      <c r="AE525" s="617"/>
      <c r="AF525" s="617"/>
      <c r="AG525" s="617"/>
      <c r="AH525" s="617"/>
    </row>
    <row r="526" spans="1:34" ht="15" hidden="1">
      <c r="A526" s="617"/>
      <c r="B526" s="617"/>
      <c r="C526" s="617"/>
      <c r="D526" s="617"/>
      <c r="E526" s="617"/>
      <c r="F526" s="617"/>
      <c r="G526" s="617"/>
      <c r="H526" s="617"/>
      <c r="I526" s="617"/>
      <c r="J526" s="617"/>
      <c r="K526" s="617"/>
      <c r="L526" s="617"/>
      <c r="M526" s="617"/>
      <c r="N526" s="617"/>
      <c r="O526" s="617"/>
      <c r="P526" s="617"/>
      <c r="Q526" s="617"/>
      <c r="R526" s="617"/>
      <c r="S526" s="617"/>
      <c r="T526" s="617"/>
      <c r="U526" s="617"/>
      <c r="V526" s="617"/>
      <c r="W526" s="617"/>
      <c r="X526" s="617"/>
      <c r="Y526" s="617"/>
      <c r="Z526" s="617"/>
      <c r="AA526" s="617"/>
      <c r="AB526" s="617"/>
      <c r="AC526" s="617"/>
      <c r="AD526" s="617"/>
      <c r="AE526" s="617"/>
      <c r="AF526" s="617"/>
      <c r="AG526" s="617"/>
      <c r="AH526" s="617"/>
    </row>
    <row r="527" spans="1:34" ht="15" hidden="1">
      <c r="A527" s="617"/>
      <c r="B527" s="617"/>
      <c r="C527" s="617"/>
      <c r="D527" s="617"/>
      <c r="E527" s="617"/>
      <c r="F527" s="617"/>
      <c r="G527" s="617"/>
      <c r="H527" s="617"/>
      <c r="I527" s="617"/>
      <c r="J527" s="617"/>
      <c r="K527" s="617"/>
      <c r="L527" s="617"/>
      <c r="M527" s="617"/>
      <c r="N527" s="617"/>
      <c r="O527" s="617"/>
      <c r="P527" s="617"/>
      <c r="Q527" s="617"/>
      <c r="R527" s="617"/>
      <c r="S527" s="617"/>
      <c r="T527" s="617"/>
      <c r="U527" s="617"/>
      <c r="V527" s="617"/>
      <c r="W527" s="617"/>
      <c r="X527" s="617"/>
      <c r="Y527" s="617"/>
      <c r="Z527" s="617"/>
      <c r="AA527" s="617"/>
      <c r="AB527" s="617"/>
      <c r="AC527" s="617"/>
      <c r="AD527" s="617"/>
      <c r="AE527" s="617"/>
      <c r="AF527" s="617"/>
      <c r="AG527" s="617"/>
      <c r="AH527" s="617"/>
    </row>
    <row r="528" spans="1:34" ht="15" hidden="1">
      <c r="A528" s="617"/>
      <c r="B528" s="617"/>
      <c r="C528" s="617"/>
      <c r="D528" s="617"/>
      <c r="E528" s="617"/>
      <c r="F528" s="617"/>
      <c r="G528" s="617"/>
      <c r="H528" s="617"/>
      <c r="I528" s="617"/>
      <c r="J528" s="617"/>
      <c r="K528" s="617"/>
      <c r="L528" s="617"/>
      <c r="M528" s="617"/>
      <c r="N528" s="617"/>
      <c r="O528" s="617"/>
      <c r="P528" s="617"/>
      <c r="Q528" s="617"/>
      <c r="R528" s="617"/>
      <c r="S528" s="617"/>
      <c r="T528" s="617"/>
      <c r="U528" s="617"/>
      <c r="V528" s="617"/>
      <c r="W528" s="617"/>
      <c r="X528" s="617"/>
      <c r="Y528" s="617"/>
      <c r="Z528" s="617"/>
      <c r="AA528" s="617"/>
      <c r="AB528" s="617"/>
      <c r="AC528" s="617"/>
      <c r="AD528" s="617"/>
      <c r="AE528" s="617"/>
      <c r="AF528" s="617"/>
      <c r="AG528" s="617"/>
      <c r="AH528" s="617"/>
    </row>
    <row r="529" spans="1:34" ht="15" hidden="1">
      <c r="A529" s="617"/>
      <c r="B529" s="617"/>
      <c r="C529" s="617"/>
      <c r="D529" s="617"/>
      <c r="E529" s="617"/>
      <c r="F529" s="617"/>
      <c r="G529" s="617"/>
      <c r="H529" s="617"/>
      <c r="I529" s="617"/>
      <c r="J529" s="617"/>
      <c r="K529" s="617"/>
      <c r="L529" s="617"/>
      <c r="M529" s="617"/>
      <c r="N529" s="617"/>
      <c r="O529" s="617"/>
      <c r="P529" s="617"/>
      <c r="Q529" s="617"/>
      <c r="R529" s="617"/>
      <c r="S529" s="617"/>
      <c r="T529" s="617"/>
      <c r="U529" s="617"/>
      <c r="V529" s="617"/>
      <c r="W529" s="617"/>
      <c r="X529" s="617"/>
      <c r="Y529" s="617"/>
      <c r="Z529" s="617"/>
      <c r="AA529" s="617"/>
      <c r="AB529" s="617"/>
      <c r="AC529" s="617"/>
      <c r="AD529" s="617"/>
      <c r="AE529" s="617"/>
      <c r="AF529" s="617"/>
      <c r="AG529" s="617"/>
      <c r="AH529" s="617"/>
    </row>
    <row r="530" spans="1:34" ht="15" hidden="1">
      <c r="A530" s="617"/>
      <c r="B530" s="617"/>
      <c r="C530" s="617"/>
      <c r="D530" s="617"/>
      <c r="E530" s="617"/>
      <c r="F530" s="617"/>
      <c r="G530" s="617"/>
      <c r="H530" s="617"/>
      <c r="I530" s="617"/>
      <c r="J530" s="617"/>
      <c r="K530" s="617"/>
      <c r="L530" s="617"/>
      <c r="M530" s="617"/>
      <c r="N530" s="617"/>
      <c r="O530" s="617"/>
      <c r="P530" s="617"/>
      <c r="Q530" s="617"/>
      <c r="R530" s="617"/>
      <c r="S530" s="617"/>
      <c r="T530" s="617"/>
      <c r="U530" s="617"/>
      <c r="V530" s="617"/>
      <c r="W530" s="617"/>
      <c r="X530" s="617"/>
      <c r="Y530" s="617"/>
      <c r="Z530" s="617"/>
      <c r="AA530" s="617"/>
      <c r="AB530" s="617"/>
      <c r="AC530" s="617"/>
      <c r="AD530" s="617"/>
      <c r="AE530" s="617"/>
      <c r="AF530" s="617"/>
      <c r="AG530" s="617"/>
      <c r="AH530" s="617"/>
    </row>
    <row r="531" spans="1:34" ht="15" hidden="1">
      <c r="A531" s="617"/>
      <c r="B531" s="617"/>
      <c r="C531" s="617"/>
      <c r="D531" s="617"/>
      <c r="E531" s="617"/>
      <c r="F531" s="617"/>
      <c r="G531" s="617"/>
      <c r="H531" s="617"/>
      <c r="I531" s="617"/>
      <c r="J531" s="617"/>
      <c r="K531" s="617"/>
      <c r="L531" s="617"/>
      <c r="M531" s="617"/>
      <c r="N531" s="617"/>
      <c r="O531" s="617"/>
      <c r="P531" s="617"/>
      <c r="Q531" s="617"/>
      <c r="R531" s="617"/>
      <c r="S531" s="617"/>
      <c r="T531" s="617"/>
      <c r="U531" s="617"/>
      <c r="V531" s="617"/>
      <c r="W531" s="617"/>
      <c r="X531" s="617"/>
      <c r="Y531" s="617"/>
      <c r="Z531" s="617"/>
      <c r="AA531" s="617"/>
      <c r="AB531" s="617"/>
      <c r="AC531" s="617"/>
      <c r="AD531" s="617"/>
      <c r="AE531" s="617"/>
      <c r="AF531" s="617"/>
      <c r="AG531" s="617"/>
      <c r="AH531" s="617"/>
    </row>
    <row r="532" spans="1:34" ht="15" hidden="1">
      <c r="A532" s="617"/>
      <c r="B532" s="617"/>
      <c r="C532" s="617"/>
      <c r="D532" s="617"/>
      <c r="E532" s="617"/>
      <c r="F532" s="617"/>
      <c r="G532" s="617"/>
      <c r="H532" s="617"/>
      <c r="I532" s="617"/>
      <c r="J532" s="617"/>
      <c r="K532" s="617"/>
      <c r="L532" s="617"/>
      <c r="M532" s="617"/>
      <c r="N532" s="617"/>
      <c r="O532" s="617"/>
      <c r="P532" s="617"/>
      <c r="Q532" s="617"/>
      <c r="R532" s="617"/>
      <c r="S532" s="617"/>
      <c r="T532" s="617"/>
      <c r="U532" s="617"/>
      <c r="V532" s="617"/>
      <c r="W532" s="617"/>
      <c r="X532" s="617"/>
      <c r="Y532" s="617"/>
      <c r="Z532" s="617"/>
      <c r="AA532" s="617"/>
      <c r="AB532" s="617"/>
      <c r="AC532" s="617"/>
      <c r="AD532" s="617"/>
      <c r="AE532" s="617"/>
      <c r="AF532" s="617"/>
      <c r="AG532" s="617"/>
      <c r="AH532" s="617"/>
    </row>
    <row r="533" spans="1:34" ht="15" hidden="1">
      <c r="A533" s="617"/>
      <c r="B533" s="617"/>
      <c r="C533" s="617"/>
      <c r="D533" s="617"/>
      <c r="E533" s="617"/>
      <c r="F533" s="617"/>
      <c r="G533" s="617"/>
      <c r="H533" s="617"/>
      <c r="I533" s="617"/>
      <c r="J533" s="617"/>
      <c r="K533" s="617"/>
      <c r="L533" s="617"/>
      <c r="M533" s="617"/>
      <c r="N533" s="617"/>
      <c r="O533" s="617"/>
      <c r="P533" s="617"/>
      <c r="Q533" s="617"/>
      <c r="R533" s="617"/>
      <c r="S533" s="617"/>
      <c r="T533" s="617"/>
      <c r="U533" s="617"/>
      <c r="V533" s="617"/>
      <c r="W533" s="617"/>
      <c r="X533" s="617"/>
      <c r="Y533" s="617"/>
      <c r="Z533" s="617"/>
      <c r="AA533" s="617"/>
      <c r="AB533" s="617"/>
      <c r="AC533" s="617"/>
      <c r="AD533" s="617"/>
      <c r="AE533" s="617"/>
      <c r="AF533" s="617"/>
      <c r="AG533" s="617"/>
      <c r="AH533" s="617"/>
    </row>
    <row r="534" spans="1:34" ht="15" hidden="1">
      <c r="A534" s="617"/>
      <c r="B534" s="617"/>
      <c r="C534" s="617"/>
      <c r="D534" s="617"/>
      <c r="E534" s="617"/>
      <c r="F534" s="617"/>
      <c r="G534" s="617"/>
      <c r="H534" s="617"/>
      <c r="I534" s="617"/>
      <c r="J534" s="617"/>
      <c r="K534" s="617"/>
      <c r="L534" s="617"/>
      <c r="M534" s="617"/>
      <c r="N534" s="617"/>
      <c r="O534" s="617"/>
      <c r="P534" s="617"/>
      <c r="Q534" s="617"/>
      <c r="R534" s="617"/>
      <c r="S534" s="617"/>
      <c r="T534" s="617"/>
      <c r="U534" s="617"/>
      <c r="V534" s="617"/>
      <c r="W534" s="617"/>
      <c r="X534" s="617"/>
      <c r="Y534" s="617"/>
      <c r="Z534" s="617"/>
      <c r="AA534" s="617"/>
      <c r="AB534" s="617"/>
      <c r="AC534" s="617"/>
      <c r="AD534" s="617"/>
      <c r="AE534" s="617"/>
      <c r="AF534" s="617"/>
      <c r="AG534" s="617"/>
      <c r="AH534" s="617"/>
    </row>
    <row r="535" spans="1:34" ht="15" hidden="1">
      <c r="A535" s="617"/>
      <c r="B535" s="617"/>
      <c r="C535" s="617"/>
      <c r="D535" s="617"/>
      <c r="E535" s="617"/>
      <c r="F535" s="617"/>
      <c r="G535" s="617"/>
      <c r="H535" s="617"/>
      <c r="I535" s="617"/>
      <c r="J535" s="617"/>
      <c r="K535" s="617"/>
      <c r="L535" s="617"/>
      <c r="M535" s="617"/>
      <c r="N535" s="617"/>
      <c r="O535" s="617"/>
      <c r="P535" s="617"/>
      <c r="Q535" s="617"/>
      <c r="R535" s="617"/>
      <c r="S535" s="617"/>
      <c r="T535" s="617"/>
      <c r="U535" s="617"/>
      <c r="V535" s="617"/>
      <c r="W535" s="617"/>
      <c r="X535" s="617"/>
      <c r="Y535" s="617"/>
      <c r="Z535" s="617"/>
      <c r="AA535" s="617"/>
      <c r="AB535" s="617"/>
      <c r="AC535" s="617"/>
      <c r="AD535" s="617"/>
      <c r="AE535" s="617"/>
      <c r="AF535" s="617"/>
      <c r="AG535" s="617"/>
      <c r="AH535" s="617"/>
    </row>
    <row r="536" spans="1:34" ht="15" hidden="1">
      <c r="A536" s="617"/>
      <c r="B536" s="617"/>
      <c r="C536" s="617"/>
      <c r="D536" s="617"/>
      <c r="E536" s="617"/>
      <c r="F536" s="617"/>
      <c r="G536" s="617"/>
      <c r="H536" s="617"/>
      <c r="I536" s="617"/>
      <c r="J536" s="617"/>
      <c r="K536" s="617"/>
      <c r="L536" s="617"/>
      <c r="M536" s="617"/>
      <c r="N536" s="617"/>
      <c r="O536" s="617"/>
      <c r="P536" s="617"/>
      <c r="Q536" s="617"/>
      <c r="R536" s="617"/>
      <c r="S536" s="617"/>
      <c r="T536" s="617"/>
      <c r="U536" s="617"/>
      <c r="V536" s="617"/>
      <c r="W536" s="617"/>
      <c r="X536" s="617"/>
      <c r="Y536" s="617"/>
      <c r="Z536" s="617"/>
      <c r="AA536" s="617"/>
      <c r="AB536" s="617"/>
      <c r="AC536" s="617"/>
      <c r="AD536" s="617"/>
      <c r="AE536" s="617"/>
      <c r="AF536" s="617"/>
      <c r="AG536" s="617"/>
      <c r="AH536" s="617"/>
    </row>
    <row r="537" spans="1:34" ht="15" hidden="1">
      <c r="A537" s="617"/>
      <c r="B537" s="617"/>
      <c r="C537" s="617"/>
      <c r="D537" s="617"/>
      <c r="E537" s="617"/>
      <c r="F537" s="617"/>
      <c r="G537" s="617"/>
      <c r="H537" s="617"/>
      <c r="I537" s="617"/>
      <c r="J537" s="617"/>
      <c r="K537" s="617"/>
      <c r="L537" s="617"/>
      <c r="M537" s="617"/>
      <c r="N537" s="617"/>
      <c r="O537" s="617"/>
      <c r="P537" s="617"/>
      <c r="Q537" s="617"/>
      <c r="R537" s="617"/>
      <c r="S537" s="617"/>
      <c r="T537" s="617"/>
      <c r="U537" s="617"/>
      <c r="V537" s="617"/>
      <c r="W537" s="617"/>
      <c r="X537" s="617"/>
      <c r="Y537" s="617"/>
      <c r="Z537" s="617"/>
      <c r="AA537" s="617"/>
      <c r="AB537" s="617"/>
      <c r="AC537" s="617"/>
      <c r="AD537" s="617"/>
      <c r="AE537" s="617"/>
      <c r="AF537" s="617"/>
      <c r="AG537" s="617"/>
      <c r="AH537" s="617"/>
    </row>
    <row r="538" spans="1:34" ht="15" hidden="1">
      <c r="A538" s="617"/>
      <c r="B538" s="617"/>
      <c r="C538" s="617"/>
      <c r="D538" s="617"/>
      <c r="E538" s="617"/>
      <c r="F538" s="617"/>
      <c r="G538" s="617"/>
      <c r="H538" s="617"/>
      <c r="I538" s="617"/>
      <c r="J538" s="617"/>
      <c r="K538" s="617"/>
      <c r="L538" s="617"/>
      <c r="M538" s="617"/>
      <c r="N538" s="617"/>
      <c r="O538" s="617"/>
      <c r="P538" s="617"/>
      <c r="Q538" s="617"/>
      <c r="R538" s="617"/>
      <c r="S538" s="617"/>
      <c r="T538" s="617"/>
      <c r="U538" s="617"/>
      <c r="V538" s="617"/>
      <c r="W538" s="617"/>
      <c r="X538" s="617"/>
      <c r="Y538" s="617"/>
      <c r="Z538" s="617"/>
      <c r="AA538" s="617"/>
      <c r="AB538" s="617"/>
      <c r="AC538" s="617"/>
      <c r="AD538" s="617"/>
      <c r="AE538" s="617"/>
      <c r="AF538" s="617"/>
      <c r="AG538" s="617"/>
      <c r="AH538" s="617"/>
    </row>
    <row r="539" spans="1:34" ht="15" hidden="1">
      <c r="A539" s="617"/>
      <c r="B539" s="617"/>
      <c r="C539" s="617"/>
      <c r="D539" s="617"/>
      <c r="E539" s="617"/>
      <c r="F539" s="617"/>
      <c r="G539" s="617"/>
      <c r="H539" s="617"/>
      <c r="I539" s="617"/>
      <c r="J539" s="617"/>
      <c r="K539" s="617"/>
      <c r="L539" s="617"/>
      <c r="M539" s="617"/>
      <c r="N539" s="617"/>
      <c r="O539" s="617"/>
      <c r="P539" s="617"/>
      <c r="Q539" s="617"/>
      <c r="R539" s="617"/>
      <c r="S539" s="617"/>
      <c r="T539" s="617"/>
      <c r="U539" s="617"/>
      <c r="V539" s="617"/>
      <c r="W539" s="617"/>
      <c r="X539" s="617"/>
      <c r="Y539" s="617"/>
      <c r="Z539" s="617"/>
      <c r="AA539" s="617"/>
      <c r="AB539" s="617"/>
      <c r="AC539" s="617"/>
      <c r="AD539" s="617"/>
      <c r="AE539" s="617"/>
      <c r="AF539" s="617"/>
      <c r="AG539" s="617"/>
      <c r="AH539" s="617"/>
    </row>
    <row r="540" spans="1:34" ht="15" hidden="1">
      <c r="A540" s="617"/>
      <c r="B540" s="617"/>
      <c r="C540" s="617"/>
      <c r="D540" s="617"/>
      <c r="E540" s="617"/>
      <c r="F540" s="617"/>
      <c r="G540" s="617"/>
      <c r="H540" s="617"/>
      <c r="I540" s="617"/>
      <c r="J540" s="617"/>
      <c r="K540" s="617"/>
      <c r="L540" s="617"/>
      <c r="M540" s="617"/>
      <c r="N540" s="617"/>
      <c r="O540" s="617"/>
      <c r="P540" s="617"/>
      <c r="Q540" s="617"/>
      <c r="R540" s="617"/>
      <c r="S540" s="617"/>
      <c r="T540" s="617"/>
      <c r="U540" s="617"/>
      <c r="V540" s="617"/>
      <c r="W540" s="617"/>
      <c r="X540" s="617"/>
      <c r="Y540" s="617"/>
      <c r="Z540" s="617"/>
      <c r="AA540" s="617"/>
      <c r="AB540" s="617"/>
      <c r="AC540" s="617"/>
      <c r="AD540" s="617"/>
      <c r="AE540" s="617"/>
      <c r="AF540" s="617"/>
      <c r="AG540" s="617"/>
      <c r="AH540" s="617"/>
    </row>
    <row r="541" spans="1:34" ht="15" hidden="1">
      <c r="A541" s="617"/>
      <c r="B541" s="617"/>
      <c r="C541" s="617"/>
      <c r="D541" s="617"/>
      <c r="E541" s="617"/>
      <c r="F541" s="617"/>
      <c r="G541" s="617"/>
      <c r="H541" s="617"/>
      <c r="I541" s="617"/>
      <c r="J541" s="617"/>
      <c r="K541" s="617"/>
      <c r="L541" s="617"/>
      <c r="M541" s="617"/>
      <c r="N541" s="617"/>
      <c r="O541" s="617"/>
      <c r="P541" s="617"/>
      <c r="Q541" s="617"/>
      <c r="R541" s="617"/>
      <c r="S541" s="617"/>
      <c r="T541" s="617"/>
      <c r="U541" s="617"/>
      <c r="V541" s="617"/>
      <c r="W541" s="617"/>
      <c r="X541" s="617"/>
      <c r="Y541" s="617"/>
      <c r="Z541" s="617"/>
      <c r="AA541" s="617"/>
      <c r="AB541" s="617"/>
      <c r="AC541" s="617"/>
      <c r="AD541" s="617"/>
      <c r="AE541" s="617"/>
      <c r="AF541" s="617"/>
      <c r="AG541" s="617"/>
      <c r="AH541" s="617"/>
    </row>
    <row r="542" spans="1:34" ht="15" hidden="1">
      <c r="A542" s="617"/>
      <c r="B542" s="617"/>
      <c r="C542" s="617"/>
      <c r="D542" s="617"/>
      <c r="E542" s="617"/>
      <c r="F542" s="617"/>
      <c r="G542" s="617"/>
      <c r="H542" s="617"/>
      <c r="I542" s="617"/>
      <c r="J542" s="617"/>
      <c r="K542" s="617"/>
      <c r="L542" s="617"/>
      <c r="M542" s="617"/>
      <c r="N542" s="617"/>
      <c r="O542" s="617"/>
      <c r="P542" s="617"/>
      <c r="Q542" s="617"/>
      <c r="R542" s="617"/>
      <c r="S542" s="617"/>
      <c r="T542" s="617"/>
      <c r="U542" s="617"/>
      <c r="V542" s="617"/>
      <c r="W542" s="617"/>
      <c r="X542" s="617"/>
      <c r="Y542" s="617"/>
      <c r="Z542" s="617"/>
      <c r="AA542" s="617"/>
      <c r="AB542" s="617"/>
      <c r="AC542" s="617"/>
      <c r="AD542" s="617"/>
      <c r="AE542" s="617"/>
      <c r="AF542" s="617"/>
      <c r="AG542" s="617"/>
      <c r="AH542" s="617"/>
    </row>
    <row r="543" spans="1:34" ht="15" hidden="1">
      <c r="A543" s="617"/>
      <c r="B543" s="617"/>
      <c r="C543" s="617"/>
      <c r="D543" s="617"/>
      <c r="E543" s="617"/>
      <c r="F543" s="617"/>
      <c r="G543" s="617"/>
      <c r="H543" s="617"/>
      <c r="I543" s="617"/>
      <c r="J543" s="617"/>
      <c r="K543" s="617"/>
      <c r="L543" s="617"/>
      <c r="M543" s="617"/>
      <c r="N543" s="617"/>
      <c r="O543" s="617"/>
      <c r="P543" s="617"/>
      <c r="Q543" s="617"/>
      <c r="R543" s="617"/>
      <c r="S543" s="617"/>
      <c r="T543" s="617"/>
      <c r="U543" s="617"/>
      <c r="V543" s="617"/>
      <c r="W543" s="617"/>
      <c r="X543" s="617"/>
      <c r="Y543" s="617"/>
      <c r="Z543" s="617"/>
      <c r="AA543" s="617"/>
      <c r="AB543" s="617"/>
      <c r="AC543" s="617"/>
      <c r="AD543" s="617"/>
      <c r="AE543" s="617"/>
      <c r="AF543" s="617"/>
      <c r="AG543" s="617"/>
      <c r="AH543" s="617"/>
    </row>
    <row r="544" spans="1:34" ht="15" hidden="1">
      <c r="A544" s="617"/>
      <c r="B544" s="617"/>
      <c r="C544" s="617"/>
      <c r="D544" s="617"/>
      <c r="E544" s="617"/>
      <c r="F544" s="617"/>
      <c r="G544" s="617"/>
      <c r="H544" s="617"/>
      <c r="I544" s="617"/>
      <c r="J544" s="617"/>
      <c r="K544" s="617"/>
      <c r="L544" s="617"/>
      <c r="M544" s="617"/>
      <c r="N544" s="617"/>
      <c r="O544" s="617"/>
      <c r="P544" s="617"/>
      <c r="Q544" s="617"/>
      <c r="R544" s="617"/>
      <c r="S544" s="617"/>
      <c r="T544" s="617"/>
      <c r="U544" s="617"/>
      <c r="V544" s="617"/>
      <c r="W544" s="617"/>
      <c r="X544" s="617"/>
      <c r="Y544" s="617"/>
      <c r="Z544" s="617"/>
      <c r="AA544" s="617"/>
      <c r="AB544" s="617"/>
      <c r="AC544" s="617"/>
      <c r="AD544" s="617"/>
      <c r="AE544" s="617"/>
      <c r="AF544" s="617"/>
      <c r="AG544" s="617"/>
      <c r="AH544" s="617"/>
    </row>
    <row r="545" spans="1:34" ht="15" hidden="1">
      <c r="A545" s="617"/>
      <c r="B545" s="617"/>
      <c r="C545" s="617"/>
      <c r="D545" s="617"/>
      <c r="E545" s="617"/>
      <c r="F545" s="617"/>
      <c r="G545" s="617"/>
      <c r="H545" s="617"/>
      <c r="I545" s="617"/>
      <c r="J545" s="617"/>
      <c r="K545" s="617"/>
      <c r="L545" s="617"/>
      <c r="M545" s="617"/>
      <c r="N545" s="617"/>
      <c r="O545" s="617"/>
      <c r="P545" s="617"/>
      <c r="Q545" s="617"/>
      <c r="R545" s="617"/>
      <c r="S545" s="617"/>
      <c r="T545" s="617"/>
      <c r="U545" s="617"/>
      <c r="V545" s="617"/>
      <c r="W545" s="617"/>
      <c r="X545" s="617"/>
      <c r="Y545" s="617"/>
      <c r="Z545" s="617"/>
      <c r="AA545" s="617"/>
      <c r="AB545" s="617"/>
      <c r="AC545" s="617"/>
      <c r="AD545" s="617"/>
      <c r="AE545" s="617"/>
      <c r="AF545" s="617"/>
      <c r="AG545" s="617"/>
      <c r="AH545" s="617"/>
    </row>
    <row r="546" spans="1:34" ht="15" hidden="1">
      <c r="A546" s="617"/>
      <c r="B546" s="617"/>
      <c r="C546" s="617"/>
      <c r="D546" s="617"/>
      <c r="E546" s="617"/>
      <c r="F546" s="617"/>
      <c r="G546" s="617"/>
      <c r="H546" s="617"/>
      <c r="I546" s="617"/>
      <c r="J546" s="617"/>
      <c r="K546" s="617"/>
      <c r="L546" s="617"/>
      <c r="M546" s="617"/>
      <c r="N546" s="617"/>
      <c r="O546" s="617"/>
      <c r="P546" s="617"/>
      <c r="Q546" s="617"/>
      <c r="R546" s="617"/>
      <c r="S546" s="617"/>
      <c r="T546" s="617"/>
      <c r="U546" s="617"/>
      <c r="V546" s="617"/>
      <c r="W546" s="617"/>
      <c r="X546" s="617"/>
      <c r="Y546" s="617"/>
      <c r="Z546" s="617"/>
      <c r="AA546" s="617"/>
      <c r="AB546" s="617"/>
      <c r="AC546" s="617"/>
      <c r="AD546" s="617"/>
      <c r="AE546" s="617"/>
      <c r="AF546" s="617"/>
      <c r="AG546" s="617"/>
      <c r="AH546" s="617"/>
    </row>
    <row r="547" spans="1:34" ht="15" hidden="1">
      <c r="A547" s="617"/>
      <c r="B547" s="617"/>
      <c r="C547" s="617"/>
      <c r="D547" s="617"/>
      <c r="E547" s="617"/>
      <c r="F547" s="617"/>
      <c r="G547" s="617"/>
      <c r="H547" s="617"/>
      <c r="I547" s="617"/>
      <c r="J547" s="617"/>
      <c r="K547" s="617"/>
      <c r="L547" s="617"/>
      <c r="M547" s="617"/>
      <c r="N547" s="617"/>
      <c r="O547" s="617"/>
      <c r="P547" s="617"/>
      <c r="Q547" s="617"/>
      <c r="R547" s="617"/>
      <c r="S547" s="617"/>
      <c r="T547" s="617"/>
      <c r="U547" s="617"/>
      <c r="V547" s="617"/>
      <c r="W547" s="617"/>
      <c r="X547" s="617"/>
      <c r="Y547" s="617"/>
      <c r="Z547" s="617"/>
      <c r="AA547" s="617"/>
      <c r="AB547" s="617"/>
      <c r="AC547" s="617"/>
      <c r="AD547" s="617"/>
      <c r="AE547" s="617"/>
      <c r="AF547" s="617"/>
      <c r="AG547" s="617"/>
      <c r="AH547" s="617"/>
    </row>
    <row r="548" spans="1:34" ht="15" hidden="1">
      <c r="A548" s="617"/>
      <c r="B548" s="617"/>
      <c r="C548" s="617"/>
      <c r="D548" s="617"/>
      <c r="E548" s="617"/>
      <c r="F548" s="617"/>
      <c r="G548" s="617"/>
      <c r="H548" s="617"/>
      <c r="I548" s="617"/>
      <c r="J548" s="617"/>
      <c r="K548" s="617"/>
      <c r="L548" s="617"/>
      <c r="M548" s="617"/>
      <c r="N548" s="617"/>
      <c r="O548" s="617"/>
      <c r="P548" s="617"/>
      <c r="Q548" s="617"/>
      <c r="R548" s="617"/>
      <c r="S548" s="617"/>
      <c r="T548" s="617"/>
      <c r="U548" s="617"/>
      <c r="V548" s="617"/>
      <c r="W548" s="617"/>
      <c r="X548" s="617"/>
      <c r="Y548" s="617"/>
      <c r="Z548" s="617"/>
      <c r="AA548" s="617"/>
      <c r="AB548" s="617"/>
      <c r="AC548" s="617"/>
      <c r="AD548" s="617"/>
      <c r="AE548" s="617"/>
      <c r="AF548" s="617"/>
      <c r="AG548" s="617"/>
      <c r="AH548" s="617"/>
    </row>
    <row r="549" spans="1:34" ht="15" hidden="1">
      <c r="A549" s="617"/>
      <c r="B549" s="617"/>
      <c r="C549" s="617"/>
      <c r="D549" s="617"/>
      <c r="E549" s="617"/>
      <c r="F549" s="617"/>
      <c r="G549" s="617"/>
      <c r="H549" s="617"/>
      <c r="I549" s="617"/>
      <c r="J549" s="617"/>
      <c r="K549" s="617"/>
      <c r="L549" s="617"/>
      <c r="M549" s="617"/>
      <c r="N549" s="617"/>
      <c r="O549" s="617"/>
      <c r="P549" s="617"/>
      <c r="Q549" s="617"/>
      <c r="R549" s="617"/>
      <c r="S549" s="617"/>
      <c r="T549" s="617"/>
      <c r="U549" s="617"/>
      <c r="V549" s="617"/>
      <c r="W549" s="617"/>
      <c r="X549" s="617"/>
      <c r="Y549" s="617"/>
      <c r="Z549" s="617"/>
      <c r="AA549" s="617"/>
      <c r="AB549" s="617"/>
      <c r="AC549" s="617"/>
      <c r="AD549" s="617"/>
      <c r="AE549" s="617"/>
      <c r="AF549" s="617"/>
      <c r="AG549" s="617"/>
      <c r="AH549" s="617"/>
    </row>
    <row r="550" spans="1:34" ht="15" hidden="1">
      <c r="A550" s="617"/>
      <c r="B550" s="617"/>
      <c r="C550" s="617"/>
      <c r="D550" s="617"/>
      <c r="E550" s="617"/>
      <c r="F550" s="617"/>
      <c r="G550" s="617"/>
      <c r="H550" s="617"/>
      <c r="I550" s="617"/>
      <c r="J550" s="617"/>
      <c r="K550" s="617"/>
      <c r="L550" s="617"/>
      <c r="M550" s="617"/>
      <c r="N550" s="617"/>
      <c r="O550" s="617"/>
      <c r="P550" s="617"/>
      <c r="Q550" s="617"/>
      <c r="R550" s="617"/>
      <c r="S550" s="617"/>
      <c r="T550" s="617"/>
      <c r="U550" s="617"/>
      <c r="V550" s="617"/>
      <c r="W550" s="617"/>
      <c r="X550" s="617"/>
      <c r="Y550" s="617"/>
      <c r="Z550" s="617"/>
      <c r="AA550" s="617"/>
      <c r="AB550" s="617"/>
      <c r="AC550" s="617"/>
      <c r="AD550" s="617"/>
      <c r="AE550" s="617"/>
      <c r="AF550" s="617"/>
      <c r="AG550" s="617"/>
      <c r="AH550" s="617"/>
    </row>
    <row r="551" spans="1:34" ht="15" hidden="1">
      <c r="A551" s="617"/>
      <c r="B551" s="617"/>
      <c r="C551" s="617"/>
      <c r="D551" s="617"/>
      <c r="E551" s="617"/>
      <c r="F551" s="617"/>
      <c r="G551" s="617"/>
      <c r="H551" s="617"/>
      <c r="I551" s="617"/>
      <c r="J551" s="617"/>
      <c r="K551" s="617"/>
      <c r="L551" s="617"/>
      <c r="M551" s="617"/>
      <c r="N551" s="617"/>
      <c r="O551" s="617"/>
      <c r="P551" s="617"/>
      <c r="Q551" s="617"/>
      <c r="R551" s="617"/>
      <c r="S551" s="617"/>
      <c r="T551" s="617"/>
      <c r="U551" s="617"/>
      <c r="V551" s="617"/>
      <c r="W551" s="617"/>
      <c r="X551" s="617"/>
      <c r="Y551" s="617"/>
      <c r="Z551" s="617"/>
      <c r="AA551" s="617"/>
      <c r="AB551" s="617"/>
      <c r="AC551" s="617"/>
      <c r="AD551" s="617"/>
      <c r="AE551" s="617"/>
      <c r="AF551" s="617"/>
      <c r="AG551" s="617"/>
      <c r="AH551" s="617"/>
    </row>
    <row r="552" spans="1:34" ht="15" hidden="1">
      <c r="A552" s="617"/>
      <c r="B552" s="617"/>
      <c r="C552" s="617"/>
      <c r="D552" s="617"/>
      <c r="E552" s="617"/>
      <c r="F552" s="617"/>
      <c r="G552" s="617"/>
      <c r="H552" s="617"/>
      <c r="I552" s="617"/>
      <c r="J552" s="617"/>
      <c r="K552" s="617"/>
      <c r="L552" s="617"/>
      <c r="M552" s="617"/>
      <c r="N552" s="617"/>
      <c r="O552" s="617"/>
      <c r="P552" s="617"/>
      <c r="Q552" s="617"/>
      <c r="R552" s="617"/>
      <c r="S552" s="617"/>
      <c r="T552" s="617"/>
      <c r="U552" s="617"/>
      <c r="V552" s="617"/>
      <c r="W552" s="617"/>
      <c r="X552" s="617"/>
      <c r="Y552" s="617"/>
      <c r="Z552" s="617"/>
      <c r="AA552" s="617"/>
      <c r="AB552" s="617"/>
      <c r="AC552" s="617"/>
      <c r="AD552" s="617"/>
      <c r="AE552" s="617"/>
      <c r="AF552" s="617"/>
      <c r="AG552" s="617"/>
      <c r="AH552" s="617"/>
    </row>
    <row r="553" spans="1:34" ht="15" hidden="1">
      <c r="A553" s="617"/>
      <c r="B553" s="617"/>
      <c r="C553" s="617"/>
      <c r="D553" s="617"/>
      <c r="E553" s="617"/>
      <c r="F553" s="617"/>
      <c r="G553" s="617"/>
      <c r="H553" s="617"/>
      <c r="I553" s="617"/>
      <c r="J553" s="617"/>
      <c r="K553" s="617"/>
      <c r="L553" s="617"/>
      <c r="M553" s="617"/>
      <c r="N553" s="617"/>
      <c r="O553" s="617"/>
      <c r="P553" s="617"/>
      <c r="Q553" s="617"/>
      <c r="R553" s="617"/>
      <c r="S553" s="617"/>
      <c r="T553" s="617"/>
      <c r="U553" s="617"/>
      <c r="V553" s="617"/>
      <c r="W553" s="617"/>
      <c r="X553" s="617"/>
      <c r="Y553" s="617"/>
      <c r="Z553" s="617"/>
      <c r="AA553" s="617"/>
      <c r="AB553" s="617"/>
      <c r="AC553" s="617"/>
      <c r="AD553" s="617"/>
      <c r="AE553" s="617"/>
      <c r="AF553" s="617"/>
      <c r="AG553" s="617"/>
      <c r="AH553" s="617"/>
    </row>
    <row r="554" spans="1:34" ht="15" hidden="1">
      <c r="A554" s="617"/>
      <c r="B554" s="617"/>
      <c r="C554" s="617"/>
      <c r="D554" s="617"/>
      <c r="E554" s="617"/>
      <c r="F554" s="617"/>
      <c r="G554" s="617"/>
      <c r="H554" s="617"/>
      <c r="I554" s="617"/>
      <c r="J554" s="617"/>
      <c r="K554" s="617"/>
      <c r="L554" s="617"/>
      <c r="M554" s="617"/>
      <c r="N554" s="617"/>
      <c r="O554" s="617"/>
      <c r="P554" s="617"/>
      <c r="Q554" s="617"/>
      <c r="R554" s="617"/>
      <c r="S554" s="617"/>
      <c r="T554" s="617"/>
      <c r="U554" s="617"/>
      <c r="V554" s="617"/>
      <c r="W554" s="617"/>
      <c r="X554" s="617"/>
      <c r="Y554" s="617"/>
      <c r="Z554" s="617"/>
      <c r="AA554" s="617"/>
      <c r="AB554" s="617"/>
      <c r="AC554" s="617"/>
      <c r="AD554" s="617"/>
      <c r="AE554" s="617"/>
      <c r="AF554" s="617"/>
      <c r="AG554" s="617"/>
      <c r="AH554" s="617"/>
    </row>
    <row r="555" spans="1:34" ht="15" hidden="1">
      <c r="A555" s="617"/>
      <c r="B555" s="617"/>
      <c r="C555" s="617"/>
      <c r="D555" s="617"/>
      <c r="E555" s="617"/>
      <c r="F555" s="617"/>
      <c r="G555" s="617"/>
      <c r="H555" s="617"/>
      <c r="I555" s="617"/>
      <c r="J555" s="617"/>
      <c r="K555" s="617"/>
      <c r="L555" s="617"/>
      <c r="M555" s="617"/>
      <c r="N555" s="617"/>
      <c r="O555" s="617"/>
      <c r="P555" s="617"/>
      <c r="Q555" s="617"/>
      <c r="R555" s="617"/>
      <c r="S555" s="617"/>
      <c r="T555" s="617"/>
      <c r="U555" s="617"/>
      <c r="V555" s="617"/>
      <c r="W555" s="617"/>
      <c r="X555" s="617"/>
      <c r="Y555" s="617"/>
      <c r="Z555" s="617"/>
      <c r="AA555" s="617"/>
      <c r="AB555" s="617"/>
      <c r="AC555" s="617"/>
      <c r="AD555" s="617"/>
      <c r="AE555" s="617"/>
      <c r="AF555" s="617"/>
      <c r="AG555" s="617"/>
      <c r="AH555" s="617"/>
    </row>
    <row r="556" spans="1:34" ht="15" hidden="1">
      <c r="A556" s="617"/>
      <c r="B556" s="617"/>
      <c r="C556" s="617"/>
      <c r="D556" s="617"/>
      <c r="E556" s="617"/>
      <c r="F556" s="617"/>
      <c r="G556" s="617"/>
      <c r="H556" s="617"/>
      <c r="I556" s="617"/>
      <c r="J556" s="617"/>
      <c r="K556" s="617"/>
      <c r="L556" s="617"/>
      <c r="M556" s="617"/>
      <c r="N556" s="617"/>
      <c r="O556" s="617"/>
      <c r="P556" s="617"/>
      <c r="Q556" s="617"/>
      <c r="R556" s="617"/>
      <c r="S556" s="617"/>
      <c r="T556" s="617"/>
      <c r="U556" s="617"/>
      <c r="V556" s="617"/>
      <c r="W556" s="617"/>
      <c r="X556" s="617"/>
      <c r="Y556" s="617"/>
      <c r="Z556" s="617"/>
      <c r="AA556" s="617"/>
      <c r="AB556" s="617"/>
      <c r="AC556" s="617"/>
      <c r="AD556" s="617"/>
      <c r="AE556" s="617"/>
      <c r="AF556" s="617"/>
      <c r="AG556" s="617"/>
      <c r="AH556" s="617"/>
    </row>
    <row r="557" spans="1:34" ht="15" hidden="1">
      <c r="A557" s="617"/>
      <c r="B557" s="617"/>
      <c r="C557" s="617"/>
      <c r="D557" s="617"/>
      <c r="E557" s="617"/>
      <c r="F557" s="617"/>
      <c r="G557" s="617"/>
      <c r="H557" s="617"/>
      <c r="I557" s="617"/>
      <c r="J557" s="617"/>
      <c r="K557" s="617"/>
      <c r="L557" s="617"/>
      <c r="M557" s="617"/>
      <c r="N557" s="617"/>
      <c r="O557" s="617"/>
      <c r="P557" s="617"/>
      <c r="Q557" s="617"/>
      <c r="R557" s="617"/>
      <c r="S557" s="617"/>
      <c r="T557" s="617"/>
      <c r="U557" s="617"/>
      <c r="V557" s="617"/>
      <c r="W557" s="617"/>
      <c r="X557" s="617"/>
      <c r="Y557" s="617"/>
      <c r="Z557" s="617"/>
      <c r="AA557" s="617"/>
      <c r="AB557" s="617"/>
      <c r="AC557" s="617"/>
      <c r="AD557" s="617"/>
      <c r="AE557" s="617"/>
      <c r="AF557" s="617"/>
      <c r="AG557" s="617"/>
      <c r="AH557" s="617"/>
    </row>
    <row r="558" spans="1:34" ht="15" hidden="1">
      <c r="A558" s="617"/>
      <c r="B558" s="617"/>
      <c r="C558" s="617"/>
      <c r="D558" s="617"/>
      <c r="E558" s="617"/>
      <c r="F558" s="617"/>
      <c r="G558" s="617"/>
      <c r="H558" s="617"/>
      <c r="I558" s="617"/>
      <c r="J558" s="617"/>
      <c r="K558" s="617"/>
      <c r="L558" s="617"/>
      <c r="M558" s="617"/>
      <c r="N558" s="617"/>
      <c r="O558" s="617"/>
      <c r="P558" s="617"/>
      <c r="Q558" s="617"/>
      <c r="R558" s="617"/>
      <c r="S558" s="617"/>
      <c r="T558" s="617"/>
      <c r="U558" s="617"/>
      <c r="V558" s="617"/>
      <c r="W558" s="617"/>
      <c r="X558" s="617"/>
      <c r="Y558" s="617"/>
      <c r="Z558" s="617"/>
      <c r="AA558" s="617"/>
      <c r="AB558" s="617"/>
      <c r="AC558" s="617"/>
      <c r="AD558" s="617"/>
      <c r="AE558" s="617"/>
      <c r="AF558" s="617"/>
      <c r="AG558" s="617"/>
      <c r="AH558" s="617"/>
    </row>
    <row r="559" spans="1:34" ht="15" hidden="1">
      <c r="A559" s="617"/>
      <c r="B559" s="617"/>
      <c r="C559" s="617"/>
      <c r="D559" s="617"/>
      <c r="E559" s="617"/>
      <c r="F559" s="617"/>
      <c r="G559" s="617"/>
      <c r="H559" s="617"/>
      <c r="I559" s="617"/>
      <c r="J559" s="617"/>
      <c r="K559" s="617"/>
      <c r="L559" s="617"/>
      <c r="M559" s="617"/>
      <c r="N559" s="617"/>
      <c r="O559" s="617"/>
      <c r="P559" s="617"/>
      <c r="Q559" s="617"/>
      <c r="R559" s="617"/>
      <c r="S559" s="617"/>
      <c r="T559" s="617"/>
      <c r="U559" s="617"/>
      <c r="V559" s="617"/>
      <c r="W559" s="617"/>
      <c r="X559" s="617"/>
      <c r="Y559" s="617"/>
      <c r="Z559" s="617"/>
      <c r="AA559" s="617"/>
      <c r="AB559" s="617"/>
      <c r="AC559" s="617"/>
      <c r="AD559" s="617"/>
      <c r="AE559" s="617"/>
      <c r="AF559" s="617"/>
      <c r="AG559" s="617"/>
      <c r="AH559" s="617"/>
    </row>
    <row r="560" spans="1:34" ht="15" hidden="1">
      <c r="A560" s="617"/>
      <c r="B560" s="617"/>
      <c r="C560" s="617"/>
      <c r="D560" s="617"/>
      <c r="E560" s="617"/>
      <c r="F560" s="617"/>
      <c r="G560" s="617"/>
      <c r="H560" s="617"/>
      <c r="I560" s="617"/>
      <c r="J560" s="617"/>
      <c r="K560" s="617"/>
      <c r="L560" s="617"/>
      <c r="M560" s="617"/>
      <c r="N560" s="617"/>
      <c r="O560" s="617"/>
      <c r="P560" s="617"/>
      <c r="Q560" s="617"/>
      <c r="R560" s="617"/>
      <c r="S560" s="617"/>
      <c r="T560" s="617"/>
      <c r="U560" s="617"/>
      <c r="V560" s="617"/>
      <c r="W560" s="617"/>
      <c r="X560" s="617"/>
      <c r="Y560" s="617"/>
      <c r="Z560" s="617"/>
      <c r="AA560" s="617"/>
      <c r="AB560" s="617"/>
      <c r="AC560" s="617"/>
      <c r="AD560" s="617"/>
      <c r="AE560" s="617"/>
      <c r="AF560" s="617"/>
      <c r="AG560" s="617"/>
      <c r="AH560" s="617"/>
    </row>
    <row r="561" spans="1:34" ht="15" hidden="1">
      <c r="A561" s="617"/>
      <c r="B561" s="617"/>
      <c r="C561" s="617"/>
      <c r="D561" s="617"/>
      <c r="E561" s="617"/>
      <c r="F561" s="617"/>
      <c r="G561" s="617"/>
      <c r="H561" s="617"/>
      <c r="I561" s="617"/>
      <c r="J561" s="617"/>
      <c r="K561" s="617"/>
      <c r="L561" s="617"/>
      <c r="M561" s="617"/>
      <c r="N561" s="617"/>
      <c r="O561" s="617"/>
      <c r="P561" s="617"/>
      <c r="Q561" s="617"/>
      <c r="R561" s="617"/>
      <c r="S561" s="617"/>
      <c r="T561" s="617"/>
      <c r="U561" s="617"/>
      <c r="V561" s="617"/>
      <c r="W561" s="617"/>
      <c r="X561" s="617"/>
      <c r="Y561" s="617"/>
      <c r="Z561" s="617"/>
      <c r="AA561" s="617"/>
      <c r="AB561" s="617"/>
      <c r="AC561" s="617"/>
      <c r="AD561" s="617"/>
      <c r="AE561" s="617"/>
      <c r="AF561" s="617"/>
      <c r="AG561" s="617"/>
      <c r="AH561" s="617"/>
    </row>
    <row r="562" spans="1:34" ht="15" hidden="1">
      <c r="A562" s="617"/>
      <c r="B562" s="617"/>
      <c r="C562" s="617"/>
      <c r="D562" s="617"/>
      <c r="E562" s="617"/>
      <c r="F562" s="617"/>
      <c r="G562" s="617"/>
      <c r="H562" s="617"/>
      <c r="I562" s="617"/>
      <c r="J562" s="617"/>
      <c r="K562" s="617"/>
      <c r="L562" s="617"/>
      <c r="M562" s="617"/>
      <c r="N562" s="617"/>
      <c r="O562" s="617"/>
      <c r="P562" s="617"/>
      <c r="Q562" s="617"/>
      <c r="R562" s="617"/>
      <c r="S562" s="617"/>
      <c r="T562" s="617"/>
      <c r="U562" s="617"/>
      <c r="V562" s="617"/>
      <c r="W562" s="617"/>
      <c r="X562" s="617"/>
      <c r="Y562" s="617"/>
      <c r="Z562" s="617"/>
      <c r="AA562" s="617"/>
      <c r="AB562" s="617"/>
      <c r="AC562" s="617"/>
      <c r="AD562" s="617"/>
      <c r="AE562" s="617"/>
      <c r="AF562" s="617"/>
      <c r="AG562" s="617"/>
      <c r="AH562" s="617"/>
    </row>
    <row r="563" spans="1:34" ht="15" hidden="1">
      <c r="A563" s="617"/>
      <c r="B563" s="617"/>
      <c r="C563" s="617"/>
      <c r="D563" s="617"/>
      <c r="E563" s="617"/>
      <c r="F563" s="617"/>
      <c r="G563" s="617"/>
      <c r="H563" s="617"/>
      <c r="I563" s="617"/>
      <c r="J563" s="617"/>
      <c r="K563" s="617"/>
      <c r="L563" s="617"/>
      <c r="M563" s="617"/>
      <c r="N563" s="617"/>
      <c r="O563" s="617"/>
      <c r="P563" s="617"/>
      <c r="Q563" s="617"/>
      <c r="R563" s="617"/>
      <c r="S563" s="617"/>
      <c r="T563" s="617"/>
      <c r="U563" s="617"/>
      <c r="V563" s="617"/>
      <c r="W563" s="617"/>
      <c r="X563" s="617"/>
      <c r="Y563" s="617"/>
      <c r="Z563" s="617"/>
      <c r="AA563" s="617"/>
      <c r="AB563" s="617"/>
      <c r="AC563" s="617"/>
      <c r="AD563" s="617"/>
      <c r="AE563" s="617"/>
      <c r="AF563" s="617"/>
      <c r="AG563" s="617"/>
      <c r="AH563" s="617"/>
    </row>
    <row r="564" spans="1:34" ht="15" hidden="1">
      <c r="A564" s="617"/>
      <c r="B564" s="617"/>
      <c r="C564" s="617"/>
      <c r="D564" s="617"/>
      <c r="E564" s="617"/>
      <c r="F564" s="617"/>
      <c r="G564" s="617"/>
      <c r="H564" s="617"/>
      <c r="I564" s="617"/>
      <c r="J564" s="617"/>
      <c r="K564" s="617"/>
      <c r="L564" s="617"/>
      <c r="M564" s="617"/>
      <c r="N564" s="617"/>
      <c r="O564" s="617"/>
      <c r="P564" s="617"/>
      <c r="Q564" s="617"/>
      <c r="R564" s="617"/>
      <c r="S564" s="617"/>
      <c r="T564" s="617"/>
      <c r="U564" s="617"/>
      <c r="V564" s="617"/>
      <c r="W564" s="617"/>
      <c r="X564" s="617"/>
      <c r="Y564" s="617"/>
      <c r="Z564" s="617"/>
      <c r="AA564" s="617"/>
      <c r="AB564" s="617"/>
      <c r="AC564" s="617"/>
      <c r="AD564" s="617"/>
      <c r="AE564" s="617"/>
      <c r="AF564" s="617"/>
      <c r="AG564" s="617"/>
      <c r="AH564" s="617"/>
    </row>
    <row r="565" spans="1:34" ht="15" hidden="1">
      <c r="A565" s="617"/>
      <c r="B565" s="617"/>
      <c r="C565" s="617"/>
      <c r="D565" s="617"/>
      <c r="E565" s="617"/>
      <c r="F565" s="617"/>
      <c r="G565" s="617"/>
      <c r="H565" s="617"/>
      <c r="I565" s="617"/>
      <c r="J565" s="617"/>
      <c r="K565" s="617"/>
      <c r="L565" s="617"/>
      <c r="M565" s="617"/>
      <c r="N565" s="617"/>
      <c r="O565" s="617"/>
      <c r="P565" s="617"/>
      <c r="Q565" s="617"/>
      <c r="R565" s="617"/>
      <c r="S565" s="617"/>
      <c r="T565" s="617"/>
      <c r="U565" s="617"/>
      <c r="V565" s="617"/>
      <c r="W565" s="617"/>
      <c r="X565" s="617"/>
      <c r="Y565" s="617"/>
      <c r="Z565" s="617"/>
      <c r="AA565" s="617"/>
      <c r="AB565" s="617"/>
      <c r="AC565" s="617"/>
      <c r="AD565" s="617"/>
      <c r="AE565" s="617"/>
      <c r="AF565" s="617"/>
      <c r="AG565" s="617"/>
      <c r="AH565" s="617"/>
    </row>
    <row r="566" spans="1:34" ht="15" hidden="1">
      <c r="A566" s="617"/>
      <c r="B566" s="617"/>
      <c r="C566" s="617"/>
      <c r="D566" s="617"/>
      <c r="E566" s="617"/>
      <c r="F566" s="617"/>
      <c r="G566" s="617"/>
      <c r="H566" s="617"/>
      <c r="I566" s="617"/>
      <c r="J566" s="617"/>
      <c r="K566" s="617"/>
      <c r="L566" s="617"/>
      <c r="M566" s="617"/>
      <c r="N566" s="617"/>
      <c r="O566" s="617"/>
      <c r="P566" s="617"/>
      <c r="Q566" s="617"/>
      <c r="R566" s="617"/>
      <c r="S566" s="617"/>
      <c r="T566" s="617"/>
      <c r="U566" s="617"/>
      <c r="V566" s="617"/>
      <c r="W566" s="617"/>
      <c r="X566" s="617"/>
      <c r="Y566" s="617"/>
      <c r="Z566" s="617"/>
      <c r="AA566" s="617"/>
      <c r="AB566" s="617"/>
      <c r="AC566" s="617"/>
      <c r="AD566" s="617"/>
      <c r="AE566" s="617"/>
      <c r="AF566" s="617"/>
      <c r="AG566" s="617"/>
      <c r="AH566" s="617"/>
    </row>
    <row r="567" spans="1:34" ht="15" hidden="1">
      <c r="A567" s="617"/>
      <c r="B567" s="617"/>
      <c r="C567" s="617"/>
      <c r="D567" s="617"/>
      <c r="E567" s="617"/>
      <c r="F567" s="617"/>
      <c r="G567" s="617"/>
      <c r="H567" s="617"/>
      <c r="I567" s="617"/>
      <c r="J567" s="617"/>
      <c r="K567" s="617"/>
      <c r="L567" s="617"/>
      <c r="M567" s="617"/>
      <c r="N567" s="617"/>
      <c r="O567" s="617"/>
      <c r="P567" s="617"/>
      <c r="Q567" s="617"/>
      <c r="R567" s="617"/>
      <c r="S567" s="617"/>
      <c r="T567" s="617"/>
      <c r="U567" s="617"/>
      <c r="V567" s="617"/>
      <c r="W567" s="617"/>
      <c r="X567" s="617"/>
      <c r="Y567" s="617"/>
      <c r="Z567" s="617"/>
      <c r="AA567" s="617"/>
      <c r="AB567" s="617"/>
      <c r="AC567" s="617"/>
      <c r="AD567" s="617"/>
      <c r="AE567" s="617"/>
      <c r="AF567" s="617"/>
      <c r="AG567" s="617"/>
      <c r="AH567" s="617"/>
    </row>
    <row r="568" spans="1:34" ht="15" hidden="1">
      <c r="A568" s="617"/>
      <c r="B568" s="617"/>
      <c r="C568" s="617"/>
      <c r="D568" s="617"/>
      <c r="E568" s="617"/>
      <c r="F568" s="617"/>
      <c r="G568" s="617"/>
      <c r="H568" s="617"/>
      <c r="I568" s="617"/>
      <c r="J568" s="617"/>
      <c r="K568" s="617"/>
      <c r="L568" s="617"/>
      <c r="M568" s="617"/>
      <c r="N568" s="617"/>
      <c r="O568" s="617"/>
      <c r="P568" s="617"/>
      <c r="Q568" s="617"/>
      <c r="R568" s="617"/>
      <c r="S568" s="617"/>
      <c r="T568" s="617"/>
      <c r="U568" s="617"/>
      <c r="V568" s="617"/>
      <c r="W568" s="617"/>
      <c r="X568" s="617"/>
      <c r="Y568" s="617"/>
      <c r="Z568" s="617"/>
      <c r="AA568" s="617"/>
      <c r="AB568" s="617"/>
      <c r="AC568" s="617"/>
      <c r="AD568" s="617"/>
      <c r="AE568" s="617"/>
      <c r="AF568" s="617"/>
      <c r="AG568" s="617"/>
      <c r="AH568" s="617"/>
    </row>
    <row r="569" spans="1:34" ht="15" hidden="1">
      <c r="A569" s="617"/>
      <c r="B569" s="617"/>
      <c r="C569" s="617"/>
      <c r="D569" s="617"/>
      <c r="E569" s="617"/>
      <c r="F569" s="617"/>
      <c r="G569" s="617"/>
      <c r="H569" s="617"/>
      <c r="I569" s="617"/>
      <c r="J569" s="617"/>
      <c r="K569" s="617"/>
      <c r="L569" s="617"/>
      <c r="M569" s="617"/>
      <c r="N569" s="617"/>
      <c r="O569" s="617"/>
      <c r="P569" s="617"/>
      <c r="Q569" s="617"/>
      <c r="R569" s="617"/>
      <c r="S569" s="617"/>
      <c r="T569" s="617"/>
      <c r="U569" s="617"/>
      <c r="V569" s="617"/>
      <c r="W569" s="617"/>
      <c r="X569" s="617"/>
      <c r="Y569" s="617"/>
      <c r="Z569" s="617"/>
      <c r="AA569" s="617"/>
      <c r="AB569" s="617"/>
      <c r="AC569" s="617"/>
      <c r="AD569" s="617"/>
      <c r="AE569" s="617"/>
      <c r="AF569" s="617"/>
      <c r="AG569" s="617"/>
      <c r="AH569" s="617"/>
    </row>
    <row r="570" spans="1:34" ht="15" hidden="1">
      <c r="A570" s="617"/>
      <c r="B570" s="617"/>
      <c r="C570" s="617"/>
      <c r="D570" s="617"/>
      <c r="E570" s="617"/>
      <c r="F570" s="617"/>
      <c r="G570" s="617"/>
      <c r="H570" s="617"/>
      <c r="I570" s="617"/>
      <c r="J570" s="617"/>
      <c r="K570" s="617"/>
      <c r="L570" s="617"/>
      <c r="M570" s="617"/>
      <c r="N570" s="617"/>
      <c r="O570" s="617"/>
      <c r="P570" s="617"/>
      <c r="Q570" s="617"/>
      <c r="R570" s="617"/>
      <c r="S570" s="617"/>
      <c r="T570" s="617"/>
      <c r="U570" s="617"/>
      <c r="V570" s="617"/>
      <c r="W570" s="617"/>
      <c r="X570" s="617"/>
      <c r="Y570" s="617"/>
      <c r="Z570" s="617"/>
      <c r="AA570" s="617"/>
      <c r="AB570" s="617"/>
      <c r="AC570" s="617"/>
      <c r="AD570" s="617"/>
      <c r="AE570" s="617"/>
      <c r="AF570" s="617"/>
      <c r="AG570" s="617"/>
      <c r="AH570" s="617"/>
    </row>
    <row r="571" spans="1:34" ht="15" hidden="1">
      <c r="A571" s="617"/>
      <c r="B571" s="617"/>
      <c r="C571" s="617"/>
      <c r="D571" s="617"/>
      <c r="E571" s="617"/>
      <c r="F571" s="617"/>
      <c r="G571" s="617"/>
      <c r="H571" s="617"/>
      <c r="I571" s="617"/>
      <c r="J571" s="617"/>
      <c r="K571" s="617"/>
      <c r="L571" s="617"/>
      <c r="M571" s="617"/>
      <c r="N571" s="617"/>
      <c r="O571" s="617"/>
      <c r="P571" s="617"/>
      <c r="Q571" s="617"/>
      <c r="R571" s="617"/>
      <c r="S571" s="617"/>
      <c r="T571" s="617"/>
      <c r="U571" s="617"/>
      <c r="V571" s="617"/>
      <c r="W571" s="617"/>
      <c r="X571" s="617"/>
      <c r="Y571" s="617"/>
      <c r="Z571" s="617"/>
      <c r="AA571" s="617"/>
      <c r="AB571" s="617"/>
      <c r="AC571" s="617"/>
      <c r="AD571" s="617"/>
      <c r="AE571" s="617"/>
      <c r="AF571" s="617"/>
      <c r="AG571" s="617"/>
      <c r="AH571" s="617"/>
    </row>
    <row r="572" spans="1:34" ht="15" hidden="1">
      <c r="A572" s="617"/>
      <c r="B572" s="617"/>
      <c r="C572" s="617"/>
      <c r="D572" s="617"/>
      <c r="E572" s="617"/>
      <c r="F572" s="617"/>
      <c r="G572" s="617"/>
      <c r="H572" s="617"/>
      <c r="I572" s="617"/>
      <c r="J572" s="617"/>
      <c r="K572" s="617"/>
      <c r="L572" s="617"/>
      <c r="M572" s="617"/>
      <c r="N572" s="617"/>
      <c r="O572" s="617"/>
      <c r="P572" s="617"/>
      <c r="Q572" s="617"/>
      <c r="R572" s="617"/>
      <c r="S572" s="617"/>
      <c r="T572" s="617"/>
      <c r="U572" s="617"/>
      <c r="V572" s="617"/>
      <c r="W572" s="617"/>
      <c r="X572" s="617"/>
      <c r="Y572" s="617"/>
      <c r="Z572" s="617"/>
      <c r="AA572" s="617"/>
      <c r="AB572" s="617"/>
      <c r="AC572" s="617"/>
      <c r="AD572" s="617"/>
      <c r="AE572" s="617"/>
      <c r="AF572" s="617"/>
      <c r="AG572" s="617"/>
      <c r="AH572" s="617"/>
    </row>
    <row r="573" spans="1:34" ht="15" hidden="1">
      <c r="A573" s="617"/>
      <c r="B573" s="617"/>
      <c r="C573" s="617"/>
      <c r="D573" s="617"/>
      <c r="E573" s="617"/>
      <c r="F573" s="617"/>
      <c r="G573" s="617"/>
      <c r="H573" s="617"/>
      <c r="I573" s="617"/>
      <c r="J573" s="617"/>
      <c r="K573" s="617"/>
      <c r="L573" s="617"/>
      <c r="M573" s="617"/>
      <c r="N573" s="617"/>
      <c r="O573" s="617"/>
      <c r="P573" s="617"/>
      <c r="Q573" s="617"/>
      <c r="R573" s="617"/>
      <c r="S573" s="617"/>
      <c r="T573" s="617"/>
      <c r="U573" s="617"/>
      <c r="V573" s="617"/>
      <c r="W573" s="617"/>
      <c r="X573" s="617"/>
      <c r="Y573" s="617"/>
      <c r="Z573" s="617"/>
      <c r="AA573" s="617"/>
      <c r="AB573" s="617"/>
      <c r="AC573" s="617"/>
      <c r="AD573" s="617"/>
      <c r="AE573" s="617"/>
      <c r="AF573" s="617"/>
      <c r="AG573" s="617"/>
      <c r="AH573" s="617"/>
    </row>
    <row r="574" spans="1:34" ht="15" hidden="1">
      <c r="A574" s="617"/>
      <c r="B574" s="617"/>
      <c r="C574" s="617"/>
      <c r="D574" s="617"/>
      <c r="E574" s="617"/>
      <c r="F574" s="617"/>
      <c r="G574" s="617"/>
      <c r="H574" s="617"/>
      <c r="I574" s="617"/>
      <c r="J574" s="617"/>
      <c r="K574" s="617"/>
      <c r="L574" s="617"/>
      <c r="M574" s="617"/>
      <c r="N574" s="617"/>
      <c r="O574" s="617"/>
      <c r="P574" s="617"/>
      <c r="Q574" s="617"/>
      <c r="R574" s="617"/>
      <c r="S574" s="617"/>
      <c r="T574" s="617"/>
      <c r="U574" s="617"/>
      <c r="V574" s="617"/>
      <c r="W574" s="617"/>
      <c r="X574" s="617"/>
      <c r="Y574" s="617"/>
      <c r="Z574" s="617"/>
      <c r="AA574" s="617"/>
      <c r="AB574" s="617"/>
      <c r="AC574" s="617"/>
      <c r="AD574" s="617"/>
      <c r="AE574" s="617"/>
      <c r="AF574" s="617"/>
      <c r="AG574" s="617"/>
      <c r="AH574" s="617"/>
    </row>
    <row r="575" spans="1:34" ht="15" hidden="1">
      <c r="A575" s="617"/>
      <c r="B575" s="617"/>
      <c r="C575" s="617"/>
      <c r="D575" s="617"/>
      <c r="E575" s="617"/>
      <c r="F575" s="617"/>
      <c r="G575" s="617"/>
      <c r="H575" s="617"/>
      <c r="I575" s="617"/>
      <c r="J575" s="617"/>
      <c r="K575" s="617"/>
      <c r="L575" s="617"/>
      <c r="M575" s="617"/>
      <c r="N575" s="617"/>
      <c r="O575" s="617"/>
      <c r="P575" s="617"/>
      <c r="Q575" s="617"/>
      <c r="R575" s="617"/>
      <c r="S575" s="617"/>
      <c r="T575" s="617"/>
      <c r="U575" s="617"/>
      <c r="V575" s="617"/>
      <c r="W575" s="617"/>
      <c r="X575" s="617"/>
      <c r="Y575" s="617"/>
      <c r="Z575" s="617"/>
      <c r="AA575" s="617"/>
      <c r="AB575" s="617"/>
      <c r="AC575" s="617"/>
      <c r="AD575" s="617"/>
      <c r="AE575" s="617"/>
      <c r="AF575" s="617"/>
      <c r="AG575" s="617"/>
      <c r="AH575" s="617"/>
    </row>
    <row r="576" spans="1:34" ht="15" hidden="1">
      <c r="A576" s="617"/>
      <c r="B576" s="617"/>
      <c r="C576" s="617"/>
      <c r="D576" s="617"/>
      <c r="E576" s="617"/>
      <c r="F576" s="617"/>
      <c r="G576" s="617"/>
      <c r="H576" s="617"/>
      <c r="I576" s="617"/>
      <c r="J576" s="617"/>
      <c r="K576" s="617"/>
      <c r="L576" s="617"/>
      <c r="M576" s="617"/>
      <c r="N576" s="617"/>
      <c r="O576" s="617"/>
      <c r="P576" s="617"/>
      <c r="Q576" s="617"/>
      <c r="R576" s="617"/>
      <c r="S576" s="617"/>
      <c r="T576" s="617"/>
      <c r="U576" s="617"/>
      <c r="V576" s="617"/>
      <c r="W576" s="617"/>
      <c r="X576" s="617"/>
      <c r="Y576" s="617"/>
      <c r="Z576" s="617"/>
      <c r="AA576" s="617"/>
      <c r="AB576" s="617"/>
      <c r="AC576" s="617"/>
      <c r="AD576" s="617"/>
      <c r="AE576" s="617"/>
      <c r="AF576" s="617"/>
      <c r="AG576" s="617"/>
      <c r="AH576" s="617"/>
    </row>
    <row r="577" spans="1:34" ht="15" hidden="1">
      <c r="A577" s="617"/>
      <c r="B577" s="617"/>
      <c r="C577" s="617"/>
      <c r="D577" s="617"/>
      <c r="E577" s="617"/>
      <c r="F577" s="617"/>
      <c r="G577" s="617"/>
      <c r="H577" s="617"/>
      <c r="I577" s="617"/>
      <c r="J577" s="617"/>
      <c r="K577" s="617"/>
      <c r="L577" s="617"/>
      <c r="M577" s="617"/>
      <c r="N577" s="617"/>
      <c r="O577" s="617"/>
      <c r="P577" s="617"/>
      <c r="Q577" s="617"/>
      <c r="R577" s="617"/>
      <c r="S577" s="617"/>
      <c r="T577" s="617"/>
      <c r="U577" s="617"/>
      <c r="V577" s="617"/>
      <c r="W577" s="617"/>
      <c r="X577" s="617"/>
      <c r="Y577" s="617"/>
      <c r="Z577" s="617"/>
      <c r="AA577" s="617"/>
      <c r="AB577" s="617"/>
      <c r="AC577" s="617"/>
      <c r="AD577" s="617"/>
      <c r="AE577" s="617"/>
      <c r="AF577" s="617"/>
      <c r="AG577" s="617"/>
      <c r="AH577" s="617"/>
    </row>
    <row r="578" spans="1:34" ht="15" hidden="1">
      <c r="A578" s="617"/>
      <c r="B578" s="617"/>
      <c r="C578" s="617"/>
      <c r="D578" s="617"/>
      <c r="E578" s="617"/>
      <c r="F578" s="617"/>
      <c r="G578" s="617"/>
      <c r="H578" s="617"/>
      <c r="I578" s="617"/>
      <c r="J578" s="617"/>
      <c r="K578" s="617"/>
      <c r="L578" s="617"/>
      <c r="M578" s="617"/>
      <c r="N578" s="617"/>
      <c r="O578" s="617"/>
      <c r="P578" s="617"/>
      <c r="Q578" s="617"/>
      <c r="R578" s="617"/>
      <c r="S578" s="617"/>
      <c r="T578" s="617"/>
      <c r="U578" s="617"/>
      <c r="V578" s="617"/>
      <c r="W578" s="617"/>
      <c r="X578" s="617"/>
      <c r="Y578" s="617"/>
      <c r="Z578" s="617"/>
      <c r="AA578" s="617"/>
      <c r="AB578" s="617"/>
      <c r="AC578" s="617"/>
      <c r="AD578" s="617"/>
      <c r="AE578" s="617"/>
      <c r="AF578" s="617"/>
      <c r="AG578" s="617"/>
      <c r="AH578" s="617"/>
    </row>
    <row r="579" spans="1:34" ht="15" hidden="1">
      <c r="A579" s="617"/>
      <c r="B579" s="617"/>
      <c r="C579" s="617"/>
      <c r="D579" s="617"/>
      <c r="E579" s="617"/>
      <c r="F579" s="617"/>
      <c r="G579" s="617"/>
      <c r="H579" s="617"/>
      <c r="I579" s="617"/>
      <c r="J579" s="617"/>
      <c r="K579" s="617"/>
      <c r="L579" s="617"/>
      <c r="M579" s="617"/>
      <c r="N579" s="617"/>
      <c r="O579" s="617"/>
      <c r="P579" s="617"/>
      <c r="Q579" s="617"/>
      <c r="R579" s="617"/>
      <c r="S579" s="617"/>
      <c r="T579" s="617"/>
      <c r="U579" s="617"/>
      <c r="V579" s="617"/>
      <c r="W579" s="617"/>
      <c r="X579" s="617"/>
      <c r="Y579" s="617"/>
      <c r="Z579" s="617"/>
      <c r="AA579" s="617"/>
      <c r="AB579" s="617"/>
      <c r="AC579" s="617"/>
      <c r="AD579" s="617"/>
      <c r="AE579" s="617"/>
      <c r="AF579" s="617"/>
      <c r="AG579" s="617"/>
      <c r="AH579" s="617"/>
    </row>
    <row r="580" spans="1:34" ht="15" hidden="1">
      <c r="A580" s="617"/>
      <c r="B580" s="617"/>
      <c r="C580" s="617"/>
      <c r="D580" s="617"/>
      <c r="E580" s="617"/>
      <c r="F580" s="617"/>
      <c r="G580" s="617"/>
      <c r="H580" s="617"/>
      <c r="I580" s="617"/>
      <c r="J580" s="617"/>
      <c r="K580" s="617"/>
      <c r="L580" s="617"/>
      <c r="M580" s="617"/>
      <c r="N580" s="617"/>
      <c r="O580" s="617"/>
      <c r="P580" s="617"/>
      <c r="Q580" s="617"/>
      <c r="R580" s="617"/>
      <c r="S580" s="617"/>
      <c r="T580" s="617"/>
      <c r="U580" s="617"/>
      <c r="V580" s="617"/>
      <c r="W580" s="617"/>
      <c r="X580" s="617"/>
      <c r="Y580" s="617"/>
      <c r="Z580" s="617"/>
      <c r="AA580" s="617"/>
      <c r="AB580" s="617"/>
      <c r="AC580" s="617"/>
      <c r="AD580" s="617"/>
      <c r="AE580" s="617"/>
      <c r="AF580" s="617"/>
      <c r="AG580" s="617"/>
      <c r="AH580" s="617"/>
    </row>
    <row r="581" spans="1:34" ht="15" hidden="1">
      <c r="A581" s="617"/>
      <c r="B581" s="617"/>
      <c r="C581" s="617"/>
      <c r="D581" s="617"/>
      <c r="E581" s="617"/>
      <c r="F581" s="617"/>
      <c r="G581" s="617"/>
      <c r="H581" s="617"/>
      <c r="I581" s="617"/>
      <c r="J581" s="617"/>
      <c r="K581" s="617"/>
      <c r="L581" s="617"/>
      <c r="M581" s="617"/>
      <c r="N581" s="617"/>
      <c r="O581" s="617"/>
      <c r="P581" s="617"/>
      <c r="Q581" s="617"/>
      <c r="R581" s="617"/>
      <c r="S581" s="617"/>
      <c r="T581" s="617"/>
      <c r="U581" s="617"/>
      <c r="V581" s="617"/>
      <c r="W581" s="617"/>
      <c r="X581" s="617"/>
      <c r="Y581" s="617"/>
      <c r="Z581" s="617"/>
      <c r="AA581" s="617"/>
      <c r="AB581" s="617"/>
      <c r="AC581" s="617"/>
      <c r="AD581" s="617"/>
      <c r="AE581" s="617"/>
      <c r="AF581" s="617"/>
      <c r="AG581" s="617"/>
      <c r="AH581" s="617"/>
    </row>
    <row r="582" spans="1:34" ht="15" hidden="1">
      <c r="A582" s="617"/>
      <c r="B582" s="617"/>
      <c r="C582" s="617"/>
      <c r="D582" s="617"/>
      <c r="E582" s="617"/>
      <c r="F582" s="617"/>
      <c r="G582" s="617"/>
      <c r="H582" s="617"/>
      <c r="I582" s="617"/>
      <c r="J582" s="617"/>
      <c r="K582" s="617"/>
      <c r="L582" s="617"/>
      <c r="M582" s="617"/>
      <c r="N582" s="617"/>
      <c r="O582" s="617"/>
      <c r="P582" s="617"/>
      <c r="Q582" s="617"/>
      <c r="R582" s="617"/>
      <c r="S582" s="617"/>
      <c r="T582" s="617"/>
      <c r="U582" s="617"/>
      <c r="V582" s="617"/>
      <c r="W582" s="617"/>
      <c r="X582" s="617"/>
      <c r="Y582" s="617"/>
      <c r="Z582" s="617"/>
      <c r="AA582" s="617"/>
      <c r="AB582" s="617"/>
      <c r="AC582" s="617"/>
      <c r="AD582" s="617"/>
      <c r="AE582" s="617"/>
      <c r="AF582" s="617"/>
      <c r="AG582" s="617"/>
      <c r="AH582" s="617"/>
    </row>
    <row r="583" spans="1:34" ht="15" hidden="1">
      <c r="A583" s="617"/>
      <c r="B583" s="617"/>
      <c r="C583" s="617"/>
      <c r="D583" s="617"/>
      <c r="E583" s="617"/>
      <c r="F583" s="617"/>
      <c r="G583" s="617"/>
      <c r="H583" s="617"/>
      <c r="I583" s="617"/>
      <c r="J583" s="617"/>
      <c r="K583" s="617"/>
      <c r="L583" s="617"/>
      <c r="M583" s="617"/>
      <c r="N583" s="617"/>
      <c r="O583" s="617"/>
      <c r="P583" s="617"/>
      <c r="Q583" s="617"/>
      <c r="R583" s="617"/>
      <c r="S583" s="617"/>
      <c r="T583" s="617"/>
      <c r="U583" s="617"/>
      <c r="V583" s="617"/>
      <c r="W583" s="617"/>
      <c r="X583" s="617"/>
      <c r="Y583" s="617"/>
      <c r="Z583" s="617"/>
      <c r="AA583" s="617"/>
      <c r="AB583" s="617"/>
      <c r="AC583" s="617"/>
      <c r="AD583" s="617"/>
      <c r="AE583" s="617"/>
      <c r="AF583" s="617"/>
      <c r="AG583" s="617"/>
      <c r="AH583" s="617"/>
    </row>
    <row r="584" spans="1:34" ht="15" hidden="1">
      <c r="A584" s="617"/>
      <c r="B584" s="617"/>
      <c r="C584" s="617"/>
      <c r="D584" s="617"/>
      <c r="E584" s="617"/>
      <c r="F584" s="617"/>
      <c r="G584" s="617"/>
      <c r="H584" s="617"/>
      <c r="I584" s="617"/>
      <c r="J584" s="617"/>
      <c r="K584" s="617"/>
      <c r="L584" s="617"/>
      <c r="M584" s="617"/>
      <c r="N584" s="617"/>
      <c r="O584" s="617"/>
      <c r="P584" s="617"/>
      <c r="Q584" s="617"/>
      <c r="R584" s="617"/>
      <c r="S584" s="617"/>
      <c r="T584" s="617"/>
      <c r="U584" s="617"/>
      <c r="V584" s="617"/>
      <c r="W584" s="617"/>
      <c r="X584" s="617"/>
      <c r="Y584" s="617"/>
      <c r="Z584" s="617"/>
      <c r="AA584" s="617"/>
      <c r="AB584" s="617"/>
      <c r="AC584" s="617"/>
      <c r="AD584" s="617"/>
      <c r="AE584" s="617"/>
      <c r="AF584" s="617"/>
      <c r="AG584" s="617"/>
      <c r="AH584" s="617"/>
    </row>
    <row r="585" spans="1:34" ht="15" hidden="1">
      <c r="A585" s="617"/>
      <c r="B585" s="617"/>
      <c r="C585" s="617"/>
      <c r="D585" s="617"/>
      <c r="E585" s="617"/>
      <c r="F585" s="617"/>
      <c r="G585" s="617"/>
      <c r="H585" s="617"/>
      <c r="I585" s="617"/>
      <c r="J585" s="617"/>
      <c r="K585" s="617"/>
      <c r="L585" s="617"/>
      <c r="M585" s="617"/>
      <c r="N585" s="617"/>
      <c r="O585" s="617"/>
      <c r="P585" s="617"/>
      <c r="Q585" s="617"/>
      <c r="R585" s="617"/>
      <c r="S585" s="617"/>
      <c r="T585" s="617"/>
      <c r="U585" s="617"/>
      <c r="V585" s="617"/>
      <c r="W585" s="617"/>
      <c r="X585" s="617"/>
      <c r="Y585" s="617"/>
      <c r="Z585" s="617"/>
      <c r="AA585" s="617"/>
      <c r="AB585" s="617"/>
      <c r="AC585" s="617"/>
      <c r="AD585" s="617"/>
      <c r="AE585" s="617"/>
      <c r="AF585" s="617"/>
      <c r="AG585" s="617"/>
      <c r="AH585" s="617"/>
    </row>
    <row r="586" spans="1:34" ht="15" hidden="1">
      <c r="A586" s="617"/>
      <c r="B586" s="617"/>
      <c r="C586" s="617"/>
      <c r="D586" s="617"/>
      <c r="E586" s="617"/>
      <c r="F586" s="617"/>
      <c r="G586" s="617"/>
      <c r="H586" s="617"/>
      <c r="I586" s="617"/>
      <c r="J586" s="617"/>
      <c r="K586" s="617"/>
      <c r="L586" s="617"/>
      <c r="M586" s="617"/>
      <c r="N586" s="617"/>
      <c r="O586" s="617"/>
      <c r="P586" s="617"/>
      <c r="Q586" s="617"/>
      <c r="R586" s="617"/>
      <c r="S586" s="617"/>
      <c r="T586" s="617"/>
      <c r="U586" s="617"/>
      <c r="V586" s="617"/>
      <c r="W586" s="617"/>
      <c r="X586" s="617"/>
      <c r="Y586" s="617"/>
      <c r="Z586" s="617"/>
      <c r="AA586" s="617"/>
      <c r="AB586" s="617"/>
      <c r="AC586" s="617"/>
      <c r="AD586" s="617"/>
      <c r="AE586" s="617"/>
      <c r="AF586" s="617"/>
      <c r="AG586" s="617"/>
      <c r="AH586" s="617"/>
    </row>
    <row r="587" spans="1:34" ht="15" hidden="1">
      <c r="A587" s="617"/>
      <c r="B587" s="617"/>
      <c r="C587" s="617"/>
      <c r="D587" s="617"/>
      <c r="E587" s="617"/>
      <c r="F587" s="617"/>
      <c r="G587" s="617"/>
      <c r="H587" s="617"/>
      <c r="I587" s="617"/>
      <c r="J587" s="617"/>
      <c r="K587" s="617"/>
      <c r="L587" s="617"/>
      <c r="M587" s="617"/>
      <c r="N587" s="617"/>
      <c r="O587" s="617"/>
      <c r="P587" s="617"/>
      <c r="Q587" s="617"/>
      <c r="R587" s="617"/>
      <c r="S587" s="617"/>
      <c r="T587" s="617"/>
      <c r="U587" s="617"/>
      <c r="V587" s="617"/>
      <c r="W587" s="617"/>
      <c r="X587" s="617"/>
      <c r="Y587" s="617"/>
      <c r="Z587" s="617"/>
      <c r="AA587" s="617"/>
      <c r="AB587" s="617"/>
      <c r="AC587" s="617"/>
      <c r="AD587" s="617"/>
      <c r="AE587" s="617"/>
      <c r="AF587" s="617"/>
      <c r="AG587" s="617"/>
      <c r="AH587" s="617"/>
    </row>
    <row r="588" spans="1:34" ht="15" hidden="1">
      <c r="A588" s="617"/>
      <c r="B588" s="617"/>
      <c r="C588" s="617"/>
      <c r="D588" s="617"/>
      <c r="E588" s="617"/>
      <c r="F588" s="617"/>
      <c r="G588" s="617"/>
      <c r="H588" s="617"/>
      <c r="I588" s="617"/>
      <c r="J588" s="617"/>
      <c r="K588" s="617"/>
      <c r="L588" s="617"/>
      <c r="M588" s="617"/>
      <c r="N588" s="617"/>
      <c r="O588" s="617"/>
      <c r="P588" s="617"/>
      <c r="Q588" s="617"/>
      <c r="R588" s="617"/>
      <c r="S588" s="617"/>
      <c r="T588" s="617"/>
      <c r="U588" s="617"/>
      <c r="V588" s="617"/>
      <c r="W588" s="617"/>
      <c r="X588" s="617"/>
      <c r="Y588" s="617"/>
      <c r="Z588" s="617"/>
      <c r="AA588" s="617"/>
      <c r="AB588" s="617"/>
      <c r="AC588" s="617"/>
      <c r="AD588" s="617"/>
      <c r="AE588" s="617"/>
      <c r="AF588" s="617"/>
      <c r="AG588" s="617"/>
      <c r="AH588" s="617"/>
    </row>
    <row r="589" spans="1:34" ht="15" hidden="1">
      <c r="A589" s="617"/>
      <c r="B589" s="617"/>
      <c r="C589" s="617"/>
      <c r="D589" s="617"/>
      <c r="E589" s="617"/>
      <c r="F589" s="617"/>
      <c r="G589" s="617"/>
      <c r="H589" s="617"/>
      <c r="I589" s="617"/>
      <c r="J589" s="617"/>
      <c r="K589" s="617"/>
      <c r="L589" s="617"/>
      <c r="M589" s="617"/>
      <c r="N589" s="617"/>
      <c r="O589" s="617"/>
      <c r="P589" s="617"/>
      <c r="Q589" s="617"/>
      <c r="R589" s="617"/>
      <c r="S589" s="617"/>
      <c r="T589" s="617"/>
      <c r="U589" s="617"/>
      <c r="V589" s="617"/>
      <c r="W589" s="617"/>
      <c r="X589" s="617"/>
      <c r="Y589" s="617"/>
      <c r="Z589" s="617"/>
      <c r="AA589" s="617"/>
      <c r="AB589" s="617"/>
      <c r="AC589" s="617"/>
      <c r="AD589" s="617"/>
      <c r="AE589" s="617"/>
      <c r="AF589" s="617"/>
      <c r="AG589" s="617"/>
      <c r="AH589" s="617"/>
    </row>
    <row r="590" spans="1:34" ht="15" hidden="1">
      <c r="A590" s="617"/>
      <c r="B590" s="617"/>
      <c r="C590" s="617"/>
      <c r="D590" s="617"/>
      <c r="E590" s="617"/>
      <c r="F590" s="617"/>
      <c r="G590" s="617"/>
      <c r="H590" s="617"/>
      <c r="I590" s="617"/>
      <c r="J590" s="617"/>
      <c r="K590" s="617"/>
      <c r="L590" s="617"/>
      <c r="M590" s="617"/>
      <c r="N590" s="617"/>
      <c r="O590" s="617"/>
      <c r="P590" s="617"/>
      <c r="Q590" s="617"/>
      <c r="R590" s="617"/>
      <c r="S590" s="617"/>
      <c r="T590" s="617"/>
      <c r="U590" s="617"/>
      <c r="V590" s="617"/>
      <c r="W590" s="617"/>
      <c r="X590" s="617"/>
      <c r="Y590" s="617"/>
      <c r="Z590" s="617"/>
      <c r="AA590" s="617"/>
      <c r="AB590" s="617"/>
      <c r="AC590" s="617"/>
      <c r="AD590" s="617"/>
      <c r="AE590" s="617"/>
      <c r="AF590" s="617"/>
      <c r="AG590" s="617"/>
      <c r="AH590" s="617"/>
    </row>
    <row r="591" spans="1:34" ht="15" hidden="1">
      <c r="A591" s="617"/>
      <c r="B591" s="617"/>
      <c r="C591" s="617"/>
      <c r="D591" s="617"/>
      <c r="E591" s="617"/>
      <c r="F591" s="617"/>
      <c r="G591" s="617"/>
      <c r="H591" s="617"/>
      <c r="I591" s="617"/>
      <c r="J591" s="617"/>
      <c r="K591" s="617"/>
      <c r="L591" s="617"/>
      <c r="M591" s="617"/>
      <c r="N591" s="617"/>
      <c r="O591" s="617"/>
      <c r="P591" s="617"/>
      <c r="Q591" s="617"/>
      <c r="R591" s="617"/>
      <c r="S591" s="617"/>
      <c r="T591" s="617"/>
      <c r="U591" s="617"/>
      <c r="V591" s="617"/>
      <c r="W591" s="617"/>
      <c r="X591" s="617"/>
      <c r="Y591" s="617"/>
      <c r="Z591" s="617"/>
      <c r="AA591" s="617"/>
      <c r="AB591" s="617"/>
      <c r="AC591" s="617"/>
      <c r="AD591" s="617"/>
      <c r="AE591" s="617"/>
      <c r="AF591" s="617"/>
      <c r="AG591" s="617"/>
      <c r="AH591" s="617"/>
    </row>
    <row r="592" spans="1:34" ht="15" hidden="1">
      <c r="A592" s="617"/>
      <c r="B592" s="617"/>
      <c r="C592" s="617"/>
      <c r="D592" s="617"/>
      <c r="E592" s="617"/>
      <c r="F592" s="617"/>
      <c r="G592" s="617"/>
      <c r="H592" s="617"/>
      <c r="I592" s="617"/>
      <c r="J592" s="617"/>
      <c r="K592" s="617"/>
      <c r="L592" s="617"/>
      <c r="M592" s="617"/>
      <c r="N592" s="617"/>
      <c r="O592" s="617"/>
      <c r="P592" s="617"/>
      <c r="Q592" s="617"/>
      <c r="R592" s="617"/>
      <c r="S592" s="617"/>
      <c r="T592" s="617"/>
      <c r="U592" s="617"/>
      <c r="V592" s="617"/>
      <c r="W592" s="617"/>
      <c r="X592" s="617"/>
      <c r="Y592" s="617"/>
      <c r="Z592" s="617"/>
      <c r="AA592" s="617"/>
      <c r="AB592" s="617"/>
      <c r="AC592" s="617"/>
      <c r="AD592" s="617"/>
      <c r="AE592" s="617"/>
      <c r="AF592" s="617"/>
      <c r="AG592" s="617"/>
      <c r="AH592" s="617"/>
    </row>
    <row r="593" spans="1:34" ht="15" hidden="1">
      <c r="A593" s="617"/>
      <c r="B593" s="617"/>
      <c r="C593" s="617"/>
      <c r="D593" s="617"/>
      <c r="E593" s="617"/>
      <c r="F593" s="617"/>
      <c r="G593" s="617"/>
      <c r="H593" s="617"/>
      <c r="I593" s="617"/>
      <c r="J593" s="617"/>
      <c r="K593" s="617"/>
      <c r="L593" s="617"/>
      <c r="M593" s="617"/>
      <c r="N593" s="617"/>
      <c r="O593" s="617"/>
      <c r="P593" s="617"/>
      <c r="Q593" s="617"/>
      <c r="R593" s="617"/>
      <c r="S593" s="617"/>
      <c r="T593" s="617"/>
      <c r="U593" s="617"/>
      <c r="V593" s="617"/>
      <c r="W593" s="617"/>
      <c r="X593" s="617"/>
      <c r="Y593" s="617"/>
      <c r="Z593" s="617"/>
      <c r="AA593" s="617"/>
      <c r="AB593" s="617"/>
      <c r="AC593" s="617"/>
      <c r="AD593" s="617"/>
      <c r="AE593" s="617"/>
      <c r="AF593" s="617"/>
      <c r="AG593" s="617"/>
      <c r="AH593" s="617"/>
    </row>
    <row r="594" spans="1:34" ht="15" hidden="1">
      <c r="A594" s="617"/>
      <c r="B594" s="617"/>
      <c r="C594" s="617"/>
      <c r="D594" s="617"/>
      <c r="E594" s="617"/>
      <c r="F594" s="617"/>
      <c r="G594" s="617"/>
      <c r="H594" s="617"/>
      <c r="I594" s="617"/>
      <c r="J594" s="617"/>
      <c r="K594" s="617"/>
      <c r="L594" s="617"/>
      <c r="M594" s="617"/>
      <c r="N594" s="617"/>
      <c r="O594" s="617"/>
      <c r="P594" s="617"/>
      <c r="Q594" s="617"/>
      <c r="R594" s="617"/>
      <c r="S594" s="617"/>
      <c r="T594" s="617"/>
      <c r="U594" s="617"/>
      <c r="V594" s="617"/>
      <c r="W594" s="617"/>
      <c r="X594" s="617"/>
      <c r="Y594" s="617"/>
      <c r="Z594" s="617"/>
      <c r="AA594" s="617"/>
      <c r="AB594" s="617"/>
      <c r="AC594" s="617"/>
      <c r="AD594" s="617"/>
      <c r="AE594" s="617"/>
      <c r="AF594" s="617"/>
      <c r="AG594" s="617"/>
      <c r="AH594" s="617"/>
    </row>
    <row r="595" spans="1:34" ht="15" hidden="1">
      <c r="A595" s="617"/>
      <c r="B595" s="617"/>
      <c r="C595" s="617"/>
      <c r="D595" s="617"/>
      <c r="E595" s="617"/>
      <c r="F595" s="617"/>
      <c r="G595" s="617"/>
      <c r="H595" s="617"/>
      <c r="I595" s="617"/>
      <c r="J595" s="617"/>
      <c r="K595" s="617"/>
      <c r="L595" s="617"/>
      <c r="M595" s="617"/>
      <c r="N595" s="617"/>
      <c r="O595" s="617"/>
      <c r="P595" s="617"/>
      <c r="Q595" s="617"/>
      <c r="R595" s="617"/>
      <c r="S595" s="617"/>
      <c r="T595" s="617"/>
      <c r="U595" s="617"/>
      <c r="V595" s="617"/>
      <c r="W595" s="617"/>
      <c r="X595" s="617"/>
      <c r="Y595" s="617"/>
      <c r="Z595" s="617"/>
      <c r="AA595" s="617"/>
      <c r="AB595" s="617"/>
      <c r="AC595" s="617"/>
      <c r="AD595" s="617"/>
      <c r="AE595" s="617"/>
      <c r="AF595" s="617"/>
      <c r="AG595" s="617"/>
      <c r="AH595" s="617"/>
    </row>
    <row r="596" spans="1:34" ht="15" hidden="1">
      <c r="A596" s="617"/>
      <c r="B596" s="617"/>
      <c r="C596" s="617"/>
      <c r="D596" s="617"/>
      <c r="E596" s="617"/>
      <c r="F596" s="617"/>
      <c r="G596" s="617"/>
      <c r="H596" s="617"/>
      <c r="I596" s="617"/>
      <c r="J596" s="617"/>
      <c r="K596" s="617"/>
      <c r="L596" s="617"/>
      <c r="M596" s="617"/>
      <c r="N596" s="617"/>
      <c r="O596" s="617"/>
      <c r="P596" s="617"/>
      <c r="Q596" s="617"/>
      <c r="R596" s="617"/>
      <c r="S596" s="617"/>
      <c r="T596" s="617"/>
      <c r="U596" s="617"/>
      <c r="V596" s="617"/>
      <c r="W596" s="617"/>
      <c r="X596" s="617"/>
      <c r="Y596" s="617"/>
      <c r="Z596" s="617"/>
      <c r="AA596" s="617"/>
      <c r="AB596" s="617"/>
      <c r="AC596" s="617"/>
      <c r="AD596" s="617"/>
      <c r="AE596" s="617"/>
      <c r="AF596" s="617"/>
      <c r="AG596" s="617"/>
      <c r="AH596" s="617"/>
    </row>
    <row r="597" spans="1:34" ht="15" hidden="1">
      <c r="A597" s="617"/>
      <c r="B597" s="617"/>
      <c r="C597" s="617"/>
      <c r="D597" s="617"/>
      <c r="E597" s="617"/>
      <c r="F597" s="617"/>
      <c r="G597" s="617"/>
      <c r="H597" s="617"/>
      <c r="I597" s="617"/>
      <c r="J597" s="617"/>
      <c r="K597" s="617"/>
      <c r="L597" s="617"/>
      <c r="M597" s="617"/>
      <c r="N597" s="617"/>
      <c r="O597" s="617"/>
      <c r="P597" s="617"/>
      <c r="Q597" s="617"/>
      <c r="R597" s="617"/>
      <c r="S597" s="617"/>
      <c r="T597" s="617"/>
      <c r="U597" s="617"/>
      <c r="V597" s="617"/>
      <c r="W597" s="617"/>
      <c r="X597" s="617"/>
      <c r="Y597" s="617"/>
      <c r="Z597" s="617"/>
      <c r="AA597" s="617"/>
      <c r="AB597" s="617"/>
      <c r="AC597" s="617"/>
      <c r="AD597" s="617"/>
      <c r="AE597" s="617"/>
      <c r="AF597" s="617"/>
      <c r="AG597" s="617"/>
      <c r="AH597" s="617"/>
    </row>
    <row r="598" spans="1:34" ht="15" hidden="1">
      <c r="A598" s="617"/>
      <c r="B598" s="617"/>
      <c r="C598" s="617"/>
      <c r="D598" s="617"/>
      <c r="E598" s="617"/>
      <c r="F598" s="617"/>
      <c r="G598" s="617"/>
      <c r="H598" s="617"/>
      <c r="I598" s="617"/>
      <c r="J598" s="617"/>
      <c r="K598" s="617"/>
      <c r="L598" s="617"/>
      <c r="M598" s="617"/>
      <c r="N598" s="617"/>
      <c r="O598" s="617"/>
      <c r="P598" s="617"/>
      <c r="Q598" s="617"/>
      <c r="R598" s="617"/>
      <c r="S598" s="617"/>
      <c r="T598" s="617"/>
      <c r="U598" s="617"/>
      <c r="V598" s="617"/>
      <c r="W598" s="617"/>
      <c r="X598" s="617"/>
      <c r="Y598" s="617"/>
      <c r="Z598" s="617"/>
      <c r="AA598" s="617"/>
      <c r="AB598" s="617"/>
      <c r="AC598" s="617"/>
      <c r="AD598" s="617"/>
      <c r="AE598" s="617"/>
      <c r="AF598" s="617"/>
      <c r="AG598" s="617"/>
      <c r="AH598" s="617"/>
    </row>
    <row r="599" spans="1:34" ht="15" hidden="1">
      <c r="A599" s="617"/>
      <c r="B599" s="617"/>
      <c r="C599" s="617"/>
      <c r="D599" s="617"/>
      <c r="E599" s="617"/>
      <c r="F599" s="617"/>
      <c r="G599" s="617"/>
      <c r="H599" s="617"/>
      <c r="I599" s="617"/>
      <c r="J599" s="617"/>
      <c r="K599" s="617"/>
      <c r="L599" s="617"/>
      <c r="M599" s="617"/>
      <c r="N599" s="617"/>
      <c r="O599" s="617"/>
      <c r="P599" s="617"/>
      <c r="Q599" s="617"/>
      <c r="R599" s="617"/>
      <c r="S599" s="617"/>
      <c r="T599" s="617"/>
      <c r="U599" s="617"/>
      <c r="V599" s="617"/>
      <c r="W599" s="617"/>
      <c r="X599" s="617"/>
      <c r="Y599" s="617"/>
      <c r="Z599" s="617"/>
      <c r="AA599" s="617"/>
      <c r="AB599" s="617"/>
      <c r="AC599" s="617"/>
      <c r="AD599" s="617"/>
      <c r="AE599" s="617"/>
      <c r="AF599" s="617"/>
      <c r="AG599" s="617"/>
      <c r="AH599" s="617"/>
    </row>
    <row r="600" spans="1:34" ht="15" hidden="1">
      <c r="A600" s="617"/>
      <c r="B600" s="617"/>
      <c r="C600" s="617"/>
      <c r="D600" s="617"/>
      <c r="E600" s="617"/>
      <c r="F600" s="617"/>
      <c r="G600" s="617"/>
      <c r="H600" s="617"/>
      <c r="I600" s="617"/>
      <c r="J600" s="617"/>
      <c r="K600" s="617"/>
      <c r="L600" s="617"/>
      <c r="M600" s="617"/>
      <c r="N600" s="617"/>
      <c r="O600" s="617"/>
      <c r="P600" s="617"/>
      <c r="Q600" s="617"/>
      <c r="R600" s="617"/>
      <c r="S600" s="617"/>
      <c r="T600" s="617"/>
      <c r="U600" s="617"/>
      <c r="V600" s="617"/>
      <c r="W600" s="617"/>
      <c r="X600" s="617"/>
      <c r="Y600" s="617"/>
      <c r="Z600" s="617"/>
      <c r="AA600" s="617"/>
      <c r="AB600" s="617"/>
      <c r="AC600" s="617"/>
      <c r="AD600" s="617"/>
      <c r="AE600" s="617"/>
      <c r="AF600" s="617"/>
      <c r="AG600" s="617"/>
      <c r="AH600" s="617"/>
    </row>
    <row r="601" spans="1:34" ht="15" hidden="1">
      <c r="A601" s="617"/>
      <c r="B601" s="617"/>
      <c r="C601" s="617"/>
      <c r="D601" s="617"/>
      <c r="E601" s="617"/>
      <c r="F601" s="617"/>
      <c r="G601" s="617"/>
      <c r="H601" s="617"/>
      <c r="I601" s="617"/>
      <c r="J601" s="617"/>
      <c r="K601" s="617"/>
      <c r="L601" s="617"/>
      <c r="M601" s="617"/>
      <c r="N601" s="617"/>
      <c r="O601" s="617"/>
      <c r="P601" s="617"/>
      <c r="Q601" s="617"/>
      <c r="R601" s="617"/>
      <c r="S601" s="617"/>
      <c r="T601" s="617"/>
      <c r="U601" s="617"/>
      <c r="V601" s="617"/>
      <c r="W601" s="617"/>
      <c r="X601" s="617"/>
      <c r="Y601" s="617"/>
      <c r="Z601" s="617"/>
      <c r="AA601" s="617"/>
      <c r="AB601" s="617"/>
      <c r="AC601" s="617"/>
      <c r="AD601" s="617"/>
      <c r="AE601" s="617"/>
      <c r="AF601" s="617"/>
      <c r="AG601" s="617"/>
      <c r="AH601" s="617"/>
    </row>
    <row r="602" spans="1:34" ht="15" hidden="1">
      <c r="A602" s="617"/>
      <c r="B602" s="617"/>
      <c r="C602" s="617"/>
      <c r="D602" s="617"/>
      <c r="E602" s="617"/>
      <c r="F602" s="617"/>
      <c r="G602" s="617"/>
      <c r="H602" s="617"/>
      <c r="I602" s="617"/>
      <c r="J602" s="617"/>
      <c r="K602" s="617"/>
      <c r="L602" s="617"/>
      <c r="M602" s="617"/>
      <c r="N602" s="617"/>
      <c r="O602" s="617"/>
      <c r="P602" s="617"/>
      <c r="Q602" s="617"/>
      <c r="R602" s="617"/>
      <c r="S602" s="617"/>
      <c r="T602" s="617"/>
      <c r="U602" s="617"/>
      <c r="V602" s="617"/>
      <c r="W602" s="617"/>
      <c r="X602" s="617"/>
      <c r="Y602" s="617"/>
      <c r="Z602" s="617"/>
      <c r="AA602" s="617"/>
      <c r="AB602" s="617"/>
      <c r="AC602" s="617"/>
      <c r="AD602" s="617"/>
      <c r="AE602" s="617"/>
      <c r="AF602" s="617"/>
      <c r="AG602" s="617"/>
      <c r="AH602" s="617"/>
    </row>
    <row r="603" spans="1:34" ht="15" hidden="1">
      <c r="A603" s="617"/>
      <c r="B603" s="617"/>
      <c r="C603" s="617"/>
      <c r="D603" s="617"/>
      <c r="E603" s="617"/>
      <c r="F603" s="617"/>
      <c r="G603" s="617"/>
      <c r="H603" s="617"/>
      <c r="I603" s="617"/>
      <c r="J603" s="617"/>
      <c r="K603" s="617"/>
      <c r="L603" s="617"/>
      <c r="M603" s="617"/>
      <c r="N603" s="617"/>
      <c r="O603" s="617"/>
      <c r="P603" s="617"/>
      <c r="Q603" s="617"/>
      <c r="R603" s="617"/>
      <c r="S603" s="617"/>
      <c r="T603" s="617"/>
      <c r="U603" s="617"/>
      <c r="V603" s="617"/>
      <c r="W603" s="617"/>
      <c r="X603" s="617"/>
      <c r="Y603" s="617"/>
      <c r="Z603" s="617"/>
      <c r="AA603" s="617"/>
      <c r="AB603" s="617"/>
      <c r="AC603" s="617"/>
      <c r="AD603" s="617"/>
      <c r="AE603" s="617"/>
      <c r="AF603" s="617"/>
      <c r="AG603" s="617"/>
      <c r="AH603" s="617"/>
    </row>
    <row r="604" spans="1:34" ht="15" hidden="1">
      <c r="A604" s="617"/>
      <c r="B604" s="617"/>
      <c r="C604" s="617"/>
      <c r="D604" s="617"/>
      <c r="E604" s="617"/>
      <c r="F604" s="617"/>
      <c r="G604" s="617"/>
      <c r="H604" s="617"/>
      <c r="I604" s="617"/>
      <c r="J604" s="617"/>
      <c r="K604" s="617"/>
      <c r="L604" s="617"/>
      <c r="M604" s="617"/>
      <c r="N604" s="617"/>
      <c r="O604" s="617"/>
      <c r="P604" s="617"/>
      <c r="Q604" s="617"/>
      <c r="R604" s="617"/>
      <c r="S604" s="617"/>
      <c r="T604" s="617"/>
      <c r="U604" s="617"/>
      <c r="V604" s="617"/>
      <c r="W604" s="617"/>
      <c r="X604" s="617"/>
      <c r="Y604" s="617"/>
      <c r="Z604" s="617"/>
      <c r="AA604" s="617"/>
      <c r="AB604" s="617"/>
      <c r="AC604" s="617"/>
      <c r="AD604" s="617"/>
      <c r="AE604" s="617"/>
      <c r="AF604" s="617"/>
      <c r="AG604" s="617"/>
      <c r="AH604" s="617"/>
    </row>
    <row r="605" spans="1:34" ht="15" hidden="1">
      <c r="A605" s="617"/>
      <c r="B605" s="617"/>
      <c r="C605" s="617"/>
      <c r="D605" s="617"/>
      <c r="E605" s="617"/>
      <c r="F605" s="617"/>
      <c r="G605" s="617"/>
      <c r="H605" s="617"/>
      <c r="I605" s="617"/>
      <c r="J605" s="617"/>
      <c r="K605" s="617"/>
      <c r="L605" s="617"/>
      <c r="M605" s="617"/>
      <c r="N605" s="617"/>
      <c r="O605" s="617"/>
      <c r="P605" s="617"/>
      <c r="Q605" s="617"/>
      <c r="R605" s="617"/>
      <c r="S605" s="617"/>
      <c r="T605" s="617"/>
      <c r="U605" s="617"/>
      <c r="V605" s="617"/>
      <c r="W605" s="617"/>
      <c r="X605" s="617"/>
      <c r="Y605" s="617"/>
      <c r="Z605" s="617"/>
      <c r="AA605" s="617"/>
      <c r="AB605" s="617"/>
      <c r="AC605" s="617"/>
      <c r="AD605" s="617"/>
      <c r="AE605" s="617"/>
      <c r="AF605" s="617"/>
      <c r="AG605" s="617"/>
      <c r="AH605" s="617"/>
    </row>
    <row r="606" spans="1:34" ht="15" hidden="1">
      <c r="A606" s="617"/>
      <c r="B606" s="617"/>
      <c r="C606" s="617"/>
      <c r="D606" s="617"/>
      <c r="E606" s="617"/>
      <c r="F606" s="617"/>
      <c r="G606" s="617"/>
      <c r="H606" s="617"/>
      <c r="I606" s="617"/>
      <c r="J606" s="617"/>
      <c r="K606" s="617"/>
      <c r="L606" s="617"/>
      <c r="M606" s="617"/>
      <c r="N606" s="617"/>
      <c r="O606" s="617"/>
      <c r="P606" s="617"/>
      <c r="Q606" s="617"/>
      <c r="R606" s="617"/>
      <c r="S606" s="617"/>
      <c r="T606" s="617"/>
      <c r="U606" s="617"/>
      <c r="V606" s="617"/>
      <c r="W606" s="617"/>
      <c r="X606" s="617"/>
      <c r="Y606" s="617"/>
      <c r="Z606" s="617"/>
      <c r="AA606" s="617"/>
      <c r="AB606" s="617"/>
      <c r="AC606" s="617"/>
      <c r="AD606" s="617"/>
      <c r="AE606" s="617"/>
      <c r="AF606" s="617"/>
      <c r="AG606" s="617"/>
      <c r="AH606" s="617"/>
    </row>
    <row r="607" spans="1:34" ht="15" hidden="1">
      <c r="A607" s="617"/>
      <c r="B607" s="617"/>
      <c r="C607" s="617"/>
      <c r="D607" s="617"/>
      <c r="E607" s="617"/>
      <c r="F607" s="617"/>
      <c r="G607" s="617"/>
      <c r="H607" s="617"/>
      <c r="I607" s="617"/>
      <c r="J607" s="617"/>
      <c r="K607" s="617"/>
      <c r="L607" s="617"/>
      <c r="M607" s="617"/>
      <c r="N607" s="617"/>
      <c r="O607" s="617"/>
      <c r="P607" s="617"/>
      <c r="Q607" s="617"/>
      <c r="R607" s="617"/>
      <c r="S607" s="617"/>
      <c r="T607" s="617"/>
      <c r="U607" s="617"/>
      <c r="V607" s="617"/>
      <c r="W607" s="617"/>
      <c r="X607" s="617"/>
      <c r="Y607" s="617"/>
      <c r="Z607" s="617"/>
      <c r="AA607" s="617"/>
      <c r="AB607" s="617"/>
      <c r="AC607" s="617"/>
      <c r="AD607" s="617"/>
      <c r="AE607" s="617"/>
      <c r="AF607" s="617"/>
      <c r="AG607" s="617"/>
      <c r="AH607" s="617"/>
    </row>
    <row r="608" spans="1:34" ht="15" hidden="1">
      <c r="A608" s="617"/>
      <c r="B608" s="617"/>
      <c r="C608" s="617"/>
      <c r="D608" s="617"/>
      <c r="E608" s="617"/>
      <c r="F608" s="617"/>
      <c r="G608" s="617"/>
      <c r="H608" s="617"/>
      <c r="I608" s="617"/>
      <c r="J608" s="617"/>
      <c r="K608" s="617"/>
      <c r="L608" s="617"/>
      <c r="M608" s="617"/>
      <c r="N608" s="617"/>
      <c r="O608" s="617"/>
      <c r="P608" s="617"/>
      <c r="Q608" s="617"/>
      <c r="R608" s="617"/>
      <c r="S608" s="617"/>
      <c r="T608" s="617"/>
      <c r="U608" s="617"/>
      <c r="V608" s="617"/>
      <c r="W608" s="617"/>
      <c r="X608" s="617"/>
      <c r="Y608" s="617"/>
      <c r="Z608" s="617"/>
      <c r="AA608" s="617"/>
      <c r="AB608" s="617"/>
      <c r="AC608" s="617"/>
      <c r="AD608" s="617"/>
      <c r="AE608" s="617"/>
      <c r="AF608" s="617"/>
      <c r="AG608" s="617"/>
      <c r="AH608" s="617"/>
    </row>
    <row r="609" spans="1:34" ht="15" hidden="1">
      <c r="A609" s="617"/>
      <c r="B609" s="617"/>
      <c r="C609" s="617"/>
      <c r="D609" s="617"/>
      <c r="E609" s="617"/>
      <c r="F609" s="617"/>
      <c r="G609" s="617"/>
      <c r="H609" s="617"/>
      <c r="I609" s="617"/>
      <c r="J609" s="617"/>
      <c r="K609" s="617"/>
      <c r="L609" s="617"/>
      <c r="M609" s="617"/>
      <c r="N609" s="617"/>
      <c r="O609" s="617"/>
      <c r="P609" s="617"/>
      <c r="Q609" s="617"/>
      <c r="R609" s="617"/>
      <c r="S609" s="617"/>
      <c r="T609" s="617"/>
      <c r="U609" s="617"/>
      <c r="V609" s="617"/>
      <c r="W609" s="617"/>
      <c r="X609" s="617"/>
      <c r="Y609" s="617"/>
      <c r="Z609" s="617"/>
      <c r="AA609" s="617"/>
      <c r="AB609" s="617"/>
      <c r="AC609" s="617"/>
      <c r="AD609" s="617"/>
      <c r="AE609" s="617"/>
      <c r="AF609" s="617"/>
      <c r="AG609" s="617"/>
      <c r="AH609" s="617"/>
    </row>
    <row r="610" spans="1:34" ht="15" hidden="1">
      <c r="A610" s="617"/>
      <c r="B610" s="617"/>
      <c r="C610" s="617"/>
      <c r="D610" s="617"/>
      <c r="E610" s="617"/>
      <c r="F610" s="617"/>
      <c r="G610" s="617"/>
      <c r="H610" s="617"/>
      <c r="I610" s="617"/>
      <c r="J610" s="617"/>
      <c r="K610" s="617"/>
      <c r="L610" s="617"/>
      <c r="M610" s="617"/>
      <c r="N610" s="617"/>
      <c r="O610" s="617"/>
      <c r="P610" s="617"/>
      <c r="Q610" s="617"/>
      <c r="R610" s="617"/>
      <c r="S610" s="617"/>
      <c r="T610" s="617"/>
      <c r="U610" s="617"/>
      <c r="V610" s="617"/>
      <c r="W610" s="617"/>
      <c r="X610" s="617"/>
      <c r="Y610" s="617"/>
      <c r="Z610" s="617"/>
      <c r="AA610" s="617"/>
      <c r="AB610" s="617"/>
      <c r="AC610" s="617"/>
      <c r="AD610" s="617"/>
      <c r="AE610" s="617"/>
      <c r="AF610" s="617"/>
      <c r="AG610" s="617"/>
      <c r="AH610" s="617"/>
    </row>
    <row r="611" spans="1:34" ht="15" hidden="1">
      <c r="A611" s="617"/>
      <c r="B611" s="617"/>
      <c r="C611" s="617"/>
      <c r="D611" s="617"/>
      <c r="E611" s="617"/>
      <c r="F611" s="617"/>
      <c r="G611" s="617"/>
      <c r="H611" s="617"/>
      <c r="I611" s="617"/>
      <c r="J611" s="617"/>
      <c r="K611" s="617"/>
      <c r="L611" s="617"/>
      <c r="M611" s="617"/>
      <c r="N611" s="617"/>
      <c r="O611" s="617"/>
      <c r="P611" s="617"/>
      <c r="Q611" s="617"/>
      <c r="R611" s="617"/>
      <c r="S611" s="617"/>
      <c r="T611" s="617"/>
      <c r="U611" s="617"/>
      <c r="V611" s="617"/>
      <c r="W611" s="617"/>
      <c r="X611" s="617"/>
      <c r="Y611" s="617"/>
      <c r="Z611" s="617"/>
      <c r="AA611" s="617"/>
      <c r="AB611" s="617"/>
      <c r="AC611" s="617"/>
      <c r="AD611" s="617"/>
      <c r="AE611" s="617"/>
      <c r="AF611" s="617"/>
      <c r="AG611" s="617"/>
      <c r="AH611" s="617"/>
    </row>
    <row r="612" spans="1:34" ht="15" hidden="1">
      <c r="A612" s="617"/>
      <c r="B612" s="617"/>
      <c r="C612" s="617"/>
      <c r="D612" s="617"/>
      <c r="E612" s="617"/>
      <c r="F612" s="617"/>
      <c r="G612" s="617"/>
      <c r="H612" s="617"/>
      <c r="I612" s="617"/>
      <c r="J612" s="617"/>
      <c r="K612" s="617"/>
      <c r="L612" s="617"/>
      <c r="M612" s="617"/>
      <c r="N612" s="617"/>
      <c r="O612" s="617"/>
      <c r="P612" s="617"/>
      <c r="Q612" s="617"/>
      <c r="R612" s="617"/>
      <c r="S612" s="617"/>
      <c r="T612" s="617"/>
      <c r="U612" s="617"/>
      <c r="V612" s="617"/>
      <c r="W612" s="617"/>
      <c r="X612" s="617"/>
      <c r="Y612" s="617"/>
      <c r="Z612" s="617"/>
      <c r="AA612" s="617"/>
      <c r="AB612" s="617"/>
      <c r="AC612" s="617"/>
      <c r="AD612" s="617"/>
      <c r="AE612" s="617"/>
      <c r="AF612" s="617"/>
      <c r="AG612" s="617"/>
      <c r="AH612" s="617"/>
    </row>
    <row r="613" spans="1:34" ht="15" hidden="1">
      <c r="A613" s="617"/>
      <c r="B613" s="617"/>
      <c r="C613" s="617"/>
      <c r="D613" s="617"/>
      <c r="E613" s="617"/>
      <c r="F613" s="617"/>
      <c r="G613" s="617"/>
      <c r="H613" s="617"/>
      <c r="I613" s="617"/>
      <c r="J613" s="617"/>
      <c r="K613" s="617"/>
      <c r="L613" s="617"/>
      <c r="M613" s="617"/>
      <c r="N613" s="617"/>
      <c r="O613" s="617"/>
      <c r="P613" s="617"/>
      <c r="Q613" s="617"/>
      <c r="R613" s="617"/>
      <c r="S613" s="617"/>
      <c r="T613" s="617"/>
      <c r="U613" s="617"/>
      <c r="V613" s="617"/>
      <c r="W613" s="617"/>
      <c r="X613" s="617"/>
      <c r="Y613" s="617"/>
      <c r="Z613" s="617"/>
      <c r="AA613" s="617"/>
      <c r="AB613" s="617"/>
      <c r="AC613" s="617"/>
      <c r="AD613" s="617"/>
      <c r="AE613" s="617"/>
      <c r="AF613" s="617"/>
      <c r="AG613" s="617"/>
      <c r="AH613" s="617"/>
    </row>
    <row r="614" spans="1:34" ht="15" hidden="1">
      <c r="A614" s="617"/>
      <c r="B614" s="617"/>
      <c r="C614" s="617"/>
      <c r="D614" s="617"/>
      <c r="E614" s="617"/>
      <c r="F614" s="617"/>
      <c r="G614" s="617"/>
      <c r="H614" s="617"/>
      <c r="I614" s="617"/>
      <c r="J614" s="617"/>
      <c r="K614" s="617"/>
      <c r="L614" s="617"/>
      <c r="M614" s="617"/>
      <c r="N614" s="617"/>
      <c r="O614" s="617"/>
      <c r="P614" s="617"/>
      <c r="Q614" s="617"/>
      <c r="R614" s="617"/>
      <c r="S614" s="617"/>
      <c r="T614" s="617"/>
      <c r="U614" s="617"/>
      <c r="V614" s="617"/>
      <c r="W614" s="617"/>
      <c r="X614" s="617"/>
      <c r="Y614" s="617"/>
      <c r="Z614" s="617"/>
      <c r="AA614" s="617"/>
      <c r="AB614" s="617"/>
      <c r="AC614" s="617"/>
      <c r="AD614" s="617"/>
      <c r="AE614" s="617"/>
      <c r="AF614" s="617"/>
      <c r="AG614" s="617"/>
      <c r="AH614" s="617"/>
    </row>
    <row r="615" spans="1:34" ht="15" hidden="1">
      <c r="A615" s="617"/>
      <c r="B615" s="617"/>
      <c r="C615" s="617"/>
      <c r="D615" s="617"/>
      <c r="E615" s="617"/>
      <c r="F615" s="617"/>
      <c r="G615" s="617"/>
      <c r="H615" s="617"/>
      <c r="I615" s="617"/>
      <c r="J615" s="617"/>
      <c r="K615" s="617"/>
      <c r="L615" s="617"/>
      <c r="M615" s="617"/>
      <c r="N615" s="617"/>
      <c r="O615" s="617"/>
      <c r="P615" s="617"/>
      <c r="Q615" s="617"/>
      <c r="R615" s="617"/>
      <c r="S615" s="617"/>
      <c r="T615" s="617"/>
      <c r="U615" s="617"/>
      <c r="V615" s="617"/>
      <c r="W615" s="617"/>
      <c r="X615" s="617"/>
      <c r="Y615" s="617"/>
      <c r="Z615" s="617"/>
      <c r="AA615" s="617"/>
      <c r="AB615" s="617"/>
      <c r="AC615" s="617"/>
      <c r="AD615" s="617"/>
      <c r="AE615" s="617"/>
      <c r="AF615" s="617"/>
      <c r="AG615" s="617"/>
      <c r="AH615" s="617"/>
    </row>
    <row r="616" spans="1:34" ht="15" hidden="1">
      <c r="A616" s="617"/>
      <c r="B616" s="617"/>
      <c r="C616" s="617"/>
      <c r="D616" s="617"/>
      <c r="E616" s="617"/>
      <c r="F616" s="617"/>
      <c r="G616" s="617"/>
      <c r="H616" s="617"/>
      <c r="I616" s="617"/>
      <c r="J616" s="617"/>
      <c r="K616" s="617"/>
      <c r="L616" s="617"/>
      <c r="M616" s="617"/>
      <c r="N616" s="617"/>
      <c r="O616" s="617"/>
      <c r="P616" s="617"/>
      <c r="Q616" s="617"/>
      <c r="R616" s="617"/>
      <c r="S616" s="617"/>
      <c r="T616" s="617"/>
      <c r="U616" s="617"/>
      <c r="V616" s="617"/>
      <c r="W616" s="617"/>
      <c r="X616" s="617"/>
      <c r="Y616" s="617"/>
      <c r="Z616" s="617"/>
      <c r="AA616" s="617"/>
      <c r="AB616" s="617"/>
      <c r="AC616" s="617"/>
      <c r="AD616" s="617"/>
      <c r="AE616" s="617"/>
      <c r="AF616" s="617"/>
      <c r="AG616" s="617"/>
      <c r="AH616" s="617"/>
    </row>
    <row r="617" spans="1:34" ht="15" hidden="1">
      <c r="A617" s="617"/>
      <c r="B617" s="617"/>
      <c r="C617" s="617"/>
      <c r="D617" s="617"/>
      <c r="E617" s="617"/>
      <c r="F617" s="617"/>
      <c r="G617" s="617"/>
      <c r="H617" s="617"/>
      <c r="I617" s="617"/>
      <c r="J617" s="617"/>
      <c r="K617" s="617"/>
      <c r="L617" s="617"/>
      <c r="M617" s="617"/>
      <c r="N617" s="617"/>
      <c r="O617" s="617"/>
      <c r="P617" s="617"/>
      <c r="Q617" s="617"/>
      <c r="R617" s="617"/>
      <c r="S617" s="617"/>
      <c r="T617" s="617"/>
      <c r="U617" s="617"/>
      <c r="V617" s="617"/>
      <c r="W617" s="617"/>
      <c r="X617" s="617"/>
      <c r="Y617" s="617"/>
      <c r="Z617" s="617"/>
      <c r="AA617" s="617"/>
      <c r="AB617" s="617"/>
      <c r="AC617" s="617"/>
      <c r="AD617" s="617"/>
      <c r="AE617" s="617"/>
      <c r="AF617" s="617"/>
      <c r="AG617" s="617"/>
      <c r="AH617" s="617"/>
    </row>
    <row r="618" spans="1:34" ht="15" hidden="1">
      <c r="A618" s="617"/>
      <c r="B618" s="617"/>
      <c r="C618" s="617"/>
      <c r="D618" s="617"/>
      <c r="E618" s="617"/>
      <c r="F618" s="617"/>
      <c r="G618" s="617"/>
      <c r="H618" s="617"/>
      <c r="I618" s="617"/>
      <c r="J618" s="617"/>
      <c r="K618" s="617"/>
      <c r="L618" s="617"/>
      <c r="M618" s="617"/>
      <c r="N618" s="617"/>
      <c r="O618" s="617"/>
      <c r="P618" s="617"/>
      <c r="Q618" s="617"/>
      <c r="R618" s="617"/>
      <c r="S618" s="617"/>
      <c r="T618" s="617"/>
      <c r="U618" s="617"/>
      <c r="V618" s="617"/>
      <c r="W618" s="617"/>
      <c r="X618" s="617"/>
      <c r="Y618" s="617"/>
      <c r="Z618" s="617"/>
      <c r="AA618" s="617"/>
      <c r="AB618" s="617"/>
      <c r="AC618" s="617"/>
      <c r="AD618" s="617"/>
      <c r="AE618" s="617"/>
      <c r="AF618" s="617"/>
      <c r="AG618" s="617"/>
      <c r="AH618" s="617"/>
    </row>
    <row r="619" spans="1:34" ht="15" hidden="1">
      <c r="A619" s="617"/>
      <c r="B619" s="617"/>
      <c r="C619" s="617"/>
      <c r="D619" s="617"/>
      <c r="E619" s="617"/>
      <c r="F619" s="617"/>
      <c r="G619" s="617"/>
      <c r="H619" s="617"/>
      <c r="I619" s="617"/>
      <c r="J619" s="617"/>
      <c r="K619" s="617"/>
      <c r="L619" s="617"/>
      <c r="M619" s="617"/>
      <c r="N619" s="617"/>
      <c r="O619" s="617"/>
      <c r="P619" s="617"/>
      <c r="Q619" s="617"/>
      <c r="R619" s="617"/>
      <c r="S619" s="617"/>
      <c r="T619" s="617"/>
      <c r="U619" s="617"/>
      <c r="V619" s="617"/>
      <c r="W619" s="617"/>
      <c r="X619" s="617"/>
      <c r="Y619" s="617"/>
      <c r="Z619" s="617"/>
      <c r="AA619" s="617"/>
      <c r="AB619" s="617"/>
      <c r="AC619" s="617"/>
      <c r="AD619" s="617"/>
      <c r="AE619" s="617"/>
      <c r="AF619" s="617"/>
      <c r="AG619" s="617"/>
      <c r="AH619" s="617"/>
    </row>
    <row r="620" spans="1:34" ht="15" hidden="1">
      <c r="A620" s="617"/>
      <c r="B620" s="617"/>
      <c r="C620" s="617"/>
      <c r="D620" s="617"/>
      <c r="E620" s="617"/>
      <c r="F620" s="617"/>
      <c r="G620" s="617"/>
      <c r="H620" s="617"/>
      <c r="I620" s="617"/>
      <c r="J620" s="617"/>
      <c r="K620" s="617"/>
      <c r="L620" s="617"/>
      <c r="M620" s="617"/>
      <c r="N620" s="617"/>
      <c r="O620" s="617"/>
      <c r="P620" s="617"/>
      <c r="Q620" s="617"/>
      <c r="R620" s="617"/>
      <c r="S620" s="617"/>
      <c r="T620" s="617"/>
      <c r="U620" s="617"/>
      <c r="V620" s="617"/>
      <c r="W620" s="617"/>
      <c r="X620" s="617"/>
      <c r="Y620" s="617"/>
      <c r="Z620" s="617"/>
      <c r="AA620" s="617"/>
      <c r="AB620" s="617"/>
      <c r="AC620" s="617"/>
      <c r="AD620" s="617"/>
      <c r="AE620" s="617"/>
      <c r="AF620" s="617"/>
      <c r="AG620" s="617"/>
      <c r="AH620" s="617"/>
    </row>
    <row r="621" spans="1:34" ht="15" hidden="1">
      <c r="A621" s="617"/>
      <c r="B621" s="617"/>
      <c r="C621" s="617"/>
      <c r="D621" s="617"/>
      <c r="E621" s="617"/>
      <c r="F621" s="617"/>
      <c r="G621" s="617"/>
      <c r="H621" s="617"/>
      <c r="I621" s="617"/>
      <c r="J621" s="617"/>
      <c r="K621" s="617"/>
      <c r="L621" s="617"/>
      <c r="M621" s="617"/>
      <c r="N621" s="617"/>
      <c r="O621" s="617"/>
      <c r="P621" s="617"/>
      <c r="Q621" s="617"/>
      <c r="R621" s="617"/>
      <c r="S621" s="617"/>
      <c r="T621" s="617"/>
      <c r="U621" s="617"/>
      <c r="V621" s="617"/>
      <c r="W621" s="617"/>
      <c r="X621" s="617"/>
      <c r="Y621" s="617"/>
      <c r="Z621" s="617"/>
      <c r="AA621" s="617"/>
      <c r="AB621" s="617"/>
      <c r="AC621" s="617"/>
      <c r="AD621" s="617"/>
      <c r="AE621" s="617"/>
      <c r="AF621" s="617"/>
      <c r="AG621" s="617"/>
      <c r="AH621" s="617"/>
    </row>
    <row r="622" spans="1:34" ht="15" hidden="1">
      <c r="A622" s="617"/>
      <c r="B622" s="617"/>
      <c r="C622" s="617"/>
      <c r="D622" s="617"/>
      <c r="E622" s="617"/>
      <c r="F622" s="617"/>
      <c r="G622" s="617"/>
      <c r="H622" s="617"/>
      <c r="I622" s="617"/>
      <c r="J622" s="617"/>
      <c r="K622" s="617"/>
      <c r="L622" s="617"/>
      <c r="M622" s="617"/>
      <c r="N622" s="617"/>
      <c r="O622" s="617"/>
      <c r="P622" s="617"/>
      <c r="Q622" s="617"/>
      <c r="R622" s="617"/>
      <c r="S622" s="617"/>
      <c r="T622" s="617"/>
      <c r="U622" s="617"/>
      <c r="V622" s="617"/>
      <c r="W622" s="617"/>
      <c r="X622" s="617"/>
      <c r="Y622" s="617"/>
      <c r="Z622" s="617"/>
      <c r="AA622" s="617"/>
      <c r="AB622" s="617"/>
      <c r="AC622" s="617"/>
      <c r="AD622" s="617"/>
      <c r="AE622" s="617"/>
      <c r="AF622" s="617"/>
      <c r="AG622" s="617"/>
      <c r="AH622" s="617"/>
    </row>
    <row r="623" spans="1:34" ht="15" hidden="1">
      <c r="A623" s="617"/>
      <c r="B623" s="617"/>
      <c r="C623" s="617"/>
      <c r="D623" s="617"/>
      <c r="E623" s="617"/>
      <c r="F623" s="617"/>
      <c r="G623" s="617"/>
      <c r="H623" s="617"/>
      <c r="I623" s="617"/>
      <c r="J623" s="617"/>
      <c r="K623" s="617"/>
      <c r="L623" s="617"/>
      <c r="M623" s="617"/>
      <c r="N623" s="617"/>
      <c r="O623" s="617"/>
      <c r="P623" s="617"/>
      <c r="Q623" s="617"/>
      <c r="R623" s="617"/>
      <c r="S623" s="617"/>
      <c r="T623" s="617"/>
      <c r="U623" s="617"/>
      <c r="V623" s="617"/>
      <c r="W623" s="617"/>
      <c r="X623" s="617"/>
      <c r="Y623" s="617"/>
      <c r="Z623" s="617"/>
      <c r="AA623" s="617"/>
      <c r="AB623" s="617"/>
      <c r="AC623" s="617"/>
      <c r="AD623" s="617"/>
      <c r="AE623" s="617"/>
      <c r="AF623" s="617"/>
      <c r="AG623" s="617"/>
      <c r="AH623" s="617"/>
    </row>
    <row r="624" spans="1:34" ht="15" hidden="1">
      <c r="A624" s="617"/>
      <c r="B624" s="617"/>
      <c r="C624" s="617"/>
      <c r="D624" s="617"/>
      <c r="E624" s="617"/>
      <c r="F624" s="617"/>
      <c r="G624" s="617"/>
      <c r="H624" s="617"/>
      <c r="I624" s="617"/>
      <c r="J624" s="617"/>
      <c r="K624" s="617"/>
      <c r="L624" s="617"/>
      <c r="M624" s="617"/>
      <c r="N624" s="617"/>
      <c r="O624" s="617"/>
      <c r="P624" s="617"/>
      <c r="Q624" s="617"/>
      <c r="R624" s="617"/>
      <c r="S624" s="617"/>
      <c r="T624" s="617"/>
      <c r="U624" s="617"/>
      <c r="V624" s="617"/>
      <c r="W624" s="617"/>
      <c r="X624" s="617"/>
      <c r="Y624" s="617"/>
      <c r="Z624" s="617"/>
      <c r="AA624" s="617"/>
      <c r="AB624" s="617"/>
      <c r="AC624" s="617"/>
      <c r="AD624" s="617"/>
      <c r="AE624" s="617"/>
      <c r="AF624" s="617"/>
      <c r="AG624" s="617"/>
      <c r="AH624" s="617"/>
    </row>
    <row r="625" spans="1:34" ht="15" hidden="1">
      <c r="A625" s="617"/>
      <c r="B625" s="617"/>
      <c r="C625" s="617"/>
      <c r="D625" s="617"/>
      <c r="E625" s="617"/>
      <c r="F625" s="617"/>
      <c r="G625" s="617"/>
      <c r="H625" s="617"/>
      <c r="I625" s="617"/>
      <c r="J625" s="617"/>
      <c r="K625" s="617"/>
      <c r="L625" s="617"/>
      <c r="M625" s="617"/>
      <c r="N625" s="617"/>
      <c r="O625" s="617"/>
      <c r="P625" s="617"/>
      <c r="Q625" s="617"/>
      <c r="R625" s="617"/>
      <c r="S625" s="617"/>
      <c r="T625" s="617"/>
      <c r="U625" s="617"/>
      <c r="V625" s="617"/>
      <c r="W625" s="617"/>
      <c r="X625" s="617"/>
      <c r="Y625" s="617"/>
      <c r="Z625" s="617"/>
      <c r="AA625" s="617"/>
      <c r="AB625" s="617"/>
      <c r="AC625" s="617"/>
      <c r="AD625" s="617"/>
      <c r="AE625" s="617"/>
      <c r="AF625" s="617"/>
      <c r="AG625" s="617"/>
      <c r="AH625" s="617"/>
    </row>
    <row r="626" spans="1:34" ht="15" hidden="1">
      <c r="A626" s="617"/>
      <c r="B626" s="617"/>
      <c r="C626" s="617"/>
      <c r="D626" s="617"/>
      <c r="E626" s="617"/>
      <c r="F626" s="617"/>
      <c r="G626" s="617"/>
      <c r="H626" s="617"/>
      <c r="I626" s="617"/>
      <c r="J626" s="617"/>
      <c r="K626" s="617"/>
      <c r="L626" s="617"/>
      <c r="M626" s="617"/>
      <c r="N626" s="617"/>
      <c r="O626" s="617"/>
      <c r="P626" s="617"/>
      <c r="Q626" s="617"/>
      <c r="R626" s="617"/>
      <c r="S626" s="617"/>
      <c r="T626" s="617"/>
      <c r="U626" s="617"/>
      <c r="V626" s="617"/>
      <c r="W626" s="617"/>
      <c r="X626" s="617"/>
      <c r="Y626" s="617"/>
      <c r="Z626" s="617"/>
      <c r="AA626" s="617"/>
      <c r="AB626" s="617"/>
      <c r="AC626" s="617"/>
      <c r="AD626" s="617"/>
      <c r="AE626" s="617"/>
      <c r="AF626" s="617"/>
      <c r="AG626" s="617"/>
      <c r="AH626" s="617"/>
    </row>
    <row r="627" spans="1:34" ht="15" hidden="1">
      <c r="A627" s="617"/>
      <c r="B627" s="617"/>
      <c r="C627" s="617"/>
      <c r="D627" s="617"/>
      <c r="E627" s="617"/>
      <c r="F627" s="617"/>
      <c r="G627" s="617"/>
      <c r="H627" s="617"/>
      <c r="I627" s="617"/>
      <c r="J627" s="617"/>
      <c r="K627" s="617"/>
      <c r="L627" s="617"/>
      <c r="M627" s="617"/>
      <c r="N627" s="617"/>
      <c r="O627" s="617"/>
      <c r="P627" s="617"/>
      <c r="Q627" s="617"/>
      <c r="R627" s="617"/>
      <c r="S627" s="617"/>
      <c r="T627" s="617"/>
      <c r="U627" s="617"/>
      <c r="V627" s="617"/>
      <c r="W627" s="617"/>
      <c r="X627" s="617"/>
      <c r="Y627" s="617"/>
      <c r="Z627" s="617"/>
      <c r="AA627" s="617"/>
      <c r="AB627" s="617"/>
      <c r="AC627" s="617"/>
      <c r="AD627" s="617"/>
      <c r="AE627" s="617"/>
      <c r="AF627" s="617"/>
      <c r="AG627" s="617"/>
      <c r="AH627" s="617"/>
    </row>
    <row r="628" spans="1:34" ht="15" hidden="1">
      <c r="A628" s="617"/>
      <c r="B628" s="617"/>
      <c r="C628" s="617"/>
      <c r="D628" s="617"/>
      <c r="E628" s="617"/>
      <c r="F628" s="617"/>
      <c r="G628" s="617"/>
      <c r="H628" s="617"/>
      <c r="I628" s="617"/>
      <c r="J628" s="617"/>
      <c r="K628" s="617"/>
      <c r="L628" s="617"/>
      <c r="M628" s="617"/>
      <c r="N628" s="617"/>
      <c r="O628" s="617"/>
      <c r="P628" s="617"/>
      <c r="Q628" s="617"/>
      <c r="R628" s="617"/>
      <c r="S628" s="617"/>
      <c r="T628" s="617"/>
      <c r="U628" s="617"/>
      <c r="V628" s="617"/>
      <c r="W628" s="617"/>
      <c r="X628" s="617"/>
      <c r="Y628" s="617"/>
      <c r="Z628" s="617"/>
      <c r="AA628" s="617"/>
      <c r="AB628" s="617"/>
      <c r="AC628" s="617"/>
      <c r="AD628" s="617"/>
      <c r="AE628" s="617"/>
      <c r="AF628" s="617"/>
      <c r="AG628" s="617"/>
      <c r="AH628" s="617"/>
    </row>
    <row r="629" spans="1:34" ht="15" hidden="1">
      <c r="A629" s="617"/>
      <c r="B629" s="617"/>
      <c r="C629" s="617"/>
      <c r="D629" s="617"/>
      <c r="E629" s="617"/>
      <c r="F629" s="617"/>
      <c r="G629" s="617"/>
      <c r="H629" s="617"/>
      <c r="I629" s="617"/>
      <c r="J629" s="617"/>
      <c r="K629" s="617"/>
      <c r="L629" s="617"/>
      <c r="M629" s="617"/>
      <c r="N629" s="617"/>
      <c r="O629" s="617"/>
      <c r="P629" s="617"/>
      <c r="Q629" s="617"/>
      <c r="R629" s="617"/>
      <c r="S629" s="617"/>
      <c r="T629" s="617"/>
      <c r="U629" s="617"/>
      <c r="V629" s="617"/>
      <c r="W629" s="617"/>
      <c r="X629" s="617"/>
      <c r="Y629" s="617"/>
      <c r="Z629" s="617"/>
      <c r="AA629" s="617"/>
      <c r="AB629" s="617"/>
      <c r="AC629" s="617"/>
      <c r="AD629" s="617"/>
      <c r="AE629" s="617"/>
      <c r="AF629" s="617"/>
      <c r="AG629" s="617"/>
      <c r="AH629" s="617"/>
    </row>
    <row r="630" spans="1:34" ht="15" hidden="1">
      <c r="A630" s="617"/>
      <c r="B630" s="617"/>
      <c r="C630" s="617"/>
      <c r="D630" s="617"/>
      <c r="E630" s="617"/>
      <c r="F630" s="617"/>
      <c r="G630" s="617"/>
      <c r="H630" s="617"/>
      <c r="I630" s="617"/>
      <c r="J630" s="617"/>
      <c r="K630" s="617"/>
      <c r="L630" s="617"/>
      <c r="M630" s="617"/>
      <c r="N630" s="617"/>
      <c r="O630" s="617"/>
      <c r="P630" s="617"/>
      <c r="Q630" s="617"/>
      <c r="R630" s="617"/>
      <c r="S630" s="617"/>
      <c r="T630" s="617"/>
      <c r="U630" s="617"/>
      <c r="V630" s="617"/>
      <c r="W630" s="617"/>
      <c r="X630" s="617"/>
      <c r="Y630" s="617"/>
      <c r="Z630" s="617"/>
      <c r="AA630" s="617"/>
      <c r="AB630" s="617"/>
      <c r="AC630" s="617"/>
      <c r="AD630" s="617"/>
      <c r="AE630" s="617"/>
      <c r="AF630" s="617"/>
      <c r="AG630" s="617"/>
      <c r="AH630" s="617"/>
    </row>
    <row r="631" spans="1:34" ht="15" hidden="1">
      <c r="A631" s="617"/>
      <c r="B631" s="617"/>
      <c r="C631" s="617"/>
      <c r="D631" s="617"/>
      <c r="E631" s="617"/>
      <c r="F631" s="617"/>
      <c r="G631" s="617"/>
      <c r="H631" s="617"/>
      <c r="I631" s="617"/>
      <c r="J631" s="617"/>
      <c r="K631" s="617"/>
      <c r="L631" s="617"/>
      <c r="M631" s="617"/>
      <c r="N631" s="617"/>
      <c r="O631" s="617"/>
      <c r="P631" s="617"/>
      <c r="Q631" s="617"/>
      <c r="R631" s="617"/>
      <c r="S631" s="617"/>
      <c r="T631" s="617"/>
      <c r="U631" s="617"/>
      <c r="V631" s="617"/>
      <c r="W631" s="617"/>
      <c r="X631" s="617"/>
      <c r="Y631" s="617"/>
      <c r="Z631" s="617"/>
      <c r="AA631" s="617"/>
      <c r="AB631" s="617"/>
      <c r="AC631" s="617"/>
      <c r="AD631" s="617"/>
      <c r="AE631" s="617"/>
      <c r="AF631" s="617"/>
      <c r="AG631" s="617"/>
      <c r="AH631" s="617"/>
    </row>
    <row r="632" spans="1:34" ht="15" hidden="1">
      <c r="A632" s="617"/>
      <c r="B632" s="617"/>
      <c r="C632" s="617"/>
      <c r="D632" s="617"/>
      <c r="E632" s="617"/>
      <c r="F632" s="617"/>
      <c r="G632" s="617"/>
      <c r="H632" s="617"/>
      <c r="I632" s="617"/>
      <c r="J632" s="617"/>
      <c r="K632" s="617"/>
      <c r="L632" s="617"/>
      <c r="M632" s="617"/>
      <c r="N632" s="617"/>
      <c r="O632" s="617"/>
      <c r="P632" s="617"/>
      <c r="Q632" s="617"/>
      <c r="R632" s="617"/>
      <c r="S632" s="617"/>
      <c r="T632" s="617"/>
      <c r="U632" s="617"/>
      <c r="V632" s="617"/>
      <c r="W632" s="617"/>
      <c r="X632" s="617"/>
      <c r="Y632" s="617"/>
      <c r="Z632" s="617"/>
      <c r="AA632" s="617"/>
      <c r="AB632" s="617"/>
      <c r="AC632" s="617"/>
      <c r="AD632" s="617"/>
      <c r="AE632" s="617"/>
      <c r="AF632" s="617"/>
      <c r="AG632" s="617"/>
      <c r="AH632" s="617"/>
    </row>
    <row r="633" spans="1:34" ht="15" hidden="1">
      <c r="A633" s="617"/>
      <c r="B633" s="617"/>
      <c r="C633" s="617"/>
      <c r="D633" s="617"/>
      <c r="E633" s="617"/>
      <c r="F633" s="617"/>
      <c r="G633" s="617"/>
      <c r="H633" s="617"/>
      <c r="I633" s="617"/>
      <c r="J633" s="617"/>
      <c r="K633" s="617"/>
      <c r="L633" s="617"/>
      <c r="M633" s="617"/>
      <c r="N633" s="617"/>
      <c r="O633" s="617"/>
      <c r="P633" s="617"/>
      <c r="Q633" s="617"/>
      <c r="R633" s="617"/>
      <c r="S633" s="617"/>
      <c r="T633" s="617"/>
      <c r="U633" s="617"/>
      <c r="V633" s="617"/>
      <c r="W633" s="617"/>
      <c r="X633" s="617"/>
      <c r="Y633" s="617"/>
      <c r="Z633" s="617"/>
      <c r="AA633" s="617"/>
      <c r="AB633" s="617"/>
      <c r="AC633" s="617"/>
      <c r="AD633" s="617"/>
      <c r="AE633" s="617"/>
      <c r="AF633" s="617"/>
      <c r="AG633" s="617"/>
      <c r="AH633" s="617"/>
    </row>
    <row r="634" spans="1:34" ht="15" hidden="1">
      <c r="A634" s="617"/>
      <c r="B634" s="617"/>
      <c r="C634" s="617"/>
      <c r="D634" s="617"/>
      <c r="E634" s="617"/>
      <c r="F634" s="617"/>
      <c r="G634" s="617"/>
      <c r="H634" s="617"/>
      <c r="I634" s="617"/>
      <c r="J634" s="617"/>
      <c r="K634" s="617"/>
      <c r="L634" s="617"/>
      <c r="M634" s="617"/>
      <c r="N634" s="617"/>
      <c r="O634" s="617"/>
      <c r="P634" s="617"/>
      <c r="Q634" s="617"/>
      <c r="R634" s="617"/>
      <c r="S634" s="617"/>
      <c r="T634" s="617"/>
      <c r="U634" s="617"/>
      <c r="V634" s="617"/>
      <c r="W634" s="617"/>
      <c r="X634" s="617"/>
      <c r="Y634" s="617"/>
      <c r="Z634" s="617"/>
      <c r="AA634" s="617"/>
      <c r="AB634" s="617"/>
      <c r="AC634" s="617"/>
      <c r="AD634" s="617"/>
      <c r="AE634" s="617"/>
      <c r="AF634" s="617"/>
      <c r="AG634" s="617"/>
      <c r="AH634" s="617"/>
    </row>
    <row r="635" spans="1:34" ht="15" hidden="1">
      <c r="A635" s="617"/>
      <c r="B635" s="617"/>
      <c r="C635" s="617"/>
      <c r="D635" s="617"/>
      <c r="E635" s="617"/>
      <c r="F635" s="617"/>
      <c r="G635" s="617"/>
      <c r="H635" s="617"/>
      <c r="I635" s="617"/>
      <c r="J635" s="617"/>
      <c r="K635" s="617"/>
      <c r="L635" s="617"/>
      <c r="M635" s="617"/>
      <c r="N635" s="617"/>
      <c r="O635" s="617"/>
      <c r="P635" s="617"/>
      <c r="Q635" s="617"/>
      <c r="R635" s="617"/>
      <c r="S635" s="617"/>
      <c r="T635" s="617"/>
      <c r="U635" s="617"/>
      <c r="V635" s="617"/>
      <c r="W635" s="617"/>
      <c r="X635" s="617"/>
      <c r="Y635" s="617"/>
      <c r="Z635" s="617"/>
      <c r="AA635" s="617"/>
      <c r="AB635" s="617"/>
      <c r="AC635" s="617"/>
      <c r="AD635" s="617"/>
      <c r="AE635" s="617"/>
      <c r="AF635" s="617"/>
      <c r="AG635" s="617"/>
      <c r="AH635" s="617"/>
    </row>
    <row r="636" spans="1:34" ht="15" hidden="1">
      <c r="A636" s="617"/>
      <c r="B636" s="617"/>
      <c r="C636" s="617"/>
      <c r="D636" s="617"/>
      <c r="E636" s="617"/>
      <c r="F636" s="617"/>
      <c r="G636" s="617"/>
      <c r="H636" s="617"/>
      <c r="I636" s="617"/>
      <c r="J636" s="617"/>
      <c r="K636" s="617"/>
      <c r="L636" s="617"/>
      <c r="M636" s="617"/>
      <c r="N636" s="617"/>
      <c r="O636" s="617"/>
      <c r="P636" s="617"/>
      <c r="Q636" s="617"/>
      <c r="R636" s="617"/>
      <c r="S636" s="617"/>
      <c r="T636" s="617"/>
      <c r="U636" s="617"/>
      <c r="V636" s="617"/>
      <c r="W636" s="617"/>
      <c r="X636" s="617"/>
      <c r="Y636" s="617"/>
      <c r="Z636" s="617"/>
      <c r="AA636" s="617"/>
      <c r="AB636" s="617"/>
      <c r="AC636" s="617"/>
      <c r="AD636" s="617"/>
      <c r="AE636" s="617"/>
      <c r="AF636" s="617"/>
      <c r="AG636" s="617"/>
      <c r="AH636" s="617"/>
    </row>
    <row r="637" spans="1:34" ht="15" hidden="1">
      <c r="A637" s="617"/>
      <c r="B637" s="617"/>
      <c r="C637" s="617"/>
      <c r="D637" s="617"/>
      <c r="E637" s="617"/>
      <c r="F637" s="617"/>
      <c r="G637" s="617"/>
      <c r="H637" s="617"/>
      <c r="I637" s="617"/>
      <c r="J637" s="617"/>
      <c r="K637" s="617"/>
      <c r="L637" s="617"/>
      <c r="M637" s="617"/>
      <c r="N637" s="617"/>
      <c r="O637" s="617"/>
      <c r="P637" s="617"/>
      <c r="Q637" s="617"/>
      <c r="R637" s="617"/>
      <c r="S637" s="617"/>
      <c r="T637" s="617"/>
      <c r="U637" s="617"/>
      <c r="V637" s="617"/>
      <c r="W637" s="617"/>
      <c r="X637" s="617"/>
      <c r="Y637" s="617"/>
      <c r="Z637" s="617"/>
      <c r="AA637" s="617"/>
      <c r="AB637" s="617"/>
      <c r="AC637" s="617"/>
      <c r="AD637" s="617"/>
      <c r="AE637" s="617"/>
      <c r="AF637" s="617"/>
      <c r="AG637" s="617"/>
      <c r="AH637" s="617"/>
    </row>
    <row r="638" spans="1:34" ht="15" hidden="1">
      <c r="A638" s="617"/>
      <c r="B638" s="617"/>
      <c r="C638" s="617"/>
      <c r="D638" s="617"/>
      <c r="E638" s="617"/>
      <c r="F638" s="617"/>
      <c r="G638" s="617"/>
      <c r="H638" s="617"/>
      <c r="I638" s="617"/>
      <c r="J638" s="617"/>
      <c r="K638" s="617"/>
      <c r="L638" s="617"/>
      <c r="M638" s="617"/>
      <c r="N638" s="617"/>
      <c r="O638" s="617"/>
      <c r="P638" s="617"/>
      <c r="Q638" s="617"/>
      <c r="R638" s="617"/>
      <c r="S638" s="617"/>
      <c r="T638" s="617"/>
      <c r="U638" s="617"/>
      <c r="V638" s="617"/>
      <c r="W638" s="617"/>
      <c r="X638" s="617"/>
      <c r="Y638" s="617"/>
      <c r="Z638" s="617"/>
      <c r="AA638" s="617"/>
      <c r="AB638" s="617"/>
      <c r="AC638" s="617"/>
      <c r="AD638" s="617"/>
      <c r="AE638" s="617"/>
      <c r="AF638" s="617"/>
      <c r="AG638" s="617"/>
      <c r="AH638" s="617"/>
    </row>
    <row r="639" spans="1:34" ht="15" hidden="1">
      <c r="A639" s="617"/>
      <c r="B639" s="617"/>
      <c r="C639" s="617"/>
      <c r="D639" s="617"/>
      <c r="E639" s="617"/>
      <c r="F639" s="617"/>
      <c r="G639" s="617"/>
      <c r="H639" s="617"/>
      <c r="I639" s="617"/>
      <c r="J639" s="617"/>
      <c r="K639" s="617"/>
      <c r="L639" s="617"/>
      <c r="M639" s="617"/>
      <c r="N639" s="617"/>
      <c r="O639" s="617"/>
      <c r="P639" s="617"/>
      <c r="Q639" s="617"/>
      <c r="R639" s="617"/>
      <c r="S639" s="617"/>
      <c r="T639" s="617"/>
      <c r="U639" s="617"/>
      <c r="V639" s="617"/>
      <c r="W639" s="617"/>
      <c r="X639" s="617"/>
      <c r="Y639" s="617"/>
      <c r="Z639" s="617"/>
      <c r="AA639" s="617"/>
      <c r="AB639" s="617"/>
      <c r="AC639" s="617"/>
      <c r="AD639" s="617"/>
      <c r="AE639" s="617"/>
      <c r="AF639" s="617"/>
      <c r="AG639" s="617"/>
      <c r="AH639" s="617"/>
    </row>
    <row r="640" spans="1:34" ht="15" hidden="1">
      <c r="A640" s="617"/>
      <c r="B640" s="617"/>
      <c r="C640" s="617"/>
      <c r="D640" s="617"/>
      <c r="E640" s="617"/>
      <c r="F640" s="617"/>
      <c r="G640" s="617"/>
      <c r="H640" s="617"/>
      <c r="I640" s="617"/>
      <c r="J640" s="617"/>
      <c r="K640" s="617"/>
      <c r="L640" s="617"/>
      <c r="M640" s="617"/>
      <c r="N640" s="617"/>
      <c r="O640" s="617"/>
      <c r="P640" s="617"/>
      <c r="Q640" s="617"/>
      <c r="R640" s="617"/>
      <c r="S640" s="617"/>
      <c r="T640" s="617"/>
      <c r="U640" s="617"/>
      <c r="V640" s="617"/>
      <c r="W640" s="617"/>
      <c r="X640" s="617"/>
      <c r="Y640" s="617"/>
      <c r="Z640" s="617"/>
      <c r="AA640" s="617"/>
      <c r="AB640" s="617"/>
      <c r="AC640" s="617"/>
      <c r="AD640" s="617"/>
      <c r="AE640" s="617"/>
      <c r="AF640" s="617"/>
      <c r="AG640" s="617"/>
      <c r="AH640" s="617"/>
    </row>
    <row r="641" spans="1:34" ht="15" hidden="1">
      <c r="A641" s="617"/>
      <c r="B641" s="617"/>
      <c r="C641" s="617"/>
      <c r="D641" s="617"/>
      <c r="E641" s="617"/>
      <c r="F641" s="617"/>
      <c r="G641" s="617"/>
      <c r="H641" s="617"/>
      <c r="I641" s="617"/>
      <c r="J641" s="617"/>
      <c r="K641" s="617"/>
      <c r="L641" s="617"/>
      <c r="M641" s="617"/>
      <c r="N641" s="617"/>
      <c r="O641" s="617"/>
      <c r="P641" s="617"/>
      <c r="Q641" s="617"/>
      <c r="R641" s="617"/>
      <c r="S641" s="617"/>
      <c r="T641" s="617"/>
      <c r="U641" s="617"/>
      <c r="V641" s="617"/>
      <c r="W641" s="617"/>
      <c r="X641" s="617"/>
      <c r="Y641" s="617"/>
      <c r="Z641" s="617"/>
      <c r="AA641" s="617"/>
      <c r="AB641" s="617"/>
      <c r="AC641" s="617"/>
      <c r="AD641" s="617"/>
      <c r="AE641" s="617"/>
      <c r="AF641" s="617"/>
      <c r="AG641" s="617"/>
      <c r="AH641" s="617"/>
    </row>
    <row r="642" spans="1:34" ht="15" hidden="1">
      <c r="A642" s="617"/>
      <c r="B642" s="617"/>
      <c r="C642" s="617"/>
      <c r="D642" s="617"/>
      <c r="E642" s="617"/>
      <c r="F642" s="617"/>
      <c r="G642" s="617"/>
      <c r="H642" s="617"/>
      <c r="I642" s="617"/>
      <c r="J642" s="617"/>
      <c r="K642" s="617"/>
      <c r="L642" s="617"/>
      <c r="M642" s="617"/>
      <c r="N642" s="617"/>
      <c r="O642" s="617"/>
      <c r="P642" s="617"/>
      <c r="Q642" s="617"/>
      <c r="R642" s="617"/>
      <c r="S642" s="617"/>
      <c r="T642" s="617"/>
      <c r="U642" s="617"/>
      <c r="V642" s="617"/>
      <c r="W642" s="617"/>
      <c r="X642" s="617"/>
      <c r="Y642" s="617"/>
      <c r="Z642" s="617"/>
      <c r="AA642" s="617"/>
      <c r="AB642" s="617"/>
      <c r="AC642" s="617"/>
      <c r="AD642" s="617"/>
      <c r="AE642" s="617"/>
      <c r="AF642" s="617"/>
      <c r="AG642" s="617"/>
      <c r="AH642" s="617"/>
    </row>
    <row r="643" spans="1:34" ht="15" hidden="1">
      <c r="A643" s="617"/>
      <c r="B643" s="617"/>
      <c r="C643" s="617"/>
      <c r="D643" s="617"/>
      <c r="E643" s="617"/>
      <c r="F643" s="617"/>
      <c r="G643" s="617"/>
      <c r="H643" s="617"/>
      <c r="I643" s="617"/>
      <c r="J643" s="617"/>
      <c r="K643" s="617"/>
      <c r="L643" s="617"/>
      <c r="M643" s="617"/>
      <c r="N643" s="617"/>
      <c r="O643" s="617"/>
      <c r="P643" s="617"/>
      <c r="Q643" s="617"/>
      <c r="R643" s="617"/>
      <c r="S643" s="617"/>
      <c r="T643" s="617"/>
      <c r="U643" s="617"/>
      <c r="V643" s="617"/>
      <c r="W643" s="617"/>
      <c r="X643" s="617"/>
      <c r="Y643" s="617"/>
      <c r="Z643" s="617"/>
      <c r="AA643" s="617"/>
      <c r="AB643" s="617"/>
      <c r="AC643" s="617"/>
      <c r="AD643" s="617"/>
      <c r="AE643" s="617"/>
      <c r="AF643" s="617"/>
      <c r="AG643" s="617"/>
      <c r="AH643" s="617"/>
    </row>
    <row r="644" spans="1:34" ht="15" hidden="1">
      <c r="A644" s="617"/>
      <c r="B644" s="617"/>
      <c r="C644" s="617"/>
      <c r="D644" s="617"/>
      <c r="E644" s="617"/>
      <c r="F644" s="617"/>
      <c r="G644" s="617"/>
      <c r="H644" s="617"/>
      <c r="I644" s="617"/>
      <c r="J644" s="617"/>
      <c r="K644" s="617"/>
      <c r="L644" s="617"/>
      <c r="M644" s="617"/>
      <c r="N644" s="617"/>
      <c r="O644" s="617"/>
      <c r="P644" s="617"/>
      <c r="Q644" s="617"/>
      <c r="R644" s="617"/>
      <c r="S644" s="617"/>
      <c r="T644" s="617"/>
      <c r="U644" s="617"/>
      <c r="V644" s="617"/>
      <c r="W644" s="617"/>
      <c r="X644" s="617"/>
      <c r="Y644" s="617"/>
      <c r="Z644" s="617"/>
      <c r="AA644" s="617"/>
      <c r="AB644" s="617"/>
      <c r="AC644" s="617"/>
      <c r="AD644" s="617"/>
      <c r="AE644" s="617"/>
      <c r="AF644" s="617"/>
      <c r="AG644" s="617"/>
      <c r="AH644" s="617"/>
    </row>
    <row r="645" spans="1:34" ht="15" hidden="1">
      <c r="A645" s="617"/>
      <c r="B645" s="617"/>
      <c r="C645" s="617"/>
      <c r="D645" s="617"/>
      <c r="E645" s="617"/>
      <c r="F645" s="617"/>
      <c r="G645" s="617"/>
      <c r="H645" s="617"/>
      <c r="I645" s="617"/>
      <c r="J645" s="617"/>
      <c r="K645" s="617"/>
      <c r="L645" s="617"/>
      <c r="M645" s="617"/>
      <c r="N645" s="617"/>
      <c r="O645" s="617"/>
      <c r="P645" s="617"/>
      <c r="Q645" s="617"/>
      <c r="R645" s="617"/>
      <c r="S645" s="617"/>
      <c r="T645" s="617"/>
      <c r="U645" s="617"/>
      <c r="V645" s="617"/>
      <c r="W645" s="617"/>
      <c r="X645" s="617"/>
      <c r="Y645" s="617"/>
      <c r="Z645" s="617"/>
      <c r="AA645" s="617"/>
      <c r="AB645" s="617"/>
      <c r="AC645" s="617"/>
      <c r="AD645" s="617"/>
      <c r="AE645" s="617"/>
      <c r="AF645" s="617"/>
      <c r="AG645" s="617"/>
      <c r="AH645" s="617"/>
    </row>
    <row r="646" spans="1:34" ht="15" hidden="1">
      <c r="A646" s="617"/>
      <c r="B646" s="617"/>
      <c r="C646" s="617"/>
      <c r="D646" s="617"/>
      <c r="E646" s="617"/>
      <c r="F646" s="617"/>
      <c r="G646" s="617"/>
      <c r="H646" s="617"/>
      <c r="I646" s="617"/>
      <c r="J646" s="617"/>
      <c r="K646" s="617"/>
      <c r="L646" s="617"/>
      <c r="M646" s="617"/>
      <c r="N646" s="617"/>
      <c r="O646" s="617"/>
      <c r="P646" s="617"/>
      <c r="Q646" s="617"/>
      <c r="R646" s="617"/>
      <c r="S646" s="617"/>
      <c r="T646" s="617"/>
      <c r="U646" s="617"/>
      <c r="V646" s="617"/>
      <c r="W646" s="617"/>
      <c r="X646" s="617"/>
      <c r="Y646" s="617"/>
      <c r="Z646" s="617"/>
      <c r="AA646" s="617"/>
      <c r="AB646" s="617"/>
      <c r="AC646" s="617"/>
      <c r="AD646" s="617"/>
      <c r="AE646" s="617"/>
      <c r="AF646" s="617"/>
      <c r="AG646" s="617"/>
      <c r="AH646" s="617"/>
    </row>
    <row r="647" spans="1:34" ht="15" hidden="1">
      <c r="A647" s="617"/>
      <c r="B647" s="617"/>
      <c r="C647" s="617"/>
      <c r="D647" s="617"/>
      <c r="E647" s="617"/>
      <c r="F647" s="617"/>
      <c r="G647" s="617"/>
      <c r="H647" s="617"/>
      <c r="I647" s="617"/>
      <c r="J647" s="617"/>
      <c r="K647" s="617"/>
      <c r="L647" s="617"/>
      <c r="M647" s="617"/>
      <c r="N647" s="617"/>
      <c r="O647" s="617"/>
      <c r="P647" s="617"/>
      <c r="Q647" s="617"/>
      <c r="R647" s="617"/>
      <c r="S647" s="617"/>
      <c r="T647" s="617"/>
      <c r="U647" s="617"/>
      <c r="V647" s="617"/>
      <c r="W647" s="617"/>
      <c r="X647" s="617"/>
      <c r="Y647" s="617"/>
      <c r="Z647" s="617"/>
      <c r="AA647" s="617"/>
      <c r="AB647" s="617"/>
      <c r="AC647" s="617"/>
      <c r="AD647" s="617"/>
      <c r="AE647" s="617"/>
      <c r="AF647" s="617"/>
      <c r="AG647" s="617"/>
      <c r="AH647" s="617"/>
    </row>
    <row r="648" spans="1:34" ht="15" hidden="1">
      <c r="A648" s="617"/>
      <c r="B648" s="617"/>
      <c r="C648" s="617"/>
      <c r="D648" s="617"/>
      <c r="E648" s="617"/>
      <c r="F648" s="617"/>
      <c r="G648" s="617"/>
      <c r="H648" s="617"/>
      <c r="I648" s="617"/>
      <c r="J648" s="617"/>
      <c r="K648" s="617"/>
      <c r="L648" s="617"/>
      <c r="M648" s="617"/>
      <c r="N648" s="617"/>
      <c r="O648" s="617"/>
      <c r="P648" s="617"/>
      <c r="Q648" s="617"/>
      <c r="R648" s="617"/>
      <c r="S648" s="617"/>
      <c r="T648" s="617"/>
      <c r="U648" s="617"/>
      <c r="V648" s="617"/>
      <c r="W648" s="617"/>
      <c r="X648" s="617"/>
      <c r="Y648" s="617"/>
      <c r="Z648" s="617"/>
      <c r="AA648" s="617"/>
      <c r="AB648" s="617"/>
      <c r="AC648" s="617"/>
      <c r="AD648" s="617"/>
      <c r="AE648" s="617"/>
      <c r="AF648" s="617"/>
      <c r="AG648" s="617"/>
      <c r="AH648" s="617"/>
    </row>
    <row r="649" spans="1:34" ht="15" hidden="1">
      <c r="A649" s="617"/>
      <c r="B649" s="617"/>
      <c r="C649" s="617"/>
      <c r="D649" s="617"/>
      <c r="E649" s="617"/>
      <c r="F649" s="617"/>
      <c r="G649" s="617"/>
      <c r="H649" s="617"/>
      <c r="I649" s="617"/>
      <c r="J649" s="617"/>
      <c r="K649" s="617"/>
      <c r="L649" s="617"/>
      <c r="M649" s="617"/>
      <c r="N649" s="617"/>
      <c r="O649" s="617"/>
      <c r="P649" s="617"/>
      <c r="Q649" s="617"/>
      <c r="R649" s="617"/>
      <c r="S649" s="617"/>
      <c r="T649" s="617"/>
      <c r="U649" s="617"/>
      <c r="V649" s="617"/>
      <c r="W649" s="617"/>
      <c r="X649" s="617"/>
      <c r="Y649" s="617"/>
      <c r="Z649" s="617"/>
      <c r="AA649" s="617"/>
      <c r="AB649" s="617"/>
      <c r="AC649" s="617"/>
      <c r="AD649" s="617"/>
      <c r="AE649" s="617"/>
      <c r="AF649" s="617"/>
      <c r="AG649" s="617"/>
      <c r="AH649" s="617"/>
    </row>
    <row r="650" spans="1:34" ht="15" hidden="1">
      <c r="A650" s="617"/>
      <c r="B650" s="617"/>
      <c r="C650" s="617"/>
      <c r="D650" s="617"/>
      <c r="E650" s="617"/>
      <c r="F650" s="617"/>
      <c r="G650" s="617"/>
      <c r="H650" s="617"/>
      <c r="I650" s="617"/>
      <c r="J650" s="617"/>
      <c r="K650" s="617"/>
      <c r="L650" s="617"/>
      <c r="M650" s="617"/>
      <c r="N650" s="617"/>
      <c r="O650" s="617"/>
      <c r="P650" s="617"/>
      <c r="Q650" s="617"/>
      <c r="R650" s="617"/>
      <c r="S650" s="617"/>
      <c r="T650" s="617"/>
      <c r="U650" s="617"/>
      <c r="V650" s="617"/>
      <c r="W650" s="617"/>
      <c r="X650" s="617"/>
      <c r="Y650" s="617"/>
      <c r="Z650" s="617"/>
      <c r="AA650" s="617"/>
      <c r="AB650" s="617"/>
      <c r="AC650" s="617"/>
      <c r="AD650" s="617"/>
      <c r="AE650" s="617"/>
      <c r="AF650" s="617"/>
      <c r="AG650" s="617"/>
      <c r="AH650" s="617"/>
    </row>
    <row r="651" spans="1:34" ht="15" hidden="1">
      <c r="A651" s="617"/>
      <c r="B651" s="617"/>
      <c r="C651" s="617"/>
      <c r="D651" s="617"/>
      <c r="E651" s="617"/>
      <c r="F651" s="617"/>
      <c r="G651" s="617"/>
      <c r="H651" s="617"/>
      <c r="I651" s="617"/>
      <c r="J651" s="617"/>
      <c r="K651" s="617"/>
      <c r="L651" s="617"/>
      <c r="M651" s="617"/>
      <c r="N651" s="617"/>
      <c r="O651" s="617"/>
      <c r="P651" s="617"/>
      <c r="Q651" s="617"/>
      <c r="R651" s="617"/>
      <c r="S651" s="617"/>
      <c r="T651" s="617"/>
      <c r="U651" s="617"/>
      <c r="V651" s="617"/>
      <c r="W651" s="617"/>
      <c r="X651" s="617"/>
      <c r="Y651" s="617"/>
      <c r="Z651" s="617"/>
      <c r="AA651" s="617"/>
      <c r="AB651" s="617"/>
      <c r="AC651" s="617"/>
      <c r="AD651" s="617"/>
      <c r="AE651" s="617"/>
      <c r="AF651" s="617"/>
      <c r="AG651" s="617"/>
      <c r="AH651" s="617"/>
    </row>
    <row r="652" spans="1:34" ht="15" hidden="1">
      <c r="A652" s="617"/>
      <c r="B652" s="617"/>
      <c r="C652" s="617"/>
      <c r="D652" s="617"/>
      <c r="E652" s="617"/>
      <c r="F652" s="617"/>
      <c r="G652" s="617"/>
      <c r="H652" s="617"/>
      <c r="I652" s="617"/>
      <c r="J652" s="617"/>
      <c r="K652" s="617"/>
      <c r="L652" s="617"/>
      <c r="M652" s="617"/>
      <c r="N652" s="617"/>
      <c r="O652" s="617"/>
      <c r="P652" s="617"/>
      <c r="Q652" s="617"/>
      <c r="R652" s="617"/>
      <c r="S652" s="617"/>
      <c r="T652" s="617"/>
      <c r="U652" s="617"/>
      <c r="V652" s="617"/>
      <c r="W652" s="617"/>
      <c r="X652" s="617"/>
      <c r="Y652" s="617"/>
      <c r="Z652" s="617"/>
      <c r="AA652" s="617"/>
      <c r="AB652" s="617"/>
      <c r="AC652" s="617"/>
      <c r="AD652" s="617"/>
      <c r="AE652" s="617"/>
      <c r="AF652" s="617"/>
      <c r="AG652" s="617"/>
      <c r="AH652" s="617"/>
    </row>
    <row r="653" spans="1:34" ht="15" hidden="1">
      <c r="A653" s="617"/>
      <c r="B653" s="617"/>
      <c r="C653" s="617"/>
      <c r="D653" s="617"/>
      <c r="E653" s="617"/>
      <c r="F653" s="617"/>
      <c r="G653" s="617"/>
      <c r="H653" s="617"/>
      <c r="I653" s="617"/>
      <c r="J653" s="617"/>
      <c r="K653" s="617"/>
      <c r="L653" s="617"/>
      <c r="M653" s="617"/>
      <c r="N653" s="617"/>
      <c r="O653" s="617"/>
      <c r="P653" s="617"/>
      <c r="Q653" s="617"/>
      <c r="R653" s="617"/>
      <c r="S653" s="617"/>
      <c r="T653" s="617"/>
      <c r="U653" s="617"/>
      <c r="V653" s="617"/>
      <c r="W653" s="617"/>
      <c r="X653" s="617"/>
      <c r="Y653" s="617"/>
      <c r="Z653" s="617"/>
      <c r="AA653" s="617"/>
      <c r="AB653" s="617"/>
      <c r="AC653" s="617"/>
      <c r="AD653" s="617"/>
      <c r="AE653" s="617"/>
      <c r="AF653" s="617"/>
      <c r="AG653" s="617"/>
      <c r="AH653" s="617"/>
    </row>
    <row r="654" spans="1:34" ht="15" hidden="1">
      <c r="A654" s="617"/>
      <c r="B654" s="617"/>
      <c r="C654" s="617"/>
      <c r="D654" s="617"/>
      <c r="E654" s="617"/>
      <c r="F654" s="617"/>
      <c r="G654" s="617"/>
      <c r="H654" s="617"/>
      <c r="I654" s="617"/>
      <c r="J654" s="617"/>
      <c r="K654" s="617"/>
      <c r="L654" s="617"/>
      <c r="M654" s="617"/>
      <c r="N654" s="617"/>
      <c r="O654" s="617"/>
      <c r="P654" s="617"/>
      <c r="Q654" s="617"/>
      <c r="R654" s="617"/>
      <c r="S654" s="617"/>
      <c r="T654" s="617"/>
      <c r="U654" s="617"/>
      <c r="V654" s="617"/>
      <c r="W654" s="617"/>
      <c r="X654" s="617"/>
      <c r="Y654" s="617"/>
      <c r="Z654" s="617"/>
      <c r="AA654" s="617"/>
      <c r="AB654" s="617"/>
      <c r="AC654" s="617"/>
      <c r="AD654" s="617"/>
      <c r="AE654" s="617"/>
      <c r="AF654" s="617"/>
      <c r="AG654" s="617"/>
      <c r="AH654" s="617"/>
    </row>
    <row r="655" spans="1:34" ht="15" hidden="1">
      <c r="A655" s="617"/>
      <c r="B655" s="617"/>
      <c r="C655" s="617"/>
      <c r="D655" s="617"/>
      <c r="E655" s="617"/>
      <c r="F655" s="617"/>
      <c r="G655" s="617"/>
      <c r="H655" s="617"/>
      <c r="I655" s="617"/>
      <c r="J655" s="617"/>
      <c r="K655" s="617"/>
      <c r="L655" s="617"/>
      <c r="M655" s="617"/>
      <c r="N655" s="617"/>
      <c r="O655" s="617"/>
      <c r="P655" s="617"/>
      <c r="Q655" s="617"/>
      <c r="R655" s="617"/>
      <c r="S655" s="617"/>
      <c r="T655" s="617"/>
      <c r="U655" s="617"/>
      <c r="V655" s="617"/>
      <c r="W655" s="617"/>
      <c r="X655" s="617"/>
      <c r="Y655" s="617"/>
      <c r="Z655" s="617"/>
      <c r="AA655" s="617"/>
      <c r="AB655" s="617"/>
      <c r="AC655" s="617"/>
      <c r="AD655" s="617"/>
      <c r="AE655" s="617"/>
      <c r="AF655" s="617"/>
      <c r="AG655" s="617"/>
      <c r="AH655" s="617"/>
    </row>
    <row r="656" spans="1:34" ht="15" hidden="1">
      <c r="A656" s="617"/>
      <c r="B656" s="617"/>
      <c r="C656" s="617"/>
      <c r="D656" s="617"/>
      <c r="E656" s="617"/>
      <c r="F656" s="617"/>
      <c r="G656" s="617"/>
      <c r="H656" s="617"/>
      <c r="I656" s="617"/>
      <c r="J656" s="617"/>
      <c r="K656" s="617"/>
      <c r="L656" s="617"/>
      <c r="M656" s="617"/>
      <c r="N656" s="617"/>
      <c r="O656" s="617"/>
      <c r="P656" s="617"/>
      <c r="Q656" s="617"/>
      <c r="R656" s="617"/>
      <c r="S656" s="617"/>
      <c r="T656" s="617"/>
      <c r="U656" s="617"/>
      <c r="V656" s="617"/>
      <c r="W656" s="617"/>
      <c r="X656" s="617"/>
      <c r="Y656" s="617"/>
      <c r="Z656" s="617"/>
      <c r="AA656" s="617"/>
      <c r="AB656" s="617"/>
      <c r="AC656" s="617"/>
      <c r="AD656" s="617"/>
      <c r="AE656" s="617"/>
      <c r="AF656" s="617"/>
      <c r="AG656" s="617"/>
      <c r="AH656" s="617"/>
    </row>
    <row r="657" spans="1:34" ht="15" hidden="1">
      <c r="A657" s="617"/>
      <c r="B657" s="617"/>
      <c r="C657" s="617"/>
      <c r="D657" s="617"/>
      <c r="E657" s="617"/>
      <c r="F657" s="617"/>
      <c r="G657" s="617"/>
      <c r="H657" s="617"/>
      <c r="I657" s="617"/>
      <c r="J657" s="617"/>
      <c r="K657" s="617"/>
      <c r="L657" s="617"/>
      <c r="M657" s="617"/>
      <c r="N657" s="617"/>
      <c r="O657" s="617"/>
      <c r="P657" s="617"/>
      <c r="Q657" s="617"/>
      <c r="R657" s="617"/>
      <c r="S657" s="617"/>
      <c r="T657" s="617"/>
      <c r="U657" s="617"/>
      <c r="V657" s="617"/>
      <c r="W657" s="617"/>
      <c r="X657" s="617"/>
      <c r="Y657" s="617"/>
      <c r="Z657" s="617"/>
      <c r="AA657" s="617"/>
      <c r="AB657" s="617"/>
      <c r="AC657" s="617"/>
      <c r="AD657" s="617"/>
      <c r="AE657" s="617"/>
      <c r="AF657" s="617"/>
      <c r="AG657" s="617"/>
      <c r="AH657" s="617"/>
    </row>
    <row r="658" spans="1:34" ht="15" hidden="1">
      <c r="A658" s="617"/>
      <c r="B658" s="617"/>
      <c r="C658" s="617"/>
      <c r="D658" s="617"/>
      <c r="E658" s="617"/>
      <c r="F658" s="617"/>
      <c r="G658" s="617"/>
      <c r="H658" s="617"/>
      <c r="I658" s="617"/>
      <c r="J658" s="617"/>
      <c r="K658" s="617"/>
      <c r="L658" s="617"/>
      <c r="M658" s="617"/>
      <c r="N658" s="617"/>
      <c r="O658" s="617"/>
      <c r="P658" s="617"/>
      <c r="Q658" s="617"/>
      <c r="R658" s="617"/>
      <c r="S658" s="617"/>
      <c r="T658" s="617"/>
      <c r="U658" s="617"/>
      <c r="V658" s="617"/>
      <c r="W658" s="617"/>
      <c r="X658" s="617"/>
      <c r="Y658" s="617"/>
      <c r="Z658" s="617"/>
      <c r="AA658" s="617"/>
      <c r="AB658" s="617"/>
      <c r="AC658" s="617"/>
      <c r="AD658" s="617"/>
      <c r="AE658" s="617"/>
      <c r="AF658" s="617"/>
      <c r="AG658" s="617"/>
      <c r="AH658" s="617"/>
    </row>
    <row r="659" spans="1:34" ht="15" hidden="1">
      <c r="A659" s="617"/>
      <c r="B659" s="617"/>
      <c r="C659" s="617"/>
      <c r="D659" s="617"/>
      <c r="E659" s="617"/>
      <c r="F659" s="617"/>
      <c r="G659" s="617"/>
      <c r="H659" s="617"/>
      <c r="I659" s="617"/>
      <c r="J659" s="617"/>
      <c r="K659" s="617"/>
      <c r="L659" s="617"/>
      <c r="M659" s="617"/>
      <c r="N659" s="617"/>
      <c r="O659" s="617"/>
      <c r="P659" s="617"/>
      <c r="Q659" s="617"/>
      <c r="R659" s="617"/>
      <c r="S659" s="617"/>
      <c r="T659" s="617"/>
      <c r="U659" s="617"/>
      <c r="V659" s="617"/>
      <c r="W659" s="617"/>
      <c r="X659" s="617"/>
      <c r="Y659" s="617"/>
      <c r="Z659" s="617"/>
      <c r="AA659" s="617"/>
      <c r="AB659" s="617"/>
      <c r="AC659" s="617"/>
      <c r="AD659" s="617"/>
      <c r="AE659" s="617"/>
      <c r="AF659" s="617"/>
      <c r="AG659" s="617"/>
      <c r="AH659" s="617"/>
    </row>
    <row r="660" spans="1:34" ht="15" hidden="1">
      <c r="A660" s="617"/>
      <c r="B660" s="617"/>
      <c r="C660" s="617"/>
      <c r="D660" s="617"/>
      <c r="E660" s="617"/>
      <c r="F660" s="617"/>
      <c r="G660" s="617"/>
      <c r="H660" s="617"/>
      <c r="I660" s="617"/>
      <c r="J660" s="617"/>
      <c r="K660" s="617"/>
      <c r="L660" s="617"/>
      <c r="M660" s="617"/>
      <c r="N660" s="617"/>
      <c r="O660" s="617"/>
      <c r="P660" s="617"/>
      <c r="Q660" s="617"/>
      <c r="R660" s="617"/>
      <c r="S660" s="617"/>
      <c r="T660" s="617"/>
      <c r="U660" s="617"/>
      <c r="V660" s="617"/>
      <c r="W660" s="617"/>
      <c r="X660" s="617"/>
      <c r="Y660" s="617"/>
      <c r="Z660" s="617"/>
      <c r="AA660" s="617"/>
      <c r="AB660" s="617"/>
      <c r="AC660" s="617"/>
      <c r="AD660" s="617"/>
      <c r="AE660" s="617"/>
      <c r="AF660" s="617"/>
      <c r="AG660" s="617"/>
      <c r="AH660" s="617"/>
    </row>
    <row r="661" spans="1:34" ht="15" hidden="1">
      <c r="A661" s="617"/>
      <c r="B661" s="617"/>
      <c r="C661" s="617"/>
      <c r="D661" s="617"/>
      <c r="E661" s="617"/>
      <c r="F661" s="617"/>
      <c r="G661" s="617"/>
      <c r="H661" s="617"/>
      <c r="I661" s="617"/>
      <c r="J661" s="617"/>
      <c r="K661" s="617"/>
      <c r="L661" s="617"/>
      <c r="M661" s="617"/>
      <c r="N661" s="617"/>
      <c r="O661" s="617"/>
      <c r="P661" s="617"/>
      <c r="Q661" s="617"/>
      <c r="R661" s="617"/>
      <c r="S661" s="617"/>
      <c r="T661" s="617"/>
      <c r="U661" s="617"/>
      <c r="V661" s="617"/>
      <c r="W661" s="617"/>
      <c r="X661" s="617"/>
      <c r="Y661" s="617"/>
      <c r="Z661" s="617"/>
      <c r="AA661" s="617"/>
      <c r="AB661" s="617"/>
      <c r="AC661" s="617"/>
      <c r="AD661" s="617"/>
      <c r="AE661" s="617"/>
      <c r="AF661" s="617"/>
      <c r="AG661" s="617"/>
      <c r="AH661" s="617"/>
    </row>
    <row r="662" spans="1:34" ht="15" hidden="1">
      <c r="A662" s="617"/>
      <c r="B662" s="617"/>
      <c r="C662" s="617"/>
      <c r="D662" s="617"/>
      <c r="E662" s="617"/>
      <c r="F662" s="617"/>
      <c r="G662" s="617"/>
      <c r="H662" s="617"/>
      <c r="I662" s="617"/>
      <c r="J662" s="617"/>
      <c r="K662" s="617"/>
      <c r="L662" s="617"/>
      <c r="M662" s="617"/>
      <c r="N662" s="617"/>
      <c r="O662" s="617"/>
      <c r="P662" s="617"/>
      <c r="Q662" s="617"/>
      <c r="R662" s="617"/>
      <c r="S662" s="617"/>
      <c r="T662" s="617"/>
      <c r="U662" s="617"/>
      <c r="V662" s="617"/>
      <c r="W662" s="617"/>
      <c r="X662" s="617"/>
      <c r="Y662" s="617"/>
      <c r="Z662" s="617"/>
      <c r="AA662" s="617"/>
      <c r="AB662" s="617"/>
      <c r="AC662" s="617"/>
      <c r="AD662" s="617"/>
      <c r="AE662" s="617"/>
      <c r="AF662" s="617"/>
      <c r="AG662" s="617"/>
      <c r="AH662" s="617"/>
    </row>
    <row r="663" spans="1:34" ht="15" hidden="1">
      <c r="A663" s="617"/>
      <c r="B663" s="617"/>
      <c r="C663" s="617"/>
      <c r="D663" s="617"/>
      <c r="E663" s="617"/>
      <c r="F663" s="617"/>
      <c r="G663" s="617"/>
      <c r="H663" s="617"/>
      <c r="I663" s="617"/>
      <c r="J663" s="617"/>
      <c r="K663" s="617"/>
      <c r="L663" s="617"/>
      <c r="M663" s="617"/>
      <c r="N663" s="617"/>
      <c r="O663" s="617"/>
      <c r="P663" s="617"/>
      <c r="Q663" s="617"/>
      <c r="R663" s="617"/>
      <c r="S663" s="617"/>
      <c r="T663" s="617"/>
      <c r="U663" s="617"/>
      <c r="V663" s="617"/>
      <c r="W663" s="617"/>
      <c r="X663" s="617"/>
      <c r="Y663" s="617"/>
      <c r="Z663" s="617"/>
      <c r="AA663" s="617"/>
      <c r="AB663" s="617"/>
      <c r="AC663" s="617"/>
      <c r="AD663" s="617"/>
      <c r="AE663" s="617"/>
      <c r="AF663" s="617"/>
      <c r="AG663" s="617"/>
      <c r="AH663" s="617"/>
    </row>
    <row r="664" spans="1:34" ht="15" hidden="1">
      <c r="A664" s="617"/>
      <c r="B664" s="617"/>
      <c r="C664" s="617"/>
      <c r="D664" s="617"/>
      <c r="E664" s="617"/>
      <c r="F664" s="617"/>
      <c r="G664" s="617"/>
      <c r="H664" s="617"/>
      <c r="I664" s="617"/>
      <c r="J664" s="617"/>
      <c r="K664" s="617"/>
      <c r="L664" s="617"/>
      <c r="M664" s="617"/>
      <c r="N664" s="617"/>
      <c r="O664" s="617"/>
      <c r="P664" s="617"/>
      <c r="Q664" s="617"/>
      <c r="R664" s="617"/>
      <c r="S664" s="617"/>
      <c r="T664" s="617"/>
      <c r="U664" s="617"/>
      <c r="V664" s="617"/>
      <c r="W664" s="617"/>
      <c r="X664" s="617"/>
      <c r="Y664" s="617"/>
      <c r="Z664" s="617"/>
      <c r="AA664" s="617"/>
      <c r="AB664" s="617"/>
      <c r="AC664" s="617"/>
      <c r="AD664" s="617"/>
      <c r="AE664" s="617"/>
      <c r="AF664" s="617"/>
      <c r="AG664" s="617"/>
      <c r="AH664" s="617"/>
    </row>
    <row r="665" spans="1:34" ht="15" hidden="1">
      <c r="A665" s="617"/>
      <c r="B665" s="617"/>
      <c r="C665" s="617"/>
      <c r="D665" s="617"/>
      <c r="E665" s="617"/>
      <c r="F665" s="617"/>
      <c r="G665" s="617"/>
      <c r="H665" s="617"/>
      <c r="I665" s="617"/>
      <c r="J665" s="617"/>
      <c r="K665" s="617"/>
      <c r="L665" s="617"/>
      <c r="M665" s="617"/>
      <c r="N665" s="617"/>
      <c r="O665" s="617"/>
      <c r="P665" s="617"/>
      <c r="Q665" s="617"/>
      <c r="R665" s="617"/>
      <c r="S665" s="617"/>
      <c r="T665" s="617"/>
      <c r="U665" s="617"/>
      <c r="V665" s="617"/>
      <c r="W665" s="617"/>
      <c r="X665" s="617"/>
      <c r="Y665" s="617"/>
      <c r="Z665" s="617"/>
      <c r="AA665" s="617"/>
      <c r="AB665" s="617"/>
      <c r="AC665" s="617"/>
      <c r="AD665" s="617"/>
      <c r="AE665" s="617"/>
      <c r="AF665" s="617"/>
      <c r="AG665" s="617"/>
      <c r="AH665" s="617"/>
    </row>
    <row r="666" spans="1:34" ht="15" hidden="1">
      <c r="A666" s="617"/>
      <c r="B666" s="617"/>
      <c r="C666" s="617"/>
      <c r="D666" s="617"/>
      <c r="E666" s="617"/>
      <c r="F666" s="617"/>
      <c r="G666" s="617"/>
      <c r="H666" s="617"/>
      <c r="I666" s="617"/>
      <c r="J666" s="617"/>
      <c r="K666" s="617"/>
      <c r="L666" s="617"/>
      <c r="M666" s="617"/>
      <c r="N666" s="617"/>
      <c r="O666" s="617"/>
      <c r="P666" s="617"/>
      <c r="Q666" s="617"/>
      <c r="R666" s="617"/>
      <c r="S666" s="617"/>
      <c r="T666" s="617"/>
      <c r="U666" s="617"/>
      <c r="V666" s="617"/>
      <c r="W666" s="617"/>
      <c r="X666" s="617"/>
      <c r="Y666" s="617"/>
      <c r="Z666" s="617"/>
      <c r="AA666" s="617"/>
      <c r="AB666" s="617"/>
      <c r="AC666" s="617"/>
      <c r="AD666" s="617"/>
      <c r="AE666" s="617"/>
      <c r="AF666" s="617"/>
      <c r="AG666" s="617"/>
      <c r="AH666" s="617"/>
    </row>
    <row r="667" spans="1:34" ht="15" hidden="1">
      <c r="A667" s="617"/>
      <c r="B667" s="617"/>
      <c r="C667" s="617"/>
      <c r="D667" s="617"/>
      <c r="E667" s="617"/>
      <c r="F667" s="617"/>
      <c r="G667" s="617"/>
      <c r="H667" s="617"/>
      <c r="I667" s="617"/>
      <c r="J667" s="617"/>
      <c r="K667" s="617"/>
      <c r="L667" s="617"/>
      <c r="M667" s="617"/>
      <c r="N667" s="617"/>
      <c r="O667" s="617"/>
      <c r="P667" s="617"/>
      <c r="Q667" s="617"/>
      <c r="R667" s="617"/>
      <c r="S667" s="617"/>
      <c r="T667" s="617"/>
      <c r="U667" s="617"/>
      <c r="V667" s="617"/>
      <c r="W667" s="617"/>
      <c r="X667" s="617"/>
      <c r="Y667" s="617"/>
      <c r="Z667" s="617"/>
      <c r="AA667" s="617"/>
      <c r="AB667" s="617"/>
      <c r="AC667" s="617"/>
      <c r="AD667" s="617"/>
      <c r="AE667" s="617"/>
      <c r="AF667" s="617"/>
      <c r="AG667" s="617"/>
      <c r="AH667" s="617"/>
    </row>
    <row r="668" spans="1:34" ht="15" hidden="1">
      <c r="A668" s="617"/>
      <c r="B668" s="617"/>
      <c r="C668" s="617"/>
      <c r="D668" s="617"/>
      <c r="E668" s="617"/>
      <c r="F668" s="617"/>
      <c r="G668" s="617"/>
      <c r="H668" s="617"/>
      <c r="I668" s="617"/>
      <c r="J668" s="617"/>
      <c r="K668" s="617"/>
      <c r="L668" s="617"/>
      <c r="M668" s="617"/>
      <c r="N668" s="617"/>
      <c r="O668" s="617"/>
      <c r="P668" s="617"/>
      <c r="Q668" s="617"/>
      <c r="R668" s="617"/>
      <c r="S668" s="617"/>
      <c r="T668" s="617"/>
      <c r="U668" s="617"/>
      <c r="V668" s="617"/>
      <c r="W668" s="617"/>
      <c r="X668" s="617"/>
      <c r="Y668" s="617"/>
      <c r="Z668" s="617"/>
      <c r="AA668" s="617"/>
      <c r="AB668" s="617"/>
      <c r="AC668" s="617"/>
      <c r="AD668" s="617"/>
      <c r="AE668" s="617"/>
      <c r="AF668" s="617"/>
      <c r="AG668" s="617"/>
      <c r="AH668" s="617"/>
    </row>
    <row r="669" spans="1:34" ht="15" hidden="1">
      <c r="A669" s="617"/>
      <c r="B669" s="617"/>
      <c r="C669" s="617"/>
      <c r="D669" s="617"/>
      <c r="E669" s="617"/>
      <c r="F669" s="617"/>
      <c r="G669" s="617"/>
      <c r="H669" s="617"/>
      <c r="I669" s="617"/>
      <c r="J669" s="617"/>
      <c r="K669" s="617"/>
      <c r="L669" s="617"/>
      <c r="M669" s="617"/>
      <c r="N669" s="617"/>
      <c r="O669" s="617"/>
      <c r="P669" s="617"/>
      <c r="Q669" s="617"/>
      <c r="R669" s="617"/>
      <c r="S669" s="617"/>
      <c r="T669" s="617"/>
      <c r="U669" s="617"/>
      <c r="V669" s="617"/>
      <c r="W669" s="617"/>
      <c r="X669" s="617"/>
      <c r="Y669" s="617"/>
      <c r="Z669" s="617"/>
      <c r="AA669" s="617"/>
      <c r="AB669" s="617"/>
      <c r="AC669" s="617"/>
      <c r="AD669" s="617"/>
      <c r="AE669" s="617"/>
      <c r="AF669" s="617"/>
      <c r="AG669" s="617"/>
      <c r="AH669" s="617"/>
    </row>
    <row r="670" spans="1:34" ht="15" hidden="1">
      <c r="A670" s="617"/>
      <c r="B670" s="617"/>
      <c r="C670" s="617"/>
      <c r="D670" s="617"/>
      <c r="E670" s="617"/>
      <c r="F670" s="617"/>
      <c r="G670" s="617"/>
      <c r="H670" s="617"/>
      <c r="I670" s="617"/>
      <c r="J670" s="617"/>
      <c r="K670" s="617"/>
      <c r="L670" s="617"/>
      <c r="M670" s="617"/>
      <c r="N670" s="617"/>
      <c r="O670" s="617"/>
      <c r="P670" s="617"/>
      <c r="Q670" s="617"/>
      <c r="R670" s="617"/>
      <c r="S670" s="617"/>
      <c r="T670" s="617"/>
      <c r="U670" s="617"/>
      <c r="V670" s="617"/>
      <c r="W670" s="617"/>
      <c r="X670" s="617"/>
      <c r="Y670" s="617"/>
      <c r="Z670" s="617"/>
      <c r="AA670" s="617"/>
      <c r="AB670" s="617"/>
      <c r="AC670" s="617"/>
      <c r="AD670" s="617"/>
      <c r="AE670" s="617"/>
      <c r="AF670" s="617"/>
      <c r="AG670" s="617"/>
      <c r="AH670" s="617"/>
    </row>
    <row r="671" spans="1:34" ht="15" hidden="1">
      <c r="A671" s="617"/>
      <c r="B671" s="617"/>
      <c r="C671" s="617"/>
      <c r="D671" s="617"/>
      <c r="E671" s="617"/>
      <c r="F671" s="617"/>
      <c r="G671" s="617"/>
      <c r="H671" s="617"/>
      <c r="I671" s="617"/>
      <c r="J671" s="617"/>
      <c r="K671" s="617"/>
      <c r="L671" s="617"/>
      <c r="M671" s="617"/>
      <c r="N671" s="617"/>
      <c r="O671" s="617"/>
      <c r="P671" s="617"/>
      <c r="Q671" s="617"/>
      <c r="R671" s="617"/>
      <c r="S671" s="617"/>
      <c r="T671" s="617"/>
      <c r="U671" s="617"/>
      <c r="V671" s="617"/>
      <c r="W671" s="617"/>
      <c r="X671" s="617"/>
      <c r="Y671" s="617"/>
      <c r="Z671" s="617"/>
      <c r="AA671" s="617"/>
      <c r="AB671" s="617"/>
      <c r="AC671" s="617"/>
      <c r="AD671" s="617"/>
      <c r="AE671" s="617"/>
      <c r="AF671" s="617"/>
      <c r="AG671" s="617"/>
      <c r="AH671" s="617"/>
    </row>
    <row r="672" spans="1:34" ht="15" hidden="1">
      <c r="A672" s="617"/>
      <c r="B672" s="617"/>
      <c r="C672" s="617"/>
      <c r="D672" s="617"/>
      <c r="E672" s="617"/>
      <c r="F672" s="617"/>
      <c r="G672" s="617"/>
      <c r="H672" s="617"/>
      <c r="I672" s="617"/>
      <c r="J672" s="617"/>
      <c r="K672" s="617"/>
      <c r="L672" s="617"/>
      <c r="M672" s="617"/>
      <c r="N672" s="617"/>
      <c r="O672" s="617"/>
      <c r="P672" s="617"/>
      <c r="Q672" s="617"/>
      <c r="R672" s="617"/>
      <c r="S672" s="617"/>
      <c r="T672" s="617"/>
      <c r="U672" s="617"/>
      <c r="V672" s="617"/>
      <c r="W672" s="617"/>
      <c r="X672" s="617"/>
      <c r="Y672" s="617"/>
      <c r="Z672" s="617"/>
      <c r="AA672" s="617"/>
      <c r="AB672" s="617"/>
      <c r="AC672" s="617"/>
      <c r="AD672" s="617"/>
      <c r="AE672" s="617"/>
      <c r="AF672" s="617"/>
      <c r="AG672" s="617"/>
      <c r="AH672" s="617"/>
    </row>
    <row r="673" spans="1:34" ht="15" hidden="1">
      <c r="A673" s="617"/>
      <c r="B673" s="617"/>
      <c r="C673" s="617"/>
      <c r="D673" s="617"/>
      <c r="E673" s="617"/>
      <c r="F673" s="617"/>
      <c r="G673" s="617"/>
      <c r="H673" s="617"/>
      <c r="I673" s="617"/>
      <c r="J673" s="617"/>
      <c r="K673" s="617"/>
      <c r="L673" s="617"/>
      <c r="M673" s="617"/>
      <c r="N673" s="617"/>
      <c r="O673" s="617"/>
      <c r="P673" s="617"/>
      <c r="Q673" s="617"/>
      <c r="R673" s="617"/>
      <c r="S673" s="617"/>
      <c r="T673" s="617"/>
      <c r="U673" s="617"/>
      <c r="V673" s="617"/>
      <c r="W673" s="617"/>
      <c r="X673" s="617"/>
      <c r="Y673" s="617"/>
      <c r="Z673" s="617"/>
      <c r="AA673" s="617"/>
      <c r="AB673" s="617"/>
      <c r="AC673" s="617"/>
      <c r="AD673" s="617"/>
      <c r="AE673" s="617"/>
      <c r="AF673" s="617"/>
      <c r="AG673" s="617"/>
      <c r="AH673" s="617"/>
    </row>
    <row r="674" spans="1:34" ht="15" hidden="1">
      <c r="A674" s="617"/>
      <c r="B674" s="617"/>
      <c r="C674" s="617"/>
      <c r="D674" s="617"/>
      <c r="E674" s="617"/>
      <c r="F674" s="617"/>
      <c r="G674" s="617"/>
      <c r="H674" s="617"/>
      <c r="I674" s="617"/>
      <c r="J674" s="617"/>
      <c r="K674" s="617"/>
      <c r="L674" s="617"/>
      <c r="M674" s="617"/>
      <c r="N674" s="617"/>
      <c r="O674" s="617"/>
      <c r="P674" s="617"/>
      <c r="Q674" s="617"/>
      <c r="R674" s="617"/>
      <c r="S674" s="617"/>
      <c r="T674" s="617"/>
      <c r="U674" s="617"/>
      <c r="V674" s="617"/>
      <c r="W674" s="617"/>
      <c r="X674" s="617"/>
      <c r="Y674" s="617"/>
      <c r="Z674" s="617"/>
      <c r="AA674" s="617"/>
      <c r="AB674" s="617"/>
      <c r="AC674" s="617"/>
      <c r="AD674" s="617"/>
      <c r="AE674" s="617"/>
      <c r="AF674" s="617"/>
      <c r="AG674" s="617"/>
      <c r="AH674" s="617"/>
    </row>
    <row r="675" spans="1:34" ht="15" hidden="1">
      <c r="A675" s="617"/>
      <c r="B675" s="617"/>
      <c r="C675" s="617"/>
      <c r="D675" s="617"/>
      <c r="E675" s="617"/>
      <c r="F675" s="617"/>
      <c r="G675" s="617"/>
      <c r="H675" s="617"/>
      <c r="I675" s="617"/>
      <c r="J675" s="617"/>
      <c r="K675" s="617"/>
      <c r="L675" s="617"/>
      <c r="M675" s="617"/>
      <c r="N675" s="617"/>
      <c r="O675" s="617"/>
      <c r="P675" s="617"/>
      <c r="Q675" s="617"/>
      <c r="R675" s="617"/>
      <c r="S675" s="617"/>
      <c r="T675" s="617"/>
      <c r="U675" s="617"/>
      <c r="V675" s="617"/>
      <c r="W675" s="617"/>
      <c r="X675" s="617"/>
      <c r="Y675" s="617"/>
      <c r="Z675" s="617"/>
      <c r="AA675" s="617"/>
      <c r="AB675" s="617"/>
      <c r="AC675" s="617"/>
      <c r="AD675" s="617"/>
      <c r="AE675" s="617"/>
      <c r="AF675" s="617"/>
      <c r="AG675" s="617"/>
      <c r="AH675" s="617"/>
    </row>
    <row r="676" spans="1:34" ht="15" hidden="1">
      <c r="A676" s="617"/>
      <c r="B676" s="617"/>
      <c r="C676" s="617"/>
      <c r="D676" s="617"/>
      <c r="E676" s="617"/>
      <c r="F676" s="617"/>
      <c r="G676" s="617"/>
      <c r="H676" s="617"/>
      <c r="I676" s="617"/>
      <c r="J676" s="617"/>
      <c r="K676" s="617"/>
      <c r="L676" s="617"/>
      <c r="M676" s="617"/>
      <c r="N676" s="617"/>
      <c r="O676" s="617"/>
      <c r="P676" s="617"/>
      <c r="Q676" s="617"/>
      <c r="R676" s="617"/>
      <c r="S676" s="617"/>
      <c r="T676" s="617"/>
      <c r="U676" s="617"/>
      <c r="V676" s="617"/>
      <c r="W676" s="617"/>
      <c r="X676" s="617"/>
      <c r="Y676" s="617"/>
      <c r="Z676" s="617"/>
      <c r="AA676" s="617"/>
      <c r="AB676" s="617"/>
      <c r="AC676" s="617"/>
      <c r="AD676" s="617"/>
      <c r="AE676" s="617"/>
      <c r="AF676" s="617"/>
      <c r="AG676" s="617"/>
      <c r="AH676" s="617"/>
    </row>
    <row r="677" spans="1:34" ht="15" hidden="1">
      <c r="A677" s="617"/>
      <c r="B677" s="617"/>
      <c r="C677" s="617"/>
      <c r="D677" s="617"/>
      <c r="E677" s="617"/>
      <c r="F677" s="617"/>
      <c r="G677" s="617"/>
      <c r="H677" s="617"/>
      <c r="I677" s="617"/>
      <c r="J677" s="617"/>
      <c r="K677" s="617"/>
      <c r="L677" s="617"/>
      <c r="M677" s="617"/>
      <c r="N677" s="617"/>
      <c r="O677" s="617"/>
      <c r="P677" s="617"/>
      <c r="Q677" s="617"/>
      <c r="R677" s="617"/>
      <c r="S677" s="617"/>
      <c r="T677" s="617"/>
      <c r="U677" s="617"/>
      <c r="V677" s="617"/>
      <c r="W677" s="617"/>
      <c r="X677" s="617"/>
      <c r="Y677" s="617"/>
      <c r="Z677" s="617"/>
      <c r="AA677" s="617"/>
      <c r="AB677" s="617"/>
      <c r="AC677" s="617"/>
      <c r="AD677" s="617"/>
      <c r="AE677" s="617"/>
      <c r="AF677" s="617"/>
      <c r="AG677" s="617"/>
      <c r="AH677" s="617"/>
    </row>
    <row r="678" spans="1:34" ht="15" hidden="1">
      <c r="A678" s="617"/>
      <c r="B678" s="617"/>
      <c r="C678" s="617"/>
      <c r="D678" s="617"/>
      <c r="E678" s="617"/>
      <c r="F678" s="617"/>
      <c r="G678" s="617"/>
      <c r="H678" s="617"/>
      <c r="I678" s="617"/>
      <c r="J678" s="617"/>
      <c r="K678" s="617"/>
      <c r="L678" s="617"/>
      <c r="M678" s="617"/>
      <c r="N678" s="617"/>
      <c r="O678" s="617"/>
      <c r="P678" s="617"/>
      <c r="Q678" s="617"/>
      <c r="R678" s="617"/>
      <c r="S678" s="617"/>
      <c r="T678" s="617"/>
      <c r="U678" s="617"/>
      <c r="V678" s="617"/>
      <c r="W678" s="617"/>
      <c r="X678" s="617"/>
      <c r="Y678" s="617"/>
      <c r="Z678" s="617"/>
      <c r="AA678" s="617"/>
      <c r="AB678" s="617"/>
      <c r="AC678" s="617"/>
      <c r="AD678" s="617"/>
      <c r="AE678" s="617"/>
      <c r="AF678" s="617"/>
      <c r="AG678" s="617"/>
      <c r="AH678" s="617"/>
    </row>
    <row r="679" spans="1:34" ht="15" hidden="1">
      <c r="A679" s="617"/>
      <c r="B679" s="617"/>
      <c r="C679" s="617"/>
      <c r="D679" s="617"/>
      <c r="E679" s="617"/>
      <c r="F679" s="617"/>
      <c r="G679" s="617"/>
      <c r="H679" s="617"/>
      <c r="I679" s="617"/>
      <c r="J679" s="617"/>
      <c r="K679" s="617"/>
      <c r="L679" s="617"/>
      <c r="M679" s="617"/>
      <c r="N679" s="617"/>
      <c r="O679" s="617"/>
      <c r="P679" s="617"/>
      <c r="Q679" s="617"/>
      <c r="R679" s="617"/>
      <c r="S679" s="617"/>
      <c r="T679" s="617"/>
      <c r="U679" s="617"/>
      <c r="V679" s="617"/>
      <c r="W679" s="617"/>
      <c r="X679" s="617"/>
      <c r="Y679" s="617"/>
      <c r="Z679" s="617"/>
      <c r="AA679" s="617"/>
      <c r="AB679" s="617"/>
      <c r="AC679" s="617"/>
      <c r="AD679" s="617"/>
      <c r="AE679" s="617"/>
      <c r="AF679" s="617"/>
      <c r="AG679" s="617"/>
      <c r="AH679" s="617"/>
    </row>
    <row r="680" spans="1:34" ht="15" hidden="1">
      <c r="A680" s="617"/>
      <c r="B680" s="617"/>
      <c r="C680" s="617"/>
      <c r="D680" s="617"/>
      <c r="E680" s="617"/>
      <c r="F680" s="617"/>
      <c r="G680" s="617"/>
      <c r="H680" s="617"/>
      <c r="I680" s="617"/>
      <c r="J680" s="617"/>
      <c r="K680" s="617"/>
      <c r="L680" s="617"/>
      <c r="M680" s="617"/>
      <c r="N680" s="617"/>
      <c r="O680" s="617"/>
      <c r="P680" s="617"/>
      <c r="Q680" s="617"/>
      <c r="R680" s="617"/>
      <c r="S680" s="617"/>
      <c r="T680" s="617"/>
      <c r="U680" s="617"/>
      <c r="V680" s="617"/>
      <c r="W680" s="617"/>
      <c r="X680" s="617"/>
      <c r="Y680" s="617"/>
      <c r="Z680" s="617"/>
      <c r="AA680" s="617"/>
      <c r="AB680" s="617"/>
      <c r="AC680" s="617"/>
      <c r="AD680" s="617"/>
      <c r="AE680" s="617"/>
      <c r="AF680" s="617"/>
      <c r="AG680" s="617"/>
      <c r="AH680" s="617"/>
    </row>
    <row r="681" spans="1:34" ht="15" hidden="1">
      <c r="A681" s="617"/>
      <c r="B681" s="617"/>
      <c r="C681" s="617"/>
      <c r="D681" s="617"/>
      <c r="E681" s="617"/>
      <c r="F681" s="617"/>
      <c r="G681" s="617"/>
      <c r="H681" s="617"/>
      <c r="I681" s="617"/>
      <c r="J681" s="617"/>
      <c r="K681" s="617"/>
      <c r="L681" s="617"/>
      <c r="M681" s="617"/>
      <c r="N681" s="617"/>
      <c r="O681" s="617"/>
      <c r="P681" s="617"/>
      <c r="Q681" s="617"/>
      <c r="R681" s="617"/>
      <c r="S681" s="617"/>
      <c r="T681" s="617"/>
      <c r="U681" s="617"/>
      <c r="V681" s="617"/>
      <c r="W681" s="617"/>
      <c r="X681" s="617"/>
      <c r="Y681" s="617"/>
      <c r="Z681" s="617"/>
      <c r="AA681" s="617"/>
      <c r="AB681" s="617"/>
      <c r="AC681" s="617"/>
      <c r="AD681" s="617"/>
      <c r="AE681" s="617"/>
      <c r="AF681" s="617"/>
      <c r="AG681" s="617"/>
      <c r="AH681" s="617"/>
    </row>
    <row r="682" spans="1:34" ht="15" hidden="1">
      <c r="A682" s="617"/>
      <c r="B682" s="617"/>
      <c r="C682" s="617"/>
      <c r="D682" s="617"/>
      <c r="E682" s="617"/>
      <c r="F682" s="617"/>
      <c r="G682" s="617"/>
      <c r="H682" s="617"/>
      <c r="I682" s="617"/>
      <c r="J682" s="617"/>
      <c r="K682" s="617"/>
      <c r="L682" s="617"/>
      <c r="M682" s="617"/>
      <c r="N682" s="617"/>
      <c r="O682" s="617"/>
      <c r="P682" s="617"/>
      <c r="Q682" s="617"/>
      <c r="R682" s="617"/>
      <c r="S682" s="617"/>
      <c r="T682" s="617"/>
      <c r="U682" s="617"/>
      <c r="V682" s="617"/>
      <c r="W682" s="617"/>
      <c r="X682" s="617"/>
      <c r="Y682" s="617"/>
      <c r="Z682" s="617"/>
      <c r="AA682" s="617"/>
      <c r="AB682" s="617"/>
      <c r="AC682" s="617"/>
      <c r="AD682" s="617"/>
      <c r="AE682" s="617"/>
      <c r="AF682" s="617"/>
      <c r="AG682" s="617"/>
      <c r="AH682" s="617"/>
    </row>
    <row r="683" spans="1:34" ht="15" hidden="1">
      <c r="A683" s="617"/>
      <c r="B683" s="617"/>
      <c r="C683" s="617"/>
      <c r="D683" s="617"/>
      <c r="E683" s="617"/>
      <c r="F683" s="617"/>
      <c r="G683" s="617"/>
      <c r="H683" s="617"/>
      <c r="I683" s="617"/>
      <c r="J683" s="617"/>
      <c r="K683" s="617"/>
      <c r="L683" s="617"/>
      <c r="M683" s="617"/>
      <c r="N683" s="617"/>
      <c r="O683" s="617"/>
      <c r="P683" s="617"/>
      <c r="Q683" s="617"/>
      <c r="R683" s="617"/>
      <c r="S683" s="617"/>
      <c r="T683" s="617"/>
      <c r="U683" s="617"/>
      <c r="V683" s="617"/>
      <c r="W683" s="617"/>
      <c r="X683" s="617"/>
      <c r="Y683" s="617"/>
      <c r="Z683" s="617"/>
      <c r="AA683" s="617"/>
      <c r="AB683" s="617"/>
      <c r="AC683" s="617"/>
      <c r="AD683" s="617"/>
      <c r="AE683" s="617"/>
      <c r="AF683" s="617"/>
      <c r="AG683" s="617"/>
      <c r="AH683" s="617"/>
    </row>
    <row r="684" spans="1:34" ht="15" hidden="1">
      <c r="A684" s="617"/>
      <c r="B684" s="617"/>
      <c r="C684" s="617"/>
      <c r="D684" s="617"/>
      <c r="E684" s="617"/>
      <c r="F684" s="617"/>
      <c r="G684" s="617"/>
      <c r="H684" s="617"/>
      <c r="I684" s="617"/>
      <c r="J684" s="617"/>
      <c r="K684" s="617"/>
      <c r="L684" s="617"/>
      <c r="M684" s="617"/>
      <c r="N684" s="617"/>
      <c r="O684" s="617"/>
      <c r="P684" s="617"/>
      <c r="Q684" s="617"/>
      <c r="R684" s="617"/>
      <c r="S684" s="617"/>
      <c r="T684" s="617"/>
      <c r="U684" s="617"/>
      <c r="V684" s="617"/>
      <c r="W684" s="617"/>
      <c r="X684" s="617"/>
      <c r="Y684" s="617"/>
      <c r="Z684" s="617"/>
      <c r="AA684" s="617"/>
      <c r="AB684" s="617"/>
      <c r="AC684" s="617"/>
      <c r="AD684" s="617"/>
      <c r="AE684" s="617"/>
      <c r="AF684" s="617"/>
      <c r="AG684" s="617"/>
      <c r="AH684" s="617"/>
    </row>
    <row r="685" spans="1:34" ht="15" hidden="1">
      <c r="A685" s="617"/>
      <c r="B685" s="617"/>
      <c r="C685" s="617"/>
      <c r="D685" s="617"/>
      <c r="E685" s="617"/>
      <c r="F685" s="617"/>
      <c r="G685" s="617"/>
      <c r="H685" s="617"/>
      <c r="I685" s="617"/>
      <c r="J685" s="617"/>
      <c r="K685" s="617"/>
      <c r="L685" s="617"/>
      <c r="M685" s="617"/>
      <c r="N685" s="617"/>
      <c r="O685" s="617"/>
      <c r="P685" s="617"/>
      <c r="Q685" s="617"/>
      <c r="R685" s="617"/>
      <c r="S685" s="617"/>
      <c r="T685" s="617"/>
      <c r="U685" s="617"/>
      <c r="V685" s="617"/>
      <c r="W685" s="617"/>
      <c r="X685" s="617"/>
      <c r="Y685" s="617"/>
      <c r="Z685" s="617"/>
      <c r="AA685" s="617"/>
      <c r="AB685" s="617"/>
      <c r="AC685" s="617"/>
      <c r="AD685" s="617"/>
      <c r="AE685" s="617"/>
      <c r="AF685" s="617"/>
      <c r="AG685" s="617"/>
      <c r="AH685" s="617"/>
    </row>
    <row r="686" spans="1:34" ht="15" hidden="1">
      <c r="A686" s="617"/>
      <c r="B686" s="617"/>
      <c r="C686" s="617"/>
      <c r="D686" s="617"/>
      <c r="E686" s="617"/>
      <c r="F686" s="617"/>
      <c r="G686" s="617"/>
      <c r="H686" s="617"/>
      <c r="I686" s="617"/>
      <c r="J686" s="617"/>
      <c r="K686" s="617"/>
      <c r="L686" s="617"/>
      <c r="M686" s="617"/>
      <c r="N686" s="617"/>
      <c r="O686" s="617"/>
      <c r="P686" s="617"/>
      <c r="Q686" s="617"/>
      <c r="R686" s="617"/>
      <c r="S686" s="617"/>
      <c r="T686" s="617"/>
      <c r="U686" s="617"/>
      <c r="V686" s="617"/>
      <c r="W686" s="617"/>
      <c r="X686" s="617"/>
      <c r="Y686" s="617"/>
      <c r="Z686" s="617"/>
      <c r="AA686" s="617"/>
      <c r="AB686" s="617"/>
      <c r="AC686" s="617"/>
      <c r="AD686" s="617"/>
      <c r="AE686" s="617"/>
      <c r="AF686" s="617"/>
      <c r="AG686" s="617"/>
      <c r="AH686" s="617"/>
    </row>
    <row r="687" spans="1:34" ht="15" hidden="1">
      <c r="A687" s="617"/>
      <c r="B687" s="617"/>
      <c r="C687" s="617"/>
      <c r="D687" s="617"/>
      <c r="E687" s="617"/>
      <c r="F687" s="617"/>
      <c r="G687" s="617"/>
      <c r="H687" s="617"/>
      <c r="I687" s="617"/>
      <c r="J687" s="617"/>
      <c r="K687" s="617"/>
      <c r="L687" s="617"/>
      <c r="M687" s="617"/>
      <c r="N687" s="617"/>
      <c r="O687" s="617"/>
      <c r="P687" s="617"/>
      <c r="Q687" s="617"/>
      <c r="R687" s="617"/>
      <c r="S687" s="617"/>
      <c r="T687" s="617"/>
      <c r="U687" s="617"/>
      <c r="V687" s="617"/>
      <c r="W687" s="617"/>
      <c r="X687" s="617"/>
      <c r="Y687" s="617"/>
      <c r="Z687" s="617"/>
      <c r="AA687" s="617"/>
      <c r="AB687" s="617"/>
      <c r="AC687" s="617"/>
      <c r="AD687" s="617"/>
      <c r="AE687" s="617"/>
      <c r="AF687" s="617"/>
      <c r="AG687" s="617"/>
      <c r="AH687" s="617"/>
    </row>
    <row r="688" spans="1:34" ht="15" hidden="1">
      <c r="A688" s="617"/>
      <c r="B688" s="617"/>
      <c r="C688" s="617"/>
      <c r="D688" s="617"/>
      <c r="E688" s="617"/>
      <c r="F688" s="617"/>
      <c r="G688" s="617"/>
      <c r="H688" s="617"/>
      <c r="I688" s="617"/>
      <c r="J688" s="617"/>
      <c r="K688" s="617"/>
      <c r="L688" s="617"/>
      <c r="M688" s="617"/>
      <c r="N688" s="617"/>
      <c r="O688" s="617"/>
      <c r="P688" s="617"/>
      <c r="Q688" s="617"/>
      <c r="R688" s="617"/>
      <c r="S688" s="617"/>
      <c r="T688" s="617"/>
      <c r="U688" s="617"/>
      <c r="V688" s="617"/>
      <c r="W688" s="617"/>
      <c r="X688" s="617"/>
      <c r="Y688" s="617"/>
      <c r="Z688" s="617"/>
      <c r="AA688" s="617"/>
      <c r="AB688" s="617"/>
      <c r="AC688" s="617"/>
      <c r="AD688" s="617"/>
      <c r="AE688" s="617"/>
      <c r="AF688" s="617"/>
      <c r="AG688" s="617"/>
      <c r="AH688" s="617"/>
    </row>
    <row r="689" spans="1:34" ht="15" hidden="1">
      <c r="A689" s="617"/>
      <c r="B689" s="617"/>
      <c r="C689" s="617"/>
      <c r="D689" s="617"/>
      <c r="E689" s="617"/>
      <c r="F689" s="617"/>
      <c r="G689" s="617"/>
      <c r="H689" s="617"/>
      <c r="I689" s="617"/>
      <c r="J689" s="617"/>
      <c r="K689" s="617"/>
      <c r="L689" s="617"/>
      <c r="M689" s="617"/>
      <c r="N689" s="617"/>
      <c r="O689" s="617"/>
      <c r="P689" s="617"/>
      <c r="Q689" s="617"/>
      <c r="R689" s="617"/>
      <c r="S689" s="617"/>
      <c r="T689" s="617"/>
      <c r="U689" s="617"/>
      <c r="V689" s="617"/>
      <c r="W689" s="617"/>
      <c r="X689" s="617"/>
      <c r="Y689" s="617"/>
      <c r="Z689" s="617"/>
      <c r="AA689" s="617"/>
      <c r="AB689" s="617"/>
      <c r="AC689" s="617"/>
      <c r="AD689" s="617"/>
      <c r="AE689" s="617"/>
      <c r="AF689" s="617"/>
      <c r="AG689" s="617"/>
      <c r="AH689" s="617"/>
    </row>
    <row r="690" spans="1:34" ht="15" hidden="1">
      <c r="A690" s="617"/>
      <c r="B690" s="617"/>
      <c r="C690" s="617"/>
      <c r="D690" s="617"/>
      <c r="E690" s="617"/>
      <c r="F690" s="617"/>
      <c r="G690" s="617"/>
      <c r="H690" s="617"/>
      <c r="I690" s="617"/>
      <c r="J690" s="617"/>
      <c r="K690" s="617"/>
      <c r="L690" s="617"/>
      <c r="M690" s="617"/>
      <c r="N690" s="617"/>
      <c r="O690" s="617"/>
      <c r="P690" s="617"/>
      <c r="Q690" s="617"/>
      <c r="R690" s="617"/>
      <c r="S690" s="617"/>
      <c r="T690" s="617"/>
      <c r="U690" s="617"/>
      <c r="V690" s="617"/>
      <c r="W690" s="617"/>
      <c r="X690" s="617"/>
      <c r="Y690" s="617"/>
      <c r="Z690" s="617"/>
      <c r="AA690" s="617"/>
      <c r="AB690" s="617"/>
      <c r="AC690" s="617"/>
      <c r="AD690" s="617"/>
      <c r="AE690" s="617"/>
      <c r="AF690" s="617"/>
      <c r="AG690" s="617"/>
      <c r="AH690" s="617"/>
    </row>
    <row r="691" spans="1:34" ht="15" hidden="1">
      <c r="A691" s="617"/>
      <c r="B691" s="617"/>
      <c r="C691" s="617"/>
      <c r="D691" s="617"/>
      <c r="E691" s="617"/>
      <c r="F691" s="617"/>
      <c r="G691" s="617"/>
      <c r="H691" s="617"/>
      <c r="I691" s="617"/>
      <c r="J691" s="617"/>
      <c r="K691" s="617"/>
      <c r="L691" s="617"/>
      <c r="M691" s="617"/>
      <c r="N691" s="617"/>
      <c r="O691" s="617"/>
      <c r="P691" s="617"/>
      <c r="Q691" s="617"/>
      <c r="R691" s="617"/>
      <c r="S691" s="617"/>
      <c r="T691" s="617"/>
      <c r="U691" s="617"/>
      <c r="V691" s="617"/>
      <c r="W691" s="617"/>
      <c r="X691" s="617"/>
      <c r="Y691" s="617"/>
      <c r="Z691" s="617"/>
      <c r="AA691" s="617"/>
      <c r="AB691" s="617"/>
      <c r="AC691" s="617"/>
      <c r="AD691" s="617"/>
      <c r="AE691" s="617"/>
      <c r="AF691" s="617"/>
      <c r="AG691" s="617"/>
      <c r="AH691" s="617"/>
    </row>
    <row r="692" spans="1:34" ht="15" hidden="1">
      <c r="A692" s="617"/>
      <c r="B692" s="617"/>
      <c r="C692" s="617"/>
      <c r="D692" s="617"/>
      <c r="E692" s="617"/>
      <c r="F692" s="617"/>
      <c r="G692" s="617"/>
      <c r="H692" s="617"/>
      <c r="I692" s="617"/>
      <c r="J692" s="617"/>
      <c r="K692" s="617"/>
      <c r="L692" s="617"/>
      <c r="M692" s="617"/>
      <c r="N692" s="617"/>
      <c r="O692" s="617"/>
      <c r="P692" s="617"/>
      <c r="Q692" s="617"/>
      <c r="R692" s="617"/>
      <c r="S692" s="617"/>
      <c r="T692" s="617"/>
      <c r="U692" s="617"/>
      <c r="V692" s="617"/>
      <c r="W692" s="617"/>
      <c r="X692" s="617"/>
      <c r="Y692" s="617"/>
      <c r="Z692" s="617"/>
      <c r="AA692" s="617"/>
      <c r="AB692" s="617"/>
      <c r="AC692" s="617"/>
      <c r="AD692" s="617"/>
      <c r="AE692" s="617"/>
      <c r="AF692" s="617"/>
      <c r="AG692" s="617"/>
      <c r="AH692" s="617"/>
    </row>
    <row r="693" spans="1:34" ht="15" hidden="1">
      <c r="A693" s="617"/>
      <c r="B693" s="617"/>
      <c r="C693" s="617"/>
      <c r="D693" s="617"/>
      <c r="E693" s="617"/>
      <c r="F693" s="617"/>
      <c r="G693" s="617"/>
      <c r="H693" s="617"/>
      <c r="I693" s="617"/>
      <c r="J693" s="617"/>
      <c r="K693" s="617"/>
      <c r="L693" s="617"/>
      <c r="M693" s="617"/>
      <c r="N693" s="617"/>
      <c r="O693" s="617"/>
      <c r="P693" s="617"/>
      <c r="Q693" s="617"/>
      <c r="R693" s="617"/>
      <c r="S693" s="617"/>
      <c r="T693" s="617"/>
      <c r="U693" s="617"/>
      <c r="V693" s="617"/>
      <c r="W693" s="617"/>
      <c r="X693" s="617"/>
      <c r="Y693" s="617"/>
      <c r="Z693" s="617"/>
      <c r="AA693" s="617"/>
      <c r="AB693" s="617"/>
      <c r="AC693" s="617"/>
      <c r="AD693" s="617"/>
      <c r="AE693" s="617"/>
      <c r="AF693" s="617"/>
      <c r="AG693" s="617"/>
      <c r="AH693" s="617"/>
    </row>
    <row r="694" spans="1:34" ht="15" hidden="1">
      <c r="A694" s="617"/>
      <c r="B694" s="617"/>
      <c r="C694" s="617"/>
      <c r="D694" s="617"/>
      <c r="E694" s="617"/>
      <c r="F694" s="617"/>
      <c r="G694" s="617"/>
      <c r="H694" s="617"/>
      <c r="I694" s="617"/>
      <c r="J694" s="617"/>
      <c r="K694" s="617"/>
      <c r="L694" s="617"/>
      <c r="M694" s="617"/>
      <c r="N694" s="617"/>
      <c r="O694" s="617"/>
      <c r="P694" s="617"/>
      <c r="Q694" s="617"/>
      <c r="R694" s="617"/>
      <c r="S694" s="617"/>
      <c r="T694" s="617"/>
      <c r="U694" s="617"/>
      <c r="V694" s="617"/>
      <c r="W694" s="617"/>
      <c r="X694" s="617"/>
      <c r="Y694" s="617"/>
      <c r="Z694" s="617"/>
      <c r="AA694" s="617"/>
      <c r="AB694" s="617"/>
      <c r="AC694" s="617"/>
      <c r="AD694" s="617"/>
      <c r="AE694" s="617"/>
      <c r="AF694" s="617"/>
      <c r="AG694" s="617"/>
      <c r="AH694" s="617"/>
    </row>
    <row r="695" spans="1:34" ht="15" hidden="1">
      <c r="A695" s="617"/>
      <c r="B695" s="617"/>
      <c r="C695" s="617"/>
      <c r="D695" s="617"/>
      <c r="E695" s="617"/>
      <c r="F695" s="617"/>
      <c r="G695" s="617"/>
      <c r="H695" s="617"/>
      <c r="I695" s="617"/>
      <c r="J695" s="617"/>
      <c r="K695" s="617"/>
      <c r="L695" s="617"/>
      <c r="M695" s="617"/>
      <c r="N695" s="617"/>
      <c r="O695" s="617"/>
      <c r="P695" s="617"/>
      <c r="Q695" s="617"/>
      <c r="R695" s="617"/>
      <c r="S695" s="617"/>
      <c r="T695" s="617"/>
      <c r="U695" s="617"/>
      <c r="V695" s="617"/>
      <c r="W695" s="617"/>
      <c r="X695" s="617"/>
      <c r="Y695" s="617"/>
      <c r="Z695" s="617"/>
      <c r="AA695" s="617"/>
      <c r="AB695" s="617"/>
      <c r="AC695" s="617"/>
      <c r="AD695" s="617"/>
      <c r="AE695" s="617"/>
      <c r="AF695" s="617"/>
      <c r="AG695" s="617"/>
      <c r="AH695" s="617"/>
    </row>
    <row r="696" spans="1:34" ht="15" hidden="1">
      <c r="A696" s="617"/>
      <c r="B696" s="617"/>
      <c r="C696" s="617"/>
      <c r="D696" s="617"/>
      <c r="E696" s="617"/>
      <c r="F696" s="617"/>
      <c r="G696" s="617"/>
      <c r="H696" s="617"/>
      <c r="I696" s="617"/>
      <c r="J696" s="617"/>
      <c r="K696" s="617"/>
      <c r="L696" s="617"/>
      <c r="M696" s="617"/>
      <c r="N696" s="617"/>
      <c r="O696" s="617"/>
      <c r="P696" s="617"/>
      <c r="Q696" s="617"/>
      <c r="R696" s="617"/>
      <c r="S696" s="617"/>
      <c r="T696" s="617"/>
      <c r="U696" s="617"/>
      <c r="V696" s="617"/>
      <c r="W696" s="617"/>
      <c r="X696" s="617"/>
      <c r="Y696" s="617"/>
      <c r="Z696" s="617"/>
      <c r="AA696" s="617"/>
      <c r="AB696" s="617"/>
      <c r="AC696" s="617"/>
      <c r="AD696" s="617"/>
      <c r="AE696" s="617"/>
      <c r="AF696" s="617"/>
      <c r="AG696" s="617"/>
      <c r="AH696" s="617"/>
    </row>
    <row r="697" spans="1:34" ht="15" hidden="1">
      <c r="A697" s="617"/>
      <c r="B697" s="617"/>
      <c r="C697" s="617"/>
      <c r="D697" s="617"/>
      <c r="E697" s="617"/>
      <c r="F697" s="617"/>
      <c r="G697" s="617"/>
      <c r="H697" s="617"/>
      <c r="I697" s="617"/>
      <c r="J697" s="617"/>
      <c r="K697" s="617"/>
      <c r="L697" s="617"/>
      <c r="M697" s="617"/>
      <c r="N697" s="617"/>
      <c r="O697" s="617"/>
      <c r="P697" s="617"/>
      <c r="Q697" s="617"/>
      <c r="R697" s="617"/>
      <c r="S697" s="617"/>
      <c r="T697" s="617"/>
      <c r="U697" s="617"/>
      <c r="V697" s="617"/>
      <c r="W697" s="617"/>
      <c r="X697" s="617"/>
      <c r="Y697" s="617"/>
      <c r="Z697" s="617"/>
      <c r="AA697" s="617"/>
      <c r="AB697" s="617"/>
      <c r="AC697" s="617"/>
      <c r="AD697" s="617"/>
      <c r="AE697" s="617"/>
      <c r="AF697" s="617"/>
      <c r="AG697" s="617"/>
      <c r="AH697" s="617"/>
    </row>
    <row r="698" spans="1:34" ht="15" hidden="1">
      <c r="A698" s="617"/>
      <c r="B698" s="617"/>
      <c r="C698" s="617"/>
      <c r="D698" s="617"/>
      <c r="E698" s="617"/>
      <c r="F698" s="617"/>
      <c r="G698" s="617"/>
      <c r="H698" s="617"/>
      <c r="I698" s="617"/>
      <c r="J698" s="617"/>
      <c r="K698" s="617"/>
      <c r="L698" s="617"/>
      <c r="M698" s="617"/>
      <c r="N698" s="617"/>
      <c r="O698" s="617"/>
      <c r="P698" s="617"/>
      <c r="Q698" s="617"/>
      <c r="R698" s="617"/>
      <c r="S698" s="617"/>
      <c r="T698" s="617"/>
      <c r="U698" s="617"/>
      <c r="V698" s="617"/>
      <c r="W698" s="617"/>
      <c r="X698" s="617"/>
      <c r="Y698" s="617"/>
      <c r="Z698" s="617"/>
      <c r="AA698" s="617"/>
      <c r="AB698" s="617"/>
      <c r="AC698" s="617"/>
      <c r="AD698" s="617"/>
      <c r="AE698" s="617"/>
      <c r="AF698" s="617"/>
      <c r="AG698" s="617"/>
      <c r="AH698" s="617"/>
    </row>
    <row r="699" spans="1:34" ht="15" hidden="1">
      <c r="A699" s="617"/>
      <c r="B699" s="617"/>
      <c r="C699" s="617"/>
      <c r="D699" s="617"/>
      <c r="E699" s="617"/>
      <c r="F699" s="617"/>
      <c r="G699" s="617"/>
      <c r="H699" s="617"/>
      <c r="I699" s="617"/>
      <c r="J699" s="617"/>
      <c r="K699" s="617"/>
      <c r="L699" s="617"/>
      <c r="M699" s="617"/>
      <c r="N699" s="617"/>
      <c r="O699" s="617"/>
      <c r="P699" s="617"/>
      <c r="Q699" s="617"/>
      <c r="R699" s="617"/>
      <c r="S699" s="617"/>
      <c r="T699" s="617"/>
      <c r="U699" s="617"/>
      <c r="V699" s="617"/>
      <c r="W699" s="617"/>
      <c r="X699" s="617"/>
      <c r="Y699" s="617"/>
      <c r="Z699" s="617"/>
      <c r="AA699" s="617"/>
      <c r="AB699" s="617"/>
      <c r="AC699" s="617"/>
      <c r="AD699" s="617"/>
      <c r="AE699" s="617"/>
      <c r="AF699" s="617"/>
      <c r="AG699" s="617"/>
      <c r="AH699" s="617"/>
    </row>
    <row r="700" spans="1:34" ht="15" hidden="1">
      <c r="A700" s="617"/>
      <c r="B700" s="617"/>
      <c r="C700" s="617"/>
      <c r="D700" s="617"/>
      <c r="E700" s="617"/>
      <c r="F700" s="617"/>
      <c r="G700" s="617"/>
      <c r="H700" s="617"/>
      <c r="I700" s="617"/>
      <c r="J700" s="617"/>
      <c r="K700" s="617"/>
      <c r="L700" s="617"/>
      <c r="M700" s="617"/>
      <c r="N700" s="617"/>
      <c r="O700" s="617"/>
      <c r="P700" s="617"/>
      <c r="Q700" s="617"/>
      <c r="R700" s="617"/>
      <c r="S700" s="617"/>
      <c r="T700" s="617"/>
      <c r="U700" s="617"/>
      <c r="V700" s="617"/>
      <c r="W700" s="617"/>
      <c r="X700" s="617"/>
      <c r="Y700" s="617"/>
      <c r="Z700" s="617"/>
      <c r="AA700" s="617"/>
      <c r="AB700" s="617"/>
      <c r="AC700" s="617"/>
      <c r="AD700" s="617"/>
      <c r="AE700" s="617"/>
      <c r="AF700" s="617"/>
      <c r="AG700" s="617"/>
      <c r="AH700" s="617"/>
    </row>
    <row r="701" spans="1:34" ht="15" hidden="1">
      <c r="A701" s="617"/>
      <c r="B701" s="617"/>
      <c r="C701" s="617"/>
      <c r="D701" s="617"/>
      <c r="E701" s="617"/>
      <c r="F701" s="617"/>
      <c r="G701" s="617"/>
      <c r="H701" s="617"/>
      <c r="I701" s="617"/>
      <c r="J701" s="617"/>
      <c r="K701" s="617"/>
      <c r="L701" s="617"/>
      <c r="M701" s="617"/>
      <c r="N701" s="617"/>
      <c r="O701" s="617"/>
      <c r="P701" s="617"/>
      <c r="Q701" s="617"/>
      <c r="R701" s="617"/>
      <c r="S701" s="617"/>
      <c r="T701" s="617"/>
      <c r="U701" s="617"/>
      <c r="V701" s="617"/>
      <c r="W701" s="617"/>
      <c r="X701" s="617"/>
      <c r="Y701" s="617"/>
      <c r="Z701" s="617"/>
      <c r="AA701" s="617"/>
      <c r="AB701" s="617"/>
      <c r="AC701" s="617"/>
      <c r="AD701" s="617"/>
      <c r="AE701" s="617"/>
      <c r="AF701" s="617"/>
      <c r="AG701" s="617"/>
      <c r="AH701" s="617"/>
    </row>
    <row r="702" spans="1:34" ht="15" hidden="1">
      <c r="A702" s="617"/>
      <c r="B702" s="617"/>
      <c r="C702" s="617"/>
      <c r="D702" s="617"/>
      <c r="E702" s="617"/>
      <c r="F702" s="617"/>
      <c r="G702" s="617"/>
      <c r="H702" s="617"/>
      <c r="I702" s="617"/>
      <c r="J702" s="617"/>
      <c r="K702" s="617"/>
      <c r="L702" s="617"/>
      <c r="M702" s="617"/>
      <c r="N702" s="617"/>
      <c r="O702" s="617"/>
      <c r="P702" s="617"/>
      <c r="Q702" s="617"/>
      <c r="R702" s="617"/>
      <c r="S702" s="617"/>
      <c r="T702" s="617"/>
      <c r="U702" s="617"/>
      <c r="V702" s="617"/>
      <c r="W702" s="617"/>
      <c r="X702" s="617"/>
      <c r="Y702" s="617"/>
      <c r="Z702" s="617"/>
      <c r="AA702" s="617"/>
      <c r="AB702" s="617"/>
      <c r="AC702" s="617"/>
      <c r="AD702" s="617"/>
      <c r="AE702" s="617"/>
      <c r="AF702" s="617"/>
      <c r="AG702" s="617"/>
      <c r="AH702" s="617"/>
    </row>
    <row r="703" spans="1:34" ht="15" hidden="1">
      <c r="A703" s="617"/>
      <c r="B703" s="617"/>
      <c r="C703" s="617"/>
      <c r="D703" s="617"/>
      <c r="E703" s="617"/>
      <c r="F703" s="617"/>
      <c r="G703" s="617"/>
      <c r="H703" s="617"/>
      <c r="I703" s="617"/>
      <c r="J703" s="617"/>
      <c r="K703" s="617"/>
      <c r="L703" s="617"/>
      <c r="M703" s="617"/>
      <c r="N703" s="617"/>
      <c r="O703" s="617"/>
      <c r="P703" s="617"/>
      <c r="Q703" s="617"/>
      <c r="R703" s="617"/>
      <c r="S703" s="617"/>
      <c r="T703" s="617"/>
      <c r="U703" s="617"/>
      <c r="V703" s="617"/>
      <c r="W703" s="617"/>
      <c r="X703" s="617"/>
      <c r="Y703" s="617"/>
      <c r="Z703" s="617"/>
      <c r="AA703" s="617"/>
      <c r="AB703" s="617"/>
      <c r="AC703" s="617"/>
      <c r="AD703" s="617"/>
      <c r="AE703" s="617"/>
      <c r="AF703" s="617"/>
      <c r="AG703" s="617"/>
      <c r="AH703" s="617"/>
    </row>
    <row r="704" spans="1:34" ht="15" hidden="1">
      <c r="A704" s="617"/>
      <c r="B704" s="617"/>
      <c r="C704" s="617"/>
      <c r="D704" s="617"/>
      <c r="E704" s="617"/>
      <c r="F704" s="617"/>
      <c r="G704" s="617"/>
      <c r="H704" s="617"/>
      <c r="I704" s="617"/>
      <c r="J704" s="617"/>
      <c r="K704" s="617"/>
      <c r="L704" s="617"/>
      <c r="M704" s="617"/>
      <c r="N704" s="617"/>
      <c r="O704" s="617"/>
      <c r="P704" s="617"/>
      <c r="Q704" s="617"/>
      <c r="R704" s="617"/>
      <c r="S704" s="617"/>
      <c r="T704" s="617"/>
      <c r="U704" s="617"/>
      <c r="V704" s="617"/>
      <c r="W704" s="617"/>
      <c r="X704" s="617"/>
      <c r="Y704" s="617"/>
      <c r="Z704" s="617"/>
      <c r="AA704" s="617"/>
      <c r="AB704" s="617"/>
      <c r="AC704" s="617"/>
      <c r="AD704" s="617"/>
      <c r="AE704" s="617"/>
      <c r="AF704" s="617"/>
      <c r="AG704" s="617"/>
      <c r="AH704" s="617"/>
    </row>
    <row r="705" spans="1:34" ht="15" hidden="1">
      <c r="A705" s="617"/>
      <c r="B705" s="617"/>
      <c r="C705" s="617"/>
      <c r="D705" s="617"/>
      <c r="E705" s="617"/>
      <c r="F705" s="617"/>
      <c r="G705" s="617"/>
      <c r="H705" s="617"/>
      <c r="I705" s="617"/>
      <c r="J705" s="617"/>
      <c r="K705" s="617"/>
      <c r="L705" s="617"/>
      <c r="M705" s="617"/>
      <c r="N705" s="617"/>
      <c r="O705" s="617"/>
      <c r="P705" s="617"/>
      <c r="Q705" s="617"/>
      <c r="R705" s="617"/>
      <c r="S705" s="617"/>
      <c r="T705" s="617"/>
      <c r="U705" s="617"/>
      <c r="V705" s="617"/>
      <c r="W705" s="617"/>
      <c r="X705" s="617"/>
      <c r="Y705" s="617"/>
      <c r="Z705" s="617"/>
      <c r="AA705" s="617"/>
      <c r="AB705" s="617"/>
      <c r="AC705" s="617"/>
      <c r="AD705" s="617"/>
      <c r="AE705" s="617"/>
      <c r="AF705" s="617"/>
      <c r="AG705" s="617"/>
      <c r="AH705" s="617"/>
    </row>
    <row r="706" spans="1:34" ht="15" hidden="1">
      <c r="A706" s="617"/>
      <c r="B706" s="617"/>
      <c r="C706" s="617"/>
      <c r="D706" s="617"/>
      <c r="E706" s="617"/>
      <c r="F706" s="617"/>
      <c r="G706" s="617"/>
      <c r="H706" s="617"/>
      <c r="I706" s="617"/>
      <c r="J706" s="617"/>
      <c r="K706" s="617"/>
      <c r="L706" s="617"/>
      <c r="M706" s="617"/>
      <c r="N706" s="617"/>
      <c r="O706" s="617"/>
      <c r="P706" s="617"/>
      <c r="Q706" s="617"/>
      <c r="R706" s="617"/>
      <c r="S706" s="617"/>
      <c r="T706" s="617"/>
      <c r="U706" s="617"/>
      <c r="V706" s="617"/>
      <c r="W706" s="617"/>
      <c r="X706" s="617"/>
      <c r="Y706" s="617"/>
      <c r="Z706" s="617"/>
      <c r="AA706" s="617"/>
      <c r="AB706" s="617"/>
      <c r="AC706" s="617"/>
      <c r="AD706" s="617"/>
      <c r="AE706" s="617"/>
      <c r="AF706" s="617"/>
      <c r="AG706" s="617"/>
      <c r="AH706" s="617"/>
    </row>
    <row r="707" spans="1:34" ht="15" hidden="1">
      <c r="A707" s="617"/>
      <c r="B707" s="617"/>
      <c r="C707" s="617"/>
      <c r="D707" s="617"/>
      <c r="E707" s="617"/>
      <c r="F707" s="617"/>
      <c r="G707" s="617"/>
      <c r="H707" s="617"/>
      <c r="I707" s="617"/>
      <c r="J707" s="617"/>
      <c r="K707" s="617"/>
      <c r="L707" s="617"/>
      <c r="M707" s="617"/>
      <c r="N707" s="617"/>
      <c r="O707" s="617"/>
      <c r="P707" s="617"/>
      <c r="Q707" s="617"/>
      <c r="R707" s="617"/>
      <c r="S707" s="617"/>
      <c r="T707" s="617"/>
      <c r="U707" s="617"/>
      <c r="V707" s="617"/>
      <c r="W707" s="617"/>
      <c r="X707" s="617"/>
      <c r="Y707" s="617"/>
      <c r="Z707" s="617"/>
      <c r="AA707" s="617"/>
      <c r="AB707" s="617"/>
      <c r="AC707" s="617"/>
      <c r="AD707" s="617"/>
      <c r="AE707" s="617"/>
      <c r="AF707" s="617"/>
      <c r="AG707" s="617"/>
      <c r="AH707" s="617"/>
    </row>
    <row r="708" spans="1:34" ht="15" hidden="1">
      <c r="A708" s="617"/>
      <c r="B708" s="617"/>
      <c r="C708" s="617"/>
      <c r="D708" s="617"/>
      <c r="E708" s="617"/>
      <c r="F708" s="617"/>
      <c r="G708" s="617"/>
      <c r="H708" s="617"/>
      <c r="I708" s="617"/>
      <c r="J708" s="617"/>
      <c r="K708" s="617"/>
      <c r="L708" s="617"/>
      <c r="M708" s="617"/>
      <c r="N708" s="617"/>
      <c r="O708" s="617"/>
      <c r="P708" s="617"/>
      <c r="Q708" s="617"/>
      <c r="R708" s="617"/>
      <c r="S708" s="617"/>
      <c r="T708" s="617"/>
      <c r="U708" s="617"/>
      <c r="V708" s="617"/>
      <c r="W708" s="617"/>
      <c r="X708" s="617"/>
      <c r="Y708" s="617"/>
      <c r="Z708" s="617"/>
      <c r="AA708" s="617"/>
      <c r="AB708" s="617"/>
      <c r="AC708" s="617"/>
      <c r="AD708" s="617"/>
      <c r="AE708" s="617"/>
      <c r="AF708" s="617"/>
      <c r="AG708" s="617"/>
      <c r="AH708" s="617"/>
    </row>
    <row r="709" spans="1:34" ht="15" hidden="1">
      <c r="A709" s="617"/>
      <c r="B709" s="617"/>
      <c r="C709" s="617"/>
      <c r="D709" s="617"/>
      <c r="E709" s="617"/>
      <c r="F709" s="617"/>
      <c r="G709" s="617"/>
      <c r="H709" s="617"/>
      <c r="I709" s="617"/>
      <c r="J709" s="617"/>
      <c r="K709" s="617"/>
      <c r="L709" s="617"/>
      <c r="M709" s="617"/>
      <c r="N709" s="617"/>
      <c r="O709" s="617"/>
      <c r="P709" s="617"/>
      <c r="Q709" s="617"/>
      <c r="R709" s="617"/>
      <c r="S709" s="617"/>
      <c r="T709" s="617"/>
      <c r="U709" s="617"/>
      <c r="V709" s="617"/>
      <c r="W709" s="617"/>
      <c r="X709" s="617"/>
      <c r="Y709" s="617"/>
      <c r="Z709" s="617"/>
      <c r="AA709" s="617"/>
      <c r="AB709" s="617"/>
      <c r="AC709" s="617"/>
      <c r="AD709" s="617"/>
      <c r="AE709" s="617"/>
      <c r="AF709" s="617"/>
      <c r="AG709" s="617"/>
      <c r="AH709" s="617"/>
    </row>
    <row r="710" spans="1:34" ht="15" hidden="1">
      <c r="A710" s="617"/>
      <c r="B710" s="617"/>
      <c r="C710" s="617"/>
      <c r="D710" s="617"/>
      <c r="E710" s="617"/>
      <c r="F710" s="617"/>
      <c r="G710" s="617"/>
      <c r="H710" s="617"/>
      <c r="I710" s="617"/>
      <c r="J710" s="617"/>
      <c r="K710" s="617"/>
      <c r="L710" s="617"/>
      <c r="M710" s="617"/>
      <c r="N710" s="617"/>
      <c r="O710" s="617"/>
      <c r="P710" s="617"/>
      <c r="Q710" s="617"/>
      <c r="R710" s="617"/>
      <c r="S710" s="617"/>
      <c r="T710" s="617"/>
      <c r="U710" s="617"/>
      <c r="V710" s="617"/>
      <c r="W710" s="617"/>
      <c r="X710" s="617"/>
      <c r="Y710" s="617"/>
      <c r="Z710" s="617"/>
      <c r="AA710" s="617"/>
      <c r="AB710" s="617"/>
      <c r="AC710" s="617"/>
      <c r="AD710" s="617"/>
      <c r="AE710" s="617"/>
      <c r="AF710" s="617"/>
      <c r="AG710" s="617"/>
      <c r="AH710" s="617"/>
    </row>
    <row r="711" spans="1:34" ht="15" hidden="1">
      <c r="A711" s="617"/>
      <c r="B711" s="617"/>
      <c r="C711" s="617"/>
      <c r="D711" s="617"/>
      <c r="E711" s="617"/>
      <c r="F711" s="617"/>
      <c r="G711" s="617"/>
      <c r="H711" s="617"/>
      <c r="I711" s="617"/>
      <c r="J711" s="617"/>
      <c r="K711" s="617"/>
      <c r="L711" s="617"/>
      <c r="M711" s="617"/>
      <c r="N711" s="617"/>
      <c r="O711" s="617"/>
      <c r="P711" s="617"/>
      <c r="Q711" s="617"/>
      <c r="R711" s="617"/>
      <c r="S711" s="617"/>
      <c r="T711" s="617"/>
      <c r="U711" s="617"/>
      <c r="V711" s="617"/>
      <c r="W711" s="617"/>
      <c r="X711" s="617"/>
      <c r="Y711" s="617"/>
      <c r="Z711" s="617"/>
      <c r="AA711" s="617"/>
      <c r="AB711" s="617"/>
      <c r="AC711" s="617"/>
      <c r="AD711" s="617"/>
      <c r="AE711" s="617"/>
      <c r="AF711" s="617"/>
      <c r="AG711" s="617"/>
      <c r="AH711" s="617"/>
    </row>
    <row r="712" spans="1:34" ht="15" hidden="1">
      <c r="A712" s="617"/>
      <c r="B712" s="617"/>
      <c r="C712" s="617"/>
      <c r="D712" s="617"/>
      <c r="E712" s="617"/>
      <c r="F712" s="617"/>
      <c r="G712" s="617"/>
      <c r="H712" s="617"/>
      <c r="I712" s="617"/>
      <c r="J712" s="617"/>
      <c r="K712" s="617"/>
      <c r="L712" s="617"/>
      <c r="M712" s="617"/>
      <c r="N712" s="617"/>
      <c r="O712" s="617"/>
      <c r="P712" s="617"/>
      <c r="Q712" s="617"/>
      <c r="R712" s="617"/>
      <c r="S712" s="617"/>
      <c r="T712" s="617"/>
      <c r="U712" s="617"/>
      <c r="V712" s="617"/>
      <c r="W712" s="617"/>
      <c r="X712" s="617"/>
      <c r="Y712" s="617"/>
      <c r="Z712" s="617"/>
      <c r="AA712" s="617"/>
      <c r="AB712" s="617"/>
      <c r="AC712" s="617"/>
      <c r="AD712" s="617"/>
      <c r="AE712" s="617"/>
      <c r="AF712" s="617"/>
      <c r="AG712" s="617"/>
      <c r="AH712" s="617"/>
    </row>
    <row r="713" spans="1:34" ht="15" hidden="1">
      <c r="A713" s="617"/>
      <c r="B713" s="617"/>
      <c r="C713" s="617"/>
      <c r="D713" s="617"/>
      <c r="E713" s="617"/>
      <c r="F713" s="617"/>
      <c r="G713" s="617"/>
      <c r="H713" s="617"/>
      <c r="I713" s="617"/>
      <c r="J713" s="617"/>
      <c r="K713" s="617"/>
      <c r="L713" s="617"/>
      <c r="M713" s="617"/>
      <c r="N713" s="617"/>
      <c r="O713" s="617"/>
      <c r="P713" s="617"/>
      <c r="Q713" s="617"/>
      <c r="R713" s="617"/>
      <c r="S713" s="617"/>
      <c r="T713" s="617"/>
      <c r="U713" s="617"/>
      <c r="V713" s="617"/>
      <c r="W713" s="617"/>
      <c r="X713" s="617"/>
      <c r="Y713" s="617"/>
      <c r="Z713" s="617"/>
      <c r="AA713" s="617"/>
      <c r="AB713" s="617"/>
      <c r="AC713" s="617"/>
      <c r="AD713" s="617"/>
      <c r="AE713" s="617"/>
      <c r="AF713" s="617"/>
      <c r="AG713" s="617"/>
      <c r="AH713" s="617"/>
    </row>
    <row r="714" spans="1:34" ht="15" hidden="1">
      <c r="A714" s="617"/>
      <c r="B714" s="617"/>
      <c r="C714" s="617"/>
      <c r="D714" s="617"/>
      <c r="E714" s="617"/>
      <c r="F714" s="617"/>
      <c r="G714" s="617"/>
      <c r="H714" s="617"/>
      <c r="I714" s="617"/>
      <c r="J714" s="617"/>
      <c r="K714" s="617"/>
      <c r="L714" s="617"/>
      <c r="M714" s="617"/>
      <c r="N714" s="617"/>
      <c r="O714" s="617"/>
      <c r="P714" s="617"/>
      <c r="Q714" s="617"/>
      <c r="R714" s="617"/>
      <c r="S714" s="617"/>
      <c r="T714" s="617"/>
      <c r="U714" s="617"/>
      <c r="V714" s="617"/>
      <c r="W714" s="617"/>
      <c r="X714" s="617"/>
      <c r="Y714" s="617"/>
      <c r="Z714" s="617"/>
      <c r="AA714" s="617"/>
      <c r="AB714" s="617"/>
      <c r="AC714" s="617"/>
      <c r="AD714" s="617"/>
      <c r="AE714" s="617"/>
      <c r="AF714" s="617"/>
      <c r="AG714" s="617"/>
      <c r="AH714" s="617"/>
    </row>
    <row r="715" spans="1:34" ht="15" hidden="1">
      <c r="A715" s="617"/>
      <c r="B715" s="617"/>
      <c r="C715" s="617"/>
      <c r="D715" s="617"/>
      <c r="E715" s="617"/>
      <c r="F715" s="617"/>
      <c r="G715" s="617"/>
      <c r="H715" s="617"/>
      <c r="I715" s="617"/>
      <c r="J715" s="617"/>
      <c r="K715" s="617"/>
      <c r="L715" s="617"/>
      <c r="M715" s="617"/>
      <c r="N715" s="617"/>
      <c r="O715" s="617"/>
      <c r="P715" s="617"/>
      <c r="Q715" s="617"/>
      <c r="R715" s="617"/>
      <c r="S715" s="617"/>
      <c r="T715" s="617"/>
      <c r="U715" s="617"/>
      <c r="V715" s="617"/>
      <c r="W715" s="617"/>
      <c r="X715" s="617"/>
      <c r="Y715" s="617"/>
      <c r="Z715" s="617"/>
      <c r="AA715" s="617"/>
      <c r="AB715" s="617"/>
      <c r="AC715" s="617"/>
      <c r="AD715" s="617"/>
      <c r="AE715" s="617"/>
      <c r="AF715" s="617"/>
      <c r="AG715" s="617"/>
      <c r="AH715" s="617"/>
    </row>
    <row r="716" spans="1:34" ht="15" hidden="1">
      <c r="A716" s="617"/>
      <c r="B716" s="617"/>
      <c r="C716" s="617"/>
      <c r="D716" s="617"/>
      <c r="E716" s="617"/>
      <c r="F716" s="617"/>
      <c r="G716" s="617"/>
      <c r="H716" s="617"/>
      <c r="I716" s="617"/>
      <c r="J716" s="617"/>
      <c r="K716" s="617"/>
      <c r="L716" s="617"/>
      <c r="M716" s="617"/>
      <c r="N716" s="617"/>
      <c r="O716" s="617"/>
      <c r="P716" s="617"/>
      <c r="Q716" s="617"/>
      <c r="R716" s="617"/>
      <c r="S716" s="617"/>
      <c r="T716" s="617"/>
      <c r="U716" s="617"/>
      <c r="V716" s="617"/>
      <c r="W716" s="617"/>
      <c r="X716" s="617"/>
      <c r="Y716" s="617"/>
      <c r="Z716" s="617"/>
      <c r="AA716" s="617"/>
      <c r="AB716" s="617"/>
      <c r="AC716" s="617"/>
      <c r="AD716" s="617"/>
      <c r="AE716" s="617"/>
      <c r="AF716" s="617"/>
      <c r="AG716" s="617"/>
      <c r="AH716" s="617"/>
    </row>
    <row r="717" spans="1:34" ht="15" hidden="1">
      <c r="A717" s="617"/>
      <c r="B717" s="617"/>
      <c r="C717" s="617"/>
      <c r="D717" s="617"/>
      <c r="E717" s="617"/>
      <c r="F717" s="617"/>
      <c r="G717" s="617"/>
      <c r="H717" s="617"/>
      <c r="I717" s="617"/>
      <c r="J717" s="617"/>
      <c r="K717" s="617"/>
      <c r="L717" s="617"/>
      <c r="M717" s="617"/>
      <c r="N717" s="617"/>
      <c r="O717" s="617"/>
      <c r="P717" s="617"/>
      <c r="Q717" s="617"/>
      <c r="R717" s="617"/>
      <c r="S717" s="617"/>
      <c r="T717" s="617"/>
      <c r="U717" s="617"/>
      <c r="V717" s="617"/>
      <c r="W717" s="617"/>
      <c r="X717" s="617"/>
      <c r="Y717" s="617"/>
      <c r="Z717" s="617"/>
      <c r="AA717" s="617"/>
      <c r="AB717" s="617"/>
      <c r="AC717" s="617"/>
      <c r="AD717" s="617"/>
      <c r="AE717" s="617"/>
      <c r="AF717" s="617"/>
      <c r="AG717" s="617"/>
      <c r="AH717" s="617"/>
    </row>
    <row r="718" spans="1:34" ht="15" hidden="1">
      <c r="A718" s="617"/>
      <c r="B718" s="617"/>
      <c r="C718" s="617"/>
      <c r="D718" s="617"/>
      <c r="E718" s="617"/>
      <c r="F718" s="617"/>
      <c r="G718" s="617"/>
      <c r="H718" s="617"/>
      <c r="I718" s="617"/>
      <c r="J718" s="617"/>
      <c r="K718" s="617"/>
      <c r="L718" s="617"/>
      <c r="M718" s="617"/>
      <c r="N718" s="617"/>
      <c r="O718" s="617"/>
      <c r="P718" s="617"/>
      <c r="Q718" s="617"/>
      <c r="R718" s="617"/>
      <c r="S718" s="617"/>
      <c r="T718" s="617"/>
      <c r="U718" s="617"/>
      <c r="V718" s="617"/>
      <c r="W718" s="617"/>
      <c r="X718" s="617"/>
      <c r="Y718" s="617"/>
      <c r="Z718" s="617"/>
      <c r="AA718" s="617"/>
      <c r="AB718" s="617"/>
      <c r="AC718" s="617"/>
      <c r="AD718" s="617"/>
      <c r="AE718" s="617"/>
      <c r="AF718" s="617"/>
      <c r="AG718" s="617"/>
      <c r="AH718" s="617"/>
    </row>
    <row r="719" spans="1:34" ht="15" hidden="1">
      <c r="A719" s="617"/>
      <c r="B719" s="617"/>
      <c r="C719" s="617"/>
      <c r="D719" s="617"/>
      <c r="E719" s="617"/>
      <c r="F719" s="617"/>
      <c r="G719" s="617"/>
      <c r="H719" s="617"/>
      <c r="I719" s="617"/>
      <c r="J719" s="617"/>
      <c r="K719" s="617"/>
      <c r="L719" s="617"/>
      <c r="M719" s="617"/>
      <c r="N719" s="617"/>
      <c r="O719" s="617"/>
      <c r="P719" s="617"/>
      <c r="Q719" s="617"/>
      <c r="R719" s="617"/>
      <c r="S719" s="617"/>
      <c r="T719" s="617"/>
      <c r="U719" s="617"/>
      <c r="V719" s="617"/>
      <c r="W719" s="617"/>
      <c r="X719" s="617"/>
      <c r="Y719" s="617"/>
      <c r="Z719" s="617"/>
      <c r="AA719" s="617"/>
      <c r="AB719" s="617"/>
      <c r="AC719" s="617"/>
      <c r="AD719" s="617"/>
      <c r="AE719" s="617"/>
      <c r="AF719" s="617"/>
      <c r="AG719" s="617"/>
      <c r="AH719" s="617"/>
    </row>
    <row r="720" spans="1:34" ht="15" hidden="1">
      <c r="A720" s="617"/>
      <c r="B720" s="617"/>
      <c r="C720" s="617"/>
      <c r="D720" s="617"/>
      <c r="E720" s="617"/>
      <c r="F720" s="617"/>
      <c r="G720" s="617"/>
      <c r="H720" s="617"/>
      <c r="I720" s="617"/>
      <c r="J720" s="617"/>
      <c r="K720" s="617"/>
      <c r="L720" s="617"/>
      <c r="M720" s="617"/>
      <c r="N720" s="617"/>
      <c r="O720" s="617"/>
      <c r="P720" s="617"/>
      <c r="Q720" s="617"/>
      <c r="R720" s="617"/>
      <c r="S720" s="617"/>
      <c r="T720" s="617"/>
      <c r="U720" s="617"/>
      <c r="V720" s="617"/>
      <c r="W720" s="617"/>
      <c r="X720" s="617"/>
      <c r="Y720" s="617"/>
      <c r="Z720" s="617"/>
      <c r="AA720" s="617"/>
      <c r="AB720" s="617"/>
      <c r="AC720" s="617"/>
      <c r="AD720" s="617"/>
      <c r="AE720" s="617"/>
      <c r="AF720" s="617"/>
      <c r="AG720" s="617"/>
      <c r="AH720" s="617"/>
    </row>
    <row r="721" spans="1:34" ht="15" hidden="1">
      <c r="A721" s="617"/>
      <c r="B721" s="617"/>
      <c r="C721" s="617"/>
      <c r="D721" s="617"/>
      <c r="E721" s="617"/>
      <c r="F721" s="617"/>
      <c r="G721" s="617"/>
      <c r="H721" s="617"/>
      <c r="I721" s="617"/>
      <c r="J721" s="617"/>
      <c r="K721" s="617"/>
      <c r="L721" s="617"/>
      <c r="M721" s="617"/>
      <c r="N721" s="617"/>
      <c r="O721" s="617"/>
      <c r="P721" s="617"/>
      <c r="Q721" s="617"/>
      <c r="R721" s="617"/>
      <c r="S721" s="617"/>
      <c r="T721" s="617"/>
      <c r="U721" s="617"/>
      <c r="V721" s="617"/>
      <c r="W721" s="617"/>
      <c r="X721" s="617"/>
      <c r="Y721" s="617"/>
      <c r="Z721" s="617"/>
      <c r="AA721" s="617"/>
      <c r="AB721" s="617"/>
      <c r="AC721" s="617"/>
      <c r="AD721" s="617"/>
      <c r="AE721" s="617"/>
      <c r="AF721" s="617"/>
      <c r="AG721" s="617"/>
      <c r="AH721" s="617"/>
    </row>
    <row r="722" spans="1:34" ht="15" hidden="1">
      <c r="A722" s="617"/>
      <c r="B722" s="617"/>
      <c r="C722" s="617"/>
      <c r="D722" s="617"/>
      <c r="E722" s="617"/>
      <c r="F722" s="617"/>
      <c r="G722" s="617"/>
      <c r="H722" s="617"/>
      <c r="I722" s="617"/>
      <c r="J722" s="617"/>
      <c r="K722" s="617"/>
      <c r="L722" s="617"/>
      <c r="M722" s="617"/>
      <c r="N722" s="617"/>
      <c r="O722" s="617"/>
      <c r="P722" s="617"/>
      <c r="Q722" s="617"/>
      <c r="R722" s="617"/>
      <c r="S722" s="617"/>
      <c r="T722" s="617"/>
      <c r="U722" s="617"/>
      <c r="V722" s="617"/>
      <c r="W722" s="617"/>
      <c r="X722" s="617"/>
      <c r="Y722" s="617"/>
      <c r="Z722" s="617"/>
      <c r="AA722" s="617"/>
      <c r="AB722" s="617"/>
      <c r="AC722" s="617"/>
      <c r="AD722" s="617"/>
      <c r="AE722" s="617"/>
      <c r="AF722" s="617"/>
      <c r="AG722" s="617"/>
      <c r="AH722" s="617"/>
    </row>
    <row r="723" spans="1:34" ht="15" hidden="1">
      <c r="A723" s="617"/>
      <c r="B723" s="617"/>
      <c r="C723" s="617"/>
      <c r="D723" s="617"/>
      <c r="E723" s="617"/>
      <c r="F723" s="617"/>
      <c r="G723" s="617"/>
      <c r="H723" s="617"/>
      <c r="I723" s="617"/>
      <c r="J723" s="617"/>
      <c r="K723" s="617"/>
      <c r="L723" s="617"/>
      <c r="M723" s="617"/>
      <c r="N723" s="617"/>
      <c r="O723" s="617"/>
      <c r="P723" s="617"/>
      <c r="Q723" s="617"/>
      <c r="R723" s="617"/>
      <c r="S723" s="617"/>
      <c r="T723" s="617"/>
      <c r="U723" s="617"/>
      <c r="V723" s="617"/>
      <c r="W723" s="617"/>
      <c r="X723" s="617"/>
      <c r="Y723" s="617"/>
      <c r="Z723" s="617"/>
      <c r="AA723" s="617"/>
      <c r="AB723" s="617"/>
      <c r="AC723" s="617"/>
      <c r="AD723" s="617"/>
      <c r="AE723" s="617"/>
      <c r="AF723" s="617"/>
      <c r="AG723" s="617"/>
      <c r="AH723" s="617"/>
    </row>
    <row r="724" spans="1:34" ht="15" hidden="1">
      <c r="A724" s="617"/>
      <c r="B724" s="617"/>
      <c r="C724" s="617"/>
      <c r="D724" s="617"/>
      <c r="E724" s="617"/>
      <c r="F724" s="617"/>
      <c r="G724" s="617"/>
      <c r="H724" s="617"/>
      <c r="I724" s="617"/>
      <c r="J724" s="617"/>
      <c r="K724" s="617"/>
      <c r="L724" s="617"/>
      <c r="M724" s="617"/>
      <c r="N724" s="617"/>
      <c r="O724" s="617"/>
      <c r="P724" s="617"/>
      <c r="Q724" s="617"/>
      <c r="R724" s="617"/>
      <c r="S724" s="617"/>
      <c r="T724" s="617"/>
      <c r="U724" s="617"/>
      <c r="V724" s="617"/>
      <c r="W724" s="617"/>
      <c r="X724" s="617"/>
      <c r="Y724" s="617"/>
      <c r="Z724" s="617"/>
      <c r="AA724" s="617"/>
      <c r="AB724" s="617"/>
      <c r="AC724" s="617"/>
      <c r="AD724" s="617"/>
      <c r="AE724" s="617"/>
      <c r="AF724" s="617"/>
      <c r="AG724" s="617"/>
      <c r="AH724" s="617"/>
    </row>
    <row r="725" spans="1:34" ht="15" hidden="1">
      <c r="A725" s="617"/>
      <c r="B725" s="617"/>
      <c r="C725" s="617"/>
      <c r="D725" s="617"/>
      <c r="E725" s="617"/>
      <c r="F725" s="617"/>
      <c r="G725" s="617"/>
      <c r="H725" s="617"/>
      <c r="I725" s="617"/>
      <c r="J725" s="617"/>
      <c r="K725" s="617"/>
      <c r="L725" s="617"/>
      <c r="M725" s="617"/>
      <c r="N725" s="617"/>
      <c r="O725" s="617"/>
      <c r="P725" s="617"/>
      <c r="Q725" s="617"/>
      <c r="R725" s="617"/>
      <c r="S725" s="617"/>
      <c r="T725" s="617"/>
      <c r="U725" s="617"/>
      <c r="V725" s="617"/>
      <c r="W725" s="617"/>
      <c r="X725" s="617"/>
      <c r="Y725" s="617"/>
      <c r="Z725" s="617"/>
      <c r="AA725" s="617"/>
      <c r="AB725" s="617"/>
      <c r="AC725" s="617"/>
      <c r="AD725" s="617"/>
      <c r="AE725" s="617"/>
      <c r="AF725" s="617"/>
      <c r="AG725" s="617"/>
      <c r="AH725" s="617"/>
    </row>
    <row r="726" spans="1:34" ht="15" hidden="1">
      <c r="A726" s="617"/>
      <c r="B726" s="617"/>
      <c r="C726" s="617"/>
      <c r="D726" s="617"/>
      <c r="E726" s="617"/>
      <c r="F726" s="617"/>
      <c r="G726" s="617"/>
      <c r="H726" s="617"/>
      <c r="I726" s="617"/>
      <c r="J726" s="617"/>
      <c r="K726" s="617"/>
      <c r="L726" s="617"/>
      <c r="M726" s="617"/>
      <c r="N726" s="617"/>
      <c r="O726" s="617"/>
      <c r="P726" s="617"/>
      <c r="Q726" s="617"/>
      <c r="R726" s="617"/>
      <c r="S726" s="617"/>
      <c r="T726" s="617"/>
      <c r="U726" s="617"/>
      <c r="V726" s="617"/>
      <c r="W726" s="617"/>
      <c r="X726" s="617"/>
      <c r="Y726" s="617"/>
      <c r="Z726" s="617"/>
      <c r="AA726" s="617"/>
      <c r="AB726" s="617"/>
      <c r="AC726" s="617"/>
      <c r="AD726" s="617"/>
      <c r="AE726" s="617"/>
      <c r="AF726" s="617"/>
      <c r="AG726" s="617"/>
      <c r="AH726" s="617"/>
    </row>
    <row r="727" spans="1:34" ht="15" hidden="1">
      <c r="A727" s="617"/>
      <c r="B727" s="617"/>
      <c r="C727" s="617"/>
      <c r="D727" s="617"/>
      <c r="E727" s="617"/>
      <c r="F727" s="617"/>
      <c r="G727" s="617"/>
      <c r="H727" s="617"/>
      <c r="I727" s="617"/>
      <c r="J727" s="617"/>
      <c r="K727" s="617"/>
      <c r="L727" s="617"/>
      <c r="M727" s="617"/>
      <c r="N727" s="617"/>
      <c r="O727" s="617"/>
      <c r="P727" s="617"/>
      <c r="Q727" s="617"/>
      <c r="R727" s="617"/>
      <c r="S727" s="617"/>
      <c r="T727" s="617"/>
      <c r="U727" s="617"/>
      <c r="V727" s="617"/>
      <c r="W727" s="617"/>
      <c r="X727" s="617"/>
      <c r="Y727" s="617"/>
      <c r="Z727" s="617"/>
      <c r="AA727" s="617"/>
      <c r="AB727" s="617"/>
      <c r="AC727" s="617"/>
      <c r="AD727" s="617"/>
      <c r="AE727" s="617"/>
      <c r="AF727" s="617"/>
      <c r="AG727" s="617"/>
      <c r="AH727" s="617"/>
    </row>
    <row r="728" spans="1:34" ht="15" hidden="1">
      <c r="A728" s="617"/>
      <c r="B728" s="617"/>
      <c r="C728" s="617"/>
      <c r="D728" s="617"/>
      <c r="E728" s="617"/>
      <c r="F728" s="617"/>
      <c r="G728" s="617"/>
      <c r="H728" s="617"/>
      <c r="I728" s="617"/>
      <c r="J728" s="617"/>
      <c r="K728" s="617"/>
      <c r="L728" s="617"/>
      <c r="M728" s="617"/>
      <c r="N728" s="617"/>
      <c r="O728" s="617"/>
      <c r="P728" s="617"/>
      <c r="Q728" s="617"/>
      <c r="R728" s="617"/>
      <c r="S728" s="617"/>
      <c r="T728" s="617"/>
      <c r="U728" s="617"/>
      <c r="V728" s="617"/>
      <c r="W728" s="617"/>
      <c r="X728" s="617"/>
      <c r="Y728" s="617"/>
      <c r="Z728" s="617"/>
      <c r="AA728" s="617"/>
      <c r="AB728" s="617"/>
      <c r="AC728" s="617"/>
      <c r="AD728" s="617"/>
      <c r="AE728" s="617"/>
      <c r="AF728" s="617"/>
      <c r="AG728" s="617"/>
      <c r="AH728" s="617"/>
    </row>
    <row r="729" spans="1:34" ht="15" hidden="1">
      <c r="A729" s="617"/>
      <c r="B729" s="617"/>
      <c r="C729" s="617"/>
      <c r="D729" s="617"/>
      <c r="E729" s="617"/>
      <c r="F729" s="617"/>
      <c r="G729" s="617"/>
      <c r="H729" s="617"/>
      <c r="I729" s="617"/>
      <c r="J729" s="617"/>
      <c r="K729" s="617"/>
      <c r="L729" s="617"/>
      <c r="M729" s="617"/>
      <c r="N729" s="617"/>
      <c r="O729" s="617"/>
      <c r="P729" s="617"/>
      <c r="Q729" s="617"/>
      <c r="R729" s="617"/>
      <c r="S729" s="617"/>
      <c r="T729" s="617"/>
      <c r="U729" s="617"/>
      <c r="V729" s="617"/>
      <c r="W729" s="617"/>
      <c r="X729" s="617"/>
      <c r="Y729" s="617"/>
      <c r="Z729" s="617"/>
      <c r="AA729" s="617"/>
      <c r="AB729" s="617"/>
      <c r="AC729" s="617"/>
      <c r="AD729" s="617"/>
      <c r="AE729" s="617"/>
      <c r="AF729" s="617"/>
      <c r="AG729" s="617"/>
      <c r="AH729" s="617"/>
    </row>
    <row r="730" spans="1:34" ht="15" hidden="1">
      <c r="A730" s="617"/>
      <c r="B730" s="617"/>
      <c r="C730" s="617"/>
      <c r="D730" s="617"/>
      <c r="E730" s="617"/>
      <c r="F730" s="617"/>
      <c r="G730" s="617"/>
      <c r="H730" s="617"/>
      <c r="I730" s="617"/>
      <c r="J730" s="617"/>
      <c r="K730" s="617"/>
      <c r="L730" s="617"/>
      <c r="M730" s="617"/>
      <c r="N730" s="617"/>
      <c r="O730" s="617"/>
      <c r="P730" s="617"/>
      <c r="Q730" s="617"/>
      <c r="R730" s="617"/>
      <c r="S730" s="617"/>
      <c r="T730" s="617"/>
      <c r="U730" s="617"/>
      <c r="V730" s="617"/>
      <c r="W730" s="617"/>
      <c r="X730" s="617"/>
      <c r="Y730" s="617"/>
      <c r="Z730" s="617"/>
      <c r="AA730" s="617"/>
      <c r="AB730" s="617"/>
      <c r="AC730" s="617"/>
      <c r="AD730" s="617"/>
      <c r="AE730" s="617"/>
      <c r="AF730" s="617"/>
      <c r="AG730" s="617"/>
      <c r="AH730" s="617"/>
    </row>
    <row r="731" spans="1:34" ht="15" hidden="1">
      <c r="A731" s="617"/>
      <c r="B731" s="617"/>
      <c r="C731" s="617"/>
      <c r="D731" s="617"/>
      <c r="E731" s="617"/>
      <c r="F731" s="617"/>
      <c r="G731" s="617"/>
      <c r="H731" s="617"/>
      <c r="I731" s="617"/>
      <c r="J731" s="617"/>
      <c r="K731" s="617"/>
      <c r="L731" s="617"/>
      <c r="M731" s="617"/>
      <c r="N731" s="617"/>
      <c r="O731" s="617"/>
      <c r="P731" s="617"/>
      <c r="Q731" s="617"/>
      <c r="R731" s="617"/>
      <c r="S731" s="617"/>
      <c r="T731" s="617"/>
      <c r="U731" s="617"/>
      <c r="V731" s="617"/>
      <c r="W731" s="617"/>
      <c r="X731" s="617"/>
      <c r="Y731" s="617"/>
      <c r="Z731" s="617"/>
      <c r="AA731" s="617"/>
      <c r="AB731" s="617"/>
      <c r="AC731" s="617"/>
      <c r="AD731" s="617"/>
      <c r="AE731" s="617"/>
      <c r="AF731" s="617"/>
      <c r="AG731" s="617"/>
      <c r="AH731" s="617"/>
    </row>
    <row r="732" spans="1:34" ht="15" hidden="1">
      <c r="A732" s="617"/>
      <c r="B732" s="617"/>
      <c r="C732" s="617"/>
      <c r="D732" s="617"/>
      <c r="E732" s="617"/>
      <c r="F732" s="617"/>
      <c r="G732" s="617"/>
      <c r="H732" s="617"/>
      <c r="I732" s="617"/>
      <c r="J732" s="617"/>
      <c r="K732" s="617"/>
      <c r="L732" s="617"/>
      <c r="M732" s="617"/>
      <c r="N732" s="617"/>
      <c r="O732" s="617"/>
      <c r="P732" s="617"/>
      <c r="Q732" s="617"/>
      <c r="R732" s="617"/>
      <c r="S732" s="617"/>
      <c r="T732" s="617"/>
      <c r="U732" s="617"/>
      <c r="V732" s="617"/>
      <c r="W732" s="617"/>
      <c r="X732" s="617"/>
      <c r="Y732" s="617"/>
      <c r="Z732" s="617"/>
      <c r="AA732" s="617"/>
      <c r="AB732" s="617"/>
      <c r="AC732" s="617"/>
      <c r="AD732" s="617"/>
      <c r="AE732" s="617"/>
      <c r="AF732" s="617"/>
      <c r="AG732" s="617"/>
      <c r="AH732" s="617"/>
    </row>
    <row r="733" spans="1:34" ht="15" hidden="1">
      <c r="A733" s="617"/>
      <c r="B733" s="617"/>
      <c r="C733" s="617"/>
      <c r="D733" s="617"/>
      <c r="E733" s="617"/>
      <c r="F733" s="617"/>
      <c r="G733" s="617"/>
      <c r="H733" s="617"/>
      <c r="I733" s="617"/>
      <c r="J733" s="617"/>
      <c r="K733" s="617"/>
      <c r="L733" s="617"/>
      <c r="M733" s="617"/>
      <c r="N733" s="617"/>
      <c r="O733" s="617"/>
      <c r="P733" s="617"/>
      <c r="Q733" s="617"/>
      <c r="R733" s="617"/>
      <c r="S733" s="617"/>
      <c r="T733" s="617"/>
      <c r="U733" s="617"/>
      <c r="V733" s="617"/>
      <c r="W733" s="617"/>
      <c r="X733" s="617"/>
      <c r="Y733" s="617"/>
      <c r="Z733" s="617"/>
      <c r="AA733" s="617"/>
      <c r="AB733" s="617"/>
      <c r="AC733" s="617"/>
      <c r="AD733" s="617"/>
      <c r="AE733" s="617"/>
      <c r="AF733" s="617"/>
      <c r="AG733" s="617"/>
      <c r="AH733" s="617"/>
    </row>
    <row r="734" spans="1:34" ht="15" hidden="1">
      <c r="A734" s="617"/>
      <c r="B734" s="617"/>
      <c r="C734" s="617"/>
      <c r="D734" s="617"/>
      <c r="E734" s="617"/>
      <c r="F734" s="617"/>
      <c r="G734" s="617"/>
      <c r="H734" s="617"/>
      <c r="I734" s="617"/>
      <c r="J734" s="617"/>
      <c r="K734" s="617"/>
      <c r="L734" s="617"/>
      <c r="M734" s="617"/>
      <c r="N734" s="617"/>
      <c r="O734" s="617"/>
      <c r="P734" s="617"/>
      <c r="Q734" s="617"/>
      <c r="R734" s="617"/>
      <c r="S734" s="617"/>
      <c r="T734" s="617"/>
      <c r="U734" s="617"/>
      <c r="V734" s="617"/>
      <c r="W734" s="617"/>
      <c r="X734" s="617"/>
      <c r="Y734" s="617"/>
      <c r="Z734" s="617"/>
      <c r="AA734" s="617"/>
      <c r="AB734" s="617"/>
      <c r="AC734" s="617"/>
      <c r="AD734" s="617"/>
      <c r="AE734" s="617"/>
      <c r="AF734" s="617"/>
      <c r="AG734" s="617"/>
      <c r="AH734" s="617"/>
    </row>
    <row r="735" spans="1:34" ht="15" hidden="1">
      <c r="A735" s="617"/>
      <c r="B735" s="617"/>
      <c r="C735" s="617"/>
      <c r="D735" s="617"/>
      <c r="E735" s="617"/>
      <c r="F735" s="617"/>
      <c r="G735" s="617"/>
      <c r="H735" s="617"/>
      <c r="I735" s="617"/>
      <c r="J735" s="617"/>
      <c r="K735" s="617"/>
      <c r="L735" s="617"/>
      <c r="M735" s="617"/>
      <c r="N735" s="617"/>
      <c r="O735" s="617"/>
      <c r="P735" s="617"/>
      <c r="Q735" s="617"/>
      <c r="R735" s="617"/>
      <c r="S735" s="617"/>
      <c r="T735" s="617"/>
      <c r="U735" s="617"/>
      <c r="V735" s="617"/>
      <c r="W735" s="617"/>
      <c r="X735" s="617"/>
      <c r="Y735" s="617"/>
      <c r="Z735" s="617"/>
      <c r="AA735" s="617"/>
      <c r="AB735" s="617"/>
      <c r="AC735" s="617"/>
      <c r="AD735" s="617"/>
      <c r="AE735" s="617"/>
      <c r="AF735" s="617"/>
      <c r="AG735" s="617"/>
      <c r="AH735" s="617"/>
    </row>
    <row r="736" spans="1:34" ht="15" hidden="1">
      <c r="A736" s="617"/>
      <c r="B736" s="617"/>
      <c r="C736" s="617"/>
      <c r="D736" s="617"/>
      <c r="E736" s="617"/>
      <c r="F736" s="617"/>
      <c r="G736" s="617"/>
      <c r="H736" s="617"/>
      <c r="I736" s="617"/>
      <c r="J736" s="617"/>
      <c r="K736" s="617"/>
      <c r="L736" s="617"/>
      <c r="M736" s="617"/>
      <c r="N736" s="617"/>
      <c r="O736" s="617"/>
      <c r="P736" s="617"/>
      <c r="Q736" s="617"/>
      <c r="R736" s="617"/>
      <c r="S736" s="617"/>
      <c r="T736" s="617"/>
      <c r="U736" s="617"/>
      <c r="V736" s="617"/>
      <c r="W736" s="617"/>
      <c r="X736" s="617"/>
      <c r="Y736" s="617"/>
      <c r="Z736" s="617"/>
      <c r="AA736" s="617"/>
      <c r="AB736" s="617"/>
      <c r="AC736" s="617"/>
      <c r="AD736" s="617"/>
      <c r="AE736" s="617"/>
      <c r="AF736" s="617"/>
      <c r="AG736" s="617"/>
      <c r="AH736" s="617"/>
    </row>
    <row r="737" spans="1:34" ht="15" hidden="1">
      <c r="A737" s="617"/>
      <c r="B737" s="617"/>
      <c r="C737" s="617"/>
      <c r="D737" s="617"/>
      <c r="E737" s="617"/>
      <c r="F737" s="617"/>
      <c r="G737" s="617"/>
      <c r="H737" s="617"/>
      <c r="I737" s="617"/>
      <c r="J737" s="617"/>
      <c r="K737" s="617"/>
      <c r="L737" s="617"/>
      <c r="M737" s="617"/>
      <c r="N737" s="617"/>
      <c r="O737" s="617"/>
      <c r="P737" s="617"/>
      <c r="Q737" s="617"/>
      <c r="R737" s="617"/>
      <c r="S737" s="617"/>
      <c r="T737" s="617"/>
      <c r="U737" s="617"/>
      <c r="V737" s="617"/>
      <c r="W737" s="617"/>
      <c r="X737" s="617"/>
      <c r="Y737" s="617"/>
      <c r="Z737" s="617"/>
      <c r="AA737" s="617"/>
      <c r="AB737" s="617"/>
      <c r="AC737" s="617"/>
      <c r="AD737" s="617"/>
      <c r="AE737" s="617"/>
      <c r="AF737" s="617"/>
      <c r="AG737" s="617"/>
      <c r="AH737" s="617"/>
    </row>
    <row r="738" spans="1:34" ht="15" hidden="1">
      <c r="A738" s="617"/>
      <c r="B738" s="617"/>
      <c r="C738" s="617"/>
      <c r="D738" s="617"/>
      <c r="E738" s="617"/>
      <c r="F738" s="617"/>
      <c r="G738" s="617"/>
      <c r="H738" s="617"/>
      <c r="I738" s="617"/>
      <c r="J738" s="617"/>
      <c r="K738" s="617"/>
      <c r="L738" s="617"/>
      <c r="M738" s="617"/>
      <c r="N738" s="617"/>
      <c r="O738" s="617"/>
      <c r="P738" s="617"/>
      <c r="Q738" s="617"/>
      <c r="R738" s="617"/>
      <c r="S738" s="617"/>
      <c r="T738" s="617"/>
      <c r="U738" s="617"/>
      <c r="V738" s="617"/>
      <c r="W738" s="617"/>
      <c r="X738" s="617"/>
      <c r="Y738" s="617"/>
      <c r="Z738" s="617"/>
      <c r="AA738" s="617"/>
      <c r="AB738" s="617"/>
      <c r="AC738" s="617"/>
      <c r="AD738" s="617"/>
      <c r="AE738" s="617"/>
      <c r="AF738" s="617"/>
      <c r="AG738" s="617"/>
      <c r="AH738" s="617"/>
    </row>
    <row r="739" spans="1:34" ht="15" hidden="1">
      <c r="A739" s="617"/>
      <c r="B739" s="617"/>
      <c r="C739" s="617"/>
      <c r="D739" s="617"/>
      <c r="E739" s="617"/>
      <c r="F739" s="617"/>
      <c r="G739" s="617"/>
      <c r="H739" s="617"/>
      <c r="I739" s="617"/>
      <c r="J739" s="617"/>
      <c r="K739" s="617"/>
      <c r="L739" s="617"/>
      <c r="M739" s="617"/>
      <c r="N739" s="617"/>
      <c r="O739" s="617"/>
      <c r="P739" s="617"/>
      <c r="Q739" s="617"/>
      <c r="R739" s="617"/>
      <c r="S739" s="617"/>
      <c r="T739" s="617"/>
      <c r="U739" s="617"/>
      <c r="V739" s="617"/>
      <c r="W739" s="617"/>
      <c r="X739" s="617"/>
      <c r="Y739" s="617"/>
      <c r="Z739" s="617"/>
      <c r="AA739" s="617"/>
      <c r="AB739" s="617"/>
      <c r="AC739" s="617"/>
      <c r="AD739" s="617"/>
      <c r="AE739" s="617"/>
      <c r="AF739" s="617"/>
      <c r="AG739" s="617"/>
      <c r="AH739" s="617"/>
    </row>
    <row r="740" spans="1:34" ht="15" hidden="1">
      <c r="A740" s="617"/>
      <c r="B740" s="617"/>
      <c r="C740" s="617"/>
      <c r="D740" s="617"/>
      <c r="E740" s="617"/>
      <c r="F740" s="617"/>
      <c r="G740" s="617"/>
      <c r="H740" s="617"/>
      <c r="I740" s="617"/>
      <c r="J740" s="617"/>
      <c r="K740" s="617"/>
      <c r="L740" s="617"/>
      <c r="M740" s="617"/>
      <c r="N740" s="617"/>
      <c r="O740" s="617"/>
      <c r="P740" s="617"/>
      <c r="Q740" s="617"/>
      <c r="R740" s="617"/>
      <c r="S740" s="617"/>
      <c r="T740" s="617"/>
      <c r="U740" s="617"/>
      <c r="V740" s="617"/>
      <c r="W740" s="617"/>
      <c r="X740" s="617"/>
      <c r="Y740" s="617"/>
      <c r="Z740" s="617"/>
      <c r="AA740" s="617"/>
      <c r="AB740" s="617"/>
      <c r="AC740" s="617"/>
      <c r="AD740" s="617"/>
      <c r="AE740" s="617"/>
      <c r="AF740" s="617"/>
      <c r="AG740" s="617"/>
      <c r="AH740" s="617"/>
    </row>
    <row r="741" spans="1:34" ht="15" hidden="1">
      <c r="A741" s="617"/>
      <c r="B741" s="617"/>
      <c r="C741" s="617"/>
      <c r="D741" s="617"/>
      <c r="E741" s="617"/>
      <c r="F741" s="617"/>
      <c r="G741" s="617"/>
      <c r="H741" s="617"/>
      <c r="I741" s="617"/>
      <c r="J741" s="617"/>
      <c r="K741" s="617"/>
      <c r="L741" s="617"/>
      <c r="M741" s="617"/>
      <c r="N741" s="617"/>
      <c r="O741" s="617"/>
      <c r="P741" s="617"/>
      <c r="Q741" s="617"/>
      <c r="R741" s="617"/>
      <c r="S741" s="617"/>
      <c r="T741" s="617"/>
      <c r="U741" s="617"/>
      <c r="V741" s="617"/>
      <c r="W741" s="617"/>
      <c r="X741" s="617"/>
      <c r="Y741" s="617"/>
      <c r="Z741" s="617"/>
      <c r="AA741" s="617"/>
      <c r="AB741" s="617"/>
      <c r="AC741" s="617"/>
      <c r="AD741" s="617"/>
      <c r="AE741" s="617"/>
      <c r="AF741" s="617"/>
      <c r="AG741" s="617"/>
      <c r="AH741" s="617"/>
    </row>
    <row r="742" spans="1:34" ht="15" hidden="1">
      <c r="A742" s="617"/>
      <c r="B742" s="617"/>
      <c r="C742" s="617"/>
      <c r="D742" s="617"/>
      <c r="E742" s="617"/>
      <c r="F742" s="617"/>
      <c r="G742" s="617"/>
      <c r="H742" s="617"/>
      <c r="I742" s="617"/>
      <c r="J742" s="617"/>
      <c r="K742" s="617"/>
      <c r="L742" s="617"/>
      <c r="M742" s="617"/>
      <c r="N742" s="617"/>
      <c r="O742" s="617"/>
      <c r="P742" s="617"/>
      <c r="Q742" s="617"/>
      <c r="R742" s="617"/>
      <c r="S742" s="617"/>
      <c r="T742" s="617"/>
      <c r="U742" s="617"/>
      <c r="V742" s="617"/>
      <c r="W742" s="617"/>
      <c r="X742" s="617"/>
      <c r="Y742" s="617"/>
      <c r="Z742" s="617"/>
      <c r="AA742" s="617"/>
      <c r="AB742" s="617"/>
      <c r="AC742" s="617"/>
      <c r="AD742" s="617"/>
      <c r="AE742" s="617"/>
      <c r="AF742" s="617"/>
      <c r="AG742" s="617"/>
      <c r="AH742" s="617"/>
    </row>
    <row r="743" spans="1:34" ht="15" hidden="1">
      <c r="A743" s="617"/>
      <c r="B743" s="617"/>
      <c r="C743" s="617"/>
      <c r="D743" s="617"/>
      <c r="E743" s="617"/>
      <c r="F743" s="617"/>
      <c r="G743" s="617"/>
      <c r="H743" s="617"/>
      <c r="I743" s="617"/>
      <c r="J743" s="617"/>
      <c r="K743" s="617"/>
      <c r="L743" s="617"/>
      <c r="M743" s="617"/>
      <c r="N743" s="617"/>
      <c r="O743" s="617"/>
      <c r="P743" s="617"/>
      <c r="Q743" s="617"/>
      <c r="R743" s="617"/>
      <c r="S743" s="617"/>
      <c r="T743" s="617"/>
      <c r="U743" s="617"/>
      <c r="V743" s="617"/>
      <c r="W743" s="617"/>
      <c r="X743" s="617"/>
      <c r="Y743" s="617"/>
      <c r="Z743" s="617"/>
      <c r="AA743" s="617"/>
      <c r="AB743" s="617"/>
      <c r="AC743" s="617"/>
      <c r="AD743" s="617"/>
      <c r="AE743" s="617"/>
      <c r="AF743" s="617"/>
      <c r="AG743" s="617"/>
      <c r="AH743" s="617"/>
    </row>
    <row r="744" spans="1:34" ht="15" hidden="1">
      <c r="A744" s="617"/>
      <c r="B744" s="617"/>
      <c r="C744" s="617"/>
      <c r="D744" s="617"/>
      <c r="E744" s="617"/>
      <c r="F744" s="617"/>
      <c r="G744" s="617"/>
      <c r="H744" s="617"/>
      <c r="I744" s="617"/>
      <c r="J744" s="617"/>
      <c r="K744" s="617"/>
      <c r="L744" s="617"/>
      <c r="M744" s="617"/>
      <c r="N744" s="617"/>
      <c r="O744" s="617"/>
      <c r="P744" s="617"/>
      <c r="Q744" s="617"/>
      <c r="R744" s="617"/>
      <c r="S744" s="617"/>
      <c r="T744" s="617"/>
      <c r="U744" s="617"/>
      <c r="V744" s="617"/>
      <c r="W744" s="617"/>
      <c r="X744" s="617"/>
      <c r="Y744" s="617"/>
      <c r="Z744" s="617"/>
      <c r="AA744" s="617"/>
      <c r="AB744" s="617"/>
      <c r="AC744" s="617"/>
      <c r="AD744" s="617"/>
      <c r="AE744" s="617"/>
      <c r="AF744" s="617"/>
      <c r="AG744" s="617"/>
      <c r="AH744" s="617"/>
    </row>
    <row r="745" spans="1:34" ht="15" hidden="1">
      <c r="A745" s="617"/>
      <c r="B745" s="617"/>
      <c r="C745" s="617"/>
      <c r="D745" s="617"/>
      <c r="E745" s="617"/>
      <c r="F745" s="617"/>
      <c r="G745" s="617"/>
      <c r="H745" s="617"/>
      <c r="I745" s="617"/>
      <c r="J745" s="617"/>
      <c r="K745" s="617"/>
      <c r="L745" s="617"/>
      <c r="M745" s="617"/>
      <c r="N745" s="617"/>
      <c r="O745" s="617"/>
      <c r="P745" s="617"/>
      <c r="Q745" s="617"/>
      <c r="R745" s="617"/>
      <c r="S745" s="617"/>
      <c r="T745" s="617"/>
      <c r="U745" s="617"/>
      <c r="V745" s="617"/>
      <c r="W745" s="617"/>
      <c r="X745" s="617"/>
      <c r="Y745" s="617"/>
      <c r="Z745" s="617"/>
      <c r="AA745" s="617"/>
      <c r="AB745" s="617"/>
      <c r="AC745" s="617"/>
      <c r="AD745" s="617"/>
      <c r="AE745" s="617"/>
      <c r="AF745" s="617"/>
      <c r="AG745" s="617"/>
      <c r="AH745" s="617"/>
    </row>
    <row r="746" spans="1:34" ht="15" hidden="1">
      <c r="A746" s="617"/>
      <c r="B746" s="617"/>
      <c r="C746" s="617"/>
      <c r="D746" s="617"/>
      <c r="E746" s="617"/>
      <c r="F746" s="617"/>
      <c r="G746" s="617"/>
      <c r="H746" s="617"/>
      <c r="I746" s="617"/>
      <c r="J746" s="617"/>
      <c r="K746" s="617"/>
      <c r="L746" s="617"/>
      <c r="M746" s="617"/>
      <c r="N746" s="617"/>
      <c r="O746" s="617"/>
      <c r="P746" s="617"/>
      <c r="Q746" s="617"/>
      <c r="R746" s="617"/>
      <c r="S746" s="617"/>
      <c r="T746" s="617"/>
      <c r="U746" s="617"/>
      <c r="V746" s="617"/>
      <c r="W746" s="617"/>
      <c r="X746" s="617"/>
      <c r="Y746" s="617"/>
      <c r="Z746" s="617"/>
      <c r="AA746" s="617"/>
      <c r="AB746" s="617"/>
      <c r="AC746" s="617"/>
      <c r="AD746" s="617"/>
      <c r="AE746" s="617"/>
      <c r="AF746" s="617"/>
      <c r="AG746" s="617"/>
      <c r="AH746" s="617"/>
    </row>
    <row r="747" spans="1:34" ht="15" hidden="1">
      <c r="A747" s="617"/>
      <c r="B747" s="617"/>
      <c r="C747" s="617"/>
      <c r="D747" s="617"/>
      <c r="E747" s="617"/>
      <c r="F747" s="617"/>
      <c r="G747" s="617"/>
      <c r="H747" s="617"/>
      <c r="I747" s="617"/>
      <c r="J747" s="617"/>
      <c r="K747" s="617"/>
      <c r="L747" s="617"/>
      <c r="M747" s="617"/>
      <c r="N747" s="617"/>
      <c r="O747" s="617"/>
      <c r="P747" s="617"/>
      <c r="Q747" s="617"/>
      <c r="R747" s="617"/>
      <c r="S747" s="617"/>
      <c r="T747" s="617"/>
      <c r="U747" s="617"/>
      <c r="V747" s="617"/>
      <c r="W747" s="617"/>
      <c r="X747" s="617"/>
      <c r="Y747" s="617"/>
      <c r="Z747" s="617"/>
      <c r="AA747" s="617"/>
      <c r="AB747" s="617"/>
      <c r="AC747" s="617"/>
      <c r="AD747" s="617"/>
      <c r="AE747" s="617"/>
      <c r="AF747" s="617"/>
      <c r="AG747" s="617"/>
      <c r="AH747" s="617"/>
    </row>
    <row r="748" spans="1:34" ht="15" hidden="1">
      <c r="A748" s="617"/>
      <c r="B748" s="617"/>
      <c r="C748" s="617"/>
      <c r="D748" s="617"/>
      <c r="E748" s="617"/>
      <c r="F748" s="617"/>
      <c r="G748" s="617"/>
      <c r="H748" s="617"/>
      <c r="I748" s="617"/>
      <c r="J748" s="617"/>
      <c r="K748" s="617"/>
      <c r="L748" s="617"/>
      <c r="M748" s="617"/>
      <c r="N748" s="617"/>
      <c r="O748" s="617"/>
      <c r="P748" s="617"/>
      <c r="Q748" s="617"/>
      <c r="R748" s="617"/>
      <c r="S748" s="617"/>
      <c r="T748" s="617"/>
      <c r="U748" s="617"/>
      <c r="V748" s="617"/>
      <c r="W748" s="617"/>
      <c r="X748" s="617"/>
      <c r="Y748" s="617"/>
      <c r="Z748" s="617"/>
      <c r="AA748" s="617"/>
      <c r="AB748" s="617"/>
      <c r="AC748" s="617"/>
      <c r="AD748" s="617"/>
      <c r="AE748" s="617"/>
      <c r="AF748" s="617"/>
      <c r="AG748" s="617"/>
      <c r="AH748" s="617"/>
    </row>
    <row r="749" spans="1:34" ht="15" hidden="1">
      <c r="A749" s="617"/>
      <c r="B749" s="617"/>
      <c r="C749" s="617"/>
      <c r="D749" s="617"/>
      <c r="E749" s="617"/>
      <c r="F749" s="617"/>
      <c r="G749" s="617"/>
      <c r="H749" s="617"/>
      <c r="I749" s="617"/>
      <c r="J749" s="617"/>
      <c r="K749" s="617"/>
      <c r="L749" s="617"/>
      <c r="M749" s="617"/>
      <c r="N749" s="617"/>
      <c r="O749" s="617"/>
      <c r="P749" s="617"/>
      <c r="Q749" s="617"/>
      <c r="R749" s="617"/>
      <c r="S749" s="617"/>
      <c r="T749" s="617"/>
      <c r="U749" s="617"/>
      <c r="V749" s="617"/>
      <c r="W749" s="617"/>
      <c r="X749" s="617"/>
      <c r="Y749" s="617"/>
      <c r="Z749" s="617"/>
      <c r="AA749" s="617"/>
      <c r="AB749" s="617"/>
      <c r="AC749" s="617"/>
      <c r="AD749" s="617"/>
      <c r="AE749" s="617"/>
      <c r="AF749" s="617"/>
      <c r="AG749" s="617"/>
      <c r="AH749" s="617"/>
    </row>
    <row r="750" spans="1:34" ht="15" hidden="1">
      <c r="A750" s="617"/>
      <c r="B750" s="617"/>
      <c r="C750" s="617"/>
      <c r="D750" s="617"/>
      <c r="E750" s="617"/>
      <c r="F750" s="617"/>
      <c r="G750" s="617"/>
      <c r="H750" s="617"/>
      <c r="I750" s="617"/>
      <c r="J750" s="617"/>
      <c r="K750" s="617"/>
      <c r="L750" s="617"/>
      <c r="M750" s="617"/>
      <c r="N750" s="617"/>
      <c r="O750" s="617"/>
      <c r="P750" s="617"/>
      <c r="Q750" s="617"/>
      <c r="R750" s="617"/>
      <c r="S750" s="617"/>
      <c r="T750" s="617"/>
      <c r="U750" s="617"/>
      <c r="V750" s="617"/>
      <c r="W750" s="617"/>
      <c r="X750" s="617"/>
      <c r="Y750" s="617"/>
      <c r="Z750" s="617"/>
      <c r="AA750" s="617"/>
      <c r="AB750" s="617"/>
      <c r="AC750" s="617"/>
      <c r="AD750" s="617"/>
      <c r="AE750" s="617"/>
      <c r="AF750" s="617"/>
      <c r="AG750" s="617"/>
      <c r="AH750" s="617"/>
    </row>
    <row r="751" spans="1:34" ht="15" hidden="1">
      <c r="A751" s="617"/>
      <c r="B751" s="617"/>
      <c r="C751" s="617"/>
      <c r="D751" s="617"/>
      <c r="E751" s="617"/>
      <c r="F751" s="617"/>
      <c r="G751" s="617"/>
      <c r="H751" s="617"/>
      <c r="I751" s="617"/>
      <c r="J751" s="617"/>
      <c r="K751" s="617"/>
      <c r="L751" s="617"/>
      <c r="M751" s="617"/>
      <c r="N751" s="617"/>
      <c r="O751" s="617"/>
      <c r="P751" s="617"/>
      <c r="Q751" s="617"/>
      <c r="R751" s="617"/>
      <c r="S751" s="617"/>
      <c r="T751" s="617"/>
      <c r="U751" s="617"/>
      <c r="V751" s="617"/>
      <c r="W751" s="617"/>
      <c r="X751" s="617"/>
      <c r="Y751" s="617"/>
      <c r="Z751" s="617"/>
      <c r="AA751" s="617"/>
      <c r="AB751" s="617"/>
      <c r="AC751" s="617"/>
      <c r="AD751" s="617"/>
      <c r="AE751" s="617"/>
      <c r="AF751" s="617"/>
      <c r="AG751" s="617"/>
      <c r="AH751" s="617"/>
    </row>
    <row r="752" spans="1:34" ht="15" hidden="1">
      <c r="A752" s="617"/>
      <c r="B752" s="617"/>
      <c r="C752" s="617"/>
      <c r="D752" s="617"/>
      <c r="E752" s="617"/>
      <c r="F752" s="617"/>
      <c r="G752" s="617"/>
      <c r="H752" s="617"/>
      <c r="I752" s="617"/>
      <c r="J752" s="617"/>
      <c r="K752" s="617"/>
      <c r="L752" s="617"/>
      <c r="M752" s="617"/>
      <c r="N752" s="617"/>
      <c r="O752" s="617"/>
      <c r="P752" s="617"/>
      <c r="Q752" s="617"/>
      <c r="R752" s="617"/>
      <c r="S752" s="617"/>
      <c r="T752" s="617"/>
      <c r="U752" s="617"/>
      <c r="V752" s="617"/>
      <c r="W752" s="617"/>
      <c r="X752" s="617"/>
      <c r="Y752" s="617"/>
      <c r="Z752" s="617"/>
      <c r="AA752" s="617"/>
      <c r="AB752" s="617"/>
      <c r="AC752" s="617"/>
      <c r="AD752" s="617"/>
      <c r="AE752" s="617"/>
      <c r="AF752" s="617"/>
      <c r="AG752" s="617"/>
      <c r="AH752" s="617"/>
    </row>
    <row r="753" spans="1:34" ht="15" hidden="1">
      <c r="A753" s="617"/>
      <c r="B753" s="617"/>
      <c r="C753" s="617"/>
      <c r="D753" s="617"/>
      <c r="E753" s="617"/>
      <c r="F753" s="617"/>
      <c r="G753" s="617"/>
      <c r="H753" s="617"/>
      <c r="I753" s="617"/>
      <c r="J753" s="617"/>
      <c r="K753" s="617"/>
      <c r="L753" s="617"/>
      <c r="M753" s="617"/>
      <c r="N753" s="617"/>
      <c r="O753" s="617"/>
      <c r="P753" s="617"/>
      <c r="Q753" s="617"/>
      <c r="R753" s="617"/>
      <c r="S753" s="617"/>
      <c r="T753" s="617"/>
      <c r="U753" s="617"/>
      <c r="V753" s="617"/>
      <c r="W753" s="617"/>
      <c r="X753" s="617"/>
      <c r="Y753" s="617"/>
      <c r="Z753" s="617"/>
      <c r="AA753" s="617"/>
      <c r="AB753" s="617"/>
      <c r="AC753" s="617"/>
      <c r="AD753" s="617"/>
      <c r="AE753" s="617"/>
      <c r="AF753" s="617"/>
      <c r="AG753" s="617"/>
      <c r="AH753" s="617"/>
    </row>
    <row r="754" spans="1:34" ht="15" hidden="1">
      <c r="A754" s="617"/>
      <c r="B754" s="617"/>
      <c r="C754" s="617"/>
      <c r="D754" s="617"/>
      <c r="E754" s="617"/>
      <c r="F754" s="617"/>
      <c r="G754" s="617"/>
      <c r="H754" s="617"/>
      <c r="I754" s="617"/>
      <c r="J754" s="617"/>
      <c r="K754" s="617"/>
      <c r="L754" s="617"/>
      <c r="M754" s="617"/>
      <c r="N754" s="617"/>
      <c r="O754" s="617"/>
      <c r="P754" s="617"/>
      <c r="Q754" s="617"/>
      <c r="R754" s="617"/>
      <c r="S754" s="617"/>
      <c r="T754" s="617"/>
      <c r="U754" s="617"/>
      <c r="V754" s="617"/>
      <c r="W754" s="617"/>
      <c r="X754" s="617"/>
      <c r="Y754" s="617"/>
      <c r="Z754" s="617"/>
      <c r="AA754" s="617"/>
      <c r="AB754" s="617"/>
      <c r="AC754" s="617"/>
      <c r="AD754" s="617"/>
      <c r="AE754" s="617"/>
      <c r="AF754" s="617"/>
      <c r="AG754" s="617"/>
      <c r="AH754" s="617"/>
    </row>
    <row r="755" spans="1:34" ht="15" hidden="1">
      <c r="A755" s="617"/>
      <c r="B755" s="617"/>
      <c r="C755" s="617"/>
      <c r="D755" s="617"/>
      <c r="E755" s="617"/>
      <c r="F755" s="617"/>
      <c r="G755" s="617"/>
      <c r="H755" s="617"/>
      <c r="I755" s="617"/>
      <c r="J755" s="617"/>
      <c r="K755" s="617"/>
      <c r="L755" s="617"/>
      <c r="M755" s="617"/>
      <c r="N755" s="617"/>
      <c r="O755" s="617"/>
      <c r="P755" s="617"/>
      <c r="Q755" s="617"/>
      <c r="R755" s="617"/>
      <c r="S755" s="617"/>
      <c r="T755" s="617"/>
      <c r="U755" s="617"/>
      <c r="V755" s="617"/>
      <c r="W755" s="617"/>
      <c r="X755" s="617"/>
      <c r="Y755" s="617"/>
      <c r="Z755" s="617"/>
      <c r="AA755" s="617"/>
      <c r="AB755" s="617"/>
      <c r="AC755" s="617"/>
      <c r="AD755" s="617"/>
      <c r="AE755" s="617"/>
      <c r="AF755" s="617"/>
      <c r="AG755" s="617"/>
      <c r="AH755" s="617"/>
    </row>
    <row r="756" spans="1:34" ht="15" hidden="1">
      <c r="A756" s="617"/>
      <c r="B756" s="617"/>
      <c r="C756" s="617"/>
      <c r="D756" s="617"/>
      <c r="E756" s="617"/>
      <c r="F756" s="617"/>
      <c r="G756" s="617"/>
      <c r="H756" s="617"/>
      <c r="I756" s="617"/>
      <c r="J756" s="617"/>
      <c r="K756" s="617"/>
      <c r="L756" s="617"/>
      <c r="M756" s="617"/>
      <c r="N756" s="617"/>
      <c r="O756" s="617"/>
      <c r="P756" s="617"/>
      <c r="Q756" s="617"/>
      <c r="R756" s="617"/>
      <c r="S756" s="617"/>
      <c r="T756" s="617"/>
      <c r="U756" s="617"/>
      <c r="V756" s="617"/>
      <c r="W756" s="617"/>
      <c r="X756" s="617"/>
      <c r="Y756" s="617"/>
      <c r="Z756" s="617"/>
      <c r="AA756" s="617"/>
      <c r="AB756" s="617"/>
      <c r="AC756" s="617"/>
      <c r="AD756" s="617"/>
      <c r="AE756" s="617"/>
      <c r="AF756" s="617"/>
      <c r="AG756" s="617"/>
      <c r="AH756" s="617"/>
    </row>
    <row r="757" spans="1:34" ht="15" hidden="1">
      <c r="A757" s="617"/>
      <c r="B757" s="617"/>
      <c r="C757" s="617"/>
      <c r="D757" s="617"/>
      <c r="E757" s="617"/>
      <c r="F757" s="617"/>
      <c r="G757" s="617"/>
      <c r="H757" s="617"/>
      <c r="I757" s="617"/>
      <c r="J757" s="617"/>
      <c r="K757" s="617"/>
      <c r="L757" s="617"/>
      <c r="M757" s="617"/>
      <c r="N757" s="617"/>
      <c r="O757" s="617"/>
      <c r="P757" s="617"/>
      <c r="Q757" s="617"/>
      <c r="R757" s="617"/>
      <c r="S757" s="617"/>
      <c r="T757" s="617"/>
      <c r="U757" s="617"/>
      <c r="V757" s="617"/>
      <c r="W757" s="617"/>
      <c r="X757" s="617"/>
      <c r="Y757" s="617"/>
      <c r="Z757" s="617"/>
      <c r="AA757" s="617"/>
      <c r="AB757" s="617"/>
      <c r="AC757" s="617"/>
      <c r="AD757" s="617"/>
      <c r="AE757" s="617"/>
      <c r="AF757" s="617"/>
      <c r="AG757" s="617"/>
      <c r="AH757" s="617"/>
    </row>
    <row r="758" spans="1:34" ht="15" hidden="1">
      <c r="A758" s="617"/>
      <c r="B758" s="617"/>
      <c r="C758" s="617"/>
      <c r="D758" s="617"/>
      <c r="E758" s="617"/>
      <c r="F758" s="617"/>
      <c r="G758" s="617"/>
      <c r="H758" s="617"/>
      <c r="I758" s="617"/>
      <c r="J758" s="617"/>
      <c r="K758" s="617"/>
      <c r="L758" s="617"/>
      <c r="M758" s="617"/>
      <c r="N758" s="617"/>
      <c r="O758" s="617"/>
      <c r="P758" s="617"/>
      <c r="Q758" s="617"/>
      <c r="R758" s="617"/>
      <c r="S758" s="617"/>
      <c r="T758" s="617"/>
      <c r="U758" s="617"/>
      <c r="V758" s="617"/>
      <c r="W758" s="617"/>
      <c r="X758" s="617"/>
      <c r="Y758" s="617"/>
      <c r="Z758" s="617"/>
      <c r="AA758" s="617"/>
      <c r="AB758" s="617"/>
      <c r="AC758" s="617"/>
      <c r="AD758" s="617"/>
      <c r="AE758" s="617"/>
      <c r="AF758" s="617"/>
      <c r="AG758" s="617"/>
      <c r="AH758" s="617"/>
    </row>
    <row r="759" spans="1:34" ht="15" hidden="1">
      <c r="A759" s="617"/>
      <c r="B759" s="617"/>
      <c r="C759" s="617"/>
      <c r="D759" s="617"/>
      <c r="E759" s="617"/>
      <c r="F759" s="617"/>
      <c r="G759" s="617"/>
      <c r="H759" s="617"/>
      <c r="I759" s="617"/>
      <c r="J759" s="617"/>
      <c r="K759" s="617"/>
      <c r="L759" s="617"/>
      <c r="M759" s="617"/>
      <c r="N759" s="617"/>
      <c r="O759" s="617"/>
      <c r="P759" s="617"/>
      <c r="Q759" s="617"/>
      <c r="R759" s="617"/>
      <c r="S759" s="617"/>
      <c r="T759" s="617"/>
      <c r="U759" s="617"/>
      <c r="V759" s="617"/>
      <c r="W759" s="617"/>
      <c r="X759" s="617"/>
      <c r="Y759" s="617"/>
      <c r="Z759" s="617"/>
      <c r="AA759" s="617"/>
      <c r="AB759" s="617"/>
      <c r="AC759" s="617"/>
      <c r="AD759" s="617"/>
      <c r="AE759" s="617"/>
      <c r="AF759" s="617"/>
      <c r="AG759" s="617"/>
      <c r="AH759" s="617"/>
    </row>
    <row r="760" spans="1:34" ht="15" hidden="1">
      <c r="A760" s="617"/>
      <c r="B760" s="617"/>
      <c r="C760" s="617"/>
      <c r="D760" s="617"/>
      <c r="E760" s="617"/>
      <c r="F760" s="617"/>
      <c r="G760" s="617"/>
      <c r="H760" s="617"/>
      <c r="I760" s="617"/>
      <c r="J760" s="617"/>
      <c r="K760" s="617"/>
      <c r="L760" s="617"/>
      <c r="M760" s="617"/>
      <c r="N760" s="617"/>
      <c r="O760" s="617"/>
      <c r="P760" s="617"/>
      <c r="Q760" s="617"/>
      <c r="R760" s="617"/>
      <c r="S760" s="617"/>
      <c r="T760" s="617"/>
      <c r="U760" s="617"/>
      <c r="V760" s="617"/>
      <c r="W760" s="617"/>
      <c r="X760" s="617"/>
      <c r="Y760" s="617"/>
      <c r="Z760" s="617"/>
      <c r="AA760" s="617"/>
      <c r="AB760" s="617"/>
      <c r="AC760" s="617"/>
      <c r="AD760" s="617"/>
      <c r="AE760" s="617"/>
      <c r="AF760" s="617"/>
      <c r="AG760" s="617"/>
      <c r="AH760" s="617"/>
    </row>
    <row r="761" spans="1:34" ht="15" hidden="1">
      <c r="A761" s="617"/>
      <c r="B761" s="617"/>
      <c r="C761" s="617"/>
      <c r="D761" s="617"/>
      <c r="E761" s="617"/>
      <c r="F761" s="617"/>
      <c r="G761" s="617"/>
      <c r="H761" s="617"/>
      <c r="I761" s="617"/>
      <c r="J761" s="617"/>
      <c r="K761" s="617"/>
      <c r="L761" s="617"/>
      <c r="M761" s="617"/>
      <c r="N761" s="617"/>
      <c r="O761" s="617"/>
      <c r="P761" s="617"/>
      <c r="Q761" s="617"/>
      <c r="R761" s="617"/>
      <c r="S761" s="617"/>
      <c r="T761" s="617"/>
      <c r="U761" s="617"/>
      <c r="V761" s="617"/>
      <c r="W761" s="617"/>
      <c r="X761" s="617"/>
      <c r="Y761" s="617"/>
      <c r="Z761" s="617"/>
      <c r="AA761" s="617"/>
      <c r="AB761" s="617"/>
      <c r="AC761" s="617"/>
      <c r="AD761" s="617"/>
      <c r="AE761" s="617"/>
      <c r="AF761" s="617"/>
      <c r="AG761" s="617"/>
      <c r="AH761" s="617"/>
    </row>
    <row r="762" spans="1:34" ht="15" hidden="1">
      <c r="A762" s="617"/>
      <c r="B762" s="617"/>
      <c r="C762" s="617"/>
      <c r="D762" s="617"/>
      <c r="E762" s="617"/>
      <c r="F762" s="617"/>
      <c r="G762" s="617"/>
      <c r="H762" s="617"/>
      <c r="I762" s="617"/>
      <c r="J762" s="617"/>
      <c r="K762" s="617"/>
      <c r="L762" s="617"/>
      <c r="M762" s="617"/>
      <c r="N762" s="617"/>
      <c r="O762" s="617"/>
      <c r="P762" s="617"/>
      <c r="Q762" s="617"/>
      <c r="R762" s="617"/>
      <c r="S762" s="617"/>
      <c r="T762" s="617"/>
      <c r="U762" s="617"/>
      <c r="V762" s="617"/>
      <c r="W762" s="617"/>
      <c r="X762" s="617"/>
      <c r="Y762" s="617"/>
      <c r="Z762" s="617"/>
      <c r="AA762" s="617"/>
      <c r="AB762" s="617"/>
      <c r="AC762" s="617"/>
      <c r="AD762" s="617"/>
      <c r="AE762" s="617"/>
      <c r="AF762" s="617"/>
      <c r="AG762" s="617"/>
      <c r="AH762" s="617"/>
    </row>
    <row r="763" spans="1:34" ht="15" hidden="1">
      <c r="A763" s="617"/>
      <c r="B763" s="617"/>
      <c r="C763" s="617"/>
      <c r="D763" s="617"/>
      <c r="E763" s="617"/>
      <c r="F763" s="617"/>
      <c r="G763" s="617"/>
      <c r="H763" s="617"/>
      <c r="I763" s="617"/>
      <c r="J763" s="617"/>
      <c r="K763" s="617"/>
      <c r="L763" s="617"/>
      <c r="M763" s="617"/>
      <c r="N763" s="617"/>
      <c r="O763" s="617"/>
      <c r="P763" s="617"/>
      <c r="Q763" s="617"/>
      <c r="R763" s="617"/>
      <c r="S763" s="617"/>
      <c r="T763" s="617"/>
      <c r="U763" s="617"/>
      <c r="V763" s="617"/>
      <c r="W763" s="617"/>
      <c r="X763" s="617"/>
      <c r="Y763" s="617"/>
      <c r="Z763" s="617"/>
      <c r="AA763" s="617"/>
      <c r="AB763" s="617"/>
      <c r="AC763" s="617"/>
      <c r="AD763" s="617"/>
      <c r="AE763" s="617"/>
      <c r="AF763" s="617"/>
      <c r="AG763" s="617"/>
      <c r="AH763" s="617"/>
    </row>
    <row r="764" spans="1:34" ht="15" hidden="1">
      <c r="A764" s="617"/>
      <c r="B764" s="617"/>
      <c r="C764" s="617"/>
      <c r="D764" s="617"/>
      <c r="E764" s="617"/>
      <c r="F764" s="617"/>
      <c r="G764" s="617"/>
      <c r="H764" s="617"/>
      <c r="I764" s="617"/>
      <c r="J764" s="617"/>
      <c r="K764" s="617"/>
      <c r="L764" s="617"/>
      <c r="M764" s="617"/>
      <c r="N764" s="617"/>
      <c r="O764" s="617"/>
      <c r="P764" s="617"/>
      <c r="Q764" s="617"/>
      <c r="R764" s="617"/>
      <c r="S764" s="617"/>
      <c r="T764" s="617"/>
      <c r="U764" s="617"/>
      <c r="V764" s="617"/>
      <c r="W764" s="617"/>
      <c r="X764" s="617"/>
      <c r="Y764" s="617"/>
      <c r="Z764" s="617"/>
      <c r="AA764" s="617"/>
      <c r="AB764" s="617"/>
      <c r="AC764" s="617"/>
      <c r="AD764" s="617"/>
      <c r="AE764" s="617"/>
      <c r="AF764" s="617"/>
      <c r="AG764" s="617"/>
      <c r="AH764" s="617"/>
    </row>
    <row r="765" spans="1:34" ht="15" hidden="1">
      <c r="A765" s="617"/>
      <c r="B765" s="617"/>
      <c r="C765" s="617"/>
      <c r="D765" s="617"/>
      <c r="E765" s="617"/>
      <c r="F765" s="617"/>
      <c r="G765" s="617"/>
      <c r="H765" s="617"/>
      <c r="I765" s="617"/>
      <c r="J765" s="617"/>
      <c r="K765" s="617"/>
      <c r="L765" s="617"/>
      <c r="M765" s="617"/>
      <c r="N765" s="617"/>
      <c r="O765" s="617"/>
      <c r="P765" s="617"/>
      <c r="Q765" s="617"/>
      <c r="R765" s="617"/>
      <c r="S765" s="617"/>
      <c r="T765" s="617"/>
      <c r="U765" s="617"/>
      <c r="V765" s="617"/>
      <c r="W765" s="617"/>
      <c r="X765" s="617"/>
      <c r="Y765" s="617"/>
      <c r="Z765" s="617"/>
      <c r="AA765" s="617"/>
      <c r="AB765" s="617"/>
      <c r="AC765" s="617"/>
      <c r="AD765" s="617"/>
      <c r="AE765" s="617"/>
      <c r="AF765" s="617"/>
      <c r="AG765" s="617"/>
      <c r="AH765" s="617"/>
    </row>
    <row r="766" spans="1:34" ht="15" hidden="1">
      <c r="A766" s="617"/>
      <c r="B766" s="617"/>
      <c r="C766" s="617"/>
      <c r="D766" s="617"/>
      <c r="E766" s="617"/>
      <c r="F766" s="617"/>
      <c r="G766" s="617"/>
      <c r="H766" s="617"/>
      <c r="I766" s="617"/>
      <c r="J766" s="617"/>
      <c r="K766" s="617"/>
      <c r="L766" s="617"/>
      <c r="M766" s="617"/>
      <c r="N766" s="617"/>
      <c r="O766" s="617"/>
      <c r="P766" s="617"/>
      <c r="Q766" s="617"/>
      <c r="R766" s="617"/>
      <c r="S766" s="617"/>
      <c r="T766" s="617"/>
      <c r="U766" s="617"/>
      <c r="V766" s="617"/>
      <c r="W766" s="617"/>
      <c r="X766" s="617"/>
      <c r="Y766" s="617"/>
      <c r="Z766" s="617"/>
      <c r="AA766" s="617"/>
      <c r="AB766" s="617"/>
      <c r="AC766" s="617"/>
      <c r="AD766" s="617"/>
      <c r="AE766" s="617"/>
      <c r="AF766" s="617"/>
      <c r="AG766" s="617"/>
      <c r="AH766" s="617"/>
    </row>
    <row r="767" spans="1:34" ht="15" hidden="1">
      <c r="A767" s="617"/>
      <c r="B767" s="617"/>
      <c r="C767" s="617"/>
      <c r="D767" s="617"/>
      <c r="E767" s="617"/>
      <c r="F767" s="617"/>
      <c r="G767" s="617"/>
      <c r="H767" s="617"/>
      <c r="I767" s="617"/>
      <c r="J767" s="617"/>
      <c r="K767" s="617"/>
      <c r="L767" s="617"/>
      <c r="M767" s="617"/>
      <c r="N767" s="617"/>
      <c r="O767" s="617"/>
      <c r="P767" s="617"/>
      <c r="Q767" s="617"/>
      <c r="R767" s="617"/>
      <c r="S767" s="617"/>
      <c r="T767" s="617"/>
      <c r="U767" s="617"/>
      <c r="V767" s="617"/>
      <c r="W767" s="617"/>
      <c r="X767" s="617"/>
      <c r="Y767" s="617"/>
      <c r="Z767" s="617"/>
      <c r="AA767" s="617"/>
      <c r="AB767" s="617"/>
      <c r="AC767" s="617"/>
      <c r="AD767" s="617"/>
      <c r="AE767" s="617"/>
      <c r="AF767" s="617"/>
      <c r="AG767" s="617"/>
      <c r="AH767" s="617"/>
    </row>
    <row r="768" spans="1:34" ht="15" hidden="1">
      <c r="A768" s="617"/>
      <c r="B768" s="617"/>
      <c r="C768" s="617"/>
      <c r="D768" s="617"/>
      <c r="E768" s="617"/>
      <c r="F768" s="617"/>
      <c r="G768" s="617"/>
      <c r="H768" s="617"/>
      <c r="I768" s="617"/>
      <c r="J768" s="617"/>
      <c r="K768" s="617"/>
      <c r="L768" s="617"/>
      <c r="M768" s="617"/>
      <c r="N768" s="617"/>
      <c r="O768" s="617"/>
      <c r="P768" s="617"/>
      <c r="Q768" s="617"/>
      <c r="R768" s="617"/>
      <c r="S768" s="617"/>
      <c r="T768" s="617"/>
      <c r="U768" s="617"/>
      <c r="V768" s="617"/>
      <c r="W768" s="617"/>
      <c r="X768" s="617"/>
      <c r="Y768" s="617"/>
      <c r="Z768" s="617"/>
      <c r="AA768" s="617"/>
      <c r="AB768" s="617"/>
      <c r="AC768" s="617"/>
      <c r="AD768" s="617"/>
      <c r="AE768" s="617"/>
      <c r="AF768" s="617"/>
      <c r="AG768" s="617"/>
      <c r="AH768" s="617"/>
    </row>
    <row r="769" spans="1:34" ht="15" hidden="1">
      <c r="A769" s="617"/>
      <c r="B769" s="617"/>
      <c r="C769" s="617"/>
      <c r="D769" s="617"/>
      <c r="E769" s="617"/>
      <c r="F769" s="617"/>
      <c r="G769" s="617"/>
      <c r="H769" s="617"/>
      <c r="I769" s="617"/>
      <c r="J769" s="617"/>
      <c r="K769" s="617"/>
      <c r="L769" s="617"/>
      <c r="M769" s="617"/>
      <c r="N769" s="617"/>
      <c r="O769" s="617"/>
      <c r="P769" s="617"/>
      <c r="Q769" s="617"/>
      <c r="R769" s="617"/>
      <c r="S769" s="617"/>
      <c r="T769" s="617"/>
      <c r="U769" s="617"/>
      <c r="V769" s="617"/>
      <c r="W769" s="617"/>
      <c r="X769" s="617"/>
      <c r="Y769" s="617"/>
      <c r="Z769" s="617"/>
      <c r="AA769" s="617"/>
      <c r="AB769" s="617"/>
      <c r="AC769" s="617"/>
      <c r="AD769" s="617"/>
      <c r="AE769" s="617"/>
      <c r="AF769" s="617"/>
      <c r="AG769" s="617"/>
      <c r="AH769" s="617"/>
    </row>
    <row r="770" spans="1:34" ht="15" hidden="1">
      <c r="A770" s="617"/>
      <c r="B770" s="617"/>
      <c r="C770" s="617"/>
      <c r="D770" s="617"/>
      <c r="E770" s="617"/>
      <c r="F770" s="617"/>
      <c r="G770" s="617"/>
      <c r="H770" s="617"/>
      <c r="I770" s="617"/>
      <c r="J770" s="617"/>
      <c r="K770" s="617"/>
      <c r="L770" s="617"/>
      <c r="M770" s="617"/>
      <c r="N770" s="617"/>
      <c r="O770" s="617"/>
      <c r="P770" s="617"/>
      <c r="Q770" s="617"/>
      <c r="R770" s="617"/>
      <c r="S770" s="617"/>
      <c r="T770" s="617"/>
      <c r="U770" s="617"/>
      <c r="V770" s="617"/>
      <c r="W770" s="617"/>
      <c r="X770" s="617"/>
      <c r="Y770" s="617"/>
      <c r="Z770" s="617"/>
      <c r="AA770" s="617"/>
      <c r="AB770" s="617"/>
      <c r="AC770" s="617"/>
      <c r="AD770" s="617"/>
      <c r="AE770" s="617"/>
      <c r="AF770" s="617"/>
      <c r="AG770" s="617"/>
      <c r="AH770" s="617"/>
    </row>
    <row r="771" spans="1:34" ht="15" hidden="1">
      <c r="A771" s="617"/>
      <c r="B771" s="617"/>
      <c r="C771" s="617"/>
      <c r="D771" s="617"/>
      <c r="E771" s="617"/>
      <c r="F771" s="617"/>
      <c r="G771" s="617"/>
      <c r="H771" s="617"/>
      <c r="I771" s="617"/>
      <c r="J771" s="617"/>
      <c r="K771" s="617"/>
      <c r="L771" s="617"/>
      <c r="M771" s="617"/>
      <c r="N771" s="617"/>
      <c r="O771" s="617"/>
      <c r="P771" s="617"/>
      <c r="Q771" s="617"/>
      <c r="R771" s="617"/>
      <c r="S771" s="617"/>
      <c r="T771" s="617"/>
      <c r="U771" s="617"/>
      <c r="V771" s="617"/>
      <c r="W771" s="617"/>
      <c r="X771" s="617"/>
      <c r="Y771" s="617"/>
      <c r="Z771" s="617"/>
      <c r="AA771" s="617"/>
      <c r="AB771" s="617"/>
      <c r="AC771" s="617"/>
      <c r="AD771" s="617"/>
      <c r="AE771" s="617"/>
      <c r="AF771" s="617"/>
      <c r="AG771" s="617"/>
      <c r="AH771" s="617"/>
    </row>
    <row r="772" spans="1:34" ht="15" hidden="1">
      <c r="A772" s="617"/>
      <c r="B772" s="617"/>
      <c r="C772" s="617"/>
      <c r="D772" s="617"/>
      <c r="E772" s="617"/>
      <c r="F772" s="617"/>
      <c r="G772" s="617"/>
      <c r="H772" s="617"/>
      <c r="I772" s="617"/>
      <c r="J772" s="617"/>
      <c r="K772" s="617"/>
      <c r="L772" s="617"/>
      <c r="M772" s="617"/>
      <c r="N772" s="617"/>
      <c r="O772" s="617"/>
      <c r="P772" s="617"/>
      <c r="Q772" s="617"/>
      <c r="R772" s="617"/>
      <c r="S772" s="617"/>
      <c r="T772" s="617"/>
      <c r="U772" s="617"/>
      <c r="V772" s="617"/>
      <c r="W772" s="617"/>
      <c r="X772" s="617"/>
      <c r="Y772" s="617"/>
      <c r="Z772" s="617"/>
      <c r="AA772" s="617"/>
      <c r="AB772" s="617"/>
      <c r="AC772" s="617"/>
      <c r="AD772" s="617"/>
      <c r="AE772" s="617"/>
      <c r="AF772" s="617"/>
      <c r="AG772" s="617"/>
      <c r="AH772" s="617"/>
    </row>
    <row r="773" spans="1:34" ht="15" hidden="1">
      <c r="A773" s="617"/>
      <c r="B773" s="617"/>
      <c r="C773" s="617"/>
      <c r="D773" s="617"/>
      <c r="E773" s="617"/>
      <c r="F773" s="617"/>
      <c r="G773" s="617"/>
      <c r="H773" s="617"/>
      <c r="I773" s="617"/>
      <c r="J773" s="617"/>
      <c r="K773" s="617"/>
      <c r="L773" s="617"/>
      <c r="M773" s="617"/>
      <c r="N773" s="617"/>
      <c r="O773" s="617"/>
      <c r="P773" s="617"/>
      <c r="Q773" s="617"/>
      <c r="R773" s="617"/>
      <c r="S773" s="617"/>
      <c r="T773" s="617"/>
      <c r="U773" s="617"/>
      <c r="V773" s="617"/>
      <c r="W773" s="617"/>
      <c r="X773" s="617"/>
      <c r="Y773" s="617"/>
      <c r="Z773" s="617"/>
      <c r="AA773" s="617"/>
      <c r="AB773" s="617"/>
      <c r="AC773" s="617"/>
      <c r="AD773" s="617"/>
      <c r="AE773" s="617"/>
      <c r="AF773" s="617"/>
      <c r="AG773" s="617"/>
      <c r="AH773" s="617"/>
    </row>
    <row r="774" spans="1:34" ht="15" hidden="1">
      <c r="A774" s="617"/>
      <c r="B774" s="617"/>
      <c r="C774" s="617"/>
      <c r="D774" s="617"/>
      <c r="E774" s="617"/>
      <c r="F774" s="617"/>
      <c r="G774" s="617"/>
      <c r="H774" s="617"/>
      <c r="I774" s="617"/>
      <c r="J774" s="617"/>
      <c r="K774" s="617"/>
      <c r="L774" s="617"/>
      <c r="M774" s="617"/>
      <c r="N774" s="617"/>
      <c r="O774" s="617"/>
      <c r="P774" s="617"/>
      <c r="Q774" s="617"/>
      <c r="R774" s="617"/>
      <c r="S774" s="617"/>
      <c r="T774" s="617"/>
      <c r="U774" s="617"/>
      <c r="V774" s="617"/>
      <c r="W774" s="617"/>
      <c r="X774" s="617"/>
      <c r="Y774" s="617"/>
      <c r="Z774" s="617"/>
      <c r="AA774" s="617"/>
      <c r="AB774" s="617"/>
      <c r="AC774" s="617"/>
      <c r="AD774" s="617"/>
      <c r="AE774" s="617"/>
      <c r="AF774" s="617"/>
      <c r="AG774" s="617"/>
      <c r="AH774" s="617"/>
    </row>
    <row r="775" spans="1:34" ht="15" hidden="1">
      <c r="A775" s="617"/>
      <c r="B775" s="617"/>
      <c r="C775" s="617"/>
      <c r="D775" s="617"/>
      <c r="E775" s="617"/>
      <c r="F775" s="617"/>
      <c r="G775" s="617"/>
      <c r="H775" s="617"/>
      <c r="I775" s="617"/>
      <c r="J775" s="617"/>
      <c r="K775" s="617"/>
      <c r="L775" s="617"/>
      <c r="M775" s="617"/>
      <c r="N775" s="617"/>
      <c r="O775" s="617"/>
      <c r="P775" s="617"/>
      <c r="Q775" s="617"/>
      <c r="R775" s="617"/>
      <c r="S775" s="617"/>
      <c r="T775" s="617"/>
      <c r="U775" s="617"/>
      <c r="V775" s="617"/>
      <c r="W775" s="617"/>
      <c r="X775" s="617"/>
      <c r="Y775" s="617"/>
      <c r="Z775" s="617"/>
      <c r="AA775" s="617"/>
      <c r="AB775" s="617"/>
      <c r="AC775" s="617"/>
      <c r="AD775" s="617"/>
      <c r="AE775" s="617"/>
      <c r="AF775" s="617"/>
      <c r="AG775" s="617"/>
      <c r="AH775" s="617"/>
    </row>
    <row r="776" spans="1:34" ht="15" hidden="1">
      <c r="A776" s="617"/>
      <c r="B776" s="617"/>
      <c r="C776" s="617"/>
      <c r="D776" s="617"/>
      <c r="E776" s="617"/>
      <c r="F776" s="617"/>
      <c r="G776" s="617"/>
      <c r="H776" s="617"/>
      <c r="I776" s="617"/>
      <c r="J776" s="617"/>
      <c r="K776" s="617"/>
      <c r="L776" s="617"/>
      <c r="M776" s="617"/>
      <c r="N776" s="617"/>
      <c r="O776" s="617"/>
      <c r="P776" s="617"/>
      <c r="Q776" s="617"/>
      <c r="R776" s="617"/>
      <c r="S776" s="617"/>
      <c r="T776" s="617"/>
      <c r="U776" s="617"/>
      <c r="V776" s="617"/>
      <c r="W776" s="617"/>
      <c r="X776" s="617"/>
      <c r="Y776" s="617"/>
      <c r="Z776" s="617"/>
      <c r="AA776" s="617"/>
      <c r="AB776" s="617"/>
      <c r="AC776" s="617"/>
      <c r="AD776" s="617"/>
      <c r="AE776" s="617"/>
      <c r="AF776" s="617"/>
      <c r="AG776" s="617"/>
      <c r="AH776" s="617"/>
    </row>
    <row r="777" spans="1:34" ht="15" hidden="1">
      <c r="A777" s="617"/>
      <c r="B777" s="617"/>
      <c r="C777" s="617"/>
      <c r="D777" s="617"/>
      <c r="E777" s="617"/>
      <c r="F777" s="617"/>
      <c r="G777" s="617"/>
      <c r="H777" s="617"/>
      <c r="I777" s="617"/>
      <c r="J777" s="617"/>
      <c r="K777" s="617"/>
      <c r="L777" s="617"/>
      <c r="M777" s="617"/>
      <c r="N777" s="617"/>
      <c r="O777" s="617"/>
      <c r="P777" s="617"/>
      <c r="Q777" s="617"/>
      <c r="R777" s="617"/>
      <c r="S777" s="617"/>
      <c r="T777" s="617"/>
      <c r="U777" s="617"/>
      <c r="V777" s="617"/>
      <c r="W777" s="617"/>
      <c r="X777" s="617"/>
      <c r="Y777" s="617"/>
      <c r="Z777" s="617"/>
      <c r="AA777" s="617"/>
      <c r="AB777" s="617"/>
      <c r="AC777" s="617"/>
      <c r="AD777" s="617"/>
      <c r="AE777" s="617"/>
      <c r="AF777" s="617"/>
      <c r="AG777" s="617"/>
      <c r="AH777" s="617"/>
    </row>
    <row r="778" spans="1:34" ht="15" hidden="1">
      <c r="A778" s="617"/>
      <c r="B778" s="617"/>
      <c r="C778" s="617"/>
      <c r="D778" s="617"/>
      <c r="E778" s="617"/>
      <c r="F778" s="617"/>
      <c r="G778" s="617"/>
      <c r="H778" s="617"/>
      <c r="I778" s="617"/>
      <c r="J778" s="617"/>
      <c r="K778" s="617"/>
      <c r="L778" s="617"/>
      <c r="M778" s="617"/>
      <c r="N778" s="617"/>
      <c r="O778" s="617"/>
      <c r="P778" s="617"/>
      <c r="Q778" s="617"/>
      <c r="R778" s="617"/>
      <c r="S778" s="617"/>
      <c r="T778" s="617"/>
      <c r="U778" s="617"/>
      <c r="V778" s="617"/>
      <c r="W778" s="617"/>
      <c r="X778" s="617"/>
      <c r="Y778" s="617"/>
      <c r="Z778" s="617"/>
      <c r="AA778" s="617"/>
      <c r="AB778" s="617"/>
      <c r="AC778" s="617"/>
      <c r="AD778" s="617"/>
      <c r="AE778" s="617"/>
      <c r="AF778" s="617"/>
      <c r="AG778" s="617"/>
      <c r="AH778" s="617"/>
    </row>
    <row r="779" spans="1:34" ht="15" hidden="1">
      <c r="A779" s="617"/>
      <c r="B779" s="617"/>
      <c r="C779" s="617"/>
      <c r="D779" s="617"/>
      <c r="E779" s="617"/>
      <c r="F779" s="617"/>
      <c r="G779" s="617"/>
      <c r="H779" s="617"/>
      <c r="I779" s="617"/>
      <c r="J779" s="617"/>
      <c r="K779" s="617"/>
      <c r="L779" s="617"/>
      <c r="M779" s="617"/>
      <c r="N779" s="617"/>
      <c r="O779" s="617"/>
      <c r="P779" s="617"/>
      <c r="Q779" s="617"/>
      <c r="R779" s="617"/>
      <c r="S779" s="617"/>
      <c r="T779" s="617"/>
      <c r="U779" s="617"/>
      <c r="V779" s="617"/>
      <c r="W779" s="617"/>
      <c r="X779" s="617"/>
      <c r="Y779" s="617"/>
      <c r="Z779" s="617"/>
      <c r="AA779" s="617"/>
      <c r="AB779" s="617"/>
      <c r="AC779" s="617"/>
      <c r="AD779" s="617"/>
      <c r="AE779" s="617"/>
      <c r="AF779" s="617"/>
      <c r="AG779" s="617"/>
      <c r="AH779" s="617"/>
    </row>
    <row r="780" spans="1:34" ht="15" hidden="1">
      <c r="A780" s="617"/>
      <c r="B780" s="617"/>
      <c r="C780" s="617"/>
      <c r="D780" s="617"/>
      <c r="E780" s="617"/>
      <c r="F780" s="617"/>
      <c r="G780" s="617"/>
      <c r="H780" s="617"/>
      <c r="I780" s="617"/>
      <c r="J780" s="617"/>
      <c r="K780" s="617"/>
      <c r="L780" s="617"/>
      <c r="M780" s="617"/>
      <c r="N780" s="617"/>
      <c r="O780" s="617"/>
      <c r="P780" s="617"/>
      <c r="Q780" s="617"/>
      <c r="R780" s="617"/>
      <c r="S780" s="617"/>
      <c r="T780" s="617"/>
      <c r="U780" s="617"/>
      <c r="V780" s="617"/>
      <c r="W780" s="617"/>
      <c r="X780" s="617"/>
      <c r="Y780" s="617"/>
      <c r="Z780" s="617"/>
      <c r="AA780" s="617"/>
      <c r="AB780" s="617"/>
      <c r="AC780" s="617"/>
      <c r="AD780" s="617"/>
      <c r="AE780" s="617"/>
      <c r="AF780" s="617"/>
      <c r="AG780" s="617"/>
      <c r="AH780" s="617"/>
    </row>
    <row r="781" spans="1:34" ht="15" hidden="1">
      <c r="A781" s="617"/>
      <c r="B781" s="617"/>
      <c r="C781" s="617"/>
      <c r="D781" s="617"/>
      <c r="E781" s="617"/>
      <c r="F781" s="617"/>
      <c r="G781" s="617"/>
      <c r="H781" s="617"/>
      <c r="I781" s="617"/>
      <c r="J781" s="617"/>
      <c r="K781" s="617"/>
      <c r="L781" s="617"/>
      <c r="M781" s="617"/>
      <c r="N781" s="617"/>
      <c r="O781" s="617"/>
      <c r="P781" s="617"/>
      <c r="Q781" s="617"/>
      <c r="R781" s="617"/>
      <c r="S781" s="617"/>
      <c r="T781" s="617"/>
      <c r="U781" s="617"/>
      <c r="V781" s="617"/>
      <c r="W781" s="617"/>
      <c r="X781" s="617"/>
      <c r="Y781" s="617"/>
      <c r="Z781" s="617"/>
      <c r="AA781" s="617"/>
      <c r="AB781" s="617"/>
      <c r="AC781" s="617"/>
      <c r="AD781" s="617"/>
      <c r="AE781" s="617"/>
      <c r="AF781" s="617"/>
      <c r="AG781" s="617"/>
      <c r="AH781" s="617"/>
    </row>
    <row r="782" spans="1:34" ht="15" hidden="1">
      <c r="A782" s="617"/>
      <c r="B782" s="617"/>
      <c r="C782" s="617"/>
      <c r="D782" s="617"/>
      <c r="E782" s="617"/>
      <c r="F782" s="617"/>
      <c r="G782" s="617"/>
      <c r="H782" s="617"/>
      <c r="I782" s="617"/>
      <c r="J782" s="617"/>
      <c r="K782" s="617"/>
      <c r="L782" s="617"/>
      <c r="M782" s="617"/>
      <c r="N782" s="617"/>
      <c r="O782" s="617"/>
      <c r="P782" s="617"/>
      <c r="Q782" s="617"/>
      <c r="R782" s="617"/>
      <c r="S782" s="617"/>
      <c r="T782" s="617"/>
      <c r="U782" s="617"/>
      <c r="V782" s="617"/>
      <c r="W782" s="617"/>
      <c r="X782" s="617"/>
      <c r="Y782" s="617"/>
      <c r="Z782" s="617"/>
      <c r="AA782" s="617"/>
      <c r="AB782" s="617"/>
      <c r="AC782" s="617"/>
      <c r="AD782" s="617"/>
      <c r="AE782" s="617"/>
      <c r="AF782" s="617"/>
      <c r="AG782" s="617"/>
      <c r="AH782" s="617"/>
    </row>
    <row r="783" spans="1:34" ht="15" hidden="1">
      <c r="A783" s="617"/>
      <c r="B783" s="617"/>
      <c r="C783" s="617"/>
      <c r="D783" s="617"/>
      <c r="E783" s="617"/>
      <c r="F783" s="617"/>
      <c r="G783" s="617"/>
      <c r="H783" s="617"/>
      <c r="I783" s="617"/>
      <c r="J783" s="617"/>
      <c r="K783" s="617"/>
      <c r="L783" s="617"/>
      <c r="M783" s="617"/>
      <c r="N783" s="617"/>
      <c r="O783" s="617"/>
      <c r="P783" s="617"/>
      <c r="Q783" s="617"/>
      <c r="R783" s="617"/>
      <c r="S783" s="617"/>
      <c r="T783" s="617"/>
      <c r="U783" s="617"/>
      <c r="V783" s="617"/>
      <c r="W783" s="617"/>
      <c r="X783" s="617"/>
      <c r="Y783" s="617"/>
      <c r="Z783" s="617"/>
      <c r="AA783" s="617"/>
      <c r="AB783" s="617"/>
      <c r="AC783" s="617"/>
      <c r="AD783" s="617"/>
      <c r="AE783" s="617"/>
      <c r="AF783" s="617"/>
      <c r="AG783" s="617"/>
      <c r="AH783" s="617"/>
    </row>
    <row r="784" spans="1:34" ht="15" hidden="1">
      <c r="A784" s="617"/>
      <c r="B784" s="617"/>
      <c r="C784" s="617"/>
      <c r="D784" s="617"/>
      <c r="E784" s="617"/>
      <c r="F784" s="617"/>
      <c r="G784" s="617"/>
      <c r="H784" s="617"/>
      <c r="I784" s="617"/>
      <c r="J784" s="617"/>
      <c r="K784" s="617"/>
      <c r="L784" s="617"/>
      <c r="M784" s="617"/>
      <c r="N784" s="617"/>
      <c r="O784" s="617"/>
      <c r="P784" s="617"/>
      <c r="Q784" s="617"/>
      <c r="R784" s="617"/>
      <c r="S784" s="617"/>
      <c r="T784" s="617"/>
      <c r="U784" s="617"/>
      <c r="V784" s="617"/>
      <c r="W784" s="617"/>
      <c r="X784" s="617"/>
      <c r="Y784" s="617"/>
      <c r="Z784" s="617"/>
      <c r="AA784" s="617"/>
      <c r="AB784" s="617"/>
      <c r="AC784" s="617"/>
      <c r="AD784" s="617"/>
      <c r="AE784" s="617"/>
      <c r="AF784" s="617"/>
      <c r="AG784" s="617"/>
      <c r="AH784" s="617"/>
    </row>
    <row r="785" spans="1:34" ht="15" hidden="1">
      <c r="A785" s="617"/>
      <c r="B785" s="617"/>
      <c r="C785" s="617"/>
      <c r="D785" s="617"/>
      <c r="E785" s="617"/>
      <c r="F785" s="617"/>
      <c r="G785" s="617"/>
      <c r="H785" s="617"/>
      <c r="I785" s="617"/>
      <c r="J785" s="617"/>
      <c r="K785" s="617"/>
      <c r="L785" s="617"/>
      <c r="M785" s="617"/>
      <c r="N785" s="617"/>
      <c r="O785" s="617"/>
      <c r="P785" s="617"/>
      <c r="Q785" s="617"/>
      <c r="R785" s="617"/>
      <c r="S785" s="617"/>
      <c r="T785" s="617"/>
      <c r="U785" s="617"/>
      <c r="V785" s="617"/>
      <c r="W785" s="617"/>
      <c r="X785" s="617"/>
      <c r="Y785" s="617"/>
      <c r="Z785" s="617"/>
      <c r="AA785" s="617"/>
      <c r="AB785" s="617"/>
      <c r="AC785" s="617"/>
      <c r="AD785" s="617"/>
      <c r="AE785" s="617"/>
      <c r="AF785" s="617"/>
      <c r="AG785" s="617"/>
      <c r="AH785" s="617"/>
    </row>
    <row r="786" spans="1:34" ht="15" hidden="1">
      <c r="A786" s="617"/>
      <c r="B786" s="617"/>
      <c r="C786" s="617"/>
      <c r="D786" s="617"/>
      <c r="E786" s="617"/>
      <c r="F786" s="617"/>
      <c r="G786" s="617"/>
      <c r="H786" s="617"/>
      <c r="I786" s="617"/>
      <c r="J786" s="617"/>
      <c r="K786" s="617"/>
      <c r="L786" s="617"/>
      <c r="M786" s="617"/>
      <c r="N786" s="617"/>
      <c r="O786" s="617"/>
      <c r="P786" s="617"/>
      <c r="Q786" s="617"/>
      <c r="R786" s="617"/>
      <c r="S786" s="617"/>
      <c r="T786" s="617"/>
      <c r="U786" s="617"/>
      <c r="V786" s="617"/>
      <c r="W786" s="617"/>
      <c r="X786" s="617"/>
      <c r="Y786" s="617"/>
      <c r="Z786" s="617"/>
      <c r="AA786" s="617"/>
      <c r="AB786" s="617"/>
      <c r="AC786" s="617"/>
      <c r="AD786" s="617"/>
      <c r="AE786" s="617"/>
      <c r="AF786" s="617"/>
      <c r="AG786" s="617"/>
      <c r="AH786" s="617"/>
    </row>
    <row r="787" spans="1:34" ht="15" hidden="1">
      <c r="A787" s="617"/>
      <c r="B787" s="617"/>
      <c r="C787" s="617"/>
      <c r="D787" s="617"/>
      <c r="E787" s="617"/>
      <c r="F787" s="617"/>
      <c r="G787" s="617"/>
      <c r="H787" s="617"/>
      <c r="I787" s="617"/>
      <c r="J787" s="617"/>
      <c r="K787" s="617"/>
      <c r="L787" s="617"/>
      <c r="M787" s="617"/>
      <c r="N787" s="617"/>
      <c r="O787" s="617"/>
      <c r="P787" s="617"/>
      <c r="Q787" s="617"/>
      <c r="R787" s="617"/>
      <c r="S787" s="617"/>
      <c r="T787" s="617"/>
      <c r="U787" s="617"/>
      <c r="V787" s="617"/>
      <c r="W787" s="617"/>
      <c r="X787" s="617"/>
      <c r="Y787" s="617"/>
      <c r="Z787" s="617"/>
      <c r="AA787" s="617"/>
      <c r="AB787" s="617"/>
      <c r="AC787" s="617"/>
      <c r="AD787" s="617"/>
      <c r="AE787" s="617"/>
      <c r="AF787" s="617"/>
      <c r="AG787" s="617"/>
      <c r="AH787" s="617"/>
    </row>
    <row r="788" spans="1:34" ht="15" hidden="1">
      <c r="A788" s="617"/>
      <c r="B788" s="617"/>
      <c r="C788" s="617"/>
      <c r="D788" s="617"/>
      <c r="E788" s="617"/>
      <c r="F788" s="617"/>
      <c r="G788" s="617"/>
      <c r="H788" s="617"/>
      <c r="I788" s="617"/>
      <c r="J788" s="617"/>
      <c r="K788" s="617"/>
      <c r="L788" s="617"/>
      <c r="M788" s="617"/>
      <c r="N788" s="617"/>
      <c r="O788" s="617"/>
      <c r="P788" s="617"/>
      <c r="Q788" s="617"/>
      <c r="R788" s="617"/>
      <c r="S788" s="617"/>
      <c r="T788" s="617"/>
      <c r="U788" s="617"/>
      <c r="V788" s="617"/>
      <c r="W788" s="617"/>
      <c r="X788" s="617"/>
      <c r="Y788" s="617"/>
      <c r="Z788" s="617"/>
      <c r="AA788" s="617"/>
      <c r="AB788" s="617"/>
      <c r="AC788" s="617"/>
      <c r="AD788" s="617"/>
      <c r="AE788" s="617"/>
      <c r="AF788" s="617"/>
      <c r="AG788" s="617"/>
      <c r="AH788" s="617"/>
    </row>
    <row r="789" spans="1:34" ht="15" hidden="1">
      <c r="A789" s="617"/>
      <c r="B789" s="617"/>
      <c r="C789" s="617"/>
      <c r="D789" s="617"/>
      <c r="E789" s="617"/>
      <c r="F789" s="617"/>
      <c r="G789" s="617"/>
      <c r="H789" s="617"/>
      <c r="I789" s="617"/>
      <c r="J789" s="617"/>
      <c r="K789" s="617"/>
      <c r="L789" s="617"/>
      <c r="M789" s="617"/>
      <c r="N789" s="617"/>
      <c r="O789" s="617"/>
      <c r="P789" s="617"/>
      <c r="Q789" s="617"/>
      <c r="R789" s="617"/>
      <c r="S789" s="617"/>
      <c r="T789" s="617"/>
      <c r="U789" s="617"/>
      <c r="V789" s="617"/>
      <c r="W789" s="617"/>
      <c r="X789" s="617"/>
      <c r="Y789" s="617"/>
      <c r="Z789" s="617"/>
      <c r="AA789" s="617"/>
      <c r="AB789" s="617"/>
      <c r="AC789" s="617"/>
      <c r="AD789" s="617"/>
      <c r="AE789" s="617"/>
      <c r="AF789" s="617"/>
      <c r="AG789" s="617"/>
      <c r="AH789" s="617"/>
    </row>
    <row r="790" spans="1:34" ht="15" hidden="1">
      <c r="A790" s="617"/>
      <c r="B790" s="617"/>
      <c r="C790" s="617"/>
      <c r="D790" s="617"/>
      <c r="E790" s="617"/>
      <c r="F790" s="617"/>
      <c r="G790" s="617"/>
      <c r="H790" s="617"/>
      <c r="I790" s="617"/>
      <c r="J790" s="617"/>
      <c r="K790" s="617"/>
      <c r="L790" s="617"/>
      <c r="M790" s="617"/>
      <c r="N790" s="617"/>
      <c r="O790" s="617"/>
      <c r="P790" s="617"/>
      <c r="Q790" s="617"/>
      <c r="R790" s="617"/>
      <c r="S790" s="617"/>
      <c r="T790" s="617"/>
      <c r="U790" s="617"/>
      <c r="V790" s="617"/>
      <c r="W790" s="617"/>
      <c r="X790" s="617"/>
      <c r="Y790" s="617"/>
      <c r="Z790" s="617"/>
      <c r="AA790" s="617"/>
      <c r="AB790" s="617"/>
      <c r="AC790" s="617"/>
      <c r="AD790" s="617"/>
      <c r="AE790" s="617"/>
      <c r="AF790" s="617"/>
      <c r="AG790" s="617"/>
      <c r="AH790" s="617"/>
    </row>
    <row r="791" spans="1:34" ht="15" hidden="1">
      <c r="A791" s="617"/>
      <c r="B791" s="617"/>
      <c r="C791" s="617"/>
      <c r="D791" s="617"/>
      <c r="E791" s="617"/>
      <c r="F791" s="617"/>
      <c r="G791" s="617"/>
      <c r="H791" s="617"/>
      <c r="I791" s="617"/>
      <c r="J791" s="617"/>
      <c r="K791" s="617"/>
      <c r="L791" s="617"/>
      <c r="M791" s="617"/>
      <c r="N791" s="617"/>
      <c r="O791" s="617"/>
      <c r="P791" s="617"/>
      <c r="Q791" s="617"/>
      <c r="R791" s="617"/>
      <c r="S791" s="617"/>
      <c r="T791" s="617"/>
      <c r="U791" s="617"/>
      <c r="V791" s="617"/>
      <c r="W791" s="617"/>
      <c r="X791" s="617"/>
      <c r="Y791" s="617"/>
      <c r="Z791" s="617"/>
      <c r="AA791" s="617"/>
      <c r="AB791" s="617"/>
      <c r="AC791" s="617"/>
      <c r="AD791" s="617"/>
      <c r="AE791" s="617"/>
      <c r="AF791" s="617"/>
      <c r="AG791" s="617"/>
      <c r="AH791" s="617"/>
    </row>
    <row r="792" spans="1:34" ht="15" hidden="1">
      <c r="A792" s="617"/>
      <c r="B792" s="617"/>
      <c r="C792" s="617"/>
      <c r="D792" s="617"/>
      <c r="E792" s="617"/>
      <c r="F792" s="617"/>
      <c r="G792" s="617"/>
      <c r="H792" s="617"/>
      <c r="I792" s="617"/>
      <c r="J792" s="617"/>
      <c r="K792" s="617"/>
      <c r="L792" s="617"/>
      <c r="M792" s="617"/>
      <c r="N792" s="617"/>
      <c r="O792" s="617"/>
      <c r="P792" s="617"/>
      <c r="Q792" s="617"/>
      <c r="R792" s="617"/>
      <c r="S792" s="617"/>
      <c r="T792" s="617"/>
      <c r="U792" s="617"/>
      <c r="V792" s="617"/>
      <c r="W792" s="617"/>
      <c r="X792" s="617"/>
      <c r="Y792" s="617"/>
      <c r="Z792" s="617"/>
      <c r="AA792" s="617"/>
      <c r="AB792" s="617"/>
      <c r="AC792" s="617"/>
      <c r="AD792" s="617"/>
      <c r="AE792" s="617"/>
      <c r="AF792" s="617"/>
      <c r="AG792" s="617"/>
      <c r="AH792" s="617"/>
    </row>
    <row r="793" spans="1:34" ht="15" hidden="1">
      <c r="A793" s="617"/>
      <c r="B793" s="617"/>
      <c r="C793" s="617"/>
      <c r="D793" s="617"/>
      <c r="E793" s="617"/>
      <c r="F793" s="617"/>
      <c r="G793" s="617"/>
      <c r="H793" s="617"/>
      <c r="I793" s="617"/>
      <c r="J793" s="617"/>
      <c r="K793" s="617"/>
      <c r="L793" s="617"/>
      <c r="M793" s="617"/>
      <c r="N793" s="617"/>
      <c r="O793" s="617"/>
      <c r="P793" s="617"/>
      <c r="Q793" s="617"/>
      <c r="R793" s="617"/>
      <c r="S793" s="617"/>
      <c r="T793" s="617"/>
      <c r="U793" s="617"/>
      <c r="V793" s="617"/>
      <c r="W793" s="617"/>
      <c r="X793" s="617"/>
      <c r="Y793" s="617"/>
      <c r="Z793" s="617"/>
      <c r="AA793" s="617"/>
      <c r="AB793" s="617"/>
      <c r="AC793" s="617"/>
      <c r="AD793" s="617"/>
      <c r="AE793" s="617"/>
      <c r="AF793" s="617"/>
      <c r="AG793" s="617"/>
      <c r="AH793" s="617"/>
    </row>
    <row r="794" spans="1:34" ht="15" hidden="1">
      <c r="A794" s="617"/>
      <c r="B794" s="617"/>
      <c r="C794" s="617"/>
      <c r="D794" s="617"/>
      <c r="E794" s="617"/>
      <c r="F794" s="617"/>
      <c r="G794" s="617"/>
      <c r="H794" s="617"/>
      <c r="I794" s="617"/>
      <c r="J794" s="617"/>
      <c r="K794" s="617"/>
      <c r="L794" s="617"/>
      <c r="M794" s="617"/>
      <c r="N794" s="617"/>
      <c r="O794" s="617"/>
      <c r="P794" s="617"/>
      <c r="Q794" s="617"/>
      <c r="R794" s="617"/>
      <c r="S794" s="617"/>
      <c r="T794" s="617"/>
      <c r="U794" s="617"/>
      <c r="V794" s="617"/>
      <c r="W794" s="617"/>
      <c r="X794" s="617"/>
      <c r="Y794" s="617"/>
      <c r="Z794" s="617"/>
      <c r="AA794" s="617"/>
      <c r="AB794" s="617"/>
      <c r="AC794" s="617"/>
      <c r="AD794" s="617"/>
      <c r="AE794" s="617"/>
      <c r="AF794" s="617"/>
      <c r="AG794" s="617"/>
      <c r="AH794" s="617"/>
    </row>
    <row r="795" spans="1:34" ht="15" hidden="1">
      <c r="A795" s="617"/>
      <c r="B795" s="617"/>
      <c r="C795" s="617"/>
      <c r="D795" s="617"/>
      <c r="E795" s="617"/>
      <c r="F795" s="617"/>
      <c r="G795" s="617"/>
      <c r="H795" s="617"/>
      <c r="I795" s="617"/>
      <c r="J795" s="617"/>
      <c r="K795" s="617"/>
      <c r="L795" s="617"/>
      <c r="M795" s="617"/>
      <c r="N795" s="617"/>
      <c r="O795" s="617"/>
      <c r="P795" s="617"/>
      <c r="Q795" s="617"/>
      <c r="R795" s="617"/>
      <c r="S795" s="617"/>
      <c r="T795" s="617"/>
      <c r="U795" s="617"/>
      <c r="V795" s="617"/>
      <c r="W795" s="617"/>
      <c r="X795" s="617"/>
      <c r="Y795" s="617"/>
      <c r="Z795" s="617"/>
      <c r="AA795" s="617"/>
      <c r="AB795" s="617"/>
      <c r="AC795" s="617"/>
      <c r="AD795" s="617"/>
      <c r="AE795" s="617"/>
      <c r="AF795" s="617"/>
      <c r="AG795" s="617"/>
      <c r="AH795" s="617"/>
    </row>
    <row r="796" spans="1:34" ht="15" hidden="1">
      <c r="A796" s="617"/>
      <c r="B796" s="617"/>
      <c r="C796" s="617"/>
      <c r="D796" s="617"/>
      <c r="E796" s="617"/>
      <c r="F796" s="617"/>
      <c r="G796" s="617"/>
      <c r="H796" s="617"/>
      <c r="I796" s="617"/>
      <c r="J796" s="617"/>
      <c r="K796" s="617"/>
      <c r="L796" s="617"/>
      <c r="M796" s="617"/>
      <c r="N796" s="617"/>
      <c r="O796" s="617"/>
      <c r="P796" s="617"/>
      <c r="Q796" s="617"/>
      <c r="R796" s="617"/>
      <c r="S796" s="617"/>
      <c r="T796" s="617"/>
      <c r="U796" s="617"/>
      <c r="V796" s="617"/>
      <c r="W796" s="617"/>
      <c r="X796" s="617"/>
      <c r="Y796" s="617"/>
      <c r="Z796" s="617"/>
      <c r="AA796" s="617"/>
      <c r="AB796" s="617"/>
      <c r="AC796" s="617"/>
      <c r="AD796" s="617"/>
      <c r="AE796" s="617"/>
      <c r="AF796" s="617"/>
      <c r="AG796" s="617"/>
      <c r="AH796" s="617"/>
    </row>
    <row r="797" spans="1:34" ht="15" hidden="1">
      <c r="A797" s="617"/>
      <c r="B797" s="617"/>
      <c r="C797" s="617"/>
      <c r="D797" s="617"/>
      <c r="E797" s="617"/>
      <c r="F797" s="617"/>
      <c r="G797" s="617"/>
      <c r="H797" s="617"/>
      <c r="I797" s="617"/>
      <c r="J797" s="617"/>
      <c r="K797" s="617"/>
      <c r="L797" s="617"/>
      <c r="M797" s="617"/>
      <c r="N797" s="617"/>
      <c r="O797" s="617"/>
      <c r="P797" s="617"/>
      <c r="Q797" s="617"/>
      <c r="R797" s="617"/>
      <c r="S797" s="617"/>
      <c r="T797" s="617"/>
      <c r="U797" s="617"/>
      <c r="V797" s="617"/>
      <c r="W797" s="617"/>
      <c r="X797" s="617"/>
      <c r="Y797" s="617"/>
      <c r="Z797" s="617"/>
      <c r="AA797" s="617"/>
      <c r="AB797" s="617"/>
      <c r="AC797" s="617"/>
      <c r="AD797" s="617"/>
      <c r="AE797" s="617"/>
      <c r="AF797" s="617"/>
      <c r="AG797" s="617"/>
      <c r="AH797" s="617"/>
    </row>
    <row r="798" spans="1:34" ht="15" hidden="1">
      <c r="A798" s="617"/>
      <c r="B798" s="617"/>
      <c r="C798" s="617"/>
      <c r="D798" s="617"/>
      <c r="E798" s="617"/>
      <c r="F798" s="617"/>
      <c r="G798" s="617"/>
      <c r="H798" s="617"/>
      <c r="I798" s="617"/>
      <c r="J798" s="617"/>
      <c r="K798" s="617"/>
      <c r="L798" s="617"/>
      <c r="M798" s="617"/>
      <c r="N798" s="617"/>
      <c r="O798" s="617"/>
      <c r="P798" s="617"/>
      <c r="Q798" s="617"/>
      <c r="R798" s="617"/>
      <c r="S798" s="617"/>
      <c r="T798" s="617"/>
      <c r="U798" s="617"/>
      <c r="V798" s="617"/>
      <c r="W798" s="617"/>
      <c r="X798" s="617"/>
      <c r="Y798" s="617"/>
      <c r="Z798" s="617"/>
      <c r="AA798" s="617"/>
      <c r="AB798" s="617"/>
      <c r="AC798" s="617"/>
      <c r="AD798" s="617"/>
      <c r="AE798" s="617"/>
      <c r="AF798" s="617"/>
      <c r="AG798" s="617"/>
      <c r="AH798" s="617"/>
    </row>
    <row r="799" spans="1:34" ht="15" hidden="1">
      <c r="A799" s="617"/>
      <c r="B799" s="617"/>
      <c r="C799" s="617"/>
      <c r="D799" s="617"/>
      <c r="E799" s="617"/>
      <c r="F799" s="617"/>
      <c r="G799" s="617"/>
      <c r="H799" s="617"/>
      <c r="I799" s="617"/>
      <c r="J799" s="617"/>
      <c r="K799" s="617"/>
      <c r="L799" s="617"/>
      <c r="M799" s="617"/>
      <c r="N799" s="617"/>
      <c r="O799" s="617"/>
      <c r="P799" s="617"/>
      <c r="Q799" s="617"/>
      <c r="R799" s="617"/>
      <c r="S799" s="617"/>
      <c r="T799" s="617"/>
      <c r="U799" s="617"/>
      <c r="V799" s="617"/>
      <c r="W799" s="617"/>
      <c r="X799" s="617"/>
      <c r="Y799" s="617"/>
      <c r="Z799" s="617"/>
      <c r="AA799" s="617"/>
      <c r="AB799" s="617"/>
      <c r="AC799" s="617"/>
      <c r="AD799" s="617"/>
      <c r="AE799" s="617"/>
      <c r="AF799" s="617"/>
      <c r="AG799" s="617"/>
      <c r="AH799" s="617"/>
    </row>
    <row r="800" spans="1:34" ht="15" hidden="1">
      <c r="A800" s="617"/>
      <c r="B800" s="617"/>
      <c r="C800" s="617"/>
      <c r="D800" s="617"/>
      <c r="E800" s="617"/>
      <c r="F800" s="617"/>
      <c r="G800" s="617"/>
      <c r="H800" s="617"/>
      <c r="I800" s="617"/>
      <c r="J800" s="617"/>
      <c r="K800" s="617"/>
      <c r="L800" s="617"/>
      <c r="M800" s="617"/>
      <c r="N800" s="617"/>
      <c r="O800" s="617"/>
      <c r="P800" s="617"/>
      <c r="Q800" s="617"/>
      <c r="R800" s="617"/>
      <c r="S800" s="617"/>
      <c r="T800" s="617"/>
      <c r="U800" s="617"/>
      <c r="V800" s="617"/>
      <c r="W800" s="617"/>
      <c r="X800" s="617"/>
      <c r="Y800" s="617"/>
      <c r="Z800" s="617"/>
      <c r="AA800" s="617"/>
      <c r="AB800" s="617"/>
      <c r="AC800" s="617"/>
      <c r="AD800" s="617"/>
      <c r="AE800" s="617"/>
      <c r="AF800" s="617"/>
      <c r="AG800" s="617"/>
      <c r="AH800" s="617"/>
    </row>
    <row r="801" spans="1:34" ht="15" hidden="1">
      <c r="A801" s="617"/>
      <c r="B801" s="617"/>
      <c r="C801" s="617"/>
      <c r="D801" s="617"/>
      <c r="E801" s="617"/>
      <c r="F801" s="617"/>
      <c r="G801" s="617"/>
      <c r="H801" s="617"/>
      <c r="I801" s="617"/>
      <c r="J801" s="617"/>
      <c r="K801" s="617"/>
      <c r="L801" s="617"/>
      <c r="M801" s="617"/>
      <c r="N801" s="617"/>
      <c r="O801" s="617"/>
      <c r="P801" s="617"/>
      <c r="Q801" s="617"/>
      <c r="R801" s="617"/>
      <c r="S801" s="617"/>
      <c r="T801" s="617"/>
      <c r="U801" s="617"/>
      <c r="V801" s="617"/>
      <c r="W801" s="617"/>
      <c r="X801" s="617"/>
      <c r="Y801" s="617"/>
      <c r="Z801" s="617"/>
      <c r="AA801" s="617"/>
      <c r="AB801" s="617"/>
      <c r="AC801" s="617"/>
      <c r="AD801" s="617"/>
      <c r="AE801" s="617"/>
      <c r="AF801" s="617"/>
      <c r="AG801" s="617"/>
      <c r="AH801" s="617"/>
    </row>
    <row r="802" spans="1:34" ht="15" hidden="1">
      <c r="A802" s="617"/>
      <c r="B802" s="617"/>
      <c r="C802" s="617"/>
      <c r="D802" s="617"/>
      <c r="E802" s="617"/>
      <c r="F802" s="617"/>
      <c r="G802" s="617"/>
      <c r="H802" s="617"/>
      <c r="I802" s="617"/>
      <c r="J802" s="617"/>
      <c r="K802" s="617"/>
      <c r="L802" s="617"/>
      <c r="M802" s="617"/>
      <c r="N802" s="617"/>
      <c r="O802" s="617"/>
      <c r="P802" s="617"/>
      <c r="Q802" s="617"/>
      <c r="R802" s="617"/>
      <c r="S802" s="617"/>
      <c r="T802" s="617"/>
      <c r="U802" s="617"/>
      <c r="V802" s="617"/>
      <c r="W802" s="617"/>
      <c r="X802" s="617"/>
      <c r="Y802" s="617"/>
      <c r="Z802" s="617"/>
      <c r="AA802" s="617"/>
      <c r="AB802" s="617"/>
      <c r="AC802" s="617"/>
      <c r="AD802" s="617"/>
      <c r="AE802" s="617"/>
      <c r="AF802" s="617"/>
      <c r="AG802" s="617"/>
      <c r="AH802" s="617"/>
    </row>
    <row r="803" spans="1:34" ht="15" hidden="1">
      <c r="A803" s="617"/>
      <c r="B803" s="617"/>
      <c r="C803" s="617"/>
      <c r="D803" s="617"/>
      <c r="E803" s="617"/>
      <c r="F803" s="617"/>
      <c r="G803" s="617"/>
      <c r="H803" s="617"/>
      <c r="I803" s="617"/>
      <c r="J803" s="617"/>
      <c r="K803" s="617"/>
      <c r="L803" s="617"/>
      <c r="M803" s="617"/>
      <c r="N803" s="617"/>
      <c r="O803" s="617"/>
      <c r="P803" s="617"/>
      <c r="Q803" s="617"/>
      <c r="R803" s="617"/>
      <c r="S803" s="617"/>
      <c r="T803" s="617"/>
      <c r="U803" s="617"/>
      <c r="V803" s="617"/>
      <c r="W803" s="617"/>
      <c r="X803" s="617"/>
      <c r="Y803" s="617"/>
      <c r="Z803" s="617"/>
      <c r="AA803" s="617"/>
      <c r="AB803" s="617"/>
      <c r="AC803" s="617"/>
      <c r="AD803" s="617"/>
      <c r="AE803" s="617"/>
      <c r="AF803" s="617"/>
      <c r="AG803" s="617"/>
      <c r="AH803" s="617"/>
    </row>
    <row r="804" spans="1:34" ht="15" hidden="1">
      <c r="A804" s="617"/>
      <c r="B804" s="617"/>
      <c r="C804" s="617"/>
      <c r="D804" s="617"/>
      <c r="E804" s="617"/>
      <c r="F804" s="617"/>
      <c r="G804" s="617"/>
      <c r="H804" s="617"/>
      <c r="I804" s="617"/>
      <c r="J804" s="617"/>
      <c r="K804" s="617"/>
      <c r="L804" s="617"/>
      <c r="M804" s="617"/>
      <c r="N804" s="617"/>
      <c r="O804" s="617"/>
      <c r="P804" s="617"/>
      <c r="Q804" s="617"/>
      <c r="R804" s="617"/>
      <c r="S804" s="617"/>
      <c r="T804" s="617"/>
      <c r="U804" s="617"/>
      <c r="V804" s="617"/>
      <c r="W804" s="617"/>
      <c r="X804" s="617"/>
      <c r="Y804" s="617"/>
      <c r="Z804" s="617"/>
      <c r="AA804" s="617"/>
      <c r="AB804" s="617"/>
      <c r="AC804" s="617"/>
      <c r="AD804" s="617"/>
      <c r="AE804" s="617"/>
      <c r="AF804" s="617"/>
      <c r="AG804" s="617"/>
      <c r="AH804" s="617"/>
    </row>
    <row r="805" spans="1:34" ht="15" hidden="1">
      <c r="A805" s="617"/>
      <c r="B805" s="617"/>
      <c r="C805" s="617"/>
      <c r="D805" s="617"/>
      <c r="E805" s="617"/>
      <c r="F805" s="617"/>
      <c r="G805" s="617"/>
      <c r="H805" s="617"/>
      <c r="I805" s="617"/>
      <c r="J805" s="617"/>
      <c r="K805" s="617"/>
      <c r="L805" s="617"/>
      <c r="M805" s="617"/>
      <c r="N805" s="617"/>
      <c r="O805" s="617"/>
      <c r="P805" s="617"/>
      <c r="Q805" s="617"/>
      <c r="R805" s="617"/>
      <c r="S805" s="617"/>
      <c r="T805" s="617"/>
      <c r="U805" s="617"/>
      <c r="V805" s="617"/>
      <c r="W805" s="617"/>
      <c r="X805" s="617"/>
      <c r="Y805" s="617"/>
      <c r="Z805" s="617"/>
      <c r="AA805" s="617"/>
      <c r="AB805" s="617"/>
      <c r="AC805" s="617"/>
      <c r="AD805" s="617"/>
      <c r="AE805" s="617"/>
      <c r="AF805" s="617"/>
      <c r="AG805" s="617"/>
      <c r="AH805" s="617"/>
    </row>
    <row r="806" spans="1:34" ht="15" hidden="1">
      <c r="A806" s="617"/>
      <c r="B806" s="617"/>
      <c r="C806" s="617"/>
      <c r="D806" s="617"/>
      <c r="E806" s="617"/>
      <c r="F806" s="617"/>
      <c r="G806" s="617"/>
      <c r="H806" s="617"/>
      <c r="I806" s="617"/>
      <c r="J806" s="617"/>
      <c r="K806" s="617"/>
      <c r="L806" s="617"/>
      <c r="M806" s="617"/>
      <c r="N806" s="617"/>
      <c r="O806" s="617"/>
      <c r="P806" s="617"/>
      <c r="Q806" s="617"/>
      <c r="R806" s="617"/>
      <c r="S806" s="617"/>
      <c r="T806" s="617"/>
      <c r="U806" s="617"/>
      <c r="V806" s="617"/>
      <c r="W806" s="617"/>
      <c r="X806" s="617"/>
      <c r="Y806" s="617"/>
      <c r="Z806" s="617"/>
      <c r="AA806" s="617"/>
      <c r="AB806" s="617"/>
      <c r="AC806" s="617"/>
      <c r="AD806" s="617"/>
      <c r="AE806" s="617"/>
      <c r="AF806" s="617"/>
      <c r="AG806" s="617"/>
      <c r="AH806" s="617"/>
    </row>
    <row r="807" spans="1:34" ht="15" hidden="1">
      <c r="A807" s="617"/>
      <c r="B807" s="617"/>
      <c r="C807" s="617"/>
      <c r="D807" s="617"/>
      <c r="E807" s="617"/>
      <c r="F807" s="617"/>
      <c r="G807" s="617"/>
      <c r="H807" s="617"/>
      <c r="I807" s="617"/>
      <c r="J807" s="617"/>
      <c r="K807" s="617"/>
      <c r="L807" s="617"/>
      <c r="M807" s="617"/>
      <c r="N807" s="617"/>
      <c r="O807" s="617"/>
      <c r="P807" s="617"/>
      <c r="Q807" s="617"/>
      <c r="R807" s="617"/>
      <c r="S807" s="617"/>
      <c r="T807" s="617"/>
      <c r="U807" s="617"/>
      <c r="V807" s="617"/>
      <c r="W807" s="617"/>
      <c r="X807" s="617"/>
      <c r="Y807" s="617"/>
      <c r="Z807" s="617"/>
      <c r="AA807" s="617"/>
      <c r="AB807" s="617"/>
      <c r="AC807" s="617"/>
      <c r="AD807" s="617"/>
      <c r="AE807" s="617"/>
      <c r="AF807" s="617"/>
      <c r="AG807" s="617"/>
      <c r="AH807" s="617"/>
    </row>
    <row r="808" spans="1:34" ht="15" hidden="1">
      <c r="A808" s="617"/>
      <c r="B808" s="617"/>
      <c r="C808" s="617"/>
      <c r="D808" s="617"/>
      <c r="E808" s="617"/>
      <c r="F808" s="617"/>
      <c r="G808" s="617"/>
      <c r="H808" s="617"/>
      <c r="I808" s="617"/>
      <c r="J808" s="617"/>
      <c r="K808" s="617"/>
      <c r="L808" s="617"/>
      <c r="M808" s="617"/>
      <c r="N808" s="617"/>
      <c r="O808" s="617"/>
      <c r="P808" s="617"/>
      <c r="Q808" s="617"/>
      <c r="R808" s="617"/>
      <c r="S808" s="617"/>
      <c r="T808" s="617"/>
      <c r="U808" s="617"/>
      <c r="V808" s="617"/>
      <c r="W808" s="617"/>
      <c r="X808" s="617"/>
      <c r="Y808" s="617"/>
      <c r="Z808" s="617"/>
      <c r="AA808" s="617"/>
      <c r="AB808" s="617"/>
      <c r="AC808" s="617"/>
      <c r="AD808" s="617"/>
      <c r="AE808" s="617"/>
      <c r="AF808" s="617"/>
      <c r="AG808" s="617"/>
      <c r="AH808" s="617"/>
    </row>
    <row r="809" spans="1:34" ht="15" hidden="1">
      <c r="A809" s="617"/>
      <c r="B809" s="617"/>
      <c r="C809" s="617"/>
      <c r="D809" s="617"/>
      <c r="E809" s="617"/>
      <c r="F809" s="617"/>
      <c r="G809" s="617"/>
      <c r="H809" s="617"/>
      <c r="I809" s="617"/>
      <c r="J809" s="617"/>
      <c r="K809" s="617"/>
      <c r="L809" s="617"/>
      <c r="M809" s="617"/>
      <c r="N809" s="617"/>
      <c r="O809" s="617"/>
      <c r="P809" s="617"/>
      <c r="Q809" s="617"/>
      <c r="R809" s="617"/>
      <c r="S809" s="617"/>
      <c r="T809" s="617"/>
      <c r="U809" s="617"/>
      <c r="V809" s="617"/>
      <c r="W809" s="617"/>
      <c r="X809" s="617"/>
      <c r="Y809" s="617"/>
      <c r="Z809" s="617"/>
      <c r="AA809" s="617"/>
      <c r="AB809" s="617"/>
      <c r="AC809" s="617"/>
      <c r="AD809" s="617"/>
      <c r="AE809" s="617"/>
      <c r="AF809" s="617"/>
      <c r="AG809" s="617"/>
      <c r="AH809" s="617"/>
    </row>
    <row r="810" spans="1:34" ht="15" hidden="1">
      <c r="A810" s="617"/>
      <c r="B810" s="617"/>
      <c r="C810" s="617"/>
      <c r="D810" s="617"/>
      <c r="E810" s="617"/>
      <c r="F810" s="617"/>
      <c r="G810" s="617"/>
      <c r="H810" s="617"/>
      <c r="I810" s="617"/>
      <c r="J810" s="617"/>
      <c r="K810" s="617"/>
      <c r="L810" s="617"/>
      <c r="M810" s="617"/>
      <c r="N810" s="617"/>
      <c r="O810" s="617"/>
      <c r="P810" s="617"/>
      <c r="Q810" s="617"/>
      <c r="R810" s="617"/>
      <c r="S810" s="617"/>
      <c r="T810" s="617"/>
      <c r="U810" s="617"/>
      <c r="V810" s="617"/>
      <c r="W810" s="617"/>
      <c r="X810" s="617"/>
      <c r="Y810" s="617"/>
      <c r="Z810" s="617"/>
      <c r="AA810" s="617"/>
      <c r="AB810" s="617"/>
      <c r="AC810" s="617"/>
      <c r="AD810" s="617"/>
      <c r="AE810" s="617"/>
      <c r="AF810" s="617"/>
      <c r="AG810" s="617"/>
      <c r="AH810" s="617"/>
    </row>
    <row r="811" spans="1:34" ht="15" hidden="1">
      <c r="A811" s="617"/>
      <c r="B811" s="617"/>
      <c r="C811" s="617"/>
      <c r="D811" s="617"/>
      <c r="E811" s="617"/>
      <c r="F811" s="617"/>
      <c r="G811" s="617"/>
      <c r="H811" s="617"/>
      <c r="I811" s="617"/>
      <c r="J811" s="617"/>
      <c r="K811" s="617"/>
      <c r="L811" s="617"/>
      <c r="M811" s="617"/>
      <c r="N811" s="617"/>
      <c r="O811" s="617"/>
      <c r="P811" s="617"/>
      <c r="Q811" s="617"/>
      <c r="R811" s="617"/>
      <c r="S811" s="617"/>
      <c r="T811" s="617"/>
      <c r="U811" s="617"/>
      <c r="V811" s="617"/>
      <c r="W811" s="617"/>
      <c r="X811" s="617"/>
      <c r="Y811" s="617"/>
      <c r="Z811" s="617"/>
      <c r="AA811" s="617"/>
      <c r="AB811" s="617"/>
      <c r="AC811" s="617"/>
      <c r="AD811" s="617"/>
      <c r="AE811" s="617"/>
      <c r="AF811" s="617"/>
      <c r="AG811" s="617"/>
      <c r="AH811" s="617"/>
    </row>
    <row r="812" spans="1:34" ht="15" hidden="1">
      <c r="A812" s="617"/>
      <c r="B812" s="617"/>
      <c r="C812" s="617"/>
      <c r="D812" s="617"/>
      <c r="E812" s="617"/>
      <c r="F812" s="617"/>
      <c r="G812" s="617"/>
      <c r="H812" s="617"/>
      <c r="I812" s="617"/>
      <c r="J812" s="617"/>
      <c r="K812" s="617"/>
      <c r="L812" s="617"/>
      <c r="M812" s="617"/>
      <c r="N812" s="617"/>
      <c r="O812" s="617"/>
      <c r="P812" s="617"/>
      <c r="Q812" s="617"/>
      <c r="R812" s="617"/>
      <c r="S812" s="617"/>
      <c r="T812" s="617"/>
      <c r="U812" s="617"/>
      <c r="V812" s="617"/>
      <c r="W812" s="617"/>
      <c r="X812" s="617"/>
      <c r="Y812" s="617"/>
      <c r="Z812" s="617"/>
      <c r="AA812" s="617"/>
      <c r="AB812" s="617"/>
      <c r="AC812" s="617"/>
      <c r="AD812" s="617"/>
      <c r="AE812" s="617"/>
      <c r="AF812" s="617"/>
      <c r="AG812" s="617"/>
      <c r="AH812" s="617"/>
    </row>
    <row r="813" spans="1:34" ht="15" hidden="1">
      <c r="A813" s="617"/>
      <c r="B813" s="617"/>
      <c r="C813" s="617"/>
      <c r="D813" s="617"/>
      <c r="E813" s="617"/>
      <c r="F813" s="617"/>
      <c r="G813" s="617"/>
      <c r="H813" s="617"/>
      <c r="I813" s="617"/>
      <c r="J813" s="617"/>
      <c r="K813" s="617"/>
      <c r="L813" s="617"/>
      <c r="M813" s="617"/>
      <c r="N813" s="617"/>
      <c r="O813" s="617"/>
      <c r="P813" s="617"/>
      <c r="Q813" s="617"/>
      <c r="R813" s="617"/>
      <c r="S813" s="617"/>
      <c r="T813" s="617"/>
      <c r="U813" s="617"/>
      <c r="V813" s="617"/>
      <c r="W813" s="617"/>
      <c r="X813" s="617"/>
      <c r="Y813" s="617"/>
      <c r="Z813" s="617"/>
      <c r="AA813" s="617"/>
      <c r="AB813" s="617"/>
      <c r="AC813" s="617"/>
      <c r="AD813" s="617"/>
      <c r="AE813" s="617"/>
      <c r="AF813" s="617"/>
      <c r="AG813" s="617"/>
      <c r="AH813" s="617"/>
    </row>
    <row r="814" spans="1:34" ht="15" hidden="1">
      <c r="A814" s="617"/>
      <c r="B814" s="617"/>
      <c r="C814" s="617"/>
      <c r="D814" s="617"/>
      <c r="E814" s="617"/>
      <c r="F814" s="617"/>
      <c r="G814" s="617"/>
      <c r="H814" s="617"/>
      <c r="I814" s="617"/>
      <c r="J814" s="617"/>
      <c r="K814" s="617"/>
      <c r="L814" s="617"/>
      <c r="M814" s="617"/>
      <c r="N814" s="617"/>
      <c r="O814" s="617"/>
      <c r="P814" s="617"/>
      <c r="Q814" s="617"/>
      <c r="R814" s="617"/>
      <c r="S814" s="617"/>
      <c r="T814" s="617"/>
      <c r="U814" s="617"/>
      <c r="V814" s="617"/>
      <c r="W814" s="617"/>
      <c r="X814" s="617"/>
      <c r="Y814" s="617"/>
      <c r="Z814" s="617"/>
      <c r="AA814" s="617"/>
      <c r="AB814" s="617"/>
      <c r="AC814" s="617"/>
      <c r="AD814" s="617"/>
      <c r="AE814" s="617"/>
      <c r="AF814" s="617"/>
      <c r="AG814" s="617"/>
      <c r="AH814" s="617"/>
    </row>
    <row r="815" spans="1:34" ht="15" hidden="1">
      <c r="A815" s="617"/>
      <c r="B815" s="617"/>
      <c r="C815" s="617"/>
      <c r="D815" s="617"/>
      <c r="E815" s="617"/>
      <c r="F815" s="617"/>
      <c r="G815" s="617"/>
      <c r="H815" s="617"/>
      <c r="I815" s="617"/>
      <c r="J815" s="617"/>
      <c r="K815" s="617"/>
      <c r="L815" s="617"/>
      <c r="M815" s="617"/>
      <c r="N815" s="617"/>
      <c r="O815" s="617"/>
      <c r="P815" s="617"/>
      <c r="Q815" s="617"/>
      <c r="R815" s="617"/>
      <c r="S815" s="617"/>
      <c r="T815" s="617"/>
      <c r="U815" s="617"/>
      <c r="V815" s="617"/>
      <c r="W815" s="617"/>
      <c r="X815" s="617"/>
      <c r="Y815" s="617"/>
      <c r="Z815" s="617"/>
      <c r="AA815" s="617"/>
      <c r="AB815" s="617"/>
      <c r="AC815" s="617"/>
      <c r="AD815" s="617"/>
      <c r="AE815" s="617"/>
      <c r="AF815" s="617"/>
      <c r="AG815" s="617"/>
      <c r="AH815" s="617"/>
    </row>
    <row r="816" spans="1:34" ht="15" hidden="1">
      <c r="A816" s="617"/>
      <c r="B816" s="617"/>
      <c r="C816" s="617"/>
      <c r="D816" s="617"/>
      <c r="E816" s="617"/>
      <c r="F816" s="617"/>
      <c r="G816" s="617"/>
      <c r="H816" s="617"/>
      <c r="I816" s="617"/>
      <c r="J816" s="617"/>
      <c r="K816" s="617"/>
      <c r="L816" s="617"/>
      <c r="M816" s="617"/>
      <c r="N816" s="617"/>
      <c r="O816" s="617"/>
      <c r="P816" s="617"/>
      <c r="Q816" s="617"/>
      <c r="R816" s="617"/>
      <c r="S816" s="617"/>
      <c r="T816" s="617"/>
      <c r="U816" s="617"/>
      <c r="V816" s="617"/>
      <c r="W816" s="617"/>
      <c r="X816" s="617"/>
      <c r="Y816" s="617"/>
      <c r="Z816" s="617"/>
      <c r="AA816" s="617"/>
      <c r="AB816" s="617"/>
      <c r="AC816" s="617"/>
      <c r="AD816" s="617"/>
      <c r="AE816" s="617"/>
      <c r="AF816" s="617"/>
      <c r="AG816" s="617"/>
      <c r="AH816" s="617"/>
    </row>
    <row r="817" spans="1:34" ht="15" hidden="1">
      <c r="A817" s="617"/>
      <c r="B817" s="617"/>
      <c r="C817" s="617"/>
      <c r="D817" s="617"/>
      <c r="E817" s="617"/>
      <c r="F817" s="617"/>
      <c r="G817" s="617"/>
      <c r="H817" s="617"/>
      <c r="I817" s="617"/>
      <c r="J817" s="617"/>
      <c r="K817" s="617"/>
      <c r="L817" s="617"/>
      <c r="M817" s="617"/>
      <c r="N817" s="617"/>
      <c r="O817" s="617"/>
      <c r="P817" s="617"/>
      <c r="Q817" s="617"/>
      <c r="R817" s="617"/>
      <c r="S817" s="617"/>
      <c r="T817" s="617"/>
      <c r="U817" s="617"/>
      <c r="V817" s="617"/>
      <c r="W817" s="617"/>
      <c r="X817" s="617"/>
      <c r="Y817" s="617"/>
      <c r="Z817" s="617"/>
      <c r="AA817" s="617"/>
      <c r="AB817" s="617"/>
      <c r="AC817" s="617"/>
      <c r="AD817" s="617"/>
      <c r="AE817" s="617"/>
      <c r="AF817" s="617"/>
      <c r="AG817" s="617"/>
      <c r="AH817" s="617"/>
    </row>
    <row r="818" spans="1:34" ht="15" hidden="1">
      <c r="A818" s="617"/>
      <c r="B818" s="617"/>
      <c r="C818" s="617"/>
      <c r="D818" s="617"/>
      <c r="E818" s="617"/>
      <c r="F818" s="617"/>
      <c r="G818" s="617"/>
      <c r="H818" s="617"/>
      <c r="I818" s="617"/>
      <c r="J818" s="617"/>
      <c r="K818" s="617"/>
      <c r="L818" s="617"/>
      <c r="M818" s="617"/>
      <c r="N818" s="617"/>
      <c r="O818" s="617"/>
      <c r="P818" s="617"/>
      <c r="Q818" s="617"/>
      <c r="R818" s="617"/>
      <c r="S818" s="617"/>
      <c r="T818" s="617"/>
      <c r="U818" s="617"/>
      <c r="V818" s="617"/>
      <c r="W818" s="617"/>
      <c r="X818" s="617"/>
      <c r="Y818" s="617"/>
      <c r="Z818" s="617"/>
      <c r="AA818" s="617"/>
      <c r="AB818" s="617"/>
      <c r="AC818" s="617"/>
      <c r="AD818" s="617"/>
      <c r="AE818" s="617"/>
      <c r="AF818" s="617"/>
      <c r="AG818" s="617"/>
      <c r="AH818" s="617"/>
    </row>
    <row r="819" spans="1:34" ht="15" hidden="1">
      <c r="A819" s="617"/>
      <c r="B819" s="617"/>
      <c r="C819" s="617"/>
      <c r="D819" s="617"/>
      <c r="E819" s="617"/>
      <c r="F819" s="617"/>
      <c r="G819" s="617"/>
      <c r="H819" s="617"/>
      <c r="I819" s="617"/>
      <c r="J819" s="617"/>
      <c r="K819" s="617"/>
      <c r="L819" s="617"/>
      <c r="M819" s="617"/>
      <c r="N819" s="617"/>
      <c r="O819" s="617"/>
      <c r="P819" s="617"/>
      <c r="Q819" s="617"/>
      <c r="R819" s="617"/>
      <c r="S819" s="617"/>
      <c r="T819" s="617"/>
      <c r="U819" s="617"/>
      <c r="V819" s="617"/>
      <c r="W819" s="617"/>
      <c r="X819" s="617"/>
      <c r="Y819" s="617"/>
      <c r="Z819" s="617"/>
      <c r="AA819" s="617"/>
      <c r="AB819" s="617"/>
      <c r="AC819" s="617"/>
      <c r="AD819" s="617"/>
      <c r="AE819" s="617"/>
      <c r="AF819" s="617"/>
      <c r="AG819" s="617"/>
      <c r="AH819" s="617"/>
    </row>
    <row r="820" spans="1:34" ht="15" hidden="1">
      <c r="A820" s="617"/>
      <c r="B820" s="617"/>
      <c r="C820" s="617"/>
      <c r="D820" s="617"/>
      <c r="E820" s="617"/>
      <c r="F820" s="617"/>
      <c r="G820" s="617"/>
      <c r="H820" s="617"/>
      <c r="I820" s="617"/>
      <c r="J820" s="617"/>
      <c r="K820" s="617"/>
      <c r="L820" s="617"/>
      <c r="M820" s="617"/>
      <c r="N820" s="617"/>
      <c r="O820" s="617"/>
      <c r="P820" s="617"/>
      <c r="Q820" s="617"/>
      <c r="R820" s="617"/>
      <c r="S820" s="617"/>
      <c r="T820" s="617"/>
      <c r="U820" s="617"/>
      <c r="V820" s="617"/>
      <c r="W820" s="617"/>
      <c r="X820" s="617"/>
      <c r="Y820" s="617"/>
      <c r="Z820" s="617"/>
      <c r="AA820" s="617"/>
      <c r="AB820" s="617"/>
      <c r="AC820" s="617"/>
      <c r="AD820" s="617"/>
      <c r="AE820" s="617"/>
      <c r="AF820" s="617"/>
      <c r="AG820" s="617"/>
      <c r="AH820" s="617"/>
    </row>
    <row r="821" spans="1:34" ht="15" hidden="1">
      <c r="A821" s="617"/>
      <c r="B821" s="617"/>
      <c r="C821" s="617"/>
      <c r="D821" s="617"/>
      <c r="E821" s="617"/>
      <c r="F821" s="617"/>
      <c r="G821" s="617"/>
      <c r="H821" s="617"/>
      <c r="I821" s="617"/>
      <c r="J821" s="617"/>
      <c r="K821" s="617"/>
      <c r="L821" s="617"/>
      <c r="M821" s="617"/>
      <c r="N821" s="617"/>
      <c r="O821" s="617"/>
      <c r="P821" s="617"/>
      <c r="Q821" s="617"/>
      <c r="R821" s="617"/>
      <c r="S821" s="617"/>
      <c r="T821" s="617"/>
      <c r="U821" s="617"/>
      <c r="V821" s="617"/>
      <c r="W821" s="617"/>
      <c r="X821" s="617"/>
      <c r="Y821" s="617"/>
      <c r="Z821" s="617"/>
      <c r="AA821" s="617"/>
      <c r="AB821" s="617"/>
      <c r="AC821" s="617"/>
      <c r="AD821" s="617"/>
      <c r="AE821" s="617"/>
      <c r="AF821" s="617"/>
      <c r="AG821" s="617"/>
      <c r="AH821" s="617"/>
    </row>
    <row r="822" spans="1:34" ht="15" hidden="1">
      <c r="A822" s="617"/>
      <c r="B822" s="617"/>
      <c r="C822" s="617"/>
      <c r="D822" s="617"/>
      <c r="E822" s="617"/>
      <c r="F822" s="617"/>
      <c r="G822" s="617"/>
      <c r="H822" s="617"/>
      <c r="I822" s="617"/>
      <c r="J822" s="617"/>
      <c r="K822" s="617"/>
      <c r="L822" s="617"/>
      <c r="M822" s="617"/>
      <c r="N822" s="617"/>
      <c r="O822" s="617"/>
      <c r="P822" s="617"/>
      <c r="Q822" s="617"/>
      <c r="R822" s="617"/>
      <c r="S822" s="617"/>
      <c r="T822" s="617"/>
      <c r="U822" s="617"/>
      <c r="V822" s="617"/>
      <c r="W822" s="617"/>
      <c r="X822" s="617"/>
      <c r="Y822" s="617"/>
      <c r="Z822" s="617"/>
      <c r="AA822" s="617"/>
      <c r="AB822" s="617"/>
      <c r="AC822" s="617"/>
      <c r="AD822" s="617"/>
      <c r="AE822" s="617"/>
      <c r="AF822" s="617"/>
      <c r="AG822" s="617"/>
      <c r="AH822" s="617"/>
    </row>
    <row r="823" spans="1:34" ht="15" hidden="1">
      <c r="A823" s="617"/>
      <c r="B823" s="617"/>
      <c r="C823" s="617"/>
      <c r="D823" s="617"/>
      <c r="E823" s="617"/>
      <c r="F823" s="617"/>
      <c r="G823" s="617"/>
      <c r="H823" s="617"/>
      <c r="I823" s="617"/>
      <c r="J823" s="617"/>
      <c r="K823" s="617"/>
      <c r="L823" s="617"/>
      <c r="M823" s="617"/>
      <c r="N823" s="617"/>
      <c r="O823" s="617"/>
      <c r="P823" s="617"/>
      <c r="Q823" s="617"/>
      <c r="R823" s="617"/>
      <c r="S823" s="617"/>
      <c r="T823" s="617"/>
      <c r="U823" s="617"/>
      <c r="V823" s="617"/>
      <c r="W823" s="617"/>
      <c r="X823" s="617"/>
      <c r="Y823" s="617"/>
      <c r="Z823" s="617"/>
      <c r="AA823" s="617"/>
      <c r="AB823" s="617"/>
      <c r="AC823" s="617"/>
      <c r="AD823" s="617"/>
      <c r="AE823" s="617"/>
      <c r="AF823" s="617"/>
      <c r="AG823" s="617"/>
      <c r="AH823" s="617"/>
    </row>
    <row r="824" spans="1:34" ht="15" hidden="1">
      <c r="A824" s="617"/>
      <c r="B824" s="617"/>
      <c r="C824" s="617"/>
      <c r="D824" s="617"/>
      <c r="E824" s="617"/>
      <c r="F824" s="617"/>
      <c r="G824" s="617"/>
      <c r="H824" s="617"/>
      <c r="I824" s="617"/>
      <c r="J824" s="617"/>
      <c r="K824" s="617"/>
      <c r="L824" s="617"/>
      <c r="M824" s="617"/>
      <c r="N824" s="617"/>
      <c r="O824" s="617"/>
      <c r="P824" s="617"/>
      <c r="Q824" s="617"/>
      <c r="R824" s="617"/>
      <c r="S824" s="617"/>
      <c r="T824" s="617"/>
      <c r="U824" s="617"/>
      <c r="V824" s="617"/>
      <c r="W824" s="617"/>
      <c r="X824" s="617"/>
      <c r="Y824" s="617"/>
      <c r="Z824" s="617"/>
      <c r="AA824" s="617"/>
      <c r="AB824" s="617"/>
      <c r="AC824" s="617"/>
      <c r="AD824" s="617"/>
      <c r="AE824" s="617"/>
      <c r="AF824" s="617"/>
      <c r="AG824" s="617"/>
      <c r="AH824" s="617"/>
    </row>
    <row r="825" spans="1:34" ht="15" hidden="1">
      <c r="A825" s="617"/>
      <c r="B825" s="617"/>
      <c r="C825" s="617"/>
      <c r="D825" s="617"/>
      <c r="E825" s="617"/>
      <c r="F825" s="617"/>
      <c r="G825" s="617"/>
      <c r="H825" s="617"/>
      <c r="I825" s="617"/>
      <c r="J825" s="617"/>
      <c r="K825" s="617"/>
      <c r="L825" s="617"/>
      <c r="M825" s="617"/>
      <c r="N825" s="617"/>
      <c r="O825" s="617"/>
      <c r="P825" s="617"/>
      <c r="Q825" s="617"/>
      <c r="R825" s="617"/>
      <c r="S825" s="617"/>
      <c r="T825" s="617"/>
      <c r="U825" s="617"/>
      <c r="V825" s="617"/>
      <c r="W825" s="617"/>
      <c r="X825" s="617"/>
      <c r="Y825" s="617"/>
      <c r="Z825" s="617"/>
      <c r="AA825" s="617"/>
      <c r="AB825" s="617"/>
      <c r="AC825" s="617"/>
      <c r="AD825" s="617"/>
      <c r="AE825" s="617"/>
      <c r="AF825" s="617"/>
      <c r="AG825" s="617"/>
      <c r="AH825" s="617"/>
    </row>
    <row r="826" spans="1:34" ht="15" hidden="1">
      <c r="A826" s="617"/>
      <c r="B826" s="617"/>
      <c r="C826" s="617"/>
      <c r="D826" s="617"/>
      <c r="E826" s="617"/>
      <c r="F826" s="617"/>
      <c r="G826" s="617"/>
      <c r="H826" s="617"/>
      <c r="I826" s="617"/>
      <c r="J826" s="617"/>
      <c r="K826" s="617"/>
      <c r="L826" s="617"/>
      <c r="M826" s="617"/>
      <c r="N826" s="617"/>
      <c r="O826" s="617"/>
      <c r="P826" s="617"/>
      <c r="Q826" s="617"/>
      <c r="R826" s="617"/>
      <c r="S826" s="617"/>
      <c r="T826" s="617"/>
      <c r="U826" s="617"/>
      <c r="V826" s="617"/>
      <c r="W826" s="617"/>
      <c r="X826" s="617"/>
      <c r="Y826" s="617"/>
      <c r="Z826" s="617"/>
      <c r="AA826" s="617"/>
      <c r="AB826" s="617"/>
      <c r="AC826" s="617"/>
      <c r="AD826" s="617"/>
      <c r="AE826" s="617"/>
      <c r="AF826" s="617"/>
      <c r="AG826" s="617"/>
      <c r="AH826" s="617"/>
    </row>
    <row r="827" spans="1:34" ht="15" hidden="1">
      <c r="A827" s="617"/>
      <c r="B827" s="617"/>
      <c r="C827" s="617"/>
      <c r="D827" s="617"/>
      <c r="E827" s="617"/>
      <c r="F827" s="617"/>
      <c r="G827" s="617"/>
      <c r="H827" s="617"/>
      <c r="I827" s="617"/>
      <c r="J827" s="617"/>
      <c r="K827" s="617"/>
      <c r="L827" s="617"/>
      <c r="M827" s="617"/>
      <c r="N827" s="617"/>
      <c r="O827" s="617"/>
      <c r="P827" s="617"/>
      <c r="Q827" s="617"/>
      <c r="R827" s="617"/>
      <c r="S827" s="617"/>
      <c r="T827" s="617"/>
      <c r="U827" s="617"/>
      <c r="V827" s="617"/>
      <c r="W827" s="617"/>
      <c r="X827" s="617"/>
      <c r="Y827" s="617"/>
      <c r="Z827" s="617"/>
      <c r="AA827" s="617"/>
      <c r="AB827" s="617"/>
      <c r="AC827" s="617"/>
      <c r="AD827" s="617"/>
      <c r="AE827" s="617"/>
      <c r="AF827" s="617"/>
      <c r="AG827" s="617"/>
      <c r="AH827" s="617"/>
    </row>
    <row r="828" spans="1:34" ht="15" hidden="1">
      <c r="A828" s="617"/>
      <c r="B828" s="617"/>
      <c r="C828" s="617"/>
      <c r="D828" s="617"/>
      <c r="E828" s="617"/>
      <c r="F828" s="617"/>
      <c r="G828" s="617"/>
      <c r="H828" s="617"/>
      <c r="I828" s="617"/>
      <c r="J828" s="617"/>
      <c r="K828" s="617"/>
      <c r="L828" s="617"/>
      <c r="M828" s="617"/>
      <c r="N828" s="617"/>
      <c r="O828" s="617"/>
      <c r="P828" s="617"/>
      <c r="Q828" s="617"/>
      <c r="R828" s="617"/>
      <c r="S828" s="617"/>
      <c r="T828" s="617"/>
      <c r="U828" s="617"/>
      <c r="V828" s="617"/>
      <c r="W828" s="617"/>
      <c r="X828" s="617"/>
      <c r="Y828" s="617"/>
      <c r="Z828" s="617"/>
      <c r="AA828" s="617"/>
      <c r="AB828" s="617"/>
      <c r="AC828" s="617"/>
      <c r="AD828" s="617"/>
      <c r="AE828" s="617"/>
      <c r="AF828" s="617"/>
      <c r="AG828" s="617"/>
      <c r="AH828" s="617"/>
    </row>
    <row r="829" spans="1:34" ht="15" hidden="1">
      <c r="A829" s="617"/>
      <c r="B829" s="617"/>
      <c r="C829" s="617"/>
      <c r="D829" s="617"/>
      <c r="E829" s="617"/>
      <c r="F829" s="617"/>
      <c r="G829" s="617"/>
      <c r="H829" s="617"/>
      <c r="I829" s="617"/>
      <c r="J829" s="617"/>
      <c r="K829" s="617"/>
      <c r="L829" s="617"/>
      <c r="M829" s="617"/>
      <c r="N829" s="617"/>
      <c r="O829" s="617"/>
      <c r="P829" s="617"/>
      <c r="Q829" s="617"/>
      <c r="R829" s="617"/>
      <c r="S829" s="617"/>
      <c r="T829" s="617"/>
      <c r="U829" s="617"/>
      <c r="V829" s="617"/>
      <c r="W829" s="617"/>
      <c r="X829" s="617"/>
      <c r="Y829" s="617"/>
      <c r="Z829" s="617"/>
      <c r="AA829" s="617"/>
      <c r="AB829" s="617"/>
      <c r="AC829" s="617"/>
      <c r="AD829" s="617"/>
      <c r="AE829" s="617"/>
      <c r="AF829" s="617"/>
      <c r="AG829" s="617"/>
      <c r="AH829" s="617"/>
    </row>
    <row r="830" spans="1:34" ht="15" hidden="1">
      <c r="A830" s="617"/>
      <c r="B830" s="617"/>
      <c r="C830" s="617"/>
      <c r="D830" s="617"/>
      <c r="E830" s="617"/>
      <c r="F830" s="617"/>
      <c r="G830" s="617"/>
      <c r="H830" s="617"/>
      <c r="I830" s="617"/>
      <c r="J830" s="617"/>
      <c r="K830" s="617"/>
      <c r="L830" s="617"/>
      <c r="M830" s="617"/>
      <c r="N830" s="617"/>
      <c r="O830" s="617"/>
      <c r="P830" s="617"/>
      <c r="Q830" s="617"/>
      <c r="R830" s="617"/>
      <c r="S830" s="617"/>
      <c r="T830" s="617"/>
      <c r="U830" s="617"/>
      <c r="V830" s="617"/>
      <c r="W830" s="617"/>
      <c r="X830" s="617"/>
      <c r="Y830" s="617"/>
      <c r="Z830" s="617"/>
      <c r="AA830" s="617"/>
      <c r="AB830" s="617"/>
      <c r="AC830" s="617"/>
      <c r="AD830" s="617"/>
      <c r="AE830" s="617"/>
      <c r="AF830" s="617"/>
      <c r="AG830" s="617"/>
      <c r="AH830" s="617"/>
    </row>
    <row r="831" spans="1:34" ht="15" hidden="1">
      <c r="A831" s="617"/>
      <c r="B831" s="617"/>
      <c r="C831" s="617"/>
      <c r="D831" s="617"/>
      <c r="E831" s="617"/>
      <c r="F831" s="617"/>
      <c r="G831" s="617"/>
      <c r="H831" s="617"/>
      <c r="I831" s="617"/>
      <c r="J831" s="617"/>
      <c r="K831" s="617"/>
      <c r="L831" s="617"/>
      <c r="M831" s="617"/>
      <c r="N831" s="617"/>
      <c r="O831" s="617"/>
      <c r="P831" s="617"/>
      <c r="Q831" s="617"/>
      <c r="R831" s="617"/>
      <c r="S831" s="617"/>
      <c r="T831" s="617"/>
      <c r="U831" s="617"/>
      <c r="V831" s="617"/>
      <c r="W831" s="617"/>
      <c r="X831" s="617"/>
      <c r="Y831" s="617"/>
      <c r="Z831" s="617"/>
      <c r="AA831" s="617"/>
      <c r="AB831" s="617"/>
      <c r="AC831" s="617"/>
      <c r="AD831" s="617"/>
      <c r="AE831" s="617"/>
      <c r="AF831" s="617"/>
      <c r="AG831" s="617"/>
      <c r="AH831" s="617"/>
    </row>
    <row r="832" spans="1:34" ht="15" hidden="1">
      <c r="A832" s="617"/>
      <c r="B832" s="617"/>
      <c r="C832" s="617"/>
      <c r="D832" s="617"/>
      <c r="E832" s="617"/>
      <c r="F832" s="617"/>
      <c r="G832" s="617"/>
      <c r="H832" s="617"/>
      <c r="I832" s="617"/>
      <c r="J832" s="617"/>
      <c r="K832" s="617"/>
      <c r="L832" s="617"/>
      <c r="M832" s="617"/>
      <c r="N832" s="617"/>
      <c r="O832" s="617"/>
      <c r="P832" s="617"/>
      <c r="Q832" s="617"/>
      <c r="R832" s="617"/>
      <c r="S832" s="617"/>
      <c r="T832" s="617"/>
      <c r="U832" s="617"/>
      <c r="V832" s="617"/>
      <c r="W832" s="617"/>
      <c r="X832" s="617"/>
      <c r="Y832" s="617"/>
      <c r="Z832" s="617"/>
      <c r="AA832" s="617"/>
      <c r="AB832" s="617"/>
      <c r="AC832" s="617"/>
      <c r="AD832" s="617"/>
      <c r="AE832" s="617"/>
      <c r="AF832" s="617"/>
      <c r="AG832" s="617"/>
      <c r="AH832" s="617"/>
    </row>
    <row r="833" spans="1:34" ht="15" hidden="1">
      <c r="A833" s="617"/>
      <c r="B833" s="617"/>
      <c r="C833" s="617"/>
      <c r="D833" s="617"/>
      <c r="E833" s="617"/>
      <c r="F833" s="617"/>
      <c r="G833" s="617"/>
      <c r="H833" s="617"/>
      <c r="I833" s="617"/>
      <c r="J833" s="617"/>
      <c r="K833" s="617"/>
      <c r="L833" s="617"/>
      <c r="M833" s="617"/>
      <c r="N833" s="617"/>
      <c r="O833" s="617"/>
      <c r="P833" s="617"/>
      <c r="Q833" s="617"/>
      <c r="R833" s="617"/>
      <c r="S833" s="617"/>
      <c r="T833" s="617"/>
      <c r="U833" s="617"/>
      <c r="V833" s="617"/>
      <c r="W833" s="617"/>
      <c r="X833" s="617"/>
      <c r="Y833" s="617"/>
      <c r="Z833" s="617"/>
      <c r="AA833" s="617"/>
      <c r="AB833" s="617"/>
      <c r="AC833" s="617"/>
      <c r="AD833" s="617"/>
      <c r="AE833" s="617"/>
      <c r="AF833" s="617"/>
      <c r="AG833" s="617"/>
      <c r="AH833" s="617"/>
    </row>
    <row r="834" spans="1:34" ht="15" hidden="1">
      <c r="A834" s="617"/>
      <c r="B834" s="617"/>
      <c r="C834" s="617"/>
      <c r="D834" s="617"/>
      <c r="E834" s="617"/>
      <c r="F834" s="617"/>
      <c r="G834" s="617"/>
      <c r="H834" s="617"/>
      <c r="I834" s="617"/>
      <c r="J834" s="617"/>
      <c r="K834" s="617"/>
      <c r="L834" s="617"/>
      <c r="M834" s="617"/>
      <c r="N834" s="617"/>
      <c r="O834" s="617"/>
      <c r="P834" s="617"/>
      <c r="Q834" s="617"/>
      <c r="R834" s="617"/>
      <c r="S834" s="617"/>
      <c r="T834" s="617"/>
      <c r="U834" s="617"/>
      <c r="V834" s="617"/>
      <c r="W834" s="617"/>
      <c r="X834" s="617"/>
      <c r="Y834" s="617"/>
      <c r="Z834" s="617"/>
      <c r="AA834" s="617"/>
      <c r="AB834" s="617"/>
      <c r="AC834" s="617"/>
      <c r="AD834" s="617"/>
      <c r="AE834" s="617"/>
      <c r="AF834" s="617"/>
      <c r="AG834" s="617"/>
      <c r="AH834" s="617"/>
    </row>
    <row r="835" spans="1:34" ht="15" hidden="1">
      <c r="A835" s="617"/>
      <c r="B835" s="617"/>
      <c r="C835" s="617"/>
      <c r="D835" s="617"/>
      <c r="E835" s="617"/>
      <c r="F835" s="617"/>
      <c r="G835" s="617"/>
      <c r="H835" s="617"/>
      <c r="I835" s="617"/>
      <c r="J835" s="617"/>
      <c r="K835" s="617"/>
      <c r="L835" s="617"/>
      <c r="M835" s="617"/>
      <c r="N835" s="617"/>
      <c r="O835" s="617"/>
      <c r="P835" s="617"/>
      <c r="Q835" s="617"/>
      <c r="R835" s="617"/>
      <c r="S835" s="617"/>
      <c r="T835" s="617"/>
      <c r="U835" s="617"/>
      <c r="V835" s="617"/>
      <c r="W835" s="617"/>
      <c r="X835" s="617"/>
      <c r="Y835" s="617"/>
      <c r="Z835" s="617"/>
      <c r="AA835" s="617"/>
      <c r="AB835" s="617"/>
      <c r="AC835" s="617"/>
      <c r="AD835" s="617"/>
      <c r="AE835" s="617"/>
      <c r="AF835" s="617"/>
      <c r="AG835" s="617"/>
      <c r="AH835" s="617"/>
    </row>
    <row r="836" spans="1:34" ht="15" hidden="1">
      <c r="A836" s="617"/>
      <c r="B836" s="617"/>
      <c r="C836" s="617"/>
      <c r="D836" s="617"/>
      <c r="E836" s="617"/>
      <c r="F836" s="617"/>
      <c r="G836" s="617"/>
      <c r="H836" s="617"/>
      <c r="I836" s="617"/>
      <c r="J836" s="617"/>
      <c r="K836" s="617"/>
      <c r="L836" s="617"/>
      <c r="M836" s="617"/>
      <c r="N836" s="617"/>
      <c r="O836" s="617"/>
      <c r="P836" s="617"/>
      <c r="Q836" s="617"/>
      <c r="R836" s="617"/>
      <c r="S836" s="617"/>
      <c r="T836" s="617"/>
      <c r="U836" s="617"/>
      <c r="V836" s="617"/>
      <c r="W836" s="617"/>
      <c r="X836" s="617"/>
      <c r="Y836" s="617"/>
      <c r="Z836" s="617"/>
      <c r="AA836" s="617"/>
      <c r="AB836" s="617"/>
      <c r="AC836" s="617"/>
      <c r="AD836" s="617"/>
      <c r="AE836" s="617"/>
      <c r="AF836" s="617"/>
      <c r="AG836" s="617"/>
      <c r="AH836" s="617"/>
    </row>
    <row r="837" spans="1:34" ht="15" hidden="1">
      <c r="A837" s="617"/>
      <c r="B837" s="617"/>
      <c r="C837" s="617"/>
      <c r="D837" s="617"/>
      <c r="E837" s="617"/>
      <c r="F837" s="617"/>
      <c r="G837" s="617"/>
      <c r="H837" s="617"/>
      <c r="I837" s="617"/>
      <c r="J837" s="617"/>
      <c r="K837" s="617"/>
      <c r="L837" s="617"/>
      <c r="M837" s="617"/>
      <c r="N837" s="617"/>
      <c r="O837" s="617"/>
      <c r="P837" s="617"/>
      <c r="Q837" s="617"/>
      <c r="R837" s="617"/>
      <c r="S837" s="617"/>
      <c r="T837" s="617"/>
      <c r="U837" s="617"/>
      <c r="V837" s="617"/>
      <c r="W837" s="617"/>
      <c r="X837" s="617"/>
      <c r="Y837" s="617"/>
      <c r="Z837" s="617"/>
      <c r="AA837" s="617"/>
      <c r="AB837" s="617"/>
      <c r="AC837" s="617"/>
      <c r="AD837" s="617"/>
      <c r="AE837" s="617"/>
      <c r="AF837" s="617"/>
      <c r="AG837" s="617"/>
      <c r="AH837" s="617"/>
    </row>
    <row r="838" spans="1:34" ht="15" hidden="1">
      <c r="A838" s="617"/>
      <c r="B838" s="617"/>
      <c r="C838" s="617"/>
      <c r="D838" s="617"/>
      <c r="E838" s="617"/>
      <c r="F838" s="617"/>
      <c r="G838" s="617"/>
      <c r="H838" s="617"/>
      <c r="I838" s="617"/>
      <c r="J838" s="617"/>
      <c r="K838" s="617"/>
      <c r="L838" s="617"/>
      <c r="M838" s="617"/>
      <c r="N838" s="617"/>
      <c r="O838" s="617"/>
      <c r="P838" s="617"/>
      <c r="Q838" s="617"/>
      <c r="R838" s="617"/>
      <c r="S838" s="617"/>
      <c r="T838" s="617"/>
      <c r="U838" s="617"/>
      <c r="V838" s="617"/>
      <c r="W838" s="617"/>
      <c r="X838" s="617"/>
      <c r="Y838" s="617"/>
      <c r="Z838" s="617"/>
      <c r="AA838" s="617"/>
      <c r="AB838" s="617"/>
      <c r="AC838" s="617"/>
      <c r="AD838" s="617"/>
      <c r="AE838" s="617"/>
      <c r="AF838" s="617"/>
      <c r="AG838" s="617"/>
      <c r="AH838" s="617"/>
    </row>
    <row r="839" spans="1:34" ht="15" hidden="1">
      <c r="A839" s="617"/>
      <c r="B839" s="617"/>
      <c r="C839" s="617"/>
      <c r="D839" s="617"/>
      <c r="E839" s="617"/>
      <c r="F839" s="617"/>
      <c r="G839" s="617"/>
      <c r="H839" s="617"/>
      <c r="I839" s="617"/>
      <c r="J839" s="617"/>
      <c r="K839" s="617"/>
      <c r="L839" s="617"/>
      <c r="M839" s="617"/>
      <c r="N839" s="617"/>
      <c r="O839" s="617"/>
      <c r="P839" s="617"/>
      <c r="Q839" s="617"/>
      <c r="R839" s="617"/>
      <c r="S839" s="617"/>
      <c r="T839" s="617"/>
      <c r="U839" s="617"/>
      <c r="V839" s="617"/>
      <c r="W839" s="617"/>
      <c r="X839" s="617"/>
      <c r="Y839" s="617"/>
      <c r="Z839" s="617"/>
      <c r="AA839" s="617"/>
      <c r="AB839" s="617"/>
      <c r="AC839" s="617"/>
      <c r="AD839" s="617"/>
      <c r="AE839" s="617"/>
      <c r="AF839" s="617"/>
      <c r="AG839" s="617"/>
      <c r="AH839" s="617"/>
    </row>
    <row r="840" spans="1:34" ht="15" hidden="1">
      <c r="A840" s="617"/>
      <c r="B840" s="617"/>
      <c r="C840" s="617"/>
      <c r="D840" s="617"/>
      <c r="E840" s="617"/>
      <c r="F840" s="617"/>
      <c r="G840" s="617"/>
      <c r="H840" s="617"/>
      <c r="I840" s="617"/>
      <c r="J840" s="617"/>
      <c r="K840" s="617"/>
      <c r="L840" s="617"/>
      <c r="M840" s="617"/>
      <c r="N840" s="617"/>
      <c r="O840" s="617"/>
      <c r="P840" s="617"/>
      <c r="Q840" s="617"/>
      <c r="R840" s="617"/>
      <c r="S840" s="617"/>
      <c r="T840" s="617"/>
      <c r="U840" s="617"/>
      <c r="V840" s="617"/>
      <c r="W840" s="617"/>
      <c r="X840" s="617"/>
      <c r="Y840" s="617"/>
      <c r="Z840" s="617"/>
      <c r="AA840" s="617"/>
      <c r="AB840" s="617"/>
      <c r="AC840" s="617"/>
      <c r="AD840" s="617"/>
      <c r="AE840" s="617"/>
      <c r="AF840" s="617"/>
      <c r="AG840" s="617"/>
      <c r="AH840" s="617"/>
    </row>
    <row r="841" spans="1:34" ht="15" hidden="1">
      <c r="A841" s="617"/>
      <c r="B841" s="617"/>
      <c r="C841" s="617"/>
      <c r="D841" s="617"/>
      <c r="E841" s="617"/>
      <c r="F841" s="617"/>
      <c r="G841" s="617"/>
      <c r="H841" s="617"/>
      <c r="I841" s="617"/>
      <c r="J841" s="617"/>
      <c r="K841" s="617"/>
      <c r="L841" s="617"/>
      <c r="M841" s="617"/>
      <c r="N841" s="617"/>
      <c r="O841" s="617"/>
      <c r="P841" s="617"/>
      <c r="Q841" s="617"/>
      <c r="R841" s="617"/>
      <c r="S841" s="617"/>
      <c r="T841" s="617"/>
      <c r="U841" s="617"/>
      <c r="V841" s="617"/>
      <c r="W841" s="617"/>
      <c r="X841" s="617"/>
      <c r="Y841" s="617"/>
      <c r="Z841" s="617"/>
      <c r="AA841" s="617"/>
      <c r="AB841" s="617"/>
      <c r="AC841" s="617"/>
      <c r="AD841" s="617"/>
      <c r="AE841" s="617"/>
      <c r="AF841" s="617"/>
      <c r="AG841" s="617"/>
      <c r="AH841" s="617"/>
    </row>
    <row r="842" spans="1:34" ht="15" hidden="1">
      <c r="A842" s="617"/>
      <c r="B842" s="617"/>
      <c r="C842" s="617"/>
      <c r="D842" s="617"/>
      <c r="E842" s="617"/>
      <c r="F842" s="617"/>
      <c r="G842" s="617"/>
      <c r="H842" s="617"/>
      <c r="I842" s="617"/>
      <c r="J842" s="617"/>
      <c r="K842" s="617"/>
      <c r="L842" s="617"/>
      <c r="M842" s="617"/>
      <c r="N842" s="617"/>
      <c r="O842" s="617"/>
      <c r="P842" s="617"/>
      <c r="Q842" s="617"/>
      <c r="R842" s="617"/>
      <c r="S842" s="617"/>
      <c r="T842" s="617"/>
      <c r="U842" s="617"/>
      <c r="V842" s="617"/>
      <c r="W842" s="617"/>
      <c r="X842" s="617"/>
      <c r="Y842" s="617"/>
      <c r="Z842" s="617"/>
      <c r="AA842" s="617"/>
      <c r="AB842" s="617"/>
      <c r="AC842" s="617"/>
      <c r="AD842" s="617"/>
      <c r="AE842" s="617"/>
      <c r="AF842" s="617"/>
      <c r="AG842" s="617"/>
      <c r="AH842" s="617"/>
    </row>
    <row r="843" spans="1:34" ht="15" hidden="1">
      <c r="A843" s="617"/>
      <c r="B843" s="617"/>
      <c r="C843" s="617"/>
      <c r="D843" s="617"/>
      <c r="E843" s="617"/>
      <c r="F843" s="617"/>
      <c r="G843" s="617"/>
      <c r="H843" s="617"/>
      <c r="I843" s="617"/>
      <c r="J843" s="617"/>
      <c r="K843" s="617"/>
      <c r="L843" s="617"/>
      <c r="M843" s="617"/>
      <c r="N843" s="617"/>
      <c r="O843" s="617"/>
      <c r="P843" s="617"/>
      <c r="Q843" s="617"/>
      <c r="R843" s="617"/>
      <c r="S843" s="617"/>
      <c r="T843" s="617"/>
      <c r="U843" s="617"/>
      <c r="V843" s="617"/>
      <c r="W843" s="617"/>
      <c r="X843" s="617"/>
      <c r="Y843" s="617"/>
      <c r="Z843" s="617"/>
      <c r="AA843" s="617"/>
      <c r="AB843" s="617"/>
      <c r="AC843" s="617"/>
      <c r="AD843" s="617"/>
      <c r="AE843" s="617"/>
      <c r="AF843" s="617"/>
      <c r="AG843" s="617"/>
      <c r="AH843" s="617"/>
    </row>
    <row r="844" spans="1:34" ht="15" hidden="1">
      <c r="A844" s="617"/>
      <c r="B844" s="617"/>
      <c r="C844" s="617"/>
      <c r="D844" s="617"/>
      <c r="E844" s="617"/>
      <c r="F844" s="617"/>
      <c r="G844" s="617"/>
      <c r="H844" s="617"/>
      <c r="I844" s="617"/>
      <c r="J844" s="617"/>
      <c r="K844" s="617"/>
      <c r="L844" s="617"/>
      <c r="M844" s="617"/>
      <c r="N844" s="617"/>
      <c r="O844" s="617"/>
      <c r="P844" s="617"/>
      <c r="Q844" s="617"/>
      <c r="R844" s="617"/>
      <c r="S844" s="617"/>
      <c r="T844" s="617"/>
      <c r="U844" s="617"/>
      <c r="V844" s="617"/>
      <c r="W844" s="617"/>
      <c r="X844" s="617"/>
      <c r="Y844" s="617"/>
      <c r="Z844" s="617"/>
      <c r="AA844" s="617"/>
      <c r="AB844" s="617"/>
      <c r="AC844" s="617"/>
      <c r="AD844" s="617"/>
      <c r="AE844" s="617"/>
      <c r="AF844" s="617"/>
      <c r="AG844" s="617"/>
      <c r="AH844" s="617"/>
    </row>
    <row r="845" spans="1:34" ht="15" hidden="1">
      <c r="A845" s="617"/>
      <c r="B845" s="617"/>
      <c r="C845" s="617"/>
      <c r="D845" s="617"/>
      <c r="E845" s="617"/>
      <c r="F845" s="617"/>
      <c r="G845" s="617"/>
      <c r="H845" s="617"/>
      <c r="I845" s="617"/>
      <c r="J845" s="617"/>
      <c r="K845" s="617"/>
      <c r="L845" s="617"/>
      <c r="M845" s="617"/>
      <c r="N845" s="617"/>
      <c r="O845" s="617"/>
      <c r="P845" s="617"/>
      <c r="Q845" s="617"/>
      <c r="R845" s="617"/>
      <c r="S845" s="617"/>
      <c r="T845" s="617"/>
      <c r="U845" s="617"/>
      <c r="V845" s="617"/>
      <c r="W845" s="617"/>
      <c r="X845" s="617"/>
      <c r="Y845" s="617"/>
      <c r="Z845" s="617"/>
      <c r="AA845" s="617"/>
      <c r="AB845" s="617"/>
      <c r="AC845" s="617"/>
      <c r="AD845" s="617"/>
      <c r="AE845" s="617"/>
      <c r="AF845" s="617"/>
      <c r="AG845" s="617"/>
      <c r="AH845" s="617"/>
    </row>
    <row r="846" spans="1:34" ht="15" hidden="1">
      <c r="A846" s="617"/>
      <c r="B846" s="617"/>
      <c r="C846" s="617"/>
      <c r="D846" s="617"/>
      <c r="E846" s="617"/>
      <c r="F846" s="617"/>
      <c r="G846" s="617"/>
      <c r="H846" s="617"/>
      <c r="I846" s="617"/>
      <c r="J846" s="617"/>
      <c r="K846" s="617"/>
      <c r="L846" s="617"/>
      <c r="M846" s="617"/>
      <c r="N846" s="617"/>
      <c r="O846" s="617"/>
      <c r="P846" s="617"/>
      <c r="Q846" s="617"/>
      <c r="R846" s="617"/>
      <c r="S846" s="617"/>
      <c r="T846" s="617"/>
      <c r="U846" s="617"/>
      <c r="V846" s="617"/>
      <c r="W846" s="617"/>
      <c r="X846" s="617"/>
      <c r="Y846" s="617"/>
      <c r="Z846" s="617"/>
      <c r="AA846" s="617"/>
      <c r="AB846" s="617"/>
      <c r="AC846" s="617"/>
      <c r="AD846" s="617"/>
      <c r="AE846" s="617"/>
      <c r="AF846" s="617"/>
      <c r="AG846" s="617"/>
      <c r="AH846" s="617"/>
    </row>
    <row r="847" spans="1:34" ht="15" hidden="1">
      <c r="A847" s="617"/>
      <c r="B847" s="617"/>
      <c r="C847" s="617"/>
      <c r="D847" s="617"/>
      <c r="E847" s="617"/>
      <c r="F847" s="617"/>
      <c r="G847" s="617"/>
      <c r="H847" s="617"/>
      <c r="I847" s="617"/>
      <c r="J847" s="617"/>
      <c r="K847" s="617"/>
      <c r="L847" s="617"/>
      <c r="M847" s="617"/>
      <c r="N847" s="617"/>
      <c r="O847" s="617"/>
      <c r="P847" s="617"/>
      <c r="Q847" s="617"/>
      <c r="R847" s="617"/>
      <c r="S847" s="617"/>
      <c r="T847" s="617"/>
      <c r="U847" s="617"/>
      <c r="V847" s="617"/>
      <c r="W847" s="617"/>
      <c r="X847" s="617"/>
      <c r="Y847" s="617"/>
      <c r="Z847" s="617"/>
      <c r="AA847" s="617"/>
      <c r="AB847" s="617"/>
      <c r="AC847" s="617"/>
      <c r="AD847" s="617"/>
      <c r="AE847" s="617"/>
      <c r="AF847" s="617"/>
      <c r="AG847" s="617"/>
      <c r="AH847" s="617"/>
    </row>
    <row r="848" spans="1:34" ht="15" hidden="1">
      <c r="A848" s="617"/>
      <c r="B848" s="617"/>
      <c r="C848" s="617"/>
      <c r="D848" s="617"/>
      <c r="E848" s="617"/>
      <c r="F848" s="617"/>
      <c r="G848" s="617"/>
      <c r="H848" s="617"/>
      <c r="I848" s="617"/>
      <c r="J848" s="617"/>
      <c r="K848" s="617"/>
      <c r="L848" s="617"/>
      <c r="M848" s="617"/>
      <c r="N848" s="617"/>
      <c r="O848" s="617"/>
      <c r="P848" s="617"/>
      <c r="Q848" s="617"/>
      <c r="R848" s="617"/>
      <c r="S848" s="617"/>
      <c r="T848" s="617"/>
      <c r="U848" s="617"/>
      <c r="V848" s="617"/>
      <c r="W848" s="617"/>
      <c r="X848" s="617"/>
      <c r="Y848" s="617"/>
      <c r="Z848" s="617"/>
      <c r="AA848" s="617"/>
      <c r="AB848" s="617"/>
      <c r="AC848" s="617"/>
      <c r="AD848" s="617"/>
      <c r="AE848" s="617"/>
      <c r="AF848" s="617"/>
      <c r="AG848" s="617"/>
      <c r="AH848" s="617"/>
    </row>
    <row r="849" spans="1:34" ht="15" hidden="1">
      <c r="A849" s="617"/>
      <c r="B849" s="617"/>
      <c r="C849" s="617"/>
      <c r="D849" s="617"/>
      <c r="E849" s="617"/>
      <c r="F849" s="617"/>
      <c r="G849" s="617"/>
      <c r="H849" s="617"/>
      <c r="I849" s="617"/>
      <c r="J849" s="617"/>
      <c r="K849" s="617"/>
      <c r="L849" s="617"/>
      <c r="M849" s="617"/>
      <c r="N849" s="617"/>
      <c r="O849" s="617"/>
      <c r="P849" s="617"/>
      <c r="Q849" s="617"/>
      <c r="R849" s="617"/>
      <c r="S849" s="617"/>
      <c r="T849" s="617"/>
      <c r="U849" s="617"/>
      <c r="V849" s="617"/>
      <c r="W849" s="617"/>
      <c r="X849" s="617"/>
      <c r="Y849" s="617"/>
      <c r="Z849" s="617"/>
      <c r="AA849" s="617"/>
      <c r="AB849" s="617"/>
      <c r="AC849" s="617"/>
      <c r="AD849" s="617"/>
      <c r="AE849" s="617"/>
      <c r="AF849" s="617"/>
      <c r="AG849" s="617"/>
      <c r="AH849" s="617"/>
    </row>
    <row r="850" spans="1:34" ht="15" hidden="1">
      <c r="A850" s="617"/>
      <c r="B850" s="617"/>
      <c r="C850" s="617"/>
      <c r="D850" s="617"/>
      <c r="E850" s="617"/>
      <c r="F850" s="617"/>
      <c r="G850" s="617"/>
      <c r="H850" s="617"/>
      <c r="I850" s="617"/>
      <c r="J850" s="617"/>
      <c r="K850" s="617"/>
      <c r="L850" s="617"/>
      <c r="M850" s="617"/>
      <c r="N850" s="617"/>
      <c r="O850" s="617"/>
      <c r="P850" s="617"/>
      <c r="Q850" s="617"/>
      <c r="R850" s="617"/>
      <c r="S850" s="617"/>
      <c r="T850" s="617"/>
      <c r="U850" s="617"/>
      <c r="V850" s="617"/>
      <c r="W850" s="617"/>
      <c r="X850" s="617"/>
      <c r="Y850" s="617"/>
      <c r="Z850" s="617"/>
      <c r="AA850" s="617"/>
      <c r="AB850" s="617"/>
      <c r="AC850" s="617"/>
      <c r="AD850" s="617"/>
      <c r="AE850" s="617"/>
      <c r="AF850" s="617"/>
      <c r="AG850" s="617"/>
      <c r="AH850" s="617"/>
    </row>
    <row r="851" spans="1:34" ht="15" hidden="1">
      <c r="A851" s="617"/>
      <c r="B851" s="617"/>
      <c r="C851" s="617"/>
      <c r="D851" s="617"/>
      <c r="E851" s="617"/>
      <c r="F851" s="617"/>
      <c r="G851" s="617"/>
      <c r="H851" s="617"/>
      <c r="I851" s="617"/>
      <c r="J851" s="617"/>
      <c r="K851" s="617"/>
      <c r="L851" s="617"/>
      <c r="M851" s="617"/>
      <c r="N851" s="617"/>
      <c r="O851" s="617"/>
      <c r="P851" s="617"/>
      <c r="Q851" s="617"/>
      <c r="R851" s="617"/>
      <c r="S851" s="617"/>
      <c r="T851" s="617"/>
      <c r="U851" s="617"/>
      <c r="V851" s="617"/>
      <c r="W851" s="617"/>
      <c r="X851" s="617"/>
      <c r="Y851" s="617"/>
      <c r="Z851" s="617"/>
      <c r="AA851" s="617"/>
      <c r="AB851" s="617"/>
      <c r="AC851" s="617"/>
      <c r="AD851" s="617"/>
      <c r="AE851" s="617"/>
      <c r="AF851" s="617"/>
      <c r="AG851" s="617"/>
      <c r="AH851" s="617"/>
    </row>
    <row r="852" spans="1:34" ht="15" hidden="1">
      <c r="A852" s="617"/>
      <c r="B852" s="617"/>
      <c r="C852" s="617"/>
      <c r="D852" s="617"/>
      <c r="E852" s="617"/>
      <c r="F852" s="617"/>
      <c r="G852" s="617"/>
      <c r="H852" s="617"/>
      <c r="I852" s="617"/>
      <c r="J852" s="617"/>
      <c r="K852" s="617"/>
      <c r="L852" s="617"/>
      <c r="M852" s="617"/>
      <c r="N852" s="617"/>
      <c r="O852" s="617"/>
      <c r="P852" s="617"/>
      <c r="Q852" s="617"/>
      <c r="R852" s="617"/>
      <c r="S852" s="617"/>
      <c r="T852" s="617"/>
      <c r="U852" s="617"/>
      <c r="V852" s="617"/>
      <c r="W852" s="617"/>
      <c r="X852" s="617"/>
      <c r="Y852" s="617"/>
      <c r="Z852" s="617"/>
      <c r="AA852" s="617"/>
      <c r="AB852" s="617"/>
      <c r="AC852" s="617"/>
      <c r="AD852" s="617"/>
      <c r="AE852" s="617"/>
      <c r="AF852" s="617"/>
      <c r="AG852" s="617"/>
      <c r="AH852" s="617"/>
    </row>
    <row r="853" spans="1:34" ht="15" hidden="1">
      <c r="A853" s="617"/>
      <c r="B853" s="617"/>
      <c r="C853" s="617"/>
      <c r="D853" s="617"/>
      <c r="E853" s="617"/>
      <c r="F853" s="617"/>
      <c r="G853" s="617"/>
      <c r="H853" s="617"/>
      <c r="I853" s="617"/>
      <c r="J853" s="617"/>
      <c r="K853" s="617"/>
      <c r="L853" s="617"/>
      <c r="M853" s="617"/>
      <c r="N853" s="617"/>
      <c r="O853" s="617"/>
      <c r="P853" s="617"/>
      <c r="Q853" s="617"/>
      <c r="R853" s="617"/>
      <c r="S853" s="617"/>
      <c r="T853" s="617"/>
      <c r="U853" s="617"/>
      <c r="V853" s="617"/>
      <c r="W853" s="617"/>
      <c r="X853" s="617"/>
      <c r="Y853" s="617"/>
      <c r="Z853" s="617"/>
      <c r="AA853" s="617"/>
      <c r="AB853" s="617"/>
      <c r="AC853" s="617"/>
      <c r="AD853" s="617"/>
      <c r="AE853" s="617"/>
      <c r="AF853" s="617"/>
      <c r="AG853" s="617"/>
      <c r="AH853" s="617"/>
    </row>
    <row r="854" spans="1:34" ht="15" hidden="1">
      <c r="A854" s="617"/>
      <c r="B854" s="617"/>
      <c r="C854" s="617"/>
      <c r="D854" s="617"/>
      <c r="E854" s="617"/>
      <c r="F854" s="617"/>
      <c r="G854" s="617"/>
      <c r="H854" s="617"/>
      <c r="I854" s="617"/>
      <c r="J854" s="617"/>
      <c r="K854" s="617"/>
      <c r="L854" s="617"/>
      <c r="M854" s="617"/>
      <c r="N854" s="617"/>
      <c r="O854" s="617"/>
      <c r="P854" s="617"/>
      <c r="Q854" s="617"/>
      <c r="R854" s="617"/>
      <c r="S854" s="617"/>
      <c r="T854" s="617"/>
      <c r="U854" s="617"/>
      <c r="V854" s="617"/>
      <c r="W854" s="617"/>
      <c r="X854" s="617"/>
      <c r="Y854" s="617"/>
      <c r="Z854" s="617"/>
      <c r="AA854" s="617"/>
      <c r="AB854" s="617"/>
      <c r="AC854" s="617"/>
      <c r="AD854" s="617"/>
      <c r="AE854" s="617"/>
      <c r="AF854" s="617"/>
      <c r="AG854" s="617"/>
      <c r="AH854" s="617"/>
    </row>
    <row r="855" spans="1:34" ht="15" hidden="1">
      <c r="A855" s="617"/>
      <c r="B855" s="617"/>
      <c r="C855" s="617"/>
      <c r="D855" s="617"/>
      <c r="E855" s="617"/>
      <c r="F855" s="617"/>
      <c r="G855" s="617"/>
      <c r="H855" s="617"/>
      <c r="I855" s="617"/>
      <c r="J855" s="617"/>
      <c r="K855" s="617"/>
      <c r="L855" s="617"/>
      <c r="M855" s="617"/>
      <c r="N855" s="617"/>
      <c r="O855" s="617"/>
      <c r="P855" s="617"/>
      <c r="Q855" s="617"/>
      <c r="R855" s="617"/>
      <c r="S855" s="617"/>
      <c r="T855" s="617"/>
      <c r="U855" s="617"/>
      <c r="V855" s="617"/>
      <c r="W855" s="617"/>
      <c r="X855" s="617"/>
      <c r="Y855" s="617"/>
      <c r="Z855" s="617"/>
      <c r="AA855" s="617"/>
      <c r="AB855" s="617"/>
      <c r="AC855" s="617"/>
      <c r="AD855" s="617"/>
      <c r="AE855" s="617"/>
      <c r="AF855" s="617"/>
      <c r="AG855" s="617"/>
      <c r="AH855" s="617"/>
    </row>
    <row r="856" spans="1:34" ht="15" hidden="1">
      <c r="A856" s="617"/>
      <c r="B856" s="617"/>
      <c r="C856" s="617"/>
      <c r="D856" s="617"/>
      <c r="E856" s="617"/>
      <c r="F856" s="617"/>
      <c r="G856" s="617"/>
      <c r="H856" s="617"/>
      <c r="I856" s="617"/>
      <c r="J856" s="617"/>
      <c r="K856" s="617"/>
      <c r="L856" s="617"/>
      <c r="M856" s="617"/>
      <c r="N856" s="617"/>
      <c r="O856" s="617"/>
      <c r="P856" s="617"/>
      <c r="Q856" s="617"/>
      <c r="R856" s="617"/>
      <c r="S856" s="617"/>
      <c r="T856" s="617"/>
      <c r="U856" s="617"/>
      <c r="V856" s="617"/>
      <c r="W856" s="617"/>
      <c r="X856" s="617"/>
      <c r="Y856" s="617"/>
      <c r="Z856" s="617"/>
      <c r="AA856" s="617"/>
      <c r="AB856" s="617"/>
      <c r="AC856" s="617"/>
      <c r="AD856" s="617"/>
      <c r="AE856" s="617"/>
      <c r="AF856" s="617"/>
      <c r="AG856" s="617"/>
      <c r="AH856" s="617"/>
    </row>
    <row r="857" spans="1:34" ht="15" hidden="1">
      <c r="A857" s="617"/>
      <c r="B857" s="617"/>
      <c r="C857" s="617"/>
      <c r="D857" s="617"/>
      <c r="E857" s="617"/>
      <c r="F857" s="617"/>
      <c r="G857" s="617"/>
      <c r="H857" s="617"/>
      <c r="I857" s="617"/>
      <c r="J857" s="617"/>
      <c r="K857" s="617"/>
      <c r="L857" s="617"/>
      <c r="M857" s="617"/>
      <c r="N857" s="617"/>
      <c r="O857" s="617"/>
      <c r="P857" s="617"/>
      <c r="Q857" s="617"/>
      <c r="R857" s="617"/>
      <c r="S857" s="617"/>
      <c r="T857" s="617"/>
      <c r="U857" s="617"/>
      <c r="V857" s="617"/>
      <c r="W857" s="617"/>
      <c r="X857" s="617"/>
      <c r="Y857" s="617"/>
      <c r="Z857" s="617"/>
      <c r="AA857" s="617"/>
      <c r="AB857" s="617"/>
      <c r="AC857" s="617"/>
      <c r="AD857" s="617"/>
      <c r="AE857" s="617"/>
      <c r="AF857" s="617"/>
      <c r="AG857" s="617"/>
      <c r="AH857" s="617"/>
    </row>
    <row r="858" spans="1:34" ht="15" hidden="1">
      <c r="A858" s="617"/>
      <c r="B858" s="617"/>
      <c r="C858" s="617"/>
      <c r="D858" s="617"/>
      <c r="E858" s="617"/>
      <c r="F858" s="617"/>
      <c r="G858" s="617"/>
      <c r="H858" s="617"/>
      <c r="I858" s="617"/>
      <c r="J858" s="617"/>
      <c r="K858" s="617"/>
      <c r="L858" s="617"/>
      <c r="M858" s="617"/>
      <c r="N858" s="617"/>
      <c r="O858" s="617"/>
      <c r="P858" s="617"/>
      <c r="Q858" s="617"/>
      <c r="R858" s="617"/>
      <c r="S858" s="617"/>
      <c r="T858" s="617"/>
      <c r="U858" s="617"/>
      <c r="V858" s="617"/>
      <c r="W858" s="617"/>
      <c r="X858" s="617"/>
      <c r="Y858" s="617"/>
      <c r="Z858" s="617"/>
      <c r="AA858" s="617"/>
      <c r="AB858" s="617"/>
      <c r="AC858" s="617"/>
      <c r="AD858" s="617"/>
      <c r="AE858" s="617"/>
      <c r="AF858" s="617"/>
      <c r="AG858" s="617"/>
      <c r="AH858" s="617"/>
    </row>
    <row r="859" spans="1:34" ht="15" hidden="1">
      <c r="A859" s="617"/>
      <c r="B859" s="617"/>
      <c r="C859" s="617"/>
      <c r="D859" s="617"/>
      <c r="E859" s="617"/>
      <c r="F859" s="617"/>
      <c r="G859" s="617"/>
      <c r="H859" s="617"/>
      <c r="I859" s="617"/>
      <c r="J859" s="617"/>
      <c r="K859" s="617"/>
      <c r="L859" s="617"/>
      <c r="M859" s="617"/>
      <c r="N859" s="617"/>
      <c r="O859" s="617"/>
      <c r="P859" s="617"/>
      <c r="Q859" s="617"/>
      <c r="R859" s="617"/>
      <c r="S859" s="617"/>
      <c r="T859" s="617"/>
      <c r="U859" s="617"/>
      <c r="V859" s="617"/>
      <c r="W859" s="617"/>
      <c r="X859" s="617"/>
      <c r="Y859" s="617"/>
      <c r="Z859" s="617"/>
      <c r="AA859" s="617"/>
      <c r="AB859" s="617"/>
      <c r="AC859" s="617"/>
      <c r="AD859" s="617"/>
      <c r="AE859" s="617"/>
      <c r="AF859" s="617"/>
      <c r="AG859" s="617"/>
      <c r="AH859" s="617"/>
    </row>
    <row r="860" spans="1:34" ht="15" hidden="1">
      <c r="A860" s="617"/>
      <c r="B860" s="617"/>
      <c r="C860" s="617"/>
      <c r="D860" s="617"/>
      <c r="E860" s="617"/>
      <c r="F860" s="617"/>
      <c r="G860" s="617"/>
      <c r="H860" s="617"/>
      <c r="I860" s="617"/>
      <c r="J860" s="617"/>
      <c r="K860" s="617"/>
      <c r="L860" s="617"/>
      <c r="M860" s="617"/>
      <c r="N860" s="617"/>
      <c r="O860" s="617"/>
      <c r="P860" s="617"/>
      <c r="Q860" s="617"/>
      <c r="R860" s="617"/>
      <c r="S860" s="617"/>
      <c r="T860" s="617"/>
      <c r="U860" s="617"/>
      <c r="V860" s="617"/>
      <c r="W860" s="617"/>
      <c r="X860" s="617"/>
      <c r="Y860" s="617"/>
      <c r="Z860" s="617"/>
      <c r="AA860" s="617"/>
      <c r="AB860" s="617"/>
      <c r="AC860" s="617"/>
      <c r="AD860" s="617"/>
      <c r="AE860" s="617"/>
      <c r="AF860" s="617"/>
      <c r="AG860" s="617"/>
      <c r="AH860" s="617"/>
    </row>
    <row r="861" spans="1:34" ht="15" hidden="1">
      <c r="A861" s="617"/>
      <c r="B861" s="617"/>
      <c r="C861" s="617"/>
      <c r="D861" s="617"/>
      <c r="E861" s="617"/>
      <c r="F861" s="617"/>
      <c r="G861" s="617"/>
      <c r="H861" s="617"/>
      <c r="I861" s="617"/>
      <c r="J861" s="617"/>
      <c r="K861" s="617"/>
      <c r="L861" s="617"/>
      <c r="M861" s="617"/>
      <c r="N861" s="617"/>
      <c r="O861" s="617"/>
      <c r="P861" s="617"/>
      <c r="Q861" s="617"/>
      <c r="R861" s="617"/>
      <c r="S861" s="617"/>
      <c r="T861" s="617"/>
      <c r="U861" s="617"/>
      <c r="V861" s="617"/>
      <c r="W861" s="617"/>
      <c r="X861" s="617"/>
      <c r="Y861" s="617"/>
      <c r="Z861" s="617"/>
      <c r="AA861" s="617"/>
      <c r="AB861" s="617"/>
      <c r="AC861" s="617"/>
      <c r="AD861" s="617"/>
      <c r="AE861" s="617"/>
      <c r="AF861" s="617"/>
      <c r="AG861" s="617"/>
      <c r="AH861" s="617"/>
    </row>
    <row r="862" spans="1:34" ht="15" hidden="1">
      <c r="A862" s="617"/>
      <c r="B862" s="617"/>
      <c r="C862" s="617"/>
      <c r="D862" s="617"/>
      <c r="E862" s="617"/>
      <c r="F862" s="617"/>
      <c r="G862" s="617"/>
      <c r="H862" s="617"/>
      <c r="I862" s="617"/>
      <c r="J862" s="617"/>
      <c r="K862" s="617"/>
      <c r="L862" s="617"/>
      <c r="M862" s="617"/>
      <c r="N862" s="617"/>
      <c r="O862" s="617"/>
      <c r="P862" s="617"/>
      <c r="Q862" s="617"/>
      <c r="R862" s="617"/>
      <c r="S862" s="617"/>
      <c r="T862" s="617"/>
      <c r="U862" s="617"/>
      <c r="V862" s="617"/>
      <c r="W862" s="617"/>
      <c r="X862" s="617"/>
      <c r="Y862" s="617"/>
      <c r="Z862" s="617"/>
      <c r="AA862" s="617"/>
      <c r="AB862" s="617"/>
      <c r="AC862" s="617"/>
      <c r="AD862" s="617"/>
      <c r="AE862" s="617"/>
      <c r="AF862" s="617"/>
      <c r="AG862" s="617"/>
      <c r="AH862" s="617"/>
    </row>
    <row r="863" spans="1:34" ht="15" hidden="1">
      <c r="A863" s="617"/>
      <c r="B863" s="617"/>
      <c r="C863" s="617"/>
      <c r="D863" s="617"/>
      <c r="E863" s="617"/>
      <c r="F863" s="617"/>
      <c r="G863" s="617"/>
      <c r="H863" s="617"/>
      <c r="I863" s="617"/>
      <c r="J863" s="617"/>
      <c r="K863" s="617"/>
      <c r="L863" s="617"/>
      <c r="M863" s="617"/>
      <c r="N863" s="617"/>
      <c r="O863" s="617"/>
      <c r="P863" s="617"/>
      <c r="Q863" s="617"/>
      <c r="R863" s="617"/>
      <c r="S863" s="617"/>
      <c r="T863" s="617"/>
      <c r="U863" s="617"/>
      <c r="V863" s="617"/>
      <c r="W863" s="617"/>
      <c r="X863" s="617"/>
      <c r="Y863" s="617"/>
      <c r="Z863" s="617"/>
      <c r="AA863" s="617"/>
      <c r="AB863" s="617"/>
      <c r="AC863" s="617"/>
      <c r="AD863" s="617"/>
      <c r="AE863" s="617"/>
      <c r="AF863" s="617"/>
      <c r="AG863" s="617"/>
      <c r="AH863" s="617"/>
    </row>
    <row r="864" spans="1:34" ht="15" hidden="1">
      <c r="A864" s="617"/>
      <c r="B864" s="617"/>
      <c r="C864" s="617"/>
      <c r="D864" s="617"/>
      <c r="E864" s="617"/>
      <c r="F864" s="617"/>
      <c r="G864" s="617"/>
      <c r="H864" s="617"/>
      <c r="I864" s="617"/>
      <c r="J864" s="617"/>
      <c r="K864" s="617"/>
      <c r="L864" s="617"/>
      <c r="M864" s="617"/>
      <c r="N864" s="617"/>
      <c r="O864" s="617"/>
      <c r="P864" s="617"/>
      <c r="Q864" s="617"/>
      <c r="R864" s="617"/>
      <c r="S864" s="617"/>
      <c r="T864" s="617"/>
      <c r="U864" s="617"/>
      <c r="V864" s="617"/>
      <c r="W864" s="617"/>
      <c r="X864" s="617"/>
      <c r="Y864" s="617"/>
      <c r="Z864" s="617"/>
      <c r="AA864" s="617"/>
      <c r="AB864" s="617"/>
      <c r="AC864" s="617"/>
      <c r="AD864" s="617"/>
      <c r="AE864" s="617"/>
      <c r="AF864" s="617"/>
      <c r="AG864" s="617"/>
      <c r="AH864" s="617"/>
    </row>
    <row r="865" spans="1:34" ht="15" hidden="1">
      <c r="A865" s="617"/>
      <c r="B865" s="617"/>
      <c r="C865" s="617"/>
      <c r="D865" s="617"/>
      <c r="E865" s="617"/>
      <c r="F865" s="617"/>
      <c r="G865" s="617"/>
      <c r="H865" s="617"/>
      <c r="I865" s="617"/>
      <c r="J865" s="617"/>
      <c r="K865" s="617"/>
      <c r="L865" s="617"/>
      <c r="M865" s="617"/>
      <c r="N865" s="617"/>
      <c r="O865" s="617"/>
      <c r="P865" s="617"/>
      <c r="Q865" s="617"/>
      <c r="R865" s="617"/>
      <c r="S865" s="617"/>
      <c r="T865" s="617"/>
      <c r="U865" s="617"/>
      <c r="V865" s="617"/>
      <c r="W865" s="617"/>
      <c r="X865" s="617"/>
      <c r="Y865" s="617"/>
      <c r="Z865" s="617"/>
      <c r="AA865" s="617"/>
      <c r="AB865" s="617"/>
      <c r="AC865" s="617"/>
      <c r="AD865" s="617"/>
      <c r="AE865" s="617"/>
      <c r="AF865" s="617"/>
      <c r="AG865" s="617"/>
      <c r="AH865" s="617"/>
    </row>
    <row r="866" spans="1:34" ht="15" hidden="1">
      <c r="A866" s="617"/>
      <c r="B866" s="617"/>
      <c r="C866" s="617"/>
      <c r="D866" s="617"/>
      <c r="E866" s="617"/>
      <c r="F866" s="617"/>
      <c r="G866" s="617"/>
      <c r="H866" s="617"/>
      <c r="I866" s="617"/>
      <c r="J866" s="617"/>
      <c r="K866" s="617"/>
      <c r="L866" s="617"/>
      <c r="M866" s="617"/>
      <c r="N866" s="617"/>
      <c r="O866" s="617"/>
      <c r="P866" s="617"/>
      <c r="Q866" s="617"/>
      <c r="R866" s="617"/>
      <c r="S866" s="617"/>
      <c r="T866" s="617"/>
      <c r="U866" s="617"/>
      <c r="V866" s="617"/>
      <c r="W866" s="617"/>
      <c r="X866" s="617"/>
      <c r="Y866" s="617"/>
      <c r="Z866" s="617"/>
      <c r="AA866" s="617"/>
      <c r="AB866" s="617"/>
      <c r="AC866" s="617"/>
      <c r="AD866" s="617"/>
      <c r="AE866" s="617"/>
      <c r="AF866" s="617"/>
      <c r="AG866" s="617"/>
      <c r="AH866" s="617"/>
    </row>
    <row r="867" spans="1:34" ht="15" hidden="1">
      <c r="A867" s="617"/>
      <c r="B867" s="617"/>
      <c r="C867" s="617"/>
      <c r="D867" s="617"/>
      <c r="E867" s="617"/>
      <c r="F867" s="617"/>
      <c r="G867" s="617"/>
      <c r="H867" s="617"/>
      <c r="I867" s="617"/>
      <c r="J867" s="617"/>
      <c r="K867" s="617"/>
      <c r="L867" s="617"/>
      <c r="M867" s="617"/>
      <c r="N867" s="617"/>
      <c r="O867" s="617"/>
      <c r="P867" s="617"/>
      <c r="Q867" s="617"/>
      <c r="R867" s="617"/>
      <c r="S867" s="617"/>
      <c r="T867" s="617"/>
      <c r="U867" s="617"/>
      <c r="V867" s="617"/>
      <c r="W867" s="617"/>
      <c r="X867" s="617"/>
      <c r="Y867" s="617"/>
      <c r="Z867" s="617"/>
      <c r="AA867" s="617"/>
      <c r="AB867" s="617"/>
      <c r="AC867" s="617"/>
      <c r="AD867" s="617"/>
      <c r="AE867" s="617"/>
      <c r="AF867" s="617"/>
      <c r="AG867" s="617"/>
      <c r="AH867" s="617"/>
    </row>
    <row r="868" spans="1:34" ht="15" hidden="1">
      <c r="A868" s="617"/>
      <c r="B868" s="617"/>
      <c r="C868" s="617"/>
      <c r="D868" s="617"/>
      <c r="E868" s="617"/>
      <c r="F868" s="617"/>
      <c r="G868" s="617"/>
      <c r="H868" s="617"/>
      <c r="I868" s="617"/>
      <c r="J868" s="617"/>
      <c r="K868" s="617"/>
      <c r="L868" s="617"/>
      <c r="M868" s="617"/>
      <c r="N868" s="617"/>
      <c r="O868" s="617"/>
      <c r="P868" s="617"/>
      <c r="Q868" s="617"/>
      <c r="R868" s="617"/>
      <c r="S868" s="617"/>
      <c r="T868" s="617"/>
      <c r="U868" s="617"/>
      <c r="V868" s="617"/>
      <c r="W868" s="617"/>
      <c r="X868" s="617"/>
      <c r="Y868" s="617"/>
      <c r="Z868" s="617"/>
      <c r="AA868" s="617"/>
      <c r="AB868" s="617"/>
      <c r="AC868" s="617"/>
      <c r="AD868" s="617"/>
      <c r="AE868" s="617"/>
      <c r="AF868" s="617"/>
      <c r="AG868" s="617"/>
      <c r="AH868" s="617"/>
    </row>
    <row r="869" spans="1:34" ht="15" hidden="1">
      <c r="A869" s="617"/>
      <c r="B869" s="617"/>
      <c r="C869" s="617"/>
      <c r="D869" s="617"/>
      <c r="E869" s="617"/>
      <c r="F869" s="617"/>
      <c r="G869" s="617"/>
      <c r="H869" s="617"/>
      <c r="I869" s="617"/>
      <c r="J869" s="617"/>
      <c r="K869" s="617"/>
      <c r="L869" s="617"/>
      <c r="M869" s="617"/>
      <c r="N869" s="617"/>
      <c r="O869" s="617"/>
      <c r="P869" s="617"/>
      <c r="Q869" s="617"/>
      <c r="R869" s="617"/>
      <c r="S869" s="617"/>
      <c r="T869" s="617"/>
      <c r="U869" s="617"/>
      <c r="V869" s="617"/>
      <c r="W869" s="617"/>
      <c r="X869" s="617"/>
      <c r="Y869" s="617"/>
      <c r="Z869" s="617"/>
      <c r="AA869" s="617"/>
      <c r="AB869" s="617"/>
      <c r="AC869" s="617"/>
      <c r="AD869" s="617"/>
      <c r="AE869" s="617"/>
      <c r="AF869" s="617"/>
      <c r="AG869" s="617"/>
      <c r="AH869" s="617"/>
    </row>
    <row r="870" spans="1:34" ht="15" hidden="1">
      <c r="A870" s="617"/>
      <c r="B870" s="617"/>
      <c r="C870" s="617"/>
      <c r="D870" s="617"/>
      <c r="E870" s="617"/>
      <c r="F870" s="617"/>
      <c r="G870" s="617"/>
      <c r="H870" s="617"/>
      <c r="I870" s="617"/>
      <c r="J870" s="617"/>
      <c r="K870" s="617"/>
      <c r="L870" s="617"/>
      <c r="M870" s="617"/>
      <c r="N870" s="617"/>
      <c r="O870" s="617"/>
      <c r="P870" s="617"/>
      <c r="Q870" s="617"/>
      <c r="R870" s="617"/>
      <c r="S870" s="617"/>
      <c r="T870" s="617"/>
      <c r="U870" s="617"/>
      <c r="V870" s="617"/>
      <c r="W870" s="617"/>
      <c r="X870" s="617"/>
      <c r="Y870" s="617"/>
      <c r="Z870" s="617"/>
      <c r="AA870" s="617"/>
      <c r="AB870" s="617"/>
      <c r="AC870" s="617"/>
      <c r="AD870" s="617"/>
      <c r="AE870" s="617"/>
      <c r="AF870" s="617"/>
      <c r="AG870" s="617"/>
      <c r="AH870" s="617"/>
    </row>
    <row r="871" spans="1:34" ht="15" hidden="1">
      <c r="A871" s="617"/>
      <c r="B871" s="617"/>
      <c r="C871" s="617"/>
      <c r="D871" s="617"/>
      <c r="E871" s="617"/>
      <c r="F871" s="617"/>
      <c r="G871" s="617"/>
      <c r="H871" s="617"/>
      <c r="I871" s="617"/>
      <c r="J871" s="617"/>
      <c r="K871" s="617"/>
      <c r="L871" s="617"/>
      <c r="M871" s="617"/>
      <c r="N871" s="617"/>
      <c r="O871" s="617"/>
      <c r="P871" s="617"/>
      <c r="Q871" s="617"/>
      <c r="R871" s="617"/>
      <c r="S871" s="617"/>
      <c r="T871" s="617"/>
      <c r="U871" s="617"/>
      <c r="V871" s="617"/>
      <c r="W871" s="617"/>
      <c r="X871" s="617"/>
      <c r="Y871" s="617"/>
      <c r="Z871" s="617"/>
      <c r="AA871" s="617"/>
      <c r="AB871" s="617"/>
      <c r="AC871" s="617"/>
      <c r="AD871" s="617"/>
      <c r="AE871" s="617"/>
      <c r="AF871" s="617"/>
      <c r="AG871" s="617"/>
      <c r="AH871" s="617"/>
    </row>
    <row r="872" spans="1:34" ht="15" hidden="1">
      <c r="A872" s="617"/>
      <c r="B872" s="617"/>
      <c r="C872" s="617"/>
      <c r="D872" s="617"/>
      <c r="E872" s="617"/>
      <c r="F872" s="617"/>
      <c r="G872" s="617"/>
      <c r="H872" s="617"/>
      <c r="I872" s="617"/>
      <c r="J872" s="617"/>
      <c r="K872" s="617"/>
      <c r="L872" s="617"/>
      <c r="M872" s="617"/>
      <c r="N872" s="617"/>
      <c r="O872" s="617"/>
      <c r="P872" s="617"/>
      <c r="Q872" s="617"/>
      <c r="R872" s="617"/>
      <c r="S872" s="617"/>
      <c r="T872" s="617"/>
      <c r="U872" s="617"/>
      <c r="V872" s="617"/>
      <c r="W872" s="617"/>
      <c r="X872" s="617"/>
      <c r="Y872" s="617"/>
      <c r="Z872" s="617"/>
      <c r="AA872" s="617"/>
      <c r="AB872" s="617"/>
      <c r="AC872" s="617"/>
      <c r="AD872" s="617"/>
      <c r="AE872" s="617"/>
      <c r="AF872" s="617"/>
      <c r="AG872" s="617"/>
      <c r="AH872" s="617"/>
    </row>
    <row r="873" spans="1:34" ht="15" hidden="1">
      <c r="A873" s="617"/>
      <c r="B873" s="617"/>
      <c r="C873" s="617"/>
      <c r="D873" s="617"/>
      <c r="E873" s="617"/>
      <c r="F873" s="617"/>
      <c r="G873" s="617"/>
      <c r="H873" s="617"/>
      <c r="I873" s="617"/>
      <c r="J873" s="617"/>
      <c r="K873" s="617"/>
      <c r="L873" s="617"/>
      <c r="M873" s="617"/>
      <c r="N873" s="617"/>
      <c r="O873" s="617"/>
      <c r="P873" s="617"/>
      <c r="Q873" s="617"/>
      <c r="R873" s="617"/>
      <c r="S873" s="617"/>
      <c r="T873" s="617"/>
      <c r="U873" s="617"/>
      <c r="V873" s="617"/>
      <c r="W873" s="617"/>
      <c r="X873" s="617"/>
      <c r="Y873" s="617"/>
      <c r="Z873" s="617"/>
      <c r="AA873" s="617"/>
      <c r="AB873" s="617"/>
      <c r="AC873" s="617"/>
      <c r="AD873" s="617"/>
      <c r="AE873" s="617"/>
      <c r="AF873" s="617"/>
      <c r="AG873" s="617"/>
      <c r="AH873" s="617"/>
    </row>
    <row r="874" spans="1:34" ht="15" hidden="1">
      <c r="A874" s="617"/>
      <c r="B874" s="617"/>
      <c r="C874" s="617"/>
      <c r="D874" s="617"/>
      <c r="E874" s="617"/>
      <c r="F874" s="617"/>
      <c r="G874" s="617"/>
      <c r="H874" s="617"/>
      <c r="I874" s="617"/>
      <c r="J874" s="617"/>
      <c r="K874" s="617"/>
      <c r="L874" s="617"/>
      <c r="M874" s="617"/>
      <c r="N874" s="617"/>
      <c r="O874" s="617"/>
      <c r="P874" s="617"/>
      <c r="Q874" s="617"/>
      <c r="R874" s="617"/>
      <c r="S874" s="617"/>
      <c r="T874" s="617"/>
      <c r="U874" s="617"/>
      <c r="V874" s="617"/>
      <c r="W874" s="617"/>
      <c r="X874" s="617"/>
      <c r="Y874" s="617"/>
      <c r="Z874" s="617"/>
      <c r="AA874" s="617"/>
      <c r="AB874" s="617"/>
      <c r="AC874" s="617"/>
      <c r="AD874" s="617"/>
      <c r="AE874" s="617"/>
      <c r="AF874" s="617"/>
      <c r="AG874" s="617"/>
      <c r="AH874" s="617"/>
    </row>
    <row r="875" spans="1:34" ht="15" hidden="1">
      <c r="A875" s="617"/>
      <c r="B875" s="617"/>
      <c r="C875" s="617"/>
      <c r="D875" s="617"/>
      <c r="E875" s="617"/>
      <c r="F875" s="617"/>
      <c r="G875" s="617"/>
      <c r="H875" s="617"/>
      <c r="I875" s="617"/>
      <c r="J875" s="617"/>
      <c r="K875" s="617"/>
      <c r="L875" s="617"/>
      <c r="M875" s="617"/>
      <c r="N875" s="617"/>
      <c r="O875" s="617"/>
      <c r="P875" s="617"/>
      <c r="Q875" s="617"/>
      <c r="R875" s="617"/>
      <c r="S875" s="617"/>
      <c r="T875" s="617"/>
      <c r="U875" s="617"/>
      <c r="V875" s="617"/>
      <c r="W875" s="617"/>
      <c r="X875" s="617"/>
      <c r="Y875" s="617"/>
      <c r="Z875" s="617"/>
      <c r="AA875" s="617"/>
      <c r="AB875" s="617"/>
      <c r="AC875" s="617"/>
      <c r="AD875" s="617"/>
      <c r="AE875" s="617"/>
      <c r="AF875" s="617"/>
      <c r="AG875" s="617"/>
      <c r="AH875" s="617"/>
    </row>
    <row r="876" spans="1:34" ht="15" hidden="1">
      <c r="A876" s="617"/>
      <c r="B876" s="617"/>
      <c r="C876" s="617"/>
      <c r="D876" s="617"/>
      <c r="E876" s="617"/>
      <c r="F876" s="617"/>
      <c r="G876" s="617"/>
      <c r="H876" s="617"/>
      <c r="I876" s="617"/>
      <c r="J876" s="617"/>
      <c r="K876" s="617"/>
      <c r="L876" s="617"/>
      <c r="M876" s="617"/>
      <c r="N876" s="617"/>
      <c r="O876" s="617"/>
      <c r="P876" s="617"/>
      <c r="Q876" s="617"/>
      <c r="R876" s="617"/>
      <c r="S876" s="617"/>
      <c r="T876" s="617"/>
      <c r="U876" s="617"/>
      <c r="V876" s="617"/>
      <c r="W876" s="617"/>
      <c r="X876" s="617"/>
      <c r="Y876" s="617"/>
      <c r="Z876" s="617"/>
      <c r="AA876" s="617"/>
      <c r="AB876" s="617"/>
      <c r="AC876" s="617"/>
      <c r="AD876" s="617"/>
      <c r="AE876" s="617"/>
      <c r="AF876" s="617"/>
      <c r="AG876" s="617"/>
      <c r="AH876" s="617"/>
    </row>
    <row r="877" spans="1:34" ht="15" hidden="1">
      <c r="A877" s="617"/>
      <c r="B877" s="617"/>
      <c r="C877" s="617"/>
      <c r="D877" s="617"/>
      <c r="E877" s="617"/>
      <c r="F877" s="617"/>
      <c r="G877" s="617"/>
      <c r="H877" s="617"/>
      <c r="I877" s="617"/>
      <c r="J877" s="617"/>
      <c r="K877" s="617"/>
      <c r="L877" s="617"/>
      <c r="M877" s="617"/>
      <c r="N877" s="617"/>
      <c r="O877" s="617"/>
      <c r="P877" s="617"/>
      <c r="Q877" s="617"/>
      <c r="R877" s="617"/>
      <c r="S877" s="617"/>
      <c r="T877" s="617"/>
      <c r="U877" s="617"/>
      <c r="V877" s="617"/>
      <c r="W877" s="617"/>
      <c r="X877" s="617"/>
      <c r="Y877" s="617"/>
      <c r="Z877" s="617"/>
      <c r="AA877" s="617"/>
      <c r="AB877" s="617"/>
      <c r="AC877" s="617"/>
      <c r="AD877" s="617"/>
      <c r="AE877" s="617"/>
      <c r="AF877" s="617"/>
      <c r="AG877" s="617"/>
      <c r="AH877" s="617"/>
    </row>
    <row r="878" spans="1:34" ht="15" hidden="1">
      <c r="A878" s="617"/>
      <c r="B878" s="617"/>
      <c r="C878" s="617"/>
      <c r="D878" s="617"/>
      <c r="E878" s="617"/>
      <c r="F878" s="617"/>
      <c r="G878" s="617"/>
      <c r="H878" s="617"/>
      <c r="I878" s="617"/>
      <c r="J878" s="617"/>
      <c r="K878" s="617"/>
      <c r="L878" s="617"/>
      <c r="M878" s="617"/>
      <c r="N878" s="617"/>
      <c r="O878" s="617"/>
      <c r="P878" s="617"/>
      <c r="Q878" s="617"/>
      <c r="R878" s="617"/>
      <c r="S878" s="617"/>
      <c r="T878" s="617"/>
      <c r="U878" s="617"/>
      <c r="V878" s="617"/>
      <c r="W878" s="617"/>
      <c r="X878" s="617"/>
      <c r="Y878" s="617"/>
      <c r="Z878" s="617"/>
      <c r="AA878" s="617"/>
      <c r="AB878" s="617"/>
      <c r="AC878" s="617"/>
      <c r="AD878" s="617"/>
      <c r="AE878" s="617"/>
      <c r="AF878" s="617"/>
      <c r="AG878" s="617"/>
      <c r="AH878" s="617"/>
    </row>
    <row r="879" spans="1:34" ht="15" hidden="1">
      <c r="A879" s="617"/>
      <c r="B879" s="617"/>
      <c r="C879" s="617"/>
      <c r="D879" s="617"/>
      <c r="E879" s="617"/>
      <c r="F879" s="617"/>
      <c r="G879" s="617"/>
      <c r="H879" s="617"/>
      <c r="I879" s="617"/>
      <c r="J879" s="617"/>
      <c r="K879" s="617"/>
      <c r="L879" s="617"/>
      <c r="M879" s="617"/>
      <c r="N879" s="617"/>
      <c r="O879" s="617"/>
      <c r="P879" s="617"/>
      <c r="Q879" s="617"/>
      <c r="R879" s="617"/>
      <c r="S879" s="617"/>
      <c r="T879" s="617"/>
      <c r="U879" s="617"/>
      <c r="V879" s="617"/>
      <c r="W879" s="617"/>
      <c r="X879" s="617"/>
      <c r="Y879" s="617"/>
      <c r="Z879" s="617"/>
      <c r="AA879" s="617"/>
      <c r="AB879" s="617"/>
      <c r="AC879" s="617"/>
      <c r="AD879" s="617"/>
      <c r="AE879" s="617"/>
      <c r="AF879" s="617"/>
      <c r="AG879" s="617"/>
      <c r="AH879" s="617"/>
    </row>
    <row r="880" spans="1:34" ht="15" hidden="1">
      <c r="A880" s="617"/>
      <c r="B880" s="617"/>
      <c r="C880" s="617"/>
      <c r="D880" s="617"/>
      <c r="E880" s="617"/>
      <c r="F880" s="617"/>
      <c r="G880" s="617"/>
      <c r="H880" s="617"/>
      <c r="I880" s="617"/>
      <c r="J880" s="617"/>
      <c r="K880" s="617"/>
      <c r="L880" s="617"/>
      <c r="M880" s="617"/>
      <c r="N880" s="617"/>
      <c r="O880" s="617"/>
      <c r="P880" s="617"/>
      <c r="Q880" s="617"/>
      <c r="R880" s="617"/>
      <c r="S880" s="617"/>
      <c r="T880" s="617"/>
      <c r="U880" s="617"/>
      <c r="V880" s="617"/>
      <c r="W880" s="617"/>
      <c r="X880" s="617"/>
      <c r="Y880" s="617"/>
      <c r="Z880" s="617"/>
      <c r="AA880" s="617"/>
      <c r="AB880" s="617"/>
      <c r="AC880" s="617"/>
      <c r="AD880" s="617"/>
      <c r="AE880" s="617"/>
      <c r="AF880" s="617"/>
      <c r="AG880" s="617"/>
      <c r="AH880" s="617"/>
    </row>
    <row r="881" spans="1:34" ht="15" hidden="1">
      <c r="A881" s="617"/>
      <c r="B881" s="617"/>
      <c r="C881" s="617"/>
      <c r="D881" s="617"/>
      <c r="E881" s="617"/>
      <c r="F881" s="617"/>
      <c r="G881" s="617"/>
      <c r="H881" s="617"/>
      <c r="I881" s="617"/>
      <c r="J881" s="617"/>
      <c r="K881" s="617"/>
      <c r="L881" s="617"/>
      <c r="M881" s="617"/>
      <c r="N881" s="617"/>
      <c r="O881" s="617"/>
      <c r="P881" s="617"/>
      <c r="Q881" s="617"/>
      <c r="R881" s="617"/>
      <c r="S881" s="617"/>
      <c r="T881" s="617"/>
      <c r="U881" s="617"/>
      <c r="V881" s="617"/>
      <c r="W881" s="617"/>
      <c r="X881" s="617"/>
      <c r="Y881" s="617"/>
      <c r="Z881" s="617"/>
      <c r="AA881" s="617"/>
      <c r="AB881" s="617"/>
      <c r="AC881" s="617"/>
      <c r="AD881" s="617"/>
      <c r="AE881" s="617"/>
      <c r="AF881" s="617"/>
      <c r="AG881" s="617"/>
      <c r="AH881" s="617"/>
    </row>
    <row r="882" spans="1:34" ht="15" hidden="1">
      <c r="A882" s="617"/>
      <c r="B882" s="617"/>
      <c r="C882" s="617"/>
      <c r="D882" s="617"/>
      <c r="E882" s="617"/>
      <c r="F882" s="617"/>
      <c r="G882" s="617"/>
      <c r="H882" s="617"/>
      <c r="I882" s="617"/>
      <c r="J882" s="617"/>
      <c r="K882" s="617"/>
      <c r="L882" s="617"/>
      <c r="M882" s="617"/>
      <c r="N882" s="617"/>
      <c r="O882" s="617"/>
      <c r="P882" s="617"/>
      <c r="Q882" s="617"/>
      <c r="R882" s="617"/>
      <c r="S882" s="617"/>
      <c r="T882" s="617"/>
      <c r="U882" s="617"/>
      <c r="V882" s="617"/>
      <c r="W882" s="617"/>
      <c r="X882" s="617"/>
      <c r="Y882" s="617"/>
      <c r="Z882" s="617"/>
      <c r="AA882" s="617"/>
      <c r="AB882" s="617"/>
      <c r="AC882" s="617"/>
      <c r="AD882" s="617"/>
      <c r="AE882" s="617"/>
      <c r="AF882" s="617"/>
      <c r="AG882" s="617"/>
      <c r="AH882" s="617"/>
    </row>
    <row r="883" spans="1:34" ht="15" hidden="1">
      <c r="A883" s="617"/>
      <c r="B883" s="617"/>
      <c r="C883" s="617"/>
      <c r="D883" s="617"/>
      <c r="E883" s="617"/>
      <c r="F883" s="617"/>
      <c r="G883" s="617"/>
      <c r="H883" s="617"/>
      <c r="I883" s="617"/>
      <c r="J883" s="617"/>
      <c r="K883" s="617"/>
      <c r="L883" s="617"/>
      <c r="M883" s="617"/>
      <c r="N883" s="617"/>
      <c r="O883" s="617"/>
      <c r="P883" s="617"/>
      <c r="Q883" s="617"/>
      <c r="R883" s="617"/>
      <c r="S883" s="617"/>
      <c r="T883" s="617"/>
      <c r="U883" s="617"/>
      <c r="V883" s="617"/>
      <c r="W883" s="617"/>
      <c r="X883" s="617"/>
      <c r="Y883" s="617"/>
      <c r="Z883" s="617"/>
      <c r="AA883" s="617"/>
      <c r="AB883" s="617"/>
      <c r="AC883" s="617"/>
      <c r="AD883" s="617"/>
      <c r="AE883" s="617"/>
      <c r="AF883" s="617"/>
      <c r="AG883" s="617"/>
      <c r="AH883" s="617"/>
    </row>
    <row r="884" spans="1:34" ht="15" hidden="1">
      <c r="A884" s="617"/>
      <c r="B884" s="617"/>
      <c r="C884" s="617"/>
      <c r="D884" s="617"/>
      <c r="E884" s="617"/>
      <c r="F884" s="617"/>
      <c r="G884" s="617"/>
      <c r="H884" s="617"/>
      <c r="I884" s="617"/>
      <c r="J884" s="617"/>
      <c r="K884" s="617"/>
      <c r="L884" s="617"/>
      <c r="M884" s="617"/>
      <c r="N884" s="617"/>
      <c r="O884" s="617"/>
      <c r="P884" s="617"/>
      <c r="Q884" s="617"/>
      <c r="R884" s="617"/>
      <c r="S884" s="617"/>
      <c r="T884" s="617"/>
      <c r="U884" s="617"/>
      <c r="V884" s="617"/>
      <c r="W884" s="617"/>
      <c r="X884" s="617"/>
      <c r="Y884" s="617"/>
      <c r="Z884" s="617"/>
      <c r="AA884" s="617"/>
      <c r="AB884" s="617"/>
      <c r="AC884" s="617"/>
      <c r="AD884" s="617"/>
      <c r="AE884" s="617"/>
      <c r="AF884" s="617"/>
      <c r="AG884" s="617"/>
      <c r="AH884" s="617"/>
    </row>
    <row r="885" spans="1:34" ht="15" hidden="1">
      <c r="A885" s="617"/>
      <c r="B885" s="617"/>
      <c r="C885" s="617"/>
      <c r="D885" s="617"/>
      <c r="E885" s="617"/>
      <c r="F885" s="617"/>
      <c r="G885" s="617"/>
      <c r="H885" s="617"/>
      <c r="I885" s="617"/>
      <c r="J885" s="617"/>
      <c r="K885" s="617"/>
      <c r="L885" s="617"/>
      <c r="M885" s="617"/>
      <c r="N885" s="617"/>
      <c r="O885" s="617"/>
      <c r="P885" s="617"/>
      <c r="Q885" s="617"/>
      <c r="R885" s="617"/>
      <c r="S885" s="617"/>
      <c r="T885" s="617"/>
      <c r="U885" s="617"/>
      <c r="V885" s="617"/>
      <c r="W885" s="617"/>
      <c r="X885" s="617"/>
      <c r="Y885" s="617"/>
      <c r="Z885" s="617"/>
      <c r="AA885" s="617"/>
      <c r="AB885" s="617"/>
      <c r="AC885" s="617"/>
      <c r="AD885" s="617"/>
      <c r="AE885" s="617"/>
      <c r="AF885" s="617"/>
      <c r="AG885" s="617"/>
      <c r="AH885" s="617"/>
    </row>
    <row r="886" spans="1:34" ht="15" hidden="1">
      <c r="A886" s="617"/>
      <c r="B886" s="617"/>
      <c r="C886" s="617"/>
      <c r="D886" s="617"/>
      <c r="E886" s="617"/>
      <c r="F886" s="617"/>
      <c r="G886" s="617"/>
      <c r="H886" s="617"/>
      <c r="I886" s="617"/>
      <c r="J886" s="617"/>
      <c r="K886" s="617"/>
      <c r="L886" s="617"/>
      <c r="M886" s="617"/>
      <c r="N886" s="617"/>
      <c r="O886" s="617"/>
      <c r="P886" s="617"/>
      <c r="Q886" s="617"/>
      <c r="R886" s="617"/>
      <c r="S886" s="617"/>
      <c r="T886" s="617"/>
      <c r="U886" s="617"/>
      <c r="V886" s="617"/>
      <c r="W886" s="617"/>
      <c r="X886" s="617"/>
      <c r="Y886" s="617"/>
      <c r="Z886" s="617"/>
      <c r="AA886" s="617"/>
      <c r="AB886" s="617"/>
      <c r="AC886" s="617"/>
      <c r="AD886" s="617"/>
      <c r="AE886" s="617"/>
      <c r="AF886" s="617"/>
      <c r="AG886" s="617"/>
      <c r="AH886" s="617"/>
    </row>
    <row r="887" spans="1:34" ht="15" hidden="1">
      <c r="A887" s="617"/>
      <c r="B887" s="617"/>
      <c r="C887" s="617"/>
      <c r="D887" s="617"/>
      <c r="E887" s="617"/>
      <c r="F887" s="617"/>
      <c r="G887" s="617"/>
      <c r="H887" s="617"/>
      <c r="I887" s="617"/>
      <c r="J887" s="617"/>
      <c r="K887" s="617"/>
      <c r="L887" s="617"/>
      <c r="M887" s="617"/>
      <c r="N887" s="617"/>
      <c r="O887" s="617"/>
      <c r="P887" s="617"/>
      <c r="Q887" s="617"/>
      <c r="R887" s="617"/>
      <c r="S887" s="617"/>
      <c r="T887" s="617"/>
      <c r="U887" s="617"/>
      <c r="V887" s="617"/>
      <c r="W887" s="617"/>
      <c r="X887" s="617"/>
      <c r="Y887" s="617"/>
      <c r="Z887" s="617"/>
      <c r="AA887" s="617"/>
      <c r="AB887" s="617"/>
      <c r="AC887" s="617"/>
      <c r="AD887" s="617"/>
      <c r="AE887" s="617"/>
      <c r="AF887" s="617"/>
      <c r="AG887" s="617"/>
      <c r="AH887" s="617"/>
    </row>
    <row r="888" spans="1:34" ht="15" hidden="1">
      <c r="A888" s="617"/>
      <c r="B888" s="617"/>
      <c r="C888" s="617"/>
      <c r="D888" s="617"/>
      <c r="E888" s="617"/>
      <c r="F888" s="617"/>
      <c r="G888" s="617"/>
      <c r="H888" s="617"/>
      <c r="I888" s="617"/>
      <c r="J888" s="617"/>
      <c r="K888" s="617"/>
      <c r="L888" s="617"/>
      <c r="M888" s="617"/>
      <c r="N888" s="617"/>
      <c r="O888" s="617"/>
      <c r="P888" s="617"/>
      <c r="Q888" s="617"/>
      <c r="R888" s="617"/>
      <c r="S888" s="617"/>
      <c r="T888" s="617"/>
      <c r="U888" s="617"/>
      <c r="V888" s="617"/>
      <c r="W888" s="617"/>
      <c r="X888" s="617"/>
      <c r="Y888" s="617"/>
      <c r="Z888" s="617"/>
      <c r="AA888" s="617"/>
      <c r="AB888" s="617"/>
      <c r="AC888" s="617"/>
      <c r="AD888" s="617"/>
      <c r="AE888" s="617"/>
      <c r="AF888" s="617"/>
      <c r="AG888" s="617"/>
      <c r="AH888" s="617"/>
    </row>
    <row r="889" spans="1:34" ht="15" hidden="1">
      <c r="A889" s="617"/>
      <c r="B889" s="617"/>
      <c r="C889" s="617"/>
      <c r="D889" s="617"/>
      <c r="E889" s="617"/>
      <c r="F889" s="617"/>
      <c r="G889" s="617"/>
      <c r="H889" s="617"/>
      <c r="I889" s="617"/>
      <c r="J889" s="617"/>
      <c r="K889" s="617"/>
      <c r="L889" s="617"/>
      <c r="M889" s="617"/>
      <c r="N889" s="617"/>
      <c r="O889" s="617"/>
      <c r="P889" s="617"/>
      <c r="Q889" s="617"/>
      <c r="R889" s="617"/>
      <c r="S889" s="617"/>
      <c r="T889" s="617"/>
      <c r="U889" s="617"/>
      <c r="V889" s="617"/>
      <c r="W889" s="617"/>
      <c r="X889" s="617"/>
      <c r="Y889" s="617"/>
      <c r="Z889" s="617"/>
      <c r="AA889" s="617"/>
      <c r="AB889" s="617"/>
      <c r="AC889" s="617"/>
      <c r="AD889" s="617"/>
      <c r="AE889" s="617"/>
      <c r="AF889" s="617"/>
      <c r="AG889" s="617"/>
      <c r="AH889" s="617"/>
    </row>
    <row r="890" spans="1:34" ht="15" hidden="1">
      <c r="A890" s="617"/>
      <c r="B890" s="617"/>
      <c r="C890" s="617"/>
      <c r="D890" s="617"/>
      <c r="E890" s="617"/>
      <c r="F890" s="617"/>
      <c r="G890" s="617"/>
      <c r="H890" s="617"/>
      <c r="I890" s="617"/>
      <c r="J890" s="617"/>
      <c r="K890" s="617"/>
      <c r="L890" s="617"/>
      <c r="M890" s="617"/>
      <c r="N890" s="617"/>
      <c r="O890" s="617"/>
      <c r="P890" s="617"/>
      <c r="Q890" s="617"/>
      <c r="R890" s="617"/>
      <c r="S890" s="617"/>
      <c r="T890" s="617"/>
      <c r="U890" s="617"/>
      <c r="V890" s="617"/>
      <c r="W890" s="617"/>
      <c r="X890" s="617"/>
      <c r="Y890" s="617"/>
      <c r="Z890" s="617"/>
      <c r="AA890" s="617"/>
      <c r="AB890" s="617"/>
      <c r="AC890" s="617"/>
      <c r="AD890" s="617"/>
      <c r="AE890" s="617"/>
      <c r="AF890" s="617"/>
      <c r="AG890" s="617"/>
      <c r="AH890" s="617"/>
    </row>
    <row r="891" spans="1:34" ht="15" hidden="1">
      <c r="A891" s="617"/>
      <c r="B891" s="617"/>
      <c r="C891" s="617"/>
      <c r="D891" s="617"/>
      <c r="E891" s="617"/>
      <c r="F891" s="617"/>
      <c r="G891" s="617"/>
      <c r="H891" s="617"/>
      <c r="I891" s="617"/>
      <c r="J891" s="617"/>
      <c r="K891" s="617"/>
      <c r="L891" s="617"/>
      <c r="M891" s="617"/>
      <c r="N891" s="617"/>
      <c r="O891" s="617"/>
      <c r="P891" s="617"/>
      <c r="Q891" s="617"/>
      <c r="R891" s="617"/>
      <c r="S891" s="617"/>
      <c r="T891" s="617"/>
      <c r="U891" s="617"/>
      <c r="V891" s="617"/>
      <c r="W891" s="617"/>
      <c r="X891" s="617"/>
      <c r="Y891" s="617"/>
      <c r="Z891" s="617"/>
      <c r="AA891" s="617"/>
      <c r="AB891" s="617"/>
      <c r="AC891" s="617"/>
      <c r="AD891" s="617"/>
      <c r="AE891" s="617"/>
      <c r="AF891" s="617"/>
      <c r="AG891" s="617"/>
      <c r="AH891" s="617"/>
    </row>
    <row r="892" spans="1:34" ht="15" hidden="1">
      <c r="A892" s="617"/>
      <c r="B892" s="617"/>
      <c r="C892" s="617"/>
      <c r="D892" s="617"/>
      <c r="E892" s="617"/>
      <c r="F892" s="617"/>
      <c r="G892" s="617"/>
      <c r="H892" s="617"/>
      <c r="I892" s="617"/>
      <c r="J892" s="617"/>
      <c r="K892" s="617"/>
      <c r="L892" s="617"/>
      <c r="M892" s="617"/>
      <c r="N892" s="617"/>
      <c r="O892" s="617"/>
      <c r="P892" s="617"/>
      <c r="Q892" s="617"/>
      <c r="R892" s="617"/>
      <c r="S892" s="617"/>
      <c r="T892" s="617"/>
      <c r="U892" s="617"/>
      <c r="V892" s="617"/>
      <c r="W892" s="617"/>
      <c r="X892" s="617"/>
      <c r="Y892" s="617"/>
      <c r="Z892" s="617"/>
      <c r="AA892" s="617"/>
      <c r="AB892" s="617"/>
      <c r="AC892" s="617"/>
      <c r="AD892" s="617"/>
      <c r="AE892" s="617"/>
      <c r="AF892" s="617"/>
      <c r="AG892" s="617"/>
      <c r="AH892" s="617"/>
    </row>
    <row r="893" spans="1:34" ht="15" hidden="1">
      <c r="A893" s="617"/>
      <c r="B893" s="617"/>
      <c r="C893" s="617"/>
      <c r="D893" s="617"/>
      <c r="E893" s="617"/>
      <c r="F893" s="617"/>
      <c r="G893" s="617"/>
      <c r="H893" s="617"/>
      <c r="I893" s="617"/>
      <c r="J893" s="617"/>
      <c r="K893" s="617"/>
      <c r="L893" s="617"/>
      <c r="M893" s="617"/>
      <c r="N893" s="617"/>
      <c r="O893" s="617"/>
      <c r="P893" s="617"/>
      <c r="Q893" s="617"/>
      <c r="R893" s="617"/>
      <c r="S893" s="617"/>
      <c r="T893" s="617"/>
      <c r="U893" s="617"/>
      <c r="V893" s="617"/>
      <c r="W893" s="617"/>
      <c r="X893" s="617"/>
      <c r="Y893" s="617"/>
      <c r="Z893" s="617"/>
      <c r="AA893" s="617"/>
      <c r="AB893" s="617"/>
      <c r="AC893" s="617"/>
      <c r="AD893" s="617"/>
      <c r="AE893" s="617"/>
      <c r="AF893" s="617"/>
      <c r="AG893" s="617"/>
      <c r="AH893" s="617"/>
    </row>
    <row r="894" spans="1:34" ht="15" hidden="1">
      <c r="A894" s="617"/>
      <c r="B894" s="617"/>
      <c r="C894" s="617"/>
      <c r="D894" s="617"/>
      <c r="E894" s="617"/>
      <c r="F894" s="617"/>
      <c r="G894" s="617"/>
      <c r="H894" s="617"/>
      <c r="I894" s="617"/>
      <c r="J894" s="617"/>
      <c r="K894" s="617"/>
      <c r="L894" s="617"/>
      <c r="M894" s="617"/>
      <c r="N894" s="617"/>
      <c r="O894" s="617"/>
      <c r="P894" s="617"/>
      <c r="Q894" s="617"/>
      <c r="R894" s="617"/>
      <c r="S894" s="617"/>
      <c r="T894" s="617"/>
      <c r="U894" s="617"/>
      <c r="V894" s="617"/>
      <c r="W894" s="617"/>
      <c r="X894" s="617"/>
      <c r="Y894" s="617"/>
      <c r="Z894" s="617"/>
      <c r="AA894" s="617"/>
      <c r="AB894" s="617"/>
      <c r="AC894" s="617"/>
      <c r="AD894" s="617"/>
      <c r="AE894" s="617"/>
      <c r="AF894" s="617"/>
      <c r="AG894" s="617"/>
      <c r="AH894" s="617"/>
    </row>
    <row r="895" spans="1:34" ht="15" hidden="1">
      <c r="A895" s="617"/>
      <c r="B895" s="617"/>
      <c r="C895" s="617"/>
      <c r="D895" s="617"/>
      <c r="E895" s="617"/>
      <c r="F895" s="617"/>
      <c r="G895" s="617"/>
      <c r="H895" s="617"/>
      <c r="I895" s="617"/>
      <c r="J895" s="617"/>
      <c r="K895" s="617"/>
      <c r="L895" s="617"/>
      <c r="M895" s="617"/>
      <c r="N895" s="617"/>
      <c r="O895" s="617"/>
      <c r="P895" s="617"/>
      <c r="Q895" s="617"/>
      <c r="R895" s="617"/>
      <c r="S895" s="617"/>
      <c r="T895" s="617"/>
      <c r="U895" s="617"/>
      <c r="V895" s="617"/>
      <c r="W895" s="617"/>
      <c r="X895" s="617"/>
      <c r="Y895" s="617"/>
      <c r="Z895" s="617"/>
      <c r="AA895" s="617"/>
      <c r="AB895" s="617"/>
      <c r="AC895" s="617"/>
      <c r="AD895" s="617"/>
      <c r="AE895" s="617"/>
      <c r="AF895" s="617"/>
      <c r="AG895" s="617"/>
      <c r="AH895" s="617"/>
    </row>
    <row r="896" spans="1:34" ht="15" hidden="1">
      <c r="A896" s="617"/>
      <c r="B896" s="617"/>
      <c r="C896" s="617"/>
      <c r="D896" s="617"/>
      <c r="E896" s="617"/>
      <c r="F896" s="617"/>
      <c r="G896" s="617"/>
      <c r="H896" s="617"/>
      <c r="I896" s="617"/>
      <c r="J896" s="617"/>
      <c r="K896" s="617"/>
      <c r="L896" s="617"/>
      <c r="M896" s="617"/>
      <c r="N896" s="617"/>
      <c r="O896" s="617"/>
      <c r="P896" s="617"/>
      <c r="Q896" s="617"/>
      <c r="R896" s="617"/>
      <c r="S896" s="617"/>
      <c r="T896" s="617"/>
      <c r="U896" s="617"/>
      <c r="V896" s="617"/>
      <c r="W896" s="617"/>
      <c r="X896" s="617"/>
      <c r="Y896" s="617"/>
      <c r="Z896" s="617"/>
      <c r="AA896" s="617"/>
      <c r="AB896" s="617"/>
      <c r="AC896" s="617"/>
      <c r="AD896" s="617"/>
      <c r="AE896" s="617"/>
      <c r="AF896" s="617"/>
      <c r="AG896" s="617"/>
      <c r="AH896" s="617"/>
    </row>
    <row r="897" spans="1:34" ht="15" hidden="1">
      <c r="A897" s="617"/>
      <c r="B897" s="617"/>
      <c r="C897" s="617"/>
      <c r="D897" s="617"/>
      <c r="E897" s="617"/>
      <c r="F897" s="617"/>
      <c r="G897" s="617"/>
      <c r="H897" s="617"/>
      <c r="I897" s="617"/>
      <c r="J897" s="617"/>
      <c r="K897" s="617"/>
      <c r="L897" s="617"/>
      <c r="M897" s="617"/>
      <c r="N897" s="617"/>
      <c r="O897" s="617"/>
      <c r="P897" s="617"/>
      <c r="Q897" s="617"/>
      <c r="R897" s="617"/>
      <c r="S897" s="617"/>
      <c r="T897" s="617"/>
      <c r="U897" s="617"/>
      <c r="V897" s="617"/>
      <c r="W897" s="617"/>
      <c r="X897" s="617"/>
      <c r="Y897" s="617"/>
      <c r="Z897" s="617"/>
      <c r="AA897" s="617"/>
      <c r="AB897" s="617"/>
      <c r="AC897" s="617"/>
      <c r="AD897" s="617"/>
      <c r="AE897" s="617"/>
      <c r="AF897" s="617"/>
      <c r="AG897" s="617"/>
      <c r="AH897" s="617"/>
    </row>
    <row r="898" spans="1:34" ht="15" hidden="1">
      <c r="A898" s="617"/>
      <c r="B898" s="617"/>
      <c r="C898" s="617"/>
      <c r="D898" s="617"/>
      <c r="E898" s="617"/>
      <c r="F898" s="617"/>
      <c r="G898" s="617"/>
      <c r="H898" s="617"/>
      <c r="I898" s="617"/>
      <c r="J898" s="617"/>
      <c r="K898" s="617"/>
      <c r="L898" s="617"/>
      <c r="M898" s="617"/>
      <c r="N898" s="617"/>
      <c r="O898" s="617"/>
      <c r="P898" s="617"/>
      <c r="Q898" s="617"/>
      <c r="R898" s="617"/>
      <c r="S898" s="617"/>
      <c r="T898" s="617"/>
      <c r="U898" s="617"/>
      <c r="V898" s="617"/>
      <c r="W898" s="617"/>
      <c r="X898" s="617"/>
      <c r="Y898" s="617"/>
      <c r="Z898" s="617"/>
      <c r="AA898" s="617"/>
      <c r="AB898" s="617"/>
      <c r="AC898" s="617"/>
      <c r="AD898" s="617"/>
      <c r="AE898" s="617"/>
      <c r="AF898" s="617"/>
      <c r="AG898" s="617"/>
      <c r="AH898" s="617"/>
    </row>
    <row r="899" spans="1:34" ht="15" hidden="1">
      <c r="A899" s="617"/>
      <c r="B899" s="617"/>
      <c r="C899" s="617"/>
      <c r="D899" s="617"/>
      <c r="E899" s="617"/>
      <c r="F899" s="617"/>
      <c r="G899" s="617"/>
      <c r="H899" s="617"/>
      <c r="I899" s="617"/>
      <c r="J899" s="617"/>
      <c r="K899" s="617"/>
      <c r="L899" s="617"/>
      <c r="M899" s="617"/>
      <c r="N899" s="617"/>
      <c r="O899" s="617"/>
      <c r="P899" s="617"/>
      <c r="Q899" s="617"/>
      <c r="R899" s="617"/>
      <c r="S899" s="617"/>
      <c r="T899" s="617"/>
      <c r="U899" s="617"/>
      <c r="V899" s="617"/>
      <c r="W899" s="617"/>
      <c r="X899" s="617"/>
      <c r="Y899" s="617"/>
      <c r="Z899" s="617"/>
      <c r="AA899" s="617"/>
      <c r="AB899" s="617"/>
      <c r="AC899" s="617"/>
      <c r="AD899" s="617"/>
      <c r="AE899" s="617"/>
      <c r="AF899" s="617"/>
      <c r="AG899" s="617"/>
      <c r="AH899" s="617"/>
    </row>
    <row r="900" spans="1:34" ht="15" hidden="1">
      <c r="A900" s="617"/>
      <c r="B900" s="617"/>
      <c r="C900" s="617"/>
      <c r="D900" s="617"/>
      <c r="E900" s="617"/>
      <c r="F900" s="617"/>
      <c r="G900" s="617"/>
      <c r="H900" s="617"/>
      <c r="I900" s="617"/>
      <c r="J900" s="617"/>
      <c r="K900" s="617"/>
      <c r="L900" s="617"/>
      <c r="M900" s="617"/>
      <c r="N900" s="617"/>
      <c r="O900" s="617"/>
      <c r="P900" s="617"/>
      <c r="Q900" s="617"/>
      <c r="R900" s="617"/>
      <c r="S900" s="617"/>
      <c r="T900" s="617"/>
      <c r="U900" s="617"/>
      <c r="V900" s="617"/>
      <c r="W900" s="617"/>
      <c r="X900" s="617"/>
      <c r="Y900" s="617"/>
      <c r="Z900" s="617"/>
      <c r="AA900" s="617"/>
      <c r="AB900" s="617"/>
      <c r="AC900" s="617"/>
      <c r="AD900" s="617"/>
      <c r="AE900" s="617"/>
      <c r="AF900" s="617"/>
      <c r="AG900" s="617"/>
      <c r="AH900" s="617"/>
    </row>
    <row r="901" spans="1:34" ht="15" hidden="1">
      <c r="A901" s="617"/>
      <c r="B901" s="617"/>
      <c r="C901" s="617"/>
      <c r="D901" s="617"/>
      <c r="E901" s="617"/>
      <c r="F901" s="617"/>
      <c r="G901" s="617"/>
      <c r="H901" s="617"/>
      <c r="I901" s="617"/>
      <c r="J901" s="617"/>
      <c r="K901" s="617"/>
      <c r="L901" s="617"/>
      <c r="M901" s="617"/>
      <c r="N901" s="617"/>
      <c r="O901" s="617"/>
      <c r="P901" s="617"/>
      <c r="Q901" s="617"/>
      <c r="R901" s="617"/>
      <c r="S901" s="617"/>
      <c r="T901" s="617"/>
      <c r="U901" s="617"/>
      <c r="V901" s="617"/>
      <c r="W901" s="617"/>
      <c r="X901" s="617"/>
      <c r="Y901" s="617"/>
      <c r="Z901" s="617"/>
      <c r="AA901" s="617"/>
      <c r="AB901" s="617"/>
      <c r="AC901" s="617"/>
      <c r="AD901" s="617"/>
      <c r="AE901" s="617"/>
      <c r="AF901" s="617"/>
      <c r="AG901" s="617"/>
      <c r="AH901" s="617"/>
    </row>
    <row r="902" spans="1:34" ht="15" hidden="1">
      <c r="A902" s="617"/>
      <c r="B902" s="617"/>
      <c r="C902" s="617"/>
      <c r="D902" s="617"/>
      <c r="E902" s="617"/>
      <c r="F902" s="617"/>
      <c r="G902" s="617"/>
      <c r="H902" s="617"/>
      <c r="I902" s="617"/>
      <c r="J902" s="617"/>
      <c r="K902" s="617"/>
      <c r="L902" s="617"/>
      <c r="M902" s="617"/>
      <c r="N902" s="617"/>
      <c r="O902" s="617"/>
      <c r="P902" s="617"/>
      <c r="Q902" s="617"/>
      <c r="R902" s="617"/>
      <c r="S902" s="617"/>
      <c r="T902" s="617"/>
      <c r="U902" s="617"/>
      <c r="V902" s="617"/>
      <c r="W902" s="617"/>
      <c r="X902" s="617"/>
      <c r="Y902" s="617"/>
      <c r="Z902" s="617"/>
      <c r="AA902" s="617"/>
      <c r="AB902" s="617"/>
      <c r="AC902" s="617"/>
      <c r="AD902" s="617"/>
      <c r="AE902" s="617"/>
      <c r="AF902" s="617"/>
      <c r="AG902" s="617"/>
      <c r="AH902" s="617"/>
    </row>
    <row r="903" spans="1:34" ht="15" hidden="1">
      <c r="A903" s="617"/>
      <c r="B903" s="617"/>
      <c r="C903" s="617"/>
      <c r="D903" s="617"/>
      <c r="E903" s="617"/>
      <c r="F903" s="617"/>
      <c r="G903" s="617"/>
      <c r="H903" s="617"/>
      <c r="I903" s="617"/>
      <c r="J903" s="617"/>
      <c r="K903" s="617"/>
      <c r="L903" s="617"/>
      <c r="M903" s="617"/>
      <c r="N903" s="617"/>
      <c r="O903" s="617"/>
      <c r="P903" s="617"/>
      <c r="Q903" s="617"/>
      <c r="R903" s="617"/>
      <c r="S903" s="617"/>
      <c r="T903" s="617"/>
      <c r="U903" s="617"/>
      <c r="V903" s="617"/>
      <c r="W903" s="617"/>
      <c r="X903" s="617"/>
      <c r="Y903" s="617"/>
      <c r="Z903" s="617"/>
      <c r="AA903" s="617"/>
      <c r="AB903" s="617"/>
      <c r="AC903" s="617"/>
      <c r="AD903" s="617"/>
      <c r="AE903" s="617"/>
      <c r="AF903" s="617"/>
      <c r="AG903" s="617"/>
      <c r="AH903" s="617"/>
    </row>
    <row r="904" spans="1:34" ht="15" hidden="1">
      <c r="A904" s="617"/>
      <c r="B904" s="617"/>
      <c r="C904" s="617"/>
      <c r="D904" s="617"/>
      <c r="E904" s="617"/>
      <c r="F904" s="617"/>
      <c r="G904" s="617"/>
      <c r="H904" s="617"/>
      <c r="I904" s="617"/>
      <c r="J904" s="617"/>
      <c r="K904" s="617"/>
      <c r="L904" s="617"/>
      <c r="M904" s="617"/>
      <c r="N904" s="617"/>
      <c r="O904" s="617"/>
      <c r="P904" s="617"/>
      <c r="Q904" s="617"/>
      <c r="R904" s="617"/>
      <c r="S904" s="617"/>
      <c r="T904" s="617"/>
      <c r="U904" s="617"/>
      <c r="V904" s="617"/>
      <c r="W904" s="617"/>
      <c r="X904" s="617"/>
      <c r="Y904" s="617"/>
      <c r="Z904" s="617"/>
      <c r="AA904" s="617"/>
      <c r="AB904" s="617"/>
      <c r="AC904" s="617"/>
      <c r="AD904" s="617"/>
      <c r="AE904" s="617"/>
      <c r="AF904" s="617"/>
      <c r="AG904" s="617"/>
      <c r="AH904" s="617"/>
    </row>
    <row r="905" spans="1:34" ht="15" hidden="1">
      <c r="A905" s="617"/>
      <c r="B905" s="617"/>
      <c r="C905" s="617"/>
      <c r="D905" s="617"/>
      <c r="E905" s="617"/>
      <c r="F905" s="617"/>
      <c r="G905" s="617"/>
      <c r="H905" s="617"/>
      <c r="I905" s="617"/>
      <c r="J905" s="617"/>
      <c r="K905" s="617"/>
      <c r="L905" s="617"/>
      <c r="M905" s="617"/>
      <c r="N905" s="617"/>
      <c r="O905" s="617"/>
      <c r="P905" s="617"/>
      <c r="Q905" s="617"/>
      <c r="R905" s="617"/>
      <c r="S905" s="617"/>
      <c r="T905" s="617"/>
      <c r="U905" s="617"/>
      <c r="V905" s="617"/>
      <c r="W905" s="617"/>
      <c r="X905" s="617"/>
      <c r="Y905" s="617"/>
      <c r="Z905" s="617"/>
      <c r="AA905" s="617"/>
      <c r="AB905" s="617"/>
      <c r="AC905" s="617"/>
      <c r="AD905" s="617"/>
      <c r="AE905" s="617"/>
      <c r="AF905" s="617"/>
      <c r="AG905" s="617"/>
      <c r="AH905" s="617"/>
    </row>
    <row r="906" spans="1:34" ht="15" hidden="1">
      <c r="A906" s="617"/>
      <c r="B906" s="617"/>
      <c r="C906" s="617"/>
      <c r="D906" s="617"/>
      <c r="E906" s="617"/>
      <c r="F906" s="617"/>
      <c r="G906" s="617"/>
      <c r="H906" s="617"/>
      <c r="I906" s="617"/>
      <c r="J906" s="617"/>
      <c r="K906" s="617"/>
      <c r="L906" s="617"/>
      <c r="M906" s="617"/>
      <c r="N906" s="617"/>
      <c r="O906" s="617"/>
      <c r="P906" s="617"/>
      <c r="Q906" s="617"/>
      <c r="R906" s="617"/>
      <c r="S906" s="617"/>
      <c r="T906" s="617"/>
      <c r="U906" s="617"/>
      <c r="V906" s="617"/>
      <c r="W906" s="617"/>
      <c r="X906" s="617"/>
      <c r="Y906" s="617"/>
      <c r="Z906" s="617"/>
      <c r="AA906" s="617"/>
      <c r="AB906" s="617"/>
      <c r="AC906" s="617"/>
      <c r="AD906" s="617"/>
      <c r="AE906" s="617"/>
      <c r="AF906" s="617"/>
      <c r="AG906" s="617"/>
      <c r="AH906" s="617"/>
    </row>
    <row r="907" spans="1:34" ht="15" hidden="1">
      <c r="A907" s="617"/>
      <c r="B907" s="617"/>
      <c r="C907" s="617"/>
      <c r="D907" s="617"/>
      <c r="E907" s="617"/>
      <c r="F907" s="617"/>
      <c r="G907" s="617"/>
      <c r="H907" s="617"/>
      <c r="I907" s="617"/>
      <c r="J907" s="617"/>
      <c r="K907" s="617"/>
      <c r="L907" s="617"/>
      <c r="M907" s="617"/>
      <c r="N907" s="617"/>
      <c r="O907" s="617"/>
      <c r="P907" s="617"/>
      <c r="Q907" s="617"/>
      <c r="R907" s="617"/>
      <c r="S907" s="617"/>
      <c r="T907" s="617"/>
      <c r="U907" s="617"/>
      <c r="V907" s="617"/>
      <c r="W907" s="617"/>
      <c r="X907" s="617"/>
      <c r="Y907" s="617"/>
      <c r="Z907" s="617"/>
      <c r="AA907" s="617"/>
      <c r="AB907" s="617"/>
      <c r="AC907" s="617"/>
      <c r="AD907" s="617"/>
      <c r="AE907" s="617"/>
      <c r="AF907" s="617"/>
      <c r="AG907" s="617"/>
      <c r="AH907" s="617"/>
    </row>
    <row r="908" spans="1:34" ht="15" hidden="1">
      <c r="A908" s="617"/>
      <c r="B908" s="617"/>
      <c r="C908" s="617"/>
      <c r="D908" s="617"/>
      <c r="E908" s="617"/>
      <c r="F908" s="617"/>
      <c r="G908" s="617"/>
      <c r="H908" s="617"/>
      <c r="I908" s="617"/>
      <c r="J908" s="617"/>
      <c r="K908" s="617"/>
      <c r="L908" s="617"/>
      <c r="M908" s="617"/>
      <c r="N908" s="617"/>
      <c r="O908" s="617"/>
      <c r="P908" s="617"/>
      <c r="Q908" s="617"/>
      <c r="R908" s="617"/>
      <c r="S908" s="617"/>
      <c r="T908" s="617"/>
      <c r="U908" s="617"/>
      <c r="V908" s="617"/>
      <c r="W908" s="617"/>
      <c r="X908" s="617"/>
      <c r="Y908" s="617"/>
      <c r="Z908" s="617"/>
      <c r="AA908" s="617"/>
      <c r="AB908" s="617"/>
      <c r="AC908" s="617"/>
      <c r="AD908" s="617"/>
      <c r="AE908" s="617"/>
      <c r="AF908" s="617"/>
      <c r="AG908" s="617"/>
      <c r="AH908" s="617"/>
    </row>
    <row r="909" spans="1:34" ht="15" hidden="1">
      <c r="A909" s="617"/>
      <c r="B909" s="617"/>
      <c r="C909" s="617"/>
      <c r="D909" s="617"/>
      <c r="E909" s="617"/>
      <c r="F909" s="617"/>
      <c r="G909" s="617"/>
      <c r="H909" s="617"/>
      <c r="I909" s="617"/>
      <c r="J909" s="617"/>
      <c r="K909" s="617"/>
      <c r="L909" s="617"/>
      <c r="M909" s="617"/>
      <c r="N909" s="617"/>
      <c r="O909" s="617"/>
      <c r="P909" s="617"/>
      <c r="Q909" s="617"/>
      <c r="R909" s="617"/>
      <c r="S909" s="617"/>
      <c r="T909" s="617"/>
      <c r="U909" s="617"/>
      <c r="V909" s="617"/>
      <c r="W909" s="617"/>
      <c r="X909" s="617"/>
      <c r="Y909" s="617"/>
      <c r="Z909" s="617"/>
      <c r="AA909" s="617"/>
      <c r="AB909" s="617"/>
      <c r="AC909" s="617"/>
      <c r="AD909" s="617"/>
      <c r="AE909" s="617"/>
      <c r="AF909" s="617"/>
      <c r="AG909" s="617"/>
      <c r="AH909" s="617"/>
    </row>
    <row r="910" spans="1:34" ht="15" hidden="1">
      <c r="A910" s="617"/>
      <c r="B910" s="617"/>
      <c r="C910" s="617"/>
      <c r="D910" s="617"/>
      <c r="E910" s="617"/>
      <c r="F910" s="617"/>
      <c r="G910" s="617"/>
      <c r="H910" s="617"/>
      <c r="I910" s="617"/>
      <c r="J910" s="617"/>
      <c r="K910" s="617"/>
      <c r="L910" s="617"/>
      <c r="M910" s="617"/>
      <c r="N910" s="617"/>
      <c r="O910" s="617"/>
      <c r="P910" s="617"/>
      <c r="Q910" s="617"/>
      <c r="R910" s="617"/>
      <c r="S910" s="617"/>
      <c r="T910" s="617"/>
      <c r="U910" s="617"/>
      <c r="V910" s="617"/>
      <c r="W910" s="617"/>
      <c r="X910" s="617"/>
      <c r="Y910" s="617"/>
      <c r="Z910" s="617"/>
      <c r="AA910" s="617"/>
      <c r="AB910" s="617"/>
      <c r="AC910" s="617"/>
      <c r="AD910" s="617"/>
      <c r="AE910" s="617"/>
      <c r="AF910" s="617"/>
      <c r="AG910" s="617"/>
      <c r="AH910" s="617"/>
    </row>
    <row r="911" spans="1:34" ht="15" hidden="1">
      <c r="A911" s="617"/>
      <c r="B911" s="617"/>
      <c r="C911" s="617"/>
      <c r="D911" s="617"/>
      <c r="E911" s="617"/>
      <c r="F911" s="617"/>
      <c r="G911" s="617"/>
      <c r="H911" s="617"/>
      <c r="I911" s="617"/>
      <c r="J911" s="617"/>
      <c r="K911" s="617"/>
      <c r="L911" s="617"/>
      <c r="M911" s="617"/>
      <c r="N911" s="617"/>
      <c r="O911" s="617"/>
      <c r="P911" s="617"/>
      <c r="Q911" s="617"/>
      <c r="R911" s="617"/>
      <c r="S911" s="617"/>
      <c r="T911" s="617"/>
      <c r="U911" s="617"/>
      <c r="V911" s="617"/>
      <c r="W911" s="617"/>
      <c r="X911" s="617"/>
      <c r="Y911" s="617"/>
      <c r="Z911" s="617"/>
      <c r="AA911" s="617"/>
      <c r="AB911" s="617"/>
      <c r="AC911" s="617"/>
      <c r="AD911" s="617"/>
      <c r="AE911" s="617"/>
      <c r="AF911" s="617"/>
      <c r="AG911" s="617"/>
      <c r="AH911" s="617"/>
    </row>
    <row r="912" spans="1:34" ht="15" hidden="1">
      <c r="A912" s="617"/>
      <c r="B912" s="617"/>
      <c r="C912" s="617"/>
      <c r="D912" s="617"/>
      <c r="E912" s="617"/>
      <c r="F912" s="617"/>
      <c r="G912" s="617"/>
      <c r="H912" s="617"/>
      <c r="I912" s="617"/>
      <c r="J912" s="617"/>
      <c r="K912" s="617"/>
      <c r="L912" s="617"/>
      <c r="M912" s="617"/>
      <c r="N912" s="617"/>
      <c r="O912" s="617"/>
      <c r="P912" s="617"/>
      <c r="Q912" s="617"/>
      <c r="R912" s="617"/>
      <c r="S912" s="617"/>
      <c r="T912" s="617"/>
      <c r="U912" s="617"/>
      <c r="V912" s="617"/>
      <c r="W912" s="617"/>
      <c r="X912" s="617"/>
      <c r="Y912" s="617"/>
      <c r="Z912" s="617"/>
      <c r="AA912" s="617"/>
      <c r="AB912" s="617"/>
      <c r="AC912" s="617"/>
      <c r="AD912" s="617"/>
      <c r="AE912" s="617"/>
      <c r="AF912" s="617"/>
      <c r="AG912" s="617"/>
      <c r="AH912" s="617"/>
    </row>
    <row r="913" spans="1:34" ht="15" hidden="1">
      <c r="A913" s="617"/>
      <c r="B913" s="617"/>
      <c r="C913" s="617"/>
      <c r="D913" s="617"/>
      <c r="E913" s="617"/>
      <c r="F913" s="617"/>
      <c r="G913" s="617"/>
      <c r="H913" s="617"/>
      <c r="I913" s="617"/>
      <c r="J913" s="617"/>
      <c r="K913" s="617"/>
      <c r="L913" s="617"/>
      <c r="M913" s="617"/>
      <c r="N913" s="617"/>
      <c r="O913" s="617"/>
      <c r="P913" s="617"/>
      <c r="Q913" s="617"/>
      <c r="R913" s="617"/>
      <c r="S913" s="617"/>
      <c r="T913" s="617"/>
      <c r="U913" s="617"/>
      <c r="V913" s="617"/>
      <c r="W913" s="617"/>
      <c r="X913" s="617"/>
      <c r="Y913" s="617"/>
      <c r="Z913" s="617"/>
      <c r="AA913" s="617"/>
      <c r="AB913" s="617"/>
      <c r="AC913" s="617"/>
      <c r="AD913" s="617"/>
      <c r="AE913" s="617"/>
      <c r="AF913" s="617"/>
      <c r="AG913" s="617"/>
      <c r="AH913" s="617"/>
    </row>
    <row r="914" spans="1:34" ht="15" hidden="1">
      <c r="A914" s="617"/>
      <c r="B914" s="617"/>
      <c r="C914" s="617"/>
      <c r="D914" s="617"/>
      <c r="E914" s="617"/>
      <c r="F914" s="617"/>
      <c r="G914" s="617"/>
      <c r="H914" s="617"/>
      <c r="I914" s="617"/>
      <c r="J914" s="617"/>
      <c r="K914" s="617"/>
      <c r="L914" s="617"/>
      <c r="M914" s="617"/>
      <c r="N914" s="617"/>
      <c r="O914" s="617"/>
      <c r="P914" s="617"/>
      <c r="Q914" s="617"/>
      <c r="R914" s="617"/>
      <c r="S914" s="617"/>
      <c r="T914" s="617"/>
      <c r="U914" s="617"/>
      <c r="V914" s="617"/>
      <c r="W914" s="617"/>
      <c r="X914" s="617"/>
      <c r="Y914" s="617"/>
      <c r="Z914" s="617"/>
      <c r="AA914" s="617"/>
      <c r="AB914" s="617"/>
      <c r="AC914" s="617"/>
      <c r="AD914" s="617"/>
      <c r="AE914" s="617"/>
      <c r="AF914" s="617"/>
      <c r="AG914" s="617"/>
      <c r="AH914" s="617"/>
    </row>
    <row r="915" spans="1:34" ht="15" hidden="1">
      <c r="A915" s="617"/>
      <c r="B915" s="617"/>
      <c r="C915" s="617"/>
      <c r="D915" s="617"/>
      <c r="E915" s="617"/>
      <c r="F915" s="617"/>
      <c r="G915" s="617"/>
      <c r="H915" s="617"/>
      <c r="I915" s="617"/>
      <c r="J915" s="617"/>
      <c r="K915" s="617"/>
      <c r="L915" s="617"/>
      <c r="M915" s="617"/>
      <c r="N915" s="617"/>
      <c r="O915" s="617"/>
      <c r="P915" s="617"/>
      <c r="Q915" s="617"/>
      <c r="R915" s="617"/>
      <c r="S915" s="617"/>
      <c r="T915" s="617"/>
      <c r="U915" s="617"/>
      <c r="V915" s="617"/>
      <c r="W915" s="617"/>
      <c r="X915" s="617"/>
      <c r="Y915" s="617"/>
      <c r="Z915" s="617"/>
      <c r="AA915" s="617"/>
      <c r="AB915" s="617"/>
      <c r="AC915" s="617"/>
      <c r="AD915" s="617"/>
      <c r="AE915" s="617"/>
      <c r="AF915" s="617"/>
      <c r="AG915" s="617"/>
      <c r="AH915" s="617"/>
    </row>
    <row r="916" spans="1:34" ht="15" hidden="1">
      <c r="A916" s="617"/>
      <c r="B916" s="617"/>
      <c r="C916" s="617"/>
      <c r="D916" s="617"/>
      <c r="E916" s="617"/>
      <c r="F916" s="617"/>
      <c r="G916" s="617"/>
      <c r="H916" s="617"/>
      <c r="I916" s="617"/>
      <c r="J916" s="617"/>
      <c r="K916" s="617"/>
      <c r="L916" s="617"/>
      <c r="M916" s="617"/>
      <c r="N916" s="617"/>
      <c r="O916" s="617"/>
      <c r="P916" s="617"/>
      <c r="Q916" s="617"/>
      <c r="R916" s="617"/>
      <c r="S916" s="617"/>
      <c r="T916" s="617"/>
      <c r="U916" s="617"/>
      <c r="V916" s="617"/>
      <c r="W916" s="617"/>
      <c r="X916" s="617"/>
      <c r="Y916" s="617"/>
      <c r="Z916" s="617"/>
      <c r="AA916" s="617"/>
      <c r="AB916" s="617"/>
      <c r="AC916" s="617"/>
      <c r="AD916" s="617"/>
      <c r="AE916" s="617"/>
      <c r="AF916" s="617"/>
      <c r="AG916" s="617"/>
      <c r="AH916" s="617"/>
    </row>
    <row r="917" spans="1:34" ht="15" hidden="1">
      <c r="A917" s="617"/>
      <c r="B917" s="617"/>
      <c r="C917" s="617"/>
      <c r="D917" s="617"/>
      <c r="E917" s="617"/>
      <c r="F917" s="617"/>
      <c r="G917" s="617"/>
      <c r="H917" s="617"/>
      <c r="I917" s="617"/>
      <c r="J917" s="617"/>
      <c r="K917" s="617"/>
      <c r="L917" s="617"/>
      <c r="M917" s="617"/>
      <c r="N917" s="617"/>
      <c r="O917" s="617"/>
      <c r="P917" s="617"/>
      <c r="Q917" s="617"/>
      <c r="R917" s="617"/>
      <c r="S917" s="617"/>
      <c r="T917" s="617"/>
      <c r="U917" s="617"/>
      <c r="V917" s="617"/>
      <c r="W917" s="617"/>
      <c r="X917" s="617"/>
      <c r="Y917" s="617"/>
      <c r="Z917" s="617"/>
      <c r="AA917" s="617"/>
      <c r="AB917" s="617"/>
      <c r="AC917" s="617"/>
      <c r="AD917" s="617"/>
      <c r="AE917" s="617"/>
      <c r="AF917" s="617"/>
      <c r="AG917" s="617"/>
      <c r="AH917" s="617"/>
    </row>
    <row r="918" spans="1:34" ht="15" hidden="1">
      <c r="A918" s="617"/>
      <c r="B918" s="617"/>
      <c r="C918" s="617"/>
      <c r="D918" s="617"/>
      <c r="E918" s="617"/>
      <c r="F918" s="617"/>
      <c r="G918" s="617"/>
      <c r="H918" s="617"/>
      <c r="I918" s="617"/>
      <c r="J918" s="617"/>
      <c r="K918" s="617"/>
      <c r="L918" s="617"/>
      <c r="M918" s="617"/>
      <c r="N918" s="617"/>
      <c r="O918" s="617"/>
      <c r="P918" s="617"/>
      <c r="Q918" s="617"/>
      <c r="R918" s="617"/>
      <c r="S918" s="617"/>
      <c r="T918" s="617"/>
      <c r="U918" s="617"/>
      <c r="V918" s="617"/>
      <c r="W918" s="617"/>
      <c r="X918" s="617"/>
      <c r="Y918" s="617"/>
      <c r="Z918" s="617"/>
      <c r="AA918" s="617"/>
      <c r="AB918" s="617"/>
      <c r="AC918" s="617"/>
      <c r="AD918" s="617"/>
      <c r="AE918" s="617"/>
      <c r="AF918" s="617"/>
      <c r="AG918" s="617"/>
      <c r="AH918" s="617"/>
    </row>
    <row r="919" spans="1:34" ht="15" hidden="1">
      <c r="A919" s="617"/>
      <c r="B919" s="617"/>
      <c r="C919" s="617"/>
      <c r="D919" s="617"/>
      <c r="E919" s="617"/>
      <c r="F919" s="617"/>
      <c r="G919" s="617"/>
      <c r="H919" s="617"/>
      <c r="I919" s="617"/>
      <c r="J919" s="617"/>
      <c r="K919" s="617"/>
      <c r="L919" s="617"/>
      <c r="M919" s="617"/>
      <c r="N919" s="617"/>
      <c r="O919" s="617"/>
      <c r="P919" s="617"/>
      <c r="Q919" s="617"/>
      <c r="R919" s="617"/>
      <c r="S919" s="617"/>
      <c r="T919" s="617"/>
      <c r="U919" s="617"/>
      <c r="V919" s="617"/>
      <c r="W919" s="617"/>
      <c r="X919" s="617"/>
      <c r="Y919" s="617"/>
      <c r="Z919" s="617"/>
      <c r="AA919" s="617"/>
      <c r="AB919" s="617"/>
      <c r="AC919" s="617"/>
      <c r="AD919" s="617"/>
      <c r="AE919" s="617"/>
      <c r="AF919" s="617"/>
      <c r="AG919" s="617"/>
      <c r="AH919" s="617"/>
    </row>
    <row r="920" spans="1:34" ht="15" hidden="1">
      <c r="A920" s="617"/>
      <c r="B920" s="617"/>
      <c r="C920" s="617"/>
      <c r="D920" s="617"/>
      <c r="E920" s="617"/>
      <c r="F920" s="617"/>
      <c r="G920" s="617"/>
      <c r="H920" s="617"/>
      <c r="I920" s="617"/>
      <c r="J920" s="617"/>
      <c r="K920" s="617"/>
      <c r="L920" s="617"/>
      <c r="M920" s="617"/>
      <c r="N920" s="617"/>
      <c r="O920" s="617"/>
      <c r="P920" s="617"/>
      <c r="Q920" s="617"/>
      <c r="R920" s="617"/>
      <c r="S920" s="617"/>
      <c r="T920" s="617"/>
      <c r="U920" s="617"/>
      <c r="V920" s="617"/>
      <c r="W920" s="617"/>
      <c r="X920" s="617"/>
      <c r="Y920" s="617"/>
      <c r="Z920" s="617"/>
      <c r="AA920" s="617"/>
      <c r="AB920" s="617"/>
      <c r="AC920" s="617"/>
      <c r="AD920" s="617"/>
      <c r="AE920" s="617"/>
      <c r="AF920" s="617"/>
      <c r="AG920" s="617"/>
      <c r="AH920" s="617"/>
    </row>
    <row r="921" spans="1:34" ht="15" hidden="1">
      <c r="A921" s="617"/>
      <c r="B921" s="617"/>
      <c r="C921" s="617"/>
      <c r="D921" s="617"/>
      <c r="E921" s="617"/>
      <c r="F921" s="617"/>
      <c r="G921" s="617"/>
      <c r="H921" s="617"/>
      <c r="I921" s="617"/>
      <c r="J921" s="617"/>
      <c r="K921" s="617"/>
      <c r="L921" s="617"/>
      <c r="M921" s="617"/>
      <c r="N921" s="617"/>
      <c r="O921" s="617"/>
      <c r="P921" s="617"/>
      <c r="Q921" s="617"/>
      <c r="R921" s="617"/>
      <c r="S921" s="617"/>
      <c r="T921" s="617"/>
      <c r="U921" s="617"/>
      <c r="V921" s="617"/>
      <c r="W921" s="617"/>
      <c r="X921" s="617"/>
      <c r="Y921" s="617"/>
      <c r="Z921" s="617"/>
      <c r="AA921" s="617"/>
      <c r="AB921" s="617"/>
      <c r="AC921" s="617"/>
      <c r="AD921" s="617"/>
      <c r="AE921" s="617"/>
      <c r="AF921" s="617"/>
      <c r="AG921" s="617"/>
      <c r="AH921" s="617"/>
    </row>
    <row r="922" spans="1:34" ht="15" hidden="1">
      <c r="A922" s="617"/>
      <c r="B922" s="617"/>
      <c r="C922" s="617"/>
      <c r="D922" s="617"/>
      <c r="E922" s="617"/>
      <c r="F922" s="617"/>
      <c r="G922" s="617"/>
      <c r="H922" s="617"/>
      <c r="I922" s="617"/>
      <c r="J922" s="617"/>
      <c r="K922" s="617"/>
      <c r="L922" s="617"/>
      <c r="M922" s="617"/>
      <c r="N922" s="617"/>
      <c r="O922" s="617"/>
      <c r="P922" s="617"/>
      <c r="Q922" s="617"/>
      <c r="R922" s="617"/>
      <c r="S922" s="617"/>
      <c r="T922" s="617"/>
      <c r="U922" s="617"/>
      <c r="V922" s="617"/>
      <c r="W922" s="617"/>
      <c r="X922" s="617"/>
      <c r="Y922" s="617"/>
      <c r="Z922" s="617"/>
      <c r="AA922" s="617"/>
      <c r="AB922" s="617"/>
      <c r="AC922" s="617"/>
      <c r="AD922" s="617"/>
      <c r="AE922" s="617"/>
      <c r="AF922" s="617"/>
      <c r="AG922" s="617"/>
      <c r="AH922" s="617"/>
    </row>
    <row r="923" spans="1:34" ht="15" hidden="1">
      <c r="A923" s="617"/>
      <c r="B923" s="617"/>
      <c r="C923" s="617"/>
      <c r="D923" s="617"/>
      <c r="E923" s="617"/>
      <c r="F923" s="617"/>
      <c r="G923" s="617"/>
      <c r="H923" s="617"/>
      <c r="I923" s="617"/>
      <c r="J923" s="617"/>
      <c r="K923" s="617"/>
      <c r="L923" s="617"/>
      <c r="M923" s="617"/>
      <c r="N923" s="617"/>
      <c r="O923" s="617"/>
      <c r="P923" s="617"/>
      <c r="Q923" s="617"/>
      <c r="R923" s="617"/>
      <c r="S923" s="617"/>
      <c r="T923" s="617"/>
      <c r="U923" s="617"/>
      <c r="V923" s="617"/>
      <c r="W923" s="617"/>
      <c r="X923" s="617"/>
      <c r="Y923" s="617"/>
      <c r="Z923" s="617"/>
      <c r="AA923" s="617"/>
      <c r="AB923" s="617"/>
      <c r="AC923" s="617"/>
      <c r="AD923" s="617"/>
      <c r="AE923" s="617"/>
      <c r="AF923" s="617"/>
      <c r="AG923" s="617"/>
      <c r="AH923" s="617"/>
    </row>
    <row r="924" spans="1:34" ht="15" hidden="1">
      <c r="A924" s="617"/>
      <c r="B924" s="617"/>
      <c r="C924" s="617"/>
      <c r="D924" s="617"/>
      <c r="E924" s="617"/>
      <c r="F924" s="617"/>
      <c r="G924" s="617"/>
      <c r="H924" s="617"/>
      <c r="I924" s="617"/>
      <c r="J924" s="617"/>
      <c r="K924" s="617"/>
      <c r="L924" s="617"/>
      <c r="M924" s="617"/>
      <c r="N924" s="617"/>
      <c r="O924" s="617"/>
      <c r="P924" s="617"/>
      <c r="Q924" s="617"/>
      <c r="R924" s="617"/>
      <c r="S924" s="617"/>
      <c r="T924" s="617"/>
      <c r="U924" s="617"/>
      <c r="V924" s="617"/>
      <c r="W924" s="617"/>
      <c r="X924" s="617"/>
      <c r="Y924" s="617"/>
      <c r="Z924" s="617"/>
      <c r="AA924" s="617"/>
      <c r="AB924" s="617"/>
      <c r="AC924" s="617"/>
      <c r="AD924" s="617"/>
      <c r="AE924" s="617"/>
      <c r="AF924" s="617"/>
      <c r="AG924" s="617"/>
      <c r="AH924" s="617"/>
    </row>
    <row r="925" spans="1:34" ht="15" hidden="1">
      <c r="A925" s="617"/>
      <c r="B925" s="617"/>
      <c r="C925" s="617"/>
      <c r="D925" s="617"/>
      <c r="E925" s="617"/>
      <c r="F925" s="617"/>
      <c r="G925" s="617"/>
      <c r="H925" s="617"/>
      <c r="I925" s="617"/>
      <c r="J925" s="617"/>
      <c r="K925" s="617"/>
      <c r="L925" s="617"/>
      <c r="M925" s="617"/>
      <c r="N925" s="617"/>
      <c r="O925" s="617"/>
      <c r="P925" s="617"/>
      <c r="Q925" s="617"/>
      <c r="R925" s="617"/>
      <c r="S925" s="617"/>
      <c r="T925" s="617"/>
      <c r="U925" s="617"/>
      <c r="V925" s="617"/>
      <c r="W925" s="617"/>
      <c r="X925" s="617"/>
      <c r="Y925" s="617"/>
      <c r="Z925" s="617"/>
      <c r="AA925" s="617"/>
      <c r="AB925" s="617"/>
      <c r="AC925" s="617"/>
      <c r="AD925" s="617"/>
      <c r="AE925" s="617"/>
      <c r="AF925" s="617"/>
      <c r="AG925" s="617"/>
      <c r="AH925" s="617"/>
    </row>
    <row r="926" spans="1:34" ht="15" hidden="1">
      <c r="A926" s="617"/>
      <c r="B926" s="617"/>
      <c r="C926" s="617"/>
      <c r="D926" s="617"/>
      <c r="E926" s="617"/>
      <c r="F926" s="617"/>
      <c r="G926" s="617"/>
      <c r="H926" s="617"/>
      <c r="I926" s="617"/>
      <c r="J926" s="617"/>
      <c r="K926" s="617"/>
      <c r="L926" s="617"/>
      <c r="M926" s="617"/>
      <c r="N926" s="617"/>
      <c r="O926" s="617"/>
      <c r="P926" s="617"/>
      <c r="Q926" s="617"/>
      <c r="R926" s="617"/>
      <c r="S926" s="617"/>
      <c r="T926" s="617"/>
      <c r="U926" s="617"/>
      <c r="V926" s="617"/>
      <c r="W926" s="617"/>
      <c r="X926" s="617"/>
      <c r="Y926" s="617"/>
      <c r="Z926" s="617"/>
      <c r="AA926" s="617"/>
      <c r="AB926" s="617"/>
      <c r="AC926" s="617"/>
      <c r="AD926" s="617"/>
      <c r="AE926" s="617"/>
      <c r="AF926" s="617"/>
      <c r="AG926" s="617"/>
      <c r="AH926" s="617"/>
    </row>
    <row r="927" spans="1:34" ht="15" hidden="1">
      <c r="A927" s="617"/>
      <c r="B927" s="617"/>
      <c r="C927" s="617"/>
      <c r="D927" s="617"/>
      <c r="E927" s="617"/>
      <c r="F927" s="617"/>
      <c r="G927" s="617"/>
      <c r="H927" s="617"/>
      <c r="I927" s="617"/>
      <c r="J927" s="617"/>
      <c r="K927" s="617"/>
      <c r="L927" s="617"/>
      <c r="M927" s="617"/>
      <c r="N927" s="617"/>
      <c r="O927" s="617"/>
      <c r="P927" s="617"/>
      <c r="Q927" s="617"/>
      <c r="R927" s="617"/>
      <c r="S927" s="617"/>
      <c r="T927" s="617"/>
      <c r="U927" s="617"/>
      <c r="V927" s="617"/>
      <c r="W927" s="617"/>
      <c r="X927" s="617"/>
      <c r="Y927" s="617"/>
      <c r="Z927" s="617"/>
      <c r="AA927" s="617"/>
      <c r="AB927" s="617"/>
      <c r="AC927" s="617"/>
      <c r="AD927" s="617"/>
      <c r="AE927" s="617"/>
      <c r="AF927" s="617"/>
      <c r="AG927" s="617"/>
      <c r="AH927" s="617"/>
    </row>
    <row r="928" spans="1:34" ht="15" hidden="1">
      <c r="A928" s="617"/>
      <c r="B928" s="617"/>
      <c r="C928" s="617"/>
      <c r="D928" s="617"/>
      <c r="E928" s="617"/>
      <c r="F928" s="617"/>
      <c r="G928" s="617"/>
      <c r="H928" s="617"/>
      <c r="I928" s="617"/>
      <c r="J928" s="617"/>
      <c r="K928" s="617"/>
      <c r="L928" s="617"/>
      <c r="M928" s="617"/>
      <c r="N928" s="617"/>
      <c r="O928" s="617"/>
      <c r="P928" s="617"/>
      <c r="Q928" s="617"/>
      <c r="R928" s="617"/>
      <c r="S928" s="617"/>
      <c r="T928" s="617"/>
      <c r="U928" s="617"/>
      <c r="V928" s="617"/>
      <c r="W928" s="617"/>
      <c r="X928" s="617"/>
      <c r="Y928" s="617"/>
      <c r="Z928" s="617"/>
      <c r="AA928" s="617"/>
      <c r="AB928" s="617"/>
      <c r="AC928" s="617"/>
      <c r="AD928" s="617"/>
      <c r="AE928" s="617"/>
      <c r="AF928" s="617"/>
      <c r="AG928" s="617"/>
      <c r="AH928" s="617"/>
    </row>
    <row r="929" spans="1:34" ht="15" hidden="1">
      <c r="A929" s="617"/>
      <c r="B929" s="617"/>
      <c r="C929" s="617"/>
      <c r="D929" s="617"/>
      <c r="E929" s="617"/>
      <c r="F929" s="617"/>
      <c r="G929" s="617"/>
      <c r="H929" s="617"/>
      <c r="I929" s="617"/>
      <c r="J929" s="617"/>
      <c r="K929" s="617"/>
      <c r="L929" s="617"/>
      <c r="M929" s="617"/>
      <c r="N929" s="617"/>
      <c r="O929" s="617"/>
      <c r="P929" s="617"/>
      <c r="Q929" s="617"/>
      <c r="R929" s="617"/>
      <c r="S929" s="617"/>
      <c r="T929" s="617"/>
      <c r="U929" s="617"/>
      <c r="V929" s="617"/>
      <c r="W929" s="617"/>
      <c r="X929" s="617"/>
      <c r="Y929" s="617"/>
      <c r="Z929" s="617"/>
      <c r="AA929" s="617"/>
      <c r="AB929" s="617"/>
      <c r="AC929" s="617"/>
      <c r="AD929" s="617"/>
      <c r="AE929" s="617"/>
      <c r="AF929" s="617"/>
      <c r="AG929" s="617"/>
      <c r="AH929" s="617"/>
    </row>
    <row r="930" spans="1:34" ht="15" hidden="1">
      <c r="A930" s="617"/>
      <c r="B930" s="617"/>
      <c r="C930" s="617"/>
      <c r="D930" s="617"/>
      <c r="E930" s="617"/>
      <c r="F930" s="617"/>
      <c r="G930" s="617"/>
      <c r="H930" s="617"/>
      <c r="I930" s="617"/>
      <c r="J930" s="617"/>
      <c r="K930" s="617"/>
      <c r="L930" s="617"/>
      <c r="M930" s="617"/>
      <c r="N930" s="617"/>
      <c r="O930" s="617"/>
      <c r="P930" s="617"/>
      <c r="Q930" s="617"/>
      <c r="R930" s="617"/>
      <c r="S930" s="617"/>
      <c r="T930" s="617"/>
      <c r="U930" s="617"/>
      <c r="V930" s="617"/>
      <c r="W930" s="617"/>
      <c r="X930" s="617"/>
      <c r="Y930" s="617"/>
      <c r="Z930" s="617"/>
      <c r="AA930" s="617"/>
      <c r="AB930" s="617"/>
      <c r="AC930" s="617"/>
      <c r="AD930" s="617"/>
      <c r="AE930" s="617"/>
      <c r="AF930" s="617"/>
      <c r="AG930" s="617"/>
      <c r="AH930" s="617"/>
    </row>
    <row r="931" spans="1:34" ht="15" hidden="1">
      <c r="A931" s="617"/>
      <c r="B931" s="617"/>
      <c r="C931" s="617"/>
      <c r="D931" s="617"/>
      <c r="E931" s="617"/>
      <c r="F931" s="617"/>
      <c r="G931" s="617"/>
      <c r="H931" s="617"/>
      <c r="I931" s="617"/>
      <c r="J931" s="617"/>
      <c r="K931" s="617"/>
      <c r="L931" s="617"/>
      <c r="M931" s="617"/>
      <c r="N931" s="617"/>
      <c r="O931" s="617"/>
      <c r="P931" s="617"/>
      <c r="Q931" s="617"/>
      <c r="R931" s="617"/>
      <c r="S931" s="617"/>
      <c r="T931" s="617"/>
      <c r="U931" s="617"/>
      <c r="V931" s="617"/>
      <c r="W931" s="617"/>
      <c r="X931" s="617"/>
      <c r="Y931" s="617"/>
      <c r="Z931" s="617"/>
      <c r="AA931" s="617"/>
      <c r="AB931" s="617"/>
      <c r="AC931" s="617"/>
      <c r="AD931" s="617"/>
      <c r="AE931" s="617"/>
      <c r="AF931" s="617"/>
      <c r="AG931" s="617"/>
      <c r="AH931" s="617"/>
    </row>
    <row r="932" spans="1:34" ht="15" hidden="1">
      <c r="A932" s="617"/>
      <c r="B932" s="617"/>
      <c r="C932" s="617"/>
      <c r="D932" s="617"/>
      <c r="E932" s="617"/>
      <c r="F932" s="617"/>
      <c r="G932" s="617"/>
      <c r="H932" s="617"/>
      <c r="I932" s="617"/>
      <c r="J932" s="617"/>
      <c r="K932" s="617"/>
      <c r="L932" s="617"/>
      <c r="M932" s="617"/>
      <c r="N932" s="617"/>
      <c r="O932" s="617"/>
      <c r="P932" s="617"/>
      <c r="Q932" s="617"/>
      <c r="R932" s="617"/>
      <c r="S932" s="617"/>
      <c r="T932" s="617"/>
      <c r="U932" s="617"/>
      <c r="V932" s="617"/>
      <c r="W932" s="617"/>
      <c r="X932" s="617"/>
      <c r="Y932" s="617"/>
      <c r="Z932" s="617"/>
      <c r="AA932" s="617"/>
      <c r="AB932" s="617"/>
      <c r="AC932" s="617"/>
      <c r="AD932" s="617"/>
      <c r="AE932" s="617"/>
      <c r="AF932" s="617"/>
      <c r="AG932" s="617"/>
      <c r="AH932" s="617"/>
    </row>
    <row r="933" spans="1:34" ht="15" hidden="1">
      <c r="A933" s="617"/>
      <c r="B933" s="617"/>
      <c r="C933" s="617"/>
      <c r="D933" s="617"/>
      <c r="E933" s="617"/>
      <c r="F933" s="617"/>
      <c r="G933" s="617"/>
      <c r="H933" s="617"/>
      <c r="I933" s="617"/>
      <c r="J933" s="617"/>
      <c r="K933" s="617"/>
      <c r="L933" s="617"/>
      <c r="M933" s="617"/>
      <c r="N933" s="617"/>
      <c r="O933" s="617"/>
      <c r="P933" s="617"/>
      <c r="Q933" s="617"/>
      <c r="R933" s="617"/>
      <c r="S933" s="617"/>
      <c r="T933" s="617"/>
      <c r="U933" s="617"/>
      <c r="V933" s="617"/>
      <c r="W933" s="617"/>
      <c r="X933" s="617"/>
      <c r="Y933" s="617"/>
      <c r="Z933" s="617"/>
      <c r="AA933" s="617"/>
      <c r="AB933" s="617"/>
      <c r="AC933" s="617"/>
      <c r="AD933" s="617"/>
      <c r="AE933" s="617"/>
      <c r="AF933" s="617"/>
      <c r="AG933" s="617"/>
      <c r="AH933" s="617"/>
    </row>
    <row r="934" spans="1:34" ht="15" hidden="1">
      <c r="A934" s="617"/>
      <c r="B934" s="617"/>
      <c r="C934" s="617"/>
      <c r="D934" s="617"/>
      <c r="E934" s="617"/>
      <c r="F934" s="617"/>
      <c r="G934" s="617"/>
      <c r="H934" s="617"/>
      <c r="I934" s="617"/>
      <c r="J934" s="617"/>
      <c r="K934" s="617"/>
      <c r="L934" s="617"/>
      <c r="M934" s="617"/>
      <c r="N934" s="617"/>
      <c r="O934" s="617"/>
      <c r="P934" s="617"/>
      <c r="Q934" s="617"/>
      <c r="R934" s="617"/>
      <c r="S934" s="617"/>
      <c r="T934" s="617"/>
      <c r="U934" s="617"/>
      <c r="V934" s="617"/>
      <c r="W934" s="617"/>
      <c r="X934" s="617"/>
      <c r="Y934" s="617"/>
      <c r="Z934" s="617"/>
      <c r="AA934" s="617"/>
      <c r="AB934" s="617"/>
      <c r="AC934" s="617"/>
      <c r="AD934" s="617"/>
      <c r="AE934" s="617"/>
      <c r="AF934" s="617"/>
      <c r="AG934" s="617"/>
      <c r="AH934" s="617"/>
    </row>
    <row r="935" spans="1:34" ht="15" hidden="1">
      <c r="A935" s="617"/>
      <c r="B935" s="617"/>
      <c r="C935" s="617"/>
      <c r="D935" s="617"/>
      <c r="E935" s="617"/>
      <c r="F935" s="617"/>
      <c r="G935" s="617"/>
      <c r="H935" s="617"/>
      <c r="I935" s="617"/>
      <c r="J935" s="617"/>
      <c r="K935" s="617"/>
      <c r="L935" s="617"/>
      <c r="M935" s="617"/>
      <c r="N935" s="617"/>
      <c r="O935" s="617"/>
      <c r="P935" s="617"/>
      <c r="Q935" s="617"/>
      <c r="R935" s="617"/>
      <c r="S935" s="617"/>
      <c r="T935" s="617"/>
      <c r="U935" s="617"/>
      <c r="V935" s="617"/>
      <c r="W935" s="617"/>
      <c r="X935" s="617"/>
      <c r="Y935" s="617"/>
      <c r="Z935" s="617"/>
      <c r="AA935" s="617"/>
      <c r="AB935" s="617"/>
      <c r="AC935" s="617"/>
      <c r="AD935" s="617"/>
      <c r="AE935" s="617"/>
      <c r="AF935" s="617"/>
      <c r="AG935" s="617"/>
      <c r="AH935" s="617"/>
    </row>
    <row r="936" spans="1:34" ht="15" hidden="1">
      <c r="A936" s="617"/>
      <c r="B936" s="617"/>
      <c r="C936" s="617"/>
      <c r="D936" s="617"/>
      <c r="E936" s="617"/>
      <c r="F936" s="617"/>
      <c r="G936" s="617"/>
      <c r="H936" s="617"/>
      <c r="I936" s="617"/>
      <c r="J936" s="617"/>
      <c r="K936" s="617"/>
      <c r="L936" s="617"/>
      <c r="M936" s="617"/>
      <c r="N936" s="617"/>
      <c r="O936" s="617"/>
      <c r="P936" s="617"/>
      <c r="Q936" s="617"/>
      <c r="R936" s="617"/>
      <c r="S936" s="617"/>
      <c r="T936" s="617"/>
      <c r="U936" s="617"/>
      <c r="V936" s="617"/>
      <c r="W936" s="617"/>
      <c r="X936" s="617"/>
      <c r="Y936" s="617"/>
      <c r="Z936" s="617"/>
      <c r="AA936" s="617"/>
      <c r="AB936" s="617"/>
      <c r="AC936" s="617"/>
      <c r="AD936" s="617"/>
      <c r="AE936" s="617"/>
      <c r="AF936" s="617"/>
      <c r="AG936" s="617"/>
      <c r="AH936" s="617"/>
    </row>
    <row r="937" spans="1:34" ht="15" hidden="1">
      <c r="A937" s="617"/>
      <c r="B937" s="617"/>
      <c r="C937" s="617"/>
      <c r="D937" s="617"/>
      <c r="E937" s="617"/>
      <c r="F937" s="617"/>
      <c r="G937" s="617"/>
      <c r="H937" s="617"/>
      <c r="I937" s="617"/>
      <c r="J937" s="617"/>
      <c r="K937" s="617"/>
      <c r="L937" s="617"/>
      <c r="M937" s="617"/>
      <c r="N937" s="617"/>
      <c r="O937" s="617"/>
      <c r="P937" s="617"/>
      <c r="Q937" s="617"/>
      <c r="R937" s="617"/>
      <c r="S937" s="617"/>
      <c r="T937" s="617"/>
      <c r="U937" s="617"/>
      <c r="V937" s="617"/>
      <c r="W937" s="617"/>
      <c r="X937" s="617"/>
      <c r="Y937" s="617"/>
      <c r="Z937" s="617"/>
      <c r="AA937" s="617"/>
      <c r="AB937" s="617"/>
      <c r="AC937" s="617"/>
      <c r="AD937" s="617"/>
      <c r="AE937" s="617"/>
      <c r="AF937" s="617"/>
      <c r="AG937" s="617"/>
      <c r="AH937" s="617"/>
    </row>
    <row r="938" spans="1:34" ht="15" hidden="1">
      <c r="A938" s="617"/>
      <c r="B938" s="617"/>
      <c r="C938" s="617"/>
      <c r="D938" s="617"/>
      <c r="E938" s="617"/>
      <c r="F938" s="617"/>
      <c r="G938" s="617"/>
      <c r="H938" s="617"/>
      <c r="I938" s="617"/>
      <c r="J938" s="617"/>
      <c r="K938" s="617"/>
      <c r="L938" s="617"/>
      <c r="M938" s="617"/>
      <c r="N938" s="617"/>
      <c r="O938" s="617"/>
      <c r="P938" s="617"/>
      <c r="Q938" s="617"/>
      <c r="R938" s="617"/>
      <c r="S938" s="617"/>
      <c r="T938" s="617"/>
      <c r="U938" s="617"/>
      <c r="V938" s="617"/>
      <c r="W938" s="617"/>
      <c r="X938" s="617"/>
      <c r="Y938" s="617"/>
      <c r="Z938" s="617"/>
      <c r="AA938" s="617"/>
      <c r="AB938" s="617"/>
      <c r="AC938" s="617"/>
      <c r="AD938" s="617"/>
      <c r="AE938" s="617"/>
      <c r="AF938" s="617"/>
      <c r="AG938" s="617"/>
      <c r="AH938" s="617"/>
    </row>
    <row r="939" spans="1:34" ht="15" hidden="1">
      <c r="A939" s="617"/>
      <c r="B939" s="617"/>
      <c r="C939" s="617"/>
      <c r="D939" s="617"/>
      <c r="E939" s="617"/>
      <c r="F939" s="617"/>
      <c r="G939" s="617"/>
      <c r="H939" s="617"/>
      <c r="I939" s="617"/>
      <c r="J939" s="617"/>
      <c r="K939" s="617"/>
      <c r="L939" s="617"/>
      <c r="M939" s="617"/>
      <c r="N939" s="617"/>
      <c r="O939" s="617"/>
      <c r="P939" s="617"/>
      <c r="Q939" s="617"/>
      <c r="R939" s="617"/>
      <c r="S939" s="617"/>
      <c r="T939" s="617"/>
      <c r="U939" s="617"/>
      <c r="V939" s="617"/>
      <c r="W939" s="617"/>
      <c r="X939" s="617"/>
      <c r="Y939" s="617"/>
      <c r="Z939" s="617"/>
      <c r="AA939" s="617"/>
      <c r="AB939" s="617"/>
      <c r="AC939" s="617"/>
      <c r="AD939" s="617"/>
      <c r="AE939" s="617"/>
      <c r="AF939" s="617"/>
      <c r="AG939" s="617"/>
      <c r="AH939" s="617"/>
    </row>
    <row r="940" spans="1:34" ht="15" hidden="1">
      <c r="A940" s="617"/>
      <c r="B940" s="617"/>
      <c r="C940" s="617"/>
      <c r="D940" s="617"/>
      <c r="E940" s="617"/>
      <c r="F940" s="617"/>
      <c r="G940" s="617"/>
      <c r="H940" s="617"/>
      <c r="I940" s="617"/>
      <c r="J940" s="617"/>
      <c r="K940" s="617"/>
      <c r="L940" s="617"/>
      <c r="M940" s="617"/>
      <c r="N940" s="617"/>
      <c r="O940" s="617"/>
      <c r="P940" s="617"/>
      <c r="Q940" s="617"/>
      <c r="R940" s="617"/>
      <c r="S940" s="617"/>
      <c r="T940" s="617"/>
      <c r="U940" s="617"/>
      <c r="V940" s="617"/>
      <c r="W940" s="617"/>
      <c r="X940" s="617"/>
      <c r="Y940" s="617"/>
      <c r="Z940" s="617"/>
      <c r="AA940" s="617"/>
      <c r="AB940" s="617"/>
      <c r="AC940" s="617"/>
      <c r="AD940" s="617"/>
      <c r="AE940" s="617"/>
      <c r="AF940" s="617"/>
      <c r="AG940" s="617"/>
      <c r="AH940" s="617"/>
    </row>
    <row r="941" spans="1:34" ht="15" hidden="1">
      <c r="A941" s="617"/>
      <c r="B941" s="617"/>
      <c r="C941" s="617"/>
      <c r="D941" s="617"/>
      <c r="E941" s="617"/>
      <c r="F941" s="617"/>
      <c r="G941" s="617"/>
      <c r="H941" s="617"/>
      <c r="I941" s="617"/>
      <c r="J941" s="617"/>
      <c r="K941" s="617"/>
      <c r="L941" s="617"/>
      <c r="M941" s="617"/>
      <c r="N941" s="617"/>
      <c r="O941" s="617"/>
      <c r="P941" s="617"/>
      <c r="Q941" s="617"/>
      <c r="R941" s="617"/>
      <c r="S941" s="617"/>
      <c r="T941" s="617"/>
      <c r="U941" s="617"/>
      <c r="V941" s="617"/>
      <c r="W941" s="617"/>
      <c r="X941" s="617"/>
      <c r="Y941" s="617"/>
      <c r="Z941" s="617"/>
      <c r="AA941" s="617"/>
      <c r="AB941" s="617"/>
      <c r="AC941" s="617"/>
      <c r="AD941" s="617"/>
      <c r="AE941" s="617"/>
      <c r="AF941" s="617"/>
      <c r="AG941" s="617"/>
      <c r="AH941" s="617"/>
    </row>
    <row r="942" spans="1:34" ht="15" hidden="1">
      <c r="A942" s="617"/>
      <c r="B942" s="617"/>
      <c r="C942" s="617"/>
      <c r="D942" s="617"/>
      <c r="E942" s="617"/>
      <c r="F942" s="617"/>
      <c r="G942" s="617"/>
      <c r="H942" s="617"/>
      <c r="I942" s="617"/>
      <c r="J942" s="617"/>
      <c r="K942" s="617"/>
      <c r="L942" s="617"/>
      <c r="M942" s="617"/>
      <c r="N942" s="617"/>
      <c r="O942" s="617"/>
      <c r="P942" s="617"/>
      <c r="Q942" s="617"/>
      <c r="R942" s="617"/>
      <c r="S942" s="617"/>
      <c r="T942" s="617"/>
      <c r="U942" s="617"/>
      <c r="V942" s="617"/>
      <c r="W942" s="617"/>
      <c r="X942" s="617"/>
      <c r="Y942" s="617"/>
      <c r="Z942" s="617"/>
      <c r="AA942" s="617"/>
      <c r="AB942" s="617"/>
      <c r="AC942" s="617"/>
      <c r="AD942" s="617"/>
      <c r="AE942" s="617"/>
      <c r="AF942" s="617"/>
      <c r="AG942" s="617"/>
      <c r="AH942" s="617"/>
    </row>
    <row r="943" spans="1:34" ht="15" hidden="1">
      <c r="A943" s="617"/>
      <c r="B943" s="617"/>
      <c r="C943" s="617"/>
      <c r="D943" s="617"/>
      <c r="E943" s="617"/>
      <c r="F943" s="617"/>
      <c r="G943" s="617"/>
      <c r="H943" s="617"/>
      <c r="I943" s="617"/>
      <c r="J943" s="617"/>
      <c r="K943" s="617"/>
      <c r="L943" s="617"/>
      <c r="M943" s="617"/>
      <c r="N943" s="617"/>
      <c r="O943" s="617"/>
      <c r="P943" s="617"/>
      <c r="Q943" s="617"/>
      <c r="R943" s="617"/>
      <c r="S943" s="617"/>
      <c r="T943" s="617"/>
      <c r="U943" s="617"/>
      <c r="V943" s="617"/>
      <c r="W943" s="617"/>
      <c r="X943" s="617"/>
      <c r="Y943" s="617"/>
      <c r="Z943" s="617"/>
      <c r="AA943" s="617"/>
      <c r="AB943" s="617"/>
      <c r="AC943" s="617"/>
      <c r="AD943" s="617"/>
      <c r="AE943" s="617"/>
      <c r="AF943" s="617"/>
      <c r="AG943" s="617"/>
      <c r="AH943" s="617"/>
    </row>
    <row r="944" spans="1:34" ht="15" hidden="1">
      <c r="A944" s="617"/>
      <c r="B944" s="617"/>
      <c r="C944" s="617"/>
      <c r="D944" s="617"/>
      <c r="E944" s="617"/>
      <c r="F944" s="617"/>
      <c r="G944" s="617"/>
      <c r="H944" s="617"/>
      <c r="I944" s="617"/>
      <c r="J944" s="617"/>
      <c r="K944" s="617"/>
      <c r="L944" s="617"/>
      <c r="M944" s="617"/>
      <c r="N944" s="617"/>
      <c r="O944" s="617"/>
      <c r="P944" s="617"/>
      <c r="Q944" s="617"/>
      <c r="R944" s="617"/>
      <c r="S944" s="617"/>
      <c r="T944" s="617"/>
      <c r="U944" s="617"/>
      <c r="V944" s="617"/>
      <c r="W944" s="617"/>
      <c r="X944" s="617"/>
      <c r="Y944" s="617"/>
      <c r="Z944" s="617"/>
      <c r="AA944" s="617"/>
      <c r="AB944" s="617"/>
      <c r="AC944" s="617"/>
      <c r="AD944" s="617"/>
      <c r="AE944" s="617"/>
      <c r="AF944" s="617"/>
      <c r="AG944" s="617"/>
      <c r="AH944" s="617"/>
    </row>
    <row r="945" spans="1:34" ht="15" hidden="1">
      <c r="A945" s="617"/>
      <c r="B945" s="617"/>
      <c r="C945" s="617"/>
      <c r="D945" s="617"/>
      <c r="E945" s="617"/>
      <c r="F945" s="617"/>
      <c r="G945" s="617"/>
      <c r="H945" s="617"/>
      <c r="I945" s="617"/>
      <c r="J945" s="617"/>
      <c r="K945" s="617"/>
      <c r="L945" s="617"/>
      <c r="M945" s="617"/>
      <c r="N945" s="617"/>
      <c r="O945" s="617"/>
      <c r="P945" s="617"/>
      <c r="Q945" s="617"/>
      <c r="R945" s="617"/>
      <c r="S945" s="617"/>
      <c r="T945" s="617"/>
      <c r="U945" s="617"/>
      <c r="V945" s="617"/>
      <c r="W945" s="617"/>
      <c r="X945" s="617"/>
      <c r="Y945" s="617"/>
      <c r="Z945" s="617"/>
      <c r="AA945" s="617"/>
      <c r="AB945" s="617"/>
      <c r="AC945" s="617"/>
      <c r="AD945" s="617"/>
      <c r="AE945" s="617"/>
      <c r="AF945" s="617"/>
      <c r="AG945" s="617"/>
      <c r="AH945" s="617"/>
    </row>
    <row r="946" spans="1:34" ht="15" hidden="1">
      <c r="A946" s="617"/>
      <c r="B946" s="617"/>
      <c r="C946" s="617"/>
      <c r="D946" s="617"/>
      <c r="E946" s="617"/>
      <c r="F946" s="617"/>
      <c r="G946" s="617"/>
      <c r="H946" s="617"/>
      <c r="I946" s="617"/>
      <c r="J946" s="617"/>
      <c r="K946" s="617"/>
      <c r="L946" s="617"/>
      <c r="M946" s="617"/>
      <c r="N946" s="617"/>
      <c r="O946" s="617"/>
      <c r="P946" s="617"/>
      <c r="Q946" s="617"/>
      <c r="R946" s="617"/>
      <c r="S946" s="617"/>
      <c r="T946" s="617"/>
      <c r="U946" s="617"/>
      <c r="V946" s="617"/>
      <c r="W946" s="617"/>
      <c r="X946" s="617"/>
      <c r="Y946" s="617"/>
      <c r="Z946" s="617"/>
      <c r="AA946" s="617"/>
      <c r="AB946" s="617"/>
      <c r="AC946" s="617"/>
      <c r="AD946" s="617"/>
      <c r="AE946" s="617"/>
      <c r="AF946" s="617"/>
      <c r="AG946" s="617"/>
      <c r="AH946" s="617"/>
    </row>
    <row r="947" spans="1:34" ht="15" hidden="1">
      <c r="A947" s="617"/>
      <c r="B947" s="617"/>
      <c r="C947" s="617"/>
      <c r="D947" s="617"/>
      <c r="E947" s="617"/>
      <c r="F947" s="617"/>
      <c r="G947" s="617"/>
      <c r="H947" s="617"/>
      <c r="I947" s="617"/>
      <c r="J947" s="617"/>
      <c r="K947" s="617"/>
      <c r="L947" s="617"/>
      <c r="M947" s="617"/>
      <c r="N947" s="617"/>
      <c r="O947" s="617"/>
      <c r="P947" s="617"/>
      <c r="Q947" s="617"/>
      <c r="R947" s="617"/>
      <c r="S947" s="617"/>
      <c r="T947" s="617"/>
      <c r="U947" s="617"/>
      <c r="V947" s="617"/>
      <c r="W947" s="617"/>
      <c r="X947" s="617"/>
      <c r="Y947" s="617"/>
      <c r="Z947" s="617"/>
      <c r="AA947" s="617"/>
      <c r="AB947" s="617"/>
      <c r="AC947" s="617"/>
      <c r="AD947" s="617"/>
      <c r="AE947" s="617"/>
      <c r="AF947" s="617"/>
      <c r="AG947" s="617"/>
      <c r="AH947" s="617"/>
    </row>
    <row r="948" spans="1:34" ht="15" hidden="1">
      <c r="A948" s="617"/>
      <c r="B948" s="617"/>
      <c r="C948" s="617"/>
      <c r="D948" s="617"/>
      <c r="E948" s="617"/>
      <c r="F948" s="617"/>
      <c r="G948" s="617"/>
      <c r="H948" s="617"/>
      <c r="I948" s="617"/>
      <c r="J948" s="617"/>
      <c r="K948" s="617"/>
      <c r="L948" s="617"/>
      <c r="M948" s="617"/>
      <c r="N948" s="617"/>
      <c r="O948" s="617"/>
      <c r="P948" s="617"/>
      <c r="Q948" s="617"/>
      <c r="R948" s="617"/>
      <c r="S948" s="617"/>
      <c r="T948" s="617"/>
      <c r="U948" s="617"/>
      <c r="V948" s="617"/>
      <c r="W948" s="617"/>
      <c r="X948" s="617"/>
      <c r="Y948" s="617"/>
      <c r="Z948" s="617"/>
      <c r="AA948" s="617"/>
      <c r="AB948" s="617"/>
      <c r="AC948" s="617"/>
      <c r="AD948" s="617"/>
      <c r="AE948" s="617"/>
      <c r="AF948" s="617"/>
      <c r="AG948" s="617"/>
      <c r="AH948" s="617"/>
    </row>
    <row r="949" spans="1:34" ht="15" hidden="1">
      <c r="A949" s="617"/>
      <c r="B949" s="617"/>
      <c r="C949" s="617"/>
      <c r="D949" s="617"/>
      <c r="E949" s="617"/>
      <c r="F949" s="617"/>
      <c r="G949" s="617"/>
      <c r="H949" s="617"/>
      <c r="I949" s="617"/>
      <c r="J949" s="617"/>
      <c r="K949" s="617"/>
      <c r="L949" s="617"/>
      <c r="M949" s="617"/>
      <c r="N949" s="617"/>
      <c r="O949" s="617"/>
      <c r="P949" s="617"/>
      <c r="Q949" s="617"/>
      <c r="R949" s="617"/>
      <c r="S949" s="617"/>
      <c r="T949" s="617"/>
      <c r="U949" s="617"/>
      <c r="V949" s="617"/>
      <c r="W949" s="617"/>
      <c r="X949" s="617"/>
      <c r="Y949" s="617"/>
      <c r="Z949" s="617"/>
      <c r="AA949" s="617"/>
      <c r="AB949" s="617"/>
      <c r="AC949" s="617"/>
      <c r="AD949" s="617"/>
      <c r="AE949" s="617"/>
      <c r="AF949" s="617"/>
      <c r="AG949" s="617"/>
      <c r="AH949" s="617"/>
    </row>
    <row r="950" spans="1:34" ht="15" hidden="1">
      <c r="A950" s="617"/>
      <c r="B950" s="617"/>
      <c r="C950" s="617"/>
      <c r="D950" s="617"/>
      <c r="E950" s="617"/>
      <c r="F950" s="617"/>
      <c r="G950" s="617"/>
      <c r="H950" s="617"/>
      <c r="I950" s="617"/>
      <c r="J950" s="617"/>
      <c r="K950" s="617"/>
      <c r="L950" s="617"/>
      <c r="M950" s="617"/>
      <c r="N950" s="617"/>
      <c r="O950" s="617"/>
      <c r="P950" s="617"/>
      <c r="Q950" s="617"/>
      <c r="R950" s="617"/>
      <c r="S950" s="617"/>
      <c r="T950" s="617"/>
      <c r="U950" s="617"/>
      <c r="V950" s="617"/>
      <c r="W950" s="617"/>
      <c r="X950" s="617"/>
      <c r="Y950" s="617"/>
      <c r="Z950" s="617"/>
      <c r="AA950" s="617"/>
      <c r="AB950" s="617"/>
      <c r="AC950" s="617"/>
      <c r="AD950" s="617"/>
      <c r="AE950" s="617"/>
      <c r="AF950" s="617"/>
      <c r="AG950" s="617"/>
      <c r="AH950" s="617"/>
    </row>
    <row r="951" spans="1:34" ht="15" hidden="1">
      <c r="A951" s="617"/>
      <c r="B951" s="617"/>
      <c r="C951" s="617"/>
      <c r="D951" s="617"/>
      <c r="E951" s="617"/>
      <c r="F951" s="617"/>
      <c r="G951" s="617"/>
      <c r="H951" s="617"/>
      <c r="I951" s="617"/>
      <c r="J951" s="617"/>
      <c r="K951" s="617"/>
      <c r="L951" s="617"/>
      <c r="M951" s="617"/>
      <c r="N951" s="617"/>
      <c r="O951" s="617"/>
      <c r="P951" s="617"/>
      <c r="Q951" s="617"/>
      <c r="R951" s="617"/>
      <c r="S951" s="617"/>
      <c r="T951" s="617"/>
      <c r="U951" s="617"/>
      <c r="V951" s="617"/>
      <c r="W951" s="617"/>
      <c r="X951" s="617"/>
      <c r="Y951" s="617"/>
      <c r="Z951" s="617"/>
      <c r="AA951" s="617"/>
      <c r="AB951" s="617"/>
      <c r="AC951" s="617"/>
      <c r="AD951" s="617"/>
      <c r="AE951" s="617"/>
      <c r="AF951" s="617"/>
      <c r="AG951" s="617"/>
      <c r="AH951" s="617"/>
    </row>
    <row r="952" spans="1:34" ht="15" hidden="1">
      <c r="A952" s="617"/>
      <c r="B952" s="617"/>
      <c r="C952" s="617"/>
      <c r="D952" s="617"/>
      <c r="E952" s="617"/>
      <c r="F952" s="617"/>
      <c r="G952" s="617"/>
      <c r="H952" s="617"/>
      <c r="I952" s="617"/>
      <c r="J952" s="617"/>
      <c r="K952" s="617"/>
      <c r="L952" s="617"/>
      <c r="M952" s="617"/>
      <c r="N952" s="617"/>
      <c r="O952" s="617"/>
      <c r="P952" s="617"/>
      <c r="Q952" s="617"/>
      <c r="R952" s="617"/>
      <c r="S952" s="617"/>
      <c r="T952" s="617"/>
      <c r="U952" s="617"/>
      <c r="V952" s="617"/>
      <c r="W952" s="617"/>
      <c r="X952" s="617"/>
      <c r="Y952" s="617"/>
      <c r="Z952" s="617"/>
      <c r="AA952" s="617"/>
      <c r="AB952" s="617"/>
      <c r="AC952" s="617"/>
      <c r="AD952" s="617"/>
      <c r="AE952" s="617"/>
      <c r="AF952" s="617"/>
      <c r="AG952" s="617"/>
      <c r="AH952" s="617"/>
    </row>
    <row r="953" spans="1:34" ht="15" hidden="1">
      <c r="A953" s="617"/>
      <c r="B953" s="617"/>
      <c r="C953" s="617"/>
      <c r="D953" s="617"/>
      <c r="E953" s="617"/>
      <c r="F953" s="617"/>
      <c r="G953" s="617"/>
      <c r="H953" s="617"/>
      <c r="I953" s="617"/>
      <c r="J953" s="617"/>
      <c r="K953" s="617"/>
      <c r="L953" s="617"/>
      <c r="M953" s="617"/>
      <c r="N953" s="617"/>
      <c r="O953" s="617"/>
      <c r="P953" s="617"/>
      <c r="Q953" s="617"/>
      <c r="R953" s="617"/>
      <c r="S953" s="617"/>
      <c r="T953" s="617"/>
      <c r="U953" s="617"/>
      <c r="V953" s="617"/>
      <c r="W953" s="617"/>
      <c r="X953" s="617"/>
      <c r="Y953" s="617"/>
      <c r="Z953" s="617"/>
      <c r="AA953" s="617"/>
      <c r="AB953" s="617"/>
      <c r="AC953" s="617"/>
      <c r="AD953" s="617"/>
      <c r="AE953" s="617"/>
      <c r="AF953" s="617"/>
      <c r="AG953" s="617"/>
      <c r="AH953" s="617"/>
    </row>
    <row r="954" spans="1:34" ht="15" hidden="1">
      <c r="A954" s="617"/>
      <c r="B954" s="617"/>
      <c r="C954" s="617"/>
      <c r="D954" s="617"/>
      <c r="E954" s="617"/>
      <c r="F954" s="617"/>
      <c r="G954" s="617"/>
      <c r="H954" s="617"/>
      <c r="I954" s="617"/>
      <c r="J954" s="617"/>
      <c r="K954" s="617"/>
      <c r="L954" s="617"/>
      <c r="M954" s="617"/>
      <c r="N954" s="617"/>
      <c r="O954" s="617"/>
      <c r="P954" s="617"/>
      <c r="Q954" s="617"/>
      <c r="R954" s="617"/>
      <c r="S954" s="617"/>
      <c r="T954" s="617"/>
      <c r="U954" s="617"/>
      <c r="V954" s="617"/>
      <c r="W954" s="617"/>
      <c r="X954" s="617"/>
      <c r="Y954" s="617"/>
      <c r="Z954" s="617"/>
      <c r="AA954" s="617"/>
      <c r="AB954" s="617"/>
      <c r="AC954" s="617"/>
      <c r="AD954" s="617"/>
      <c r="AE954" s="617"/>
      <c r="AF954" s="617"/>
      <c r="AG954" s="617"/>
      <c r="AH954" s="617"/>
    </row>
    <row r="955" spans="1:34" ht="15" hidden="1">
      <c r="A955" s="617"/>
      <c r="B955" s="617"/>
      <c r="C955" s="617"/>
      <c r="D955" s="617"/>
      <c r="E955" s="617"/>
      <c r="F955" s="617"/>
      <c r="G955" s="617"/>
      <c r="H955" s="617"/>
      <c r="I955" s="617"/>
      <c r="J955" s="617"/>
      <c r="K955" s="617"/>
      <c r="L955" s="617"/>
      <c r="M955" s="617"/>
      <c r="N955" s="617"/>
      <c r="O955" s="617"/>
      <c r="P955" s="617"/>
      <c r="Q955" s="617"/>
      <c r="R955" s="617"/>
      <c r="S955" s="617"/>
      <c r="T955" s="617"/>
      <c r="U955" s="617"/>
      <c r="V955" s="617"/>
      <c r="W955" s="617"/>
      <c r="X955" s="617"/>
      <c r="Y955" s="617"/>
      <c r="Z955" s="617"/>
      <c r="AA955" s="617"/>
      <c r="AB955" s="617"/>
      <c r="AC955" s="617"/>
      <c r="AD955" s="617"/>
      <c r="AE955" s="617"/>
      <c r="AF955" s="617"/>
      <c r="AG955" s="617"/>
      <c r="AH955" s="617"/>
    </row>
    <row r="956" spans="1:34" ht="15" hidden="1">
      <c r="A956" s="617"/>
      <c r="B956" s="617"/>
      <c r="C956" s="617"/>
      <c r="D956" s="617"/>
      <c r="E956" s="617"/>
      <c r="F956" s="617"/>
      <c r="G956" s="617"/>
      <c r="H956" s="617"/>
      <c r="I956" s="617"/>
      <c r="J956" s="617"/>
      <c r="K956" s="617"/>
      <c r="L956" s="617"/>
      <c r="M956" s="617"/>
      <c r="N956" s="617"/>
      <c r="O956" s="617"/>
      <c r="P956" s="617"/>
      <c r="Q956" s="617"/>
      <c r="R956" s="617"/>
      <c r="S956" s="617"/>
      <c r="T956" s="617"/>
      <c r="U956" s="617"/>
      <c r="V956" s="617"/>
      <c r="W956" s="617"/>
      <c r="X956" s="617"/>
      <c r="Y956" s="617"/>
      <c r="Z956" s="617"/>
      <c r="AA956" s="617"/>
      <c r="AB956" s="617"/>
      <c r="AC956" s="617"/>
      <c r="AD956" s="617"/>
      <c r="AE956" s="617"/>
      <c r="AF956" s="617"/>
      <c r="AG956" s="617"/>
      <c r="AH956" s="617"/>
    </row>
    <row r="957" spans="1:34" ht="15" hidden="1">
      <c r="A957" s="617"/>
      <c r="B957" s="617"/>
      <c r="C957" s="617"/>
      <c r="D957" s="617"/>
      <c r="E957" s="617"/>
      <c r="F957" s="617"/>
      <c r="G957" s="617"/>
      <c r="H957" s="617"/>
      <c r="I957" s="617"/>
      <c r="J957" s="617"/>
      <c r="K957" s="617"/>
      <c r="L957" s="617"/>
      <c r="M957" s="617"/>
      <c r="N957" s="617"/>
      <c r="O957" s="617"/>
      <c r="P957" s="617"/>
      <c r="Q957" s="617"/>
      <c r="R957" s="617"/>
      <c r="S957" s="617"/>
      <c r="T957" s="617"/>
      <c r="U957" s="617"/>
      <c r="V957" s="617"/>
      <c r="W957" s="617"/>
      <c r="X957" s="617"/>
      <c r="Y957" s="617"/>
      <c r="Z957" s="617"/>
      <c r="AA957" s="617"/>
      <c r="AB957" s="617"/>
      <c r="AC957" s="617"/>
      <c r="AD957" s="617"/>
      <c r="AE957" s="617"/>
      <c r="AF957" s="617"/>
      <c r="AG957" s="617"/>
      <c r="AH957" s="617"/>
    </row>
    <row r="958" spans="1:34" ht="15" hidden="1">
      <c r="A958" s="617"/>
      <c r="B958" s="617"/>
      <c r="C958" s="617"/>
      <c r="D958" s="617"/>
      <c r="E958" s="617"/>
      <c r="F958" s="617"/>
      <c r="G958" s="617"/>
      <c r="H958" s="617"/>
      <c r="I958" s="617"/>
      <c r="J958" s="617"/>
      <c r="K958" s="617"/>
      <c r="L958" s="617"/>
      <c r="M958" s="617"/>
      <c r="N958" s="617"/>
      <c r="O958" s="617"/>
      <c r="P958" s="617"/>
      <c r="Q958" s="617"/>
      <c r="R958" s="617"/>
      <c r="S958" s="617"/>
      <c r="T958" s="617"/>
      <c r="U958" s="617"/>
      <c r="V958" s="617"/>
      <c r="W958" s="617"/>
      <c r="X958" s="617"/>
      <c r="Y958" s="617"/>
      <c r="Z958" s="617"/>
      <c r="AA958" s="617"/>
      <c r="AB958" s="617"/>
      <c r="AC958" s="617"/>
      <c r="AD958" s="617"/>
      <c r="AE958" s="617"/>
      <c r="AF958" s="617"/>
      <c r="AG958" s="617"/>
      <c r="AH958" s="617"/>
    </row>
    <row r="959" spans="1:34" ht="15" hidden="1">
      <c r="A959" s="617"/>
      <c r="B959" s="617"/>
      <c r="C959" s="617"/>
      <c r="D959" s="617"/>
      <c r="E959" s="617"/>
      <c r="F959" s="617"/>
      <c r="G959" s="617"/>
      <c r="H959" s="617"/>
      <c r="I959" s="617"/>
      <c r="J959" s="617"/>
      <c r="K959" s="617"/>
      <c r="L959" s="617"/>
      <c r="M959" s="617"/>
      <c r="N959" s="617"/>
      <c r="O959" s="617"/>
      <c r="P959" s="617"/>
      <c r="Q959" s="617"/>
      <c r="R959" s="617"/>
      <c r="S959" s="617"/>
      <c r="T959" s="617"/>
      <c r="U959" s="617"/>
      <c r="V959" s="617"/>
      <c r="W959" s="617"/>
      <c r="X959" s="617"/>
      <c r="Y959" s="617"/>
      <c r="Z959" s="617"/>
      <c r="AA959" s="617"/>
      <c r="AB959" s="617"/>
      <c r="AC959" s="617"/>
      <c r="AD959" s="617"/>
      <c r="AE959" s="617"/>
      <c r="AF959" s="617"/>
      <c r="AG959" s="617"/>
      <c r="AH959" s="617"/>
    </row>
    <row r="960" spans="1:34" ht="15" hidden="1">
      <c r="A960" s="617"/>
      <c r="B960" s="617"/>
      <c r="C960" s="617"/>
      <c r="D960" s="617"/>
      <c r="E960" s="617"/>
      <c r="F960" s="617"/>
      <c r="G960" s="617"/>
      <c r="H960" s="617"/>
      <c r="I960" s="617"/>
      <c r="J960" s="617"/>
      <c r="K960" s="617"/>
      <c r="L960" s="617"/>
      <c r="M960" s="617"/>
      <c r="N960" s="617"/>
      <c r="O960" s="617"/>
      <c r="P960" s="617"/>
      <c r="Q960" s="617"/>
      <c r="R960" s="617"/>
      <c r="S960" s="617"/>
      <c r="T960" s="617"/>
      <c r="U960" s="617"/>
      <c r="V960" s="617"/>
      <c r="W960" s="617"/>
      <c r="X960" s="617"/>
      <c r="Y960" s="617"/>
      <c r="Z960" s="617"/>
      <c r="AA960" s="617"/>
      <c r="AB960" s="617"/>
      <c r="AC960" s="617"/>
      <c r="AD960" s="617"/>
      <c r="AE960" s="617"/>
      <c r="AF960" s="617"/>
      <c r="AG960" s="617"/>
      <c r="AH960" s="617"/>
    </row>
    <row r="961" spans="1:34" ht="15" hidden="1">
      <c r="A961" s="617"/>
      <c r="B961" s="617"/>
      <c r="C961" s="617"/>
      <c r="D961" s="617"/>
      <c r="E961" s="617"/>
      <c r="F961" s="617"/>
      <c r="G961" s="617"/>
      <c r="H961" s="617"/>
      <c r="I961" s="617"/>
      <c r="J961" s="617"/>
      <c r="K961" s="617"/>
      <c r="L961" s="617"/>
      <c r="M961" s="617"/>
      <c r="N961" s="617"/>
      <c r="O961" s="617"/>
      <c r="P961" s="617"/>
      <c r="Q961" s="617"/>
      <c r="R961" s="617"/>
      <c r="S961" s="617"/>
      <c r="T961" s="617"/>
      <c r="U961" s="617"/>
      <c r="V961" s="617"/>
      <c r="W961" s="617"/>
      <c r="X961" s="617"/>
      <c r="Y961" s="617"/>
      <c r="Z961" s="617"/>
      <c r="AA961" s="617"/>
      <c r="AB961" s="617"/>
      <c r="AC961" s="617"/>
      <c r="AD961" s="617"/>
      <c r="AE961" s="617"/>
      <c r="AF961" s="617"/>
      <c r="AG961" s="617"/>
      <c r="AH961" s="617"/>
    </row>
    <row r="962" spans="1:34" ht="15" hidden="1">
      <c r="A962" s="617"/>
      <c r="B962" s="617"/>
      <c r="C962" s="617"/>
      <c r="D962" s="617"/>
      <c r="E962" s="617"/>
      <c r="F962" s="617"/>
      <c r="G962" s="617"/>
      <c r="H962" s="617"/>
      <c r="I962" s="617"/>
      <c r="J962" s="617"/>
      <c r="K962" s="617"/>
      <c r="L962" s="617"/>
      <c r="M962" s="617"/>
      <c r="N962" s="617"/>
      <c r="O962" s="617"/>
      <c r="P962" s="617"/>
      <c r="Q962" s="617"/>
      <c r="R962" s="617"/>
      <c r="S962" s="617"/>
      <c r="T962" s="617"/>
      <c r="U962" s="617"/>
      <c r="V962" s="617"/>
      <c r="W962" s="617"/>
      <c r="X962" s="617"/>
      <c r="Y962" s="617"/>
      <c r="Z962" s="617"/>
      <c r="AA962" s="617"/>
      <c r="AB962" s="617"/>
      <c r="AC962" s="617"/>
      <c r="AD962" s="617"/>
      <c r="AE962" s="617"/>
      <c r="AF962" s="617"/>
      <c r="AG962" s="617"/>
      <c r="AH962" s="617"/>
    </row>
    <row r="963" spans="1:34" ht="15" hidden="1">
      <c r="A963" s="617"/>
      <c r="B963" s="617"/>
      <c r="C963" s="617"/>
      <c r="D963" s="617"/>
      <c r="E963" s="617"/>
      <c r="F963" s="617"/>
      <c r="G963" s="617"/>
      <c r="H963" s="617"/>
      <c r="I963" s="617"/>
      <c r="J963" s="617"/>
      <c r="K963" s="617"/>
      <c r="L963" s="617"/>
      <c r="M963" s="617"/>
      <c r="N963" s="617"/>
      <c r="O963" s="617"/>
      <c r="P963" s="617"/>
      <c r="Q963" s="617"/>
      <c r="R963" s="617"/>
      <c r="S963" s="617"/>
      <c r="T963" s="617"/>
      <c r="U963" s="617"/>
      <c r="V963" s="617"/>
      <c r="W963" s="617"/>
      <c r="X963" s="617"/>
      <c r="Y963" s="617"/>
      <c r="Z963" s="617"/>
      <c r="AA963" s="617"/>
      <c r="AB963" s="617"/>
      <c r="AC963" s="617"/>
      <c r="AD963" s="617"/>
      <c r="AE963" s="617"/>
      <c r="AF963" s="617"/>
      <c r="AG963" s="617"/>
      <c r="AH963" s="617"/>
    </row>
    <row r="964" spans="1:34" ht="15" hidden="1">
      <c r="A964" s="617"/>
      <c r="B964" s="617"/>
      <c r="C964" s="617"/>
      <c r="D964" s="617"/>
      <c r="E964" s="617"/>
      <c r="F964" s="617"/>
      <c r="G964" s="617"/>
      <c r="H964" s="617"/>
      <c r="I964" s="617"/>
      <c r="J964" s="617"/>
      <c r="K964" s="617"/>
      <c r="L964" s="617"/>
      <c r="M964" s="617"/>
      <c r="N964" s="617"/>
      <c r="O964" s="617"/>
      <c r="P964" s="617"/>
      <c r="Q964" s="617"/>
      <c r="R964" s="617"/>
      <c r="S964" s="617"/>
      <c r="T964" s="617"/>
      <c r="U964" s="617"/>
      <c r="V964" s="617"/>
      <c r="W964" s="617"/>
      <c r="X964" s="617"/>
      <c r="Y964" s="617"/>
      <c r="Z964" s="617"/>
      <c r="AA964" s="617"/>
      <c r="AB964" s="617"/>
      <c r="AC964" s="617"/>
      <c r="AD964" s="617"/>
      <c r="AE964" s="617"/>
      <c r="AF964" s="617"/>
      <c r="AG964" s="617"/>
      <c r="AH964" s="617"/>
    </row>
    <row r="965" spans="1:34" ht="15" hidden="1">
      <c r="A965" s="617"/>
      <c r="B965" s="617"/>
      <c r="C965" s="617"/>
      <c r="D965" s="617"/>
      <c r="E965" s="617"/>
      <c r="F965" s="617"/>
      <c r="G965" s="617"/>
      <c r="H965" s="617"/>
      <c r="I965" s="617"/>
      <c r="J965" s="617"/>
      <c r="K965" s="617"/>
      <c r="L965" s="617"/>
      <c r="M965" s="617"/>
      <c r="N965" s="617"/>
      <c r="O965" s="617"/>
      <c r="P965" s="617"/>
      <c r="Q965" s="617"/>
      <c r="R965" s="617"/>
      <c r="S965" s="617"/>
      <c r="T965" s="617"/>
      <c r="U965" s="617"/>
      <c r="V965" s="617"/>
      <c r="W965" s="617"/>
      <c r="X965" s="617"/>
      <c r="Y965" s="617"/>
      <c r="Z965" s="617"/>
      <c r="AA965" s="617"/>
      <c r="AB965" s="617"/>
      <c r="AC965" s="617"/>
      <c r="AD965" s="617"/>
      <c r="AE965" s="617"/>
      <c r="AF965" s="617"/>
      <c r="AG965" s="617"/>
      <c r="AH965" s="617"/>
    </row>
    <row r="966" spans="1:34" ht="15" hidden="1">
      <c r="A966" s="617"/>
      <c r="B966" s="617"/>
      <c r="C966" s="617"/>
      <c r="D966" s="617"/>
      <c r="E966" s="617"/>
      <c r="F966" s="617"/>
      <c r="G966" s="617"/>
      <c r="H966" s="617"/>
      <c r="I966" s="617"/>
      <c r="J966" s="617"/>
      <c r="K966" s="617"/>
      <c r="L966" s="617"/>
      <c r="M966" s="617"/>
      <c r="N966" s="617"/>
      <c r="O966" s="617"/>
      <c r="P966" s="617"/>
      <c r="Q966" s="617"/>
      <c r="R966" s="617"/>
      <c r="S966" s="617"/>
      <c r="T966" s="617"/>
      <c r="U966" s="617"/>
      <c r="V966" s="617"/>
      <c r="W966" s="617"/>
      <c r="X966" s="617"/>
      <c r="Y966" s="617"/>
      <c r="Z966" s="617"/>
      <c r="AA966" s="617"/>
      <c r="AB966" s="617"/>
      <c r="AC966" s="617"/>
      <c r="AD966" s="617"/>
      <c r="AE966" s="617"/>
      <c r="AF966" s="617"/>
      <c r="AG966" s="617"/>
      <c r="AH966" s="617"/>
    </row>
    <row r="967" spans="1:34" ht="15" hidden="1">
      <c r="A967" s="617"/>
      <c r="B967" s="617"/>
      <c r="C967" s="617"/>
      <c r="D967" s="617"/>
      <c r="E967" s="617"/>
      <c r="F967" s="617"/>
      <c r="G967" s="617"/>
      <c r="H967" s="617"/>
      <c r="I967" s="617"/>
      <c r="J967" s="617"/>
      <c r="K967" s="617"/>
      <c r="L967" s="617"/>
      <c r="M967" s="617"/>
      <c r="N967" s="617"/>
      <c r="O967" s="617"/>
      <c r="P967" s="617"/>
      <c r="Q967" s="617"/>
      <c r="R967" s="617"/>
      <c r="S967" s="617"/>
      <c r="T967" s="617"/>
      <c r="U967" s="617"/>
      <c r="V967" s="617"/>
      <c r="W967" s="617"/>
      <c r="X967" s="617"/>
      <c r="Y967" s="617"/>
      <c r="Z967" s="617"/>
      <c r="AA967" s="617"/>
      <c r="AB967" s="617"/>
      <c r="AC967" s="617"/>
      <c r="AD967" s="617"/>
      <c r="AE967" s="617"/>
      <c r="AF967" s="617"/>
      <c r="AG967" s="617"/>
      <c r="AH967" s="617"/>
    </row>
    <row r="968" spans="1:34" ht="15" hidden="1">
      <c r="A968" s="617"/>
      <c r="B968" s="617"/>
      <c r="C968" s="617"/>
      <c r="D968" s="617"/>
      <c r="E968" s="617"/>
      <c r="F968" s="617"/>
      <c r="G968" s="617"/>
      <c r="H968" s="617"/>
      <c r="I968" s="617"/>
      <c r="J968" s="617"/>
      <c r="K968" s="617"/>
      <c r="L968" s="617"/>
      <c r="M968" s="617"/>
      <c r="N968" s="617"/>
      <c r="O968" s="617"/>
      <c r="P968" s="617"/>
      <c r="Q968" s="617"/>
      <c r="R968" s="617"/>
      <c r="S968" s="617"/>
      <c r="T968" s="617"/>
      <c r="U968" s="617"/>
      <c r="V968" s="617"/>
      <c r="W968" s="617"/>
      <c r="X968" s="617"/>
      <c r="Y968" s="617"/>
      <c r="Z968" s="617"/>
      <c r="AA968" s="617"/>
      <c r="AB968" s="617"/>
      <c r="AC968" s="617"/>
      <c r="AD968" s="617"/>
      <c r="AE968" s="617"/>
      <c r="AF968" s="617"/>
      <c r="AG968" s="617"/>
      <c r="AH968" s="617"/>
    </row>
    <row r="969" spans="1:34" ht="15" hidden="1">
      <c r="A969" s="617"/>
      <c r="B969" s="617"/>
      <c r="C969" s="617"/>
      <c r="D969" s="617"/>
      <c r="E969" s="617"/>
      <c r="F969" s="617"/>
      <c r="G969" s="617"/>
      <c r="H969" s="617"/>
      <c r="I969" s="617"/>
      <c r="J969" s="617"/>
      <c r="K969" s="617"/>
      <c r="L969" s="617"/>
      <c r="M969" s="617"/>
      <c r="N969" s="617"/>
      <c r="O969" s="617"/>
      <c r="P969" s="617"/>
      <c r="Q969" s="617"/>
      <c r="R969" s="617"/>
      <c r="S969" s="617"/>
      <c r="T969" s="617"/>
      <c r="U969" s="617"/>
      <c r="V969" s="617"/>
      <c r="W969" s="617"/>
      <c r="X969" s="617"/>
      <c r="Y969" s="617"/>
      <c r="Z969" s="617"/>
      <c r="AA969" s="617"/>
      <c r="AB969" s="617"/>
      <c r="AC969" s="617"/>
      <c r="AD969" s="617"/>
      <c r="AE969" s="617"/>
      <c r="AF969" s="617"/>
      <c r="AG969" s="617"/>
      <c r="AH969" s="617"/>
    </row>
    <row r="970" spans="1:34" ht="15" hidden="1">
      <c r="A970" s="617"/>
      <c r="B970" s="617"/>
      <c r="C970" s="617"/>
      <c r="D970" s="617"/>
      <c r="E970" s="617"/>
      <c r="F970" s="617"/>
      <c r="G970" s="617"/>
      <c r="H970" s="617"/>
      <c r="I970" s="617"/>
      <c r="J970" s="617"/>
      <c r="K970" s="617"/>
      <c r="L970" s="617"/>
      <c r="M970" s="617"/>
      <c r="N970" s="617"/>
      <c r="O970" s="617"/>
      <c r="P970" s="617"/>
      <c r="Q970" s="617"/>
      <c r="R970" s="617"/>
      <c r="S970" s="617"/>
      <c r="T970" s="617"/>
      <c r="U970" s="617"/>
      <c r="V970" s="617"/>
      <c r="W970" s="617"/>
      <c r="X970" s="617"/>
      <c r="Y970" s="617"/>
      <c r="Z970" s="617"/>
      <c r="AA970" s="617"/>
      <c r="AB970" s="617"/>
      <c r="AC970" s="617"/>
      <c r="AD970" s="617"/>
      <c r="AE970" s="617"/>
      <c r="AF970" s="617"/>
      <c r="AG970" s="617"/>
      <c r="AH970" s="617"/>
    </row>
    <row r="971" spans="1:34" ht="15" hidden="1">
      <c r="A971" s="617"/>
      <c r="B971" s="617"/>
      <c r="C971" s="617"/>
      <c r="D971" s="617"/>
      <c r="E971" s="617"/>
      <c r="F971" s="617"/>
      <c r="G971" s="617"/>
      <c r="H971" s="617"/>
      <c r="I971" s="617"/>
      <c r="J971" s="617"/>
      <c r="K971" s="617"/>
      <c r="L971" s="617"/>
      <c r="M971" s="617"/>
      <c r="N971" s="617"/>
      <c r="O971" s="617"/>
      <c r="P971" s="617"/>
      <c r="Q971" s="617"/>
      <c r="R971" s="617"/>
      <c r="S971" s="617"/>
      <c r="T971" s="617"/>
      <c r="U971" s="617"/>
      <c r="V971" s="617"/>
      <c r="W971" s="617"/>
      <c r="X971" s="617"/>
      <c r="Y971" s="617"/>
      <c r="Z971" s="617"/>
      <c r="AA971" s="617"/>
      <c r="AB971" s="617"/>
      <c r="AC971" s="617"/>
      <c r="AD971" s="617"/>
      <c r="AE971" s="617"/>
      <c r="AF971" s="617"/>
      <c r="AG971" s="617"/>
      <c r="AH971" s="617"/>
    </row>
    <row r="972" spans="1:34" ht="15" hidden="1">
      <c r="A972" s="617"/>
      <c r="B972" s="617"/>
      <c r="C972" s="617"/>
      <c r="D972" s="617"/>
      <c r="E972" s="617"/>
      <c r="F972" s="617"/>
      <c r="G972" s="617"/>
      <c r="H972" s="617"/>
      <c r="I972" s="617"/>
      <c r="J972" s="617"/>
      <c r="K972" s="617"/>
      <c r="L972" s="617"/>
      <c r="M972" s="617"/>
      <c r="N972" s="617"/>
      <c r="O972" s="617"/>
      <c r="P972" s="617"/>
      <c r="Q972" s="617"/>
      <c r="R972" s="617"/>
      <c r="S972" s="617"/>
      <c r="T972" s="617"/>
      <c r="U972" s="617"/>
      <c r="V972" s="617"/>
      <c r="W972" s="617"/>
      <c r="X972" s="617"/>
      <c r="Y972" s="617"/>
      <c r="Z972" s="617"/>
      <c r="AA972" s="617"/>
      <c r="AB972" s="617"/>
      <c r="AC972" s="617"/>
      <c r="AD972" s="617"/>
      <c r="AE972" s="617"/>
      <c r="AF972" s="617"/>
      <c r="AG972" s="617"/>
      <c r="AH972" s="617"/>
    </row>
  </sheetData>
  <mergeCells count="94">
    <mergeCell ref="T19:W20"/>
    <mergeCell ref="T21:W22"/>
    <mergeCell ref="O47:P47"/>
    <mergeCell ref="Q28:R28"/>
    <mergeCell ref="Q29:R29"/>
    <mergeCell ref="Q30:R30"/>
    <mergeCell ref="Q31:R31"/>
    <mergeCell ref="Q42:R42"/>
    <mergeCell ref="Q43:R43"/>
    <mergeCell ref="Q44:R44"/>
    <mergeCell ref="Q38:R38"/>
    <mergeCell ref="Q39:R39"/>
    <mergeCell ref="Q40:R40"/>
    <mergeCell ref="O40:P40"/>
    <mergeCell ref="O41:P41"/>
    <mergeCell ref="Q33:R33"/>
    <mergeCell ref="C56:M57"/>
    <mergeCell ref="C48:N48"/>
    <mergeCell ref="C50:M51"/>
    <mergeCell ref="D49:M49"/>
    <mergeCell ref="C52:E52"/>
    <mergeCell ref="N49:R49"/>
    <mergeCell ref="N56:R56"/>
    <mergeCell ref="N57:R57"/>
    <mergeCell ref="N55:R55"/>
    <mergeCell ref="N51:R51"/>
    <mergeCell ref="N52:R52"/>
    <mergeCell ref="N53:R53"/>
    <mergeCell ref="N54:R54"/>
    <mergeCell ref="T11:W12"/>
    <mergeCell ref="C53:M53"/>
    <mergeCell ref="C54:M54"/>
    <mergeCell ref="C55:M55"/>
    <mergeCell ref="Q32:R32"/>
    <mergeCell ref="Q46:R46"/>
    <mergeCell ref="Q47:R47"/>
    <mergeCell ref="Q45:R45"/>
    <mergeCell ref="O45:P45"/>
    <mergeCell ref="O46:P46"/>
    <mergeCell ref="O34:P34"/>
    <mergeCell ref="O42:P42"/>
    <mergeCell ref="O43:P43"/>
    <mergeCell ref="O44:P44"/>
    <mergeCell ref="T13:W14"/>
    <mergeCell ref="N50:R50"/>
    <mergeCell ref="Q34:R34"/>
    <mergeCell ref="Q35:R35"/>
    <mergeCell ref="Q36:R36"/>
    <mergeCell ref="Q37:R37"/>
    <mergeCell ref="O33:P33"/>
    <mergeCell ref="Q41:R41"/>
    <mergeCell ref="O35:P35"/>
    <mergeCell ref="O36:P36"/>
    <mergeCell ref="O37:P37"/>
    <mergeCell ref="O38:P38"/>
    <mergeCell ref="O39:P39"/>
    <mergeCell ref="O32:P32"/>
    <mergeCell ref="Q26:R27"/>
    <mergeCell ref="C26:C27"/>
    <mergeCell ref="D26:D27"/>
    <mergeCell ref="E26:E27"/>
    <mergeCell ref="F26:F27"/>
    <mergeCell ref="G26:G27"/>
    <mergeCell ref="H26:H27"/>
    <mergeCell ref="M26:N26"/>
    <mergeCell ref="I26:I27"/>
    <mergeCell ref="O28:P28"/>
    <mergeCell ref="O29:P29"/>
    <mergeCell ref="O30:P30"/>
    <mergeCell ref="O31:P31"/>
    <mergeCell ref="J26:J27"/>
    <mergeCell ref="L26:L27"/>
    <mergeCell ref="K26:K27"/>
    <mergeCell ref="O26:P27"/>
    <mergeCell ref="O2:Q2"/>
    <mergeCell ref="D5:J6"/>
    <mergeCell ref="N4:Q4"/>
    <mergeCell ref="N5:Q5"/>
    <mergeCell ref="D9:H10"/>
    <mergeCell ref="C8:K8"/>
    <mergeCell ref="D23:K24"/>
    <mergeCell ref="D12:M12"/>
    <mergeCell ref="D13:N13"/>
    <mergeCell ref="N6:Q6"/>
    <mergeCell ref="N7:Q7"/>
    <mergeCell ref="N8:Q8"/>
    <mergeCell ref="N9:R9"/>
    <mergeCell ref="D11:M11"/>
    <mergeCell ref="D18:M18"/>
    <mergeCell ref="D19:M21"/>
    <mergeCell ref="D16:M16"/>
    <mergeCell ref="D14:M14"/>
    <mergeCell ref="D15:M15"/>
    <mergeCell ref="D17:M17"/>
  </mergeCells>
  <hyperlinks>
    <hyperlink ref="T13:V14" location="'LIC VASANTHAM - HOME'!A1" display="CLICK HERE"/>
    <hyperlink ref="T21:W22" location="EPLUS!A1" display="CLICK HERE"/>
    <hyperlink ref="T13:W14" location="'VASANTHAM HOME'!A1" display="CLICK HERE"/>
  </hyperlinks>
  <pageMargins left="0.7" right="0.7" top="0.75" bottom="0.75" header="0.3" footer="0.3"/>
  <pageSetup scale="80" orientation="portrait" horizontalDpi="4294967293" verticalDpi="4294967293" r:id="rId1"/>
  <headerFooter>
    <oddFooter>&amp;C&amp;10&amp;K02-049VASANTHAM SMART</oddFooter>
  </headerFooter>
  <drawing r:id="rId2"/>
</worksheet>
</file>

<file path=xl/worksheets/sheet2.xml><?xml version="1.0" encoding="utf-8"?>
<worksheet xmlns="http://schemas.openxmlformats.org/spreadsheetml/2006/main" xmlns:r="http://schemas.openxmlformats.org/officeDocument/2006/relationships">
  <sheetPr codeName="Sheet21"/>
  <dimension ref="A1:AV940"/>
  <sheetViews>
    <sheetView workbookViewId="0">
      <selection activeCell="A2" sqref="A2"/>
    </sheetView>
  </sheetViews>
  <sheetFormatPr defaultColWidth="0" defaultRowHeight="0" customHeight="1" zeroHeight="1"/>
  <cols>
    <col min="1" max="1" width="15" style="1076" customWidth="1"/>
    <col min="2" max="2" width="7.625" style="1076" customWidth="1"/>
    <col min="3" max="3" width="9.875" style="1076" customWidth="1"/>
    <col min="4" max="6" width="8" style="1076" customWidth="1"/>
    <col min="7" max="7" width="5.375" style="1076" customWidth="1"/>
    <col min="8" max="8" width="4.5" style="1076" customWidth="1"/>
    <col min="9" max="9" width="4" style="1076" customWidth="1"/>
    <col min="10" max="10" width="4.5" style="1076" customWidth="1"/>
    <col min="11" max="11" width="3.875" style="1076" customWidth="1"/>
    <col min="12" max="12" width="7.125" style="1076" customWidth="1"/>
    <col min="13" max="13" width="6.5" style="1076" customWidth="1"/>
    <col min="14" max="14" width="8" style="1076" customWidth="1"/>
    <col min="15" max="15" width="4.625" style="1076" customWidth="1"/>
    <col min="16" max="16" width="6.5" style="1076" customWidth="1"/>
    <col min="17" max="17" width="7.625" style="1076" customWidth="1"/>
    <col min="18" max="18" width="8" style="1076" customWidth="1"/>
    <col min="19" max="19" width="7.625" style="1076" customWidth="1"/>
    <col min="20" max="20" width="8.5" style="1076" customWidth="1"/>
    <col min="21" max="25" width="8" style="1076" customWidth="1"/>
    <col min="26" max="27" width="4.875" style="1076" customWidth="1"/>
    <col min="28" max="28" width="5.5" style="1076" customWidth="1"/>
    <col min="29" max="29" width="6.5" style="1076" customWidth="1"/>
    <col min="30" max="30" width="7.5" style="1076" customWidth="1"/>
    <col min="31" max="31" width="8.875" style="1076" customWidth="1"/>
    <col min="32" max="32" width="8" style="1076" customWidth="1"/>
    <col min="33" max="33" width="4.5" style="1076" customWidth="1"/>
    <col min="34" max="34" width="7.125" style="1076" customWidth="1"/>
    <col min="35" max="35" width="3.375" style="1076" customWidth="1"/>
    <col min="36" max="36" width="3.5" style="1076" customWidth="1"/>
    <col min="37" max="37" width="3" style="1076" customWidth="1"/>
    <col min="38" max="39" width="8" style="1076" customWidth="1"/>
    <col min="40" max="48" width="8" style="1076" hidden="1" customWidth="1"/>
    <col min="49" max="16384" width="15.125" style="1076" hidden="1"/>
  </cols>
  <sheetData>
    <row r="1" spans="1:48" ht="11.25" customHeight="1">
      <c r="A1" s="1075"/>
      <c r="B1" s="1075"/>
      <c r="C1" s="1075"/>
      <c r="D1" s="1075"/>
      <c r="E1" s="1075"/>
      <c r="F1" s="1075"/>
      <c r="G1" s="1075" t="s">
        <v>729</v>
      </c>
      <c r="H1" s="1075"/>
      <c r="I1" s="1075"/>
      <c r="J1" s="1075"/>
      <c r="K1" s="1075" t="s">
        <v>728</v>
      </c>
      <c r="L1" s="1075"/>
      <c r="M1" s="1075"/>
      <c r="N1" s="1075"/>
      <c r="O1" s="1075"/>
      <c r="P1" s="1075"/>
      <c r="Q1" s="1075"/>
      <c r="R1" s="1075"/>
      <c r="S1" s="1075"/>
      <c r="T1" s="1075"/>
      <c r="U1" s="1075"/>
      <c r="V1" s="1075"/>
      <c r="W1" s="1075"/>
      <c r="X1" s="1075"/>
      <c r="Y1" s="1075"/>
      <c r="Z1" s="1075"/>
      <c r="AA1" s="1075"/>
      <c r="AB1" s="1075"/>
      <c r="AC1" s="1075"/>
      <c r="AD1" s="1075"/>
      <c r="AE1" s="1075"/>
      <c r="AF1" s="1075"/>
      <c r="AG1" s="1075"/>
      <c r="AH1" s="1075"/>
      <c r="AI1" s="1075"/>
      <c r="AJ1" s="1075"/>
      <c r="AK1" s="1075"/>
      <c r="AL1" s="1075"/>
      <c r="AM1" s="1075"/>
      <c r="AN1" s="1075"/>
      <c r="AO1" s="1075"/>
      <c r="AP1" s="1075"/>
      <c r="AQ1" s="1075"/>
      <c r="AR1" s="1075"/>
      <c r="AS1" s="1075"/>
      <c r="AT1" s="1075"/>
      <c r="AU1" s="1075"/>
      <c r="AV1" s="1075"/>
    </row>
    <row r="2" spans="1:48" ht="21" customHeight="1">
      <c r="A2" s="1077" t="s">
        <v>686</v>
      </c>
      <c r="B2" s="1077"/>
      <c r="C2" s="1077" t="s">
        <v>727</v>
      </c>
      <c r="D2" s="1077">
        <v>1</v>
      </c>
      <c r="E2" s="1077"/>
      <c r="F2" s="1077">
        <f>VALUE(D2)</f>
        <v>1</v>
      </c>
      <c r="G2" s="1077" t="s">
        <v>149</v>
      </c>
      <c r="H2" s="1077"/>
      <c r="I2" s="1077"/>
      <c r="J2" s="1077"/>
      <c r="K2" s="1077" t="s">
        <v>726</v>
      </c>
      <c r="L2" s="1077"/>
      <c r="M2" s="1077"/>
      <c r="N2" s="1077"/>
      <c r="O2" s="1077" t="s">
        <v>725</v>
      </c>
      <c r="P2" s="1077"/>
      <c r="Q2" s="1077"/>
      <c r="R2" s="1077"/>
      <c r="S2" s="1077"/>
      <c r="T2" s="1077" t="s">
        <v>724</v>
      </c>
      <c r="U2" s="1077">
        <f>LOOKUP(N5,O$5:O$63,T$5:T$63)</f>
        <v>0.55000000000000004</v>
      </c>
      <c r="V2" s="1077"/>
      <c r="W2" s="1077"/>
      <c r="X2" s="1077"/>
      <c r="Y2" s="1077"/>
      <c r="Z2" s="1077"/>
      <c r="AA2" s="1077"/>
      <c r="AB2" s="1077"/>
      <c r="AC2" s="1077"/>
      <c r="AD2" s="1077"/>
      <c r="AE2" s="1077"/>
      <c r="AF2" s="1077"/>
      <c r="AG2" s="1077"/>
      <c r="AH2" s="1077"/>
      <c r="AI2" s="1077"/>
      <c r="AJ2" s="1077"/>
      <c r="AK2" s="1077"/>
      <c r="AL2" s="1077"/>
      <c r="AM2" s="1077"/>
      <c r="AN2" s="1077"/>
      <c r="AO2" s="1077"/>
      <c r="AP2" s="1077"/>
      <c r="AQ2" s="1077"/>
      <c r="AR2" s="1077"/>
      <c r="AS2" s="1077"/>
      <c r="AT2" s="1077"/>
      <c r="AU2" s="1077"/>
      <c r="AV2" s="1077"/>
    </row>
    <row r="3" spans="1:48" ht="11.25" customHeight="1">
      <c r="A3" s="1078" t="s">
        <v>664</v>
      </c>
      <c r="B3" s="1078">
        <v>1</v>
      </c>
      <c r="C3" s="1075" t="str">
        <f>LOOKUP(F2,B3:B4,A3:A4)</f>
        <v>New Endowment Plus</v>
      </c>
      <c r="D3" s="1075"/>
      <c r="E3" s="1075"/>
      <c r="F3" s="1075"/>
      <c r="G3" s="1075"/>
      <c r="H3" s="1075"/>
      <c r="I3" s="1075"/>
      <c r="J3" s="1075"/>
      <c r="K3" s="1075"/>
      <c r="L3" s="1075"/>
      <c r="M3" s="1075"/>
      <c r="N3" s="1075"/>
      <c r="O3" s="1075"/>
      <c r="P3" s="1075">
        <v>1</v>
      </c>
      <c r="Q3" s="1075">
        <v>2</v>
      </c>
      <c r="R3" s="1075">
        <v>3</v>
      </c>
      <c r="S3" s="1075">
        <v>4</v>
      </c>
      <c r="T3" s="1075"/>
      <c r="U3" s="1075"/>
      <c r="V3" s="1075"/>
      <c r="W3" s="1075"/>
      <c r="X3" s="1075"/>
      <c r="Y3" s="1075"/>
      <c r="Z3" s="1075"/>
      <c r="AA3" s="1075"/>
      <c r="AB3" s="1075"/>
      <c r="AC3" s="1075"/>
      <c r="AD3" s="1075"/>
      <c r="AE3" s="1075"/>
      <c r="AF3" s="1075"/>
      <c r="AG3" s="1075"/>
      <c r="AH3" s="1075"/>
      <c r="AI3" s="1075"/>
      <c r="AJ3" s="1075"/>
      <c r="AK3" s="1075"/>
      <c r="AL3" s="1075"/>
      <c r="AM3" s="1075"/>
      <c r="AN3" s="1075"/>
      <c r="AO3" s="1075"/>
      <c r="AP3" s="1075"/>
      <c r="AQ3" s="1075"/>
      <c r="AR3" s="1075"/>
      <c r="AS3" s="1075"/>
      <c r="AT3" s="1075"/>
      <c r="AU3" s="1075"/>
      <c r="AV3" s="1075"/>
    </row>
    <row r="4" spans="1:48" ht="11.25" customHeight="1">
      <c r="A4" s="1078" t="s">
        <v>665</v>
      </c>
      <c r="B4" s="1078">
        <v>2</v>
      </c>
      <c r="C4" s="1075"/>
      <c r="D4" s="1075"/>
      <c r="E4" s="1075"/>
      <c r="F4" s="1075">
        <f>EPLUS!E4</f>
        <v>10</v>
      </c>
      <c r="G4" s="1078">
        <f>EPLUS!E4</f>
        <v>10</v>
      </c>
      <c r="H4" s="1078">
        <f t="shared" ref="H4:H35" si="0">IF(B$10=G4,1,0)</f>
        <v>0</v>
      </c>
      <c r="I4" s="1078"/>
      <c r="J4" s="1078"/>
      <c r="K4" s="1078">
        <f>EPLUS!C4</f>
        <v>0</v>
      </c>
      <c r="L4" s="1079">
        <f>IF(K4&gt;EPLUS!D$4,"",ECAL!K4)</f>
        <v>0</v>
      </c>
      <c r="M4" s="1078">
        <f t="shared" ref="M4:M35" si="1">IF(L4=B$9,1,0)</f>
        <v>0</v>
      </c>
      <c r="N4" s="1075"/>
      <c r="O4" s="1075">
        <v>0</v>
      </c>
      <c r="P4" s="1075">
        <v>0</v>
      </c>
      <c r="Q4" s="1075">
        <v>0</v>
      </c>
      <c r="R4" s="1075">
        <v>0</v>
      </c>
      <c r="S4" s="1075">
        <v>0</v>
      </c>
      <c r="T4" s="1075"/>
      <c r="U4" s="1075"/>
      <c r="V4" s="1075"/>
      <c r="W4" s="1075"/>
      <c r="X4" s="1075"/>
      <c r="Y4" s="1075"/>
      <c r="Z4" s="1075"/>
      <c r="AA4" s="1075"/>
      <c r="AB4" s="1075"/>
      <c r="AC4" s="1075"/>
      <c r="AD4" s="1075"/>
      <c r="AE4" s="1075"/>
      <c r="AF4" s="1075"/>
      <c r="AG4" s="1075"/>
      <c r="AH4" s="1075"/>
      <c r="AI4" s="1075"/>
      <c r="AJ4" s="1075"/>
      <c r="AK4" s="1075"/>
      <c r="AL4" s="1075"/>
      <c r="AM4" s="1075"/>
      <c r="AN4" s="1075"/>
      <c r="AO4" s="1075"/>
      <c r="AP4" s="1075"/>
      <c r="AQ4" s="1075"/>
      <c r="AR4" s="1075"/>
      <c r="AS4" s="1075"/>
      <c r="AT4" s="1075"/>
      <c r="AU4" s="1075"/>
      <c r="AV4" s="1075"/>
    </row>
    <row r="5" spans="1:48" ht="11.25" customHeight="1">
      <c r="A5" s="1078"/>
      <c r="B5" s="1078">
        <v>3</v>
      </c>
      <c r="C5" s="1075"/>
      <c r="D5" s="1075"/>
      <c r="E5" s="1075"/>
      <c r="F5" s="1075">
        <f t="shared" ref="F5:F36" si="2">F4+1</f>
        <v>11</v>
      </c>
      <c r="G5" s="1078">
        <f>IF(F5&gt;EPLUS!F$4,"",ECAL!G4+1)</f>
        <v>11</v>
      </c>
      <c r="H5" s="1078">
        <f t="shared" si="0"/>
        <v>0</v>
      </c>
      <c r="I5" s="1078"/>
      <c r="J5" s="1078"/>
      <c r="K5" s="1078">
        <f t="shared" ref="K5:K36" si="3">K4+1</f>
        <v>1</v>
      </c>
      <c r="L5" s="1079">
        <f>IF(K5&gt;EPLUS!D$4,"",ECAL!K5)</f>
        <v>1</v>
      </c>
      <c r="M5" s="1078">
        <f t="shared" si="1"/>
        <v>0</v>
      </c>
      <c r="N5" s="1075">
        <f>B9</f>
        <v>10</v>
      </c>
      <c r="O5" s="1075">
        <v>1</v>
      </c>
      <c r="P5" s="1075">
        <v>0</v>
      </c>
      <c r="Q5" s="1075">
        <v>0</v>
      </c>
      <c r="R5" s="1075">
        <v>0</v>
      </c>
      <c r="S5" s="1075">
        <v>0</v>
      </c>
      <c r="T5" s="1075">
        <f t="shared" ref="T5:T36" si="4">LOOKUP(F$2,P$3:S$3,P5:S5)</f>
        <v>0</v>
      </c>
      <c r="U5" s="1075">
        <f>IF(N5=0,0,U2)</f>
        <v>0.55000000000000004</v>
      </c>
      <c r="V5" s="1075"/>
      <c r="W5" s="1075"/>
      <c r="X5" s="1075"/>
      <c r="Y5" s="1075"/>
      <c r="Z5" s="1075"/>
      <c r="AA5" s="1075"/>
      <c r="AB5" s="1075"/>
      <c r="AC5" s="1075"/>
      <c r="AD5" s="1075"/>
      <c r="AE5" s="1075"/>
      <c r="AF5" s="1075"/>
      <c r="AG5" s="1075"/>
      <c r="AH5" s="1075"/>
      <c r="AI5" s="1075"/>
      <c r="AJ5" s="1075"/>
      <c r="AK5" s="1075"/>
      <c r="AL5" s="1075"/>
      <c r="AM5" s="1075"/>
      <c r="AN5" s="1075"/>
      <c r="AO5" s="1075"/>
      <c r="AP5" s="1075"/>
      <c r="AQ5" s="1075"/>
      <c r="AR5" s="1075"/>
      <c r="AS5" s="1075"/>
      <c r="AT5" s="1075"/>
      <c r="AU5" s="1075"/>
      <c r="AV5" s="1075"/>
    </row>
    <row r="6" spans="1:48" ht="11.25" customHeight="1">
      <c r="A6" s="1078"/>
      <c r="B6" s="1078">
        <v>4</v>
      </c>
      <c r="C6" s="1075"/>
      <c r="D6" s="1075"/>
      <c r="E6" s="1075"/>
      <c r="F6" s="1075">
        <f t="shared" si="2"/>
        <v>12</v>
      </c>
      <c r="G6" s="1078">
        <f>IF(F6&gt;EPLUS!F$4,"",ECAL!G5+1)</f>
        <v>12</v>
      </c>
      <c r="H6" s="1078">
        <f t="shared" si="0"/>
        <v>0</v>
      </c>
      <c r="I6" s="1078"/>
      <c r="J6" s="1078"/>
      <c r="K6" s="1078">
        <f t="shared" si="3"/>
        <v>2</v>
      </c>
      <c r="L6" s="1079">
        <f>IF(K6&gt;EPLUS!D$4,"",ECAL!K6)</f>
        <v>2</v>
      </c>
      <c r="M6" s="1078">
        <f t="shared" si="1"/>
        <v>0</v>
      </c>
      <c r="N6" s="1075">
        <f t="shared" ref="N6:N37" si="5">N5+1</f>
        <v>11</v>
      </c>
      <c r="O6" s="1075">
        <v>2</v>
      </c>
      <c r="P6" s="1075">
        <v>3.67</v>
      </c>
      <c r="Q6" s="1075">
        <v>0</v>
      </c>
      <c r="R6" s="1075">
        <v>0</v>
      </c>
      <c r="S6" s="1075">
        <v>0</v>
      </c>
      <c r="T6" s="1075">
        <f t="shared" si="4"/>
        <v>3.67</v>
      </c>
      <c r="U6" s="1075">
        <f t="shared" ref="U6:U37" si="6">LOOKUP(N6,O$5:O$63,T$5:T$63)</f>
        <v>0.54</v>
      </c>
      <c r="V6" s="1075"/>
      <c r="W6" s="1075"/>
      <c r="X6" s="1075"/>
      <c r="Y6" s="1075"/>
      <c r="Z6" s="1075"/>
      <c r="AA6" s="1075"/>
      <c r="AB6" s="1075"/>
      <c r="AC6" s="1075"/>
      <c r="AD6" s="1075"/>
      <c r="AE6" s="1075"/>
      <c r="AF6" s="1075"/>
      <c r="AG6" s="1075"/>
      <c r="AH6" s="1075"/>
      <c r="AI6" s="1075"/>
      <c r="AJ6" s="1075"/>
      <c r="AK6" s="1075"/>
      <c r="AL6" s="1075"/>
      <c r="AM6" s="1075"/>
      <c r="AN6" s="1075"/>
      <c r="AO6" s="1075"/>
      <c r="AP6" s="1075"/>
      <c r="AQ6" s="1075"/>
      <c r="AR6" s="1075"/>
      <c r="AS6" s="1075"/>
      <c r="AT6" s="1075"/>
      <c r="AU6" s="1075"/>
      <c r="AV6" s="1075"/>
    </row>
    <row r="7" spans="1:48" ht="11.25" customHeight="1">
      <c r="A7" s="1075"/>
      <c r="B7" s="1075"/>
      <c r="C7" s="1075"/>
      <c r="D7" s="1075"/>
      <c r="E7" s="1075"/>
      <c r="F7" s="1075">
        <f t="shared" si="2"/>
        <v>13</v>
      </c>
      <c r="G7" s="1078">
        <f>IF(F7&gt;EPLUS!F$4,"",ECAL!G6+1)</f>
        <v>13</v>
      </c>
      <c r="H7" s="1078">
        <f t="shared" si="0"/>
        <v>0</v>
      </c>
      <c r="I7" s="1078"/>
      <c r="J7" s="1078"/>
      <c r="K7" s="1078">
        <f t="shared" si="3"/>
        <v>3</v>
      </c>
      <c r="L7" s="1079">
        <f>IF(K7&gt;EPLUS!D$4,"",ECAL!K7)</f>
        <v>3</v>
      </c>
      <c r="M7" s="1078">
        <f t="shared" si="1"/>
        <v>0</v>
      </c>
      <c r="N7" s="1075">
        <f t="shared" si="5"/>
        <v>12</v>
      </c>
      <c r="O7" s="1075">
        <v>3</v>
      </c>
      <c r="P7" s="1075">
        <v>2.76</v>
      </c>
      <c r="Q7" s="1075">
        <v>0</v>
      </c>
      <c r="R7" s="1075">
        <v>0</v>
      </c>
      <c r="S7" s="1075">
        <v>0</v>
      </c>
      <c r="T7" s="1075">
        <f t="shared" si="4"/>
        <v>2.76</v>
      </c>
      <c r="U7" s="1075">
        <f t="shared" si="6"/>
        <v>0.56000000000000005</v>
      </c>
      <c r="V7" s="1075" t="s">
        <v>710</v>
      </c>
      <c r="W7" s="1075"/>
      <c r="X7" s="1075"/>
      <c r="Y7" s="1075" t="s">
        <v>723</v>
      </c>
      <c r="Z7" s="1075"/>
      <c r="AA7" s="1075"/>
      <c r="AB7" s="1075"/>
      <c r="AC7" s="1075"/>
      <c r="AD7" s="1075"/>
      <c r="AE7" s="1075"/>
      <c r="AF7" s="1075"/>
      <c r="AG7" s="1075"/>
      <c r="AH7" s="1075"/>
      <c r="AI7" s="1075"/>
      <c r="AJ7" s="1075"/>
      <c r="AK7" s="1075"/>
      <c r="AL7" s="1075"/>
      <c r="AM7" s="1075"/>
      <c r="AN7" s="1075"/>
      <c r="AO7" s="1075"/>
      <c r="AP7" s="1075"/>
      <c r="AQ7" s="1075"/>
      <c r="AR7" s="1075"/>
      <c r="AS7" s="1075"/>
      <c r="AT7" s="1075"/>
      <c r="AU7" s="1075"/>
      <c r="AV7" s="1075"/>
    </row>
    <row r="8" spans="1:48" ht="11.25" customHeight="1">
      <c r="A8" s="1075"/>
      <c r="B8" s="1075"/>
      <c r="C8" s="1075"/>
      <c r="D8" s="1075"/>
      <c r="E8" s="1075"/>
      <c r="F8" s="1075">
        <f t="shared" si="2"/>
        <v>14</v>
      </c>
      <c r="G8" s="1078">
        <f>IF(F8&gt;EPLUS!F$4,"",ECAL!G7+1)</f>
        <v>14</v>
      </c>
      <c r="H8" s="1078">
        <f t="shared" si="0"/>
        <v>0</v>
      </c>
      <c r="I8" s="1078"/>
      <c r="J8" s="1078"/>
      <c r="K8" s="1078">
        <f t="shared" si="3"/>
        <v>4</v>
      </c>
      <c r="L8" s="1079">
        <f>IF(K8&gt;EPLUS!D$4,"",ECAL!K8)</f>
        <v>4</v>
      </c>
      <c r="M8" s="1078">
        <f t="shared" si="1"/>
        <v>0</v>
      </c>
      <c r="N8" s="1075">
        <f t="shared" si="5"/>
        <v>13</v>
      </c>
      <c r="O8" s="1075">
        <v>4</v>
      </c>
      <c r="P8" s="1075">
        <v>2.09</v>
      </c>
      <c r="Q8" s="1075">
        <v>0</v>
      </c>
      <c r="R8" s="1075">
        <v>0</v>
      </c>
      <c r="S8" s="1075">
        <v>0</v>
      </c>
      <c r="T8" s="1075">
        <f t="shared" si="4"/>
        <v>2.09</v>
      </c>
      <c r="U8" s="1075">
        <f t="shared" si="6"/>
        <v>0.61</v>
      </c>
      <c r="V8" s="1075">
        <f>IF(B12=1,EPLUS!M4,EPLUS!G4)</f>
        <v>7.5</v>
      </c>
      <c r="W8" s="1075"/>
      <c r="X8" s="1075"/>
      <c r="Y8" s="1075">
        <v>1</v>
      </c>
      <c r="Z8" s="1075">
        <v>2</v>
      </c>
      <c r="AA8" s="1075">
        <v>3</v>
      </c>
      <c r="AB8" s="1075">
        <v>4</v>
      </c>
      <c r="AC8" s="1075">
        <v>5</v>
      </c>
      <c r="AD8" s="1075" t="s">
        <v>722</v>
      </c>
      <c r="AE8" s="1075">
        <v>100</v>
      </c>
      <c r="AF8" s="1075">
        <v>70</v>
      </c>
      <c r="AG8" s="1075"/>
      <c r="AH8" s="1075"/>
      <c r="AI8" s="1075"/>
      <c r="AJ8" s="1075"/>
      <c r="AK8" s="1075"/>
      <c r="AL8" s="1075"/>
      <c r="AM8" s="1075"/>
      <c r="AN8" s="1075"/>
      <c r="AO8" s="1075"/>
      <c r="AP8" s="1075"/>
      <c r="AQ8" s="1075"/>
      <c r="AR8" s="1075"/>
      <c r="AS8" s="1075"/>
      <c r="AT8" s="1075"/>
      <c r="AU8" s="1075"/>
      <c r="AV8" s="1075"/>
    </row>
    <row r="9" spans="1:48" ht="11.25" customHeight="1">
      <c r="A9" s="1075" t="s">
        <v>138</v>
      </c>
      <c r="B9" s="1080">
        <f>EPLUS!I20</f>
        <v>10</v>
      </c>
      <c r="C9" s="1075"/>
      <c r="D9" s="1075"/>
      <c r="E9" s="1075"/>
      <c r="F9" s="1075">
        <f t="shared" si="2"/>
        <v>15</v>
      </c>
      <c r="G9" s="1078">
        <f>IF(F9&gt;EPLUS!F$4,"",ECAL!G8+1)</f>
        <v>15</v>
      </c>
      <c r="H9" s="1078">
        <f t="shared" si="0"/>
        <v>0</v>
      </c>
      <c r="I9" s="1078"/>
      <c r="J9" s="1078"/>
      <c r="K9" s="1078">
        <f t="shared" si="3"/>
        <v>5</v>
      </c>
      <c r="L9" s="1079">
        <f>IF(K9&gt;EPLUS!D$4,"",ECAL!K9)</f>
        <v>5</v>
      </c>
      <c r="M9" s="1078">
        <f t="shared" si="1"/>
        <v>0</v>
      </c>
      <c r="N9" s="1075">
        <f t="shared" si="5"/>
        <v>14</v>
      </c>
      <c r="O9" s="1075">
        <v>5</v>
      </c>
      <c r="P9" s="1075">
        <v>1.58</v>
      </c>
      <c r="Q9" s="1075">
        <v>0</v>
      </c>
      <c r="R9" s="1075">
        <v>0</v>
      </c>
      <c r="S9" s="1075">
        <v>0</v>
      </c>
      <c r="T9" s="1075">
        <f t="shared" si="4"/>
        <v>1.58</v>
      </c>
      <c r="U9" s="1075">
        <f t="shared" si="6"/>
        <v>0.69</v>
      </c>
      <c r="V9" s="1075">
        <f>IF(B$12=1,0,EPLUS!H$4)</f>
        <v>5</v>
      </c>
      <c r="W9" s="1075"/>
      <c r="X9" s="1075"/>
      <c r="Y9" s="1075">
        <f>MIN(AE8,AE9)</f>
        <v>70</v>
      </c>
      <c r="Z9" s="1075">
        <v>360</v>
      </c>
      <c r="AA9" s="1075">
        <v>0</v>
      </c>
      <c r="AB9" s="1075">
        <v>0</v>
      </c>
      <c r="AC9" s="1075">
        <v>0</v>
      </c>
      <c r="AD9" s="1075">
        <f t="shared" ref="AD9:AD28" si="7">LOOKUP(F$2,Y$8:AC$8,Y9:AC9)</f>
        <v>70</v>
      </c>
      <c r="AE9" s="1075">
        <f>EPLUS!X4*0.0035</f>
        <v>70</v>
      </c>
      <c r="AF9" s="1075"/>
      <c r="AG9" s="1075"/>
      <c r="AH9" s="1075"/>
      <c r="AI9" s="1075"/>
      <c r="AJ9" s="1075"/>
      <c r="AK9" s="1075"/>
      <c r="AL9" s="1075"/>
      <c r="AM9" s="1075"/>
      <c r="AN9" s="1075"/>
      <c r="AO9" s="1075"/>
      <c r="AP9" s="1075"/>
      <c r="AQ9" s="1075"/>
      <c r="AR9" s="1075"/>
      <c r="AS9" s="1075"/>
      <c r="AT9" s="1075"/>
      <c r="AU9" s="1075"/>
      <c r="AV9" s="1075"/>
    </row>
    <row r="10" spans="1:48" ht="11.25" customHeight="1">
      <c r="A10" s="1075" t="s">
        <v>140</v>
      </c>
      <c r="B10" s="1080">
        <f>EPLUS!I21</f>
        <v>20</v>
      </c>
      <c r="C10" s="1075"/>
      <c r="D10" s="1075"/>
      <c r="E10" s="1075"/>
      <c r="F10" s="1075">
        <f t="shared" si="2"/>
        <v>16</v>
      </c>
      <c r="G10" s="1078">
        <f>IF(F10&gt;EPLUS!F$4,"",ECAL!G9+1)</f>
        <v>16</v>
      </c>
      <c r="H10" s="1078">
        <f t="shared" si="0"/>
        <v>0</v>
      </c>
      <c r="I10" s="1078"/>
      <c r="J10" s="1078"/>
      <c r="K10" s="1078">
        <f t="shared" si="3"/>
        <v>6</v>
      </c>
      <c r="L10" s="1079">
        <f>IF(K10&gt;EPLUS!D$4,"",ECAL!K10)</f>
        <v>6</v>
      </c>
      <c r="M10" s="1078">
        <f t="shared" si="1"/>
        <v>0</v>
      </c>
      <c r="N10" s="1075">
        <f t="shared" si="5"/>
        <v>15</v>
      </c>
      <c r="O10" s="1075">
        <v>6</v>
      </c>
      <c r="P10" s="1075">
        <v>1.21</v>
      </c>
      <c r="Q10" s="1075">
        <v>0</v>
      </c>
      <c r="R10" s="1075">
        <v>0</v>
      </c>
      <c r="S10" s="1075">
        <v>0</v>
      </c>
      <c r="T10" s="1075">
        <f t="shared" si="4"/>
        <v>1.21</v>
      </c>
      <c r="U10" s="1075">
        <f t="shared" si="6"/>
        <v>0.77</v>
      </c>
      <c r="V10" s="1075">
        <f>IF(B$12=1,0,EPLUS!I$4)</f>
        <v>5</v>
      </c>
      <c r="W10" s="1075"/>
      <c r="X10" s="1075"/>
      <c r="Y10" s="1075">
        <f>MIN(AF8,AE10)</f>
        <v>50</v>
      </c>
      <c r="Z10" s="1075">
        <f t="shared" ref="Z10:Z28" si="8">Z9+Z9*0.03</f>
        <v>370.8</v>
      </c>
      <c r="AA10" s="1075">
        <v>0</v>
      </c>
      <c r="AB10" s="1075">
        <v>0</v>
      </c>
      <c r="AC10" s="1075">
        <v>0</v>
      </c>
      <c r="AD10" s="1075">
        <f t="shared" si="7"/>
        <v>50</v>
      </c>
      <c r="AE10" s="1075">
        <f>EPLUS!X4*0.0025</f>
        <v>50</v>
      </c>
      <c r="AF10" s="1075"/>
      <c r="AG10" s="1075"/>
      <c r="AH10" s="1075"/>
      <c r="AI10" s="1075"/>
      <c r="AJ10" s="1075"/>
      <c r="AK10" s="1075"/>
      <c r="AL10" s="1075"/>
      <c r="AM10" s="1075"/>
      <c r="AN10" s="1075"/>
      <c r="AO10" s="1075"/>
      <c r="AP10" s="1075"/>
      <c r="AQ10" s="1075"/>
      <c r="AR10" s="1075"/>
      <c r="AS10" s="1075"/>
      <c r="AT10" s="1075"/>
      <c r="AU10" s="1075"/>
      <c r="AV10" s="1075"/>
    </row>
    <row r="11" spans="1:48" ht="11.25" customHeight="1">
      <c r="A11" s="1075"/>
      <c r="B11" s="1075"/>
      <c r="C11" s="1075">
        <f>LOOKUP(B12,B14:B17,C14:C17)</f>
        <v>20000</v>
      </c>
      <c r="D11" s="1075"/>
      <c r="E11" s="1075" t="s">
        <v>721</v>
      </c>
      <c r="F11" s="1075">
        <f t="shared" si="2"/>
        <v>17</v>
      </c>
      <c r="G11" s="1078">
        <f>IF(F11&gt;EPLUS!F$4,"",ECAL!G10+1)</f>
        <v>17</v>
      </c>
      <c r="H11" s="1078">
        <f t="shared" si="0"/>
        <v>0</v>
      </c>
      <c r="I11" s="1078"/>
      <c r="J11" s="1078"/>
      <c r="K11" s="1078">
        <f t="shared" si="3"/>
        <v>7</v>
      </c>
      <c r="L11" s="1079">
        <f>IF(K11&gt;EPLUS!D$4,"",ECAL!K11)</f>
        <v>7</v>
      </c>
      <c r="M11" s="1078">
        <f t="shared" si="1"/>
        <v>0</v>
      </c>
      <c r="N11" s="1075">
        <f t="shared" si="5"/>
        <v>16</v>
      </c>
      <c r="O11" s="1075">
        <v>7</v>
      </c>
      <c r="P11" s="1075">
        <v>0.93</v>
      </c>
      <c r="Q11" s="1075">
        <v>0.5</v>
      </c>
      <c r="R11" s="1075">
        <v>0</v>
      </c>
      <c r="S11" s="1075">
        <v>0</v>
      </c>
      <c r="T11" s="1075">
        <f t="shared" si="4"/>
        <v>0.93</v>
      </c>
      <c r="U11" s="1075">
        <f t="shared" si="6"/>
        <v>0.85</v>
      </c>
      <c r="V11" s="1075">
        <f>IF(B$12=1,0,EPLUS!J$4)</f>
        <v>5</v>
      </c>
      <c r="W11" s="1075"/>
      <c r="X11" s="1075"/>
      <c r="Y11" s="1081">
        <f>Y10+Y10*0.03</f>
        <v>51.5</v>
      </c>
      <c r="Z11" s="1075">
        <f t="shared" si="8"/>
        <v>381.92400000000004</v>
      </c>
      <c r="AA11" s="1075">
        <v>0</v>
      </c>
      <c r="AB11" s="1075">
        <v>0</v>
      </c>
      <c r="AC11" s="1075">
        <v>0</v>
      </c>
      <c r="AD11" s="1081">
        <f t="shared" si="7"/>
        <v>51.5</v>
      </c>
      <c r="AE11" s="1075"/>
      <c r="AF11" s="1075"/>
      <c r="AG11" s="1075"/>
      <c r="AH11" s="1075"/>
      <c r="AI11" s="1075"/>
      <c r="AJ11" s="1075"/>
      <c r="AK11" s="1075"/>
      <c r="AL11" s="1075"/>
      <c r="AM11" s="1075"/>
      <c r="AN11" s="1075"/>
      <c r="AO11" s="1075"/>
      <c r="AP11" s="1075"/>
      <c r="AQ11" s="1075"/>
      <c r="AR11" s="1075"/>
      <c r="AS11" s="1075"/>
      <c r="AT11" s="1075"/>
      <c r="AU11" s="1075"/>
      <c r="AV11" s="1075"/>
    </row>
    <row r="12" spans="1:48" ht="11.25" customHeight="1">
      <c r="A12" s="1075" t="s">
        <v>670</v>
      </c>
      <c r="B12" s="1080">
        <f>IF(EPLUS!O20="YEARLY",2,IF(EPLUS!O20="HALF-YEARLY",3,IF(EPLUS!O20="QUARTELY",4,IF(EPLUS!O20="ECS / MONTHLY",5,0))))</f>
        <v>2</v>
      </c>
      <c r="C12" s="1075">
        <f>EPLUS!O21</f>
        <v>20000</v>
      </c>
      <c r="D12" s="1075">
        <f>LOOKUP($B12,$B14:$B17,D14:D17)</f>
        <v>1</v>
      </c>
      <c r="E12" s="1075">
        <f>LOOKUP($B12,$B14:$B17,E14:E17)</f>
        <v>1</v>
      </c>
      <c r="F12" s="1075">
        <f t="shared" si="2"/>
        <v>18</v>
      </c>
      <c r="G12" s="1078">
        <f>IF(F12&gt;EPLUS!F$4,"",ECAL!G11+1)</f>
        <v>18</v>
      </c>
      <c r="H12" s="1078">
        <f t="shared" si="0"/>
        <v>0</v>
      </c>
      <c r="I12" s="1078"/>
      <c r="J12" s="1078"/>
      <c r="K12" s="1078">
        <f t="shared" si="3"/>
        <v>8</v>
      </c>
      <c r="L12" s="1079">
        <f>IF(K12&gt;EPLUS!D$4,"",ECAL!K12)</f>
        <v>8</v>
      </c>
      <c r="M12" s="1078">
        <f t="shared" si="1"/>
        <v>0</v>
      </c>
      <c r="N12" s="1075">
        <f t="shared" si="5"/>
        <v>17</v>
      </c>
      <c r="O12" s="1075">
        <v>8</v>
      </c>
      <c r="P12" s="1075">
        <v>0.74</v>
      </c>
      <c r="Q12" s="1075">
        <v>0.5</v>
      </c>
      <c r="R12" s="1075">
        <v>0</v>
      </c>
      <c r="S12" s="1075">
        <v>0</v>
      </c>
      <c r="T12" s="1075">
        <f t="shared" si="4"/>
        <v>0.74</v>
      </c>
      <c r="U12" s="1075">
        <f t="shared" si="6"/>
        <v>0.93</v>
      </c>
      <c r="V12" s="1075">
        <f>IF(B$12=1,0,EPLUS!K$4)</f>
        <v>5</v>
      </c>
      <c r="W12" s="1075"/>
      <c r="X12" s="1075"/>
      <c r="Y12" s="1081">
        <f>Y11+Y11*0.03</f>
        <v>53.045000000000002</v>
      </c>
      <c r="Z12" s="1075">
        <f t="shared" si="8"/>
        <v>393.38172000000003</v>
      </c>
      <c r="AA12" s="1075">
        <v>0</v>
      </c>
      <c r="AB12" s="1075">
        <v>0</v>
      </c>
      <c r="AC12" s="1075">
        <v>0</v>
      </c>
      <c r="AD12" s="1075">
        <f t="shared" si="7"/>
        <v>53.045000000000002</v>
      </c>
      <c r="AE12" s="1075"/>
      <c r="AF12" s="1075"/>
      <c r="AG12" s="1075"/>
      <c r="AH12" s="1075"/>
      <c r="AI12" s="1075"/>
      <c r="AJ12" s="1075"/>
      <c r="AK12" s="1075"/>
      <c r="AL12" s="1075"/>
      <c r="AM12" s="1075"/>
      <c r="AN12" s="1075"/>
      <c r="AO12" s="1075"/>
      <c r="AP12" s="1075"/>
      <c r="AQ12" s="1075"/>
      <c r="AR12" s="1075"/>
      <c r="AS12" s="1075"/>
      <c r="AT12" s="1075"/>
      <c r="AU12" s="1075"/>
      <c r="AV12" s="1075"/>
    </row>
    <row r="13" spans="1:48" ht="11.25" customHeight="1">
      <c r="A13" s="1075"/>
      <c r="B13" s="968"/>
      <c r="C13" s="1075"/>
      <c r="D13" s="1075"/>
      <c r="E13" s="1075"/>
      <c r="F13" s="1075">
        <f t="shared" si="2"/>
        <v>19</v>
      </c>
      <c r="G13" s="1078">
        <f>IF(F13&gt;EPLUS!F$4,"",ECAL!G12+1)</f>
        <v>19</v>
      </c>
      <c r="H13" s="1078">
        <f t="shared" si="0"/>
        <v>0</v>
      </c>
      <c r="I13" s="1078"/>
      <c r="J13" s="1078"/>
      <c r="K13" s="1078">
        <f t="shared" si="3"/>
        <v>9</v>
      </c>
      <c r="L13" s="1079">
        <f>IF(K13&gt;EPLUS!D$4,"",ECAL!K13)</f>
        <v>9</v>
      </c>
      <c r="M13" s="1078">
        <f t="shared" si="1"/>
        <v>0</v>
      </c>
      <c r="N13" s="1075">
        <f t="shared" si="5"/>
        <v>18</v>
      </c>
      <c r="O13" s="1075">
        <v>9</v>
      </c>
      <c r="P13" s="1075">
        <v>0.61</v>
      </c>
      <c r="Q13" s="1075">
        <v>0.5</v>
      </c>
      <c r="R13" s="1075">
        <v>0</v>
      </c>
      <c r="S13" s="1075">
        <v>0</v>
      </c>
      <c r="T13" s="1075">
        <f t="shared" si="4"/>
        <v>0.61</v>
      </c>
      <c r="U13" s="1075">
        <f t="shared" si="6"/>
        <v>1</v>
      </c>
      <c r="V13" s="1075">
        <f>IF(B$12=1,0,EPLUS!L$4)</f>
        <v>3</v>
      </c>
      <c r="W13" s="1075"/>
      <c r="X13" s="1075"/>
      <c r="Y13" s="1081">
        <f>Y12+Y12*0.03</f>
        <v>54.63635</v>
      </c>
      <c r="Z13" s="1075">
        <f t="shared" si="8"/>
        <v>405.18317160000004</v>
      </c>
      <c r="AA13" s="1075">
        <v>0</v>
      </c>
      <c r="AB13" s="1075">
        <v>0</v>
      </c>
      <c r="AC13" s="1075">
        <v>0</v>
      </c>
      <c r="AD13" s="1081">
        <f t="shared" si="7"/>
        <v>54.63635</v>
      </c>
      <c r="AE13" s="1075"/>
      <c r="AF13" s="1075"/>
      <c r="AG13" s="1075"/>
      <c r="AH13" s="1075"/>
      <c r="AI13" s="1075"/>
      <c r="AJ13" s="1075"/>
      <c r="AK13" s="1075"/>
      <c r="AL13" s="1075"/>
      <c r="AM13" s="1075"/>
      <c r="AN13" s="1075"/>
      <c r="AO13" s="1075"/>
      <c r="AP13" s="1075"/>
      <c r="AQ13" s="1075"/>
      <c r="AR13" s="1075"/>
      <c r="AS13" s="1075"/>
      <c r="AT13" s="1075"/>
      <c r="AU13" s="1075"/>
      <c r="AV13" s="1075"/>
    </row>
    <row r="14" spans="1:48" ht="11.25" customHeight="1">
      <c r="A14" s="1075" t="s">
        <v>196</v>
      </c>
      <c r="B14" s="1075">
        <v>2</v>
      </c>
      <c r="C14" s="1075">
        <v>20000</v>
      </c>
      <c r="D14" s="1075">
        <v>1</v>
      </c>
      <c r="E14" s="1075">
        <v>1</v>
      </c>
      <c r="F14" s="1075">
        <f t="shared" si="2"/>
        <v>20</v>
      </c>
      <c r="G14" s="1078">
        <f>IF(F14&gt;EPLUS!F$4,"",ECAL!G13+1)</f>
        <v>20</v>
      </c>
      <c r="H14" s="1078">
        <f t="shared" si="0"/>
        <v>1</v>
      </c>
      <c r="I14" s="1078"/>
      <c r="J14" s="1078"/>
      <c r="K14" s="1078">
        <f t="shared" si="3"/>
        <v>10</v>
      </c>
      <c r="L14" s="1079">
        <f>IF(K14&gt;EPLUS!D$4,"",ECAL!K14)</f>
        <v>10</v>
      </c>
      <c r="M14" s="1078">
        <f t="shared" si="1"/>
        <v>1</v>
      </c>
      <c r="N14" s="1075">
        <f t="shared" si="5"/>
        <v>19</v>
      </c>
      <c r="O14" s="1075">
        <v>10</v>
      </c>
      <c r="P14" s="1075">
        <v>0.55000000000000004</v>
      </c>
      <c r="Q14" s="1075">
        <v>0.48</v>
      </c>
      <c r="R14" s="1075">
        <v>0</v>
      </c>
      <c r="S14" s="1075">
        <v>0</v>
      </c>
      <c r="T14" s="1075">
        <f t="shared" si="4"/>
        <v>0.55000000000000004</v>
      </c>
      <c r="U14" s="1075">
        <f t="shared" si="6"/>
        <v>1.06</v>
      </c>
      <c r="V14" s="1075">
        <f>IF(B$12=1,0,EPLUS!L$4)</f>
        <v>3</v>
      </c>
      <c r="W14" s="1075"/>
      <c r="X14" s="1075"/>
      <c r="Y14" s="1075">
        <v>52.17</v>
      </c>
      <c r="Z14" s="1075">
        <f t="shared" si="8"/>
        <v>417.33866674800004</v>
      </c>
      <c r="AA14" s="1075">
        <v>0</v>
      </c>
      <c r="AB14" s="1075">
        <v>0</v>
      </c>
      <c r="AC14" s="1075">
        <v>0</v>
      </c>
      <c r="AD14" s="1075">
        <f t="shared" si="7"/>
        <v>52.17</v>
      </c>
      <c r="AE14" s="1075"/>
      <c r="AF14" s="1075"/>
      <c r="AG14" s="1075"/>
      <c r="AH14" s="1075"/>
      <c r="AI14" s="1075"/>
      <c r="AJ14" s="1075"/>
      <c r="AK14" s="1075"/>
      <c r="AL14" s="1075"/>
      <c r="AM14" s="1075"/>
      <c r="AN14" s="1075"/>
      <c r="AO14" s="1075"/>
      <c r="AP14" s="1075"/>
      <c r="AQ14" s="1075"/>
      <c r="AR14" s="1075"/>
      <c r="AS14" s="1075"/>
      <c r="AT14" s="1075"/>
      <c r="AU14" s="1075"/>
      <c r="AV14" s="1075"/>
    </row>
    <row r="15" spans="1:48" ht="11.25" customHeight="1">
      <c r="A15" s="1075" t="s">
        <v>720</v>
      </c>
      <c r="B15" s="1075">
        <v>3</v>
      </c>
      <c r="C15" s="1075">
        <v>13000</v>
      </c>
      <c r="D15" s="1075">
        <v>2</v>
      </c>
      <c r="E15" s="1075">
        <v>1.6</v>
      </c>
      <c r="F15" s="1075">
        <f t="shared" si="2"/>
        <v>21</v>
      </c>
      <c r="G15" s="1078" t="str">
        <f>IF(F15&gt;EPLUS!F$4,"",ECAL!G14+1)</f>
        <v/>
      </c>
      <c r="H15" s="1078">
        <f t="shared" si="0"/>
        <v>0</v>
      </c>
      <c r="I15" s="1078"/>
      <c r="J15" s="1078"/>
      <c r="K15" s="1078">
        <f t="shared" si="3"/>
        <v>11</v>
      </c>
      <c r="L15" s="1079">
        <f>IF(K15&gt;EPLUS!D$4,"",ECAL!K15)</f>
        <v>11</v>
      </c>
      <c r="M15" s="1078">
        <f t="shared" si="1"/>
        <v>0</v>
      </c>
      <c r="N15" s="1075">
        <f t="shared" si="5"/>
        <v>20</v>
      </c>
      <c r="O15" s="1075">
        <v>11</v>
      </c>
      <c r="P15" s="1075">
        <v>0.54</v>
      </c>
      <c r="Q15" s="1075">
        <v>0.56000000000000005</v>
      </c>
      <c r="R15" s="1075">
        <v>0</v>
      </c>
      <c r="S15" s="1075">
        <v>0</v>
      </c>
      <c r="T15" s="1075">
        <f t="shared" si="4"/>
        <v>0.54</v>
      </c>
      <c r="U15" s="1075">
        <f t="shared" si="6"/>
        <v>1.1100000000000001</v>
      </c>
      <c r="V15" s="1075">
        <f>IF(B$12=1,0,EPLUS!L$4)</f>
        <v>3</v>
      </c>
      <c r="W15" s="1075"/>
      <c r="X15" s="1075"/>
      <c r="Y15" s="1081">
        <f t="shared" ref="Y15:Y28" si="9">Y14+Y14*0.03</f>
        <v>53.735100000000003</v>
      </c>
      <c r="Z15" s="1075">
        <f t="shared" si="8"/>
        <v>429.85882675044002</v>
      </c>
      <c r="AA15" s="1075">
        <v>0</v>
      </c>
      <c r="AB15" s="1075">
        <v>0</v>
      </c>
      <c r="AC15" s="1075">
        <v>0</v>
      </c>
      <c r="AD15" s="1081">
        <f t="shared" si="7"/>
        <v>53.735100000000003</v>
      </c>
      <c r="AE15" s="1075"/>
      <c r="AF15" s="1075"/>
      <c r="AG15" s="1075"/>
      <c r="AH15" s="1075"/>
      <c r="AI15" s="1075"/>
      <c r="AJ15" s="1075"/>
      <c r="AK15" s="1075"/>
      <c r="AL15" s="1075"/>
      <c r="AM15" s="1075"/>
      <c r="AN15" s="1075"/>
      <c r="AO15" s="1075"/>
      <c r="AP15" s="1075"/>
      <c r="AQ15" s="1075"/>
      <c r="AR15" s="1075"/>
      <c r="AS15" s="1075"/>
      <c r="AT15" s="1075"/>
      <c r="AU15" s="1075"/>
      <c r="AV15" s="1075"/>
    </row>
    <row r="16" spans="1:48" ht="11.25" customHeight="1">
      <c r="A16" s="1075" t="s">
        <v>198</v>
      </c>
      <c r="B16" s="1075">
        <v>4</v>
      </c>
      <c r="C16" s="1075">
        <v>8000</v>
      </c>
      <c r="D16" s="1075">
        <v>4</v>
      </c>
      <c r="E16" s="1075">
        <v>2.6</v>
      </c>
      <c r="F16" s="1075">
        <f t="shared" si="2"/>
        <v>22</v>
      </c>
      <c r="G16" s="1078" t="str">
        <f>IF(F16&gt;EPLUS!F$4,"",ECAL!G15+1)</f>
        <v/>
      </c>
      <c r="H16" s="1078">
        <f t="shared" si="0"/>
        <v>0</v>
      </c>
      <c r="I16" s="1078"/>
      <c r="J16" s="1078"/>
      <c r="K16" s="1078">
        <f t="shared" si="3"/>
        <v>12</v>
      </c>
      <c r="L16" s="1079">
        <f>IF(K16&gt;EPLUS!D$4,"",ECAL!K16)</f>
        <v>12</v>
      </c>
      <c r="M16" s="1078">
        <f t="shared" si="1"/>
        <v>0</v>
      </c>
      <c r="N16" s="1075">
        <f t="shared" si="5"/>
        <v>21</v>
      </c>
      <c r="O16" s="1075">
        <v>12</v>
      </c>
      <c r="P16" s="1075">
        <v>0.56000000000000005</v>
      </c>
      <c r="Q16" s="1075">
        <v>0.66</v>
      </c>
      <c r="R16" s="1075">
        <v>0</v>
      </c>
      <c r="S16" s="1075">
        <v>0</v>
      </c>
      <c r="T16" s="1075">
        <f t="shared" si="4"/>
        <v>0.56000000000000005</v>
      </c>
      <c r="U16" s="1075">
        <f t="shared" si="6"/>
        <v>1.1499999999999999</v>
      </c>
      <c r="V16" s="1075">
        <f>IF(B$12=1,0,EPLUS!L$4)</f>
        <v>3</v>
      </c>
      <c r="W16" s="1075"/>
      <c r="X16" s="1075"/>
      <c r="Y16" s="1081">
        <f t="shared" si="9"/>
        <v>55.347153000000006</v>
      </c>
      <c r="Z16" s="1075">
        <f t="shared" si="8"/>
        <v>442.75459155295323</v>
      </c>
      <c r="AA16" s="1075">
        <v>0</v>
      </c>
      <c r="AB16" s="1075">
        <v>0</v>
      </c>
      <c r="AC16" s="1075">
        <v>0</v>
      </c>
      <c r="AD16" s="1081">
        <f t="shared" si="7"/>
        <v>55.347153000000006</v>
      </c>
      <c r="AE16" s="1075"/>
      <c r="AF16" s="1075"/>
      <c r="AG16" s="1075"/>
      <c r="AH16" s="1075"/>
      <c r="AI16" s="1075"/>
      <c r="AJ16" s="1075"/>
      <c r="AK16" s="1075"/>
      <c r="AL16" s="1075"/>
      <c r="AM16" s="1075"/>
      <c r="AN16" s="1075"/>
      <c r="AO16" s="1075"/>
      <c r="AP16" s="1075"/>
      <c r="AQ16" s="1075"/>
      <c r="AR16" s="1075"/>
      <c r="AS16" s="1075"/>
      <c r="AT16" s="1075"/>
      <c r="AU16" s="1075"/>
      <c r="AV16" s="1075"/>
    </row>
    <row r="17" spans="1:48" ht="11.25" customHeight="1">
      <c r="A17" s="1075" t="s">
        <v>719</v>
      </c>
      <c r="B17" s="1075">
        <v>5</v>
      </c>
      <c r="C17" s="1075">
        <v>3000</v>
      </c>
      <c r="D17" s="1075">
        <v>12</v>
      </c>
      <c r="E17" s="1075">
        <v>7</v>
      </c>
      <c r="F17" s="1075">
        <f t="shared" si="2"/>
        <v>23</v>
      </c>
      <c r="G17" s="1078" t="str">
        <f>IF(F17&gt;EPLUS!F$4,"",ECAL!G16+1)</f>
        <v/>
      </c>
      <c r="H17" s="1078">
        <f t="shared" si="0"/>
        <v>0</v>
      </c>
      <c r="I17" s="1078"/>
      <c r="J17" s="1078"/>
      <c r="K17" s="1078">
        <f t="shared" si="3"/>
        <v>13</v>
      </c>
      <c r="L17" s="1079">
        <f>IF(K17&gt;EPLUS!D$4,"",ECAL!K17)</f>
        <v>13</v>
      </c>
      <c r="M17" s="1078">
        <f t="shared" si="1"/>
        <v>0</v>
      </c>
      <c r="N17" s="1075">
        <f t="shared" si="5"/>
        <v>22</v>
      </c>
      <c r="O17" s="1075">
        <v>13</v>
      </c>
      <c r="P17" s="1075">
        <v>0.61</v>
      </c>
      <c r="Q17" s="1075">
        <v>0.81</v>
      </c>
      <c r="R17" s="1075">
        <v>0</v>
      </c>
      <c r="S17" s="1075">
        <v>0</v>
      </c>
      <c r="T17" s="1075">
        <f t="shared" si="4"/>
        <v>0.61</v>
      </c>
      <c r="U17" s="1075">
        <f t="shared" si="6"/>
        <v>1.18</v>
      </c>
      <c r="V17" s="1075">
        <f>IF(B$12=1,0,EPLUS!L$4)</f>
        <v>3</v>
      </c>
      <c r="W17" s="1075"/>
      <c r="X17" s="1075"/>
      <c r="Y17" s="1081">
        <f t="shared" si="9"/>
        <v>57.007567590000008</v>
      </c>
      <c r="Z17" s="1075">
        <f t="shared" si="8"/>
        <v>456.03722929954182</v>
      </c>
      <c r="AA17" s="1075">
        <v>0</v>
      </c>
      <c r="AB17" s="1075">
        <v>0</v>
      </c>
      <c r="AC17" s="1075">
        <v>0</v>
      </c>
      <c r="AD17" s="1081">
        <f t="shared" si="7"/>
        <v>57.007567590000008</v>
      </c>
      <c r="AE17" s="1075"/>
      <c r="AF17" s="1075"/>
      <c r="AG17" s="1075"/>
      <c r="AH17" s="1075"/>
      <c r="AI17" s="1075"/>
      <c r="AJ17" s="1075"/>
      <c r="AK17" s="1075"/>
      <c r="AL17" s="1075"/>
      <c r="AM17" s="1075"/>
      <c r="AN17" s="1075"/>
      <c r="AO17" s="1075"/>
      <c r="AP17" s="1075"/>
      <c r="AQ17" s="1075"/>
      <c r="AR17" s="1075"/>
      <c r="AS17" s="1075"/>
      <c r="AT17" s="1075"/>
      <c r="AU17" s="1075"/>
      <c r="AV17" s="1075"/>
    </row>
    <row r="18" spans="1:48" ht="11.25" customHeight="1">
      <c r="A18" s="1075"/>
      <c r="B18" s="1075"/>
      <c r="C18" s="1075"/>
      <c r="D18" s="1075"/>
      <c r="E18" s="1075"/>
      <c r="F18" s="1075">
        <f t="shared" si="2"/>
        <v>24</v>
      </c>
      <c r="G18" s="1078" t="str">
        <f>IF(F18&gt;EPLUS!F$4,"",ECAL!G17+1)</f>
        <v/>
      </c>
      <c r="H18" s="1078">
        <f t="shared" si="0"/>
        <v>0</v>
      </c>
      <c r="I18" s="1078"/>
      <c r="J18" s="1078"/>
      <c r="K18" s="1078">
        <f t="shared" si="3"/>
        <v>14</v>
      </c>
      <c r="L18" s="1079">
        <f>IF(K18&gt;EPLUS!D$4,"",ECAL!K18)</f>
        <v>14</v>
      </c>
      <c r="M18" s="1078">
        <f t="shared" si="1"/>
        <v>0</v>
      </c>
      <c r="N18" s="1075">
        <f t="shared" si="5"/>
        <v>23</v>
      </c>
      <c r="O18" s="1075">
        <v>14</v>
      </c>
      <c r="P18" s="1075">
        <v>0.69</v>
      </c>
      <c r="Q18" s="1075">
        <v>0.89</v>
      </c>
      <c r="R18" s="1075">
        <v>0</v>
      </c>
      <c r="S18" s="1075">
        <v>0</v>
      </c>
      <c r="T18" s="1075">
        <f t="shared" si="4"/>
        <v>0.69</v>
      </c>
      <c r="U18" s="1075">
        <f t="shared" si="6"/>
        <v>1.2</v>
      </c>
      <c r="V18" s="1075">
        <f>IF(B$12=1,0,EPLUS!L$4)</f>
        <v>3</v>
      </c>
      <c r="W18" s="1075"/>
      <c r="X18" s="1075"/>
      <c r="Y18" s="1081">
        <f t="shared" si="9"/>
        <v>58.717794617700008</v>
      </c>
      <c r="Z18" s="1075">
        <f t="shared" si="8"/>
        <v>469.71834617852807</v>
      </c>
      <c r="AA18" s="1075">
        <v>0</v>
      </c>
      <c r="AB18" s="1075">
        <v>0</v>
      </c>
      <c r="AC18" s="1075">
        <v>0</v>
      </c>
      <c r="AD18" s="1081">
        <f t="shared" si="7"/>
        <v>58.717794617700008</v>
      </c>
      <c r="AE18" s="1075"/>
      <c r="AF18" s="1075"/>
      <c r="AG18" s="1075"/>
      <c r="AH18" s="1075"/>
      <c r="AI18" s="1075"/>
      <c r="AJ18" s="1075"/>
      <c r="AK18" s="1075"/>
      <c r="AL18" s="1075"/>
      <c r="AM18" s="1075"/>
      <c r="AN18" s="1075"/>
      <c r="AO18" s="1075"/>
      <c r="AP18" s="1075"/>
      <c r="AQ18" s="1075"/>
      <c r="AR18" s="1075"/>
      <c r="AS18" s="1075"/>
      <c r="AT18" s="1075"/>
      <c r="AU18" s="1075"/>
      <c r="AV18" s="1075"/>
    </row>
    <row r="19" spans="1:48" ht="11.25" customHeight="1">
      <c r="A19" s="1080" t="s">
        <v>718</v>
      </c>
      <c r="B19" s="1075"/>
      <c r="C19" s="1075"/>
      <c r="D19" s="1075"/>
      <c r="E19" s="1075"/>
      <c r="F19" s="1075">
        <f t="shared" si="2"/>
        <v>25</v>
      </c>
      <c r="G19" s="1078" t="str">
        <f>IF(F19&gt;EPLUS!F$4,"",ECAL!G18+1)</f>
        <v/>
      </c>
      <c r="H19" s="1078">
        <f t="shared" si="0"/>
        <v>0</v>
      </c>
      <c r="I19" s="1078"/>
      <c r="J19" s="1078"/>
      <c r="K19" s="1078">
        <f t="shared" si="3"/>
        <v>15</v>
      </c>
      <c r="L19" s="1079">
        <f>IF(K19&gt;EPLUS!D$4,"",ECAL!K19)</f>
        <v>15</v>
      </c>
      <c r="M19" s="1078">
        <f t="shared" si="1"/>
        <v>0</v>
      </c>
      <c r="N19" s="1075">
        <f t="shared" si="5"/>
        <v>24</v>
      </c>
      <c r="O19" s="1075">
        <v>15</v>
      </c>
      <c r="P19" s="1075">
        <v>0.77</v>
      </c>
      <c r="Q19" s="1075">
        <v>0.96</v>
      </c>
      <c r="R19" s="1075">
        <v>0</v>
      </c>
      <c r="S19" s="1075">
        <v>0</v>
      </c>
      <c r="T19" s="1075">
        <f t="shared" si="4"/>
        <v>0.77</v>
      </c>
      <c r="U19" s="1075">
        <f t="shared" si="6"/>
        <v>1.22</v>
      </c>
      <c r="V19" s="1075">
        <f>IF(B$12=1,0,EPLUS!L$4)</f>
        <v>3</v>
      </c>
      <c r="W19" s="1075"/>
      <c r="X19" s="1075"/>
      <c r="Y19" s="1081">
        <f t="shared" si="9"/>
        <v>60.479328456231009</v>
      </c>
      <c r="Z19" s="1075">
        <f t="shared" si="8"/>
        <v>483.80989656388391</v>
      </c>
      <c r="AA19" s="1075">
        <v>0</v>
      </c>
      <c r="AB19" s="1075">
        <v>0</v>
      </c>
      <c r="AC19" s="1075">
        <v>0</v>
      </c>
      <c r="AD19" s="1081">
        <f t="shared" si="7"/>
        <v>60.479328456231009</v>
      </c>
      <c r="AE19" s="1075"/>
      <c r="AF19" s="1075"/>
      <c r="AG19" s="1075"/>
      <c r="AH19" s="1075"/>
      <c r="AI19" s="1075"/>
      <c r="AJ19" s="1075"/>
      <c r="AK19" s="1075"/>
      <c r="AL19" s="1075"/>
      <c r="AM19" s="1075"/>
      <c r="AN19" s="1075"/>
      <c r="AO19" s="1075"/>
      <c r="AP19" s="1075"/>
      <c r="AQ19" s="1075"/>
      <c r="AR19" s="1075"/>
      <c r="AS19" s="1075"/>
      <c r="AT19" s="1075"/>
      <c r="AU19" s="1075"/>
      <c r="AV19" s="1075"/>
    </row>
    <row r="20" spans="1:48" ht="11.25" customHeight="1">
      <c r="A20" s="1080" t="s">
        <v>712</v>
      </c>
      <c r="B20" s="1075"/>
      <c r="C20" s="1075"/>
      <c r="D20" s="1075"/>
      <c r="E20" s="1075"/>
      <c r="F20" s="1075">
        <f t="shared" si="2"/>
        <v>26</v>
      </c>
      <c r="G20" s="1078" t="str">
        <f>IF(F20&gt;EPLUS!F$4,"",ECAL!G19+1)</f>
        <v/>
      </c>
      <c r="H20" s="1078">
        <f t="shared" si="0"/>
        <v>0</v>
      </c>
      <c r="I20" s="1078"/>
      <c r="J20" s="1078"/>
      <c r="K20" s="1078">
        <f t="shared" si="3"/>
        <v>16</v>
      </c>
      <c r="L20" s="1079">
        <f>IF(K20&gt;EPLUS!D$4,"",ECAL!K20)</f>
        <v>16</v>
      </c>
      <c r="M20" s="1078">
        <f t="shared" si="1"/>
        <v>0</v>
      </c>
      <c r="N20" s="1075">
        <f t="shared" si="5"/>
        <v>25</v>
      </c>
      <c r="O20" s="1075">
        <v>16</v>
      </c>
      <c r="P20" s="1075">
        <v>0.85</v>
      </c>
      <c r="Q20" s="1075">
        <v>1.03</v>
      </c>
      <c r="R20" s="1075">
        <v>0</v>
      </c>
      <c r="S20" s="1075">
        <v>0</v>
      </c>
      <c r="T20" s="1075">
        <f t="shared" si="4"/>
        <v>0.85</v>
      </c>
      <c r="U20" s="1075">
        <f t="shared" si="6"/>
        <v>1.23</v>
      </c>
      <c r="V20" s="1075">
        <f>IF(B$12=1,0,EPLUS!L$4)</f>
        <v>3</v>
      </c>
      <c r="W20" s="1075"/>
      <c r="X20" s="1075"/>
      <c r="Y20" s="1081">
        <f t="shared" si="9"/>
        <v>62.293708309917939</v>
      </c>
      <c r="Z20" s="1075">
        <f t="shared" si="8"/>
        <v>498.32419346080042</v>
      </c>
      <c r="AA20" s="1075">
        <v>0</v>
      </c>
      <c r="AB20" s="1075">
        <v>0</v>
      </c>
      <c r="AC20" s="1075">
        <v>0</v>
      </c>
      <c r="AD20" s="1081">
        <f t="shared" si="7"/>
        <v>62.293708309917939</v>
      </c>
      <c r="AE20" s="1075"/>
      <c r="AF20" s="1075"/>
      <c r="AG20" s="1075"/>
      <c r="AH20" s="1075"/>
      <c r="AI20" s="1075"/>
      <c r="AJ20" s="1075"/>
      <c r="AK20" s="1075"/>
      <c r="AL20" s="1075"/>
      <c r="AM20" s="1075"/>
      <c r="AN20" s="1075"/>
      <c r="AO20" s="1075"/>
      <c r="AP20" s="1075"/>
      <c r="AQ20" s="1075"/>
      <c r="AR20" s="1075"/>
      <c r="AS20" s="1075"/>
      <c r="AT20" s="1075"/>
      <c r="AU20" s="1075"/>
      <c r="AV20" s="1075"/>
    </row>
    <row r="21" spans="1:48" ht="11.25" customHeight="1">
      <c r="A21" s="1075"/>
      <c r="B21" s="1075">
        <v>1</v>
      </c>
      <c r="C21" s="1080">
        <f>LOOKUP(B21,C22:C24,B22:B24)</f>
        <v>1</v>
      </c>
      <c r="D21" s="1075"/>
      <c r="E21" s="1075"/>
      <c r="F21" s="1075">
        <f t="shared" si="2"/>
        <v>27</v>
      </c>
      <c r="G21" s="1078" t="str">
        <f>IF(F21&gt;EPLUS!F$4,"",ECAL!G20+1)</f>
        <v/>
      </c>
      <c r="H21" s="1078">
        <f t="shared" si="0"/>
        <v>0</v>
      </c>
      <c r="I21" s="1078"/>
      <c r="J21" s="1078"/>
      <c r="K21" s="1078">
        <f t="shared" si="3"/>
        <v>17</v>
      </c>
      <c r="L21" s="1079">
        <f>IF(K21&gt;EPLUS!D$4,"",ECAL!K21)</f>
        <v>17</v>
      </c>
      <c r="M21" s="1078">
        <f t="shared" si="1"/>
        <v>0</v>
      </c>
      <c r="N21" s="1075">
        <f t="shared" si="5"/>
        <v>26</v>
      </c>
      <c r="O21" s="1075">
        <v>17</v>
      </c>
      <c r="P21" s="1075">
        <v>0.93</v>
      </c>
      <c r="Q21" s="1075">
        <v>1.0900000000000001</v>
      </c>
      <c r="R21" s="1075">
        <v>0</v>
      </c>
      <c r="S21" s="1075">
        <v>0</v>
      </c>
      <c r="T21" s="1075">
        <f t="shared" si="4"/>
        <v>0.93</v>
      </c>
      <c r="U21" s="1075">
        <f t="shared" si="6"/>
        <v>1.24</v>
      </c>
      <c r="V21" s="1075">
        <f>IF(B$12=1,0,EPLUS!L$4)</f>
        <v>3</v>
      </c>
      <c r="W21" s="1075"/>
      <c r="X21" s="1075"/>
      <c r="Y21" s="1081">
        <f t="shared" si="9"/>
        <v>64.162519559215482</v>
      </c>
      <c r="Z21" s="1075">
        <f t="shared" si="8"/>
        <v>513.2739192646244</v>
      </c>
      <c r="AA21" s="1075">
        <v>0</v>
      </c>
      <c r="AB21" s="1075">
        <v>0</v>
      </c>
      <c r="AC21" s="1075">
        <v>0</v>
      </c>
      <c r="AD21" s="1081">
        <f t="shared" si="7"/>
        <v>64.162519559215482</v>
      </c>
      <c r="AE21" s="1075"/>
      <c r="AF21" s="1075"/>
      <c r="AG21" s="1075"/>
      <c r="AH21" s="1075"/>
      <c r="AI21" s="1075"/>
      <c r="AJ21" s="1075"/>
      <c r="AK21" s="1075"/>
      <c r="AL21" s="1075"/>
      <c r="AM21" s="1075"/>
      <c r="AN21" s="1075"/>
      <c r="AO21" s="1075"/>
      <c r="AP21" s="1075"/>
      <c r="AQ21" s="1075"/>
      <c r="AR21" s="1075"/>
      <c r="AS21" s="1075"/>
      <c r="AT21" s="1075"/>
      <c r="AU21" s="1075"/>
      <c r="AV21" s="1075"/>
    </row>
    <row r="22" spans="1:48" ht="11.25" customHeight="1">
      <c r="A22" s="1075" t="b">
        <v>1</v>
      </c>
      <c r="B22" s="1075">
        <v>1</v>
      </c>
      <c r="C22" s="1080">
        <f>IF(A22=TRUE,1,"")</f>
        <v>1</v>
      </c>
      <c r="D22" s="1075"/>
      <c r="E22" s="1075"/>
      <c r="F22" s="1075">
        <f t="shared" si="2"/>
        <v>28</v>
      </c>
      <c r="G22" s="1078" t="str">
        <f>IF(F22&gt;EPLUS!F$4,"",ECAL!G21+1)</f>
        <v/>
      </c>
      <c r="H22" s="1078">
        <f t="shared" si="0"/>
        <v>0</v>
      </c>
      <c r="I22" s="1078"/>
      <c r="J22" s="1078"/>
      <c r="K22" s="1078">
        <f t="shared" si="3"/>
        <v>18</v>
      </c>
      <c r="L22" s="1079">
        <f>IF(K22&gt;EPLUS!D$4,"",ECAL!K22)</f>
        <v>18</v>
      </c>
      <c r="M22" s="1078">
        <f t="shared" si="1"/>
        <v>0</v>
      </c>
      <c r="N22" s="1075">
        <f t="shared" si="5"/>
        <v>27</v>
      </c>
      <c r="O22" s="1075">
        <v>18</v>
      </c>
      <c r="P22" s="1075">
        <v>1</v>
      </c>
      <c r="Q22" s="1075">
        <v>1.1499999999999999</v>
      </c>
      <c r="R22" s="1075">
        <v>0</v>
      </c>
      <c r="S22" s="1075">
        <v>0</v>
      </c>
      <c r="T22" s="1075">
        <f t="shared" si="4"/>
        <v>1</v>
      </c>
      <c r="U22" s="1075">
        <f t="shared" si="6"/>
        <v>1.25</v>
      </c>
      <c r="V22" s="1075">
        <f>IF(B$12=1,0,EPLUS!L$4)</f>
        <v>3</v>
      </c>
      <c r="W22" s="1075"/>
      <c r="X22" s="1075"/>
      <c r="Y22" s="1081">
        <f t="shared" si="9"/>
        <v>66.087395145991948</v>
      </c>
      <c r="Z22" s="1075">
        <f t="shared" si="8"/>
        <v>528.67213684256308</v>
      </c>
      <c r="AA22" s="1075">
        <v>0</v>
      </c>
      <c r="AB22" s="1075">
        <v>0</v>
      </c>
      <c r="AC22" s="1075">
        <v>0</v>
      </c>
      <c r="AD22" s="1081">
        <f t="shared" si="7"/>
        <v>66.087395145991948</v>
      </c>
      <c r="AE22" s="1075"/>
      <c r="AF22" s="1075"/>
      <c r="AG22" s="1075"/>
      <c r="AH22" s="1075"/>
      <c r="AI22" s="1075"/>
      <c r="AJ22" s="1075"/>
      <c r="AK22" s="1075"/>
      <c r="AL22" s="1075"/>
      <c r="AM22" s="1075"/>
      <c r="AN22" s="1075"/>
      <c r="AO22" s="1075"/>
      <c r="AP22" s="1075"/>
      <c r="AQ22" s="1075"/>
      <c r="AR22" s="1075"/>
      <c r="AS22" s="1075"/>
      <c r="AT22" s="1075"/>
      <c r="AU22" s="1075"/>
      <c r="AV22" s="1075"/>
    </row>
    <row r="23" spans="1:48" ht="11.25" customHeight="1">
      <c r="A23" s="1075" t="b">
        <v>0</v>
      </c>
      <c r="B23" s="1075">
        <v>2</v>
      </c>
      <c r="C23" s="1080" t="str">
        <f>IF(A23=TRUE,1,"")</f>
        <v/>
      </c>
      <c r="D23" s="1075"/>
      <c r="E23" s="1075"/>
      <c r="F23" s="1075">
        <f t="shared" si="2"/>
        <v>29</v>
      </c>
      <c r="G23" s="1078" t="str">
        <f>IF(F23&gt;EPLUS!F$4,"",ECAL!G22+1)</f>
        <v/>
      </c>
      <c r="H23" s="1078">
        <f t="shared" si="0"/>
        <v>0</v>
      </c>
      <c r="I23" s="1078"/>
      <c r="J23" s="1078"/>
      <c r="K23" s="1078">
        <f t="shared" si="3"/>
        <v>19</v>
      </c>
      <c r="L23" s="1079">
        <f>IF(K23&gt;EPLUS!D$4,"",ECAL!K23)</f>
        <v>19</v>
      </c>
      <c r="M23" s="1078">
        <f t="shared" si="1"/>
        <v>0</v>
      </c>
      <c r="N23" s="1075">
        <f t="shared" si="5"/>
        <v>28</v>
      </c>
      <c r="O23" s="1075">
        <v>19</v>
      </c>
      <c r="P23" s="1075">
        <v>1.06</v>
      </c>
      <c r="Q23" s="1075">
        <v>1.2</v>
      </c>
      <c r="R23" s="1075">
        <v>0</v>
      </c>
      <c r="S23" s="1075">
        <v>0</v>
      </c>
      <c r="T23" s="1075">
        <f t="shared" si="4"/>
        <v>1.06</v>
      </c>
      <c r="U23" s="1075">
        <f t="shared" si="6"/>
        <v>1.27</v>
      </c>
      <c r="V23" s="1075">
        <f>IF(B$12=1,0,EPLUS!L$4)</f>
        <v>3</v>
      </c>
      <c r="W23" s="1075"/>
      <c r="X23" s="1075"/>
      <c r="Y23" s="1081">
        <f t="shared" si="9"/>
        <v>68.070017000371706</v>
      </c>
      <c r="Z23" s="1075">
        <f t="shared" si="8"/>
        <v>544.53230094783999</v>
      </c>
      <c r="AA23" s="1075">
        <v>0</v>
      </c>
      <c r="AB23" s="1075">
        <v>0</v>
      </c>
      <c r="AC23" s="1075">
        <v>0</v>
      </c>
      <c r="AD23" s="1081">
        <f t="shared" si="7"/>
        <v>68.070017000371706</v>
      </c>
      <c r="AE23" s="1075"/>
      <c r="AF23" s="1075"/>
      <c r="AG23" s="1075"/>
      <c r="AH23" s="1075"/>
      <c r="AI23" s="1075"/>
      <c r="AJ23" s="1075"/>
      <c r="AK23" s="1075"/>
      <c r="AL23" s="1075"/>
      <c r="AM23" s="1075"/>
      <c r="AN23" s="1075"/>
      <c r="AO23" s="1075"/>
      <c r="AP23" s="1075"/>
      <c r="AQ23" s="1075"/>
      <c r="AR23" s="1075"/>
      <c r="AS23" s="1075"/>
      <c r="AT23" s="1075"/>
      <c r="AU23" s="1075"/>
      <c r="AV23" s="1075"/>
    </row>
    <row r="24" spans="1:48" ht="11.25" customHeight="1">
      <c r="A24" s="1075" t="b">
        <v>0</v>
      </c>
      <c r="B24" s="1075">
        <v>3</v>
      </c>
      <c r="C24" s="1080" t="str">
        <f>IF(A24=TRUE,1,"")</f>
        <v/>
      </c>
      <c r="D24" s="1075"/>
      <c r="E24" s="1075"/>
      <c r="F24" s="1075">
        <f t="shared" si="2"/>
        <v>30</v>
      </c>
      <c r="G24" s="1078" t="str">
        <f>IF(F24&gt;EPLUS!F$4,"",ECAL!G23+1)</f>
        <v/>
      </c>
      <c r="H24" s="1078">
        <f t="shared" si="0"/>
        <v>0</v>
      </c>
      <c r="I24" s="1078"/>
      <c r="J24" s="1078"/>
      <c r="K24" s="1078">
        <f t="shared" si="3"/>
        <v>20</v>
      </c>
      <c r="L24" s="1079">
        <f>IF(K24&gt;EPLUS!D$4,"",ECAL!K24)</f>
        <v>20</v>
      </c>
      <c r="M24" s="1078">
        <f t="shared" si="1"/>
        <v>0</v>
      </c>
      <c r="N24" s="1075">
        <f t="shared" si="5"/>
        <v>29</v>
      </c>
      <c r="O24" s="1075">
        <v>20</v>
      </c>
      <c r="P24" s="1075">
        <v>1.1100000000000001</v>
      </c>
      <c r="Q24" s="1075">
        <v>1.25</v>
      </c>
      <c r="R24" s="1075">
        <v>0</v>
      </c>
      <c r="S24" s="1075">
        <v>0</v>
      </c>
      <c r="T24" s="1075">
        <f t="shared" si="4"/>
        <v>1.1100000000000001</v>
      </c>
      <c r="U24" s="1075">
        <f t="shared" si="6"/>
        <v>1.29</v>
      </c>
      <c r="V24" s="1075">
        <f>IF(B$12=1,0,EPLUS!L$4)</f>
        <v>3</v>
      </c>
      <c r="W24" s="1075"/>
      <c r="X24" s="1075"/>
      <c r="Y24" s="1081">
        <f t="shared" si="9"/>
        <v>70.112117510382859</v>
      </c>
      <c r="Z24" s="1075">
        <f t="shared" si="8"/>
        <v>560.8682699762752</v>
      </c>
      <c r="AA24" s="1075">
        <v>0</v>
      </c>
      <c r="AB24" s="1075">
        <v>0</v>
      </c>
      <c r="AC24" s="1075">
        <v>0</v>
      </c>
      <c r="AD24" s="1081">
        <f t="shared" si="7"/>
        <v>70.112117510382859</v>
      </c>
      <c r="AE24" s="1075"/>
      <c r="AF24" s="1075"/>
      <c r="AG24" s="1075"/>
      <c r="AH24" s="1075"/>
      <c r="AI24" s="1075"/>
      <c r="AJ24" s="1075"/>
      <c r="AK24" s="1075"/>
      <c r="AL24" s="1075"/>
      <c r="AM24" s="1075"/>
      <c r="AN24" s="1075"/>
      <c r="AO24" s="1075"/>
      <c r="AP24" s="1075"/>
      <c r="AQ24" s="1075"/>
      <c r="AR24" s="1075"/>
      <c r="AS24" s="1075"/>
      <c r="AT24" s="1075"/>
      <c r="AU24" s="1075"/>
      <c r="AV24" s="1075"/>
    </row>
    <row r="25" spans="1:48" ht="11.25" customHeight="1">
      <c r="A25" s="1075"/>
      <c r="B25" s="1075"/>
      <c r="C25" s="1075"/>
      <c r="D25" s="1075"/>
      <c r="E25" s="1075"/>
      <c r="F25" s="1075">
        <f t="shared" si="2"/>
        <v>31</v>
      </c>
      <c r="G25" s="1078" t="str">
        <f>IF(F25&gt;EPLUS!F$4,"",ECAL!G24+1)</f>
        <v/>
      </c>
      <c r="H25" s="1078">
        <f t="shared" si="0"/>
        <v>0</v>
      </c>
      <c r="I25" s="1078"/>
      <c r="J25" s="1078"/>
      <c r="K25" s="1078">
        <f t="shared" si="3"/>
        <v>21</v>
      </c>
      <c r="L25" s="1079">
        <f>IF(K25&gt;EPLUS!D$4,"",ECAL!K25)</f>
        <v>21</v>
      </c>
      <c r="M25" s="1078">
        <f t="shared" si="1"/>
        <v>0</v>
      </c>
      <c r="N25" s="1075">
        <f t="shared" si="5"/>
        <v>30</v>
      </c>
      <c r="O25" s="1075">
        <v>21</v>
      </c>
      <c r="P25" s="1075">
        <v>1.1499999999999999</v>
      </c>
      <c r="Q25" s="1075">
        <v>1.29</v>
      </c>
      <c r="R25" s="1075">
        <v>0</v>
      </c>
      <c r="S25" s="1075">
        <v>0</v>
      </c>
      <c r="T25" s="1075">
        <f t="shared" si="4"/>
        <v>1.1499999999999999</v>
      </c>
      <c r="U25" s="1075">
        <f t="shared" si="6"/>
        <v>1.32</v>
      </c>
      <c r="V25" s="1075">
        <f>IF(B$12=1,0,EPLUS!L$4)</f>
        <v>3</v>
      </c>
      <c r="W25" s="1075"/>
      <c r="X25" s="1075"/>
      <c r="Y25" s="1081">
        <f t="shared" si="9"/>
        <v>72.215481035694339</v>
      </c>
      <c r="Z25" s="1075">
        <f t="shared" si="8"/>
        <v>577.6943180755635</v>
      </c>
      <c r="AA25" s="1075">
        <v>0</v>
      </c>
      <c r="AB25" s="1075">
        <v>0</v>
      </c>
      <c r="AC25" s="1075">
        <v>0</v>
      </c>
      <c r="AD25" s="1081">
        <f t="shared" si="7"/>
        <v>72.215481035694339</v>
      </c>
      <c r="AE25" s="1075"/>
      <c r="AF25" s="1075"/>
      <c r="AG25" s="1075"/>
      <c r="AH25" s="1075"/>
      <c r="AI25" s="1075"/>
      <c r="AJ25" s="1075"/>
      <c r="AK25" s="1075"/>
      <c r="AL25" s="1075"/>
      <c r="AM25" s="1075"/>
      <c r="AN25" s="1075"/>
      <c r="AO25" s="1075"/>
      <c r="AP25" s="1075"/>
      <c r="AQ25" s="1075"/>
      <c r="AR25" s="1075"/>
      <c r="AS25" s="1075"/>
      <c r="AT25" s="1075"/>
      <c r="AU25" s="1075"/>
      <c r="AV25" s="1075"/>
    </row>
    <row r="26" spans="1:48" ht="11.25" customHeight="1">
      <c r="A26" s="1075"/>
      <c r="B26" s="1075"/>
      <c r="C26" s="1075"/>
      <c r="D26" s="1075"/>
      <c r="E26" s="1075"/>
      <c r="F26" s="1075">
        <f t="shared" si="2"/>
        <v>32</v>
      </c>
      <c r="G26" s="1078" t="str">
        <f>IF(F26&gt;EPLUS!F$4,"",ECAL!G25+1)</f>
        <v/>
      </c>
      <c r="H26" s="1078">
        <f t="shared" si="0"/>
        <v>0</v>
      </c>
      <c r="I26" s="1078"/>
      <c r="J26" s="1078"/>
      <c r="K26" s="1078">
        <f t="shared" si="3"/>
        <v>22</v>
      </c>
      <c r="L26" s="1079">
        <f>IF(K26&gt;EPLUS!D$4,"",ECAL!K26)</f>
        <v>22</v>
      </c>
      <c r="M26" s="1078">
        <f t="shared" si="1"/>
        <v>0</v>
      </c>
      <c r="N26" s="1075">
        <f t="shared" si="5"/>
        <v>31</v>
      </c>
      <c r="O26" s="1075">
        <v>22</v>
      </c>
      <c r="P26" s="1075">
        <v>1.18</v>
      </c>
      <c r="Q26" s="1075">
        <v>1.33</v>
      </c>
      <c r="R26" s="1075">
        <v>0</v>
      </c>
      <c r="S26" s="1075">
        <v>0</v>
      </c>
      <c r="T26" s="1075">
        <f t="shared" si="4"/>
        <v>1.18</v>
      </c>
      <c r="U26" s="1075">
        <f t="shared" si="6"/>
        <v>1.35</v>
      </c>
      <c r="V26" s="1075">
        <f>IF(B$12=1,0,EPLUS!L$4)</f>
        <v>3</v>
      </c>
      <c r="W26" s="1075"/>
      <c r="X26" s="1075"/>
      <c r="Y26" s="1081">
        <f t="shared" si="9"/>
        <v>74.381945466765174</v>
      </c>
      <c r="Z26" s="1075">
        <f t="shared" si="8"/>
        <v>595.02514761783038</v>
      </c>
      <c r="AA26" s="1075">
        <v>0</v>
      </c>
      <c r="AB26" s="1075">
        <v>0</v>
      </c>
      <c r="AC26" s="1075">
        <v>0</v>
      </c>
      <c r="AD26" s="1081">
        <f t="shared" si="7"/>
        <v>74.381945466765174</v>
      </c>
      <c r="AE26" s="1075"/>
      <c r="AF26" s="1075"/>
      <c r="AG26" s="1075"/>
      <c r="AH26" s="1075"/>
      <c r="AI26" s="1075"/>
      <c r="AJ26" s="1075"/>
      <c r="AK26" s="1075"/>
      <c r="AL26" s="1075"/>
      <c r="AM26" s="1075"/>
      <c r="AN26" s="1075"/>
      <c r="AO26" s="1075"/>
      <c r="AP26" s="1075"/>
      <c r="AQ26" s="1075"/>
      <c r="AR26" s="1075"/>
      <c r="AS26" s="1075"/>
      <c r="AT26" s="1075"/>
      <c r="AU26" s="1075"/>
      <c r="AV26" s="1075"/>
    </row>
    <row r="27" spans="1:48" ht="11.25" customHeight="1">
      <c r="A27" s="1075" t="s">
        <v>717</v>
      </c>
      <c r="B27" s="1082">
        <f>VALUE(EPLUS!K25)*100</f>
        <v>11.5</v>
      </c>
      <c r="C27" s="1075"/>
      <c r="D27" s="1075"/>
      <c r="E27" s="1075"/>
      <c r="F27" s="1075">
        <f t="shared" si="2"/>
        <v>33</v>
      </c>
      <c r="G27" s="1078" t="str">
        <f>IF(F27&gt;EPLUS!F$4,"",ECAL!G26+1)</f>
        <v/>
      </c>
      <c r="H27" s="1078">
        <f t="shared" si="0"/>
        <v>0</v>
      </c>
      <c r="I27" s="1078"/>
      <c r="J27" s="1078"/>
      <c r="K27" s="1078">
        <f t="shared" si="3"/>
        <v>23</v>
      </c>
      <c r="L27" s="1079">
        <f>IF(K27&gt;EPLUS!D$4,"",ECAL!K27)</f>
        <v>23</v>
      </c>
      <c r="M27" s="1078">
        <f t="shared" si="1"/>
        <v>0</v>
      </c>
      <c r="N27" s="1075">
        <f t="shared" si="5"/>
        <v>32</v>
      </c>
      <c r="O27" s="1075">
        <v>23</v>
      </c>
      <c r="P27" s="1075">
        <v>1.2</v>
      </c>
      <c r="Q27" s="1075">
        <v>1.36</v>
      </c>
      <c r="R27" s="1075">
        <v>0</v>
      </c>
      <c r="S27" s="1075">
        <v>0</v>
      </c>
      <c r="T27" s="1075">
        <f t="shared" si="4"/>
        <v>1.2</v>
      </c>
      <c r="U27" s="1075">
        <f t="shared" si="6"/>
        <v>1.4</v>
      </c>
      <c r="V27" s="1075">
        <f>IF(B$12=1,0,EPLUS!L$4)</f>
        <v>3</v>
      </c>
      <c r="W27" s="1075"/>
      <c r="X27" s="1075"/>
      <c r="Y27" s="1081">
        <f t="shared" si="9"/>
        <v>76.613403830768135</v>
      </c>
      <c r="Z27" s="1075">
        <f t="shared" si="8"/>
        <v>612.87590204636524</v>
      </c>
      <c r="AA27" s="1075">
        <v>0</v>
      </c>
      <c r="AB27" s="1075">
        <v>0</v>
      </c>
      <c r="AC27" s="1075">
        <v>0</v>
      </c>
      <c r="AD27" s="1081">
        <f t="shared" si="7"/>
        <v>76.613403830768135</v>
      </c>
      <c r="AE27" s="1075"/>
      <c r="AF27" s="1075"/>
      <c r="AG27" s="1075"/>
      <c r="AH27" s="1075"/>
      <c r="AI27" s="1075"/>
      <c r="AJ27" s="1075"/>
      <c r="AK27" s="1075"/>
      <c r="AL27" s="1075"/>
      <c r="AM27" s="1075"/>
      <c r="AN27" s="1075"/>
      <c r="AO27" s="1075"/>
      <c r="AP27" s="1075"/>
      <c r="AQ27" s="1075"/>
      <c r="AR27" s="1075"/>
      <c r="AS27" s="1075"/>
      <c r="AT27" s="1075"/>
      <c r="AU27" s="1075"/>
      <c r="AV27" s="1075"/>
    </row>
    <row r="28" spans="1:48" ht="11.25" customHeight="1">
      <c r="A28" s="1075" t="s">
        <v>716</v>
      </c>
      <c r="B28" s="1075">
        <f>VALUE(EPLUS!P25)</f>
        <v>10.594099999999999</v>
      </c>
      <c r="C28" s="1075"/>
      <c r="D28" s="1075" t="s">
        <v>44</v>
      </c>
      <c r="E28" s="1075"/>
      <c r="F28" s="1075">
        <f t="shared" si="2"/>
        <v>34</v>
      </c>
      <c r="G28" s="1078" t="str">
        <f>IF(F28&gt;EPLUS!F$4,"",ECAL!G27+1)</f>
        <v/>
      </c>
      <c r="H28" s="1078">
        <f t="shared" si="0"/>
        <v>0</v>
      </c>
      <c r="I28" s="1078"/>
      <c r="J28" s="1078"/>
      <c r="K28" s="1078">
        <f t="shared" si="3"/>
        <v>24</v>
      </c>
      <c r="L28" s="1079">
        <f>IF(K28&gt;EPLUS!D$4,"",ECAL!K28)</f>
        <v>24</v>
      </c>
      <c r="M28" s="1078">
        <f t="shared" si="1"/>
        <v>0</v>
      </c>
      <c r="N28" s="1075">
        <f t="shared" si="5"/>
        <v>33</v>
      </c>
      <c r="O28" s="1075">
        <v>24</v>
      </c>
      <c r="P28" s="1075">
        <v>1.22</v>
      </c>
      <c r="Q28" s="1075">
        <v>1.39</v>
      </c>
      <c r="R28" s="1075">
        <v>0</v>
      </c>
      <c r="S28" s="1075">
        <v>0</v>
      </c>
      <c r="T28" s="1075">
        <f t="shared" si="4"/>
        <v>1.22</v>
      </c>
      <c r="U28" s="1075">
        <f t="shared" si="6"/>
        <v>1.45</v>
      </c>
      <c r="V28" s="1075"/>
      <c r="W28" s="1075"/>
      <c r="X28" s="1075"/>
      <c r="Y28" s="1081">
        <f t="shared" si="9"/>
        <v>78.911805945691185</v>
      </c>
      <c r="Z28" s="1075">
        <f t="shared" si="8"/>
        <v>631.2621791077562</v>
      </c>
      <c r="AA28" s="1075">
        <v>0</v>
      </c>
      <c r="AB28" s="1075">
        <v>0</v>
      </c>
      <c r="AC28" s="1075">
        <v>0</v>
      </c>
      <c r="AD28" s="1081">
        <f t="shared" si="7"/>
        <v>78.911805945691185</v>
      </c>
      <c r="AE28" s="1075"/>
      <c r="AF28" s="1075"/>
      <c r="AG28" s="1075"/>
      <c r="AH28" s="1075"/>
      <c r="AI28" s="1075"/>
      <c r="AJ28" s="1075"/>
      <c r="AK28" s="1075"/>
      <c r="AL28" s="1075"/>
      <c r="AM28" s="1075"/>
      <c r="AN28" s="1075"/>
      <c r="AO28" s="1075"/>
      <c r="AP28" s="1075"/>
      <c r="AQ28" s="1075"/>
      <c r="AR28" s="1075"/>
      <c r="AS28" s="1075"/>
      <c r="AT28" s="1075"/>
      <c r="AU28" s="1075"/>
      <c r="AV28" s="1075"/>
    </row>
    <row r="29" spans="1:48" ht="11.25" customHeight="1">
      <c r="A29" s="1075"/>
      <c r="B29" s="1075"/>
      <c r="C29" s="1075"/>
      <c r="D29" s="1075">
        <f>IF(EPLUS!$I$22="YES",1,0)</f>
        <v>1</v>
      </c>
      <c r="E29" s="1075"/>
      <c r="F29" s="1075">
        <f t="shared" si="2"/>
        <v>35</v>
      </c>
      <c r="G29" s="1078" t="str">
        <f>IF(F29&gt;EPLUS!F$4,"",ECAL!G28+1)</f>
        <v/>
      </c>
      <c r="H29" s="1078">
        <f t="shared" si="0"/>
        <v>0</v>
      </c>
      <c r="I29" s="1078"/>
      <c r="J29" s="1078"/>
      <c r="K29" s="1078">
        <f t="shared" si="3"/>
        <v>25</v>
      </c>
      <c r="L29" s="1079">
        <f>IF(K29&gt;EPLUS!D$4,"",ECAL!K29)</f>
        <v>25</v>
      </c>
      <c r="M29" s="1078">
        <f t="shared" si="1"/>
        <v>0</v>
      </c>
      <c r="N29" s="1075">
        <f t="shared" si="5"/>
        <v>34</v>
      </c>
      <c r="O29" s="1075">
        <v>25</v>
      </c>
      <c r="P29" s="1075">
        <v>1.23</v>
      </c>
      <c r="Q29" s="1075">
        <v>1.42</v>
      </c>
      <c r="R29" s="1075">
        <v>0</v>
      </c>
      <c r="S29" s="1075">
        <v>0</v>
      </c>
      <c r="T29" s="1075">
        <f t="shared" si="4"/>
        <v>1.23</v>
      </c>
      <c r="U29" s="1075">
        <f t="shared" si="6"/>
        <v>1.52</v>
      </c>
      <c r="V29" s="1075"/>
      <c r="W29" s="1075"/>
      <c r="X29" s="1075"/>
      <c r="Y29" s="1075"/>
      <c r="Z29" s="1075"/>
      <c r="AA29" s="1075"/>
      <c r="AB29" s="1075"/>
      <c r="AC29" s="1075"/>
      <c r="AD29" s="1075"/>
      <c r="AE29" s="1075"/>
      <c r="AF29" s="1075"/>
      <c r="AG29" s="1075"/>
      <c r="AH29" s="1075"/>
      <c r="AI29" s="1075"/>
      <c r="AJ29" s="1075"/>
      <c r="AK29" s="1075"/>
      <c r="AL29" s="1075"/>
      <c r="AM29" s="1075"/>
      <c r="AN29" s="1075"/>
      <c r="AO29" s="1075"/>
      <c r="AP29" s="1075"/>
      <c r="AQ29" s="1075"/>
      <c r="AR29" s="1075"/>
      <c r="AS29" s="1075"/>
      <c r="AT29" s="1075"/>
      <c r="AU29" s="1075"/>
      <c r="AV29" s="1075"/>
    </row>
    <row r="30" spans="1:48" ht="11.25" customHeight="1">
      <c r="A30" s="1075"/>
      <c r="B30" s="1075">
        <f>B28</f>
        <v>10.594099999999999</v>
      </c>
      <c r="C30" s="1075"/>
      <c r="D30" s="1075">
        <f>IF(D29=1,0.4,0)</f>
        <v>0.4</v>
      </c>
      <c r="E30" s="1075"/>
      <c r="F30" s="1075">
        <f t="shared" si="2"/>
        <v>36</v>
      </c>
      <c r="G30" s="1078" t="str">
        <f>IF(F30&gt;EPLUS!F$4,"",ECAL!G29+1)</f>
        <v/>
      </c>
      <c r="H30" s="1078">
        <f t="shared" si="0"/>
        <v>0</v>
      </c>
      <c r="I30" s="1078"/>
      <c r="J30" s="1078"/>
      <c r="K30" s="1078">
        <f t="shared" si="3"/>
        <v>26</v>
      </c>
      <c r="L30" s="1079">
        <f>IF(K30&gt;EPLUS!D$4,"",ECAL!K30)</f>
        <v>26</v>
      </c>
      <c r="M30" s="1078">
        <f t="shared" si="1"/>
        <v>0</v>
      </c>
      <c r="N30" s="1075">
        <f t="shared" si="5"/>
        <v>35</v>
      </c>
      <c r="O30" s="1075">
        <v>26</v>
      </c>
      <c r="P30" s="1075">
        <v>1.24</v>
      </c>
      <c r="Q30" s="1075">
        <v>1.43</v>
      </c>
      <c r="R30" s="1075">
        <v>0</v>
      </c>
      <c r="S30" s="1075">
        <v>0</v>
      </c>
      <c r="T30" s="1075">
        <f t="shared" si="4"/>
        <v>1.24</v>
      </c>
      <c r="U30" s="1075">
        <f t="shared" si="6"/>
        <v>1.6</v>
      </c>
      <c r="V30" s="1075"/>
      <c r="W30" s="1075"/>
      <c r="X30" s="1075"/>
      <c r="Y30" s="1075"/>
      <c r="Z30" s="1075"/>
      <c r="AA30" s="1075"/>
      <c r="AB30" s="1075"/>
      <c r="AC30" s="1075"/>
      <c r="AD30" s="1075"/>
      <c r="AE30" s="1075"/>
      <c r="AF30" s="1075"/>
      <c r="AG30" s="1075"/>
      <c r="AH30" s="1075"/>
      <c r="AI30" s="1075"/>
      <c r="AJ30" s="1075"/>
      <c r="AK30" s="1075"/>
      <c r="AL30" s="1075"/>
      <c r="AM30" s="1075"/>
      <c r="AN30" s="1075"/>
      <c r="AO30" s="1075"/>
      <c r="AP30" s="1075"/>
      <c r="AQ30" s="1075"/>
      <c r="AR30" s="1075"/>
      <c r="AS30" s="1075"/>
      <c r="AT30" s="1075"/>
      <c r="AU30" s="1075"/>
      <c r="AV30" s="1075"/>
    </row>
    <row r="31" spans="1:48" ht="11.25" customHeight="1">
      <c r="A31" s="1075" t="s">
        <v>715</v>
      </c>
      <c r="B31" s="1083">
        <f t="shared" ref="B31:B50" si="10">B30*(100+B$27)/100</f>
        <v>11.812421499999997</v>
      </c>
      <c r="C31" s="1075"/>
      <c r="D31" s="1075"/>
      <c r="E31" s="1075"/>
      <c r="F31" s="1075">
        <f t="shared" si="2"/>
        <v>37</v>
      </c>
      <c r="G31" s="1078" t="str">
        <f>IF(F31&gt;EPLUS!F$4,"",ECAL!G30+1)</f>
        <v/>
      </c>
      <c r="H31" s="1078">
        <f t="shared" si="0"/>
        <v>0</v>
      </c>
      <c r="I31" s="1078"/>
      <c r="J31" s="1078"/>
      <c r="K31" s="1078">
        <f t="shared" si="3"/>
        <v>27</v>
      </c>
      <c r="L31" s="1079">
        <f>IF(K31&gt;EPLUS!D$4,"",ECAL!K31)</f>
        <v>27</v>
      </c>
      <c r="M31" s="1078">
        <f t="shared" si="1"/>
        <v>0</v>
      </c>
      <c r="N31" s="1075">
        <f t="shared" si="5"/>
        <v>36</v>
      </c>
      <c r="O31" s="1075">
        <v>27</v>
      </c>
      <c r="P31" s="1075">
        <v>1.25</v>
      </c>
      <c r="Q31" s="1075">
        <v>1.45</v>
      </c>
      <c r="R31" s="1075">
        <v>0</v>
      </c>
      <c r="S31" s="1075">
        <v>0</v>
      </c>
      <c r="T31" s="1075">
        <f t="shared" si="4"/>
        <v>1.25</v>
      </c>
      <c r="U31" s="1075">
        <f t="shared" si="6"/>
        <v>1.7</v>
      </c>
      <c r="V31" s="1075"/>
      <c r="W31" s="1075"/>
      <c r="X31" s="1075"/>
      <c r="Y31" s="1075"/>
      <c r="Z31" s="1075"/>
      <c r="AA31" s="1075"/>
      <c r="AB31" s="1075"/>
      <c r="AC31" s="1075"/>
      <c r="AD31" s="1075"/>
      <c r="AE31" s="1075"/>
      <c r="AF31" s="1075"/>
      <c r="AG31" s="1075"/>
      <c r="AH31" s="1075"/>
      <c r="AI31" s="1075"/>
      <c r="AJ31" s="1075"/>
      <c r="AK31" s="1075"/>
      <c r="AL31" s="1075"/>
      <c r="AM31" s="1075"/>
      <c r="AN31" s="1075"/>
      <c r="AO31" s="1075"/>
      <c r="AP31" s="1075"/>
      <c r="AQ31" s="1075"/>
      <c r="AR31" s="1075"/>
      <c r="AS31" s="1075"/>
      <c r="AT31" s="1075"/>
      <c r="AU31" s="1075"/>
      <c r="AV31" s="1075"/>
    </row>
    <row r="32" spans="1:48" ht="11.25" customHeight="1">
      <c r="A32" s="1081">
        <f>MAX(C85:C104)</f>
        <v>1441397.5550449663</v>
      </c>
      <c r="B32" s="1083">
        <f t="shared" si="10"/>
        <v>13.170849972499997</v>
      </c>
      <c r="C32" s="1075"/>
      <c r="D32" s="1075"/>
      <c r="E32" s="1075"/>
      <c r="F32" s="1075">
        <f t="shared" si="2"/>
        <v>38</v>
      </c>
      <c r="G32" s="1078" t="str">
        <f>IF(F32&gt;EPLUS!F$4,"",ECAL!G31+1)</f>
        <v/>
      </c>
      <c r="H32" s="1078">
        <f t="shared" si="0"/>
        <v>0</v>
      </c>
      <c r="I32" s="1078"/>
      <c r="J32" s="1078"/>
      <c r="K32" s="1078">
        <f t="shared" si="3"/>
        <v>28</v>
      </c>
      <c r="L32" s="1079">
        <f>IF(K32&gt;EPLUS!D$4,"",ECAL!K32)</f>
        <v>28</v>
      </c>
      <c r="M32" s="1078">
        <f t="shared" si="1"/>
        <v>0</v>
      </c>
      <c r="N32" s="1075">
        <f t="shared" si="5"/>
        <v>37</v>
      </c>
      <c r="O32" s="1075">
        <v>28</v>
      </c>
      <c r="P32" s="1075">
        <v>1.27</v>
      </c>
      <c r="Q32" s="1075">
        <v>1.46</v>
      </c>
      <c r="R32" s="1075">
        <v>0</v>
      </c>
      <c r="S32" s="1075">
        <v>0</v>
      </c>
      <c r="T32" s="1075">
        <f t="shared" si="4"/>
        <v>1.27</v>
      </c>
      <c r="U32" s="1075">
        <f t="shared" si="6"/>
        <v>1.81</v>
      </c>
      <c r="V32" s="1075"/>
      <c r="W32" s="1075"/>
      <c r="X32" s="1075"/>
      <c r="Y32" s="1075"/>
      <c r="Z32" s="1075"/>
      <c r="AA32" s="1075"/>
      <c r="AB32" s="1075"/>
      <c r="AC32" s="1075"/>
      <c r="AD32" s="1075"/>
      <c r="AE32" s="1075"/>
      <c r="AF32" s="1075"/>
      <c r="AG32" s="1075"/>
      <c r="AH32" s="1075"/>
      <c r="AI32" s="1075"/>
      <c r="AJ32" s="1075"/>
      <c r="AK32" s="1075"/>
      <c r="AL32" s="1075"/>
      <c r="AM32" s="1075"/>
      <c r="AN32" s="1075"/>
      <c r="AO32" s="1075"/>
      <c r="AP32" s="1075"/>
      <c r="AQ32" s="1075"/>
      <c r="AR32" s="1075"/>
      <c r="AS32" s="1075"/>
      <c r="AT32" s="1075"/>
      <c r="AU32" s="1075"/>
      <c r="AV32" s="1075"/>
    </row>
    <row r="33" spans="1:48" ht="11.25" customHeight="1">
      <c r="A33" s="1075"/>
      <c r="B33" s="1083">
        <f t="shared" si="10"/>
        <v>14.685497719337498</v>
      </c>
      <c r="C33" s="1075"/>
      <c r="D33" s="1075"/>
      <c r="E33" s="1075"/>
      <c r="F33" s="1075">
        <f t="shared" si="2"/>
        <v>39</v>
      </c>
      <c r="G33" s="1078" t="str">
        <f>IF(F33&gt;EPLUS!F$4,"",ECAL!G32+1)</f>
        <v/>
      </c>
      <c r="H33" s="1078">
        <f t="shared" si="0"/>
        <v>0</v>
      </c>
      <c r="I33" s="1078"/>
      <c r="J33" s="1078"/>
      <c r="K33" s="1078">
        <f t="shared" si="3"/>
        <v>29</v>
      </c>
      <c r="L33" s="1079">
        <f>IF(K33&gt;EPLUS!D$4,"",ECAL!K33)</f>
        <v>29</v>
      </c>
      <c r="M33" s="1078">
        <f t="shared" si="1"/>
        <v>0</v>
      </c>
      <c r="N33" s="1075">
        <f t="shared" si="5"/>
        <v>38</v>
      </c>
      <c r="O33" s="1075">
        <v>29</v>
      </c>
      <c r="P33" s="1075">
        <v>1.29</v>
      </c>
      <c r="Q33" s="1075">
        <v>1.46</v>
      </c>
      <c r="R33" s="1075">
        <v>0</v>
      </c>
      <c r="S33" s="1075">
        <v>0</v>
      </c>
      <c r="T33" s="1075">
        <f t="shared" si="4"/>
        <v>1.29</v>
      </c>
      <c r="U33" s="1075">
        <f t="shared" si="6"/>
        <v>1.94</v>
      </c>
      <c r="V33" s="1075"/>
      <c r="W33" s="1075"/>
      <c r="X33" s="1075"/>
      <c r="Y33" s="1075"/>
      <c r="Z33" s="1075"/>
      <c r="AA33" s="1075"/>
      <c r="AB33" s="1075"/>
      <c r="AC33" s="1075"/>
      <c r="AD33" s="1075"/>
      <c r="AE33" s="1075"/>
      <c r="AF33" s="1075"/>
      <c r="AG33" s="1075"/>
      <c r="AH33" s="1075"/>
      <c r="AI33" s="1075"/>
      <c r="AJ33" s="1075"/>
      <c r="AK33" s="1075"/>
      <c r="AL33" s="1075"/>
      <c r="AM33" s="1075"/>
      <c r="AN33" s="1075"/>
      <c r="AO33" s="1075"/>
      <c r="AP33" s="1075"/>
      <c r="AQ33" s="1075"/>
      <c r="AR33" s="1075"/>
      <c r="AS33" s="1075"/>
      <c r="AT33" s="1075"/>
      <c r="AU33" s="1075"/>
      <c r="AV33" s="1075"/>
    </row>
    <row r="34" spans="1:48" ht="11.25" customHeight="1">
      <c r="A34" s="1075"/>
      <c r="B34" s="1083">
        <f t="shared" si="10"/>
        <v>16.37432995706131</v>
      </c>
      <c r="C34" s="1075"/>
      <c r="D34" s="1075"/>
      <c r="E34" s="1075"/>
      <c r="F34" s="1075">
        <f t="shared" si="2"/>
        <v>40</v>
      </c>
      <c r="G34" s="1078" t="str">
        <f>IF(F34&gt;EPLUS!F$4,"",ECAL!G33+1)</f>
        <v/>
      </c>
      <c r="H34" s="1078">
        <f t="shared" si="0"/>
        <v>0</v>
      </c>
      <c r="I34" s="1078"/>
      <c r="J34" s="1078"/>
      <c r="K34" s="1078">
        <f t="shared" si="3"/>
        <v>30</v>
      </c>
      <c r="L34" s="1079">
        <f>IF(K34&gt;EPLUS!D$4,"",ECAL!K34)</f>
        <v>30</v>
      </c>
      <c r="M34" s="1078">
        <f t="shared" si="1"/>
        <v>0</v>
      </c>
      <c r="N34" s="1075">
        <f t="shared" si="5"/>
        <v>39</v>
      </c>
      <c r="O34" s="1075">
        <v>30</v>
      </c>
      <c r="P34" s="1075">
        <v>1.32</v>
      </c>
      <c r="Q34" s="1075">
        <v>1.46</v>
      </c>
      <c r="R34" s="1075">
        <v>0</v>
      </c>
      <c r="S34" s="1075">
        <v>0</v>
      </c>
      <c r="T34" s="1075">
        <f t="shared" si="4"/>
        <v>1.32</v>
      </c>
      <c r="U34" s="1075">
        <f t="shared" si="6"/>
        <v>2.08</v>
      </c>
      <c r="V34" s="1075"/>
      <c r="W34" s="1075"/>
      <c r="X34" s="1075"/>
      <c r="Y34" s="1075"/>
      <c r="Z34" s="1075"/>
      <c r="AA34" s="1075"/>
      <c r="AB34" s="1075"/>
      <c r="AC34" s="1075"/>
      <c r="AD34" s="1075"/>
      <c r="AE34" s="1075"/>
      <c r="AF34" s="1075"/>
      <c r="AG34" s="1075"/>
      <c r="AH34" s="1075"/>
      <c r="AI34" s="1075"/>
      <c r="AJ34" s="1075"/>
      <c r="AK34" s="1075"/>
      <c r="AL34" s="1075"/>
      <c r="AM34" s="1075"/>
      <c r="AN34" s="1075"/>
      <c r="AO34" s="1075"/>
      <c r="AP34" s="1075"/>
      <c r="AQ34" s="1075"/>
      <c r="AR34" s="1075"/>
      <c r="AS34" s="1075"/>
      <c r="AT34" s="1075"/>
      <c r="AU34" s="1075"/>
      <c r="AV34" s="1075"/>
    </row>
    <row r="35" spans="1:48" ht="11.25" customHeight="1">
      <c r="A35" s="1075"/>
      <c r="B35" s="1083">
        <f t="shared" si="10"/>
        <v>18.257377902123359</v>
      </c>
      <c r="C35" s="1075"/>
      <c r="D35" s="1075"/>
      <c r="E35" s="1075" t="s">
        <v>714</v>
      </c>
      <c r="F35" s="1075">
        <f t="shared" si="2"/>
        <v>41</v>
      </c>
      <c r="G35" s="1078" t="str">
        <f>IF(F35&gt;EPLUS!F$4,"",ECAL!G34+1)</f>
        <v/>
      </c>
      <c r="H35" s="1078">
        <f t="shared" si="0"/>
        <v>0</v>
      </c>
      <c r="I35" s="1078"/>
      <c r="J35" s="1078"/>
      <c r="K35" s="1078">
        <f t="shared" si="3"/>
        <v>31</v>
      </c>
      <c r="L35" s="1079">
        <f>IF(K35&gt;EPLUS!D$4,"",ECAL!K35)</f>
        <v>31</v>
      </c>
      <c r="M35" s="1078">
        <f t="shared" si="1"/>
        <v>0</v>
      </c>
      <c r="N35" s="1075">
        <f t="shared" si="5"/>
        <v>40</v>
      </c>
      <c r="O35" s="1075">
        <v>31</v>
      </c>
      <c r="P35" s="1075">
        <v>1.35</v>
      </c>
      <c r="Q35" s="1075">
        <v>1.46</v>
      </c>
      <c r="R35" s="1075">
        <v>0</v>
      </c>
      <c r="S35" s="1075">
        <v>0</v>
      </c>
      <c r="T35" s="1075">
        <f t="shared" si="4"/>
        <v>1.35</v>
      </c>
      <c r="U35" s="1075">
        <f t="shared" si="6"/>
        <v>2.25</v>
      </c>
      <c r="V35" s="1075"/>
      <c r="W35" s="1075"/>
      <c r="X35" s="1075"/>
      <c r="Y35" s="1075"/>
      <c r="Z35" s="1075"/>
      <c r="AA35" s="1075"/>
      <c r="AB35" s="1075"/>
      <c r="AC35" s="1075"/>
      <c r="AD35" s="1075"/>
      <c r="AE35" s="1075"/>
      <c r="AF35" s="1075"/>
      <c r="AG35" s="1075"/>
      <c r="AH35" s="1075"/>
      <c r="AI35" s="1075"/>
      <c r="AJ35" s="1075"/>
      <c r="AK35" s="1075"/>
      <c r="AL35" s="1075"/>
      <c r="AM35" s="1075"/>
      <c r="AN35" s="1075"/>
      <c r="AO35" s="1075"/>
      <c r="AP35" s="1075"/>
      <c r="AQ35" s="1075"/>
      <c r="AR35" s="1075"/>
      <c r="AS35" s="1075"/>
      <c r="AT35" s="1075"/>
      <c r="AU35" s="1075"/>
      <c r="AV35" s="1075"/>
    </row>
    <row r="36" spans="1:48" ht="11.25" customHeight="1">
      <c r="A36" s="1075"/>
      <c r="B36" s="1083">
        <f t="shared" si="10"/>
        <v>20.356976360867545</v>
      </c>
      <c r="C36" s="1075"/>
      <c r="D36" s="1075"/>
      <c r="E36" s="1075"/>
      <c r="F36" s="1075">
        <f t="shared" si="2"/>
        <v>42</v>
      </c>
      <c r="G36" s="1078" t="str">
        <f>IF(F36&gt;EPLUS!F$4,"",ECAL!G35+1)</f>
        <v/>
      </c>
      <c r="H36" s="1078">
        <f t="shared" ref="H36:H63" si="11">IF(B$10=G36,1,0)</f>
        <v>0</v>
      </c>
      <c r="I36" s="1078"/>
      <c r="J36" s="1078"/>
      <c r="K36" s="1078">
        <f t="shared" si="3"/>
        <v>32</v>
      </c>
      <c r="L36" s="1079">
        <f>IF(K36&gt;EPLUS!D$4,"",ECAL!K36)</f>
        <v>32</v>
      </c>
      <c r="M36" s="1078">
        <f t="shared" ref="M36:M63" si="12">IF(L36=B$9,1,0)</f>
        <v>0</v>
      </c>
      <c r="N36" s="1075">
        <f t="shared" si="5"/>
        <v>41</v>
      </c>
      <c r="O36" s="1075">
        <v>32</v>
      </c>
      <c r="P36" s="1075">
        <v>1.4</v>
      </c>
      <c r="Q36" s="1075">
        <v>1.5</v>
      </c>
      <c r="R36" s="1075">
        <v>0</v>
      </c>
      <c r="S36" s="1075">
        <v>0</v>
      </c>
      <c r="T36" s="1075">
        <f t="shared" si="4"/>
        <v>1.4</v>
      </c>
      <c r="U36" s="1075">
        <f t="shared" si="6"/>
        <v>2.4500000000000002</v>
      </c>
      <c r="V36" s="1075"/>
      <c r="W36" s="1075"/>
      <c r="X36" s="1075"/>
      <c r="Y36" s="1075"/>
      <c r="Z36" s="1075"/>
      <c r="AA36" s="1075"/>
      <c r="AB36" s="1075"/>
      <c r="AC36" s="1075"/>
      <c r="AD36" s="1075"/>
      <c r="AE36" s="1075"/>
      <c r="AF36" s="1075"/>
      <c r="AG36" s="1075"/>
      <c r="AH36" s="1075"/>
      <c r="AI36" s="1075"/>
      <c r="AJ36" s="1075"/>
      <c r="AK36" s="1075"/>
      <c r="AL36" s="1075"/>
      <c r="AM36" s="1075"/>
      <c r="AN36" s="1075"/>
      <c r="AO36" s="1075"/>
      <c r="AP36" s="1075"/>
      <c r="AQ36" s="1075"/>
      <c r="AR36" s="1075"/>
      <c r="AS36" s="1075"/>
      <c r="AT36" s="1075"/>
      <c r="AU36" s="1075"/>
      <c r="AV36" s="1075"/>
    </row>
    <row r="37" spans="1:48" ht="11.25" customHeight="1">
      <c r="A37" s="1075"/>
      <c r="B37" s="1083">
        <f t="shared" si="10"/>
        <v>22.698028642367312</v>
      </c>
      <c r="C37" s="1075"/>
      <c r="D37" s="1075"/>
      <c r="E37" s="1075"/>
      <c r="F37" s="1075">
        <f t="shared" ref="F37:F63" si="13">F36+1</f>
        <v>43</v>
      </c>
      <c r="G37" s="1078" t="str">
        <f>IF(F37&gt;EPLUS!F$4,"",ECAL!G36+1)</f>
        <v/>
      </c>
      <c r="H37" s="1078">
        <f t="shared" si="11"/>
        <v>0</v>
      </c>
      <c r="I37" s="1078"/>
      <c r="J37" s="1078"/>
      <c r="K37" s="1078">
        <f t="shared" ref="K37:K63" si="14">K36+1</f>
        <v>33</v>
      </c>
      <c r="L37" s="1079">
        <f>IF(K37&gt;EPLUS!D$4,"",ECAL!K37)</f>
        <v>33</v>
      </c>
      <c r="M37" s="1078">
        <f t="shared" si="12"/>
        <v>0</v>
      </c>
      <c r="N37" s="1075">
        <f t="shared" si="5"/>
        <v>42</v>
      </c>
      <c r="O37" s="1075">
        <v>33</v>
      </c>
      <c r="P37" s="1075">
        <v>1.45</v>
      </c>
      <c r="Q37" s="1075">
        <v>1.56</v>
      </c>
      <c r="R37" s="1075">
        <v>0</v>
      </c>
      <c r="S37" s="1075">
        <v>0</v>
      </c>
      <c r="T37" s="1075">
        <f t="shared" ref="T37:T63" si="15">LOOKUP(F$2,P$3:S$3,P37:S37)</f>
        <v>1.45</v>
      </c>
      <c r="U37" s="1075">
        <f t="shared" si="6"/>
        <v>2.68</v>
      </c>
      <c r="V37" s="1075"/>
      <c r="W37" s="1075"/>
      <c r="X37" s="1075"/>
      <c r="Y37" s="1075"/>
      <c r="Z37" s="1075"/>
      <c r="AA37" s="1075"/>
      <c r="AB37" s="1075"/>
      <c r="AC37" s="1075"/>
      <c r="AD37" s="1075"/>
      <c r="AE37" s="1075"/>
      <c r="AF37" s="1075"/>
      <c r="AG37" s="1075"/>
      <c r="AH37" s="1075"/>
      <c r="AI37" s="1075"/>
      <c r="AJ37" s="1075"/>
      <c r="AK37" s="1075"/>
      <c r="AL37" s="1075"/>
      <c r="AM37" s="1075"/>
      <c r="AN37" s="1075"/>
      <c r="AO37" s="1075"/>
      <c r="AP37" s="1075"/>
      <c r="AQ37" s="1075"/>
      <c r="AR37" s="1075"/>
      <c r="AS37" s="1075"/>
      <c r="AT37" s="1075"/>
      <c r="AU37" s="1075"/>
      <c r="AV37" s="1075"/>
    </row>
    <row r="38" spans="1:48" ht="11.25" customHeight="1">
      <c r="A38" s="1075"/>
      <c r="B38" s="1083">
        <f t="shared" si="10"/>
        <v>25.308301936239555</v>
      </c>
      <c r="C38" s="1075"/>
      <c r="D38" s="1075"/>
      <c r="E38" s="1075" t="s">
        <v>713</v>
      </c>
      <c r="F38" s="1075">
        <f t="shared" si="13"/>
        <v>44</v>
      </c>
      <c r="G38" s="1078" t="str">
        <f>IF(F38&gt;EPLUS!F$4,"",ECAL!G37+1)</f>
        <v/>
      </c>
      <c r="H38" s="1078">
        <f t="shared" si="11"/>
        <v>0</v>
      </c>
      <c r="I38" s="1078"/>
      <c r="J38" s="1078"/>
      <c r="K38" s="1078">
        <f t="shared" si="14"/>
        <v>34</v>
      </c>
      <c r="L38" s="1079">
        <f>IF(K38&gt;EPLUS!D$4,"",ECAL!K38)</f>
        <v>34</v>
      </c>
      <c r="M38" s="1078">
        <f t="shared" si="12"/>
        <v>0</v>
      </c>
      <c r="N38" s="1075">
        <f t="shared" ref="N38:N63" si="16">N37+1</f>
        <v>43</v>
      </c>
      <c r="O38" s="1075">
        <v>34</v>
      </c>
      <c r="P38" s="1075">
        <v>1.52</v>
      </c>
      <c r="Q38" s="1075">
        <v>1.64</v>
      </c>
      <c r="R38" s="1075">
        <v>0</v>
      </c>
      <c r="S38" s="1075">
        <v>0</v>
      </c>
      <c r="T38" s="1075">
        <f t="shared" si="15"/>
        <v>1.52</v>
      </c>
      <c r="U38" s="1075">
        <f t="shared" ref="U38:U63" si="17">LOOKUP(N38,O$5:O$63,T$5:T$63)</f>
        <v>2.94</v>
      </c>
      <c r="V38" s="1075"/>
      <c r="W38" s="1075"/>
      <c r="X38" s="1075"/>
      <c r="Y38" s="1075"/>
      <c r="Z38" s="1075"/>
      <c r="AA38" s="1075"/>
      <c r="AB38" s="1075"/>
      <c r="AC38" s="1075"/>
      <c r="AD38" s="1075"/>
      <c r="AE38" s="1075"/>
      <c r="AF38" s="1075"/>
      <c r="AG38" s="1075"/>
      <c r="AH38" s="1075"/>
      <c r="AI38" s="1075"/>
      <c r="AJ38" s="1075"/>
      <c r="AK38" s="1075"/>
      <c r="AL38" s="1075"/>
      <c r="AM38" s="1075"/>
      <c r="AN38" s="1075"/>
      <c r="AO38" s="1075"/>
      <c r="AP38" s="1075"/>
      <c r="AQ38" s="1075"/>
      <c r="AR38" s="1075"/>
      <c r="AS38" s="1075"/>
      <c r="AT38" s="1075"/>
      <c r="AU38" s="1075"/>
      <c r="AV38" s="1075"/>
    </row>
    <row r="39" spans="1:48" ht="11.25" customHeight="1">
      <c r="A39" s="1075"/>
      <c r="B39" s="1083">
        <f t="shared" si="10"/>
        <v>28.218756658907104</v>
      </c>
      <c r="C39" s="1075"/>
      <c r="D39" s="1075"/>
      <c r="E39" s="1075"/>
      <c r="F39" s="1075">
        <f t="shared" si="13"/>
        <v>45</v>
      </c>
      <c r="G39" s="1078" t="str">
        <f>IF(F39&gt;EPLUS!F$4,"",ECAL!G38+1)</f>
        <v/>
      </c>
      <c r="H39" s="1078">
        <f t="shared" si="11"/>
        <v>0</v>
      </c>
      <c r="I39" s="1078"/>
      <c r="J39" s="1078"/>
      <c r="K39" s="1078">
        <f t="shared" si="14"/>
        <v>35</v>
      </c>
      <c r="L39" s="1079">
        <f>IF(K39&gt;EPLUS!D$4,"",ECAL!K39)</f>
        <v>35</v>
      </c>
      <c r="M39" s="1078">
        <f t="shared" si="12"/>
        <v>0</v>
      </c>
      <c r="N39" s="1075">
        <f t="shared" si="16"/>
        <v>44</v>
      </c>
      <c r="O39" s="1075">
        <v>35</v>
      </c>
      <c r="P39" s="1075">
        <v>1.6</v>
      </c>
      <c r="Q39" s="1075">
        <v>1.73</v>
      </c>
      <c r="R39" s="1075">
        <v>0</v>
      </c>
      <c r="S39" s="1075">
        <v>0</v>
      </c>
      <c r="T39" s="1075">
        <f t="shared" si="15"/>
        <v>1.6</v>
      </c>
      <c r="U39" s="1075">
        <f t="shared" si="17"/>
        <v>3.24</v>
      </c>
      <c r="V39" s="1075"/>
      <c r="W39" s="1075"/>
      <c r="X39" s="1075"/>
      <c r="Y39" s="1075"/>
      <c r="Z39" s="1075"/>
      <c r="AA39" s="1075"/>
      <c r="AB39" s="1075"/>
      <c r="AC39" s="1075"/>
      <c r="AD39" s="1075"/>
      <c r="AE39" s="1075"/>
      <c r="AF39" s="1075"/>
      <c r="AG39" s="1075"/>
      <c r="AH39" s="1075"/>
      <c r="AI39" s="1075"/>
      <c r="AJ39" s="1075"/>
      <c r="AK39" s="1075"/>
      <c r="AL39" s="1075"/>
      <c r="AM39" s="1075"/>
      <c r="AN39" s="1075"/>
      <c r="AO39" s="1075"/>
      <c r="AP39" s="1075"/>
      <c r="AQ39" s="1075"/>
      <c r="AR39" s="1075"/>
      <c r="AS39" s="1075"/>
      <c r="AT39" s="1075"/>
      <c r="AU39" s="1075"/>
      <c r="AV39" s="1075"/>
    </row>
    <row r="40" spans="1:48" ht="11.25" customHeight="1">
      <c r="A40" s="1075"/>
      <c r="B40" s="1083">
        <f t="shared" si="10"/>
        <v>31.463913674681422</v>
      </c>
      <c r="C40" s="1075"/>
      <c r="D40" s="1075"/>
      <c r="E40" s="1075"/>
      <c r="F40" s="1075">
        <f t="shared" si="13"/>
        <v>46</v>
      </c>
      <c r="G40" s="1078" t="str">
        <f>IF(F40&gt;EPLUS!F$4,"",ECAL!G39+1)</f>
        <v/>
      </c>
      <c r="H40" s="1078">
        <f t="shared" si="11"/>
        <v>0</v>
      </c>
      <c r="I40" s="1078"/>
      <c r="J40" s="1078"/>
      <c r="K40" s="1078">
        <f t="shared" si="14"/>
        <v>36</v>
      </c>
      <c r="L40" s="1079">
        <f>IF(K40&gt;EPLUS!D$4,"",ECAL!K40)</f>
        <v>36</v>
      </c>
      <c r="M40" s="1078">
        <f t="shared" si="12"/>
        <v>0</v>
      </c>
      <c r="N40" s="1075">
        <f t="shared" si="16"/>
        <v>45</v>
      </c>
      <c r="O40" s="1075">
        <v>36</v>
      </c>
      <c r="P40" s="1075">
        <v>1.7</v>
      </c>
      <c r="Q40" s="1075">
        <v>1.85</v>
      </c>
      <c r="R40" s="1075">
        <v>0</v>
      </c>
      <c r="S40" s="1075">
        <v>0</v>
      </c>
      <c r="T40" s="1075">
        <f t="shared" si="15"/>
        <v>1.7</v>
      </c>
      <c r="U40" s="1075">
        <f t="shared" si="17"/>
        <v>3.59</v>
      </c>
      <c r="V40" s="1075"/>
      <c r="W40" s="1075"/>
      <c r="X40" s="1075"/>
      <c r="Y40" s="1075"/>
      <c r="Z40" s="1075"/>
      <c r="AA40" s="1075"/>
      <c r="AB40" s="1075"/>
      <c r="AC40" s="1075"/>
      <c r="AD40" s="1075"/>
      <c r="AE40" s="1075"/>
      <c r="AF40" s="1075"/>
      <c r="AG40" s="1075"/>
      <c r="AH40" s="1075"/>
      <c r="AI40" s="1075"/>
      <c r="AJ40" s="1075"/>
      <c r="AK40" s="1075"/>
      <c r="AL40" s="1075"/>
      <c r="AM40" s="1075"/>
      <c r="AN40" s="1075"/>
      <c r="AO40" s="1075"/>
      <c r="AP40" s="1075"/>
      <c r="AQ40" s="1075"/>
      <c r="AR40" s="1075"/>
      <c r="AS40" s="1075"/>
      <c r="AT40" s="1075"/>
      <c r="AU40" s="1075"/>
      <c r="AV40" s="1075"/>
    </row>
    <row r="41" spans="1:48" ht="11.25" customHeight="1">
      <c r="A41" s="1075"/>
      <c r="B41" s="1083">
        <f t="shared" si="10"/>
        <v>35.082263747269785</v>
      </c>
      <c r="C41" s="1075"/>
      <c r="D41" s="1075"/>
      <c r="E41" s="1075"/>
      <c r="F41" s="1075">
        <f t="shared" si="13"/>
        <v>47</v>
      </c>
      <c r="G41" s="1078" t="str">
        <f>IF(F41&gt;EPLUS!F$4,"",ECAL!G40+1)</f>
        <v/>
      </c>
      <c r="H41" s="1078">
        <f t="shared" si="11"/>
        <v>0</v>
      </c>
      <c r="I41" s="1078"/>
      <c r="J41" s="1078"/>
      <c r="K41" s="1078">
        <f t="shared" si="14"/>
        <v>37</v>
      </c>
      <c r="L41" s="1079">
        <f>IF(K41&gt;EPLUS!D$4,"",ECAL!K41)</f>
        <v>37</v>
      </c>
      <c r="M41" s="1078">
        <f t="shared" si="12"/>
        <v>0</v>
      </c>
      <c r="N41" s="1075">
        <f t="shared" si="16"/>
        <v>46</v>
      </c>
      <c r="O41" s="1075">
        <v>37</v>
      </c>
      <c r="P41" s="1075">
        <v>1.81</v>
      </c>
      <c r="Q41" s="1075">
        <v>1.99</v>
      </c>
      <c r="R41" s="1075">
        <v>0</v>
      </c>
      <c r="S41" s="1075">
        <v>0</v>
      </c>
      <c r="T41" s="1075">
        <f t="shared" si="15"/>
        <v>1.81</v>
      </c>
      <c r="U41" s="1075">
        <f t="shared" si="17"/>
        <v>4</v>
      </c>
      <c r="V41" s="1075"/>
      <c r="W41" s="1075"/>
      <c r="X41" s="1075"/>
      <c r="Y41" s="1075"/>
      <c r="Z41" s="1075"/>
      <c r="AA41" s="1075"/>
      <c r="AB41" s="1075"/>
      <c r="AC41" s="1075"/>
      <c r="AD41" s="1075"/>
      <c r="AE41" s="1075"/>
      <c r="AF41" s="1075"/>
      <c r="AG41" s="1075"/>
      <c r="AH41" s="1075"/>
      <c r="AI41" s="1075"/>
      <c r="AJ41" s="1075"/>
      <c r="AK41" s="1075"/>
      <c r="AL41" s="1075"/>
      <c r="AM41" s="1075"/>
      <c r="AN41" s="1075"/>
      <c r="AO41" s="1075"/>
      <c r="AP41" s="1075"/>
      <c r="AQ41" s="1075"/>
      <c r="AR41" s="1075"/>
      <c r="AS41" s="1075"/>
      <c r="AT41" s="1075"/>
      <c r="AU41" s="1075"/>
      <c r="AV41" s="1075"/>
    </row>
    <row r="42" spans="1:48" ht="11.25" customHeight="1">
      <c r="A42" s="1075"/>
      <c r="B42" s="1083">
        <f t="shared" si="10"/>
        <v>39.116724078205813</v>
      </c>
      <c r="C42" s="1075"/>
      <c r="D42" s="1075"/>
      <c r="E42" s="1075"/>
      <c r="F42" s="1075">
        <f t="shared" si="13"/>
        <v>48</v>
      </c>
      <c r="G42" s="1078" t="str">
        <f>IF(F42&gt;EPLUS!F$4,"",ECAL!G41+1)</f>
        <v/>
      </c>
      <c r="H42" s="1078">
        <f t="shared" si="11"/>
        <v>0</v>
      </c>
      <c r="I42" s="1078"/>
      <c r="J42" s="1078"/>
      <c r="K42" s="1078">
        <f t="shared" si="14"/>
        <v>38</v>
      </c>
      <c r="L42" s="1079">
        <f>IF(K42&gt;EPLUS!D$4,"",ECAL!K42)</f>
        <v>38</v>
      </c>
      <c r="M42" s="1078">
        <f t="shared" si="12"/>
        <v>0</v>
      </c>
      <c r="N42" s="1075">
        <f t="shared" si="16"/>
        <v>47</v>
      </c>
      <c r="O42" s="1075">
        <v>38</v>
      </c>
      <c r="P42" s="1075">
        <v>1.94</v>
      </c>
      <c r="Q42" s="1075">
        <v>2.15</v>
      </c>
      <c r="R42" s="1075">
        <v>0</v>
      </c>
      <c r="S42" s="1075">
        <v>0</v>
      </c>
      <c r="T42" s="1075">
        <f t="shared" si="15"/>
        <v>1.94</v>
      </c>
      <c r="U42" s="1075">
        <f t="shared" si="17"/>
        <v>4.46</v>
      </c>
      <c r="V42" s="1075"/>
      <c r="W42" s="1075"/>
      <c r="X42" s="1075"/>
      <c r="Y42" s="1075"/>
      <c r="Z42" s="1075"/>
      <c r="AA42" s="1075"/>
      <c r="AB42" s="1075"/>
      <c r="AC42" s="1075"/>
      <c r="AD42" s="1075"/>
      <c r="AE42" s="1075"/>
      <c r="AF42" s="1075"/>
      <c r="AG42" s="1075"/>
      <c r="AH42" s="1075"/>
      <c r="AI42" s="1075"/>
      <c r="AJ42" s="1075"/>
      <c r="AK42" s="1075"/>
      <c r="AL42" s="1075"/>
      <c r="AM42" s="1075"/>
      <c r="AN42" s="1075"/>
      <c r="AO42" s="1075"/>
      <c r="AP42" s="1075"/>
      <c r="AQ42" s="1075"/>
      <c r="AR42" s="1075"/>
      <c r="AS42" s="1075"/>
      <c r="AT42" s="1075"/>
      <c r="AU42" s="1075"/>
      <c r="AV42" s="1075"/>
    </row>
    <row r="43" spans="1:48" ht="11.25" customHeight="1">
      <c r="A43" s="1075"/>
      <c r="B43" s="1083">
        <f t="shared" si="10"/>
        <v>43.615147347199482</v>
      </c>
      <c r="C43" s="1075"/>
      <c r="D43" s="1075"/>
      <c r="E43" s="1075"/>
      <c r="F43" s="1075">
        <f t="shared" si="13"/>
        <v>49</v>
      </c>
      <c r="G43" s="1078" t="str">
        <f>IF(F43&gt;EPLUS!F$4,"",ECAL!G42+1)</f>
        <v/>
      </c>
      <c r="H43" s="1078">
        <f t="shared" si="11"/>
        <v>0</v>
      </c>
      <c r="I43" s="1078"/>
      <c r="J43" s="1078"/>
      <c r="K43" s="1078">
        <f t="shared" si="14"/>
        <v>39</v>
      </c>
      <c r="L43" s="1079">
        <f>IF(K43&gt;EPLUS!D$4,"",ECAL!K43)</f>
        <v>39</v>
      </c>
      <c r="M43" s="1078">
        <f t="shared" si="12"/>
        <v>0</v>
      </c>
      <c r="N43" s="1075">
        <f t="shared" si="16"/>
        <v>48</v>
      </c>
      <c r="O43" s="1075">
        <v>39</v>
      </c>
      <c r="P43" s="1075">
        <v>2.08</v>
      </c>
      <c r="Q43" s="1075">
        <v>2.33</v>
      </c>
      <c r="R43" s="1075">
        <v>0</v>
      </c>
      <c r="S43" s="1075">
        <v>0</v>
      </c>
      <c r="T43" s="1075">
        <f t="shared" si="15"/>
        <v>2.08</v>
      </c>
      <c r="U43" s="1075">
        <f t="shared" si="17"/>
        <v>4.9800000000000004</v>
      </c>
      <c r="V43" s="1075"/>
      <c r="W43" s="1075"/>
      <c r="X43" s="1075"/>
      <c r="Y43" s="1075"/>
      <c r="Z43" s="1075"/>
      <c r="AA43" s="1075"/>
      <c r="AB43" s="1075"/>
      <c r="AC43" s="1075"/>
      <c r="AD43" s="1075"/>
      <c r="AE43" s="1075"/>
      <c r="AF43" s="1075"/>
      <c r="AG43" s="1075"/>
      <c r="AH43" s="1075"/>
      <c r="AI43" s="1075"/>
      <c r="AJ43" s="1075"/>
      <c r="AK43" s="1075"/>
      <c r="AL43" s="1075"/>
      <c r="AM43" s="1075"/>
      <c r="AN43" s="1075"/>
      <c r="AO43" s="1075"/>
      <c r="AP43" s="1075"/>
      <c r="AQ43" s="1075"/>
      <c r="AR43" s="1075"/>
      <c r="AS43" s="1075"/>
      <c r="AT43" s="1075"/>
      <c r="AU43" s="1075"/>
      <c r="AV43" s="1075"/>
    </row>
    <row r="44" spans="1:48" ht="11.25" customHeight="1">
      <c r="A44" s="1075"/>
      <c r="B44" s="1083">
        <f t="shared" si="10"/>
        <v>48.630889292127421</v>
      </c>
      <c r="C44" s="1075"/>
      <c r="D44" s="1075"/>
      <c r="E44" s="1075"/>
      <c r="F44" s="1075">
        <f t="shared" si="13"/>
        <v>50</v>
      </c>
      <c r="G44" s="1078" t="str">
        <f>IF(F44&gt;EPLUS!F$4,"",ECAL!G43+1)</f>
        <v/>
      </c>
      <c r="H44" s="1078">
        <f t="shared" si="11"/>
        <v>0</v>
      </c>
      <c r="I44" s="1078"/>
      <c r="J44" s="1078"/>
      <c r="K44" s="1078">
        <f t="shared" si="14"/>
        <v>40</v>
      </c>
      <c r="L44" s="1079">
        <f>IF(K44&gt;EPLUS!D$4,"",ECAL!K44)</f>
        <v>40</v>
      </c>
      <c r="M44" s="1078">
        <f t="shared" si="12"/>
        <v>0</v>
      </c>
      <c r="N44" s="1075">
        <f t="shared" si="16"/>
        <v>49</v>
      </c>
      <c r="O44" s="1075">
        <v>40</v>
      </c>
      <c r="P44" s="1075">
        <v>2.25</v>
      </c>
      <c r="Q44" s="1075">
        <v>2.57</v>
      </c>
      <c r="R44" s="1075">
        <v>0</v>
      </c>
      <c r="S44" s="1075">
        <v>0</v>
      </c>
      <c r="T44" s="1075">
        <f t="shared" si="15"/>
        <v>2.25</v>
      </c>
      <c r="U44" s="1075">
        <f t="shared" si="17"/>
        <v>5.55</v>
      </c>
      <c r="V44" s="1075"/>
      <c r="W44" s="1075"/>
      <c r="X44" s="1075"/>
      <c r="Y44" s="1075"/>
      <c r="Z44" s="1075"/>
      <c r="AA44" s="1075"/>
      <c r="AB44" s="1075"/>
      <c r="AC44" s="1075"/>
      <c r="AD44" s="1075"/>
      <c r="AE44" s="1075"/>
      <c r="AF44" s="1075"/>
      <c r="AG44" s="1075"/>
      <c r="AH44" s="1075"/>
      <c r="AI44" s="1075"/>
      <c r="AJ44" s="1075"/>
      <c r="AK44" s="1075"/>
      <c r="AL44" s="1075"/>
      <c r="AM44" s="1075"/>
      <c r="AN44" s="1075"/>
      <c r="AO44" s="1075"/>
      <c r="AP44" s="1075"/>
      <c r="AQ44" s="1075"/>
      <c r="AR44" s="1075"/>
      <c r="AS44" s="1075"/>
      <c r="AT44" s="1075"/>
      <c r="AU44" s="1075"/>
      <c r="AV44" s="1075"/>
    </row>
    <row r="45" spans="1:48" ht="11.25" customHeight="1">
      <c r="A45" s="1075"/>
      <c r="B45" s="1083">
        <f t="shared" si="10"/>
        <v>54.22344156072208</v>
      </c>
      <c r="C45" s="1075"/>
      <c r="D45" s="1075"/>
      <c r="E45" s="1075"/>
      <c r="F45" s="1075">
        <f t="shared" si="13"/>
        <v>51</v>
      </c>
      <c r="G45" s="1078" t="str">
        <f>IF(F45&gt;EPLUS!F$4,"",ECAL!G44+1)</f>
        <v/>
      </c>
      <c r="H45" s="1078">
        <f t="shared" si="11"/>
        <v>0</v>
      </c>
      <c r="I45" s="1078"/>
      <c r="J45" s="1078"/>
      <c r="K45" s="1078">
        <f t="shared" si="14"/>
        <v>41</v>
      </c>
      <c r="L45" s="1079">
        <f>IF(K45&gt;EPLUS!D$4,"",ECAL!K45)</f>
        <v>41</v>
      </c>
      <c r="M45" s="1078">
        <f t="shared" si="12"/>
        <v>0</v>
      </c>
      <c r="N45" s="1075">
        <f t="shared" si="16"/>
        <v>50</v>
      </c>
      <c r="O45" s="1075">
        <v>41</v>
      </c>
      <c r="P45" s="1075">
        <v>2.4500000000000002</v>
      </c>
      <c r="Q45" s="1075">
        <v>2.81</v>
      </c>
      <c r="R45" s="1075">
        <v>0</v>
      </c>
      <c r="S45" s="1075">
        <v>0</v>
      </c>
      <c r="T45" s="1075">
        <f t="shared" si="15"/>
        <v>2.4500000000000002</v>
      </c>
      <c r="U45" s="1075">
        <f t="shared" si="17"/>
        <v>6.18</v>
      </c>
      <c r="V45" s="1075"/>
      <c r="W45" s="1075"/>
      <c r="X45" s="1075"/>
      <c r="Y45" s="1075"/>
      <c r="Z45" s="1075"/>
      <c r="AA45" s="1075"/>
      <c r="AB45" s="1075"/>
      <c r="AC45" s="1075"/>
      <c r="AD45" s="1075"/>
      <c r="AE45" s="1075"/>
      <c r="AF45" s="1075"/>
      <c r="AG45" s="1075"/>
      <c r="AH45" s="1075"/>
      <c r="AI45" s="1075"/>
      <c r="AJ45" s="1075"/>
      <c r="AK45" s="1075"/>
      <c r="AL45" s="1075"/>
      <c r="AM45" s="1075"/>
      <c r="AN45" s="1075"/>
      <c r="AO45" s="1075"/>
      <c r="AP45" s="1075"/>
      <c r="AQ45" s="1075"/>
      <c r="AR45" s="1075"/>
      <c r="AS45" s="1075"/>
      <c r="AT45" s="1075"/>
      <c r="AU45" s="1075"/>
      <c r="AV45" s="1075"/>
    </row>
    <row r="46" spans="1:48" ht="11.25" customHeight="1">
      <c r="A46" s="1075"/>
      <c r="B46" s="1083">
        <f t="shared" si="10"/>
        <v>60.459137340205118</v>
      </c>
      <c r="C46" s="1075"/>
      <c r="D46" s="1075"/>
      <c r="E46" s="1075"/>
      <c r="F46" s="1075">
        <f t="shared" si="13"/>
        <v>52</v>
      </c>
      <c r="G46" s="1078" t="str">
        <f>IF(F46&gt;EPLUS!F$4,"",ECAL!G45+1)</f>
        <v/>
      </c>
      <c r="H46" s="1078">
        <f t="shared" si="11"/>
        <v>0</v>
      </c>
      <c r="I46" s="1078"/>
      <c r="J46" s="1078"/>
      <c r="K46" s="1078">
        <f t="shared" si="14"/>
        <v>42</v>
      </c>
      <c r="L46" s="1079">
        <f>IF(K46&gt;EPLUS!D$4,"",ECAL!K46)</f>
        <v>42</v>
      </c>
      <c r="M46" s="1078">
        <f t="shared" si="12"/>
        <v>0</v>
      </c>
      <c r="N46" s="1075">
        <f t="shared" si="16"/>
        <v>51</v>
      </c>
      <c r="O46" s="1075">
        <v>42</v>
      </c>
      <c r="P46" s="1075">
        <v>2.68</v>
      </c>
      <c r="Q46" s="1075">
        <v>3.02</v>
      </c>
      <c r="R46" s="1075">
        <v>0</v>
      </c>
      <c r="S46" s="1075">
        <v>0</v>
      </c>
      <c r="T46" s="1075">
        <f t="shared" si="15"/>
        <v>2.68</v>
      </c>
      <c r="U46" s="1075">
        <f t="shared" si="17"/>
        <v>6.85</v>
      </c>
      <c r="V46" s="1075"/>
      <c r="W46" s="1075"/>
      <c r="X46" s="1075"/>
      <c r="Y46" s="1075"/>
      <c r="Z46" s="1075"/>
      <c r="AA46" s="1075"/>
      <c r="AB46" s="1075"/>
      <c r="AC46" s="1075"/>
      <c r="AD46" s="1075"/>
      <c r="AE46" s="1075"/>
      <c r="AF46" s="1075"/>
      <c r="AG46" s="1075"/>
      <c r="AH46" s="1075"/>
      <c r="AI46" s="1075"/>
      <c r="AJ46" s="1075"/>
      <c r="AK46" s="1075"/>
      <c r="AL46" s="1075"/>
      <c r="AM46" s="1075"/>
      <c r="AN46" s="1075"/>
      <c r="AO46" s="1075"/>
      <c r="AP46" s="1075"/>
      <c r="AQ46" s="1075"/>
      <c r="AR46" s="1075"/>
      <c r="AS46" s="1075"/>
      <c r="AT46" s="1075"/>
      <c r="AU46" s="1075"/>
      <c r="AV46" s="1075"/>
    </row>
    <row r="47" spans="1:48" ht="11.25" customHeight="1">
      <c r="A47" s="1075"/>
      <c r="B47" s="1083">
        <f t="shared" si="10"/>
        <v>67.411938134328707</v>
      </c>
      <c r="C47" s="1075"/>
      <c r="D47" s="1075"/>
      <c r="E47" s="1075"/>
      <c r="F47" s="1075">
        <f t="shared" si="13"/>
        <v>53</v>
      </c>
      <c r="G47" s="1078" t="str">
        <f>IF(F47&gt;EPLUS!F$4,"",ECAL!G46+1)</f>
        <v/>
      </c>
      <c r="H47" s="1078">
        <f t="shared" si="11"/>
        <v>0</v>
      </c>
      <c r="I47" s="1078"/>
      <c r="J47" s="1078"/>
      <c r="K47" s="1078">
        <f t="shared" si="14"/>
        <v>43</v>
      </c>
      <c r="L47" s="1079">
        <f>IF(K47&gt;EPLUS!D$4,"",ECAL!K47)</f>
        <v>43</v>
      </c>
      <c r="M47" s="1078">
        <f t="shared" si="12"/>
        <v>0</v>
      </c>
      <c r="N47" s="1075">
        <f t="shared" si="16"/>
        <v>52</v>
      </c>
      <c r="O47" s="1075">
        <v>43</v>
      </c>
      <c r="P47" s="1075">
        <v>2.94</v>
      </c>
      <c r="Q47" s="1075">
        <v>3.25</v>
      </c>
      <c r="R47" s="1075">
        <v>0</v>
      </c>
      <c r="S47" s="1075">
        <v>0</v>
      </c>
      <c r="T47" s="1075">
        <f t="shared" si="15"/>
        <v>2.94</v>
      </c>
      <c r="U47" s="1075">
        <f t="shared" si="17"/>
        <v>7.56</v>
      </c>
      <c r="V47" s="1075"/>
      <c r="W47" s="1075"/>
      <c r="X47" s="1075"/>
      <c r="Y47" s="1075"/>
      <c r="Z47" s="1075"/>
      <c r="AA47" s="1075"/>
      <c r="AB47" s="1075"/>
      <c r="AC47" s="1075"/>
      <c r="AD47" s="1075"/>
      <c r="AE47" s="1075"/>
      <c r="AF47" s="1075"/>
      <c r="AG47" s="1075"/>
      <c r="AH47" s="1075"/>
      <c r="AI47" s="1075"/>
      <c r="AJ47" s="1075"/>
      <c r="AK47" s="1075"/>
      <c r="AL47" s="1075"/>
      <c r="AM47" s="1075"/>
      <c r="AN47" s="1075"/>
      <c r="AO47" s="1075"/>
      <c r="AP47" s="1075"/>
      <c r="AQ47" s="1075"/>
      <c r="AR47" s="1075"/>
      <c r="AS47" s="1075"/>
      <c r="AT47" s="1075"/>
      <c r="AU47" s="1075"/>
      <c r="AV47" s="1075"/>
    </row>
    <row r="48" spans="1:48" ht="11.25" customHeight="1">
      <c r="A48" s="1075"/>
      <c r="B48" s="1083">
        <f t="shared" si="10"/>
        <v>75.164311019776505</v>
      </c>
      <c r="C48" s="1075"/>
      <c r="D48" s="1075"/>
      <c r="E48" s="1075"/>
      <c r="F48" s="1075">
        <f t="shared" si="13"/>
        <v>54</v>
      </c>
      <c r="G48" s="1078" t="str">
        <f>IF(F48&gt;EPLUS!F$4,"",ECAL!G47+1)</f>
        <v/>
      </c>
      <c r="H48" s="1078">
        <f t="shared" si="11"/>
        <v>0</v>
      </c>
      <c r="I48" s="1078"/>
      <c r="J48" s="1078"/>
      <c r="K48" s="1078">
        <f t="shared" si="14"/>
        <v>44</v>
      </c>
      <c r="L48" s="1079">
        <f>IF(K48&gt;EPLUS!D$4,"",ECAL!K48)</f>
        <v>44</v>
      </c>
      <c r="M48" s="1078">
        <f t="shared" si="12"/>
        <v>0</v>
      </c>
      <c r="N48" s="1075">
        <f t="shared" si="16"/>
        <v>53</v>
      </c>
      <c r="O48" s="1075">
        <v>44</v>
      </c>
      <c r="P48" s="1075">
        <v>3.24</v>
      </c>
      <c r="Q48" s="1075">
        <v>3.54</v>
      </c>
      <c r="R48" s="1075">
        <v>0</v>
      </c>
      <c r="S48" s="1075">
        <v>0</v>
      </c>
      <c r="T48" s="1075">
        <f t="shared" si="15"/>
        <v>3.24</v>
      </c>
      <c r="U48" s="1075">
        <f t="shared" si="17"/>
        <v>8.3000000000000007</v>
      </c>
      <c r="V48" s="1075"/>
      <c r="W48" s="1075"/>
      <c r="X48" s="1075"/>
      <c r="Y48" s="1075"/>
      <c r="Z48" s="1075"/>
      <c r="AA48" s="1075"/>
      <c r="AB48" s="1075"/>
      <c r="AC48" s="1075"/>
      <c r="AD48" s="1075"/>
      <c r="AE48" s="1075"/>
      <c r="AF48" s="1075"/>
      <c r="AG48" s="1075"/>
      <c r="AH48" s="1075"/>
      <c r="AI48" s="1075"/>
      <c r="AJ48" s="1075"/>
      <c r="AK48" s="1075"/>
      <c r="AL48" s="1075"/>
      <c r="AM48" s="1075"/>
      <c r="AN48" s="1075"/>
      <c r="AO48" s="1075"/>
      <c r="AP48" s="1075"/>
      <c r="AQ48" s="1075"/>
      <c r="AR48" s="1075"/>
      <c r="AS48" s="1075"/>
      <c r="AT48" s="1075"/>
      <c r="AU48" s="1075"/>
      <c r="AV48" s="1075"/>
    </row>
    <row r="49" spans="1:48" ht="11.25" customHeight="1">
      <c r="A49" s="1075"/>
      <c r="B49" s="1083">
        <f t="shared" si="10"/>
        <v>83.808206787050807</v>
      </c>
      <c r="C49" s="1075"/>
      <c r="D49" s="1075"/>
      <c r="E49" s="1075"/>
      <c r="F49" s="1075">
        <f t="shared" si="13"/>
        <v>55</v>
      </c>
      <c r="G49" s="1078" t="str">
        <f>IF(F49&gt;EPLUS!F$4,"",ECAL!G48+1)</f>
        <v/>
      </c>
      <c r="H49" s="1078">
        <f t="shared" si="11"/>
        <v>0</v>
      </c>
      <c r="I49" s="1078"/>
      <c r="J49" s="1078"/>
      <c r="K49" s="1078">
        <f t="shared" si="14"/>
        <v>45</v>
      </c>
      <c r="L49" s="1079">
        <f>IF(K49&gt;EPLUS!D$4,"",ECAL!K49)</f>
        <v>45</v>
      </c>
      <c r="M49" s="1078">
        <f t="shared" si="12"/>
        <v>0</v>
      </c>
      <c r="N49" s="1075">
        <f t="shared" si="16"/>
        <v>54</v>
      </c>
      <c r="O49" s="1075">
        <v>45</v>
      </c>
      <c r="P49" s="1075">
        <v>3.59</v>
      </c>
      <c r="Q49" s="1075">
        <v>3.89</v>
      </c>
      <c r="R49" s="1075">
        <v>0</v>
      </c>
      <c r="S49" s="1075">
        <v>0</v>
      </c>
      <c r="T49" s="1075">
        <f t="shared" si="15"/>
        <v>3.59</v>
      </c>
      <c r="U49" s="1075">
        <f t="shared" si="17"/>
        <v>9.07</v>
      </c>
      <c r="V49" s="1075"/>
      <c r="W49" s="1075"/>
      <c r="X49" s="1075"/>
      <c r="Y49" s="1075"/>
      <c r="Z49" s="1075"/>
      <c r="AA49" s="1075"/>
      <c r="AB49" s="1075"/>
      <c r="AC49" s="1075"/>
      <c r="AD49" s="1075"/>
      <c r="AE49" s="1075"/>
      <c r="AF49" s="1075"/>
      <c r="AG49" s="1075"/>
      <c r="AH49" s="1075"/>
      <c r="AI49" s="1075"/>
      <c r="AJ49" s="1075"/>
      <c r="AK49" s="1075"/>
      <c r="AL49" s="1075"/>
      <c r="AM49" s="1075"/>
      <c r="AN49" s="1075"/>
      <c r="AO49" s="1075"/>
      <c r="AP49" s="1075"/>
      <c r="AQ49" s="1075"/>
      <c r="AR49" s="1075"/>
      <c r="AS49" s="1075"/>
      <c r="AT49" s="1075"/>
      <c r="AU49" s="1075"/>
      <c r="AV49" s="1075"/>
    </row>
    <row r="50" spans="1:48" ht="11.25" customHeight="1">
      <c r="A50" s="1075"/>
      <c r="B50" s="1083">
        <f t="shared" si="10"/>
        <v>93.446150567561659</v>
      </c>
      <c r="C50" s="1075"/>
      <c r="D50" s="1075"/>
      <c r="E50" s="1075"/>
      <c r="F50" s="1075">
        <f t="shared" si="13"/>
        <v>56</v>
      </c>
      <c r="G50" s="1078" t="str">
        <f>IF(F50&gt;EPLUS!F$4,"",ECAL!G49+1)</f>
        <v/>
      </c>
      <c r="H50" s="1078">
        <f t="shared" si="11"/>
        <v>0</v>
      </c>
      <c r="I50" s="1078"/>
      <c r="J50" s="1078"/>
      <c r="K50" s="1078">
        <f t="shared" si="14"/>
        <v>46</v>
      </c>
      <c r="L50" s="1079">
        <f>IF(K50&gt;EPLUS!D$4,"",ECAL!K50)</f>
        <v>46</v>
      </c>
      <c r="M50" s="1078">
        <f t="shared" si="12"/>
        <v>0</v>
      </c>
      <c r="N50" s="1075">
        <f t="shared" si="16"/>
        <v>55</v>
      </c>
      <c r="O50" s="1075">
        <v>46</v>
      </c>
      <c r="P50" s="1075">
        <v>4</v>
      </c>
      <c r="Q50" s="1075">
        <v>4.3</v>
      </c>
      <c r="R50" s="1075">
        <v>0</v>
      </c>
      <c r="S50" s="1075">
        <v>0</v>
      </c>
      <c r="T50" s="1075">
        <f t="shared" si="15"/>
        <v>4</v>
      </c>
      <c r="U50" s="1075">
        <f t="shared" si="17"/>
        <v>9.86</v>
      </c>
      <c r="V50" s="1075"/>
      <c r="W50" s="1075"/>
      <c r="X50" s="1075"/>
      <c r="Y50" s="1075"/>
      <c r="Z50" s="1075"/>
      <c r="AA50" s="1075"/>
      <c r="AB50" s="1075"/>
      <c r="AC50" s="1075"/>
      <c r="AD50" s="1075"/>
      <c r="AE50" s="1075"/>
      <c r="AF50" s="1075"/>
      <c r="AG50" s="1075"/>
      <c r="AH50" s="1075"/>
      <c r="AI50" s="1075"/>
      <c r="AJ50" s="1075"/>
      <c r="AK50" s="1075"/>
      <c r="AL50" s="1075"/>
      <c r="AM50" s="1075"/>
      <c r="AN50" s="1075"/>
      <c r="AO50" s="1075"/>
      <c r="AP50" s="1075"/>
      <c r="AQ50" s="1075"/>
      <c r="AR50" s="1075"/>
      <c r="AS50" s="1075"/>
      <c r="AT50" s="1075"/>
      <c r="AU50" s="1075"/>
      <c r="AV50" s="1075"/>
    </row>
    <row r="51" spans="1:48" ht="11.25" customHeight="1">
      <c r="A51" s="1075"/>
      <c r="B51" s="1083"/>
      <c r="C51" s="1075"/>
      <c r="D51" s="1075"/>
      <c r="E51" s="1075"/>
      <c r="F51" s="1075">
        <f t="shared" si="13"/>
        <v>57</v>
      </c>
      <c r="G51" s="1078" t="str">
        <f>IF(F51&gt;EPLUS!F$4,"",ECAL!G50+1)</f>
        <v/>
      </c>
      <c r="H51" s="1078">
        <f t="shared" si="11"/>
        <v>0</v>
      </c>
      <c r="I51" s="1078"/>
      <c r="J51" s="1078"/>
      <c r="K51" s="1078">
        <f t="shared" si="14"/>
        <v>47</v>
      </c>
      <c r="L51" s="1079">
        <f>IF(K51&gt;EPLUS!D$4,"",ECAL!K51)</f>
        <v>47</v>
      </c>
      <c r="M51" s="1078">
        <f t="shared" si="12"/>
        <v>0</v>
      </c>
      <c r="N51" s="1075">
        <f t="shared" si="16"/>
        <v>56</v>
      </c>
      <c r="O51" s="1075">
        <v>47</v>
      </c>
      <c r="P51" s="1075">
        <v>4.46</v>
      </c>
      <c r="Q51" s="1075">
        <v>4.7699999999999996</v>
      </c>
      <c r="R51" s="1075">
        <v>0</v>
      </c>
      <c r="S51" s="1075">
        <v>0</v>
      </c>
      <c r="T51" s="1075">
        <f t="shared" si="15"/>
        <v>4.46</v>
      </c>
      <c r="U51" s="1075">
        <f t="shared" si="17"/>
        <v>10.68</v>
      </c>
      <c r="V51" s="1075"/>
      <c r="W51" s="1075"/>
      <c r="X51" s="1075"/>
      <c r="Y51" s="1075"/>
      <c r="Z51" s="1075"/>
      <c r="AA51" s="1075"/>
      <c r="AB51" s="1075"/>
      <c r="AC51" s="1075"/>
      <c r="AD51" s="1075"/>
      <c r="AE51" s="1075"/>
      <c r="AF51" s="1075"/>
      <c r="AG51" s="1075"/>
      <c r="AH51" s="1075"/>
      <c r="AI51" s="1075"/>
      <c r="AJ51" s="1075"/>
      <c r="AK51" s="1075"/>
      <c r="AL51" s="1075"/>
      <c r="AM51" s="1075"/>
      <c r="AN51" s="1075"/>
      <c r="AO51" s="1075"/>
      <c r="AP51" s="1075"/>
      <c r="AQ51" s="1075"/>
      <c r="AR51" s="1075"/>
      <c r="AS51" s="1075"/>
      <c r="AT51" s="1075"/>
      <c r="AU51" s="1075"/>
      <c r="AV51" s="1075"/>
    </row>
    <row r="52" spans="1:48" ht="11.25" customHeight="1">
      <c r="A52" s="1075"/>
      <c r="B52" s="1083"/>
      <c r="C52" s="1075"/>
      <c r="D52" s="1075"/>
      <c r="E52" s="1075"/>
      <c r="F52" s="1075">
        <f t="shared" si="13"/>
        <v>58</v>
      </c>
      <c r="G52" s="1078" t="str">
        <f>IF(F52&gt;EPLUS!F$4,"",ECAL!G51+1)</f>
        <v/>
      </c>
      <c r="H52" s="1078">
        <f t="shared" si="11"/>
        <v>0</v>
      </c>
      <c r="I52" s="1078"/>
      <c r="J52" s="1078"/>
      <c r="K52" s="1078">
        <f t="shared" si="14"/>
        <v>48</v>
      </c>
      <c r="L52" s="1079">
        <f>IF(K52&gt;EPLUS!D$4,"",ECAL!K52)</f>
        <v>48</v>
      </c>
      <c r="M52" s="1078">
        <f t="shared" si="12"/>
        <v>0</v>
      </c>
      <c r="N52" s="1075">
        <f t="shared" si="16"/>
        <v>57</v>
      </c>
      <c r="O52" s="1075">
        <v>48</v>
      </c>
      <c r="P52" s="1075">
        <v>4.9800000000000004</v>
      </c>
      <c r="Q52" s="1075">
        <v>5.3</v>
      </c>
      <c r="R52" s="1075">
        <v>0</v>
      </c>
      <c r="S52" s="1075">
        <v>0</v>
      </c>
      <c r="T52" s="1075">
        <f t="shared" si="15"/>
        <v>4.9800000000000004</v>
      </c>
      <c r="U52" s="1075">
        <f t="shared" si="17"/>
        <v>11.53</v>
      </c>
      <c r="V52" s="1075"/>
      <c r="W52" s="1075"/>
      <c r="X52" s="1075"/>
      <c r="Y52" s="1075"/>
      <c r="Z52" s="1075"/>
      <c r="AA52" s="1075"/>
      <c r="AB52" s="1075"/>
      <c r="AC52" s="1075"/>
      <c r="AD52" s="1075"/>
      <c r="AE52" s="1075"/>
      <c r="AF52" s="1075"/>
      <c r="AG52" s="1075"/>
      <c r="AH52" s="1075"/>
      <c r="AI52" s="1075"/>
      <c r="AJ52" s="1075"/>
      <c r="AK52" s="1075"/>
      <c r="AL52" s="1075"/>
      <c r="AM52" s="1075"/>
      <c r="AN52" s="1075"/>
      <c r="AO52" s="1075"/>
      <c r="AP52" s="1075"/>
      <c r="AQ52" s="1075"/>
      <c r="AR52" s="1075"/>
      <c r="AS52" s="1075"/>
      <c r="AT52" s="1075"/>
      <c r="AU52" s="1075"/>
      <c r="AV52" s="1075"/>
    </row>
    <row r="53" spans="1:48" ht="11.25" customHeight="1">
      <c r="A53" s="1075"/>
      <c r="B53" s="1083"/>
      <c r="C53" s="1075"/>
      <c r="D53" s="1075"/>
      <c r="E53" s="1075"/>
      <c r="F53" s="1075">
        <f t="shared" si="13"/>
        <v>59</v>
      </c>
      <c r="G53" s="1078" t="str">
        <f>IF(F53&gt;EPLUS!F$4,"",ECAL!G52+1)</f>
        <v/>
      </c>
      <c r="H53" s="1078">
        <f t="shared" si="11"/>
        <v>0</v>
      </c>
      <c r="I53" s="1078"/>
      <c r="J53" s="1078"/>
      <c r="K53" s="1078">
        <f t="shared" si="14"/>
        <v>49</v>
      </c>
      <c r="L53" s="1079">
        <f>IF(K53&gt;EPLUS!D$4,"",ECAL!K53)</f>
        <v>49</v>
      </c>
      <c r="M53" s="1078">
        <f t="shared" si="12"/>
        <v>0</v>
      </c>
      <c r="N53" s="1075">
        <f t="shared" si="16"/>
        <v>58</v>
      </c>
      <c r="O53" s="1075">
        <v>49</v>
      </c>
      <c r="P53" s="1075">
        <v>5.55</v>
      </c>
      <c r="Q53" s="1075">
        <v>5.9</v>
      </c>
      <c r="R53" s="1075">
        <v>0</v>
      </c>
      <c r="S53" s="1075">
        <v>0</v>
      </c>
      <c r="T53" s="1075">
        <f t="shared" si="15"/>
        <v>5.55</v>
      </c>
      <c r="U53" s="1075">
        <f t="shared" si="17"/>
        <v>12.43</v>
      </c>
      <c r="V53" s="1075"/>
      <c r="W53" s="1075"/>
      <c r="X53" s="1075"/>
      <c r="Y53" s="1075"/>
      <c r="Z53" s="1075"/>
      <c r="AA53" s="1075"/>
      <c r="AB53" s="1075"/>
      <c r="AC53" s="1075"/>
      <c r="AD53" s="1075"/>
      <c r="AE53" s="1075"/>
      <c r="AF53" s="1075"/>
      <c r="AG53" s="1075"/>
      <c r="AH53" s="1075"/>
      <c r="AI53" s="1075"/>
      <c r="AJ53" s="1075"/>
      <c r="AK53" s="1075"/>
      <c r="AL53" s="1075"/>
      <c r="AM53" s="1075"/>
      <c r="AN53" s="1075"/>
      <c r="AO53" s="1075"/>
      <c r="AP53" s="1075"/>
      <c r="AQ53" s="1075"/>
      <c r="AR53" s="1075"/>
      <c r="AS53" s="1075"/>
      <c r="AT53" s="1075"/>
      <c r="AU53" s="1075"/>
      <c r="AV53" s="1075"/>
    </row>
    <row r="54" spans="1:48" ht="11.25" customHeight="1">
      <c r="A54" s="1075"/>
      <c r="B54" s="1083"/>
      <c r="C54" s="1075"/>
      <c r="D54" s="1075"/>
      <c r="E54" s="1075"/>
      <c r="F54" s="1075">
        <f t="shared" si="13"/>
        <v>60</v>
      </c>
      <c r="G54" s="1078" t="str">
        <f>IF(F54&gt;EPLUS!F$4,"",ECAL!G53+1)</f>
        <v/>
      </c>
      <c r="H54" s="1078">
        <f t="shared" si="11"/>
        <v>0</v>
      </c>
      <c r="I54" s="1078"/>
      <c r="J54" s="1078"/>
      <c r="K54" s="1078">
        <f t="shared" si="14"/>
        <v>50</v>
      </c>
      <c r="L54" s="1079">
        <f>IF(K54&gt;EPLUS!D$4,"",ECAL!K54)</f>
        <v>50</v>
      </c>
      <c r="M54" s="1078">
        <f t="shared" si="12"/>
        <v>0</v>
      </c>
      <c r="N54" s="1075">
        <f t="shared" si="16"/>
        <v>59</v>
      </c>
      <c r="O54" s="1075">
        <v>50</v>
      </c>
      <c r="P54" s="1075">
        <v>6.18</v>
      </c>
      <c r="Q54" s="1075">
        <v>6.56</v>
      </c>
      <c r="R54" s="1075">
        <v>0</v>
      </c>
      <c r="S54" s="1075">
        <v>0</v>
      </c>
      <c r="T54" s="1075">
        <f t="shared" si="15"/>
        <v>6.18</v>
      </c>
      <c r="U54" s="1075">
        <f t="shared" si="17"/>
        <v>13.39</v>
      </c>
      <c r="V54" s="1075"/>
      <c r="W54" s="1075"/>
      <c r="X54" s="1075"/>
      <c r="Y54" s="1075"/>
      <c r="Z54" s="1075"/>
      <c r="AA54" s="1075"/>
      <c r="AB54" s="1075"/>
      <c r="AC54" s="1075"/>
      <c r="AD54" s="1075"/>
      <c r="AE54" s="1075"/>
      <c r="AF54" s="1075"/>
      <c r="AG54" s="1075"/>
      <c r="AH54" s="1075"/>
      <c r="AI54" s="1075"/>
      <c r="AJ54" s="1075"/>
      <c r="AK54" s="1075"/>
      <c r="AL54" s="1075"/>
      <c r="AM54" s="1075"/>
      <c r="AN54" s="1075"/>
      <c r="AO54" s="1075"/>
      <c r="AP54" s="1075"/>
      <c r="AQ54" s="1075"/>
      <c r="AR54" s="1075"/>
      <c r="AS54" s="1075"/>
      <c r="AT54" s="1075"/>
      <c r="AU54" s="1075"/>
      <c r="AV54" s="1075"/>
    </row>
    <row r="55" spans="1:48" ht="11.25" customHeight="1">
      <c r="A55" s="1075"/>
      <c r="B55" s="1083"/>
      <c r="C55" s="1075"/>
      <c r="D55" s="1075"/>
      <c r="E55" s="1075"/>
      <c r="F55" s="1075">
        <f t="shared" si="13"/>
        <v>61</v>
      </c>
      <c r="G55" s="1078" t="str">
        <f>IF(F55&gt;EPLUS!F$4,"",ECAL!G54+1)</f>
        <v/>
      </c>
      <c r="H55" s="1078">
        <f t="shared" si="11"/>
        <v>0</v>
      </c>
      <c r="I55" s="1078"/>
      <c r="J55" s="1078"/>
      <c r="K55" s="1078">
        <f t="shared" si="14"/>
        <v>51</v>
      </c>
      <c r="L55" s="1079" t="str">
        <f>IF(K55&gt;EPLUS!D$4,"",ECAL!K55)</f>
        <v/>
      </c>
      <c r="M55" s="1078">
        <f t="shared" si="12"/>
        <v>0</v>
      </c>
      <c r="N55" s="1075">
        <f t="shared" si="16"/>
        <v>60</v>
      </c>
      <c r="O55" s="1075">
        <v>51</v>
      </c>
      <c r="P55" s="1075">
        <v>6.85</v>
      </c>
      <c r="Q55" s="1075">
        <v>7.27</v>
      </c>
      <c r="R55" s="1075">
        <v>0</v>
      </c>
      <c r="S55" s="1075">
        <v>0</v>
      </c>
      <c r="T55" s="1075">
        <f t="shared" si="15"/>
        <v>6.85</v>
      </c>
      <c r="U55" s="1075">
        <f t="shared" si="17"/>
        <v>13.39</v>
      </c>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row>
    <row r="56" spans="1:48" ht="11.25" customHeight="1">
      <c r="A56" s="1075"/>
      <c r="B56" s="1083"/>
      <c r="C56" s="1075"/>
      <c r="D56" s="1075"/>
      <c r="E56" s="1075"/>
      <c r="F56" s="1075">
        <f t="shared" si="13"/>
        <v>62</v>
      </c>
      <c r="G56" s="1078" t="str">
        <f>IF(F56&gt;EPLUS!F$4,"",ECAL!G55+1)</f>
        <v/>
      </c>
      <c r="H56" s="1078">
        <f t="shared" si="11"/>
        <v>0</v>
      </c>
      <c r="I56" s="1078"/>
      <c r="J56" s="1078"/>
      <c r="K56" s="1078">
        <f t="shared" si="14"/>
        <v>52</v>
      </c>
      <c r="L56" s="1079" t="str">
        <f>IF(K56&gt;EPLUS!D$4,"",ECAL!K56)</f>
        <v/>
      </c>
      <c r="M56" s="1078">
        <f t="shared" si="12"/>
        <v>0</v>
      </c>
      <c r="N56" s="1075">
        <f t="shared" si="16"/>
        <v>61</v>
      </c>
      <c r="O56" s="1075">
        <v>52</v>
      </c>
      <c r="P56" s="1075">
        <v>7.56</v>
      </c>
      <c r="Q56" s="1075">
        <v>8.0500000000000007</v>
      </c>
      <c r="R56" s="1075">
        <v>0</v>
      </c>
      <c r="S56" s="1075">
        <v>0</v>
      </c>
      <c r="T56" s="1075">
        <f t="shared" si="15"/>
        <v>7.56</v>
      </c>
      <c r="U56" s="1075">
        <f t="shared" si="17"/>
        <v>13.39</v>
      </c>
      <c r="V56" s="1075"/>
      <c r="W56" s="1075"/>
      <c r="X56" s="1075"/>
      <c r="Y56" s="1075"/>
      <c r="Z56" s="1075"/>
      <c r="AA56" s="1075"/>
      <c r="AB56" s="1075"/>
      <c r="AC56" s="1075"/>
      <c r="AD56" s="1075"/>
      <c r="AE56" s="1075"/>
      <c r="AF56" s="1075"/>
      <c r="AG56" s="1075"/>
      <c r="AH56" s="1075"/>
      <c r="AI56" s="1075"/>
      <c r="AJ56" s="1075"/>
      <c r="AK56" s="1075"/>
      <c r="AL56" s="1075"/>
      <c r="AM56" s="1075"/>
      <c r="AN56" s="1075"/>
      <c r="AO56" s="1075"/>
      <c r="AP56" s="1075"/>
      <c r="AQ56" s="1075"/>
      <c r="AR56" s="1075"/>
      <c r="AS56" s="1075"/>
      <c r="AT56" s="1075"/>
      <c r="AU56" s="1075"/>
      <c r="AV56" s="1075"/>
    </row>
    <row r="57" spans="1:48" ht="11.25" customHeight="1">
      <c r="A57" s="1075"/>
      <c r="B57" s="1083"/>
      <c r="C57" s="1075"/>
      <c r="D57" s="1075"/>
      <c r="E57" s="1075"/>
      <c r="F57" s="1075">
        <f t="shared" si="13"/>
        <v>63</v>
      </c>
      <c r="G57" s="1078" t="str">
        <f>IF(F57&gt;EPLUS!F$4,"",ECAL!G56+1)</f>
        <v/>
      </c>
      <c r="H57" s="1078">
        <f t="shared" si="11"/>
        <v>0</v>
      </c>
      <c r="I57" s="1078"/>
      <c r="J57" s="1078"/>
      <c r="K57" s="1078">
        <f t="shared" si="14"/>
        <v>53</v>
      </c>
      <c r="L57" s="1079" t="str">
        <f>IF(K57&gt;EPLUS!D$4,"",ECAL!K57)</f>
        <v/>
      </c>
      <c r="M57" s="1078">
        <f t="shared" si="12"/>
        <v>0</v>
      </c>
      <c r="N57" s="1075">
        <f t="shared" si="16"/>
        <v>62</v>
      </c>
      <c r="O57" s="1075">
        <v>53</v>
      </c>
      <c r="P57" s="1075">
        <v>8.3000000000000007</v>
      </c>
      <c r="Q57" s="1075">
        <v>8.9</v>
      </c>
      <c r="R57" s="1075">
        <v>0</v>
      </c>
      <c r="S57" s="1075">
        <v>0</v>
      </c>
      <c r="T57" s="1075">
        <f t="shared" si="15"/>
        <v>8.3000000000000007</v>
      </c>
      <c r="U57" s="1075">
        <f t="shared" si="17"/>
        <v>13.39</v>
      </c>
      <c r="V57" s="1075"/>
      <c r="W57" s="1075"/>
      <c r="X57" s="1075"/>
      <c r="Y57" s="1075"/>
      <c r="Z57" s="1075"/>
      <c r="AA57" s="1075"/>
      <c r="AB57" s="1075"/>
      <c r="AC57" s="1075"/>
      <c r="AD57" s="1075"/>
      <c r="AE57" s="1075"/>
      <c r="AF57" s="1075"/>
      <c r="AG57" s="1075"/>
      <c r="AH57" s="1075"/>
      <c r="AI57" s="1075"/>
      <c r="AJ57" s="1075"/>
      <c r="AK57" s="1075"/>
      <c r="AL57" s="1075"/>
      <c r="AM57" s="1075"/>
      <c r="AN57" s="1075"/>
      <c r="AO57" s="1075"/>
      <c r="AP57" s="1075"/>
      <c r="AQ57" s="1075"/>
      <c r="AR57" s="1075"/>
      <c r="AS57" s="1075"/>
      <c r="AT57" s="1075"/>
      <c r="AU57" s="1075"/>
      <c r="AV57" s="1075"/>
    </row>
    <row r="58" spans="1:48" ht="11.25" customHeight="1">
      <c r="A58" s="1075"/>
      <c r="B58" s="1083"/>
      <c r="C58" s="1075"/>
      <c r="D58" s="1075"/>
      <c r="E58" s="1075"/>
      <c r="F58" s="1075">
        <f t="shared" si="13"/>
        <v>64</v>
      </c>
      <c r="G58" s="1078" t="str">
        <f>IF(F58&gt;EPLUS!F$4,"",ECAL!G57+1)</f>
        <v/>
      </c>
      <c r="H58" s="1078">
        <f t="shared" si="11"/>
        <v>0</v>
      </c>
      <c r="I58" s="1078"/>
      <c r="J58" s="1078"/>
      <c r="K58" s="1078">
        <f t="shared" si="14"/>
        <v>54</v>
      </c>
      <c r="L58" s="1079" t="str">
        <f>IF(K58&gt;EPLUS!D$4,"",ECAL!K58)</f>
        <v/>
      </c>
      <c r="M58" s="1078">
        <f t="shared" si="12"/>
        <v>0</v>
      </c>
      <c r="N58" s="1075">
        <f t="shared" si="16"/>
        <v>63</v>
      </c>
      <c r="O58" s="1075">
        <v>54</v>
      </c>
      <c r="P58" s="1075">
        <v>9.07</v>
      </c>
      <c r="Q58" s="1075">
        <v>9.8000000000000007</v>
      </c>
      <c r="R58" s="1075">
        <v>0</v>
      </c>
      <c r="S58" s="1075">
        <v>0</v>
      </c>
      <c r="T58" s="1075">
        <f t="shared" si="15"/>
        <v>9.07</v>
      </c>
      <c r="U58" s="1075">
        <f t="shared" si="17"/>
        <v>13.39</v>
      </c>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row>
    <row r="59" spans="1:48" ht="11.25" customHeight="1">
      <c r="A59" s="1075"/>
      <c r="B59" s="1083"/>
      <c r="C59" s="1075"/>
      <c r="D59" s="1075"/>
      <c r="E59" s="1075"/>
      <c r="F59" s="1075">
        <f t="shared" si="13"/>
        <v>65</v>
      </c>
      <c r="G59" s="1078" t="str">
        <f>IF(F59&gt;EPLUS!F$4,"",ECAL!G58+1)</f>
        <v/>
      </c>
      <c r="H59" s="1078">
        <f t="shared" si="11"/>
        <v>0</v>
      </c>
      <c r="I59" s="1078"/>
      <c r="J59" s="1078"/>
      <c r="K59" s="1078">
        <f t="shared" si="14"/>
        <v>55</v>
      </c>
      <c r="L59" s="1079" t="str">
        <f>IF(K59&gt;EPLUS!D$4,"",ECAL!K59)</f>
        <v/>
      </c>
      <c r="M59" s="1078">
        <f t="shared" si="12"/>
        <v>0</v>
      </c>
      <c r="N59" s="1075">
        <f t="shared" si="16"/>
        <v>64</v>
      </c>
      <c r="O59" s="1075">
        <v>55</v>
      </c>
      <c r="P59" s="1075">
        <v>9.86</v>
      </c>
      <c r="Q59" s="1075">
        <v>10.76</v>
      </c>
      <c r="R59" s="1075">
        <v>0</v>
      </c>
      <c r="S59" s="1075">
        <v>0</v>
      </c>
      <c r="T59" s="1075">
        <f t="shared" si="15"/>
        <v>9.86</v>
      </c>
      <c r="U59" s="1075">
        <f t="shared" si="17"/>
        <v>13.39</v>
      </c>
      <c r="V59" s="1075"/>
      <c r="W59" s="1075"/>
      <c r="X59" s="1075"/>
      <c r="Y59" s="1075"/>
      <c r="Z59" s="1075"/>
      <c r="AA59" s="1075"/>
      <c r="AB59" s="1075"/>
      <c r="AC59" s="1075"/>
      <c r="AD59" s="1075"/>
      <c r="AE59" s="1075"/>
      <c r="AF59" s="1075"/>
      <c r="AG59" s="1075"/>
      <c r="AH59" s="1075"/>
      <c r="AI59" s="1075"/>
      <c r="AJ59" s="1075"/>
      <c r="AK59" s="1075"/>
      <c r="AL59" s="1075"/>
      <c r="AM59" s="1075"/>
      <c r="AN59" s="1075"/>
      <c r="AO59" s="1075"/>
      <c r="AP59" s="1075"/>
      <c r="AQ59" s="1075"/>
      <c r="AR59" s="1075"/>
      <c r="AS59" s="1075"/>
      <c r="AT59" s="1075"/>
      <c r="AU59" s="1075"/>
      <c r="AV59" s="1075"/>
    </row>
    <row r="60" spans="1:48" ht="11.25" customHeight="1">
      <c r="A60" s="1075"/>
      <c r="B60" s="1083"/>
      <c r="C60" s="1075"/>
      <c r="D60" s="1075"/>
      <c r="E60" s="1075"/>
      <c r="F60" s="1075">
        <f t="shared" si="13"/>
        <v>66</v>
      </c>
      <c r="G60" s="1078" t="str">
        <f>IF(F60&gt;EPLUS!F$4,"",ECAL!G59+1)</f>
        <v/>
      </c>
      <c r="H60" s="1078">
        <f t="shared" si="11"/>
        <v>0</v>
      </c>
      <c r="I60" s="1078"/>
      <c r="J60" s="1078"/>
      <c r="K60" s="1078">
        <f t="shared" si="14"/>
        <v>56</v>
      </c>
      <c r="L60" s="1079" t="str">
        <f>IF(K60&gt;EPLUS!D$4,"",ECAL!K60)</f>
        <v/>
      </c>
      <c r="M60" s="1078">
        <f t="shared" si="12"/>
        <v>0</v>
      </c>
      <c r="N60" s="1075">
        <f t="shared" si="16"/>
        <v>65</v>
      </c>
      <c r="O60" s="1075">
        <v>56</v>
      </c>
      <c r="P60" s="1075">
        <v>10.68</v>
      </c>
      <c r="Q60" s="1075">
        <v>11.79</v>
      </c>
      <c r="R60" s="1075">
        <v>0</v>
      </c>
      <c r="S60" s="1075">
        <v>0</v>
      </c>
      <c r="T60" s="1075">
        <f t="shared" si="15"/>
        <v>10.68</v>
      </c>
      <c r="U60" s="1075">
        <f t="shared" si="17"/>
        <v>13.39</v>
      </c>
      <c r="V60" s="1075"/>
      <c r="W60" s="1075"/>
      <c r="X60" s="1075"/>
      <c r="Y60" s="1075"/>
      <c r="Z60" s="1075"/>
      <c r="AA60" s="1075"/>
      <c r="AB60" s="1075"/>
      <c r="AC60" s="1075"/>
      <c r="AD60" s="1075"/>
      <c r="AE60" s="1075"/>
      <c r="AF60" s="1075"/>
      <c r="AG60" s="1075"/>
      <c r="AH60" s="1075"/>
      <c r="AI60" s="1075"/>
      <c r="AJ60" s="1075"/>
      <c r="AK60" s="1075"/>
      <c r="AL60" s="1075"/>
      <c r="AM60" s="1075"/>
      <c r="AN60" s="1075"/>
      <c r="AO60" s="1075"/>
      <c r="AP60" s="1075"/>
      <c r="AQ60" s="1075"/>
      <c r="AR60" s="1075"/>
      <c r="AS60" s="1075"/>
      <c r="AT60" s="1075"/>
      <c r="AU60" s="1075"/>
      <c r="AV60" s="1075"/>
    </row>
    <row r="61" spans="1:48" ht="11.25" customHeight="1">
      <c r="A61" s="1075"/>
      <c r="B61" s="1083"/>
      <c r="C61" s="1075"/>
      <c r="D61" s="1075"/>
      <c r="E61" s="1075"/>
      <c r="F61" s="1075">
        <f t="shared" si="13"/>
        <v>67</v>
      </c>
      <c r="G61" s="1078" t="str">
        <f>IF(F61&gt;EPLUS!F$4,"",ECAL!G60+1)</f>
        <v/>
      </c>
      <c r="H61" s="1078">
        <f t="shared" si="11"/>
        <v>0</v>
      </c>
      <c r="I61" s="1078"/>
      <c r="J61" s="1078"/>
      <c r="K61" s="1078">
        <f t="shared" si="14"/>
        <v>57</v>
      </c>
      <c r="L61" s="1079" t="str">
        <f>IF(K61&gt;EPLUS!D$4,"",ECAL!K61)</f>
        <v/>
      </c>
      <c r="M61" s="1078">
        <f t="shared" si="12"/>
        <v>0</v>
      </c>
      <c r="N61" s="1075">
        <f t="shared" si="16"/>
        <v>66</v>
      </c>
      <c r="O61" s="1075">
        <v>57</v>
      </c>
      <c r="P61" s="1075">
        <v>11.53</v>
      </c>
      <c r="Q61" s="1075">
        <v>12.87</v>
      </c>
      <c r="R61" s="1075">
        <v>0</v>
      </c>
      <c r="S61" s="1075">
        <v>0</v>
      </c>
      <c r="T61" s="1075">
        <f t="shared" si="15"/>
        <v>11.53</v>
      </c>
      <c r="U61" s="1075">
        <f t="shared" si="17"/>
        <v>13.39</v>
      </c>
      <c r="V61" s="1075"/>
      <c r="W61" s="1075"/>
      <c r="X61" s="1075"/>
      <c r="Y61" s="1075"/>
      <c r="Z61" s="1075"/>
      <c r="AA61" s="1075"/>
      <c r="AB61" s="1075"/>
      <c r="AC61" s="1075"/>
      <c r="AD61" s="1075"/>
      <c r="AE61" s="1075"/>
      <c r="AF61" s="1075"/>
      <c r="AG61" s="1075"/>
      <c r="AH61" s="1075"/>
      <c r="AI61" s="1075"/>
      <c r="AJ61" s="1075"/>
      <c r="AK61" s="1075"/>
      <c r="AL61" s="1075"/>
      <c r="AM61" s="1075"/>
      <c r="AN61" s="1075"/>
      <c r="AO61" s="1075"/>
      <c r="AP61" s="1075"/>
      <c r="AQ61" s="1075"/>
      <c r="AR61" s="1075"/>
      <c r="AS61" s="1075"/>
      <c r="AT61" s="1075"/>
      <c r="AU61" s="1075"/>
      <c r="AV61" s="1075"/>
    </row>
    <row r="62" spans="1:48" ht="11.25" customHeight="1">
      <c r="A62" s="1075"/>
      <c r="B62" s="1083"/>
      <c r="C62" s="1075"/>
      <c r="D62" s="1075"/>
      <c r="E62" s="1075"/>
      <c r="F62" s="1075">
        <f t="shared" si="13"/>
        <v>68</v>
      </c>
      <c r="G62" s="1078" t="str">
        <f>IF(F62&gt;EPLUS!F$4,"",ECAL!G61+1)</f>
        <v/>
      </c>
      <c r="H62" s="1078">
        <f t="shared" si="11"/>
        <v>0</v>
      </c>
      <c r="I62" s="1078"/>
      <c r="J62" s="1078"/>
      <c r="K62" s="1078">
        <f t="shared" si="14"/>
        <v>58</v>
      </c>
      <c r="L62" s="1079" t="str">
        <f>IF(K62&gt;EPLUS!D$4,"",ECAL!K62)</f>
        <v/>
      </c>
      <c r="M62" s="1078">
        <f t="shared" si="12"/>
        <v>0</v>
      </c>
      <c r="N62" s="1075">
        <f t="shared" si="16"/>
        <v>67</v>
      </c>
      <c r="O62" s="1075">
        <v>58</v>
      </c>
      <c r="P62" s="1075">
        <v>12.43</v>
      </c>
      <c r="Q62" s="1075">
        <v>13.78</v>
      </c>
      <c r="R62" s="1075">
        <v>0</v>
      </c>
      <c r="S62" s="1075">
        <v>0</v>
      </c>
      <c r="T62" s="1075">
        <f t="shared" si="15"/>
        <v>12.43</v>
      </c>
      <c r="U62" s="1075">
        <f t="shared" si="17"/>
        <v>13.39</v>
      </c>
      <c r="V62" s="1075"/>
      <c r="W62" s="1075"/>
      <c r="X62" s="1075"/>
      <c r="Y62" s="1075"/>
      <c r="Z62" s="1075"/>
      <c r="AA62" s="1075"/>
      <c r="AB62" s="1075"/>
      <c r="AC62" s="1075"/>
      <c r="AD62" s="1075"/>
      <c r="AE62" s="1075"/>
      <c r="AF62" s="1075"/>
      <c r="AG62" s="1075"/>
      <c r="AH62" s="1075"/>
      <c r="AI62" s="1075"/>
      <c r="AJ62" s="1075"/>
      <c r="AK62" s="1075"/>
      <c r="AL62" s="1075"/>
      <c r="AM62" s="1075"/>
      <c r="AN62" s="1075"/>
      <c r="AO62" s="1075"/>
      <c r="AP62" s="1075"/>
      <c r="AQ62" s="1075"/>
      <c r="AR62" s="1075"/>
      <c r="AS62" s="1075"/>
      <c r="AT62" s="1075"/>
      <c r="AU62" s="1075"/>
      <c r="AV62" s="1075"/>
    </row>
    <row r="63" spans="1:48" ht="11.25" customHeight="1">
      <c r="A63" s="1075"/>
      <c r="B63" s="1083"/>
      <c r="C63" s="1075"/>
      <c r="D63" s="1075"/>
      <c r="E63" s="1075"/>
      <c r="F63" s="1075">
        <f t="shared" si="13"/>
        <v>69</v>
      </c>
      <c r="G63" s="1078" t="str">
        <f>IF(F63&gt;EPLUS!F$4,"",ECAL!G62+1)</f>
        <v/>
      </c>
      <c r="H63" s="1078">
        <f t="shared" si="11"/>
        <v>0</v>
      </c>
      <c r="I63" s="1078"/>
      <c r="J63" s="1078"/>
      <c r="K63" s="1078">
        <f t="shared" si="14"/>
        <v>59</v>
      </c>
      <c r="L63" s="1079" t="str">
        <f>IF(K63&gt;EPLUS!D$4,"",ECAL!K63)</f>
        <v/>
      </c>
      <c r="M63" s="1078">
        <f t="shared" si="12"/>
        <v>0</v>
      </c>
      <c r="N63" s="1075">
        <f t="shared" si="16"/>
        <v>68</v>
      </c>
      <c r="O63" s="1075">
        <v>59</v>
      </c>
      <c r="P63" s="1075">
        <v>13.39</v>
      </c>
      <c r="Q63" s="1075">
        <v>14.94</v>
      </c>
      <c r="R63" s="1075">
        <v>0</v>
      </c>
      <c r="S63" s="1075">
        <v>0</v>
      </c>
      <c r="T63" s="1075">
        <f t="shared" si="15"/>
        <v>13.39</v>
      </c>
      <c r="U63" s="1075">
        <f t="shared" si="17"/>
        <v>13.39</v>
      </c>
      <c r="V63" s="1075"/>
      <c r="W63" s="1075"/>
      <c r="X63" s="1075"/>
      <c r="Y63" s="1075"/>
      <c r="Z63" s="1075"/>
      <c r="AA63" s="1075"/>
      <c r="AB63" s="1075"/>
      <c r="AC63" s="1075"/>
      <c r="AD63" s="1075"/>
      <c r="AE63" s="1075"/>
      <c r="AF63" s="1075"/>
      <c r="AG63" s="1075"/>
      <c r="AH63" s="1075"/>
      <c r="AI63" s="1075"/>
      <c r="AJ63" s="1075"/>
      <c r="AK63" s="1075"/>
      <c r="AL63" s="1075"/>
      <c r="AM63" s="1075"/>
      <c r="AN63" s="1075"/>
      <c r="AO63" s="1075"/>
      <c r="AP63" s="1075"/>
      <c r="AQ63" s="1075"/>
      <c r="AR63" s="1075"/>
      <c r="AS63" s="1075"/>
      <c r="AT63" s="1075"/>
      <c r="AU63" s="1075"/>
      <c r="AV63" s="1075"/>
    </row>
    <row r="64" spans="1:48" ht="11.25" customHeight="1">
      <c r="A64" s="1075"/>
      <c r="B64" s="1075"/>
      <c r="C64" s="1075"/>
      <c r="D64" s="1075"/>
      <c r="E64" s="1075"/>
      <c r="F64" s="1075"/>
      <c r="G64" s="1075"/>
      <c r="H64" s="1075">
        <f>SUM(H4:H63)</f>
        <v>1</v>
      </c>
      <c r="I64" s="1075"/>
      <c r="J64" s="1075"/>
      <c r="K64" s="1075"/>
      <c r="L64" s="1075"/>
      <c r="M64" s="1078">
        <f>SUM(M4:M63)</f>
        <v>1</v>
      </c>
      <c r="N64" s="1075"/>
      <c r="O64" s="1075"/>
      <c r="P64" s="1075"/>
      <c r="Q64" s="1075"/>
      <c r="R64" s="1075"/>
      <c r="S64" s="1081"/>
      <c r="T64" s="1081"/>
      <c r="U64" s="1081"/>
      <c r="V64" s="1081"/>
      <c r="W64" s="1081"/>
      <c r="X64" s="1075"/>
      <c r="Y64" s="1075"/>
      <c r="Z64" s="1075"/>
      <c r="AA64" s="1075"/>
      <c r="AB64" s="1075"/>
      <c r="AC64" s="1075"/>
      <c r="AD64" s="1075"/>
      <c r="AE64" s="1075"/>
      <c r="AF64" s="1075"/>
      <c r="AG64" s="1075"/>
      <c r="AH64" s="1075"/>
      <c r="AI64" s="1075"/>
      <c r="AJ64" s="1075"/>
      <c r="AK64" s="1075"/>
      <c r="AL64" s="1075"/>
      <c r="AM64" s="1075"/>
      <c r="AN64" s="1075"/>
      <c r="AO64" s="1075"/>
      <c r="AP64" s="1075"/>
      <c r="AQ64" s="1075"/>
      <c r="AR64" s="1075"/>
      <c r="AS64" s="1075"/>
      <c r="AT64" s="1075"/>
      <c r="AU64" s="1075"/>
      <c r="AV64" s="1075"/>
    </row>
    <row r="65" spans="1:48" ht="11.25" customHeight="1">
      <c r="A65" s="1075"/>
      <c r="B65" s="1075"/>
      <c r="C65" s="1075"/>
      <c r="D65" s="1075"/>
      <c r="E65" s="1075"/>
      <c r="F65" s="1075"/>
      <c r="G65" s="1075"/>
      <c r="H65" s="1075"/>
      <c r="I65" s="1075"/>
      <c r="J65" s="1075"/>
      <c r="K65" s="1075"/>
      <c r="L65" s="1075"/>
      <c r="M65" s="1075"/>
      <c r="N65" s="1075"/>
      <c r="O65" s="1075"/>
      <c r="P65" s="1075"/>
      <c r="Q65" s="1075"/>
      <c r="R65" s="1075"/>
      <c r="S65" s="1081"/>
      <c r="T65" s="1081"/>
      <c r="U65" s="1081"/>
      <c r="V65" s="1081"/>
      <c r="W65" s="1081"/>
      <c r="X65" s="1075"/>
      <c r="Y65" s="1075"/>
      <c r="Z65" s="1075"/>
      <c r="AA65" s="1075"/>
      <c r="AB65" s="1075"/>
      <c r="AC65" s="1075"/>
      <c r="AD65" s="1075"/>
      <c r="AE65" s="1075"/>
      <c r="AF65" s="1075"/>
      <c r="AG65" s="1075"/>
      <c r="AH65" s="1075"/>
      <c r="AI65" s="1075"/>
      <c r="AJ65" s="1075"/>
      <c r="AK65" s="1075"/>
      <c r="AL65" s="1075"/>
      <c r="AM65" s="1075"/>
      <c r="AN65" s="1075"/>
      <c r="AO65" s="1075"/>
      <c r="AP65" s="1075"/>
      <c r="AQ65" s="1075"/>
      <c r="AR65" s="1075"/>
      <c r="AS65" s="1075"/>
      <c r="AT65" s="1075"/>
      <c r="AU65" s="1075"/>
      <c r="AV65" s="1075"/>
    </row>
    <row r="66" spans="1:48" ht="11.25" customHeight="1">
      <c r="A66" s="1075"/>
      <c r="B66" s="1075"/>
      <c r="C66" s="1075"/>
      <c r="D66" s="1075"/>
      <c r="E66" s="1075"/>
      <c r="F66" s="1075"/>
      <c r="G66" s="1075"/>
      <c r="H66" s="1075"/>
      <c r="I66" s="1075"/>
      <c r="J66" s="1075"/>
      <c r="K66" s="1075"/>
      <c r="L66" s="1075"/>
      <c r="M66" s="1075"/>
      <c r="N66" s="1075"/>
      <c r="O66" s="1075"/>
      <c r="P66" s="1075"/>
      <c r="Q66" s="1075"/>
      <c r="R66" s="1075"/>
      <c r="S66" s="1081"/>
      <c r="T66" s="1081"/>
      <c r="U66" s="1081"/>
      <c r="V66" s="1081"/>
      <c r="W66" s="1081"/>
      <c r="X66" s="1075"/>
      <c r="Y66" s="1075"/>
      <c r="Z66" s="1075"/>
      <c r="AA66" s="1075"/>
      <c r="AB66" s="1075"/>
      <c r="AC66" s="1075"/>
      <c r="AD66" s="1075"/>
      <c r="AE66" s="1075"/>
      <c r="AF66" s="1075"/>
      <c r="AG66" s="1075"/>
      <c r="AH66" s="1075"/>
      <c r="AI66" s="1075"/>
      <c r="AJ66" s="1075"/>
      <c r="AK66" s="1075"/>
      <c r="AL66" s="1075"/>
      <c r="AM66" s="1075"/>
      <c r="AN66" s="1075"/>
      <c r="AO66" s="1075"/>
      <c r="AP66" s="1075"/>
      <c r="AQ66" s="1075"/>
      <c r="AR66" s="1075"/>
      <c r="AS66" s="1075"/>
      <c r="AT66" s="1075"/>
      <c r="AU66" s="1075"/>
      <c r="AV66" s="1075"/>
    </row>
    <row r="67" spans="1:48" ht="11.25" customHeight="1">
      <c r="A67" s="1075"/>
      <c r="B67" s="1075"/>
      <c r="C67" s="1075"/>
      <c r="D67" s="1075"/>
      <c r="E67" s="1075"/>
      <c r="F67" s="1075"/>
      <c r="G67" s="1075"/>
      <c r="H67" s="1075"/>
      <c r="I67" s="1075"/>
      <c r="J67" s="1075"/>
      <c r="K67" s="1075"/>
      <c r="L67" s="1075"/>
      <c r="M67" s="1075"/>
      <c r="N67" s="1075"/>
      <c r="O67" s="1075"/>
      <c r="P67" s="1075"/>
      <c r="Q67" s="1075"/>
      <c r="R67" s="1075"/>
      <c r="S67" s="1081"/>
      <c r="T67" s="1081"/>
      <c r="U67" s="1081"/>
      <c r="V67" s="1081"/>
      <c r="W67" s="1081"/>
      <c r="X67" s="1075"/>
      <c r="Y67" s="1075"/>
      <c r="Z67" s="1075"/>
      <c r="AA67" s="1075"/>
      <c r="AB67" s="1075"/>
      <c r="AC67" s="1075"/>
      <c r="AD67" s="1075"/>
      <c r="AE67" s="1075"/>
      <c r="AF67" s="1075"/>
      <c r="AG67" s="1075"/>
      <c r="AH67" s="1075"/>
      <c r="AI67" s="1075"/>
      <c r="AJ67" s="1075"/>
      <c r="AK67" s="1075"/>
      <c r="AL67" s="1075"/>
      <c r="AM67" s="1075"/>
      <c r="AN67" s="1075"/>
      <c r="AO67" s="1075"/>
      <c r="AP67" s="1075"/>
      <c r="AQ67" s="1075"/>
      <c r="AR67" s="1075"/>
      <c r="AS67" s="1075"/>
      <c r="AT67" s="1075"/>
      <c r="AU67" s="1075"/>
      <c r="AV67" s="1075"/>
    </row>
    <row r="68" spans="1:48" ht="11.25" customHeight="1">
      <c r="A68" s="1075"/>
      <c r="B68" s="1075"/>
      <c r="C68" s="1075"/>
      <c r="D68" s="1075"/>
      <c r="E68" s="1075"/>
      <c r="F68" s="1075"/>
      <c r="G68" s="1075"/>
      <c r="H68" s="1075"/>
      <c r="I68" s="1075"/>
      <c r="J68" s="1075"/>
      <c r="K68" s="1075"/>
      <c r="L68" s="1075"/>
      <c r="M68" s="1075"/>
      <c r="N68" s="1075"/>
      <c r="O68" s="1075"/>
      <c r="P68" s="1075"/>
      <c r="Q68" s="1075"/>
      <c r="R68" s="1075"/>
      <c r="S68" s="1081"/>
      <c r="T68" s="1081"/>
      <c r="U68" s="1081"/>
      <c r="V68" s="1081"/>
      <c r="W68" s="1081"/>
      <c r="X68" s="1075"/>
      <c r="Y68" s="1075"/>
      <c r="Z68" s="1075"/>
      <c r="AA68" s="1075"/>
      <c r="AB68" s="1075"/>
      <c r="AC68" s="1075"/>
      <c r="AD68" s="1075"/>
      <c r="AE68" s="1075"/>
      <c r="AF68" s="1075"/>
      <c r="AG68" s="1075"/>
      <c r="AH68" s="1075"/>
      <c r="AI68" s="1075"/>
      <c r="AJ68" s="1075"/>
      <c r="AK68" s="1075"/>
      <c r="AL68" s="1075"/>
      <c r="AM68" s="1075"/>
      <c r="AN68" s="1075"/>
      <c r="AO68" s="1075"/>
      <c r="AP68" s="1075"/>
      <c r="AQ68" s="1075"/>
      <c r="AR68" s="1075"/>
      <c r="AS68" s="1075"/>
      <c r="AT68" s="1075"/>
      <c r="AU68" s="1075"/>
      <c r="AV68" s="1075"/>
    </row>
    <row r="69" spans="1:48" ht="11.25" customHeight="1">
      <c r="A69" s="1075"/>
      <c r="B69" s="1075"/>
      <c r="C69" s="1075"/>
      <c r="D69" s="1075"/>
      <c r="E69" s="1075"/>
      <c r="F69" s="1075"/>
      <c r="G69" s="1075"/>
      <c r="H69" s="1075"/>
      <c r="I69" s="1075"/>
      <c r="J69" s="1075"/>
      <c r="K69" s="1075"/>
      <c r="L69" s="1075"/>
      <c r="M69" s="1075"/>
      <c r="N69" s="1075"/>
      <c r="O69" s="1075"/>
      <c r="P69" s="1075"/>
      <c r="Q69" s="1075"/>
      <c r="R69" s="1075"/>
      <c r="S69" s="1081"/>
      <c r="T69" s="1081"/>
      <c r="U69" s="1081"/>
      <c r="V69" s="1081"/>
      <c r="W69" s="1081"/>
      <c r="X69" s="1075"/>
      <c r="Y69" s="1075"/>
      <c r="Z69" s="1075"/>
      <c r="AA69" s="1075"/>
      <c r="AB69" s="1075"/>
      <c r="AC69" s="1075"/>
      <c r="AD69" s="1075"/>
      <c r="AE69" s="1075"/>
      <c r="AF69" s="1075"/>
      <c r="AG69" s="1075"/>
      <c r="AH69" s="1075"/>
      <c r="AI69" s="1075"/>
      <c r="AJ69" s="1075"/>
      <c r="AK69" s="1075"/>
      <c r="AL69" s="1075"/>
      <c r="AM69" s="1075"/>
      <c r="AN69" s="1075"/>
      <c r="AO69" s="1075"/>
      <c r="AP69" s="1075"/>
      <c r="AQ69" s="1075"/>
      <c r="AR69" s="1075"/>
      <c r="AS69" s="1075"/>
      <c r="AT69" s="1075"/>
      <c r="AU69" s="1075"/>
      <c r="AV69" s="1075"/>
    </row>
    <row r="70" spans="1:48" ht="14.25" customHeight="1">
      <c r="A70" s="1075"/>
      <c r="B70" s="1075"/>
      <c r="C70" s="1075"/>
      <c r="D70" s="1075"/>
      <c r="E70" s="1075"/>
      <c r="F70" s="1075"/>
      <c r="G70" s="1075"/>
      <c r="H70" s="1084" t="s">
        <v>712</v>
      </c>
      <c r="I70" s="1084"/>
      <c r="J70" s="1084" t="s">
        <v>689</v>
      </c>
      <c r="K70" s="1084" t="s">
        <v>138</v>
      </c>
      <c r="L70" s="1084" t="s">
        <v>711</v>
      </c>
      <c r="M70" s="1084" t="s">
        <v>710</v>
      </c>
      <c r="N70" s="1084" t="s">
        <v>709</v>
      </c>
      <c r="O70" s="1084" t="s">
        <v>708</v>
      </c>
      <c r="P70" s="1084" t="s">
        <v>707</v>
      </c>
      <c r="Q70" s="1084" t="s">
        <v>706</v>
      </c>
      <c r="R70" s="1084" t="s">
        <v>705</v>
      </c>
      <c r="S70" s="1084" t="s">
        <v>141</v>
      </c>
      <c r="T70" s="1084" t="s">
        <v>704</v>
      </c>
      <c r="U70" s="1084" t="s">
        <v>703</v>
      </c>
      <c r="V70" s="1084" t="s">
        <v>702</v>
      </c>
      <c r="W70" s="1084" t="s">
        <v>701</v>
      </c>
      <c r="X70" s="1084" t="s">
        <v>700</v>
      </c>
      <c r="Y70" s="1084" t="s">
        <v>699</v>
      </c>
      <c r="Z70" s="1084" t="s">
        <v>698</v>
      </c>
      <c r="AA70" s="1084" t="s">
        <v>697</v>
      </c>
      <c r="AB70" s="1084" t="s">
        <v>696</v>
      </c>
      <c r="AC70" s="1084" t="s">
        <v>695</v>
      </c>
      <c r="AD70" s="1084" t="s">
        <v>694</v>
      </c>
      <c r="AE70" s="1084" t="s">
        <v>693</v>
      </c>
      <c r="AF70" s="1084" t="s">
        <v>692</v>
      </c>
      <c r="AG70" s="1075"/>
      <c r="AH70" s="1075" t="s">
        <v>691</v>
      </c>
      <c r="AI70" s="1075"/>
      <c r="AJ70" s="1075"/>
      <c r="AK70" s="1075"/>
      <c r="AL70" s="1075" t="s">
        <v>691</v>
      </c>
      <c r="AM70" s="1075"/>
      <c r="AN70" s="1075"/>
      <c r="AO70" s="1075"/>
      <c r="AP70" s="1075"/>
      <c r="AQ70" s="1075"/>
      <c r="AR70" s="1075"/>
      <c r="AS70" s="1075"/>
      <c r="AT70" s="1075"/>
      <c r="AU70" s="1075"/>
      <c r="AV70" s="1075"/>
    </row>
    <row r="71" spans="1:48" ht="11.25" customHeight="1">
      <c r="A71" s="1075"/>
      <c r="B71" s="1075"/>
      <c r="C71" s="1075"/>
      <c r="D71" s="1075">
        <f>C12</f>
        <v>20000</v>
      </c>
      <c r="E71" s="1075"/>
      <c r="F71" s="1075"/>
      <c r="G71" s="1075"/>
      <c r="H71" s="1085">
        <v>1</v>
      </c>
      <c r="I71" s="1075"/>
      <c r="J71" s="1085">
        <f t="shared" ref="J71:J90" si="18">IF(H71&gt;B$10,0,H71)</f>
        <v>1</v>
      </c>
      <c r="K71" s="1086">
        <f>B9</f>
        <v>10</v>
      </c>
      <c r="L71" s="1086">
        <f>C12*D12</f>
        <v>20000</v>
      </c>
      <c r="M71" s="1085">
        <f t="shared" ref="M71:M90" si="19">L71*V8/100</f>
        <v>1500</v>
      </c>
      <c r="N71" s="1085">
        <f t="shared" ref="N71:N90" si="20">L71-M71</f>
        <v>18500</v>
      </c>
      <c r="O71" s="1086">
        <f>B28</f>
        <v>10.594099999999999</v>
      </c>
      <c r="P71" s="1087">
        <f t="shared" ref="P71:P90" si="21">IF(H71&gt;B$10,0,N71/O71)</f>
        <v>1746.2549909855486</v>
      </c>
      <c r="Q71" s="1083">
        <f>P71</f>
        <v>1746.2549909855486</v>
      </c>
      <c r="R71" s="1087">
        <f t="shared" ref="R71:R90" si="22">AD71</f>
        <v>1716.3539668813885</v>
      </c>
      <c r="S71" s="1085">
        <f t="shared" ref="S71:S90" si="23">IF(H71&gt;B$10,0,D$73)</f>
        <v>200000</v>
      </c>
      <c r="T71" s="1088">
        <f t="shared" ref="T71:T90" si="24">IF(S71&gt;AF71,S71,AF71)</f>
        <v>200000</v>
      </c>
      <c r="U71" s="1088">
        <f t="shared" ref="U71:U90" si="25">IF((S71-Q71*O71)&lt;0,0,S71-Q71*O71)</f>
        <v>181500</v>
      </c>
      <c r="V71" s="1088">
        <f t="shared" ref="V71:V90" si="26">IF(U71=0,0,U5*U71/1000)</f>
        <v>99.825000000000017</v>
      </c>
      <c r="W71" s="1075">
        <f t="shared" ref="W71:W90" si="27">IF(AH71=0,0,100)</f>
        <v>0</v>
      </c>
      <c r="X71" s="1075">
        <f t="shared" ref="X71:X90" si="28">IF(H71&gt;B$10,0,AD9)</f>
        <v>70</v>
      </c>
      <c r="Y71" s="1088">
        <f>IF(H71&gt;B$10,0,IF(EPLUS!V$4=0,0,EPLUS!Z$4*EPLUS!AB$4/1000))</f>
        <v>0</v>
      </c>
      <c r="Z71" s="1088">
        <f t="shared" ref="Z71:Z90" si="29">Q71*O71*0.7/100</f>
        <v>129.5</v>
      </c>
      <c r="AA71" s="1088">
        <f t="shared" ref="AA71:AA90" si="30">V71+W71+X71+Y71+Z71</f>
        <v>299.32500000000005</v>
      </c>
      <c r="AB71" s="1088">
        <f>AA71*18/100</f>
        <v>53.878500000000003</v>
      </c>
      <c r="AC71" s="1087">
        <f t="shared" ref="AC71:AC90" si="31">(AA71+AB71)/B31</f>
        <v>29.901024104160197</v>
      </c>
      <c r="AD71" s="1087">
        <f t="shared" ref="AD71:AD90" si="32">Q71-AC71</f>
        <v>1716.3539668813885</v>
      </c>
      <c r="AE71" s="1088">
        <f>IF(EPLUS!V$4=1,S71+T71,T71)</f>
        <v>200000</v>
      </c>
      <c r="AF71" s="1089">
        <f t="shared" ref="AF71:AF90" si="33">(AD71*B31)-AH71</f>
        <v>20274.296499999997</v>
      </c>
      <c r="AG71" s="1075"/>
      <c r="AH71" s="1090">
        <f t="shared" ref="AH71:AH90" si="34">IF($D$77=0,0,IF(J71&lt;6,0,(IF(J71&gt;=$D$78,$D$77,0))))</f>
        <v>0</v>
      </c>
      <c r="AI71" s="1075"/>
      <c r="AJ71" s="1075"/>
      <c r="AK71" s="1075"/>
      <c r="AL71" s="1075" t="str">
        <f t="shared" ref="AL71:AL90" si="35">IF(AH71&gt;0,AH71," ")</f>
        <v/>
      </c>
      <c r="AM71" s="1075"/>
      <c r="AN71" s="1075"/>
      <c r="AO71" s="1075"/>
      <c r="AP71" s="1075"/>
      <c r="AQ71" s="1075"/>
      <c r="AR71" s="1075"/>
      <c r="AS71" s="1075"/>
      <c r="AT71" s="1075"/>
      <c r="AU71" s="1075"/>
      <c r="AV71" s="1075"/>
    </row>
    <row r="72" spans="1:48" ht="11.25" customHeight="1">
      <c r="A72" s="1075"/>
      <c r="B72" s="1075"/>
      <c r="C72" s="1075"/>
      <c r="D72" s="1075">
        <f>C12*D12</f>
        <v>20000</v>
      </c>
      <c r="E72" s="1075"/>
      <c r="F72" s="1075"/>
      <c r="G72" s="1075"/>
      <c r="H72" s="1085">
        <v>2</v>
      </c>
      <c r="I72" s="1075"/>
      <c r="J72" s="1085">
        <f t="shared" si="18"/>
        <v>2</v>
      </c>
      <c r="K72" s="1086">
        <f t="shared" ref="K72:K90" si="36">IF(J72=0,0,K71+1)</f>
        <v>11</v>
      </c>
      <c r="L72" s="1086">
        <f t="shared" ref="L72:L90" si="37">IF(H72&gt;B$10,0,IF(B$12=1,0,L$71))</f>
        <v>20000</v>
      </c>
      <c r="M72" s="1085">
        <f t="shared" si="19"/>
        <v>1000</v>
      </c>
      <c r="N72" s="1085">
        <f t="shared" si="20"/>
        <v>19000</v>
      </c>
      <c r="O72" s="1075">
        <f t="shared" ref="O72:O90" si="38">IF(H72&gt;B$10,0,O71*(100+B$27)/100)</f>
        <v>11.812421499999997</v>
      </c>
      <c r="P72" s="1087">
        <f t="shared" si="21"/>
        <v>1608.4762975990998</v>
      </c>
      <c r="Q72" s="1087">
        <f t="shared" ref="Q72:Q90" si="39">IF(H72&gt;B$10,0,P72+Q71)</f>
        <v>3354.7312885846486</v>
      </c>
      <c r="R72" s="1087">
        <f t="shared" si="22"/>
        <v>3317.6408572138571</v>
      </c>
      <c r="S72" s="1085">
        <f t="shared" si="23"/>
        <v>200000</v>
      </c>
      <c r="T72" s="1088">
        <f t="shared" si="24"/>
        <v>200000</v>
      </c>
      <c r="U72" s="1088">
        <f t="shared" si="25"/>
        <v>160372.5</v>
      </c>
      <c r="V72" s="1088">
        <f t="shared" si="26"/>
        <v>86.601150000000004</v>
      </c>
      <c r="W72" s="1075">
        <f t="shared" si="27"/>
        <v>0</v>
      </c>
      <c r="X72" s="1075">
        <f t="shared" si="28"/>
        <v>50</v>
      </c>
      <c r="Y72" s="1088">
        <f>IF(H72&gt;B$10,0,IF(EPLUS!V$4=0,0,EPLUS!Z$4*EPLUS!AB$4/1000))</f>
        <v>0</v>
      </c>
      <c r="Z72" s="1088">
        <f t="shared" si="29"/>
        <v>277.39249999999998</v>
      </c>
      <c r="AA72" s="1088">
        <f t="shared" si="30"/>
        <v>413.99365</v>
      </c>
      <c r="AB72" s="1088">
        <f>AA72*18/100</f>
        <v>74.518856999999997</v>
      </c>
      <c r="AC72" s="1087">
        <f t="shared" si="31"/>
        <v>37.090431370791329</v>
      </c>
      <c r="AD72" s="1087">
        <f t="shared" si="32"/>
        <v>3317.6408572138571</v>
      </c>
      <c r="AE72" s="1088">
        <f>IF(EPLUS!V$4=1,S72+T72,T72)</f>
        <v>200000</v>
      </c>
      <c r="AF72" s="1089">
        <f t="shared" si="33"/>
        <v>43696.149992999999</v>
      </c>
      <c r="AG72" s="1075"/>
      <c r="AH72" s="1090">
        <f t="shared" si="34"/>
        <v>0</v>
      </c>
      <c r="AI72" s="1075"/>
      <c r="AJ72" s="1075"/>
      <c r="AK72" s="1075"/>
      <c r="AL72" s="1075" t="str">
        <f t="shared" si="35"/>
        <v/>
      </c>
      <c r="AM72" s="1075"/>
      <c r="AN72" s="1075"/>
      <c r="AO72" s="1075"/>
      <c r="AP72" s="1075"/>
      <c r="AQ72" s="1075"/>
      <c r="AR72" s="1075"/>
      <c r="AS72" s="1075"/>
      <c r="AT72" s="1075"/>
      <c r="AU72" s="1075"/>
      <c r="AV72" s="1075"/>
    </row>
    <row r="73" spans="1:48" ht="11.25" customHeight="1">
      <c r="A73" s="1075"/>
      <c r="B73" s="1075"/>
      <c r="C73" s="1075" t="s">
        <v>179</v>
      </c>
      <c r="D73" s="1075">
        <f>D72*10</f>
        <v>200000</v>
      </c>
      <c r="E73" s="1075"/>
      <c r="F73" s="1075"/>
      <c r="G73" s="1075"/>
      <c r="H73" s="1085">
        <v>3</v>
      </c>
      <c r="I73" s="1075"/>
      <c r="J73" s="1085">
        <f t="shared" si="18"/>
        <v>3</v>
      </c>
      <c r="K73" s="1086">
        <f t="shared" si="36"/>
        <v>12</v>
      </c>
      <c r="L73" s="1086">
        <f t="shared" si="37"/>
        <v>20000</v>
      </c>
      <c r="M73" s="1085">
        <f t="shared" si="19"/>
        <v>1000</v>
      </c>
      <c r="N73" s="1085">
        <f t="shared" si="20"/>
        <v>19000</v>
      </c>
      <c r="O73" s="1075">
        <f t="shared" si="38"/>
        <v>13.170849972499997</v>
      </c>
      <c r="P73" s="1087">
        <f t="shared" si="21"/>
        <v>1442.5796391023316</v>
      </c>
      <c r="Q73" s="1087">
        <f t="shared" si="39"/>
        <v>4797.31092768698</v>
      </c>
      <c r="R73" s="1087">
        <f t="shared" si="22"/>
        <v>4751.4777594734369</v>
      </c>
      <c r="S73" s="1085">
        <f t="shared" si="23"/>
        <v>200000</v>
      </c>
      <c r="T73" s="1088">
        <f t="shared" si="24"/>
        <v>200000</v>
      </c>
      <c r="U73" s="1088">
        <f t="shared" si="25"/>
        <v>136815.33749999999</v>
      </c>
      <c r="V73" s="1088">
        <f t="shared" si="26"/>
        <v>76.616589000000005</v>
      </c>
      <c r="W73" s="1075">
        <f t="shared" si="27"/>
        <v>0</v>
      </c>
      <c r="X73" s="1081">
        <f t="shared" si="28"/>
        <v>51.5</v>
      </c>
      <c r="Y73" s="1088">
        <f>IF(H73&gt;B$10,0,IF(EPLUS!V$4=0,0,EPLUS!Z$4*EPLUS!AB$4/1000))</f>
        <v>0</v>
      </c>
      <c r="Z73" s="1088">
        <f t="shared" si="29"/>
        <v>442.29263749999996</v>
      </c>
      <c r="AA73" s="1088">
        <f t="shared" si="30"/>
        <v>570.40922649999993</v>
      </c>
      <c r="AB73" s="1088">
        <f t="shared" ref="AB73:AB90" si="40">AA73*18/100</f>
        <v>102.67366076999998</v>
      </c>
      <c r="AC73" s="1087">
        <f t="shared" si="31"/>
        <v>45.833168213543154</v>
      </c>
      <c r="AD73" s="1087">
        <f t="shared" si="32"/>
        <v>4751.4777594734369</v>
      </c>
      <c r="AE73" s="1088">
        <f>IF(EPLUS!V$4=1,S73+T73,T73)</f>
        <v>200000</v>
      </c>
      <c r="AF73" s="1089">
        <f t="shared" si="33"/>
        <v>69777.815800230004</v>
      </c>
      <c r="AG73" s="1075"/>
      <c r="AH73" s="1090">
        <f t="shared" si="34"/>
        <v>0</v>
      </c>
      <c r="AI73" s="1075"/>
      <c r="AJ73" s="1075"/>
      <c r="AK73" s="1075"/>
      <c r="AL73" s="1075" t="str">
        <f t="shared" si="35"/>
        <v/>
      </c>
      <c r="AM73" s="1075"/>
      <c r="AN73" s="1075"/>
      <c r="AO73" s="1075"/>
      <c r="AP73" s="1075"/>
      <c r="AQ73" s="1075"/>
      <c r="AR73" s="1075"/>
      <c r="AS73" s="1075"/>
      <c r="AT73" s="1075"/>
      <c r="AU73" s="1075"/>
      <c r="AV73" s="1075"/>
    </row>
    <row r="74" spans="1:48" ht="11.25" customHeight="1">
      <c r="A74" s="1075"/>
      <c r="B74" s="1075"/>
      <c r="C74" s="1075" t="s">
        <v>690</v>
      </c>
      <c r="D74" s="1075">
        <f>C11</f>
        <v>20000</v>
      </c>
      <c r="E74" s="1075"/>
      <c r="F74" s="1075"/>
      <c r="G74" s="1075"/>
      <c r="H74" s="1085">
        <v>4</v>
      </c>
      <c r="I74" s="1075"/>
      <c r="J74" s="1085">
        <f t="shared" si="18"/>
        <v>4</v>
      </c>
      <c r="K74" s="1086">
        <f t="shared" si="36"/>
        <v>13</v>
      </c>
      <c r="L74" s="1086">
        <f t="shared" si="37"/>
        <v>20000</v>
      </c>
      <c r="M74" s="1085">
        <f t="shared" si="19"/>
        <v>1000</v>
      </c>
      <c r="N74" s="1085">
        <f t="shared" si="20"/>
        <v>19000</v>
      </c>
      <c r="O74" s="1075">
        <f t="shared" si="38"/>
        <v>14.685497719337498</v>
      </c>
      <c r="P74" s="1087">
        <f t="shared" si="21"/>
        <v>1293.7933982980551</v>
      </c>
      <c r="Q74" s="1087">
        <f t="shared" si="39"/>
        <v>6091.1043259850348</v>
      </c>
      <c r="R74" s="1087">
        <f t="shared" si="22"/>
        <v>6037.2987187575127</v>
      </c>
      <c r="S74" s="1085">
        <f t="shared" si="23"/>
        <v>200000</v>
      </c>
      <c r="T74" s="1088">
        <f t="shared" si="24"/>
        <v>200000</v>
      </c>
      <c r="U74" s="1088">
        <f t="shared" si="25"/>
        <v>110549.1013125</v>
      </c>
      <c r="V74" s="1088">
        <f t="shared" si="26"/>
        <v>67.434951800625001</v>
      </c>
      <c r="W74" s="1075">
        <f t="shared" si="27"/>
        <v>0</v>
      </c>
      <c r="X74" s="1081">
        <f t="shared" si="28"/>
        <v>53.045000000000002</v>
      </c>
      <c r="Y74" s="1088">
        <f>IF(H74&gt;B$10,0,IF(EPLUS!V$4=0,0,EPLUS!Z$4*EPLUS!AB$4/1000))</f>
        <v>0</v>
      </c>
      <c r="Z74" s="1088">
        <f t="shared" si="29"/>
        <v>626.15629081249995</v>
      </c>
      <c r="AA74" s="1088">
        <f t="shared" si="30"/>
        <v>746.63624261312498</v>
      </c>
      <c r="AB74" s="1088">
        <f t="shared" si="40"/>
        <v>134.3945236703625</v>
      </c>
      <c r="AC74" s="1087">
        <f t="shared" si="31"/>
        <v>53.805607227521975</v>
      </c>
      <c r="AD74" s="1087">
        <f t="shared" si="32"/>
        <v>6037.2987187575127</v>
      </c>
      <c r="AE74" s="1088">
        <f>IF(EPLUS!V$4=1,S74+T74,T74)</f>
        <v>200000</v>
      </c>
      <c r="AF74" s="1089">
        <f t="shared" si="33"/>
        <v>98856.721270278998</v>
      </c>
      <c r="AG74" s="1075"/>
      <c r="AH74" s="1090">
        <f t="shared" si="34"/>
        <v>0</v>
      </c>
      <c r="AI74" s="1075"/>
      <c r="AJ74" s="1075"/>
      <c r="AK74" s="1075"/>
      <c r="AL74" s="1075" t="str">
        <f t="shared" si="35"/>
        <v/>
      </c>
      <c r="AM74" s="1075"/>
      <c r="AN74" s="1075"/>
      <c r="AO74" s="1075"/>
      <c r="AP74" s="1075"/>
      <c r="AQ74" s="1075"/>
      <c r="AR74" s="1075"/>
      <c r="AS74" s="1075"/>
      <c r="AT74" s="1075"/>
      <c r="AU74" s="1075"/>
      <c r="AV74" s="1075"/>
    </row>
    <row r="75" spans="1:48" ht="11.25" customHeight="1">
      <c r="A75" s="1075"/>
      <c r="B75" s="1075"/>
      <c r="C75" s="1075"/>
      <c r="D75" s="1075"/>
      <c r="E75" s="1075"/>
      <c r="F75" s="1075"/>
      <c r="G75" s="1075"/>
      <c r="H75" s="1085">
        <v>5</v>
      </c>
      <c r="I75" s="1075"/>
      <c r="J75" s="1085">
        <f t="shared" si="18"/>
        <v>5</v>
      </c>
      <c r="K75" s="1086">
        <f t="shared" si="36"/>
        <v>14</v>
      </c>
      <c r="L75" s="1086">
        <f t="shared" si="37"/>
        <v>20000</v>
      </c>
      <c r="M75" s="1085">
        <f t="shared" si="19"/>
        <v>1000</v>
      </c>
      <c r="N75" s="1085">
        <f t="shared" si="20"/>
        <v>19000</v>
      </c>
      <c r="O75" s="1075">
        <f t="shared" si="38"/>
        <v>16.37432995706131</v>
      </c>
      <c r="P75" s="1087">
        <f t="shared" si="21"/>
        <v>1160.3528235856998</v>
      </c>
      <c r="Q75" s="1087">
        <f t="shared" si="39"/>
        <v>7251.4571495707351</v>
      </c>
      <c r="R75" s="1087">
        <f t="shared" si="22"/>
        <v>7190.5826662209338</v>
      </c>
      <c r="S75" s="1085">
        <f t="shared" si="23"/>
        <v>200000</v>
      </c>
      <c r="T75" s="1088">
        <f t="shared" si="24"/>
        <v>200000</v>
      </c>
      <c r="U75" s="1088">
        <f t="shared" si="25"/>
        <v>81262.247963437505</v>
      </c>
      <c r="V75" s="1088">
        <f t="shared" si="26"/>
        <v>56.070951094771871</v>
      </c>
      <c r="W75" s="1075">
        <f t="shared" si="27"/>
        <v>0</v>
      </c>
      <c r="X75" s="1081">
        <f t="shared" si="28"/>
        <v>54.63635</v>
      </c>
      <c r="Y75" s="1088">
        <f>IF(H75&gt;B$10,0,IF(EPLUS!V$4=0,0,EPLUS!Z$4*EPLUS!AB$4/1000))</f>
        <v>0</v>
      </c>
      <c r="Z75" s="1088">
        <f t="shared" si="29"/>
        <v>831.1642642559375</v>
      </c>
      <c r="AA75" s="1088">
        <f t="shared" si="30"/>
        <v>941.87156535070937</v>
      </c>
      <c r="AB75" s="1088">
        <f t="shared" si="40"/>
        <v>169.53688176312767</v>
      </c>
      <c r="AC75" s="1087">
        <f t="shared" si="31"/>
        <v>60.874483349801217</v>
      </c>
      <c r="AD75" s="1087">
        <f t="shared" si="32"/>
        <v>7190.5826662209338</v>
      </c>
      <c r="AE75" s="1088">
        <f>IF(EPLUS!V$4=1,S75+T75,T75)</f>
        <v>200000</v>
      </c>
      <c r="AF75" s="1089">
        <f t="shared" si="33"/>
        <v>131281.18507365335</v>
      </c>
      <c r="AG75" s="1075"/>
      <c r="AH75" s="1090">
        <f t="shared" si="34"/>
        <v>0</v>
      </c>
      <c r="AI75" s="1075"/>
      <c r="AJ75" s="1075"/>
      <c r="AK75" s="1075"/>
      <c r="AL75" s="1075" t="str">
        <f t="shared" si="35"/>
        <v/>
      </c>
      <c r="AM75" s="1075"/>
      <c r="AN75" s="1075"/>
      <c r="AO75" s="1075"/>
      <c r="AP75" s="1075"/>
      <c r="AQ75" s="1075"/>
      <c r="AR75" s="1075"/>
      <c r="AS75" s="1075"/>
      <c r="AT75" s="1075"/>
      <c r="AU75" s="1075"/>
      <c r="AV75" s="1075"/>
    </row>
    <row r="76" spans="1:48" ht="11.25" customHeight="1">
      <c r="A76" s="1075"/>
      <c r="B76" s="1075"/>
      <c r="C76" s="1075"/>
      <c r="D76" s="1075" t="str">
        <f>EPLUS!P22</f>
        <v>NO</v>
      </c>
      <c r="E76" s="1075"/>
      <c r="F76" s="1075"/>
      <c r="G76" s="1075"/>
      <c r="H76" s="1085">
        <v>6</v>
      </c>
      <c r="I76" s="1075"/>
      <c r="J76" s="1085">
        <f t="shared" si="18"/>
        <v>6</v>
      </c>
      <c r="K76" s="1086">
        <f t="shared" si="36"/>
        <v>15</v>
      </c>
      <c r="L76" s="1086">
        <f t="shared" si="37"/>
        <v>20000</v>
      </c>
      <c r="M76" s="1085">
        <f t="shared" si="19"/>
        <v>600</v>
      </c>
      <c r="N76" s="1085">
        <f t="shared" si="20"/>
        <v>19400</v>
      </c>
      <c r="O76" s="1075">
        <f t="shared" si="38"/>
        <v>18.257377902123359</v>
      </c>
      <c r="P76" s="1087">
        <f t="shared" si="21"/>
        <v>1062.5841292217406</v>
      </c>
      <c r="Q76" s="1087">
        <f t="shared" si="39"/>
        <v>8314.0412787924761</v>
      </c>
      <c r="R76" s="1087">
        <f t="shared" si="22"/>
        <v>8247.2745523437825</v>
      </c>
      <c r="S76" s="1085">
        <f t="shared" si="23"/>
        <v>200000</v>
      </c>
      <c r="T76" s="1088">
        <f t="shared" si="24"/>
        <v>200000</v>
      </c>
      <c r="U76" s="1088">
        <f t="shared" si="25"/>
        <v>48207.406479232799</v>
      </c>
      <c r="V76" s="1088">
        <f t="shared" si="26"/>
        <v>37.119702989009255</v>
      </c>
      <c r="W76" s="1075">
        <f t="shared" si="27"/>
        <v>0</v>
      </c>
      <c r="X76" s="1075">
        <f t="shared" si="28"/>
        <v>52.17</v>
      </c>
      <c r="Y76" s="1088">
        <f>IF(H76&gt;B$10,0,IF(EPLUS!V$4=0,0,EPLUS!Z$4*EPLUS!AB$4/1000))</f>
        <v>0</v>
      </c>
      <c r="Z76" s="1088">
        <f t="shared" si="29"/>
        <v>1062.5481546453705</v>
      </c>
      <c r="AA76" s="1088">
        <f t="shared" si="30"/>
        <v>1151.8378576343798</v>
      </c>
      <c r="AB76" s="1088">
        <f t="shared" si="40"/>
        <v>207.33081437418838</v>
      </c>
      <c r="AC76" s="1087">
        <f t="shared" si="31"/>
        <v>66.766726448693731</v>
      </c>
      <c r="AD76" s="1087">
        <f t="shared" si="32"/>
        <v>8247.2745523437825</v>
      </c>
      <c r="AE76" s="1088">
        <f>IF(EPLUS!V$4=1,S76+T76,T76)</f>
        <v>200000</v>
      </c>
      <c r="AF76" s="1089">
        <f t="shared" si="33"/>
        <v>167889.57310364684</v>
      </c>
      <c r="AG76" s="1075"/>
      <c r="AH76" s="1090">
        <f t="shared" si="34"/>
        <v>0</v>
      </c>
      <c r="AI76" s="1075"/>
      <c r="AJ76" s="1075"/>
      <c r="AK76" s="1075"/>
      <c r="AL76" s="1075" t="str">
        <f t="shared" si="35"/>
        <v/>
      </c>
      <c r="AM76" s="1075"/>
      <c r="AN76" s="1075"/>
      <c r="AO76" s="1075"/>
      <c r="AP76" s="1075"/>
      <c r="AQ76" s="1075"/>
      <c r="AR76" s="1075"/>
      <c r="AS76" s="1075"/>
      <c r="AT76" s="1075"/>
      <c r="AU76" s="1075"/>
      <c r="AV76" s="1075"/>
    </row>
    <row r="77" spans="1:48" ht="11.25" customHeight="1">
      <c r="A77" s="1075"/>
      <c r="B77" s="1075"/>
      <c r="C77" s="1075"/>
      <c r="D77" s="1075">
        <f>IF(D76="YES",EPLUS!P23,0)</f>
        <v>0</v>
      </c>
      <c r="E77" s="1075"/>
      <c r="F77" s="1075"/>
      <c r="G77" s="1075"/>
      <c r="H77" s="1085">
        <v>7</v>
      </c>
      <c r="I77" s="1075"/>
      <c r="J77" s="1085">
        <f t="shared" si="18"/>
        <v>7</v>
      </c>
      <c r="K77" s="1086">
        <f t="shared" si="36"/>
        <v>16</v>
      </c>
      <c r="L77" s="1086">
        <f t="shared" si="37"/>
        <v>20000</v>
      </c>
      <c r="M77" s="1085">
        <f t="shared" si="19"/>
        <v>600</v>
      </c>
      <c r="N77" s="1085">
        <f t="shared" si="20"/>
        <v>19400</v>
      </c>
      <c r="O77" s="1075">
        <f t="shared" si="38"/>
        <v>20.356976360867545</v>
      </c>
      <c r="P77" s="1087">
        <f t="shared" si="21"/>
        <v>952.99025042308585</v>
      </c>
      <c r="Q77" s="1087">
        <f t="shared" si="39"/>
        <v>9267.031529215561</v>
      </c>
      <c r="R77" s="1087">
        <f t="shared" si="22"/>
        <v>9195.0855746661091</v>
      </c>
      <c r="S77" s="1085">
        <f t="shared" si="23"/>
        <v>200000</v>
      </c>
      <c r="T77" s="1088">
        <f t="shared" si="24"/>
        <v>208710.31574278983</v>
      </c>
      <c r="U77" s="1088">
        <f t="shared" si="25"/>
        <v>11351.258224344609</v>
      </c>
      <c r="V77" s="1088">
        <f t="shared" si="26"/>
        <v>9.6485694906929158</v>
      </c>
      <c r="W77" s="1075">
        <f t="shared" si="27"/>
        <v>0</v>
      </c>
      <c r="X77" s="1081">
        <f t="shared" si="28"/>
        <v>53.735100000000003</v>
      </c>
      <c r="Y77" s="1088">
        <f>IF(H77&gt;B$10,0,IF(EPLUS!V$4=0,0,EPLUS!Z$4*EPLUS!AB$4/1000))</f>
        <v>0</v>
      </c>
      <c r="Z77" s="1088">
        <f t="shared" si="29"/>
        <v>1320.5411924295875</v>
      </c>
      <c r="AA77" s="1088">
        <f t="shared" si="30"/>
        <v>1383.9248619202804</v>
      </c>
      <c r="AB77" s="1088">
        <f t="shared" si="40"/>
        <v>249.10647514565048</v>
      </c>
      <c r="AC77" s="1087">
        <f t="shared" si="31"/>
        <v>71.945954549452551</v>
      </c>
      <c r="AD77" s="1087">
        <f t="shared" si="32"/>
        <v>9195.0855746661091</v>
      </c>
      <c r="AE77" s="1088">
        <f>IF(EPLUS!V$4=1,S77+T77,T77)</f>
        <v>208710.31574278983</v>
      </c>
      <c r="AF77" s="1089">
        <f t="shared" si="33"/>
        <v>208710.31574278983</v>
      </c>
      <c r="AG77" s="1075"/>
      <c r="AH77" s="1090">
        <f t="shared" si="34"/>
        <v>0</v>
      </c>
      <c r="AI77" s="1075"/>
      <c r="AJ77" s="1075"/>
      <c r="AK77" s="1075"/>
      <c r="AL77" s="1075" t="str">
        <f t="shared" si="35"/>
        <v/>
      </c>
      <c r="AM77" s="1075"/>
      <c r="AN77" s="1075"/>
      <c r="AO77" s="1075"/>
      <c r="AP77" s="1075"/>
      <c r="AQ77" s="1075"/>
      <c r="AR77" s="1075"/>
      <c r="AS77" s="1075"/>
      <c r="AT77" s="1075"/>
      <c r="AU77" s="1075"/>
      <c r="AV77" s="1075"/>
    </row>
    <row r="78" spans="1:48" ht="11.25" customHeight="1">
      <c r="A78" s="1075"/>
      <c r="B78" s="1075"/>
      <c r="C78" s="1075"/>
      <c r="D78" s="1075">
        <f>EPLUS!L23</f>
        <v>0</v>
      </c>
      <c r="E78" s="1075"/>
      <c r="F78" s="1075"/>
      <c r="G78" s="1075"/>
      <c r="H78" s="1085">
        <v>8</v>
      </c>
      <c r="I78" s="1075"/>
      <c r="J78" s="1085">
        <f t="shared" si="18"/>
        <v>8</v>
      </c>
      <c r="K78" s="1086">
        <f t="shared" si="36"/>
        <v>17</v>
      </c>
      <c r="L78" s="1086">
        <f t="shared" si="37"/>
        <v>20000</v>
      </c>
      <c r="M78" s="1085">
        <f t="shared" si="19"/>
        <v>600</v>
      </c>
      <c r="N78" s="1085">
        <f t="shared" si="20"/>
        <v>19400</v>
      </c>
      <c r="O78" s="1075">
        <f t="shared" si="38"/>
        <v>22.698028642367312</v>
      </c>
      <c r="P78" s="1087">
        <f t="shared" si="21"/>
        <v>854.6997761642026</v>
      </c>
      <c r="Q78" s="1087">
        <f t="shared" si="39"/>
        <v>10121.731305379764</v>
      </c>
      <c r="R78" s="1087">
        <f t="shared" si="22"/>
        <v>10044.168231714646</v>
      </c>
      <c r="S78" s="1085">
        <f t="shared" si="23"/>
        <v>200000</v>
      </c>
      <c r="T78" s="1088">
        <f t="shared" si="24"/>
        <v>254200.8423066196</v>
      </c>
      <c r="U78" s="1088">
        <f t="shared" si="25"/>
        <v>0</v>
      </c>
      <c r="V78" s="1088">
        <f t="shared" si="26"/>
        <v>0</v>
      </c>
      <c r="W78" s="1075">
        <f t="shared" si="27"/>
        <v>0</v>
      </c>
      <c r="X78" s="1081">
        <f t="shared" si="28"/>
        <v>55.347153000000006</v>
      </c>
      <c r="Y78" s="1088">
        <f>IF(H78&gt;B$10,0,IF(EPLUS!V$4=0,0,EPLUS!Z$4*EPLUS!AB$4/1000))</f>
        <v>0</v>
      </c>
      <c r="Z78" s="1088">
        <f t="shared" si="29"/>
        <v>1608.2034295589901</v>
      </c>
      <c r="AA78" s="1088">
        <f t="shared" si="30"/>
        <v>1663.5505825589901</v>
      </c>
      <c r="AB78" s="1088">
        <f t="shared" si="40"/>
        <v>299.43910486061822</v>
      </c>
      <c r="AC78" s="1087">
        <f t="shared" si="31"/>
        <v>77.563073665118438</v>
      </c>
      <c r="AD78" s="1087">
        <f t="shared" si="32"/>
        <v>10044.168231714646</v>
      </c>
      <c r="AE78" s="1088">
        <f>IF(EPLUS!V$4=1,S78+T78,T78)</f>
        <v>254200.8423066196</v>
      </c>
      <c r="AF78" s="1089">
        <f t="shared" si="33"/>
        <v>254200.8423066196</v>
      </c>
      <c r="AG78" s="1075"/>
      <c r="AH78" s="1090">
        <f t="shared" si="34"/>
        <v>0</v>
      </c>
      <c r="AI78" s="1075"/>
      <c r="AJ78" s="1075"/>
      <c r="AK78" s="1075"/>
      <c r="AL78" s="1075" t="str">
        <f t="shared" si="35"/>
        <v/>
      </c>
      <c r="AM78" s="1075"/>
      <c r="AN78" s="1075"/>
      <c r="AO78" s="1075"/>
      <c r="AP78" s="1075"/>
      <c r="AQ78" s="1075"/>
      <c r="AR78" s="1075"/>
      <c r="AS78" s="1075"/>
      <c r="AT78" s="1075"/>
      <c r="AU78" s="1075"/>
      <c r="AV78" s="1075"/>
    </row>
    <row r="79" spans="1:48" ht="11.25" customHeight="1">
      <c r="A79" s="1075"/>
      <c r="B79" s="1075"/>
      <c r="C79" s="1075"/>
      <c r="D79" s="1075"/>
      <c r="E79" s="1075"/>
      <c r="F79" s="1075"/>
      <c r="G79" s="1075"/>
      <c r="H79" s="1085">
        <v>9</v>
      </c>
      <c r="I79" s="1075"/>
      <c r="J79" s="1085">
        <f t="shared" si="18"/>
        <v>9</v>
      </c>
      <c r="K79" s="1086">
        <f t="shared" si="36"/>
        <v>18</v>
      </c>
      <c r="L79" s="1086">
        <f t="shared" si="37"/>
        <v>20000</v>
      </c>
      <c r="M79" s="1085">
        <f t="shared" si="19"/>
        <v>600</v>
      </c>
      <c r="N79" s="1085">
        <f t="shared" si="20"/>
        <v>19400</v>
      </c>
      <c r="O79" s="1075">
        <f t="shared" si="38"/>
        <v>25.308301936239555</v>
      </c>
      <c r="P79" s="1087">
        <f t="shared" si="21"/>
        <v>766.54688445219949</v>
      </c>
      <c r="Q79" s="1087">
        <f t="shared" si="39"/>
        <v>10888.278189831964</v>
      </c>
      <c r="R79" s="1087">
        <f t="shared" si="22"/>
        <v>10805.23320630016</v>
      </c>
      <c r="S79" s="1085">
        <f t="shared" si="23"/>
        <v>200000</v>
      </c>
      <c r="T79" s="1088">
        <f t="shared" si="24"/>
        <v>304910.24649132678</v>
      </c>
      <c r="U79" s="1088">
        <f t="shared" si="25"/>
        <v>0</v>
      </c>
      <c r="V79" s="1088">
        <f t="shared" si="26"/>
        <v>0</v>
      </c>
      <c r="W79" s="1075">
        <f t="shared" si="27"/>
        <v>0</v>
      </c>
      <c r="X79" s="1081">
        <f t="shared" si="28"/>
        <v>57.007567590000008</v>
      </c>
      <c r="Y79" s="1088">
        <f>IF(H79&gt;B$10,0,IF(EPLUS!V$4=0,0,EPLUS!Z$4*EPLUS!AB$4/1000))</f>
        <v>0</v>
      </c>
      <c r="Z79" s="1088">
        <f t="shared" si="29"/>
        <v>1928.9468239582745</v>
      </c>
      <c r="AA79" s="1088">
        <f t="shared" si="30"/>
        <v>1985.9543915482745</v>
      </c>
      <c r="AB79" s="1088">
        <f t="shared" si="40"/>
        <v>357.47179047868946</v>
      </c>
      <c r="AC79" s="1087">
        <f t="shared" si="31"/>
        <v>83.044983531805386</v>
      </c>
      <c r="AD79" s="1087">
        <f t="shared" si="32"/>
        <v>10805.23320630016</v>
      </c>
      <c r="AE79" s="1088">
        <f>IF(EPLUS!V$4=1,S79+T79,T79)</f>
        <v>304910.24649132678</v>
      </c>
      <c r="AF79" s="1089">
        <f t="shared" si="33"/>
        <v>304910.24649132678</v>
      </c>
      <c r="AG79" s="1075"/>
      <c r="AH79" s="1090">
        <f t="shared" si="34"/>
        <v>0</v>
      </c>
      <c r="AI79" s="1075"/>
      <c r="AJ79" s="1075"/>
      <c r="AK79" s="1075"/>
      <c r="AL79" s="1075" t="str">
        <f t="shared" si="35"/>
        <v/>
      </c>
      <c r="AM79" s="1075"/>
      <c r="AN79" s="1075"/>
      <c r="AO79" s="1075"/>
      <c r="AP79" s="1075"/>
      <c r="AQ79" s="1075"/>
      <c r="AR79" s="1075"/>
      <c r="AS79" s="1075"/>
      <c r="AT79" s="1075"/>
      <c r="AU79" s="1075"/>
      <c r="AV79" s="1075"/>
    </row>
    <row r="80" spans="1:48" ht="11.25" customHeight="1">
      <c r="A80" s="1075"/>
      <c r="B80" s="1075"/>
      <c r="C80" s="1075"/>
      <c r="D80" s="1075"/>
      <c r="E80" s="1075"/>
      <c r="F80" s="1075"/>
      <c r="G80" s="1075"/>
      <c r="H80" s="1085">
        <v>10</v>
      </c>
      <c r="I80" s="1075"/>
      <c r="J80" s="1085">
        <f t="shared" si="18"/>
        <v>10</v>
      </c>
      <c r="K80" s="1086">
        <f t="shared" si="36"/>
        <v>19</v>
      </c>
      <c r="L80" s="1086">
        <f t="shared" si="37"/>
        <v>20000</v>
      </c>
      <c r="M80" s="1085">
        <f t="shared" si="19"/>
        <v>600</v>
      </c>
      <c r="N80" s="1085">
        <f t="shared" si="20"/>
        <v>19400</v>
      </c>
      <c r="O80" s="1075">
        <f t="shared" si="38"/>
        <v>28.218756658907104</v>
      </c>
      <c r="P80" s="1087">
        <f t="shared" si="21"/>
        <v>687.48599502439424</v>
      </c>
      <c r="Q80" s="1087">
        <f t="shared" si="39"/>
        <v>11575.764184856358</v>
      </c>
      <c r="R80" s="1087">
        <f t="shared" si="22"/>
        <v>11487.807983267943</v>
      </c>
      <c r="S80" s="1085">
        <f t="shared" si="23"/>
        <v>200000</v>
      </c>
      <c r="T80" s="1088">
        <f t="shared" si="24"/>
        <v>361451.39869685867</v>
      </c>
      <c r="U80" s="1088">
        <f t="shared" si="25"/>
        <v>0</v>
      </c>
      <c r="V80" s="1088">
        <f t="shared" si="26"/>
        <v>0</v>
      </c>
      <c r="W80" s="1075">
        <f t="shared" si="27"/>
        <v>0</v>
      </c>
      <c r="X80" s="1081">
        <f t="shared" si="28"/>
        <v>58.717794617700008</v>
      </c>
      <c r="Y80" s="1088">
        <f>IF(H80&gt;B$10,0,IF(EPLUS!V$4=0,0,EPLUS!Z$4*EPLUS!AB$4/1000))</f>
        <v>0</v>
      </c>
      <c r="Z80" s="1088">
        <f t="shared" si="29"/>
        <v>2286.5757087134757</v>
      </c>
      <c r="AA80" s="1088">
        <f t="shared" si="30"/>
        <v>2345.2935033311755</v>
      </c>
      <c r="AB80" s="1088">
        <f t="shared" si="40"/>
        <v>422.1528305996116</v>
      </c>
      <c r="AC80" s="1087">
        <f t="shared" si="31"/>
        <v>87.956201588415652</v>
      </c>
      <c r="AD80" s="1087">
        <f t="shared" si="32"/>
        <v>11487.807983267943</v>
      </c>
      <c r="AE80" s="1088">
        <f>IF(EPLUS!V$4=1,S80+T80,T80)</f>
        <v>361451.39869685867</v>
      </c>
      <c r="AF80" s="1089">
        <f t="shared" si="33"/>
        <v>361451.39869685867</v>
      </c>
      <c r="AG80" s="1075"/>
      <c r="AH80" s="1090">
        <f t="shared" si="34"/>
        <v>0</v>
      </c>
      <c r="AI80" s="1075"/>
      <c r="AJ80" s="1075"/>
      <c r="AK80" s="1075"/>
      <c r="AL80" s="1075" t="str">
        <f t="shared" si="35"/>
        <v/>
      </c>
      <c r="AM80" s="1075"/>
      <c r="AN80" s="1075"/>
      <c r="AO80" s="1075"/>
      <c r="AP80" s="1075"/>
      <c r="AQ80" s="1075"/>
      <c r="AR80" s="1075"/>
      <c r="AS80" s="1075"/>
      <c r="AT80" s="1075"/>
      <c r="AU80" s="1075"/>
      <c r="AV80" s="1075"/>
    </row>
    <row r="81" spans="1:48" ht="11.25" customHeight="1">
      <c r="A81" s="1075"/>
      <c r="B81" s="1075"/>
      <c r="C81" s="1075"/>
      <c r="D81" s="1075"/>
      <c r="E81" s="1075"/>
      <c r="F81" s="1075"/>
      <c r="G81" s="1075"/>
      <c r="H81" s="1085">
        <v>11</v>
      </c>
      <c r="I81" s="1075"/>
      <c r="J81" s="1085">
        <f t="shared" si="18"/>
        <v>11</v>
      </c>
      <c r="K81" s="1086">
        <f t="shared" si="36"/>
        <v>20</v>
      </c>
      <c r="L81" s="1086">
        <f t="shared" si="37"/>
        <v>20000</v>
      </c>
      <c r="M81" s="1085">
        <f t="shared" si="19"/>
        <v>600</v>
      </c>
      <c r="N81" s="1085">
        <f t="shared" si="20"/>
        <v>19400</v>
      </c>
      <c r="O81" s="1075">
        <f t="shared" si="38"/>
        <v>31.463913674681422</v>
      </c>
      <c r="P81" s="1087">
        <f t="shared" si="21"/>
        <v>616.57936773488268</v>
      </c>
      <c r="Q81" s="1087">
        <f t="shared" si="39"/>
        <v>12192.343552591241</v>
      </c>
      <c r="R81" s="1087">
        <f t="shared" si="22"/>
        <v>12099.987560661135</v>
      </c>
      <c r="S81" s="1085">
        <f t="shared" si="23"/>
        <v>200000</v>
      </c>
      <c r="T81" s="1088">
        <f t="shared" si="24"/>
        <v>424494.95494179748</v>
      </c>
      <c r="U81" s="1088">
        <f t="shared" si="25"/>
        <v>0</v>
      </c>
      <c r="V81" s="1088">
        <f t="shared" si="26"/>
        <v>0</v>
      </c>
      <c r="W81" s="1075">
        <f t="shared" si="27"/>
        <v>0</v>
      </c>
      <c r="X81" s="1081">
        <f t="shared" si="28"/>
        <v>60.479328456231009</v>
      </c>
      <c r="Y81" s="1088">
        <f>IF(H81&gt;B$10,0,IF(EPLUS!V$4=0,0,EPLUS!Z$4*EPLUS!AB$4/1000))</f>
        <v>0</v>
      </c>
      <c r="Z81" s="1088">
        <f t="shared" si="29"/>
        <v>2685.3319152155254</v>
      </c>
      <c r="AA81" s="1088">
        <f t="shared" si="30"/>
        <v>2745.8112436717565</v>
      </c>
      <c r="AB81" s="1088">
        <f t="shared" si="40"/>
        <v>494.24602386091618</v>
      </c>
      <c r="AC81" s="1087">
        <f t="shared" si="31"/>
        <v>92.355991930105262</v>
      </c>
      <c r="AD81" s="1087">
        <f t="shared" si="32"/>
        <v>12099.987560661135</v>
      </c>
      <c r="AE81" s="1088">
        <f>IF(EPLUS!V$4=1,S81+T81,T81)</f>
        <v>424494.95494179748</v>
      </c>
      <c r="AF81" s="1089">
        <f t="shared" si="33"/>
        <v>424494.95494179748</v>
      </c>
      <c r="AG81" s="1075"/>
      <c r="AH81" s="1090">
        <f t="shared" si="34"/>
        <v>0</v>
      </c>
      <c r="AI81" s="1075"/>
      <c r="AJ81" s="1075"/>
      <c r="AK81" s="1075"/>
      <c r="AL81" s="1075" t="str">
        <f t="shared" si="35"/>
        <v/>
      </c>
      <c r="AM81" s="1075"/>
      <c r="AN81" s="1075"/>
      <c r="AO81" s="1075"/>
      <c r="AP81" s="1075"/>
      <c r="AQ81" s="1075"/>
      <c r="AR81" s="1075"/>
      <c r="AS81" s="1075"/>
      <c r="AT81" s="1075"/>
      <c r="AU81" s="1075"/>
      <c r="AV81" s="1075"/>
    </row>
    <row r="82" spans="1:48" ht="11.25" customHeight="1">
      <c r="A82" s="1075"/>
      <c r="B82" s="1075"/>
      <c r="C82" s="1075"/>
      <c r="D82" s="1075"/>
      <c r="E82" s="1075"/>
      <c r="F82" s="1075"/>
      <c r="G82" s="1075"/>
      <c r="H82" s="1085">
        <v>12</v>
      </c>
      <c r="I82" s="1075"/>
      <c r="J82" s="1085">
        <f t="shared" si="18"/>
        <v>12</v>
      </c>
      <c r="K82" s="1086">
        <f t="shared" si="36"/>
        <v>21</v>
      </c>
      <c r="L82" s="1086">
        <f t="shared" si="37"/>
        <v>20000</v>
      </c>
      <c r="M82" s="1085">
        <f t="shared" si="19"/>
        <v>600</v>
      </c>
      <c r="N82" s="1085">
        <f t="shared" si="20"/>
        <v>19400</v>
      </c>
      <c r="O82" s="1075">
        <f t="shared" si="38"/>
        <v>35.082263747269785</v>
      </c>
      <c r="P82" s="1087">
        <f t="shared" si="21"/>
        <v>552.98598003128495</v>
      </c>
      <c r="Q82" s="1087">
        <f t="shared" si="39"/>
        <v>12745.329532622525</v>
      </c>
      <c r="R82" s="1087">
        <f t="shared" si="22"/>
        <v>12649.032057171264</v>
      </c>
      <c r="S82" s="1085">
        <f t="shared" si="23"/>
        <v>200000</v>
      </c>
      <c r="T82" s="1088">
        <f t="shared" si="24"/>
        <v>494788.69683674839</v>
      </c>
      <c r="U82" s="1088">
        <f t="shared" si="25"/>
        <v>0</v>
      </c>
      <c r="V82" s="1088">
        <f t="shared" si="26"/>
        <v>0</v>
      </c>
      <c r="W82" s="1075">
        <f t="shared" si="27"/>
        <v>0</v>
      </c>
      <c r="X82" s="1081">
        <f t="shared" si="28"/>
        <v>62.293708309917939</v>
      </c>
      <c r="Y82" s="1088">
        <f>IF(H82&gt;B$10,0,IF(EPLUS!V$4=0,0,EPLUS!Z$4*EPLUS!AB$4/1000))</f>
        <v>0</v>
      </c>
      <c r="Z82" s="1088">
        <f t="shared" si="29"/>
        <v>3129.945085465311</v>
      </c>
      <c r="AA82" s="1088">
        <f t="shared" si="30"/>
        <v>3192.2387937752287</v>
      </c>
      <c r="AB82" s="1088">
        <f t="shared" si="40"/>
        <v>574.60298287954117</v>
      </c>
      <c r="AC82" s="1087">
        <f t="shared" si="31"/>
        <v>96.297475451260894</v>
      </c>
      <c r="AD82" s="1087">
        <f t="shared" si="32"/>
        <v>12649.032057171264</v>
      </c>
      <c r="AE82" s="1088">
        <f>IF(EPLUS!V$4=1,S82+T82,T82)</f>
        <v>494788.69683674839</v>
      </c>
      <c r="AF82" s="1089">
        <f t="shared" si="33"/>
        <v>494788.69683674839</v>
      </c>
      <c r="AG82" s="1075"/>
      <c r="AH82" s="1090">
        <f t="shared" si="34"/>
        <v>0</v>
      </c>
      <c r="AI82" s="1075"/>
      <c r="AJ82" s="1075"/>
      <c r="AK82" s="1075"/>
      <c r="AL82" s="1075" t="str">
        <f t="shared" si="35"/>
        <v/>
      </c>
      <c r="AM82" s="1075"/>
      <c r="AN82" s="1075"/>
      <c r="AO82" s="1075"/>
      <c r="AP82" s="1075"/>
      <c r="AQ82" s="1075"/>
      <c r="AR82" s="1075"/>
      <c r="AS82" s="1075"/>
      <c r="AT82" s="1075"/>
      <c r="AU82" s="1075"/>
      <c r="AV82" s="1075"/>
    </row>
    <row r="83" spans="1:48" ht="11.25" customHeight="1">
      <c r="A83" s="1075"/>
      <c r="B83" s="1075"/>
      <c r="C83" s="1075"/>
      <c r="D83" s="1075"/>
      <c r="E83" s="1075"/>
      <c r="F83" s="1075"/>
      <c r="G83" s="1075"/>
      <c r="H83" s="1085">
        <v>13</v>
      </c>
      <c r="I83" s="1075"/>
      <c r="J83" s="1085">
        <f t="shared" si="18"/>
        <v>13</v>
      </c>
      <c r="K83" s="1086">
        <f t="shared" si="36"/>
        <v>22</v>
      </c>
      <c r="L83" s="1086">
        <f t="shared" si="37"/>
        <v>20000</v>
      </c>
      <c r="M83" s="1085">
        <f t="shared" si="19"/>
        <v>600</v>
      </c>
      <c r="N83" s="1085">
        <f t="shared" si="20"/>
        <v>19400</v>
      </c>
      <c r="O83" s="1075">
        <f t="shared" si="38"/>
        <v>39.116724078205813</v>
      </c>
      <c r="P83" s="1087">
        <f t="shared" si="21"/>
        <v>495.9515515975649</v>
      </c>
      <c r="Q83" s="1087">
        <f t="shared" si="39"/>
        <v>13241.281084220091</v>
      </c>
      <c r="R83" s="1087">
        <f t="shared" si="22"/>
        <v>13141.452818425956</v>
      </c>
      <c r="S83" s="1085">
        <f t="shared" si="23"/>
        <v>200000</v>
      </c>
      <c r="T83" s="1088">
        <f t="shared" si="24"/>
        <v>573166.40103191801</v>
      </c>
      <c r="U83" s="1088">
        <f t="shared" si="25"/>
        <v>0</v>
      </c>
      <c r="V83" s="1088">
        <f t="shared" si="26"/>
        <v>0</v>
      </c>
      <c r="W83" s="1075">
        <f t="shared" si="27"/>
        <v>0</v>
      </c>
      <c r="X83" s="1081">
        <f t="shared" si="28"/>
        <v>64.162519559215482</v>
      </c>
      <c r="Y83" s="1088">
        <f>IF(H83&gt;B$10,0,IF(EPLUS!V$4=0,0,EPLUS!Z$4*EPLUS!AB$4/1000))</f>
        <v>0</v>
      </c>
      <c r="Z83" s="1088">
        <f t="shared" si="29"/>
        <v>3625.688770293822</v>
      </c>
      <c r="AA83" s="1088">
        <f t="shared" si="30"/>
        <v>3689.8512898530375</v>
      </c>
      <c r="AB83" s="1088">
        <f t="shared" si="40"/>
        <v>664.17323217354669</v>
      </c>
      <c r="AC83" s="1087">
        <f t="shared" si="31"/>
        <v>99.828265794134822</v>
      </c>
      <c r="AD83" s="1087">
        <f t="shared" si="32"/>
        <v>13141.452818425956</v>
      </c>
      <c r="AE83" s="1088">
        <f>IF(EPLUS!V$4=1,S83+T83,T83)</f>
        <v>573166.40103191801</v>
      </c>
      <c r="AF83" s="1089">
        <f t="shared" si="33"/>
        <v>573166.40103191801</v>
      </c>
      <c r="AG83" s="1075"/>
      <c r="AH83" s="1090">
        <f t="shared" si="34"/>
        <v>0</v>
      </c>
      <c r="AI83" s="1075"/>
      <c r="AJ83" s="1075"/>
      <c r="AK83" s="1075"/>
      <c r="AL83" s="1075" t="str">
        <f t="shared" si="35"/>
        <v/>
      </c>
      <c r="AM83" s="1075"/>
      <c r="AN83" s="1075"/>
      <c r="AO83" s="1075"/>
      <c r="AP83" s="1075"/>
      <c r="AQ83" s="1075"/>
      <c r="AR83" s="1075"/>
      <c r="AS83" s="1075"/>
      <c r="AT83" s="1075"/>
      <c r="AU83" s="1075"/>
      <c r="AV83" s="1075"/>
    </row>
    <row r="84" spans="1:48" ht="11.25" customHeight="1">
      <c r="A84" s="1075" t="s">
        <v>689</v>
      </c>
      <c r="B84" s="1075" t="str">
        <f>'Print EPLUS'!E26</f>
        <v>Premium</v>
      </c>
      <c r="C84" s="1075" t="s">
        <v>688</v>
      </c>
      <c r="D84" s="1075"/>
      <c r="E84" s="1075"/>
      <c r="F84" s="1075"/>
      <c r="G84" s="1075"/>
      <c r="H84" s="1085">
        <v>14</v>
      </c>
      <c r="I84" s="1075"/>
      <c r="J84" s="1085">
        <f t="shared" si="18"/>
        <v>14</v>
      </c>
      <c r="K84" s="1086">
        <f t="shared" si="36"/>
        <v>23</v>
      </c>
      <c r="L84" s="1086">
        <f t="shared" si="37"/>
        <v>20000</v>
      </c>
      <c r="M84" s="1085">
        <f t="shared" si="19"/>
        <v>600</v>
      </c>
      <c r="N84" s="1085">
        <f t="shared" si="20"/>
        <v>19400</v>
      </c>
      <c r="O84" s="1075">
        <f t="shared" si="38"/>
        <v>43.615147347199482</v>
      </c>
      <c r="P84" s="1087">
        <f t="shared" si="21"/>
        <v>444.79959784534969</v>
      </c>
      <c r="Q84" s="1087">
        <f t="shared" si="39"/>
        <v>13686.08068206544</v>
      </c>
      <c r="R84" s="1087">
        <f t="shared" si="22"/>
        <v>13583.08964253784</v>
      </c>
      <c r="S84" s="1085">
        <f t="shared" si="23"/>
        <v>200000</v>
      </c>
      <c r="T84" s="1088">
        <f t="shared" si="24"/>
        <v>660557.72865130031</v>
      </c>
      <c r="U84" s="1088">
        <f t="shared" si="25"/>
        <v>0</v>
      </c>
      <c r="V84" s="1088">
        <f t="shared" si="26"/>
        <v>0</v>
      </c>
      <c r="W84" s="1075">
        <f t="shared" si="27"/>
        <v>0</v>
      </c>
      <c r="X84" s="1081">
        <f t="shared" si="28"/>
        <v>66.087395145991948</v>
      </c>
      <c r="Y84" s="1088">
        <f>IF(H84&gt;B$10,0,IF(EPLUS!V$4=0,0,EPLUS!Z$4*EPLUS!AB$4/1000))</f>
        <v>0</v>
      </c>
      <c r="Z84" s="1088">
        <f t="shared" si="29"/>
        <v>4178.4429788776115</v>
      </c>
      <c r="AA84" s="1088">
        <f t="shared" si="30"/>
        <v>4244.5303740236031</v>
      </c>
      <c r="AB84" s="1088">
        <f t="shared" si="40"/>
        <v>764.01546732424856</v>
      </c>
      <c r="AC84" s="1087">
        <f t="shared" si="31"/>
        <v>102.99103952760035</v>
      </c>
      <c r="AD84" s="1087">
        <f t="shared" si="32"/>
        <v>13583.08964253784</v>
      </c>
      <c r="AE84" s="1088">
        <f>IF(EPLUS!V$4=1,S84+T84,T84)</f>
        <v>660557.72865130031</v>
      </c>
      <c r="AF84" s="1089">
        <f t="shared" si="33"/>
        <v>660557.72865130031</v>
      </c>
      <c r="AG84" s="1075"/>
      <c r="AH84" s="1090">
        <f t="shared" si="34"/>
        <v>0</v>
      </c>
      <c r="AI84" s="1075"/>
      <c r="AJ84" s="1075"/>
      <c r="AK84" s="1075"/>
      <c r="AL84" s="1075" t="str">
        <f t="shared" si="35"/>
        <v/>
      </c>
      <c r="AM84" s="1075"/>
      <c r="AN84" s="1075"/>
      <c r="AO84" s="1075"/>
      <c r="AP84" s="1075"/>
      <c r="AQ84" s="1075"/>
      <c r="AR84" s="1075"/>
      <c r="AS84" s="1075"/>
      <c r="AT84" s="1075"/>
      <c r="AU84" s="1075"/>
      <c r="AV84" s="1075"/>
    </row>
    <row r="85" spans="1:48" ht="11.25" customHeight="1">
      <c r="A85" s="1075">
        <v>1</v>
      </c>
      <c r="B85" s="1075">
        <f>IF(A85&gt;B$10,0,'Print EPLUS'!E28)</f>
        <v>20000</v>
      </c>
      <c r="C85" s="1081">
        <f t="shared" ref="C85:C104" si="41">AF71</f>
        <v>20274.296499999997</v>
      </c>
      <c r="D85" s="1075"/>
      <c r="E85" s="1075"/>
      <c r="F85" s="1075"/>
      <c r="G85" s="1075"/>
      <c r="H85" s="1085">
        <v>15</v>
      </c>
      <c r="I85" s="1075"/>
      <c r="J85" s="1085">
        <f t="shared" si="18"/>
        <v>15</v>
      </c>
      <c r="K85" s="1086">
        <f t="shared" si="36"/>
        <v>24</v>
      </c>
      <c r="L85" s="1086">
        <f t="shared" si="37"/>
        <v>20000</v>
      </c>
      <c r="M85" s="1085">
        <f t="shared" si="19"/>
        <v>600</v>
      </c>
      <c r="N85" s="1085">
        <f t="shared" si="20"/>
        <v>19400</v>
      </c>
      <c r="O85" s="1075">
        <f t="shared" si="38"/>
        <v>48.630889292127421</v>
      </c>
      <c r="P85" s="1087">
        <f t="shared" si="21"/>
        <v>398.92340613932708</v>
      </c>
      <c r="Q85" s="1087">
        <f t="shared" si="39"/>
        <v>14085.004088204767</v>
      </c>
      <c r="R85" s="1087">
        <f t="shared" si="22"/>
        <v>13979.18004085167</v>
      </c>
      <c r="S85" s="1085">
        <f t="shared" si="23"/>
        <v>200000</v>
      </c>
      <c r="T85" s="1088">
        <f t="shared" si="24"/>
        <v>757999.25201193301</v>
      </c>
      <c r="U85" s="1088">
        <f t="shared" si="25"/>
        <v>0</v>
      </c>
      <c r="V85" s="1088">
        <f t="shared" si="26"/>
        <v>0</v>
      </c>
      <c r="W85" s="1075">
        <f t="shared" si="27"/>
        <v>0</v>
      </c>
      <c r="X85" s="1081">
        <f t="shared" si="28"/>
        <v>68.070017000371706</v>
      </c>
      <c r="Y85" s="1088">
        <f>IF(H85&gt;B$10,0,IF(EPLUS!V$4=0,0,EPLUS!Z$4*EPLUS!AB$4/1000))</f>
        <v>0</v>
      </c>
      <c r="Z85" s="1088">
        <f t="shared" si="29"/>
        <v>4794.7639214485371</v>
      </c>
      <c r="AA85" s="1088">
        <f t="shared" si="30"/>
        <v>4862.8339384489091</v>
      </c>
      <c r="AB85" s="1088">
        <f t="shared" si="40"/>
        <v>875.3101089208036</v>
      </c>
      <c r="AC85" s="1087">
        <f t="shared" si="31"/>
        <v>105.82404735309647</v>
      </c>
      <c r="AD85" s="1087">
        <f t="shared" si="32"/>
        <v>13979.18004085167</v>
      </c>
      <c r="AE85" s="1088">
        <f>IF(EPLUS!V$4=1,S85+T85,T85)</f>
        <v>757999.25201193301</v>
      </c>
      <c r="AF85" s="1089">
        <f t="shared" si="33"/>
        <v>757999.25201193301</v>
      </c>
      <c r="AG85" s="1075"/>
      <c r="AH85" s="1090">
        <f t="shared" si="34"/>
        <v>0</v>
      </c>
      <c r="AI85" s="1075"/>
      <c r="AJ85" s="1075"/>
      <c r="AK85" s="1075"/>
      <c r="AL85" s="1075" t="str">
        <f t="shared" si="35"/>
        <v/>
      </c>
      <c r="AM85" s="1075"/>
      <c r="AN85" s="1075"/>
      <c r="AO85" s="1075"/>
      <c r="AP85" s="1075"/>
      <c r="AQ85" s="1075"/>
      <c r="AR85" s="1075"/>
      <c r="AS85" s="1075"/>
      <c r="AT85" s="1075"/>
      <c r="AU85" s="1075"/>
      <c r="AV85" s="1075"/>
    </row>
    <row r="86" spans="1:48" ht="11.25" customHeight="1">
      <c r="A86" s="1075">
        <v>2</v>
      </c>
      <c r="B86" s="1075">
        <f>IF(A86&gt;ECAL!B$10,0,B85+'Print EPLUS'!E29)</f>
        <v>40000</v>
      </c>
      <c r="C86" s="1081">
        <f t="shared" si="41"/>
        <v>43696.149992999999</v>
      </c>
      <c r="D86" s="1075"/>
      <c r="E86" s="1075"/>
      <c r="F86" s="1075"/>
      <c r="G86" s="1075"/>
      <c r="H86" s="1085">
        <v>16</v>
      </c>
      <c r="I86" s="1075"/>
      <c r="J86" s="1085">
        <f t="shared" si="18"/>
        <v>16</v>
      </c>
      <c r="K86" s="1086">
        <f t="shared" si="36"/>
        <v>25</v>
      </c>
      <c r="L86" s="1086">
        <f t="shared" si="37"/>
        <v>20000</v>
      </c>
      <c r="M86" s="1085">
        <f t="shared" si="19"/>
        <v>600</v>
      </c>
      <c r="N86" s="1085">
        <f t="shared" si="20"/>
        <v>19400</v>
      </c>
      <c r="O86" s="1075">
        <f t="shared" si="38"/>
        <v>54.22344156072208</v>
      </c>
      <c r="P86" s="1087">
        <f t="shared" si="21"/>
        <v>357.77883958684038</v>
      </c>
      <c r="Q86" s="1087">
        <f t="shared" si="39"/>
        <v>14442.782927791608</v>
      </c>
      <c r="R86" s="1087">
        <f t="shared" si="22"/>
        <v>14334.42135535886</v>
      </c>
      <c r="S86" s="1085">
        <f t="shared" si="23"/>
        <v>200000</v>
      </c>
      <c r="T86" s="1088">
        <f t="shared" si="24"/>
        <v>866646.74941601045</v>
      </c>
      <c r="U86" s="1088">
        <f t="shared" si="25"/>
        <v>0</v>
      </c>
      <c r="V86" s="1088">
        <f t="shared" si="26"/>
        <v>0</v>
      </c>
      <c r="W86" s="1075">
        <f t="shared" si="27"/>
        <v>0</v>
      </c>
      <c r="X86" s="1081">
        <f t="shared" si="28"/>
        <v>70.112117510382859</v>
      </c>
      <c r="Y86" s="1088">
        <f>IF(H86&gt;B$10,0,IF(EPLUS!V$4=0,0,EPLUS!Z$4*EPLUS!AB$4/1000))</f>
        <v>0</v>
      </c>
      <c r="Z86" s="1088">
        <f t="shared" si="29"/>
        <v>5481.9617724151203</v>
      </c>
      <c r="AA86" s="1088">
        <f t="shared" si="30"/>
        <v>5552.073889925503</v>
      </c>
      <c r="AB86" s="1088">
        <f t="shared" si="40"/>
        <v>999.37330018659054</v>
      </c>
      <c r="AC86" s="1087">
        <f t="shared" si="31"/>
        <v>108.36157243274795</v>
      </c>
      <c r="AD86" s="1087">
        <f t="shared" si="32"/>
        <v>14334.42135535886</v>
      </c>
      <c r="AE86" s="1088">
        <f>IF(EPLUS!V$4=1,S86+T86,T86)</f>
        <v>866646.74941601045</v>
      </c>
      <c r="AF86" s="1089">
        <f t="shared" si="33"/>
        <v>866646.74941601045</v>
      </c>
      <c r="AG86" s="1075"/>
      <c r="AH86" s="1090">
        <f t="shared" si="34"/>
        <v>0</v>
      </c>
      <c r="AI86" s="1075"/>
      <c r="AJ86" s="1075"/>
      <c r="AK86" s="1075"/>
      <c r="AL86" s="1075" t="str">
        <f t="shared" si="35"/>
        <v/>
      </c>
      <c r="AM86" s="1075"/>
      <c r="AN86" s="1075"/>
      <c r="AO86" s="1075"/>
      <c r="AP86" s="1075"/>
      <c r="AQ86" s="1075"/>
      <c r="AR86" s="1075"/>
      <c r="AS86" s="1075"/>
      <c r="AT86" s="1075"/>
      <c r="AU86" s="1075"/>
      <c r="AV86" s="1075"/>
    </row>
    <row r="87" spans="1:48" ht="11.25" customHeight="1">
      <c r="A87" s="1075">
        <v>3</v>
      </c>
      <c r="B87" s="1075">
        <f>IF(A87&gt;ECAL!B$10,0,B86+'Print EPLUS'!E30)</f>
        <v>60000</v>
      </c>
      <c r="C87" s="1081">
        <f t="shared" si="41"/>
        <v>69777.815800230004</v>
      </c>
      <c r="D87" s="1075"/>
      <c r="E87" s="1075"/>
      <c r="F87" s="1075"/>
      <c r="G87" s="1075"/>
      <c r="H87" s="1085">
        <v>17</v>
      </c>
      <c r="I87" s="1075"/>
      <c r="J87" s="1085">
        <f t="shared" si="18"/>
        <v>17</v>
      </c>
      <c r="K87" s="1086">
        <f t="shared" si="36"/>
        <v>26</v>
      </c>
      <c r="L87" s="1086">
        <f t="shared" si="37"/>
        <v>20000</v>
      </c>
      <c r="M87" s="1085">
        <f t="shared" si="19"/>
        <v>600</v>
      </c>
      <c r="N87" s="1085">
        <f t="shared" si="20"/>
        <v>19400</v>
      </c>
      <c r="O87" s="1075">
        <f t="shared" si="38"/>
        <v>60.459137340205118</v>
      </c>
      <c r="P87" s="1087">
        <f t="shared" si="21"/>
        <v>320.87788303752501</v>
      </c>
      <c r="Q87" s="1087">
        <f t="shared" si="39"/>
        <v>14763.660810829133</v>
      </c>
      <c r="R87" s="1087">
        <f t="shared" si="22"/>
        <v>14653.026469524077</v>
      </c>
      <c r="S87" s="1085">
        <f t="shared" si="23"/>
        <v>200000</v>
      </c>
      <c r="T87" s="1088">
        <f t="shared" si="24"/>
        <v>987788.91384423804</v>
      </c>
      <c r="U87" s="1088">
        <f t="shared" si="25"/>
        <v>0</v>
      </c>
      <c r="V87" s="1088">
        <f t="shared" si="26"/>
        <v>0</v>
      </c>
      <c r="W87" s="1075">
        <f t="shared" si="27"/>
        <v>0</v>
      </c>
      <c r="X87" s="1081">
        <f t="shared" si="28"/>
        <v>72.215481035694339</v>
      </c>
      <c r="Y87" s="1088">
        <f>IF(H87&gt;B$10,0,IF(EPLUS!V$4=0,0,EPLUS!Z$4*EPLUS!AB$4/1000))</f>
        <v>0</v>
      </c>
      <c r="Z87" s="1088">
        <f t="shared" si="29"/>
        <v>6248.1873762428577</v>
      </c>
      <c r="AA87" s="1088">
        <f t="shared" si="30"/>
        <v>6320.4028572785519</v>
      </c>
      <c r="AB87" s="1088">
        <f t="shared" si="40"/>
        <v>1137.6725143101394</v>
      </c>
      <c r="AC87" s="1087">
        <f t="shared" si="31"/>
        <v>110.63434130505672</v>
      </c>
      <c r="AD87" s="1087">
        <f t="shared" si="32"/>
        <v>14653.026469524077</v>
      </c>
      <c r="AE87" s="1088">
        <f>IF(EPLUS!V$4=1,S87+T87,T87)</f>
        <v>987788.91384423804</v>
      </c>
      <c r="AF87" s="1089">
        <f t="shared" si="33"/>
        <v>987788.91384423804</v>
      </c>
      <c r="AG87" s="1075"/>
      <c r="AH87" s="1090">
        <f t="shared" si="34"/>
        <v>0</v>
      </c>
      <c r="AI87" s="1075"/>
      <c r="AJ87" s="1075"/>
      <c r="AK87" s="1075"/>
      <c r="AL87" s="1075" t="str">
        <f t="shared" si="35"/>
        <v/>
      </c>
      <c r="AM87" s="1075"/>
      <c r="AN87" s="1075"/>
      <c r="AO87" s="1075"/>
      <c r="AP87" s="1075"/>
      <c r="AQ87" s="1075"/>
      <c r="AR87" s="1075"/>
      <c r="AS87" s="1075"/>
      <c r="AT87" s="1075"/>
      <c r="AU87" s="1075"/>
      <c r="AV87" s="1075"/>
    </row>
    <row r="88" spans="1:48" ht="11.25" customHeight="1">
      <c r="A88" s="1075">
        <v>4</v>
      </c>
      <c r="B88" s="1075">
        <f>IF(A88&gt;ECAL!B$10,0,B87+'Print EPLUS'!E31)</f>
        <v>80000</v>
      </c>
      <c r="C88" s="1081">
        <f t="shared" si="41"/>
        <v>98856.721270278998</v>
      </c>
      <c r="D88" s="1075"/>
      <c r="E88" s="1075"/>
      <c r="F88" s="1075"/>
      <c r="G88" s="1075"/>
      <c r="H88" s="1085">
        <v>18</v>
      </c>
      <c r="I88" s="1075"/>
      <c r="J88" s="1085">
        <f t="shared" si="18"/>
        <v>18</v>
      </c>
      <c r="K88" s="1086">
        <f t="shared" si="36"/>
        <v>27</v>
      </c>
      <c r="L88" s="1086">
        <f t="shared" si="37"/>
        <v>20000</v>
      </c>
      <c r="M88" s="1085">
        <f t="shared" si="19"/>
        <v>600</v>
      </c>
      <c r="N88" s="1085">
        <f t="shared" si="20"/>
        <v>19400</v>
      </c>
      <c r="O88" s="1075">
        <f t="shared" si="38"/>
        <v>67.411938134328707</v>
      </c>
      <c r="P88" s="1087">
        <f t="shared" si="21"/>
        <v>287.78285474217489</v>
      </c>
      <c r="Q88" s="1087">
        <f t="shared" si="39"/>
        <v>15051.443665571307</v>
      </c>
      <c r="R88" s="1087">
        <f t="shared" si="22"/>
        <v>14938.773773282328</v>
      </c>
      <c r="S88" s="1085">
        <f t="shared" si="23"/>
        <v>200000</v>
      </c>
      <c r="T88" s="1088">
        <f t="shared" si="24"/>
        <v>1122862.6381490731</v>
      </c>
      <c r="U88" s="1088">
        <f t="shared" si="25"/>
        <v>0</v>
      </c>
      <c r="V88" s="1088">
        <f t="shared" si="26"/>
        <v>0</v>
      </c>
      <c r="W88" s="1075">
        <f t="shared" si="27"/>
        <v>0</v>
      </c>
      <c r="X88" s="1081">
        <f t="shared" si="28"/>
        <v>74.381945466765174</v>
      </c>
      <c r="Y88" s="1088">
        <f>IF(H88&gt;B$10,0,IF(EPLUS!V$4=0,0,EPLUS!Z$4*EPLUS!AB$4/1000))</f>
        <v>0</v>
      </c>
      <c r="Z88" s="1088">
        <f t="shared" si="29"/>
        <v>7102.5289245107861</v>
      </c>
      <c r="AA88" s="1088">
        <f t="shared" si="30"/>
        <v>7176.9108699775516</v>
      </c>
      <c r="AB88" s="1088">
        <f t="shared" si="40"/>
        <v>1291.8439565959593</v>
      </c>
      <c r="AC88" s="1087">
        <f t="shared" si="31"/>
        <v>112.66989228897867</v>
      </c>
      <c r="AD88" s="1087">
        <f t="shared" si="32"/>
        <v>14938.773773282328</v>
      </c>
      <c r="AE88" s="1088">
        <f>IF(EPLUS!V$4=1,S88+T88,T88)</f>
        <v>1122862.6381490731</v>
      </c>
      <c r="AF88" s="1089">
        <f t="shared" si="33"/>
        <v>1122862.6381490731</v>
      </c>
      <c r="AG88" s="1075"/>
      <c r="AH88" s="1090">
        <f t="shared" si="34"/>
        <v>0</v>
      </c>
      <c r="AI88" s="1075"/>
      <c r="AJ88" s="1075"/>
      <c r="AK88" s="1075"/>
      <c r="AL88" s="1075" t="str">
        <f t="shared" si="35"/>
        <v/>
      </c>
      <c r="AM88" s="1075"/>
      <c r="AN88" s="1075"/>
      <c r="AO88" s="1075"/>
      <c r="AP88" s="1075"/>
      <c r="AQ88" s="1075"/>
      <c r="AR88" s="1075"/>
      <c r="AS88" s="1075"/>
      <c r="AT88" s="1075"/>
      <c r="AU88" s="1075"/>
      <c r="AV88" s="1075"/>
    </row>
    <row r="89" spans="1:48" ht="11.25" customHeight="1">
      <c r="A89" s="1075">
        <v>5</v>
      </c>
      <c r="B89" s="1075">
        <f>IF(A89&gt;ECAL!B$10,0,B88+'Print EPLUS'!E32)</f>
        <v>100000</v>
      </c>
      <c r="C89" s="1081">
        <f t="shared" si="41"/>
        <v>131281.18507365335</v>
      </c>
      <c r="D89" s="1075"/>
      <c r="E89" s="1075"/>
      <c r="F89" s="1075"/>
      <c r="G89" s="1075"/>
      <c r="H89" s="1085">
        <v>19</v>
      </c>
      <c r="I89" s="1075"/>
      <c r="J89" s="1085">
        <f t="shared" si="18"/>
        <v>19</v>
      </c>
      <c r="K89" s="1086">
        <f t="shared" si="36"/>
        <v>28</v>
      </c>
      <c r="L89" s="1086">
        <f t="shared" si="37"/>
        <v>20000</v>
      </c>
      <c r="M89" s="1085">
        <f t="shared" si="19"/>
        <v>600</v>
      </c>
      <c r="N89" s="1085">
        <f t="shared" si="20"/>
        <v>19400</v>
      </c>
      <c r="O89" s="1075">
        <f t="shared" si="38"/>
        <v>75.164311019776505</v>
      </c>
      <c r="P89" s="1087">
        <f t="shared" si="21"/>
        <v>258.10121501540351</v>
      </c>
      <c r="Q89" s="1087">
        <f t="shared" si="39"/>
        <v>15309.544880586711</v>
      </c>
      <c r="R89" s="1087">
        <f t="shared" si="22"/>
        <v>15195.051974815797</v>
      </c>
      <c r="S89" s="1085">
        <f t="shared" si="23"/>
        <v>200000</v>
      </c>
      <c r="T89" s="1088">
        <f t="shared" si="24"/>
        <v>1273470.058045347</v>
      </c>
      <c r="U89" s="1088">
        <f t="shared" si="25"/>
        <v>0</v>
      </c>
      <c r="V89" s="1088">
        <f t="shared" si="26"/>
        <v>0</v>
      </c>
      <c r="W89" s="1075">
        <f t="shared" si="27"/>
        <v>0</v>
      </c>
      <c r="X89" s="1081">
        <f t="shared" si="28"/>
        <v>76.613403830768135</v>
      </c>
      <c r="Y89" s="1088">
        <f>IF(H89&gt;B$10,0,IF(EPLUS!V$4=0,0,EPLUS!Z$4*EPLUS!AB$4/1000))</f>
        <v>0</v>
      </c>
      <c r="Z89" s="1088">
        <f t="shared" si="29"/>
        <v>8055.1197508295263</v>
      </c>
      <c r="AA89" s="1088">
        <f t="shared" si="30"/>
        <v>8131.7331546602945</v>
      </c>
      <c r="AB89" s="1088">
        <f t="shared" si="40"/>
        <v>1463.7119678388531</v>
      </c>
      <c r="AC89" s="1087">
        <f t="shared" si="31"/>
        <v>114.49290577091477</v>
      </c>
      <c r="AD89" s="1087">
        <f t="shared" si="32"/>
        <v>15195.051974815797</v>
      </c>
      <c r="AE89" s="1088">
        <f>IF(EPLUS!V$4=1,S89+T89,T89)</f>
        <v>1273470.058045347</v>
      </c>
      <c r="AF89" s="1089">
        <f t="shared" si="33"/>
        <v>1273470.058045347</v>
      </c>
      <c r="AG89" s="1075"/>
      <c r="AH89" s="1090">
        <f t="shared" si="34"/>
        <v>0</v>
      </c>
      <c r="AI89" s="1075"/>
      <c r="AJ89" s="1075"/>
      <c r="AK89" s="1075"/>
      <c r="AL89" s="1075" t="str">
        <f t="shared" si="35"/>
        <v/>
      </c>
      <c r="AM89" s="1075"/>
      <c r="AN89" s="1075"/>
      <c r="AO89" s="1075"/>
      <c r="AP89" s="1075"/>
      <c r="AQ89" s="1075"/>
      <c r="AR89" s="1075"/>
      <c r="AS89" s="1075"/>
      <c r="AT89" s="1075"/>
      <c r="AU89" s="1075"/>
      <c r="AV89" s="1075"/>
    </row>
    <row r="90" spans="1:48" ht="11.25" customHeight="1">
      <c r="A90" s="1075">
        <v>6</v>
      </c>
      <c r="B90" s="1075">
        <f>IF(A90&gt;ECAL!B$10,0,B89+'Print EPLUS'!E33)</f>
        <v>120000</v>
      </c>
      <c r="C90" s="1081">
        <f t="shared" si="41"/>
        <v>167889.57310364684</v>
      </c>
      <c r="D90" s="1075"/>
      <c r="E90" s="1075"/>
      <c r="F90" s="1075"/>
      <c r="G90" s="1075"/>
      <c r="H90" s="1085">
        <v>20</v>
      </c>
      <c r="I90" s="1075"/>
      <c r="J90" s="1085">
        <f t="shared" si="18"/>
        <v>20</v>
      </c>
      <c r="K90" s="1086">
        <f t="shared" si="36"/>
        <v>29</v>
      </c>
      <c r="L90" s="1086">
        <f t="shared" si="37"/>
        <v>20000</v>
      </c>
      <c r="M90" s="1085">
        <f t="shared" si="19"/>
        <v>600</v>
      </c>
      <c r="N90" s="1085">
        <f t="shared" si="20"/>
        <v>19400</v>
      </c>
      <c r="O90" s="1075">
        <f t="shared" si="38"/>
        <v>83.808206787050807</v>
      </c>
      <c r="P90" s="1087">
        <f t="shared" si="21"/>
        <v>231.48091032771615</v>
      </c>
      <c r="Q90" s="1087">
        <f t="shared" si="39"/>
        <v>15541.025790914427</v>
      </c>
      <c r="R90" s="1087">
        <f t="shared" si="22"/>
        <v>15424.900290599284</v>
      </c>
      <c r="S90" s="1085">
        <f t="shared" si="23"/>
        <v>200000</v>
      </c>
      <c r="T90" s="1088">
        <f t="shared" si="24"/>
        <v>1441397.5550449663</v>
      </c>
      <c r="U90" s="1088">
        <f t="shared" si="25"/>
        <v>0</v>
      </c>
      <c r="V90" s="1088">
        <f t="shared" si="26"/>
        <v>0</v>
      </c>
      <c r="W90" s="1075">
        <f t="shared" si="27"/>
        <v>0</v>
      </c>
      <c r="X90" s="1081">
        <f t="shared" si="28"/>
        <v>78.911805945691185</v>
      </c>
      <c r="Y90" s="1088">
        <f>IF(H90&gt;B$10,0,IF(EPLUS!V$4=0,0,EPLUS!Z$4*EPLUS!AB$4/1000))</f>
        <v>0</v>
      </c>
      <c r="Z90" s="1088">
        <f t="shared" si="29"/>
        <v>9117.2585221749232</v>
      </c>
      <c r="AA90" s="1088">
        <f t="shared" si="30"/>
        <v>9196.1703281206137</v>
      </c>
      <c r="AB90" s="1088">
        <f t="shared" si="40"/>
        <v>1655.3106590617106</v>
      </c>
      <c r="AC90" s="1087">
        <f t="shared" si="31"/>
        <v>116.12550031514346</v>
      </c>
      <c r="AD90" s="1087">
        <f t="shared" si="32"/>
        <v>15424.900290599284</v>
      </c>
      <c r="AE90" s="1088">
        <f>IF(EPLUS!V$4=1,S90+T90,T90)</f>
        <v>1441397.5550449663</v>
      </c>
      <c r="AF90" s="1089">
        <f t="shared" si="33"/>
        <v>1441397.5550449663</v>
      </c>
      <c r="AG90" s="1075"/>
      <c r="AH90" s="1090">
        <f t="shared" si="34"/>
        <v>0</v>
      </c>
      <c r="AI90" s="1075"/>
      <c r="AJ90" s="1075"/>
      <c r="AK90" s="1075"/>
      <c r="AL90" s="1075" t="str">
        <f t="shared" si="35"/>
        <v/>
      </c>
      <c r="AM90" s="1075"/>
      <c r="AN90" s="1075"/>
      <c r="AO90" s="1075"/>
      <c r="AP90" s="1075"/>
      <c r="AQ90" s="1075"/>
      <c r="AR90" s="1075"/>
      <c r="AS90" s="1075"/>
      <c r="AT90" s="1075"/>
      <c r="AU90" s="1075"/>
      <c r="AV90" s="1075"/>
    </row>
    <row r="91" spans="1:48" ht="11.25" customHeight="1">
      <c r="A91" s="1075">
        <v>7</v>
      </c>
      <c r="B91" s="1075">
        <f>IF(A91&gt;ECAL!B$10,0,B90+'Print EPLUS'!E34)</f>
        <v>140000</v>
      </c>
      <c r="C91" s="1081">
        <f t="shared" si="41"/>
        <v>208710.31574278983</v>
      </c>
      <c r="D91" s="1075"/>
      <c r="E91" s="1075"/>
      <c r="F91" s="1075"/>
      <c r="G91" s="1075"/>
      <c r="H91" s="1075"/>
      <c r="I91" s="1075"/>
      <c r="J91" s="1075"/>
      <c r="K91" s="1075"/>
      <c r="L91" s="1075"/>
      <c r="M91" s="1075"/>
      <c r="N91" s="1075"/>
      <c r="O91" s="1075"/>
      <c r="P91" s="1075"/>
      <c r="Q91" s="1075"/>
      <c r="R91" s="1075"/>
      <c r="S91" s="1075"/>
      <c r="T91" s="1075"/>
      <c r="U91" s="1075"/>
      <c r="V91" s="1075"/>
      <c r="W91" s="1075"/>
      <c r="X91" s="1075"/>
      <c r="Y91" s="1075"/>
      <c r="Z91" s="1075"/>
      <c r="AA91" s="1075"/>
      <c r="AB91" s="1075"/>
      <c r="AC91" s="1075"/>
      <c r="AD91" s="1075"/>
      <c r="AE91" s="1075"/>
      <c r="AF91" s="1075"/>
      <c r="AG91" s="1075"/>
      <c r="AH91" s="1075"/>
      <c r="AI91" s="1075"/>
      <c r="AJ91" s="1075"/>
      <c r="AK91" s="1075"/>
      <c r="AL91" s="1075"/>
      <c r="AM91" s="1075"/>
      <c r="AN91" s="1075"/>
      <c r="AO91" s="1075"/>
      <c r="AP91" s="1075"/>
      <c r="AQ91" s="1075"/>
      <c r="AR91" s="1075"/>
      <c r="AS91" s="1075"/>
      <c r="AT91" s="1075"/>
      <c r="AU91" s="1075"/>
      <c r="AV91" s="1075"/>
    </row>
    <row r="92" spans="1:48" ht="11.25" customHeight="1">
      <c r="A92" s="1075">
        <v>8</v>
      </c>
      <c r="B92" s="1075">
        <f>IF(A92&gt;ECAL!B$10,0,B91+'Print EPLUS'!E35)</f>
        <v>160000</v>
      </c>
      <c r="C92" s="1081">
        <f t="shared" si="41"/>
        <v>254200.8423066196</v>
      </c>
      <c r="D92" s="1075"/>
      <c r="E92" s="1075"/>
      <c r="F92" s="1075"/>
      <c r="G92" s="1075"/>
      <c r="H92" s="1075"/>
      <c r="I92" s="1075"/>
      <c r="J92" s="1075"/>
      <c r="K92" s="1075"/>
      <c r="L92" s="1075"/>
      <c r="M92" s="1075"/>
      <c r="N92" s="1075"/>
      <c r="O92" s="1075"/>
      <c r="P92" s="1075"/>
      <c r="Q92" s="1075"/>
      <c r="R92" s="1075"/>
      <c r="S92" s="1075"/>
      <c r="T92" s="1075"/>
      <c r="U92" s="1075"/>
      <c r="V92" s="1075"/>
      <c r="W92" s="1075"/>
      <c r="X92" s="1075"/>
      <c r="Y92" s="1075"/>
      <c r="Z92" s="1075"/>
      <c r="AA92" s="1075"/>
      <c r="AB92" s="1075"/>
      <c r="AC92" s="1075"/>
      <c r="AD92" s="1075"/>
      <c r="AE92" s="1075"/>
      <c r="AF92" s="1075"/>
      <c r="AG92" s="1075"/>
      <c r="AH92" s="1075"/>
      <c r="AI92" s="1075"/>
      <c r="AJ92" s="1075"/>
      <c r="AK92" s="1075"/>
      <c r="AL92" s="1075"/>
      <c r="AM92" s="1075"/>
      <c r="AN92" s="1075"/>
      <c r="AO92" s="1075"/>
      <c r="AP92" s="1075"/>
      <c r="AQ92" s="1075"/>
      <c r="AR92" s="1075"/>
      <c r="AS92" s="1075"/>
      <c r="AT92" s="1075"/>
      <c r="AU92" s="1075"/>
      <c r="AV92" s="1075"/>
    </row>
    <row r="93" spans="1:48" ht="11.25" customHeight="1">
      <c r="A93" s="1075">
        <v>9</v>
      </c>
      <c r="B93" s="1075">
        <f>IF(A93&gt;ECAL!B$10,0,B92+'Print EPLUS'!E36)</f>
        <v>180000</v>
      </c>
      <c r="C93" s="1081">
        <f t="shared" si="41"/>
        <v>304910.24649132678</v>
      </c>
      <c r="D93" s="1075"/>
      <c r="E93" s="1075"/>
      <c r="F93" s="1075"/>
      <c r="G93" s="1075"/>
      <c r="H93" s="1075"/>
      <c r="I93" s="1075"/>
      <c r="J93" s="1075"/>
      <c r="K93" s="1075"/>
      <c r="L93" s="1075"/>
      <c r="M93" s="1075"/>
      <c r="N93" s="1075"/>
      <c r="O93" s="1075"/>
      <c r="P93" s="1075"/>
      <c r="Q93" s="1075"/>
      <c r="R93" s="1075"/>
      <c r="S93" s="1075"/>
      <c r="T93" s="1075"/>
      <c r="U93" s="1075"/>
      <c r="V93" s="1075"/>
      <c r="W93" s="1075"/>
      <c r="X93" s="1075"/>
      <c r="Y93" s="1075"/>
      <c r="Z93" s="1075"/>
      <c r="AA93" s="1075"/>
      <c r="AB93" s="1075"/>
      <c r="AC93" s="1075"/>
      <c r="AD93" s="1075"/>
      <c r="AE93" s="1075"/>
      <c r="AF93" s="1075"/>
      <c r="AG93" s="1075"/>
      <c r="AH93" s="1075"/>
      <c r="AI93" s="1075"/>
      <c r="AJ93" s="1075"/>
      <c r="AK93" s="1075"/>
      <c r="AL93" s="1075"/>
      <c r="AM93" s="1075"/>
      <c r="AN93" s="1075"/>
      <c r="AO93" s="1075"/>
      <c r="AP93" s="1075"/>
      <c r="AQ93" s="1075"/>
      <c r="AR93" s="1075"/>
      <c r="AS93" s="1075"/>
      <c r="AT93" s="1075"/>
      <c r="AU93" s="1075"/>
      <c r="AV93" s="1075"/>
    </row>
    <row r="94" spans="1:48" ht="11.25" customHeight="1">
      <c r="A94" s="1075">
        <v>10</v>
      </c>
      <c r="B94" s="1075">
        <f>IF(A94&gt;ECAL!B$10,0,B93+'Print EPLUS'!E37)</f>
        <v>200000</v>
      </c>
      <c r="C94" s="1081">
        <f t="shared" si="41"/>
        <v>361451.39869685867</v>
      </c>
      <c r="D94" s="1075"/>
      <c r="E94" s="1075"/>
      <c r="F94" s="1075"/>
      <c r="G94" s="1075"/>
      <c r="H94" s="1075"/>
      <c r="I94" s="1075"/>
      <c r="J94" s="1075"/>
      <c r="K94" s="1075"/>
      <c r="L94" s="1075"/>
      <c r="M94" s="1075"/>
      <c r="N94" s="1075"/>
      <c r="O94" s="1075"/>
      <c r="P94" s="1075"/>
      <c r="Q94" s="1075"/>
      <c r="R94" s="1075"/>
      <c r="S94" s="1075"/>
      <c r="T94" s="1075"/>
      <c r="U94" s="1075"/>
      <c r="V94" s="1075"/>
      <c r="W94" s="1075"/>
      <c r="X94" s="1075"/>
      <c r="Y94" s="1075"/>
      <c r="Z94" s="1075"/>
      <c r="AA94" s="1075"/>
      <c r="AB94" s="1075"/>
      <c r="AC94" s="1075"/>
      <c r="AD94" s="1075"/>
      <c r="AE94" s="1075"/>
      <c r="AF94" s="1075"/>
      <c r="AG94" s="1075"/>
      <c r="AH94" s="1075"/>
      <c r="AI94" s="1075"/>
      <c r="AJ94" s="1075"/>
      <c r="AK94" s="1075"/>
      <c r="AL94" s="1075"/>
      <c r="AM94" s="1075"/>
      <c r="AN94" s="1075"/>
      <c r="AO94" s="1075"/>
      <c r="AP94" s="1075"/>
      <c r="AQ94" s="1075"/>
      <c r="AR94" s="1075"/>
      <c r="AS94" s="1075"/>
      <c r="AT94" s="1075"/>
      <c r="AU94" s="1075"/>
      <c r="AV94" s="1075"/>
    </row>
    <row r="95" spans="1:48" ht="11.25" customHeight="1">
      <c r="A95" s="1075">
        <v>11</v>
      </c>
      <c r="B95" s="1075">
        <f>IF(A95&gt;ECAL!B$10,0,B94+'Print EPLUS'!E38)</f>
        <v>220000</v>
      </c>
      <c r="C95" s="1081">
        <f t="shared" si="41"/>
        <v>424494.95494179748</v>
      </c>
      <c r="D95" s="1075"/>
      <c r="E95" s="1075"/>
      <c r="F95" s="1075"/>
      <c r="G95" s="1075"/>
      <c r="H95" s="1075"/>
      <c r="I95" s="1075"/>
      <c r="J95" s="1075"/>
      <c r="K95" s="1075"/>
      <c r="L95" s="1075"/>
      <c r="M95" s="1075"/>
      <c r="N95" s="1075"/>
      <c r="O95" s="1075"/>
      <c r="P95" s="1075"/>
      <c r="Q95" s="1075"/>
      <c r="R95" s="1075"/>
      <c r="S95" s="1075"/>
      <c r="T95" s="1075"/>
      <c r="U95" s="1075"/>
      <c r="V95" s="1075"/>
      <c r="W95" s="1075"/>
      <c r="X95" s="1075"/>
      <c r="Y95" s="1075"/>
      <c r="Z95" s="1075"/>
      <c r="AA95" s="1075"/>
      <c r="AB95" s="1075"/>
      <c r="AC95" s="1075"/>
      <c r="AD95" s="1075"/>
      <c r="AE95" s="1075"/>
      <c r="AF95" s="1075"/>
      <c r="AG95" s="1075"/>
      <c r="AH95" s="1075"/>
      <c r="AI95" s="1075"/>
      <c r="AJ95" s="1075"/>
      <c r="AK95" s="1075"/>
      <c r="AL95" s="1075"/>
      <c r="AM95" s="1075"/>
      <c r="AN95" s="1075"/>
      <c r="AO95" s="1075"/>
      <c r="AP95" s="1075"/>
      <c r="AQ95" s="1075"/>
      <c r="AR95" s="1075"/>
      <c r="AS95" s="1075"/>
      <c r="AT95" s="1075"/>
      <c r="AU95" s="1075"/>
      <c r="AV95" s="1075"/>
    </row>
    <row r="96" spans="1:48" ht="11.25" customHeight="1">
      <c r="A96" s="1075">
        <v>12</v>
      </c>
      <c r="B96" s="1075">
        <f>IF(A96&gt;ECAL!B$10,0,B95+'Print EPLUS'!E39)</f>
        <v>240000</v>
      </c>
      <c r="C96" s="1081">
        <f t="shared" si="41"/>
        <v>494788.69683674839</v>
      </c>
      <c r="D96" s="1075"/>
      <c r="E96" s="1075"/>
      <c r="F96" s="1075"/>
      <c r="G96" s="1075"/>
      <c r="H96" s="1075"/>
      <c r="I96" s="1075"/>
      <c r="J96" s="1075"/>
      <c r="K96" s="1075"/>
      <c r="L96" s="1075"/>
      <c r="M96" s="1075"/>
      <c r="N96" s="1075"/>
      <c r="O96" s="1075"/>
      <c r="P96" s="1075"/>
      <c r="Q96" s="1075"/>
      <c r="R96" s="1075"/>
      <c r="S96" s="1075"/>
      <c r="T96" s="1075"/>
      <c r="U96" s="1075"/>
      <c r="V96" s="1075"/>
      <c r="W96" s="1075"/>
      <c r="X96" s="1075"/>
      <c r="Y96" s="1075"/>
      <c r="Z96" s="1075"/>
      <c r="AA96" s="1075"/>
      <c r="AB96" s="1075"/>
      <c r="AC96" s="1075"/>
      <c r="AD96" s="1075"/>
      <c r="AE96" s="1075"/>
      <c r="AF96" s="1075"/>
      <c r="AG96" s="1075"/>
      <c r="AH96" s="1075"/>
      <c r="AI96" s="1075"/>
      <c r="AJ96" s="1075"/>
      <c r="AK96" s="1075"/>
      <c r="AL96" s="1075"/>
      <c r="AM96" s="1075"/>
      <c r="AN96" s="1075"/>
      <c r="AO96" s="1075"/>
      <c r="AP96" s="1075"/>
      <c r="AQ96" s="1075"/>
      <c r="AR96" s="1075"/>
      <c r="AS96" s="1075"/>
      <c r="AT96" s="1075"/>
      <c r="AU96" s="1075"/>
      <c r="AV96" s="1075"/>
    </row>
    <row r="97" spans="1:48" ht="11.25" customHeight="1">
      <c r="A97" s="1075">
        <v>13</v>
      </c>
      <c r="B97" s="1075">
        <f>IF(A97&gt;ECAL!B$10,0,B96+'Print EPLUS'!E40)</f>
        <v>260000</v>
      </c>
      <c r="C97" s="1081">
        <f t="shared" si="41"/>
        <v>573166.40103191801</v>
      </c>
      <c r="D97" s="1075"/>
      <c r="E97" s="1075"/>
      <c r="F97" s="1075"/>
      <c r="G97" s="1075"/>
      <c r="H97" s="1075"/>
      <c r="I97" s="1075"/>
      <c r="J97" s="1075"/>
      <c r="K97" s="1075"/>
      <c r="L97" s="1075"/>
      <c r="M97" s="1075"/>
      <c r="N97" s="1075"/>
      <c r="O97" s="1075"/>
      <c r="P97" s="1075"/>
      <c r="Q97" s="1075"/>
      <c r="R97" s="1075"/>
      <c r="S97" s="1075"/>
      <c r="T97" s="1075"/>
      <c r="U97" s="1075"/>
      <c r="V97" s="1075"/>
      <c r="W97" s="1075"/>
      <c r="X97" s="1075"/>
      <c r="Y97" s="1075"/>
      <c r="Z97" s="1075"/>
      <c r="AA97" s="1075"/>
      <c r="AB97" s="1075"/>
      <c r="AC97" s="1075"/>
      <c r="AD97" s="1075"/>
      <c r="AE97" s="1075"/>
      <c r="AF97" s="1075"/>
      <c r="AG97" s="1075"/>
      <c r="AH97" s="1075"/>
      <c r="AI97" s="1075"/>
      <c r="AJ97" s="1075"/>
      <c r="AK97" s="1075"/>
      <c r="AL97" s="1075"/>
      <c r="AM97" s="1075"/>
      <c r="AN97" s="1075"/>
      <c r="AO97" s="1075"/>
      <c r="AP97" s="1075"/>
      <c r="AQ97" s="1075"/>
      <c r="AR97" s="1075"/>
      <c r="AS97" s="1075"/>
      <c r="AT97" s="1075"/>
      <c r="AU97" s="1075"/>
      <c r="AV97" s="1075"/>
    </row>
    <row r="98" spans="1:48" ht="11.25" customHeight="1">
      <c r="A98" s="1075">
        <v>14</v>
      </c>
      <c r="B98" s="1075">
        <f>IF(A98&gt;ECAL!B$10,0,B97+'Print EPLUS'!E41)</f>
        <v>280000</v>
      </c>
      <c r="C98" s="1081">
        <f t="shared" si="41"/>
        <v>660557.72865130031</v>
      </c>
      <c r="D98" s="1075"/>
      <c r="E98" s="1075"/>
      <c r="F98" s="1075"/>
      <c r="G98" s="1075"/>
      <c r="H98" s="1075"/>
      <c r="I98" s="1075"/>
      <c r="J98" s="1075"/>
      <c r="K98" s="1075"/>
      <c r="L98" s="1075"/>
      <c r="M98" s="1075"/>
      <c r="N98" s="1075"/>
      <c r="O98" s="1075"/>
      <c r="P98" s="1075"/>
      <c r="Q98" s="1075"/>
      <c r="R98" s="1075"/>
      <c r="S98" s="1075"/>
      <c r="T98" s="1075"/>
      <c r="U98" s="1075"/>
      <c r="V98" s="1075"/>
      <c r="W98" s="1075"/>
      <c r="X98" s="1075"/>
      <c r="Y98" s="1075"/>
      <c r="Z98" s="1075"/>
      <c r="AA98" s="1075"/>
      <c r="AB98" s="1075"/>
      <c r="AC98" s="1075"/>
      <c r="AD98" s="1075"/>
      <c r="AE98" s="1075"/>
      <c r="AF98" s="1075"/>
      <c r="AG98" s="1075"/>
      <c r="AH98" s="1075"/>
      <c r="AI98" s="1075"/>
      <c r="AJ98" s="1075"/>
      <c r="AK98" s="1075"/>
      <c r="AL98" s="1075"/>
      <c r="AM98" s="1075"/>
      <c r="AN98" s="1075"/>
      <c r="AO98" s="1075"/>
      <c r="AP98" s="1075"/>
      <c r="AQ98" s="1075"/>
      <c r="AR98" s="1075"/>
      <c r="AS98" s="1075"/>
      <c r="AT98" s="1075"/>
      <c r="AU98" s="1075"/>
      <c r="AV98" s="1075"/>
    </row>
    <row r="99" spans="1:48" ht="11.25" customHeight="1">
      <c r="A99" s="1075">
        <v>15</v>
      </c>
      <c r="B99" s="1075">
        <f>IF(A99&gt;ECAL!B$10,0,B98+'Print EPLUS'!E42)</f>
        <v>300000</v>
      </c>
      <c r="C99" s="1081">
        <f t="shared" si="41"/>
        <v>757999.25201193301</v>
      </c>
      <c r="D99" s="1075"/>
      <c r="E99" s="1075"/>
      <c r="F99" s="1075"/>
      <c r="G99" s="1075"/>
      <c r="H99" s="1075"/>
      <c r="I99" s="1075"/>
      <c r="J99" s="1075"/>
      <c r="K99" s="1075"/>
      <c r="L99" s="1075"/>
      <c r="M99" s="1075"/>
      <c r="N99" s="1075"/>
      <c r="O99" s="1075"/>
      <c r="P99" s="1075"/>
      <c r="Q99" s="1075"/>
      <c r="R99" s="1075"/>
      <c r="S99" s="1075"/>
      <c r="T99" s="1075"/>
      <c r="U99" s="1075"/>
      <c r="V99" s="1075"/>
      <c r="W99" s="1075"/>
      <c r="X99" s="1075"/>
      <c r="Y99" s="1075"/>
      <c r="Z99" s="1075"/>
      <c r="AA99" s="1075"/>
      <c r="AB99" s="1075"/>
      <c r="AC99" s="1075"/>
      <c r="AD99" s="1075"/>
      <c r="AE99" s="1075"/>
      <c r="AF99" s="1075"/>
      <c r="AG99" s="1075"/>
      <c r="AH99" s="1075"/>
      <c r="AI99" s="1075"/>
      <c r="AJ99" s="1075"/>
      <c r="AK99" s="1075"/>
      <c r="AL99" s="1075"/>
      <c r="AM99" s="1075"/>
      <c r="AN99" s="1075"/>
      <c r="AO99" s="1075"/>
      <c r="AP99" s="1075"/>
      <c r="AQ99" s="1075"/>
      <c r="AR99" s="1075"/>
      <c r="AS99" s="1075"/>
      <c r="AT99" s="1075"/>
      <c r="AU99" s="1075"/>
      <c r="AV99" s="1075"/>
    </row>
    <row r="100" spans="1:48" ht="11.25" customHeight="1">
      <c r="A100" s="1075">
        <v>16</v>
      </c>
      <c r="B100" s="1075">
        <f>IF(A100&gt;ECAL!B$10,0,B99+'Print EPLUS'!E43)</f>
        <v>320000</v>
      </c>
      <c r="C100" s="1081">
        <f t="shared" si="41"/>
        <v>866646.74941601045</v>
      </c>
      <c r="D100" s="1075"/>
      <c r="E100" s="1075"/>
      <c r="F100" s="1075"/>
      <c r="G100" s="1075"/>
      <c r="H100" s="1075"/>
      <c r="I100" s="1075"/>
      <c r="J100" s="1075"/>
      <c r="K100" s="1075"/>
      <c r="L100" s="1075"/>
      <c r="M100" s="1075"/>
      <c r="N100" s="1075"/>
      <c r="O100" s="1075"/>
      <c r="P100" s="1075"/>
      <c r="Q100" s="1075"/>
      <c r="R100" s="1075"/>
      <c r="S100" s="1075"/>
      <c r="T100" s="1075"/>
      <c r="U100" s="1075"/>
      <c r="V100" s="1075"/>
      <c r="W100" s="1075"/>
      <c r="X100" s="1075"/>
      <c r="Y100" s="1075"/>
      <c r="Z100" s="1075"/>
      <c r="AA100" s="1075"/>
      <c r="AB100" s="1075"/>
      <c r="AC100" s="1075"/>
      <c r="AD100" s="1075"/>
      <c r="AE100" s="1075"/>
      <c r="AF100" s="1075"/>
      <c r="AG100" s="1075"/>
      <c r="AH100" s="1075"/>
      <c r="AI100" s="1075"/>
      <c r="AJ100" s="1075"/>
      <c r="AK100" s="1075"/>
      <c r="AL100" s="1075"/>
      <c r="AM100" s="1075"/>
      <c r="AN100" s="1075"/>
      <c r="AO100" s="1075"/>
      <c r="AP100" s="1075"/>
      <c r="AQ100" s="1075"/>
      <c r="AR100" s="1075"/>
      <c r="AS100" s="1075"/>
      <c r="AT100" s="1075"/>
      <c r="AU100" s="1075"/>
      <c r="AV100" s="1075"/>
    </row>
    <row r="101" spans="1:48" ht="11.25" customHeight="1">
      <c r="A101" s="1075">
        <v>17</v>
      </c>
      <c r="B101" s="1075">
        <f>IF(A101&gt;ECAL!B$10,0,B100+'Print EPLUS'!E44)</f>
        <v>340000</v>
      </c>
      <c r="C101" s="1081">
        <f t="shared" si="41"/>
        <v>987788.91384423804</v>
      </c>
      <c r="D101" s="1075"/>
      <c r="E101" s="1075"/>
      <c r="F101" s="1075"/>
      <c r="G101" s="1075"/>
      <c r="H101" s="1075"/>
      <c r="I101" s="1075"/>
      <c r="J101" s="1075"/>
      <c r="K101" s="1075"/>
      <c r="L101" s="1075"/>
      <c r="M101" s="1075"/>
      <c r="N101" s="1075"/>
      <c r="O101" s="1075"/>
      <c r="P101" s="1075"/>
      <c r="Q101" s="1075"/>
      <c r="R101" s="1075"/>
      <c r="S101" s="1075"/>
      <c r="T101" s="1075"/>
      <c r="U101" s="1075"/>
      <c r="V101" s="1075"/>
      <c r="W101" s="1075"/>
      <c r="X101" s="1075"/>
      <c r="Y101" s="1075"/>
      <c r="Z101" s="1075"/>
      <c r="AA101" s="1075"/>
      <c r="AB101" s="1075"/>
      <c r="AC101" s="1075"/>
      <c r="AD101" s="1075"/>
      <c r="AE101" s="1075"/>
      <c r="AF101" s="1075"/>
      <c r="AG101" s="1075"/>
      <c r="AH101" s="1075"/>
      <c r="AI101" s="1075"/>
      <c r="AJ101" s="1075"/>
      <c r="AK101" s="1075"/>
      <c r="AL101" s="1075"/>
      <c r="AM101" s="1075"/>
      <c r="AN101" s="1075"/>
      <c r="AO101" s="1075"/>
      <c r="AP101" s="1075"/>
      <c r="AQ101" s="1075"/>
      <c r="AR101" s="1075"/>
      <c r="AS101" s="1075"/>
      <c r="AT101" s="1075"/>
      <c r="AU101" s="1075"/>
      <c r="AV101" s="1075"/>
    </row>
    <row r="102" spans="1:48" ht="11.25" customHeight="1">
      <c r="A102" s="1075">
        <v>18</v>
      </c>
      <c r="B102" s="1075">
        <f>IF(A102&gt;ECAL!B$10,0,B101+'Print EPLUS'!E45)</f>
        <v>360000</v>
      </c>
      <c r="C102" s="1081">
        <f t="shared" si="41"/>
        <v>1122862.6381490731</v>
      </c>
      <c r="D102" s="1075"/>
      <c r="E102" s="1075"/>
      <c r="F102" s="1075"/>
      <c r="G102" s="1075"/>
      <c r="H102" s="1075"/>
      <c r="I102" s="1075"/>
      <c r="J102" s="1075"/>
      <c r="K102" s="1075"/>
      <c r="L102" s="1075"/>
      <c r="M102" s="1075"/>
      <c r="N102" s="1075"/>
      <c r="O102" s="1075"/>
      <c r="P102" s="1075"/>
      <c r="Q102" s="1075"/>
      <c r="R102" s="1075"/>
      <c r="S102" s="1075"/>
      <c r="T102" s="1075"/>
      <c r="U102" s="1075"/>
      <c r="V102" s="1075"/>
      <c r="W102" s="1075"/>
      <c r="X102" s="1075"/>
      <c r="Y102" s="1075"/>
      <c r="Z102" s="1075"/>
      <c r="AA102" s="1075"/>
      <c r="AB102" s="1075"/>
      <c r="AC102" s="1075"/>
      <c r="AD102" s="1075"/>
      <c r="AE102" s="1075"/>
      <c r="AF102" s="1075"/>
      <c r="AG102" s="1075"/>
      <c r="AH102" s="1075"/>
      <c r="AI102" s="1075"/>
      <c r="AJ102" s="1075"/>
      <c r="AK102" s="1075"/>
      <c r="AL102" s="1075"/>
      <c r="AM102" s="1075"/>
      <c r="AN102" s="1075"/>
      <c r="AO102" s="1075"/>
      <c r="AP102" s="1075"/>
      <c r="AQ102" s="1075"/>
      <c r="AR102" s="1075"/>
      <c r="AS102" s="1075"/>
      <c r="AT102" s="1075"/>
      <c r="AU102" s="1075"/>
      <c r="AV102" s="1075"/>
    </row>
    <row r="103" spans="1:48" ht="11.25" customHeight="1">
      <c r="A103" s="1075">
        <v>19</v>
      </c>
      <c r="B103" s="1075">
        <f>IF(A103&gt;ECAL!B$10,0,B102+'Print EPLUS'!E46)</f>
        <v>380000</v>
      </c>
      <c r="C103" s="1081">
        <f t="shared" si="41"/>
        <v>1273470.058045347</v>
      </c>
      <c r="D103" s="1075"/>
      <c r="E103" s="1075"/>
      <c r="F103" s="1075"/>
      <c r="G103" s="1075"/>
      <c r="H103" s="1075"/>
      <c r="I103" s="1075"/>
      <c r="J103" s="1075"/>
      <c r="K103" s="1075"/>
      <c r="L103" s="1075"/>
      <c r="M103" s="1075"/>
      <c r="N103" s="1075"/>
      <c r="O103" s="1075"/>
      <c r="P103" s="1075"/>
      <c r="Q103" s="1075"/>
      <c r="R103" s="1075"/>
      <c r="S103" s="1075"/>
      <c r="T103" s="1075"/>
      <c r="U103" s="1075"/>
      <c r="V103" s="1075"/>
      <c r="W103" s="1075"/>
      <c r="X103" s="1075"/>
      <c r="Y103" s="1075"/>
      <c r="Z103" s="1075"/>
      <c r="AA103" s="1075"/>
      <c r="AB103" s="1075"/>
      <c r="AC103" s="1075"/>
      <c r="AD103" s="1075"/>
      <c r="AE103" s="1075"/>
      <c r="AF103" s="1075"/>
      <c r="AG103" s="1075"/>
      <c r="AH103" s="1075"/>
      <c r="AI103" s="1075"/>
      <c r="AJ103" s="1075"/>
      <c r="AK103" s="1075"/>
      <c r="AL103" s="1075"/>
      <c r="AM103" s="1075"/>
      <c r="AN103" s="1075"/>
      <c r="AO103" s="1075"/>
      <c r="AP103" s="1075"/>
      <c r="AQ103" s="1075"/>
      <c r="AR103" s="1075"/>
      <c r="AS103" s="1075"/>
      <c r="AT103" s="1075"/>
      <c r="AU103" s="1075"/>
      <c r="AV103" s="1075"/>
    </row>
    <row r="104" spans="1:48" ht="11.25" customHeight="1">
      <c r="A104" s="1075">
        <v>20</v>
      </c>
      <c r="B104" s="1075">
        <f>IF(A104&gt;ECAL!B$10,0,B103+'Print EPLUS'!E47)</f>
        <v>400000</v>
      </c>
      <c r="C104" s="1081">
        <f t="shared" si="41"/>
        <v>1441397.5550449663</v>
      </c>
      <c r="D104" s="1075"/>
      <c r="E104" s="1075"/>
      <c r="F104" s="1075"/>
      <c r="G104" s="1075"/>
      <c r="H104" s="1075"/>
      <c r="I104" s="1075"/>
      <c r="J104" s="1075"/>
      <c r="K104" s="1075"/>
      <c r="L104" s="1075"/>
      <c r="M104" s="1075"/>
      <c r="N104" s="1075"/>
      <c r="O104" s="1075"/>
      <c r="P104" s="1075"/>
      <c r="Q104" s="1075"/>
      <c r="R104" s="1075"/>
      <c r="S104" s="1075"/>
      <c r="T104" s="1075"/>
      <c r="U104" s="1075"/>
      <c r="V104" s="1075"/>
      <c r="W104" s="1075"/>
      <c r="X104" s="1075"/>
      <c r="Y104" s="1075"/>
      <c r="Z104" s="1075"/>
      <c r="AA104" s="1075"/>
      <c r="AB104" s="1075"/>
      <c r="AC104" s="1075"/>
      <c r="AD104" s="1075"/>
      <c r="AE104" s="1075"/>
      <c r="AF104" s="1075"/>
      <c r="AG104" s="1075"/>
      <c r="AH104" s="1075"/>
      <c r="AI104" s="1075"/>
      <c r="AJ104" s="1075"/>
      <c r="AK104" s="1075"/>
      <c r="AL104" s="1075"/>
      <c r="AM104" s="1075"/>
      <c r="AN104" s="1075"/>
      <c r="AO104" s="1075"/>
      <c r="AP104" s="1075"/>
      <c r="AQ104" s="1075"/>
      <c r="AR104" s="1075"/>
      <c r="AS104" s="1075"/>
      <c r="AT104" s="1075"/>
      <c r="AU104" s="1075"/>
      <c r="AV104" s="1075"/>
    </row>
    <row r="105" spans="1:48" ht="11.25" customHeight="1">
      <c r="A105" s="1075"/>
      <c r="B105" s="1075"/>
      <c r="C105" s="1075"/>
      <c r="D105" s="1075"/>
      <c r="E105" s="1075"/>
      <c r="F105" s="1075"/>
      <c r="G105" s="1075"/>
      <c r="H105" s="1075"/>
      <c r="I105" s="1075"/>
      <c r="J105" s="1075"/>
      <c r="K105" s="1075"/>
      <c r="L105" s="1075"/>
      <c r="M105" s="1075"/>
      <c r="N105" s="1075"/>
      <c r="O105" s="1075"/>
      <c r="P105" s="1075"/>
      <c r="Q105" s="1075"/>
      <c r="R105" s="1075"/>
      <c r="S105" s="1075"/>
      <c r="T105" s="1075"/>
      <c r="U105" s="1075"/>
      <c r="V105" s="1075"/>
      <c r="W105" s="1075"/>
      <c r="X105" s="1075"/>
      <c r="Y105" s="1075"/>
      <c r="Z105" s="1075"/>
      <c r="AA105" s="1075"/>
      <c r="AB105" s="1075"/>
      <c r="AC105" s="1075"/>
      <c r="AD105" s="1075"/>
      <c r="AE105" s="1075"/>
      <c r="AF105" s="1075"/>
      <c r="AG105" s="1075"/>
      <c r="AH105" s="1075"/>
      <c r="AI105" s="1075"/>
      <c r="AJ105" s="1075"/>
      <c r="AK105" s="1075"/>
      <c r="AL105" s="1075"/>
      <c r="AM105" s="1075"/>
      <c r="AN105" s="1075"/>
      <c r="AO105" s="1075"/>
      <c r="AP105" s="1075"/>
      <c r="AQ105" s="1075"/>
      <c r="AR105" s="1075"/>
      <c r="AS105" s="1075"/>
      <c r="AT105" s="1075"/>
      <c r="AU105" s="1075"/>
      <c r="AV105" s="1075"/>
    </row>
    <row r="106" spans="1:48" ht="11.25" customHeight="1">
      <c r="A106" s="1075"/>
      <c r="B106" s="1075"/>
      <c r="C106" s="1075"/>
      <c r="D106" s="1075"/>
      <c r="E106" s="1075"/>
      <c r="F106" s="1075"/>
      <c r="G106" s="1075"/>
      <c r="H106" s="1075"/>
      <c r="I106" s="1075"/>
      <c r="J106" s="1075"/>
      <c r="K106" s="1075"/>
      <c r="L106" s="1075"/>
      <c r="M106" s="1075"/>
      <c r="N106" s="1075"/>
      <c r="O106" s="1075"/>
      <c r="P106" s="1075"/>
      <c r="Q106" s="1075"/>
      <c r="R106" s="1075"/>
      <c r="S106" s="1075"/>
      <c r="T106" s="1075"/>
      <c r="U106" s="1075"/>
      <c r="V106" s="1075"/>
      <c r="W106" s="1075"/>
      <c r="X106" s="1075"/>
      <c r="Y106" s="1075"/>
      <c r="Z106" s="1075"/>
      <c r="AA106" s="1075"/>
      <c r="AB106" s="1075"/>
      <c r="AC106" s="1075"/>
      <c r="AD106" s="1075"/>
      <c r="AE106" s="1075"/>
      <c r="AF106" s="1075"/>
      <c r="AG106" s="1075"/>
      <c r="AH106" s="1075"/>
      <c r="AI106" s="1075"/>
      <c r="AJ106" s="1075"/>
      <c r="AK106" s="1075"/>
      <c r="AL106" s="1075"/>
      <c r="AM106" s="1075"/>
      <c r="AN106" s="1075"/>
      <c r="AO106" s="1075"/>
      <c r="AP106" s="1075"/>
      <c r="AQ106" s="1075"/>
      <c r="AR106" s="1075"/>
      <c r="AS106" s="1075"/>
      <c r="AT106" s="1075"/>
      <c r="AU106" s="1075"/>
      <c r="AV106" s="1075"/>
    </row>
    <row r="107" spans="1:48" ht="11.25" customHeight="1">
      <c r="A107" s="1075"/>
      <c r="B107" s="1075"/>
      <c r="C107" s="1075"/>
      <c r="D107" s="1075"/>
      <c r="E107" s="1075"/>
      <c r="F107" s="1075"/>
      <c r="G107" s="1075"/>
      <c r="H107" s="1075"/>
      <c r="I107" s="1075"/>
      <c r="J107" s="1075"/>
      <c r="K107" s="1075"/>
      <c r="L107" s="1075"/>
      <c r="M107" s="1075"/>
      <c r="N107" s="1075"/>
      <c r="O107" s="1075"/>
      <c r="P107" s="1075"/>
      <c r="Q107" s="1075"/>
      <c r="R107" s="1075"/>
      <c r="S107" s="1075"/>
      <c r="T107" s="1075"/>
      <c r="U107" s="1075"/>
      <c r="V107" s="1075"/>
      <c r="W107" s="1075"/>
      <c r="X107" s="1075"/>
      <c r="Y107" s="1075"/>
      <c r="Z107" s="1075"/>
      <c r="AA107" s="1075"/>
      <c r="AB107" s="1075"/>
      <c r="AC107" s="1075"/>
      <c r="AD107" s="1075"/>
      <c r="AE107" s="1075"/>
      <c r="AF107" s="1075"/>
      <c r="AG107" s="1075"/>
      <c r="AH107" s="1075"/>
      <c r="AI107" s="1075"/>
      <c r="AJ107" s="1075"/>
      <c r="AK107" s="1075"/>
      <c r="AL107" s="1075"/>
      <c r="AM107" s="1075"/>
      <c r="AN107" s="1075"/>
      <c r="AO107" s="1075"/>
      <c r="AP107" s="1075"/>
      <c r="AQ107" s="1075"/>
      <c r="AR107" s="1075"/>
      <c r="AS107" s="1075"/>
      <c r="AT107" s="1075"/>
      <c r="AU107" s="1075"/>
      <c r="AV107" s="1075"/>
    </row>
    <row r="108" spans="1:48" ht="11.25" customHeight="1">
      <c r="A108" s="1075"/>
      <c r="B108" s="1075"/>
      <c r="C108" s="1075"/>
      <c r="D108" s="1075"/>
      <c r="E108" s="1075"/>
      <c r="F108" s="1075"/>
      <c r="G108" s="1075"/>
      <c r="H108" s="1075"/>
      <c r="I108" s="1075"/>
      <c r="J108" s="1075"/>
      <c r="K108" s="1075"/>
      <c r="L108" s="1075"/>
      <c r="M108" s="1075"/>
      <c r="N108" s="1075"/>
      <c r="O108" s="1075"/>
      <c r="P108" s="1075"/>
      <c r="Q108" s="1075"/>
      <c r="R108" s="1075"/>
      <c r="S108" s="1075"/>
      <c r="T108" s="1075"/>
      <c r="U108" s="1075"/>
      <c r="V108" s="1075"/>
      <c r="W108" s="1075"/>
      <c r="X108" s="1075"/>
      <c r="Y108" s="1075"/>
      <c r="Z108" s="1075"/>
      <c r="AA108" s="1075"/>
      <c r="AB108" s="1075"/>
      <c r="AC108" s="1075"/>
      <c r="AD108" s="1075"/>
      <c r="AE108" s="1075"/>
      <c r="AF108" s="1075"/>
      <c r="AG108" s="1075"/>
      <c r="AH108" s="1075"/>
      <c r="AI108" s="1075"/>
      <c r="AJ108" s="1075"/>
      <c r="AK108" s="1075"/>
      <c r="AL108" s="1075"/>
      <c r="AM108" s="1075"/>
      <c r="AN108" s="1075"/>
      <c r="AO108" s="1075"/>
      <c r="AP108" s="1075"/>
      <c r="AQ108" s="1075"/>
      <c r="AR108" s="1075"/>
      <c r="AS108" s="1075"/>
      <c r="AT108" s="1075"/>
      <c r="AU108" s="1075"/>
      <c r="AV108" s="1075"/>
    </row>
    <row r="109" spans="1:48" ht="11.25" customHeight="1">
      <c r="A109" s="1075"/>
      <c r="B109" s="1075"/>
      <c r="C109" s="1075"/>
      <c r="D109" s="1075"/>
      <c r="E109" s="1075"/>
      <c r="F109" s="1075"/>
      <c r="G109" s="1075"/>
      <c r="H109" s="1075"/>
      <c r="I109" s="1075"/>
      <c r="J109" s="1075"/>
      <c r="K109" s="1075"/>
      <c r="L109" s="1075"/>
      <c r="M109" s="1075"/>
      <c r="N109" s="1075"/>
      <c r="O109" s="1075"/>
      <c r="P109" s="1075"/>
      <c r="Q109" s="1075"/>
      <c r="R109" s="1075"/>
      <c r="S109" s="1075"/>
      <c r="T109" s="1075"/>
      <c r="U109" s="1075"/>
      <c r="V109" s="1075"/>
      <c r="W109" s="1075"/>
      <c r="X109" s="1075"/>
      <c r="Y109" s="1075"/>
      <c r="Z109" s="1075"/>
      <c r="AA109" s="1075"/>
      <c r="AB109" s="1075"/>
      <c r="AC109" s="1075"/>
      <c r="AD109" s="1075"/>
      <c r="AE109" s="1075"/>
      <c r="AF109" s="1075"/>
      <c r="AG109" s="1075"/>
      <c r="AH109" s="1075"/>
      <c r="AI109" s="1075"/>
      <c r="AJ109" s="1075"/>
      <c r="AK109" s="1075"/>
      <c r="AL109" s="1075"/>
      <c r="AM109" s="1075"/>
      <c r="AN109" s="1075"/>
      <c r="AO109" s="1075"/>
      <c r="AP109" s="1075"/>
      <c r="AQ109" s="1075"/>
      <c r="AR109" s="1075"/>
      <c r="AS109" s="1075"/>
      <c r="AT109" s="1075"/>
      <c r="AU109" s="1075"/>
      <c r="AV109" s="1075"/>
    </row>
    <row r="110" spans="1:48" ht="11.25" customHeight="1">
      <c r="A110" s="1075"/>
      <c r="B110" s="1075"/>
      <c r="C110" s="1075"/>
      <c r="D110" s="1075"/>
      <c r="E110" s="1075"/>
      <c r="F110" s="1075"/>
      <c r="G110" s="1075"/>
      <c r="H110" s="1075"/>
      <c r="I110" s="1075"/>
      <c r="J110" s="1075"/>
      <c r="K110" s="1075"/>
      <c r="L110" s="1075"/>
      <c r="M110" s="1075"/>
      <c r="N110" s="1075"/>
      <c r="O110" s="1075"/>
      <c r="P110" s="1075"/>
      <c r="Q110" s="1075"/>
      <c r="R110" s="1075"/>
      <c r="S110" s="1075"/>
      <c r="T110" s="1075"/>
      <c r="U110" s="1075"/>
      <c r="V110" s="1075"/>
      <c r="W110" s="1075"/>
      <c r="X110" s="1075"/>
      <c r="Y110" s="1075"/>
      <c r="Z110" s="1075"/>
      <c r="AA110" s="1075"/>
      <c r="AB110" s="1075"/>
      <c r="AC110" s="1075"/>
      <c r="AD110" s="1075"/>
      <c r="AE110" s="1075"/>
      <c r="AF110" s="1075"/>
      <c r="AG110" s="1075"/>
      <c r="AH110" s="1075"/>
      <c r="AI110" s="1075"/>
      <c r="AJ110" s="1075"/>
      <c r="AK110" s="1075"/>
      <c r="AL110" s="1075"/>
      <c r="AM110" s="1075"/>
      <c r="AN110" s="1075"/>
      <c r="AO110" s="1075"/>
      <c r="AP110" s="1075"/>
      <c r="AQ110" s="1075"/>
      <c r="AR110" s="1075"/>
      <c r="AS110" s="1075"/>
      <c r="AT110" s="1075"/>
      <c r="AU110" s="1075"/>
      <c r="AV110" s="1075"/>
    </row>
    <row r="111" spans="1:48" ht="11.25" hidden="1" customHeight="1">
      <c r="A111" s="1075"/>
      <c r="B111" s="1075"/>
      <c r="C111" s="1075"/>
      <c r="D111" s="1075"/>
      <c r="E111" s="1075"/>
      <c r="F111" s="1075"/>
      <c r="G111" s="1075"/>
      <c r="H111" s="1075"/>
      <c r="I111" s="1075"/>
      <c r="J111" s="1075"/>
      <c r="K111" s="1075"/>
      <c r="L111" s="1075"/>
      <c r="M111" s="1075"/>
      <c r="N111" s="1075"/>
      <c r="O111" s="1075"/>
      <c r="P111" s="1075"/>
      <c r="Q111" s="1075"/>
      <c r="R111" s="1075"/>
      <c r="S111" s="1075"/>
      <c r="T111" s="1075"/>
      <c r="U111" s="1075"/>
      <c r="V111" s="1075"/>
      <c r="W111" s="1075"/>
      <c r="X111" s="1075"/>
      <c r="Y111" s="1075"/>
      <c r="Z111" s="1075"/>
      <c r="AA111" s="1075"/>
      <c r="AB111" s="1075"/>
      <c r="AC111" s="1075"/>
      <c r="AD111" s="1075"/>
      <c r="AE111" s="1075"/>
      <c r="AF111" s="1075"/>
      <c r="AG111" s="1075"/>
      <c r="AH111" s="1075"/>
      <c r="AI111" s="1075"/>
      <c r="AJ111" s="1075"/>
      <c r="AK111" s="1075"/>
      <c r="AL111" s="1075"/>
      <c r="AM111" s="1075"/>
      <c r="AN111" s="1075"/>
      <c r="AO111" s="1075"/>
      <c r="AP111" s="1075"/>
      <c r="AQ111" s="1075"/>
      <c r="AR111" s="1075"/>
      <c r="AS111" s="1075"/>
      <c r="AT111" s="1075"/>
      <c r="AU111" s="1075"/>
      <c r="AV111" s="1075"/>
    </row>
    <row r="112" spans="1:48" ht="11.25" hidden="1" customHeight="1">
      <c r="A112" s="1075"/>
      <c r="B112" s="1075"/>
      <c r="C112" s="1075"/>
      <c r="D112" s="1075"/>
      <c r="E112" s="1075"/>
      <c r="F112" s="1075"/>
      <c r="G112" s="1075"/>
      <c r="H112" s="1075"/>
      <c r="I112" s="1075"/>
      <c r="J112" s="1075"/>
      <c r="K112" s="1075"/>
      <c r="L112" s="1075"/>
      <c r="M112" s="1075"/>
      <c r="N112" s="1075"/>
      <c r="O112" s="1075"/>
      <c r="P112" s="1075"/>
      <c r="Q112" s="1075"/>
      <c r="R112" s="1075"/>
      <c r="S112" s="1075"/>
      <c r="T112" s="1075"/>
      <c r="U112" s="1075"/>
      <c r="V112" s="1075"/>
      <c r="W112" s="1075"/>
      <c r="X112" s="1075"/>
      <c r="Y112" s="1075"/>
      <c r="Z112" s="1075"/>
      <c r="AA112" s="1075"/>
      <c r="AB112" s="1075"/>
      <c r="AC112" s="1075"/>
      <c r="AD112" s="1075"/>
      <c r="AE112" s="1075"/>
      <c r="AF112" s="1075"/>
      <c r="AG112" s="1075"/>
      <c r="AH112" s="1075"/>
      <c r="AI112" s="1075"/>
      <c r="AJ112" s="1075"/>
      <c r="AK112" s="1075"/>
      <c r="AL112" s="1075"/>
      <c r="AM112" s="1075"/>
      <c r="AN112" s="1075"/>
      <c r="AO112" s="1075"/>
      <c r="AP112" s="1075"/>
      <c r="AQ112" s="1075"/>
      <c r="AR112" s="1075"/>
      <c r="AS112" s="1075"/>
      <c r="AT112" s="1075"/>
      <c r="AU112" s="1075"/>
      <c r="AV112" s="1075"/>
    </row>
    <row r="113" spans="1:48" ht="11.25" hidden="1" customHeight="1">
      <c r="A113" s="1075"/>
      <c r="B113" s="1075"/>
      <c r="C113" s="1075"/>
      <c r="D113" s="1075"/>
      <c r="E113" s="1075"/>
      <c r="F113" s="1075"/>
      <c r="G113" s="1075"/>
      <c r="H113" s="1075"/>
      <c r="I113" s="1075"/>
      <c r="J113" s="1075"/>
      <c r="K113" s="1075"/>
      <c r="L113" s="1075"/>
      <c r="M113" s="1075"/>
      <c r="N113" s="1075"/>
      <c r="O113" s="1075"/>
      <c r="P113" s="1075"/>
      <c r="Q113" s="1075"/>
      <c r="R113" s="1075"/>
      <c r="S113" s="1075"/>
      <c r="T113" s="1075"/>
      <c r="U113" s="1075"/>
      <c r="V113" s="1075"/>
      <c r="W113" s="1075"/>
      <c r="X113" s="1075"/>
      <c r="Y113" s="1075"/>
      <c r="Z113" s="1075"/>
      <c r="AA113" s="1075"/>
      <c r="AB113" s="1075"/>
      <c r="AC113" s="1075"/>
      <c r="AD113" s="1075"/>
      <c r="AE113" s="1075"/>
      <c r="AF113" s="1075"/>
      <c r="AG113" s="1075"/>
      <c r="AH113" s="1075"/>
      <c r="AI113" s="1075"/>
      <c r="AJ113" s="1075"/>
      <c r="AK113" s="1075"/>
      <c r="AL113" s="1075"/>
      <c r="AM113" s="1075"/>
      <c r="AN113" s="1075"/>
      <c r="AO113" s="1075"/>
      <c r="AP113" s="1075"/>
      <c r="AQ113" s="1075"/>
      <c r="AR113" s="1075"/>
      <c r="AS113" s="1075"/>
      <c r="AT113" s="1075"/>
      <c r="AU113" s="1075"/>
      <c r="AV113" s="1075"/>
    </row>
    <row r="114" spans="1:48" ht="11.25" hidden="1" customHeight="1">
      <c r="A114" s="1075"/>
      <c r="B114" s="1075"/>
      <c r="C114" s="1075"/>
      <c r="D114" s="1075"/>
      <c r="E114" s="1075"/>
      <c r="F114" s="1075"/>
      <c r="G114" s="1075"/>
      <c r="H114" s="1075"/>
      <c r="I114" s="1075"/>
      <c r="J114" s="1075"/>
      <c r="K114" s="1075"/>
      <c r="L114" s="1075"/>
      <c r="M114" s="1075"/>
      <c r="N114" s="1075"/>
      <c r="O114" s="1075"/>
      <c r="P114" s="1075"/>
      <c r="Q114" s="1075"/>
      <c r="R114" s="1075"/>
      <c r="S114" s="1075"/>
      <c r="T114" s="1075"/>
      <c r="U114" s="1075"/>
      <c r="V114" s="1075"/>
      <c r="W114" s="1075"/>
      <c r="X114" s="1075"/>
      <c r="Y114" s="1075"/>
      <c r="Z114" s="1075"/>
      <c r="AA114" s="1075"/>
      <c r="AB114" s="1075"/>
      <c r="AC114" s="1075"/>
      <c r="AD114" s="1075"/>
      <c r="AE114" s="1075"/>
      <c r="AF114" s="1075"/>
      <c r="AG114" s="1075"/>
      <c r="AH114" s="1075"/>
      <c r="AI114" s="1075"/>
      <c r="AJ114" s="1075"/>
      <c r="AK114" s="1075"/>
      <c r="AL114" s="1075"/>
      <c r="AM114" s="1075"/>
      <c r="AN114" s="1075"/>
      <c r="AO114" s="1075"/>
      <c r="AP114" s="1075"/>
      <c r="AQ114" s="1075"/>
      <c r="AR114" s="1075"/>
      <c r="AS114" s="1075"/>
      <c r="AT114" s="1075"/>
      <c r="AU114" s="1075"/>
      <c r="AV114" s="1075"/>
    </row>
    <row r="115" spans="1:48" ht="11.25" hidden="1" customHeight="1">
      <c r="A115" s="1075"/>
      <c r="B115" s="1075"/>
      <c r="C115" s="1075"/>
      <c r="D115" s="1075"/>
      <c r="E115" s="1075"/>
      <c r="F115" s="1075"/>
      <c r="G115" s="1075"/>
      <c r="H115" s="1075"/>
      <c r="I115" s="1075"/>
      <c r="J115" s="1075"/>
      <c r="K115" s="1075"/>
      <c r="L115" s="1075"/>
      <c r="M115" s="1075"/>
      <c r="N115" s="1075"/>
      <c r="O115" s="1075"/>
      <c r="P115" s="1075"/>
      <c r="Q115" s="1075"/>
      <c r="R115" s="1075"/>
      <c r="S115" s="1075"/>
      <c r="T115" s="1075"/>
      <c r="U115" s="1075"/>
      <c r="V115" s="1075"/>
      <c r="W115" s="1075"/>
      <c r="X115" s="1075"/>
      <c r="Y115" s="1075"/>
      <c r="Z115" s="1075"/>
      <c r="AA115" s="1075"/>
      <c r="AB115" s="1075"/>
      <c r="AC115" s="1075"/>
      <c r="AD115" s="1075"/>
      <c r="AE115" s="1075"/>
      <c r="AF115" s="1075"/>
      <c r="AG115" s="1075"/>
      <c r="AH115" s="1075"/>
      <c r="AI115" s="1075"/>
      <c r="AJ115" s="1075"/>
      <c r="AK115" s="1075"/>
      <c r="AL115" s="1075"/>
      <c r="AM115" s="1075"/>
      <c r="AN115" s="1075"/>
      <c r="AO115" s="1075"/>
      <c r="AP115" s="1075"/>
      <c r="AQ115" s="1075"/>
      <c r="AR115" s="1075"/>
      <c r="AS115" s="1075"/>
      <c r="AT115" s="1075"/>
      <c r="AU115" s="1075"/>
      <c r="AV115" s="1075"/>
    </row>
    <row r="116" spans="1:48" ht="11.25" hidden="1" customHeight="1">
      <c r="A116" s="1075"/>
      <c r="B116" s="1075"/>
      <c r="C116" s="1075"/>
      <c r="D116" s="1075"/>
      <c r="E116" s="1075"/>
      <c r="F116" s="1075"/>
      <c r="G116" s="1075"/>
      <c r="H116" s="1075"/>
      <c r="I116" s="1075"/>
      <c r="J116" s="1075"/>
      <c r="K116" s="1075"/>
      <c r="L116" s="1075"/>
      <c r="M116" s="1075"/>
      <c r="N116" s="1075"/>
      <c r="O116" s="1075"/>
      <c r="P116" s="1075"/>
      <c r="Q116" s="1075"/>
      <c r="R116" s="1075"/>
      <c r="S116" s="1075"/>
      <c r="T116" s="1075"/>
      <c r="U116" s="1075"/>
      <c r="V116" s="1075"/>
      <c r="W116" s="1075"/>
      <c r="X116" s="1075"/>
      <c r="Y116" s="1075"/>
      <c r="Z116" s="1075"/>
      <c r="AA116" s="1075"/>
      <c r="AB116" s="1075"/>
      <c r="AC116" s="1075"/>
      <c r="AD116" s="1075"/>
      <c r="AE116" s="1075"/>
      <c r="AF116" s="1075"/>
      <c r="AG116" s="1075"/>
      <c r="AH116" s="1075"/>
      <c r="AI116" s="1075"/>
      <c r="AJ116" s="1075"/>
      <c r="AK116" s="1075"/>
      <c r="AL116" s="1075"/>
      <c r="AM116" s="1075"/>
      <c r="AN116" s="1075"/>
      <c r="AO116" s="1075"/>
      <c r="AP116" s="1075"/>
      <c r="AQ116" s="1075"/>
      <c r="AR116" s="1075"/>
      <c r="AS116" s="1075"/>
      <c r="AT116" s="1075"/>
      <c r="AU116" s="1075"/>
      <c r="AV116" s="1075"/>
    </row>
    <row r="117" spans="1:48" ht="11.25" hidden="1" customHeight="1">
      <c r="A117" s="1075"/>
      <c r="B117" s="1075"/>
      <c r="C117" s="1075"/>
      <c r="D117" s="1075"/>
      <c r="E117" s="1075"/>
      <c r="F117" s="1075"/>
      <c r="G117" s="1075"/>
      <c r="H117" s="1075"/>
      <c r="I117" s="1075"/>
      <c r="J117" s="1075"/>
      <c r="K117" s="1075"/>
      <c r="L117" s="1075"/>
      <c r="M117" s="1075"/>
      <c r="N117" s="1075"/>
      <c r="O117" s="1075"/>
      <c r="P117" s="1075"/>
      <c r="Q117" s="1075"/>
      <c r="R117" s="1075"/>
      <c r="S117" s="1075"/>
      <c r="T117" s="1075"/>
      <c r="U117" s="1075"/>
      <c r="V117" s="1075"/>
      <c r="W117" s="1075"/>
      <c r="X117" s="1075"/>
      <c r="Y117" s="1075"/>
      <c r="Z117" s="1075"/>
      <c r="AA117" s="1075"/>
      <c r="AB117" s="1075"/>
      <c r="AC117" s="1075"/>
      <c r="AD117" s="1075"/>
      <c r="AE117" s="1075"/>
      <c r="AF117" s="1075"/>
      <c r="AG117" s="1075"/>
      <c r="AH117" s="1075"/>
      <c r="AI117" s="1075"/>
      <c r="AJ117" s="1075"/>
      <c r="AK117" s="1075"/>
      <c r="AL117" s="1075"/>
      <c r="AM117" s="1075"/>
      <c r="AN117" s="1075"/>
      <c r="AO117" s="1075"/>
      <c r="AP117" s="1075"/>
      <c r="AQ117" s="1075"/>
      <c r="AR117" s="1075"/>
      <c r="AS117" s="1075"/>
      <c r="AT117" s="1075"/>
      <c r="AU117" s="1075"/>
      <c r="AV117" s="1075"/>
    </row>
    <row r="118" spans="1:48" ht="11.25" hidden="1" customHeight="1">
      <c r="A118" s="1075"/>
      <c r="B118" s="1075"/>
      <c r="C118" s="1075"/>
      <c r="D118" s="1075"/>
      <c r="E118" s="1075"/>
      <c r="F118" s="1075"/>
      <c r="G118" s="1075"/>
      <c r="H118" s="1075"/>
      <c r="I118" s="1075"/>
      <c r="J118" s="1075"/>
      <c r="K118" s="1075"/>
      <c r="L118" s="1075"/>
      <c r="M118" s="1075"/>
      <c r="N118" s="1075"/>
      <c r="O118" s="1075"/>
      <c r="P118" s="1075"/>
      <c r="Q118" s="1075"/>
      <c r="R118" s="1075"/>
      <c r="S118" s="1075"/>
      <c r="T118" s="1075"/>
      <c r="U118" s="1075"/>
      <c r="V118" s="1075"/>
      <c r="W118" s="1075"/>
      <c r="X118" s="1075"/>
      <c r="Y118" s="1075"/>
      <c r="Z118" s="1075"/>
      <c r="AA118" s="1075"/>
      <c r="AB118" s="1075"/>
      <c r="AC118" s="1075"/>
      <c r="AD118" s="1075"/>
      <c r="AE118" s="1075"/>
      <c r="AF118" s="1075"/>
      <c r="AG118" s="1075"/>
      <c r="AH118" s="1075"/>
      <c r="AI118" s="1075"/>
      <c r="AJ118" s="1075"/>
      <c r="AK118" s="1075"/>
      <c r="AL118" s="1075"/>
      <c r="AM118" s="1075"/>
      <c r="AN118" s="1075"/>
      <c r="AO118" s="1075"/>
      <c r="AP118" s="1075"/>
      <c r="AQ118" s="1075"/>
      <c r="AR118" s="1075"/>
      <c r="AS118" s="1075"/>
      <c r="AT118" s="1075"/>
      <c r="AU118" s="1075"/>
      <c r="AV118" s="1075"/>
    </row>
    <row r="119" spans="1:48" ht="11.25" hidden="1" customHeight="1">
      <c r="A119" s="1075"/>
      <c r="B119" s="1075"/>
      <c r="C119" s="1075"/>
      <c r="D119" s="1075"/>
      <c r="E119" s="1075"/>
      <c r="F119" s="1075"/>
      <c r="G119" s="1075"/>
      <c r="H119" s="1075"/>
      <c r="I119" s="1075"/>
      <c r="J119" s="1075"/>
      <c r="K119" s="1075"/>
      <c r="L119" s="1075"/>
      <c r="M119" s="1075"/>
      <c r="N119" s="1075"/>
      <c r="O119" s="1075"/>
      <c r="P119" s="1075"/>
      <c r="Q119" s="1075"/>
      <c r="R119" s="1075"/>
      <c r="S119" s="1075"/>
      <c r="T119" s="1075"/>
      <c r="U119" s="1075"/>
      <c r="V119" s="1075"/>
      <c r="W119" s="1075"/>
      <c r="X119" s="1075"/>
      <c r="Y119" s="1075"/>
      <c r="Z119" s="1075"/>
      <c r="AA119" s="1075"/>
      <c r="AB119" s="1075"/>
      <c r="AC119" s="1075"/>
      <c r="AD119" s="1075"/>
      <c r="AE119" s="1075"/>
      <c r="AF119" s="1075"/>
      <c r="AG119" s="1075"/>
      <c r="AH119" s="1075"/>
      <c r="AI119" s="1075"/>
      <c r="AJ119" s="1075"/>
      <c r="AK119" s="1075"/>
      <c r="AL119" s="1075"/>
      <c r="AM119" s="1075"/>
      <c r="AN119" s="1075"/>
      <c r="AO119" s="1075"/>
      <c r="AP119" s="1075"/>
      <c r="AQ119" s="1075"/>
      <c r="AR119" s="1075"/>
      <c r="AS119" s="1075"/>
      <c r="AT119" s="1075"/>
      <c r="AU119" s="1075"/>
      <c r="AV119" s="1075"/>
    </row>
    <row r="120" spans="1:48" ht="11.25" hidden="1" customHeight="1">
      <c r="A120" s="1075"/>
      <c r="B120" s="1075"/>
      <c r="C120" s="1075"/>
      <c r="D120" s="1075"/>
      <c r="E120" s="1075"/>
      <c r="F120" s="1075"/>
      <c r="G120" s="1075"/>
      <c r="H120" s="1075"/>
      <c r="I120" s="1075"/>
      <c r="J120" s="1075"/>
      <c r="K120" s="1075"/>
      <c r="L120" s="1075"/>
      <c r="M120" s="1075"/>
      <c r="N120" s="1075"/>
      <c r="O120" s="1075"/>
      <c r="P120" s="1075"/>
      <c r="Q120" s="1075"/>
      <c r="R120" s="1075"/>
      <c r="S120" s="1075"/>
      <c r="T120" s="1075"/>
      <c r="U120" s="1075"/>
      <c r="V120" s="1075"/>
      <c r="W120" s="1075"/>
      <c r="X120" s="1075"/>
      <c r="Y120" s="1075"/>
      <c r="Z120" s="1075"/>
      <c r="AA120" s="1075"/>
      <c r="AB120" s="1075"/>
      <c r="AC120" s="1075"/>
      <c r="AD120" s="1075"/>
      <c r="AE120" s="1075"/>
      <c r="AF120" s="1075"/>
      <c r="AG120" s="1075"/>
      <c r="AH120" s="1075"/>
      <c r="AI120" s="1075"/>
      <c r="AJ120" s="1075"/>
      <c r="AK120" s="1075"/>
      <c r="AL120" s="1075"/>
      <c r="AM120" s="1075"/>
      <c r="AN120" s="1075"/>
      <c r="AO120" s="1075"/>
      <c r="AP120" s="1075"/>
      <c r="AQ120" s="1075"/>
      <c r="AR120" s="1075"/>
      <c r="AS120" s="1075"/>
      <c r="AT120" s="1075"/>
      <c r="AU120" s="1075"/>
      <c r="AV120" s="1075"/>
    </row>
    <row r="121" spans="1:48" ht="11.25" hidden="1" customHeight="1">
      <c r="A121" s="1075"/>
      <c r="B121" s="1075"/>
      <c r="C121" s="1075"/>
      <c r="D121" s="1075"/>
      <c r="E121" s="1075"/>
      <c r="F121" s="1075"/>
      <c r="G121" s="1075"/>
      <c r="H121" s="1075"/>
      <c r="I121" s="1075"/>
      <c r="J121" s="1075"/>
      <c r="K121" s="1075"/>
      <c r="L121" s="1075"/>
      <c r="M121" s="1075"/>
      <c r="N121" s="1075"/>
      <c r="O121" s="1075"/>
      <c r="P121" s="1075"/>
      <c r="Q121" s="1075"/>
      <c r="R121" s="1075"/>
      <c r="S121" s="1075"/>
      <c r="T121" s="1075"/>
      <c r="U121" s="1075"/>
      <c r="V121" s="1075"/>
      <c r="W121" s="1075"/>
      <c r="X121" s="1075"/>
      <c r="Y121" s="1075"/>
      <c r="Z121" s="1075"/>
      <c r="AA121" s="1075"/>
      <c r="AB121" s="1075"/>
      <c r="AC121" s="1075"/>
      <c r="AD121" s="1075"/>
      <c r="AE121" s="1075"/>
      <c r="AF121" s="1075"/>
      <c r="AG121" s="1075"/>
      <c r="AH121" s="1075"/>
      <c r="AI121" s="1075"/>
      <c r="AJ121" s="1075"/>
      <c r="AK121" s="1075"/>
      <c r="AL121" s="1075"/>
      <c r="AM121" s="1075"/>
      <c r="AN121" s="1075"/>
      <c r="AO121" s="1075"/>
      <c r="AP121" s="1075"/>
      <c r="AQ121" s="1075"/>
      <c r="AR121" s="1075"/>
      <c r="AS121" s="1075"/>
      <c r="AT121" s="1075"/>
      <c r="AU121" s="1075"/>
      <c r="AV121" s="1075"/>
    </row>
    <row r="122" spans="1:48" ht="11.25" hidden="1" customHeight="1">
      <c r="A122" s="1075"/>
      <c r="B122" s="1075"/>
      <c r="C122" s="1075"/>
      <c r="D122" s="1075"/>
      <c r="E122" s="1075"/>
      <c r="F122" s="1075"/>
      <c r="G122" s="1075"/>
      <c r="H122" s="1075"/>
      <c r="I122" s="1075"/>
      <c r="J122" s="1075"/>
      <c r="K122" s="1075"/>
      <c r="L122" s="1075"/>
      <c r="M122" s="1075"/>
      <c r="N122" s="1075"/>
      <c r="O122" s="1075"/>
      <c r="P122" s="1075"/>
      <c r="Q122" s="1075"/>
      <c r="R122" s="1075"/>
      <c r="S122" s="1075"/>
      <c r="T122" s="1075"/>
      <c r="U122" s="1075"/>
      <c r="V122" s="1075"/>
      <c r="W122" s="1075"/>
      <c r="X122" s="1075"/>
      <c r="Y122" s="1075"/>
      <c r="Z122" s="1075"/>
      <c r="AA122" s="1075"/>
      <c r="AB122" s="1075"/>
      <c r="AC122" s="1075"/>
      <c r="AD122" s="1075"/>
      <c r="AE122" s="1075"/>
      <c r="AF122" s="1075"/>
      <c r="AG122" s="1075"/>
      <c r="AH122" s="1075"/>
      <c r="AI122" s="1075"/>
      <c r="AJ122" s="1075"/>
      <c r="AK122" s="1075"/>
      <c r="AL122" s="1075"/>
      <c r="AM122" s="1075"/>
      <c r="AN122" s="1075"/>
      <c r="AO122" s="1075"/>
      <c r="AP122" s="1075"/>
      <c r="AQ122" s="1075"/>
      <c r="AR122" s="1075"/>
      <c r="AS122" s="1075"/>
      <c r="AT122" s="1075"/>
      <c r="AU122" s="1075"/>
      <c r="AV122" s="1075"/>
    </row>
    <row r="123" spans="1:48" ht="11.25" hidden="1" customHeight="1">
      <c r="A123" s="1075"/>
      <c r="B123" s="1075"/>
      <c r="C123" s="1075"/>
      <c r="D123" s="1075"/>
      <c r="E123" s="1075"/>
      <c r="F123" s="1075"/>
      <c r="G123" s="1075"/>
      <c r="H123" s="1075"/>
      <c r="I123" s="1075"/>
      <c r="J123" s="1075"/>
      <c r="K123" s="1075"/>
      <c r="L123" s="1075"/>
      <c r="M123" s="1075"/>
      <c r="N123" s="1075"/>
      <c r="O123" s="1075"/>
      <c r="P123" s="1075"/>
      <c r="Q123" s="1075"/>
      <c r="R123" s="1075"/>
      <c r="S123" s="1075"/>
      <c r="T123" s="1075"/>
      <c r="U123" s="1075"/>
      <c r="V123" s="1075"/>
      <c r="W123" s="1075"/>
      <c r="X123" s="1075"/>
      <c r="Y123" s="1075"/>
      <c r="Z123" s="1075"/>
      <c r="AA123" s="1075"/>
      <c r="AB123" s="1075"/>
      <c r="AC123" s="1075"/>
      <c r="AD123" s="1075"/>
      <c r="AE123" s="1075"/>
      <c r="AF123" s="1075"/>
      <c r="AG123" s="1075"/>
      <c r="AH123" s="1075"/>
      <c r="AI123" s="1075"/>
      <c r="AJ123" s="1075"/>
      <c r="AK123" s="1075"/>
      <c r="AL123" s="1075"/>
      <c r="AM123" s="1075"/>
      <c r="AN123" s="1075"/>
      <c r="AO123" s="1075"/>
      <c r="AP123" s="1075"/>
      <c r="AQ123" s="1075"/>
      <c r="AR123" s="1075"/>
      <c r="AS123" s="1075"/>
      <c r="AT123" s="1075"/>
      <c r="AU123" s="1075"/>
      <c r="AV123" s="1075"/>
    </row>
    <row r="124" spans="1:48" ht="11.25" hidden="1" customHeight="1">
      <c r="A124" s="1075"/>
      <c r="B124" s="1075"/>
      <c r="C124" s="1075"/>
      <c r="D124" s="1075"/>
      <c r="E124" s="1075"/>
      <c r="F124" s="1075"/>
      <c r="G124" s="1075"/>
      <c r="H124" s="1075"/>
      <c r="I124" s="1075"/>
      <c r="J124" s="1075"/>
      <c r="K124" s="1075"/>
      <c r="L124" s="1075"/>
      <c r="M124" s="1075"/>
      <c r="N124" s="1075"/>
      <c r="O124" s="1075"/>
      <c r="P124" s="1075"/>
      <c r="Q124" s="1075"/>
      <c r="R124" s="1075"/>
      <c r="S124" s="1075"/>
      <c r="T124" s="1075"/>
      <c r="U124" s="1075"/>
      <c r="V124" s="1075"/>
      <c r="W124" s="1075"/>
      <c r="X124" s="1075"/>
      <c r="Y124" s="1075"/>
      <c r="Z124" s="1075"/>
      <c r="AA124" s="1075"/>
      <c r="AB124" s="1075"/>
      <c r="AC124" s="1075"/>
      <c r="AD124" s="1075"/>
      <c r="AE124" s="1075"/>
      <c r="AF124" s="1075"/>
      <c r="AG124" s="1075"/>
      <c r="AH124" s="1075"/>
      <c r="AI124" s="1075"/>
      <c r="AJ124" s="1075"/>
      <c r="AK124" s="1075"/>
      <c r="AL124" s="1075"/>
      <c r="AM124" s="1075"/>
      <c r="AN124" s="1075"/>
      <c r="AO124" s="1075"/>
      <c r="AP124" s="1075"/>
      <c r="AQ124" s="1075"/>
      <c r="AR124" s="1075"/>
      <c r="AS124" s="1075"/>
      <c r="AT124" s="1075"/>
      <c r="AU124" s="1075"/>
      <c r="AV124" s="1075"/>
    </row>
    <row r="125" spans="1:48" ht="11.25" hidden="1" customHeight="1">
      <c r="A125" s="1075"/>
      <c r="B125" s="1075"/>
      <c r="C125" s="1075"/>
      <c r="D125" s="1075"/>
      <c r="E125" s="1075"/>
      <c r="F125" s="1075"/>
      <c r="G125" s="1075"/>
      <c r="H125" s="1075"/>
      <c r="I125" s="1075"/>
      <c r="J125" s="1075"/>
      <c r="K125" s="1075"/>
      <c r="L125" s="1075"/>
      <c r="M125" s="1075"/>
      <c r="N125" s="1075"/>
      <c r="O125" s="1075"/>
      <c r="P125" s="1075"/>
      <c r="Q125" s="1075"/>
      <c r="R125" s="1075"/>
      <c r="S125" s="1075"/>
      <c r="T125" s="1075"/>
      <c r="U125" s="1075"/>
      <c r="V125" s="1075"/>
      <c r="W125" s="1075"/>
      <c r="X125" s="1075"/>
      <c r="Y125" s="1075"/>
      <c r="Z125" s="1075"/>
      <c r="AA125" s="1075"/>
      <c r="AB125" s="1075"/>
      <c r="AC125" s="1075"/>
      <c r="AD125" s="1075"/>
      <c r="AE125" s="1075"/>
      <c r="AF125" s="1075"/>
      <c r="AG125" s="1075"/>
      <c r="AH125" s="1075"/>
      <c r="AI125" s="1075"/>
      <c r="AJ125" s="1075"/>
      <c r="AK125" s="1075"/>
      <c r="AL125" s="1075"/>
      <c r="AM125" s="1075"/>
      <c r="AN125" s="1075"/>
      <c r="AO125" s="1075"/>
      <c r="AP125" s="1075"/>
      <c r="AQ125" s="1075"/>
      <c r="AR125" s="1075"/>
      <c r="AS125" s="1075"/>
      <c r="AT125" s="1075"/>
      <c r="AU125" s="1075"/>
      <c r="AV125" s="1075"/>
    </row>
    <row r="126" spans="1:48" ht="11.25" hidden="1" customHeight="1">
      <c r="A126" s="1075"/>
      <c r="B126" s="1075"/>
      <c r="C126" s="1075"/>
      <c r="D126" s="1075"/>
      <c r="E126" s="1075"/>
      <c r="F126" s="1075"/>
      <c r="G126" s="1075"/>
      <c r="H126" s="1075"/>
      <c r="I126" s="1075"/>
      <c r="J126" s="1075"/>
      <c r="K126" s="1075"/>
      <c r="L126" s="1075"/>
      <c r="M126" s="1075"/>
      <c r="N126" s="1075"/>
      <c r="O126" s="1075"/>
      <c r="P126" s="1075"/>
      <c r="Q126" s="1075"/>
      <c r="R126" s="1075"/>
      <c r="S126" s="1075"/>
      <c r="T126" s="1075"/>
      <c r="U126" s="1075"/>
      <c r="V126" s="1075"/>
      <c r="W126" s="1075"/>
      <c r="X126" s="1075"/>
      <c r="Y126" s="1075"/>
      <c r="Z126" s="1075"/>
      <c r="AA126" s="1075"/>
      <c r="AB126" s="1075"/>
      <c r="AC126" s="1075"/>
      <c r="AD126" s="1075"/>
      <c r="AE126" s="1075"/>
      <c r="AF126" s="1075"/>
      <c r="AG126" s="1075"/>
      <c r="AH126" s="1075"/>
      <c r="AI126" s="1075"/>
      <c r="AJ126" s="1075"/>
      <c r="AK126" s="1075"/>
      <c r="AL126" s="1075"/>
      <c r="AM126" s="1075"/>
      <c r="AN126" s="1075"/>
      <c r="AO126" s="1075"/>
      <c r="AP126" s="1075"/>
      <c r="AQ126" s="1075"/>
      <c r="AR126" s="1075"/>
      <c r="AS126" s="1075"/>
      <c r="AT126" s="1075"/>
      <c r="AU126" s="1075"/>
      <c r="AV126" s="1075"/>
    </row>
    <row r="127" spans="1:48" ht="11.25" hidden="1" customHeight="1">
      <c r="A127" s="1075"/>
      <c r="B127" s="1075"/>
      <c r="C127" s="1075"/>
      <c r="D127" s="1075"/>
      <c r="E127" s="1075"/>
      <c r="F127" s="1075"/>
      <c r="G127" s="1075"/>
      <c r="H127" s="1075"/>
      <c r="I127" s="1075"/>
      <c r="J127" s="1075"/>
      <c r="K127" s="1075"/>
      <c r="L127" s="1075"/>
      <c r="M127" s="1075"/>
      <c r="N127" s="1075"/>
      <c r="O127" s="1075"/>
      <c r="P127" s="1075"/>
      <c r="Q127" s="1075"/>
      <c r="R127" s="1075"/>
      <c r="S127" s="1075"/>
      <c r="T127" s="1075"/>
      <c r="U127" s="1075"/>
      <c r="V127" s="1075"/>
      <c r="W127" s="1075"/>
      <c r="X127" s="1075"/>
      <c r="Y127" s="1075"/>
      <c r="Z127" s="1075"/>
      <c r="AA127" s="1075"/>
      <c r="AB127" s="1075"/>
      <c r="AC127" s="1075"/>
      <c r="AD127" s="1075"/>
      <c r="AE127" s="1075"/>
      <c r="AF127" s="1075"/>
      <c r="AG127" s="1075"/>
      <c r="AH127" s="1075"/>
      <c r="AI127" s="1075"/>
      <c r="AJ127" s="1075"/>
      <c r="AK127" s="1075"/>
      <c r="AL127" s="1075"/>
      <c r="AM127" s="1075"/>
      <c r="AN127" s="1075"/>
      <c r="AO127" s="1075"/>
      <c r="AP127" s="1075"/>
      <c r="AQ127" s="1075"/>
      <c r="AR127" s="1075"/>
      <c r="AS127" s="1075"/>
      <c r="AT127" s="1075"/>
      <c r="AU127" s="1075"/>
      <c r="AV127" s="1075"/>
    </row>
    <row r="128" spans="1:48" ht="11.25" hidden="1" customHeight="1">
      <c r="A128" s="1075"/>
      <c r="B128" s="1075"/>
      <c r="C128" s="1075"/>
      <c r="D128" s="1075"/>
      <c r="E128" s="1075"/>
      <c r="F128" s="1075"/>
      <c r="G128" s="1075"/>
      <c r="H128" s="1075"/>
      <c r="I128" s="1075"/>
      <c r="J128" s="1075"/>
      <c r="K128" s="1075"/>
      <c r="L128" s="1075"/>
      <c r="M128" s="1075"/>
      <c r="N128" s="1075"/>
      <c r="O128" s="1075"/>
      <c r="P128" s="1075"/>
      <c r="Q128" s="1075"/>
      <c r="R128" s="1075"/>
      <c r="S128" s="1075"/>
      <c r="T128" s="1075"/>
      <c r="U128" s="1075"/>
      <c r="V128" s="1075"/>
      <c r="W128" s="1075"/>
      <c r="X128" s="1075"/>
      <c r="Y128" s="1075"/>
      <c r="Z128" s="1075"/>
      <c r="AA128" s="1075"/>
      <c r="AB128" s="1075"/>
      <c r="AC128" s="1075"/>
      <c r="AD128" s="1075"/>
      <c r="AE128" s="1075"/>
      <c r="AF128" s="1075"/>
      <c r="AG128" s="1075"/>
      <c r="AH128" s="1075"/>
      <c r="AI128" s="1075"/>
      <c r="AJ128" s="1075"/>
      <c r="AK128" s="1075"/>
      <c r="AL128" s="1075"/>
      <c r="AM128" s="1075"/>
      <c r="AN128" s="1075"/>
      <c r="AO128" s="1075"/>
      <c r="AP128" s="1075"/>
      <c r="AQ128" s="1075"/>
      <c r="AR128" s="1075"/>
      <c r="AS128" s="1075"/>
      <c r="AT128" s="1075"/>
      <c r="AU128" s="1075"/>
      <c r="AV128" s="1075"/>
    </row>
    <row r="129" spans="1:48" ht="11.25" hidden="1" customHeight="1">
      <c r="A129" s="1075"/>
      <c r="B129" s="1075"/>
      <c r="C129" s="1075"/>
      <c r="D129" s="1075"/>
      <c r="E129" s="1075"/>
      <c r="F129" s="1075"/>
      <c r="G129" s="1075"/>
      <c r="H129" s="1075"/>
      <c r="I129" s="1075"/>
      <c r="J129" s="1075"/>
      <c r="K129" s="1075"/>
      <c r="L129" s="1075"/>
      <c r="M129" s="1075"/>
      <c r="N129" s="1075"/>
      <c r="O129" s="1075"/>
      <c r="P129" s="1075"/>
      <c r="Q129" s="1075"/>
      <c r="R129" s="1075"/>
      <c r="S129" s="1075"/>
      <c r="T129" s="1075"/>
      <c r="U129" s="1075"/>
      <c r="V129" s="1075"/>
      <c r="W129" s="1075"/>
      <c r="X129" s="1075"/>
      <c r="Y129" s="1075"/>
      <c r="Z129" s="1075"/>
      <c r="AA129" s="1075"/>
      <c r="AB129" s="1075"/>
      <c r="AC129" s="1075"/>
      <c r="AD129" s="1075"/>
      <c r="AE129" s="1075"/>
      <c r="AF129" s="1075"/>
      <c r="AG129" s="1075"/>
      <c r="AH129" s="1075"/>
      <c r="AI129" s="1075"/>
      <c r="AJ129" s="1075"/>
      <c r="AK129" s="1075"/>
      <c r="AL129" s="1075"/>
      <c r="AM129" s="1075"/>
      <c r="AN129" s="1075"/>
      <c r="AO129" s="1075"/>
      <c r="AP129" s="1075"/>
      <c r="AQ129" s="1075"/>
      <c r="AR129" s="1075"/>
      <c r="AS129" s="1075"/>
      <c r="AT129" s="1075"/>
      <c r="AU129" s="1075"/>
      <c r="AV129" s="1075"/>
    </row>
    <row r="130" spans="1:48" ht="11.25" hidden="1" customHeight="1">
      <c r="A130" s="1075"/>
      <c r="B130" s="1075"/>
      <c r="C130" s="1075"/>
      <c r="D130" s="1075"/>
      <c r="E130" s="1075"/>
      <c r="F130" s="1075"/>
      <c r="G130" s="1075"/>
      <c r="H130" s="1075"/>
      <c r="I130" s="1075"/>
      <c r="J130" s="1075"/>
      <c r="K130" s="1075"/>
      <c r="L130" s="1075"/>
      <c r="M130" s="1075"/>
      <c r="N130" s="1075"/>
      <c r="O130" s="1075"/>
      <c r="P130" s="1075"/>
      <c r="Q130" s="1075"/>
      <c r="R130" s="1075"/>
      <c r="S130" s="1075"/>
      <c r="T130" s="1075"/>
      <c r="U130" s="1075"/>
      <c r="V130" s="1075"/>
      <c r="W130" s="1075"/>
      <c r="X130" s="1075"/>
      <c r="Y130" s="1075"/>
      <c r="Z130" s="1075"/>
      <c r="AA130" s="1075"/>
      <c r="AB130" s="1075"/>
      <c r="AC130" s="1075"/>
      <c r="AD130" s="1075"/>
      <c r="AE130" s="1075"/>
      <c r="AF130" s="1075"/>
      <c r="AG130" s="1075"/>
      <c r="AH130" s="1075"/>
      <c r="AI130" s="1075"/>
      <c r="AJ130" s="1075"/>
      <c r="AK130" s="1075"/>
      <c r="AL130" s="1075"/>
      <c r="AM130" s="1075"/>
      <c r="AN130" s="1075"/>
      <c r="AO130" s="1075"/>
      <c r="AP130" s="1075"/>
      <c r="AQ130" s="1075"/>
      <c r="AR130" s="1075"/>
      <c r="AS130" s="1075"/>
      <c r="AT130" s="1075"/>
      <c r="AU130" s="1075"/>
      <c r="AV130" s="1075"/>
    </row>
    <row r="131" spans="1:48" ht="11.25" hidden="1" customHeight="1">
      <c r="A131" s="1075"/>
      <c r="B131" s="1075"/>
      <c r="C131" s="1075"/>
      <c r="D131" s="1075"/>
      <c r="E131" s="1075"/>
      <c r="F131" s="1075"/>
      <c r="G131" s="1075"/>
      <c r="H131" s="1075"/>
      <c r="I131" s="1075"/>
      <c r="J131" s="1075"/>
      <c r="K131" s="1075"/>
      <c r="L131" s="1075"/>
      <c r="M131" s="1075"/>
      <c r="N131" s="1075"/>
      <c r="O131" s="1075"/>
      <c r="P131" s="1075"/>
      <c r="Q131" s="1075"/>
      <c r="R131" s="1075"/>
      <c r="S131" s="1075"/>
      <c r="T131" s="1075"/>
      <c r="U131" s="1075"/>
      <c r="V131" s="1075"/>
      <c r="W131" s="1075"/>
      <c r="X131" s="1075"/>
      <c r="Y131" s="1075"/>
      <c r="Z131" s="1075"/>
      <c r="AA131" s="1075"/>
      <c r="AB131" s="1075"/>
      <c r="AC131" s="1075"/>
      <c r="AD131" s="1075"/>
      <c r="AE131" s="1075"/>
      <c r="AF131" s="1075"/>
      <c r="AG131" s="1075"/>
      <c r="AH131" s="1075"/>
      <c r="AI131" s="1075"/>
      <c r="AJ131" s="1075"/>
      <c r="AK131" s="1075"/>
      <c r="AL131" s="1075"/>
      <c r="AM131" s="1075"/>
      <c r="AN131" s="1075"/>
      <c r="AO131" s="1075"/>
      <c r="AP131" s="1075"/>
      <c r="AQ131" s="1075"/>
      <c r="AR131" s="1075"/>
      <c r="AS131" s="1075"/>
      <c r="AT131" s="1075"/>
      <c r="AU131" s="1075"/>
      <c r="AV131" s="1075"/>
    </row>
    <row r="132" spans="1:48" ht="11.25" hidden="1" customHeight="1">
      <c r="A132" s="1075"/>
      <c r="B132" s="1075"/>
      <c r="C132" s="1075"/>
      <c r="D132" s="1075"/>
      <c r="E132" s="1075"/>
      <c r="F132" s="1075"/>
      <c r="G132" s="1075"/>
      <c r="H132" s="1075"/>
      <c r="I132" s="1075"/>
      <c r="J132" s="1075"/>
      <c r="K132" s="1075"/>
      <c r="L132" s="1075"/>
      <c r="M132" s="1075"/>
      <c r="N132" s="1075"/>
      <c r="O132" s="1075"/>
      <c r="P132" s="1075"/>
      <c r="Q132" s="1075"/>
      <c r="R132" s="1075"/>
      <c r="S132" s="1075"/>
      <c r="T132" s="1075"/>
      <c r="U132" s="1075"/>
      <c r="V132" s="1075"/>
      <c r="W132" s="1075"/>
      <c r="X132" s="1075"/>
      <c r="Y132" s="1075"/>
      <c r="Z132" s="1075"/>
      <c r="AA132" s="1075"/>
      <c r="AB132" s="1075"/>
      <c r="AC132" s="1075"/>
      <c r="AD132" s="1075"/>
      <c r="AE132" s="1075"/>
      <c r="AF132" s="1075"/>
      <c r="AG132" s="1075"/>
      <c r="AH132" s="1075"/>
      <c r="AI132" s="1075"/>
      <c r="AJ132" s="1075"/>
      <c r="AK132" s="1075"/>
      <c r="AL132" s="1075"/>
      <c r="AM132" s="1075"/>
      <c r="AN132" s="1075"/>
      <c r="AO132" s="1075"/>
      <c r="AP132" s="1075"/>
      <c r="AQ132" s="1075"/>
      <c r="AR132" s="1075"/>
      <c r="AS132" s="1075"/>
      <c r="AT132" s="1075"/>
      <c r="AU132" s="1075"/>
      <c r="AV132" s="1075"/>
    </row>
    <row r="133" spans="1:48" ht="11.25" hidden="1" customHeight="1">
      <c r="A133" s="1075"/>
      <c r="B133" s="1075"/>
      <c r="C133" s="1075"/>
      <c r="D133" s="1075"/>
      <c r="E133" s="1075"/>
      <c r="F133" s="1075"/>
      <c r="G133" s="1075"/>
      <c r="H133" s="1075"/>
      <c r="I133" s="1075"/>
      <c r="J133" s="1075"/>
      <c r="K133" s="1075"/>
      <c r="L133" s="1075"/>
      <c r="M133" s="1075"/>
      <c r="N133" s="1075"/>
      <c r="O133" s="1075"/>
      <c r="P133" s="1075"/>
      <c r="Q133" s="1075"/>
      <c r="R133" s="1075"/>
      <c r="S133" s="1075"/>
      <c r="T133" s="1075"/>
      <c r="U133" s="1075"/>
      <c r="V133" s="1075"/>
      <c r="W133" s="1075"/>
      <c r="X133" s="1075"/>
      <c r="Y133" s="1075"/>
      <c r="Z133" s="1075"/>
      <c r="AA133" s="1075"/>
      <c r="AB133" s="1075"/>
      <c r="AC133" s="1075"/>
      <c r="AD133" s="1075"/>
      <c r="AE133" s="1075"/>
      <c r="AF133" s="1075"/>
      <c r="AG133" s="1075"/>
      <c r="AH133" s="1075"/>
      <c r="AI133" s="1075"/>
      <c r="AJ133" s="1075"/>
      <c r="AK133" s="1075"/>
      <c r="AL133" s="1075"/>
      <c r="AM133" s="1075"/>
      <c r="AN133" s="1075"/>
      <c r="AO133" s="1075"/>
      <c r="AP133" s="1075"/>
      <c r="AQ133" s="1075"/>
      <c r="AR133" s="1075"/>
      <c r="AS133" s="1075"/>
      <c r="AT133" s="1075"/>
      <c r="AU133" s="1075"/>
      <c r="AV133" s="1075"/>
    </row>
    <row r="134" spans="1:48" ht="11.25" hidden="1" customHeight="1">
      <c r="A134" s="1075"/>
      <c r="B134" s="1075"/>
      <c r="C134" s="1075"/>
      <c r="D134" s="1075"/>
      <c r="E134" s="1075"/>
      <c r="F134" s="1075"/>
      <c r="G134" s="1075"/>
      <c r="H134" s="1075"/>
      <c r="I134" s="1075"/>
      <c r="J134" s="1075"/>
      <c r="K134" s="1075"/>
      <c r="L134" s="1075"/>
      <c r="M134" s="1075"/>
      <c r="N134" s="1075"/>
      <c r="O134" s="1075"/>
      <c r="P134" s="1075"/>
      <c r="Q134" s="1075"/>
      <c r="R134" s="1075"/>
      <c r="S134" s="1075"/>
      <c r="T134" s="1075"/>
      <c r="U134" s="1075"/>
      <c r="V134" s="1075"/>
      <c r="W134" s="1075"/>
      <c r="X134" s="1075"/>
      <c r="Y134" s="1075"/>
      <c r="Z134" s="1075"/>
      <c r="AA134" s="1075"/>
      <c r="AB134" s="1075"/>
      <c r="AC134" s="1075"/>
      <c r="AD134" s="1075"/>
      <c r="AE134" s="1075"/>
      <c r="AF134" s="1075"/>
      <c r="AG134" s="1075"/>
      <c r="AH134" s="1075"/>
      <c r="AI134" s="1075"/>
      <c r="AJ134" s="1075"/>
      <c r="AK134" s="1075"/>
      <c r="AL134" s="1075"/>
      <c r="AM134" s="1075"/>
      <c r="AN134" s="1075"/>
      <c r="AO134" s="1075"/>
      <c r="AP134" s="1075"/>
      <c r="AQ134" s="1075"/>
      <c r="AR134" s="1075"/>
      <c r="AS134" s="1075"/>
      <c r="AT134" s="1075"/>
      <c r="AU134" s="1075"/>
      <c r="AV134" s="1075"/>
    </row>
    <row r="135" spans="1:48" ht="11.25" hidden="1" customHeight="1">
      <c r="A135" s="1075"/>
      <c r="B135" s="1075"/>
      <c r="C135" s="1075"/>
      <c r="D135" s="1075"/>
      <c r="E135" s="1075"/>
      <c r="F135" s="1075"/>
      <c r="G135" s="1075"/>
      <c r="H135" s="1075"/>
      <c r="I135" s="1075"/>
      <c r="J135" s="1075"/>
      <c r="K135" s="1075"/>
      <c r="L135" s="1075"/>
      <c r="M135" s="1075"/>
      <c r="N135" s="1075"/>
      <c r="O135" s="1075"/>
      <c r="P135" s="1075"/>
      <c r="Q135" s="1075"/>
      <c r="R135" s="1075"/>
      <c r="S135" s="1075"/>
      <c r="T135" s="1075"/>
      <c r="U135" s="1075"/>
      <c r="V135" s="1075"/>
      <c r="W135" s="1075"/>
      <c r="X135" s="1075"/>
      <c r="Y135" s="1075"/>
      <c r="Z135" s="1075"/>
      <c r="AA135" s="1075"/>
      <c r="AB135" s="1075"/>
      <c r="AC135" s="1075"/>
      <c r="AD135" s="1075"/>
      <c r="AE135" s="1075"/>
      <c r="AF135" s="1075"/>
      <c r="AG135" s="1075"/>
      <c r="AH135" s="1075"/>
      <c r="AI135" s="1075"/>
      <c r="AJ135" s="1075"/>
      <c r="AK135" s="1075"/>
      <c r="AL135" s="1075"/>
      <c r="AM135" s="1075"/>
      <c r="AN135" s="1075"/>
      <c r="AO135" s="1075"/>
      <c r="AP135" s="1075"/>
      <c r="AQ135" s="1075"/>
      <c r="AR135" s="1075"/>
      <c r="AS135" s="1075"/>
      <c r="AT135" s="1075"/>
      <c r="AU135" s="1075"/>
      <c r="AV135" s="1075"/>
    </row>
    <row r="136" spans="1:48" ht="11.25" hidden="1" customHeight="1">
      <c r="A136" s="1075"/>
      <c r="B136" s="1075"/>
      <c r="C136" s="1075"/>
      <c r="D136" s="1075"/>
      <c r="E136" s="1075"/>
      <c r="F136" s="1075"/>
      <c r="G136" s="1075"/>
      <c r="H136" s="1075"/>
      <c r="I136" s="1075"/>
      <c r="J136" s="1075"/>
      <c r="K136" s="1075"/>
      <c r="L136" s="1075"/>
      <c r="M136" s="1075"/>
      <c r="N136" s="1075"/>
      <c r="O136" s="1075"/>
      <c r="P136" s="1075"/>
      <c r="Q136" s="1075"/>
      <c r="R136" s="1075"/>
      <c r="S136" s="1075"/>
      <c r="T136" s="1075"/>
      <c r="U136" s="1075"/>
      <c r="V136" s="1075"/>
      <c r="W136" s="1075"/>
      <c r="X136" s="1075"/>
      <c r="Y136" s="1075"/>
      <c r="Z136" s="1075"/>
      <c r="AA136" s="1075"/>
      <c r="AB136" s="1075"/>
      <c r="AC136" s="1075"/>
      <c r="AD136" s="1075"/>
      <c r="AE136" s="1075"/>
      <c r="AF136" s="1075"/>
      <c r="AG136" s="1075"/>
      <c r="AH136" s="1075"/>
      <c r="AI136" s="1075"/>
      <c r="AJ136" s="1075"/>
      <c r="AK136" s="1075"/>
      <c r="AL136" s="1075"/>
      <c r="AM136" s="1075"/>
      <c r="AN136" s="1075"/>
      <c r="AO136" s="1075"/>
      <c r="AP136" s="1075"/>
      <c r="AQ136" s="1075"/>
      <c r="AR136" s="1075"/>
      <c r="AS136" s="1075"/>
      <c r="AT136" s="1075"/>
      <c r="AU136" s="1075"/>
      <c r="AV136" s="1075"/>
    </row>
    <row r="137" spans="1:48" ht="11.25" hidden="1" customHeight="1">
      <c r="A137" s="1075"/>
      <c r="B137" s="1075"/>
      <c r="C137" s="1075"/>
      <c r="D137" s="1075"/>
      <c r="E137" s="1075"/>
      <c r="F137" s="1075"/>
      <c r="G137" s="1075"/>
      <c r="H137" s="1075"/>
      <c r="I137" s="1075"/>
      <c r="J137" s="1075"/>
      <c r="K137" s="1075"/>
      <c r="L137" s="1075"/>
      <c r="M137" s="1075"/>
      <c r="N137" s="1075"/>
      <c r="O137" s="1075"/>
      <c r="P137" s="1075"/>
      <c r="Q137" s="1075"/>
      <c r="R137" s="1075"/>
      <c r="S137" s="1075"/>
      <c r="T137" s="1075"/>
      <c r="U137" s="1075"/>
      <c r="V137" s="1075"/>
      <c r="W137" s="1075"/>
      <c r="X137" s="1075"/>
      <c r="Y137" s="1075"/>
      <c r="Z137" s="1075"/>
      <c r="AA137" s="1075"/>
      <c r="AB137" s="1075"/>
      <c r="AC137" s="1075"/>
      <c r="AD137" s="1075"/>
      <c r="AE137" s="1075"/>
      <c r="AF137" s="1075"/>
      <c r="AG137" s="1075"/>
      <c r="AH137" s="1075"/>
      <c r="AI137" s="1075"/>
      <c r="AJ137" s="1075"/>
      <c r="AK137" s="1075"/>
      <c r="AL137" s="1075"/>
      <c r="AM137" s="1075"/>
      <c r="AN137" s="1075"/>
      <c r="AO137" s="1075"/>
      <c r="AP137" s="1075"/>
      <c r="AQ137" s="1075"/>
      <c r="AR137" s="1075"/>
      <c r="AS137" s="1075"/>
      <c r="AT137" s="1075"/>
      <c r="AU137" s="1075"/>
      <c r="AV137" s="1075"/>
    </row>
    <row r="138" spans="1:48" ht="11.25" hidden="1" customHeight="1">
      <c r="A138" s="1075"/>
      <c r="B138" s="1075"/>
      <c r="C138" s="1075"/>
      <c r="D138" s="1075"/>
      <c r="E138" s="1075"/>
      <c r="F138" s="1075"/>
      <c r="G138" s="1075"/>
      <c r="H138" s="1075"/>
      <c r="I138" s="1075"/>
      <c r="J138" s="1075"/>
      <c r="K138" s="1075"/>
      <c r="L138" s="1075"/>
      <c r="M138" s="1075"/>
      <c r="N138" s="1075"/>
      <c r="O138" s="1075"/>
      <c r="P138" s="1075"/>
      <c r="Q138" s="1075"/>
      <c r="R138" s="1075"/>
      <c r="S138" s="1075"/>
      <c r="T138" s="1075"/>
      <c r="U138" s="1075"/>
      <c r="V138" s="1075"/>
      <c r="W138" s="1075"/>
      <c r="X138" s="1075"/>
      <c r="Y138" s="1075"/>
      <c r="Z138" s="1075"/>
      <c r="AA138" s="1075"/>
      <c r="AB138" s="1075"/>
      <c r="AC138" s="1075"/>
      <c r="AD138" s="1075"/>
      <c r="AE138" s="1075"/>
      <c r="AF138" s="1075"/>
      <c r="AG138" s="1075"/>
      <c r="AH138" s="1075"/>
      <c r="AI138" s="1075"/>
      <c r="AJ138" s="1075"/>
      <c r="AK138" s="1075"/>
      <c r="AL138" s="1075"/>
      <c r="AM138" s="1075"/>
      <c r="AN138" s="1075"/>
      <c r="AO138" s="1075"/>
      <c r="AP138" s="1075"/>
      <c r="AQ138" s="1075"/>
      <c r="AR138" s="1075"/>
      <c r="AS138" s="1075"/>
      <c r="AT138" s="1075"/>
      <c r="AU138" s="1075"/>
      <c r="AV138" s="1075"/>
    </row>
    <row r="139" spans="1:48" ht="11.25" hidden="1" customHeight="1">
      <c r="A139" s="1075"/>
      <c r="B139" s="1075"/>
      <c r="C139" s="1075"/>
      <c r="D139" s="1075"/>
      <c r="E139" s="1075"/>
      <c r="F139" s="1075"/>
      <c r="G139" s="1075"/>
      <c r="H139" s="1075"/>
      <c r="I139" s="1075"/>
      <c r="J139" s="1075"/>
      <c r="K139" s="1075"/>
      <c r="L139" s="1075"/>
      <c r="M139" s="1075"/>
      <c r="N139" s="1075"/>
      <c r="O139" s="1075"/>
      <c r="P139" s="1075"/>
      <c r="Q139" s="1075"/>
      <c r="R139" s="1075"/>
      <c r="S139" s="1075"/>
      <c r="T139" s="1075"/>
      <c r="U139" s="1075"/>
      <c r="V139" s="1075"/>
      <c r="W139" s="1075"/>
      <c r="X139" s="1075"/>
      <c r="Y139" s="1075"/>
      <c r="Z139" s="1075"/>
      <c r="AA139" s="1075"/>
      <c r="AB139" s="1075"/>
      <c r="AC139" s="1075"/>
      <c r="AD139" s="1075"/>
      <c r="AE139" s="1075"/>
      <c r="AF139" s="1075"/>
      <c r="AG139" s="1075"/>
      <c r="AH139" s="1075"/>
      <c r="AI139" s="1075"/>
      <c r="AJ139" s="1075"/>
      <c r="AK139" s="1075"/>
      <c r="AL139" s="1075"/>
      <c r="AM139" s="1075"/>
      <c r="AN139" s="1075"/>
      <c r="AO139" s="1075"/>
      <c r="AP139" s="1075"/>
      <c r="AQ139" s="1075"/>
      <c r="AR139" s="1075"/>
      <c r="AS139" s="1075"/>
      <c r="AT139" s="1075"/>
      <c r="AU139" s="1075"/>
      <c r="AV139" s="1075"/>
    </row>
    <row r="140" spans="1:48" ht="11.25" hidden="1" customHeight="1">
      <c r="A140" s="1075"/>
      <c r="B140" s="1075"/>
      <c r="C140" s="1075"/>
      <c r="D140" s="1075"/>
      <c r="E140" s="1075"/>
      <c r="F140" s="1075"/>
      <c r="G140" s="1075"/>
      <c r="H140" s="1075"/>
      <c r="I140" s="1075"/>
      <c r="J140" s="1075"/>
      <c r="K140" s="1075"/>
      <c r="L140" s="1075"/>
      <c r="M140" s="1075"/>
      <c r="N140" s="1075"/>
      <c r="O140" s="1075"/>
      <c r="P140" s="1075"/>
      <c r="Q140" s="1075"/>
      <c r="R140" s="1075"/>
      <c r="S140" s="1075"/>
      <c r="T140" s="1075"/>
      <c r="U140" s="1075"/>
      <c r="V140" s="1075"/>
      <c r="W140" s="1075"/>
      <c r="X140" s="1075"/>
      <c r="Y140" s="1075"/>
      <c r="Z140" s="1075"/>
      <c r="AA140" s="1075"/>
      <c r="AB140" s="1075"/>
      <c r="AC140" s="1075"/>
      <c r="AD140" s="1075"/>
      <c r="AE140" s="1075"/>
      <c r="AF140" s="1075"/>
      <c r="AG140" s="1075"/>
      <c r="AH140" s="1075"/>
      <c r="AI140" s="1075"/>
      <c r="AJ140" s="1075"/>
      <c r="AK140" s="1075"/>
      <c r="AL140" s="1075"/>
      <c r="AM140" s="1075"/>
      <c r="AN140" s="1075"/>
      <c r="AO140" s="1075"/>
      <c r="AP140" s="1075"/>
      <c r="AQ140" s="1075"/>
      <c r="AR140" s="1075"/>
      <c r="AS140" s="1075"/>
      <c r="AT140" s="1075"/>
      <c r="AU140" s="1075"/>
      <c r="AV140" s="1075"/>
    </row>
    <row r="141" spans="1:48" ht="11.25" hidden="1" customHeight="1">
      <c r="A141" s="1075"/>
      <c r="B141" s="1075"/>
      <c r="C141" s="1075"/>
      <c r="D141" s="1075"/>
      <c r="E141" s="1075"/>
      <c r="F141" s="1075"/>
      <c r="G141" s="1075"/>
      <c r="H141" s="1075"/>
      <c r="I141" s="1075"/>
      <c r="J141" s="1075"/>
      <c r="K141" s="1075"/>
      <c r="L141" s="1075"/>
      <c r="M141" s="1075"/>
      <c r="N141" s="1075"/>
      <c r="O141" s="1075"/>
      <c r="P141" s="1075"/>
      <c r="Q141" s="1075"/>
      <c r="R141" s="1075"/>
      <c r="S141" s="1075"/>
      <c r="T141" s="1075"/>
      <c r="U141" s="1075"/>
      <c r="V141" s="1075"/>
      <c r="W141" s="1075"/>
      <c r="X141" s="1075"/>
      <c r="Y141" s="1075"/>
      <c r="Z141" s="1075"/>
      <c r="AA141" s="1075"/>
      <c r="AB141" s="1075"/>
      <c r="AC141" s="1075"/>
      <c r="AD141" s="1075"/>
      <c r="AE141" s="1075"/>
      <c r="AF141" s="1075"/>
      <c r="AG141" s="1075"/>
      <c r="AH141" s="1075"/>
      <c r="AI141" s="1075"/>
      <c r="AJ141" s="1075"/>
      <c r="AK141" s="1075"/>
      <c r="AL141" s="1075"/>
      <c r="AM141" s="1075"/>
      <c r="AN141" s="1075"/>
      <c r="AO141" s="1075"/>
      <c r="AP141" s="1075"/>
      <c r="AQ141" s="1075"/>
      <c r="AR141" s="1075"/>
      <c r="AS141" s="1075"/>
      <c r="AT141" s="1075"/>
      <c r="AU141" s="1075"/>
      <c r="AV141" s="1075"/>
    </row>
    <row r="142" spans="1:48" ht="11.25" hidden="1" customHeight="1">
      <c r="A142" s="1075"/>
      <c r="B142" s="1075"/>
      <c r="C142" s="1075"/>
      <c r="D142" s="1075"/>
      <c r="E142" s="1075"/>
      <c r="F142" s="1075"/>
      <c r="G142" s="1075"/>
      <c r="H142" s="1075"/>
      <c r="I142" s="1075"/>
      <c r="J142" s="1075"/>
      <c r="K142" s="1075"/>
      <c r="L142" s="1075"/>
      <c r="M142" s="1075"/>
      <c r="N142" s="1075"/>
      <c r="O142" s="1075"/>
      <c r="P142" s="1075"/>
      <c r="Q142" s="1075"/>
      <c r="R142" s="1075"/>
      <c r="S142" s="1075"/>
      <c r="T142" s="1075"/>
      <c r="U142" s="1075"/>
      <c r="V142" s="1075"/>
      <c r="W142" s="1075"/>
      <c r="X142" s="1075"/>
      <c r="Y142" s="1075"/>
      <c r="Z142" s="1075"/>
      <c r="AA142" s="1075"/>
      <c r="AB142" s="1075"/>
      <c r="AC142" s="1075"/>
      <c r="AD142" s="1075"/>
      <c r="AE142" s="1075"/>
      <c r="AF142" s="1075"/>
      <c r="AG142" s="1075"/>
      <c r="AH142" s="1075"/>
      <c r="AI142" s="1075"/>
      <c r="AJ142" s="1075"/>
      <c r="AK142" s="1075"/>
      <c r="AL142" s="1075"/>
      <c r="AM142" s="1075"/>
      <c r="AN142" s="1075"/>
      <c r="AO142" s="1075"/>
      <c r="AP142" s="1075"/>
      <c r="AQ142" s="1075"/>
      <c r="AR142" s="1075"/>
      <c r="AS142" s="1075"/>
      <c r="AT142" s="1075"/>
      <c r="AU142" s="1075"/>
      <c r="AV142" s="1075"/>
    </row>
    <row r="143" spans="1:48" ht="11.25" hidden="1" customHeight="1">
      <c r="A143" s="1075"/>
      <c r="B143" s="1075"/>
      <c r="C143" s="1075"/>
      <c r="D143" s="1075"/>
      <c r="E143" s="1075"/>
      <c r="F143" s="1075"/>
      <c r="G143" s="1075"/>
      <c r="H143" s="1075"/>
      <c r="I143" s="1075"/>
      <c r="J143" s="1075"/>
      <c r="K143" s="1075"/>
      <c r="L143" s="1075"/>
      <c r="M143" s="1075"/>
      <c r="N143" s="1075"/>
      <c r="O143" s="1075"/>
      <c r="P143" s="1075"/>
      <c r="Q143" s="1075"/>
      <c r="R143" s="1075"/>
      <c r="S143" s="1075"/>
      <c r="T143" s="1075"/>
      <c r="U143" s="1075"/>
      <c r="V143" s="1075"/>
      <c r="W143" s="1075"/>
      <c r="X143" s="1075"/>
      <c r="Y143" s="1075"/>
      <c r="Z143" s="1075"/>
      <c r="AA143" s="1075"/>
      <c r="AB143" s="1075"/>
      <c r="AC143" s="1075"/>
      <c r="AD143" s="1075"/>
      <c r="AE143" s="1075"/>
      <c r="AF143" s="1075"/>
      <c r="AG143" s="1075"/>
      <c r="AH143" s="1075"/>
      <c r="AI143" s="1075"/>
      <c r="AJ143" s="1075"/>
      <c r="AK143" s="1075"/>
      <c r="AL143" s="1075"/>
      <c r="AM143" s="1075"/>
      <c r="AN143" s="1075"/>
      <c r="AO143" s="1075"/>
      <c r="AP143" s="1075"/>
      <c r="AQ143" s="1075"/>
      <c r="AR143" s="1075"/>
      <c r="AS143" s="1075"/>
      <c r="AT143" s="1075"/>
      <c r="AU143" s="1075"/>
      <c r="AV143" s="1075"/>
    </row>
    <row r="144" spans="1:48" ht="11.25" hidden="1" customHeight="1">
      <c r="A144" s="1075"/>
      <c r="B144" s="1075"/>
      <c r="C144" s="1075"/>
      <c r="D144" s="1075"/>
      <c r="E144" s="1075"/>
      <c r="F144" s="1075"/>
      <c r="G144" s="1075"/>
      <c r="H144" s="1075"/>
      <c r="I144" s="1075"/>
      <c r="J144" s="1075"/>
      <c r="K144" s="1075"/>
      <c r="L144" s="1075"/>
      <c r="M144" s="1075"/>
      <c r="N144" s="1075"/>
      <c r="O144" s="1075"/>
      <c r="P144" s="1075"/>
      <c r="Q144" s="1075"/>
      <c r="R144" s="1075"/>
      <c r="S144" s="1075"/>
      <c r="T144" s="1075"/>
      <c r="U144" s="1075"/>
      <c r="V144" s="1075"/>
      <c r="W144" s="1075"/>
      <c r="X144" s="1075"/>
      <c r="Y144" s="1075"/>
      <c r="Z144" s="1075"/>
      <c r="AA144" s="1075"/>
      <c r="AB144" s="1075"/>
      <c r="AC144" s="1075"/>
      <c r="AD144" s="1075"/>
      <c r="AE144" s="1075"/>
      <c r="AF144" s="1075"/>
      <c r="AG144" s="1075"/>
      <c r="AH144" s="1075"/>
      <c r="AI144" s="1075"/>
      <c r="AJ144" s="1075"/>
      <c r="AK144" s="1075"/>
      <c r="AL144" s="1075"/>
      <c r="AM144" s="1075"/>
      <c r="AN144" s="1075"/>
      <c r="AO144" s="1075"/>
      <c r="AP144" s="1075"/>
      <c r="AQ144" s="1075"/>
      <c r="AR144" s="1075"/>
      <c r="AS144" s="1075"/>
      <c r="AT144" s="1075"/>
      <c r="AU144" s="1075"/>
      <c r="AV144" s="1075"/>
    </row>
    <row r="145" spans="1:48" ht="11.25" hidden="1" customHeight="1">
      <c r="A145" s="1075"/>
      <c r="B145" s="1075"/>
      <c r="C145" s="1075"/>
      <c r="D145" s="1075"/>
      <c r="E145" s="1075"/>
      <c r="F145" s="1075"/>
      <c r="G145" s="1075"/>
      <c r="H145" s="1075"/>
      <c r="I145" s="1075"/>
      <c r="J145" s="1075"/>
      <c r="K145" s="1075"/>
      <c r="L145" s="1075"/>
      <c r="M145" s="1075"/>
      <c r="N145" s="1075"/>
      <c r="O145" s="1075"/>
      <c r="P145" s="1075"/>
      <c r="Q145" s="1075"/>
      <c r="R145" s="1075"/>
      <c r="S145" s="1075"/>
      <c r="T145" s="1075"/>
      <c r="U145" s="1075"/>
      <c r="V145" s="1075"/>
      <c r="W145" s="1075"/>
      <c r="X145" s="1075"/>
      <c r="Y145" s="1075"/>
      <c r="Z145" s="1075"/>
      <c r="AA145" s="1075"/>
      <c r="AB145" s="1075"/>
      <c r="AC145" s="1075"/>
      <c r="AD145" s="1075"/>
      <c r="AE145" s="1075"/>
      <c r="AF145" s="1075"/>
      <c r="AG145" s="1075"/>
      <c r="AH145" s="1075"/>
      <c r="AI145" s="1075"/>
      <c r="AJ145" s="1075"/>
      <c r="AK145" s="1075"/>
      <c r="AL145" s="1075"/>
      <c r="AM145" s="1075"/>
      <c r="AN145" s="1075"/>
      <c r="AO145" s="1075"/>
      <c r="AP145" s="1075"/>
      <c r="AQ145" s="1075"/>
      <c r="AR145" s="1075"/>
      <c r="AS145" s="1075"/>
      <c r="AT145" s="1075"/>
      <c r="AU145" s="1075"/>
      <c r="AV145" s="1075"/>
    </row>
    <row r="146" spans="1:48" ht="11.25" hidden="1" customHeight="1">
      <c r="A146" s="1075"/>
      <c r="B146" s="1075"/>
      <c r="C146" s="1075"/>
      <c r="D146" s="1075"/>
      <c r="E146" s="1075"/>
      <c r="F146" s="1075"/>
      <c r="G146" s="1075"/>
      <c r="H146" s="1075"/>
      <c r="I146" s="1075"/>
      <c r="J146" s="1075"/>
      <c r="K146" s="1075"/>
      <c r="L146" s="1075"/>
      <c r="M146" s="1075"/>
      <c r="N146" s="1075"/>
      <c r="O146" s="1075"/>
      <c r="P146" s="1075"/>
      <c r="Q146" s="1075"/>
      <c r="R146" s="1075"/>
      <c r="S146" s="1075"/>
      <c r="T146" s="1075"/>
      <c r="U146" s="1075"/>
      <c r="V146" s="1075"/>
      <c r="W146" s="1075"/>
      <c r="X146" s="1075"/>
      <c r="Y146" s="1075"/>
      <c r="Z146" s="1075"/>
      <c r="AA146" s="1075"/>
      <c r="AB146" s="1075"/>
      <c r="AC146" s="1075"/>
      <c r="AD146" s="1075"/>
      <c r="AE146" s="1075"/>
      <c r="AF146" s="1075"/>
      <c r="AG146" s="1075"/>
      <c r="AH146" s="1075"/>
      <c r="AI146" s="1075"/>
      <c r="AJ146" s="1075"/>
      <c r="AK146" s="1075"/>
      <c r="AL146" s="1075"/>
      <c r="AM146" s="1075"/>
      <c r="AN146" s="1075"/>
      <c r="AO146" s="1075"/>
      <c r="AP146" s="1075"/>
      <c r="AQ146" s="1075"/>
      <c r="AR146" s="1075"/>
      <c r="AS146" s="1075"/>
      <c r="AT146" s="1075"/>
      <c r="AU146" s="1075"/>
      <c r="AV146" s="1075"/>
    </row>
    <row r="147" spans="1:48" ht="11.25" hidden="1" customHeight="1">
      <c r="A147" s="1075"/>
      <c r="B147" s="1075"/>
      <c r="C147" s="1075"/>
      <c r="D147" s="1075"/>
      <c r="E147" s="1075"/>
      <c r="F147" s="1075"/>
      <c r="G147" s="1075"/>
      <c r="H147" s="1075"/>
      <c r="I147" s="1075"/>
      <c r="J147" s="1075"/>
      <c r="K147" s="1075"/>
      <c r="L147" s="1075"/>
      <c r="M147" s="1075"/>
      <c r="N147" s="1075"/>
      <c r="O147" s="1075"/>
      <c r="P147" s="1075"/>
      <c r="Q147" s="1075"/>
      <c r="R147" s="1075"/>
      <c r="S147" s="1075"/>
      <c r="T147" s="1075"/>
      <c r="U147" s="1075"/>
      <c r="V147" s="1075"/>
      <c r="W147" s="1075"/>
      <c r="X147" s="1075"/>
      <c r="Y147" s="1075"/>
      <c r="Z147" s="1075"/>
      <c r="AA147" s="1075"/>
      <c r="AB147" s="1075"/>
      <c r="AC147" s="1075"/>
      <c r="AD147" s="1075"/>
      <c r="AE147" s="1075"/>
      <c r="AF147" s="1075"/>
      <c r="AG147" s="1075"/>
      <c r="AH147" s="1075"/>
      <c r="AI147" s="1075"/>
      <c r="AJ147" s="1075"/>
      <c r="AK147" s="1075"/>
      <c r="AL147" s="1075"/>
      <c r="AM147" s="1075"/>
      <c r="AN147" s="1075"/>
      <c r="AO147" s="1075"/>
      <c r="AP147" s="1075"/>
      <c r="AQ147" s="1075"/>
      <c r="AR147" s="1075"/>
      <c r="AS147" s="1075"/>
      <c r="AT147" s="1075"/>
      <c r="AU147" s="1075"/>
      <c r="AV147" s="1075"/>
    </row>
    <row r="148" spans="1:48" ht="11.25" hidden="1" customHeight="1">
      <c r="A148" s="1075"/>
      <c r="B148" s="1075"/>
      <c r="C148" s="1075"/>
      <c r="D148" s="1075"/>
      <c r="E148" s="1075"/>
      <c r="F148" s="1075"/>
      <c r="G148" s="1075"/>
      <c r="H148" s="1075"/>
      <c r="I148" s="1075"/>
      <c r="J148" s="1075"/>
      <c r="K148" s="1075"/>
      <c r="L148" s="1075"/>
      <c r="M148" s="1075"/>
      <c r="N148" s="1075"/>
      <c r="O148" s="1075"/>
      <c r="P148" s="1075"/>
      <c r="Q148" s="1075"/>
      <c r="R148" s="1075"/>
      <c r="S148" s="1075"/>
      <c r="T148" s="1075"/>
      <c r="U148" s="1075"/>
      <c r="V148" s="1075"/>
      <c r="W148" s="1075"/>
      <c r="X148" s="1075"/>
      <c r="Y148" s="1075"/>
      <c r="Z148" s="1075"/>
      <c r="AA148" s="1075"/>
      <c r="AB148" s="1075"/>
      <c r="AC148" s="1075"/>
      <c r="AD148" s="1075"/>
      <c r="AE148" s="1075"/>
      <c r="AF148" s="1075"/>
      <c r="AG148" s="1075"/>
      <c r="AH148" s="1075"/>
      <c r="AI148" s="1075"/>
      <c r="AJ148" s="1075"/>
      <c r="AK148" s="1075"/>
      <c r="AL148" s="1075"/>
      <c r="AM148" s="1075"/>
      <c r="AN148" s="1075"/>
      <c r="AO148" s="1075"/>
      <c r="AP148" s="1075"/>
      <c r="AQ148" s="1075"/>
      <c r="AR148" s="1075"/>
      <c r="AS148" s="1075"/>
      <c r="AT148" s="1075"/>
      <c r="AU148" s="1075"/>
      <c r="AV148" s="1075"/>
    </row>
    <row r="149" spans="1:48" ht="11.25" hidden="1" customHeight="1">
      <c r="A149" s="1075"/>
      <c r="B149" s="1075"/>
      <c r="C149" s="1075"/>
      <c r="D149" s="1075"/>
      <c r="E149" s="1075"/>
      <c r="F149" s="1075"/>
      <c r="G149" s="1075"/>
      <c r="H149" s="1075"/>
      <c r="I149" s="1075"/>
      <c r="J149" s="1075"/>
      <c r="K149" s="1075"/>
      <c r="L149" s="1075"/>
      <c r="M149" s="1075"/>
      <c r="N149" s="1075"/>
      <c r="O149" s="1075"/>
      <c r="P149" s="1075"/>
      <c r="Q149" s="1075"/>
      <c r="R149" s="1075"/>
      <c r="S149" s="1075"/>
      <c r="T149" s="1075"/>
      <c r="U149" s="1075"/>
      <c r="V149" s="1075"/>
      <c r="W149" s="1075"/>
      <c r="X149" s="1075"/>
      <c r="Y149" s="1075"/>
      <c r="Z149" s="1075"/>
      <c r="AA149" s="1075"/>
      <c r="AB149" s="1075"/>
      <c r="AC149" s="1075"/>
      <c r="AD149" s="1075"/>
      <c r="AE149" s="1075"/>
      <c r="AF149" s="1075"/>
      <c r="AG149" s="1075"/>
      <c r="AH149" s="1075"/>
      <c r="AI149" s="1075"/>
      <c r="AJ149" s="1075"/>
      <c r="AK149" s="1075"/>
      <c r="AL149" s="1075"/>
      <c r="AM149" s="1075"/>
      <c r="AN149" s="1075"/>
      <c r="AO149" s="1075"/>
      <c r="AP149" s="1075"/>
      <c r="AQ149" s="1075"/>
      <c r="AR149" s="1075"/>
      <c r="AS149" s="1075"/>
      <c r="AT149" s="1075"/>
      <c r="AU149" s="1075"/>
      <c r="AV149" s="1075"/>
    </row>
    <row r="150" spans="1:48" ht="11.25" hidden="1" customHeight="1">
      <c r="A150" s="1075"/>
      <c r="B150" s="1075"/>
      <c r="C150" s="1075"/>
      <c r="D150" s="1075"/>
      <c r="E150" s="1075"/>
      <c r="F150" s="1075"/>
      <c r="G150" s="1075"/>
      <c r="H150" s="1075"/>
      <c r="I150" s="1075"/>
      <c r="J150" s="1075"/>
      <c r="K150" s="1075"/>
      <c r="L150" s="1075"/>
      <c r="M150" s="1075"/>
      <c r="N150" s="1075"/>
      <c r="O150" s="1075"/>
      <c r="P150" s="1075"/>
      <c r="Q150" s="1075"/>
      <c r="R150" s="1075"/>
      <c r="S150" s="1075"/>
      <c r="T150" s="1075"/>
      <c r="U150" s="1075"/>
      <c r="V150" s="1075"/>
      <c r="W150" s="1075"/>
      <c r="X150" s="1075"/>
      <c r="Y150" s="1075"/>
      <c r="Z150" s="1075"/>
      <c r="AA150" s="1075"/>
      <c r="AB150" s="1075"/>
      <c r="AC150" s="1075"/>
      <c r="AD150" s="1075"/>
      <c r="AE150" s="1075"/>
      <c r="AF150" s="1075"/>
      <c r="AG150" s="1075"/>
      <c r="AH150" s="1075"/>
      <c r="AI150" s="1075"/>
      <c r="AJ150" s="1075"/>
      <c r="AK150" s="1075"/>
      <c r="AL150" s="1075"/>
      <c r="AM150" s="1075"/>
      <c r="AN150" s="1075"/>
      <c r="AO150" s="1075"/>
      <c r="AP150" s="1075"/>
      <c r="AQ150" s="1075"/>
      <c r="AR150" s="1075"/>
      <c r="AS150" s="1075"/>
      <c r="AT150" s="1075"/>
      <c r="AU150" s="1075"/>
      <c r="AV150" s="1075"/>
    </row>
    <row r="151" spans="1:48" ht="11.25" hidden="1" customHeight="1">
      <c r="A151" s="1075"/>
      <c r="B151" s="1075"/>
      <c r="C151" s="1075"/>
      <c r="D151" s="1075"/>
      <c r="E151" s="1075"/>
      <c r="F151" s="1075"/>
      <c r="G151" s="1075"/>
      <c r="H151" s="1075"/>
      <c r="I151" s="1075"/>
      <c r="J151" s="1075"/>
      <c r="K151" s="1075"/>
      <c r="L151" s="1075"/>
      <c r="M151" s="1075"/>
      <c r="N151" s="1075"/>
      <c r="O151" s="1075"/>
      <c r="P151" s="1075"/>
      <c r="Q151" s="1075"/>
      <c r="R151" s="1075"/>
      <c r="S151" s="1075"/>
      <c r="T151" s="1075"/>
      <c r="U151" s="1075"/>
      <c r="V151" s="1075"/>
      <c r="W151" s="1075"/>
      <c r="X151" s="1075"/>
      <c r="Y151" s="1075"/>
      <c r="Z151" s="1075"/>
      <c r="AA151" s="1075"/>
      <c r="AB151" s="1075"/>
      <c r="AC151" s="1075"/>
      <c r="AD151" s="1075"/>
      <c r="AE151" s="1075"/>
      <c r="AF151" s="1075"/>
      <c r="AG151" s="1075"/>
      <c r="AH151" s="1075"/>
      <c r="AI151" s="1075"/>
      <c r="AJ151" s="1075"/>
      <c r="AK151" s="1075"/>
      <c r="AL151" s="1075"/>
      <c r="AM151" s="1075"/>
      <c r="AN151" s="1075"/>
      <c r="AO151" s="1075"/>
      <c r="AP151" s="1075"/>
      <c r="AQ151" s="1075"/>
      <c r="AR151" s="1075"/>
      <c r="AS151" s="1075"/>
      <c r="AT151" s="1075"/>
      <c r="AU151" s="1075"/>
      <c r="AV151" s="1075"/>
    </row>
    <row r="152" spans="1:48" ht="11.25" hidden="1" customHeight="1">
      <c r="A152" s="1075"/>
      <c r="B152" s="1075"/>
      <c r="C152" s="1075"/>
      <c r="D152" s="1075"/>
      <c r="E152" s="1075"/>
      <c r="F152" s="1075"/>
      <c r="G152" s="1075"/>
      <c r="H152" s="1075"/>
      <c r="I152" s="1075"/>
      <c r="J152" s="1075"/>
      <c r="K152" s="1075"/>
      <c r="L152" s="1075"/>
      <c r="M152" s="1075"/>
      <c r="N152" s="1075"/>
      <c r="O152" s="1075"/>
      <c r="P152" s="1075"/>
      <c r="Q152" s="1075"/>
      <c r="R152" s="1075"/>
      <c r="S152" s="1075"/>
      <c r="T152" s="1075"/>
      <c r="U152" s="1075"/>
      <c r="V152" s="1075"/>
      <c r="W152" s="1075"/>
      <c r="X152" s="1075"/>
      <c r="Y152" s="1075"/>
      <c r="Z152" s="1075"/>
      <c r="AA152" s="1075"/>
      <c r="AB152" s="1075"/>
      <c r="AC152" s="1075"/>
      <c r="AD152" s="1075"/>
      <c r="AE152" s="1075"/>
      <c r="AF152" s="1075"/>
      <c r="AG152" s="1075"/>
      <c r="AH152" s="1075"/>
      <c r="AI152" s="1075"/>
      <c r="AJ152" s="1075"/>
      <c r="AK152" s="1075"/>
      <c r="AL152" s="1075"/>
      <c r="AM152" s="1075"/>
      <c r="AN152" s="1075"/>
      <c r="AO152" s="1075"/>
      <c r="AP152" s="1075"/>
      <c r="AQ152" s="1075"/>
      <c r="AR152" s="1075"/>
      <c r="AS152" s="1075"/>
      <c r="AT152" s="1075"/>
      <c r="AU152" s="1075"/>
      <c r="AV152" s="1075"/>
    </row>
    <row r="153" spans="1:48" ht="11.25" hidden="1" customHeight="1">
      <c r="A153" s="1075"/>
      <c r="B153" s="1075"/>
      <c r="C153" s="1075"/>
      <c r="D153" s="1075"/>
      <c r="E153" s="1075"/>
      <c r="F153" s="1075"/>
      <c r="G153" s="1075"/>
      <c r="H153" s="1075"/>
      <c r="I153" s="1075"/>
      <c r="J153" s="1075"/>
      <c r="K153" s="1075"/>
      <c r="L153" s="1075"/>
      <c r="M153" s="1075"/>
      <c r="N153" s="1075"/>
      <c r="O153" s="1075"/>
      <c r="P153" s="1075"/>
      <c r="Q153" s="1075"/>
      <c r="R153" s="1075"/>
      <c r="S153" s="1075"/>
      <c r="T153" s="1075"/>
      <c r="U153" s="1075"/>
      <c r="V153" s="1075"/>
      <c r="W153" s="1075"/>
      <c r="X153" s="1075"/>
      <c r="Y153" s="1075"/>
      <c r="Z153" s="1075"/>
      <c r="AA153" s="1075"/>
      <c r="AB153" s="1075"/>
      <c r="AC153" s="1075"/>
      <c r="AD153" s="1075"/>
      <c r="AE153" s="1075"/>
      <c r="AF153" s="1075"/>
      <c r="AG153" s="1075"/>
      <c r="AH153" s="1075"/>
      <c r="AI153" s="1075"/>
      <c r="AJ153" s="1075"/>
      <c r="AK153" s="1075"/>
      <c r="AL153" s="1075"/>
      <c r="AM153" s="1075"/>
      <c r="AN153" s="1075"/>
      <c r="AO153" s="1075"/>
      <c r="AP153" s="1075"/>
      <c r="AQ153" s="1075"/>
      <c r="AR153" s="1075"/>
      <c r="AS153" s="1075"/>
      <c r="AT153" s="1075"/>
      <c r="AU153" s="1075"/>
      <c r="AV153" s="1075"/>
    </row>
    <row r="154" spans="1:48" ht="11.25" hidden="1" customHeight="1">
      <c r="A154" s="1075"/>
      <c r="B154" s="1075"/>
      <c r="C154" s="1075"/>
      <c r="D154" s="1075"/>
      <c r="E154" s="1075"/>
      <c r="F154" s="1075"/>
      <c r="G154" s="1075"/>
      <c r="H154" s="1075"/>
      <c r="I154" s="1075"/>
      <c r="J154" s="1075"/>
      <c r="K154" s="1075"/>
      <c r="L154" s="1075"/>
      <c r="M154" s="1075"/>
      <c r="N154" s="1075"/>
      <c r="O154" s="1075"/>
      <c r="P154" s="1075"/>
      <c r="Q154" s="1075"/>
      <c r="R154" s="1075"/>
      <c r="S154" s="1075"/>
      <c r="T154" s="1075"/>
      <c r="U154" s="1075"/>
      <c r="V154" s="1075"/>
      <c r="W154" s="1075"/>
      <c r="X154" s="1075"/>
      <c r="Y154" s="1075"/>
      <c r="Z154" s="1075"/>
      <c r="AA154" s="1075"/>
      <c r="AB154" s="1075"/>
      <c r="AC154" s="1075"/>
      <c r="AD154" s="1075"/>
      <c r="AE154" s="1075"/>
      <c r="AF154" s="1075"/>
      <c r="AG154" s="1075"/>
      <c r="AH154" s="1075"/>
      <c r="AI154" s="1075"/>
      <c r="AJ154" s="1075"/>
      <c r="AK154" s="1075"/>
      <c r="AL154" s="1075"/>
      <c r="AM154" s="1075"/>
      <c r="AN154" s="1075"/>
      <c r="AO154" s="1075"/>
      <c r="AP154" s="1075"/>
      <c r="AQ154" s="1075"/>
      <c r="AR154" s="1075"/>
      <c r="AS154" s="1075"/>
      <c r="AT154" s="1075"/>
      <c r="AU154" s="1075"/>
      <c r="AV154" s="1075"/>
    </row>
    <row r="155" spans="1:48" ht="11.25" hidden="1" customHeight="1">
      <c r="A155" s="1075"/>
      <c r="B155" s="1075"/>
      <c r="C155" s="1075"/>
      <c r="D155" s="1075"/>
      <c r="E155" s="1075"/>
      <c r="F155" s="1075"/>
      <c r="G155" s="1075"/>
      <c r="H155" s="1075"/>
      <c r="I155" s="1075"/>
      <c r="J155" s="1075"/>
      <c r="K155" s="1075"/>
      <c r="L155" s="1075"/>
      <c r="M155" s="1075"/>
      <c r="N155" s="1075"/>
      <c r="O155" s="1075"/>
      <c r="P155" s="1075"/>
      <c r="Q155" s="1075"/>
      <c r="R155" s="1075"/>
      <c r="S155" s="1075"/>
      <c r="T155" s="1075"/>
      <c r="U155" s="1075"/>
      <c r="V155" s="1075"/>
      <c r="W155" s="1075"/>
      <c r="X155" s="1075"/>
      <c r="Y155" s="1075"/>
      <c r="Z155" s="1075"/>
      <c r="AA155" s="1075"/>
      <c r="AB155" s="1075"/>
      <c r="AC155" s="1075"/>
      <c r="AD155" s="1075"/>
      <c r="AE155" s="1075"/>
      <c r="AF155" s="1075"/>
      <c r="AG155" s="1075"/>
      <c r="AH155" s="1075"/>
      <c r="AI155" s="1075"/>
      <c r="AJ155" s="1075"/>
      <c r="AK155" s="1075"/>
      <c r="AL155" s="1075"/>
      <c r="AM155" s="1075"/>
      <c r="AN155" s="1075"/>
      <c r="AO155" s="1075"/>
      <c r="AP155" s="1075"/>
      <c r="AQ155" s="1075"/>
      <c r="AR155" s="1075"/>
      <c r="AS155" s="1075"/>
      <c r="AT155" s="1075"/>
      <c r="AU155" s="1075"/>
      <c r="AV155" s="1075"/>
    </row>
    <row r="156" spans="1:48" ht="11.25" hidden="1" customHeight="1">
      <c r="A156" s="1075"/>
      <c r="B156" s="1075"/>
      <c r="C156" s="1075"/>
      <c r="D156" s="1075"/>
      <c r="E156" s="1075"/>
      <c r="F156" s="1075"/>
      <c r="G156" s="1075"/>
      <c r="H156" s="1075"/>
      <c r="I156" s="1075"/>
      <c r="J156" s="1075"/>
      <c r="K156" s="1075"/>
      <c r="L156" s="1075"/>
      <c r="M156" s="1075"/>
      <c r="N156" s="1075"/>
      <c r="O156" s="1075"/>
      <c r="P156" s="1075"/>
      <c r="Q156" s="1075"/>
      <c r="R156" s="1075"/>
      <c r="S156" s="1075"/>
      <c r="T156" s="1075"/>
      <c r="U156" s="1075"/>
      <c r="V156" s="1075"/>
      <c r="W156" s="1075"/>
      <c r="X156" s="1075"/>
      <c r="Y156" s="1075"/>
      <c r="Z156" s="1075"/>
      <c r="AA156" s="1075"/>
      <c r="AB156" s="1075"/>
      <c r="AC156" s="1075"/>
      <c r="AD156" s="1075"/>
      <c r="AE156" s="1075"/>
      <c r="AF156" s="1075"/>
      <c r="AG156" s="1075"/>
      <c r="AH156" s="1075"/>
      <c r="AI156" s="1075"/>
      <c r="AJ156" s="1075"/>
      <c r="AK156" s="1075"/>
      <c r="AL156" s="1075"/>
      <c r="AM156" s="1075"/>
      <c r="AN156" s="1075"/>
      <c r="AO156" s="1075"/>
      <c r="AP156" s="1075"/>
      <c r="AQ156" s="1075"/>
      <c r="AR156" s="1075"/>
      <c r="AS156" s="1075"/>
      <c r="AT156" s="1075"/>
      <c r="AU156" s="1075"/>
      <c r="AV156" s="1075"/>
    </row>
    <row r="157" spans="1:48" ht="11.25" hidden="1" customHeight="1">
      <c r="A157" s="1075"/>
      <c r="B157" s="1075"/>
      <c r="C157" s="1075"/>
      <c r="D157" s="1075"/>
      <c r="E157" s="1075"/>
      <c r="F157" s="1075"/>
      <c r="G157" s="1075"/>
      <c r="H157" s="1075"/>
      <c r="I157" s="1075"/>
      <c r="J157" s="1075"/>
      <c r="K157" s="1075"/>
      <c r="L157" s="1075"/>
      <c r="M157" s="1075"/>
      <c r="N157" s="1075"/>
      <c r="O157" s="1075"/>
      <c r="P157" s="1075"/>
      <c r="Q157" s="1075"/>
      <c r="R157" s="1075"/>
      <c r="S157" s="1075"/>
      <c r="T157" s="1075"/>
      <c r="U157" s="1075"/>
      <c r="V157" s="1075"/>
      <c r="W157" s="1075"/>
      <c r="X157" s="1075"/>
      <c r="Y157" s="1075"/>
      <c r="Z157" s="1075"/>
      <c r="AA157" s="1075"/>
      <c r="AB157" s="1075"/>
      <c r="AC157" s="1075"/>
      <c r="AD157" s="1075"/>
      <c r="AE157" s="1075"/>
      <c r="AF157" s="1075"/>
      <c r="AG157" s="1075"/>
      <c r="AH157" s="1075"/>
      <c r="AI157" s="1075"/>
      <c r="AJ157" s="1075"/>
      <c r="AK157" s="1075"/>
      <c r="AL157" s="1075"/>
      <c r="AM157" s="1075"/>
      <c r="AN157" s="1075"/>
      <c r="AO157" s="1075"/>
      <c r="AP157" s="1075"/>
      <c r="AQ157" s="1075"/>
      <c r="AR157" s="1075"/>
      <c r="AS157" s="1075"/>
      <c r="AT157" s="1075"/>
      <c r="AU157" s="1075"/>
      <c r="AV157" s="1075"/>
    </row>
    <row r="158" spans="1:48" ht="11.25" hidden="1" customHeight="1">
      <c r="A158" s="1075"/>
      <c r="B158" s="1075"/>
      <c r="C158" s="1075"/>
      <c r="D158" s="1075"/>
      <c r="E158" s="1075"/>
      <c r="F158" s="1075"/>
      <c r="G158" s="1075"/>
      <c r="H158" s="1075"/>
      <c r="I158" s="1075"/>
      <c r="J158" s="1075"/>
      <c r="K158" s="1075"/>
      <c r="L158" s="1075"/>
      <c r="M158" s="1075"/>
      <c r="N158" s="1075"/>
      <c r="O158" s="1075"/>
      <c r="P158" s="1075"/>
      <c r="Q158" s="1075"/>
      <c r="R158" s="1075"/>
      <c r="S158" s="1075"/>
      <c r="T158" s="1075"/>
      <c r="U158" s="1075"/>
      <c r="V158" s="1075"/>
      <c r="W158" s="1075"/>
      <c r="X158" s="1075"/>
      <c r="Y158" s="1075"/>
      <c r="Z158" s="1075"/>
      <c r="AA158" s="1075"/>
      <c r="AB158" s="1075"/>
      <c r="AC158" s="1075"/>
      <c r="AD158" s="1075"/>
      <c r="AE158" s="1075"/>
      <c r="AF158" s="1075"/>
      <c r="AG158" s="1075"/>
      <c r="AH158" s="1075"/>
      <c r="AI158" s="1075"/>
      <c r="AJ158" s="1075"/>
      <c r="AK158" s="1075"/>
      <c r="AL158" s="1075"/>
      <c r="AM158" s="1075"/>
      <c r="AN158" s="1075"/>
      <c r="AO158" s="1075"/>
      <c r="AP158" s="1075"/>
      <c r="AQ158" s="1075"/>
      <c r="AR158" s="1075"/>
      <c r="AS158" s="1075"/>
      <c r="AT158" s="1075"/>
      <c r="AU158" s="1075"/>
      <c r="AV158" s="1075"/>
    </row>
    <row r="159" spans="1:48" ht="11.25" hidden="1" customHeight="1">
      <c r="A159" s="1075"/>
      <c r="B159" s="1075"/>
      <c r="C159" s="1075"/>
      <c r="D159" s="1075"/>
      <c r="E159" s="1075"/>
      <c r="F159" s="1075"/>
      <c r="G159" s="1075"/>
      <c r="H159" s="1075"/>
      <c r="I159" s="1075"/>
      <c r="J159" s="1075"/>
      <c r="K159" s="1075"/>
      <c r="L159" s="1075"/>
      <c r="M159" s="1075"/>
      <c r="N159" s="1075"/>
      <c r="O159" s="1075"/>
      <c r="P159" s="1075"/>
      <c r="Q159" s="1075"/>
      <c r="R159" s="1075"/>
      <c r="S159" s="1075"/>
      <c r="T159" s="1075"/>
      <c r="U159" s="1075"/>
      <c r="V159" s="1075"/>
      <c r="W159" s="1075"/>
      <c r="X159" s="1075"/>
      <c r="Y159" s="1075"/>
      <c r="Z159" s="1075"/>
      <c r="AA159" s="1075"/>
      <c r="AB159" s="1075"/>
      <c r="AC159" s="1075"/>
      <c r="AD159" s="1075"/>
      <c r="AE159" s="1075"/>
      <c r="AF159" s="1075"/>
      <c r="AG159" s="1075"/>
      <c r="AH159" s="1075"/>
      <c r="AI159" s="1075"/>
      <c r="AJ159" s="1075"/>
      <c r="AK159" s="1075"/>
      <c r="AL159" s="1075"/>
      <c r="AM159" s="1075"/>
      <c r="AN159" s="1075"/>
      <c r="AO159" s="1075"/>
      <c r="AP159" s="1075"/>
      <c r="AQ159" s="1075"/>
      <c r="AR159" s="1075"/>
      <c r="AS159" s="1075"/>
      <c r="AT159" s="1075"/>
      <c r="AU159" s="1075"/>
      <c r="AV159" s="1075"/>
    </row>
    <row r="160" spans="1:48" ht="11.25" hidden="1" customHeight="1">
      <c r="A160" s="1075"/>
      <c r="B160" s="1075"/>
      <c r="C160" s="1075"/>
      <c r="D160" s="1075"/>
      <c r="E160" s="1075"/>
      <c r="F160" s="1075"/>
      <c r="G160" s="1075"/>
      <c r="H160" s="1075"/>
      <c r="I160" s="1075"/>
      <c r="J160" s="1075"/>
      <c r="K160" s="1075"/>
      <c r="L160" s="1075"/>
      <c r="M160" s="1075"/>
      <c r="N160" s="1075"/>
      <c r="O160" s="1075"/>
      <c r="P160" s="1075"/>
      <c r="Q160" s="1075"/>
      <c r="R160" s="1075"/>
      <c r="S160" s="1075"/>
      <c r="T160" s="1075"/>
      <c r="U160" s="1075"/>
      <c r="V160" s="1075"/>
      <c r="W160" s="1075"/>
      <c r="X160" s="1075"/>
      <c r="Y160" s="1075"/>
      <c r="Z160" s="1075"/>
      <c r="AA160" s="1075"/>
      <c r="AB160" s="1075"/>
      <c r="AC160" s="1075"/>
      <c r="AD160" s="1075"/>
      <c r="AE160" s="1075"/>
      <c r="AF160" s="1075"/>
      <c r="AG160" s="1075"/>
      <c r="AH160" s="1075"/>
      <c r="AI160" s="1075"/>
      <c r="AJ160" s="1075"/>
      <c r="AK160" s="1075"/>
      <c r="AL160" s="1075"/>
      <c r="AM160" s="1075"/>
      <c r="AN160" s="1075"/>
      <c r="AO160" s="1075"/>
      <c r="AP160" s="1075"/>
      <c r="AQ160" s="1075"/>
      <c r="AR160" s="1075"/>
      <c r="AS160" s="1075"/>
      <c r="AT160" s="1075"/>
      <c r="AU160" s="1075"/>
      <c r="AV160" s="1075"/>
    </row>
    <row r="161" spans="1:48" ht="11.25" hidden="1" customHeight="1">
      <c r="A161" s="1075"/>
      <c r="B161" s="1075"/>
      <c r="C161" s="1075"/>
      <c r="D161" s="1075"/>
      <c r="E161" s="1075"/>
      <c r="F161" s="1075"/>
      <c r="G161" s="1075"/>
      <c r="H161" s="1075"/>
      <c r="I161" s="1075"/>
      <c r="J161" s="1075"/>
      <c r="K161" s="1075"/>
      <c r="L161" s="1075"/>
      <c r="M161" s="1075"/>
      <c r="N161" s="1075"/>
      <c r="O161" s="1075"/>
      <c r="P161" s="1075"/>
      <c r="Q161" s="1075"/>
      <c r="R161" s="1075"/>
      <c r="S161" s="1075"/>
      <c r="T161" s="1075"/>
      <c r="U161" s="1075"/>
      <c r="V161" s="1075"/>
      <c r="W161" s="1075"/>
      <c r="X161" s="1075"/>
      <c r="Y161" s="1075"/>
      <c r="Z161" s="1075"/>
      <c r="AA161" s="1075"/>
      <c r="AB161" s="1075"/>
      <c r="AC161" s="1075"/>
      <c r="AD161" s="1075"/>
      <c r="AE161" s="1075"/>
      <c r="AF161" s="1075"/>
      <c r="AG161" s="1075"/>
      <c r="AH161" s="1075"/>
      <c r="AI161" s="1075"/>
      <c r="AJ161" s="1075"/>
      <c r="AK161" s="1075"/>
      <c r="AL161" s="1075"/>
      <c r="AM161" s="1075"/>
      <c r="AN161" s="1075"/>
      <c r="AO161" s="1075"/>
      <c r="AP161" s="1075"/>
      <c r="AQ161" s="1075"/>
      <c r="AR161" s="1075"/>
      <c r="AS161" s="1075"/>
      <c r="AT161" s="1075"/>
      <c r="AU161" s="1075"/>
      <c r="AV161" s="1075"/>
    </row>
    <row r="162" spans="1:48" ht="11.25" hidden="1" customHeight="1">
      <c r="A162" s="1075"/>
      <c r="B162" s="1075"/>
      <c r="C162" s="1075"/>
      <c r="D162" s="1075"/>
      <c r="E162" s="1075"/>
      <c r="F162" s="1075"/>
      <c r="G162" s="1075"/>
      <c r="H162" s="1075"/>
      <c r="I162" s="1075"/>
      <c r="J162" s="1075"/>
      <c r="K162" s="1075"/>
      <c r="L162" s="1075"/>
      <c r="M162" s="1075"/>
      <c r="N162" s="1075"/>
      <c r="O162" s="1075"/>
      <c r="P162" s="1075"/>
      <c r="Q162" s="1075"/>
      <c r="R162" s="1075"/>
      <c r="S162" s="1075"/>
      <c r="T162" s="1075"/>
      <c r="U162" s="1075"/>
      <c r="V162" s="1075"/>
      <c r="W162" s="1075"/>
      <c r="X162" s="1075"/>
      <c r="Y162" s="1075"/>
      <c r="Z162" s="1075"/>
      <c r="AA162" s="1075"/>
      <c r="AB162" s="1075"/>
      <c r="AC162" s="1075"/>
      <c r="AD162" s="1075"/>
      <c r="AE162" s="1075"/>
      <c r="AF162" s="1075"/>
      <c r="AG162" s="1075"/>
      <c r="AH162" s="1075"/>
      <c r="AI162" s="1075"/>
      <c r="AJ162" s="1075"/>
      <c r="AK162" s="1075"/>
      <c r="AL162" s="1075"/>
      <c r="AM162" s="1075"/>
      <c r="AN162" s="1075"/>
      <c r="AO162" s="1075"/>
      <c r="AP162" s="1075"/>
      <c r="AQ162" s="1075"/>
      <c r="AR162" s="1075"/>
      <c r="AS162" s="1075"/>
      <c r="AT162" s="1075"/>
      <c r="AU162" s="1075"/>
      <c r="AV162" s="1075"/>
    </row>
    <row r="163" spans="1:48" ht="11.25" hidden="1" customHeight="1">
      <c r="A163" s="1075"/>
      <c r="B163" s="1075"/>
      <c r="C163" s="1075"/>
      <c r="D163" s="1075"/>
      <c r="E163" s="1075"/>
      <c r="F163" s="1075"/>
      <c r="G163" s="1075"/>
      <c r="H163" s="1075"/>
      <c r="I163" s="1075"/>
      <c r="J163" s="1075"/>
      <c r="K163" s="1075"/>
      <c r="L163" s="1075"/>
      <c r="M163" s="1075"/>
      <c r="N163" s="1075"/>
      <c r="O163" s="1075"/>
      <c r="P163" s="1075"/>
      <c r="Q163" s="1075"/>
      <c r="R163" s="1075"/>
      <c r="S163" s="1075"/>
      <c r="T163" s="1075"/>
      <c r="U163" s="1075"/>
      <c r="V163" s="1075"/>
      <c r="W163" s="1075"/>
      <c r="X163" s="1075"/>
      <c r="Y163" s="1075"/>
      <c r="Z163" s="1075"/>
      <c r="AA163" s="1075"/>
      <c r="AB163" s="1075"/>
      <c r="AC163" s="1075"/>
      <c r="AD163" s="1075"/>
      <c r="AE163" s="1075"/>
      <c r="AF163" s="1075"/>
      <c r="AG163" s="1075"/>
      <c r="AH163" s="1075"/>
      <c r="AI163" s="1075"/>
      <c r="AJ163" s="1075"/>
      <c r="AK163" s="1075"/>
      <c r="AL163" s="1075"/>
      <c r="AM163" s="1075"/>
      <c r="AN163" s="1075"/>
      <c r="AO163" s="1075"/>
      <c r="AP163" s="1075"/>
      <c r="AQ163" s="1075"/>
      <c r="AR163" s="1075"/>
      <c r="AS163" s="1075"/>
      <c r="AT163" s="1075"/>
      <c r="AU163" s="1075"/>
      <c r="AV163" s="1075"/>
    </row>
    <row r="164" spans="1:48" ht="11.25" hidden="1" customHeight="1">
      <c r="A164" s="1075"/>
      <c r="B164" s="1075"/>
      <c r="C164" s="1075"/>
      <c r="D164" s="1075"/>
      <c r="E164" s="1075"/>
      <c r="F164" s="1075"/>
      <c r="G164" s="1075"/>
      <c r="H164" s="1075"/>
      <c r="I164" s="1075"/>
      <c r="J164" s="1075"/>
      <c r="K164" s="1075"/>
      <c r="L164" s="1075"/>
      <c r="M164" s="1075"/>
      <c r="N164" s="1075"/>
      <c r="O164" s="1075"/>
      <c r="P164" s="1075"/>
      <c r="Q164" s="1075"/>
      <c r="R164" s="1075"/>
      <c r="S164" s="1075"/>
      <c r="T164" s="1075"/>
      <c r="U164" s="1075"/>
      <c r="V164" s="1075"/>
      <c r="W164" s="1075"/>
      <c r="X164" s="1075"/>
      <c r="Y164" s="1075"/>
      <c r="Z164" s="1075"/>
      <c r="AA164" s="1075"/>
      <c r="AB164" s="1075"/>
      <c r="AC164" s="1075"/>
      <c r="AD164" s="1075"/>
      <c r="AE164" s="1075"/>
      <c r="AF164" s="1075"/>
      <c r="AG164" s="1075"/>
      <c r="AH164" s="1075"/>
      <c r="AI164" s="1075"/>
      <c r="AJ164" s="1075"/>
      <c r="AK164" s="1075"/>
      <c r="AL164" s="1075"/>
      <c r="AM164" s="1075"/>
      <c r="AN164" s="1075"/>
      <c r="AO164" s="1075"/>
      <c r="AP164" s="1075"/>
      <c r="AQ164" s="1075"/>
      <c r="AR164" s="1075"/>
      <c r="AS164" s="1075"/>
      <c r="AT164" s="1075"/>
      <c r="AU164" s="1075"/>
      <c r="AV164" s="1075"/>
    </row>
    <row r="165" spans="1:48" ht="11.25" hidden="1" customHeight="1">
      <c r="A165" s="1075"/>
      <c r="B165" s="1075"/>
      <c r="C165" s="1075"/>
      <c r="D165" s="1075"/>
      <c r="E165" s="1075"/>
      <c r="F165" s="1075"/>
      <c r="G165" s="1075"/>
      <c r="H165" s="1075"/>
      <c r="I165" s="1075"/>
      <c r="J165" s="1075"/>
      <c r="K165" s="1075"/>
      <c r="L165" s="1075"/>
      <c r="M165" s="1075"/>
      <c r="N165" s="1075"/>
      <c r="O165" s="1075"/>
      <c r="P165" s="1075"/>
      <c r="Q165" s="1075"/>
      <c r="R165" s="1075"/>
      <c r="S165" s="1075"/>
      <c r="T165" s="1075"/>
      <c r="U165" s="1075"/>
      <c r="V165" s="1075"/>
      <c r="W165" s="1075"/>
      <c r="X165" s="1075"/>
      <c r="Y165" s="1075"/>
      <c r="Z165" s="1075"/>
      <c r="AA165" s="1075"/>
      <c r="AB165" s="1075"/>
      <c r="AC165" s="1075"/>
      <c r="AD165" s="1075"/>
      <c r="AE165" s="1075"/>
      <c r="AF165" s="1075"/>
      <c r="AG165" s="1075"/>
      <c r="AH165" s="1075"/>
      <c r="AI165" s="1075"/>
      <c r="AJ165" s="1075"/>
      <c r="AK165" s="1075"/>
      <c r="AL165" s="1075"/>
      <c r="AM165" s="1075"/>
      <c r="AN165" s="1075"/>
      <c r="AO165" s="1075"/>
      <c r="AP165" s="1075"/>
      <c r="AQ165" s="1075"/>
      <c r="AR165" s="1075"/>
      <c r="AS165" s="1075"/>
      <c r="AT165" s="1075"/>
      <c r="AU165" s="1075"/>
      <c r="AV165" s="1075"/>
    </row>
    <row r="166" spans="1:48" ht="11.25" hidden="1" customHeight="1">
      <c r="A166" s="1075"/>
      <c r="B166" s="1075"/>
      <c r="C166" s="1075"/>
      <c r="D166" s="1075"/>
      <c r="E166" s="1075"/>
      <c r="F166" s="1075"/>
      <c r="G166" s="1075"/>
      <c r="H166" s="1075"/>
      <c r="I166" s="1075"/>
      <c r="J166" s="1075"/>
      <c r="K166" s="1075"/>
      <c r="L166" s="1075"/>
      <c r="M166" s="1075"/>
      <c r="N166" s="1075"/>
      <c r="O166" s="1075"/>
      <c r="P166" s="1075"/>
      <c r="Q166" s="1075"/>
      <c r="R166" s="1075"/>
      <c r="S166" s="1075"/>
      <c r="T166" s="1075"/>
      <c r="U166" s="1075"/>
      <c r="V166" s="1075"/>
      <c r="W166" s="1075"/>
      <c r="X166" s="1075"/>
      <c r="Y166" s="1075"/>
      <c r="Z166" s="1075"/>
      <c r="AA166" s="1075"/>
      <c r="AB166" s="1075"/>
      <c r="AC166" s="1075"/>
      <c r="AD166" s="1075"/>
      <c r="AE166" s="1075"/>
      <c r="AF166" s="1075"/>
      <c r="AG166" s="1075"/>
      <c r="AH166" s="1075"/>
      <c r="AI166" s="1075"/>
      <c r="AJ166" s="1075"/>
      <c r="AK166" s="1075"/>
      <c r="AL166" s="1075"/>
      <c r="AM166" s="1075"/>
      <c r="AN166" s="1075"/>
      <c r="AO166" s="1075"/>
      <c r="AP166" s="1075"/>
      <c r="AQ166" s="1075"/>
      <c r="AR166" s="1075"/>
      <c r="AS166" s="1075"/>
      <c r="AT166" s="1075"/>
      <c r="AU166" s="1075"/>
      <c r="AV166" s="1075"/>
    </row>
    <row r="167" spans="1:48" ht="11.25" hidden="1" customHeight="1">
      <c r="A167" s="1075"/>
      <c r="B167" s="1075"/>
      <c r="C167" s="1075"/>
      <c r="D167" s="1075"/>
      <c r="E167" s="1075"/>
      <c r="F167" s="1075"/>
      <c r="G167" s="1075"/>
      <c r="H167" s="1075"/>
      <c r="I167" s="1075"/>
      <c r="J167" s="1075"/>
      <c r="K167" s="1075"/>
      <c r="L167" s="1075"/>
      <c r="M167" s="1075"/>
      <c r="N167" s="1075"/>
      <c r="O167" s="1075"/>
      <c r="P167" s="1075"/>
      <c r="Q167" s="1075"/>
      <c r="R167" s="1075"/>
      <c r="S167" s="1075"/>
      <c r="T167" s="1075"/>
      <c r="U167" s="1075"/>
      <c r="V167" s="1075"/>
      <c r="W167" s="1075"/>
      <c r="X167" s="1075"/>
      <c r="Y167" s="1075"/>
      <c r="Z167" s="1075"/>
      <c r="AA167" s="1075"/>
      <c r="AB167" s="1075"/>
      <c r="AC167" s="1075"/>
      <c r="AD167" s="1075"/>
      <c r="AE167" s="1075"/>
      <c r="AF167" s="1075"/>
      <c r="AG167" s="1075"/>
      <c r="AH167" s="1075"/>
      <c r="AI167" s="1075"/>
      <c r="AJ167" s="1075"/>
      <c r="AK167" s="1075"/>
      <c r="AL167" s="1075"/>
      <c r="AM167" s="1075"/>
      <c r="AN167" s="1075"/>
      <c r="AO167" s="1075"/>
      <c r="AP167" s="1075"/>
      <c r="AQ167" s="1075"/>
      <c r="AR167" s="1075"/>
      <c r="AS167" s="1075"/>
      <c r="AT167" s="1075"/>
      <c r="AU167" s="1075"/>
      <c r="AV167" s="1075"/>
    </row>
    <row r="168" spans="1:48" ht="11.25" hidden="1" customHeight="1">
      <c r="A168" s="1075"/>
      <c r="B168" s="1075"/>
      <c r="C168" s="1075"/>
      <c r="D168" s="1075"/>
      <c r="E168" s="1075"/>
      <c r="F168" s="1075"/>
      <c r="G168" s="1075"/>
      <c r="H168" s="1075"/>
      <c r="I168" s="1075"/>
      <c r="J168" s="1075"/>
      <c r="K168" s="1075"/>
      <c r="L168" s="1075"/>
      <c r="M168" s="1075"/>
      <c r="N168" s="1075"/>
      <c r="O168" s="1075"/>
      <c r="P168" s="1075"/>
      <c r="Q168" s="1075"/>
      <c r="R168" s="1075"/>
      <c r="S168" s="1075"/>
      <c r="T168" s="1075"/>
      <c r="U168" s="1075"/>
      <c r="V168" s="1075"/>
      <c r="W168" s="1075"/>
      <c r="X168" s="1075"/>
      <c r="Y168" s="1075"/>
      <c r="Z168" s="1075"/>
      <c r="AA168" s="1075"/>
      <c r="AB168" s="1075"/>
      <c r="AC168" s="1075"/>
      <c r="AD168" s="1075"/>
      <c r="AE168" s="1075"/>
      <c r="AF168" s="1075"/>
      <c r="AG168" s="1075"/>
      <c r="AH168" s="1075"/>
      <c r="AI168" s="1075"/>
      <c r="AJ168" s="1075"/>
      <c r="AK168" s="1075"/>
      <c r="AL168" s="1075"/>
      <c r="AM168" s="1075"/>
      <c r="AN168" s="1075"/>
      <c r="AO168" s="1075"/>
      <c r="AP168" s="1075"/>
      <c r="AQ168" s="1075"/>
      <c r="AR168" s="1075"/>
      <c r="AS168" s="1075"/>
      <c r="AT168" s="1075"/>
      <c r="AU168" s="1075"/>
      <c r="AV168" s="1075"/>
    </row>
    <row r="169" spans="1:48" ht="11.25" hidden="1" customHeight="1">
      <c r="A169" s="1075"/>
      <c r="B169" s="1075"/>
      <c r="C169" s="1075"/>
      <c r="D169" s="1075"/>
      <c r="E169" s="1075"/>
      <c r="F169" s="1075"/>
      <c r="G169" s="1075"/>
      <c r="H169" s="1075"/>
      <c r="I169" s="1075"/>
      <c r="J169" s="1075"/>
      <c r="K169" s="1075"/>
      <c r="L169" s="1075"/>
      <c r="M169" s="1075"/>
      <c r="N169" s="1075"/>
      <c r="O169" s="1075"/>
      <c r="P169" s="1075"/>
      <c r="Q169" s="1075"/>
      <c r="R169" s="1075"/>
      <c r="S169" s="1075"/>
      <c r="T169" s="1075"/>
      <c r="U169" s="1075"/>
      <c r="V169" s="1075"/>
      <c r="W169" s="1075"/>
      <c r="X169" s="1075"/>
      <c r="Y169" s="1075"/>
      <c r="Z169" s="1075"/>
      <c r="AA169" s="1075"/>
      <c r="AB169" s="1075"/>
      <c r="AC169" s="1075"/>
      <c r="AD169" s="1075"/>
      <c r="AE169" s="1075"/>
      <c r="AF169" s="1075"/>
      <c r="AG169" s="1075"/>
      <c r="AH169" s="1075"/>
      <c r="AI169" s="1075"/>
      <c r="AJ169" s="1075"/>
      <c r="AK169" s="1075"/>
      <c r="AL169" s="1075"/>
      <c r="AM169" s="1075"/>
      <c r="AN169" s="1075"/>
      <c r="AO169" s="1075"/>
      <c r="AP169" s="1075"/>
      <c r="AQ169" s="1075"/>
      <c r="AR169" s="1075"/>
      <c r="AS169" s="1075"/>
      <c r="AT169" s="1075"/>
      <c r="AU169" s="1075"/>
      <c r="AV169" s="1075"/>
    </row>
    <row r="170" spans="1:48" ht="11.25" hidden="1" customHeight="1">
      <c r="A170" s="1075"/>
      <c r="B170" s="1075"/>
      <c r="C170" s="1075"/>
      <c r="D170" s="1075"/>
      <c r="E170" s="1075"/>
      <c r="F170" s="1075"/>
      <c r="G170" s="1075"/>
      <c r="H170" s="1075"/>
      <c r="I170" s="1075"/>
      <c r="J170" s="1075"/>
      <c r="K170" s="1075"/>
      <c r="L170" s="1075"/>
      <c r="M170" s="1075"/>
      <c r="N170" s="1075"/>
      <c r="O170" s="1075"/>
      <c r="P170" s="1075"/>
      <c r="Q170" s="1075"/>
      <c r="R170" s="1075"/>
      <c r="S170" s="1075"/>
      <c r="T170" s="1075"/>
      <c r="U170" s="1075"/>
      <c r="V170" s="1075"/>
      <c r="W170" s="1075"/>
      <c r="X170" s="1075"/>
      <c r="Y170" s="1075"/>
      <c r="Z170" s="1075"/>
      <c r="AA170" s="1075"/>
      <c r="AB170" s="1075"/>
      <c r="AC170" s="1075"/>
      <c r="AD170" s="1075"/>
      <c r="AE170" s="1075"/>
      <c r="AF170" s="1075"/>
      <c r="AG170" s="1075"/>
      <c r="AH170" s="1075"/>
      <c r="AI170" s="1075"/>
      <c r="AJ170" s="1075"/>
      <c r="AK170" s="1075"/>
      <c r="AL170" s="1075"/>
      <c r="AM170" s="1075"/>
      <c r="AN170" s="1075"/>
      <c r="AO170" s="1075"/>
      <c r="AP170" s="1075"/>
      <c r="AQ170" s="1075"/>
      <c r="AR170" s="1075"/>
      <c r="AS170" s="1075"/>
      <c r="AT170" s="1075"/>
      <c r="AU170" s="1075"/>
      <c r="AV170" s="1075"/>
    </row>
    <row r="171" spans="1:48" ht="11.25" hidden="1" customHeight="1">
      <c r="A171" s="1075"/>
      <c r="B171" s="1075"/>
      <c r="C171" s="1075"/>
      <c r="D171" s="1075"/>
      <c r="E171" s="1075"/>
      <c r="F171" s="1075"/>
      <c r="G171" s="1075"/>
      <c r="H171" s="1075"/>
      <c r="I171" s="1075"/>
      <c r="J171" s="1075"/>
      <c r="K171" s="1075"/>
      <c r="L171" s="1075"/>
      <c r="M171" s="1075"/>
      <c r="N171" s="1075"/>
      <c r="O171" s="1075"/>
      <c r="P171" s="1075"/>
      <c r="Q171" s="1075"/>
      <c r="R171" s="1075"/>
      <c r="S171" s="1075"/>
      <c r="T171" s="1075"/>
      <c r="U171" s="1075"/>
      <c r="V171" s="1075"/>
      <c r="W171" s="1075"/>
      <c r="X171" s="1075"/>
      <c r="Y171" s="1075"/>
      <c r="Z171" s="1075"/>
      <c r="AA171" s="1075"/>
      <c r="AB171" s="1075"/>
      <c r="AC171" s="1075"/>
      <c r="AD171" s="1075"/>
      <c r="AE171" s="1075"/>
      <c r="AF171" s="1075"/>
      <c r="AG171" s="1075"/>
      <c r="AH171" s="1075"/>
      <c r="AI171" s="1075"/>
      <c r="AJ171" s="1075"/>
      <c r="AK171" s="1075"/>
      <c r="AL171" s="1075"/>
      <c r="AM171" s="1075"/>
      <c r="AN171" s="1075"/>
      <c r="AO171" s="1075"/>
      <c r="AP171" s="1075"/>
      <c r="AQ171" s="1075"/>
      <c r="AR171" s="1075"/>
      <c r="AS171" s="1075"/>
      <c r="AT171" s="1075"/>
      <c r="AU171" s="1075"/>
      <c r="AV171" s="1075"/>
    </row>
    <row r="172" spans="1:48" ht="11.25" hidden="1" customHeight="1">
      <c r="A172" s="1075"/>
      <c r="B172" s="1075"/>
      <c r="C172" s="1075"/>
      <c r="D172" s="1075"/>
      <c r="E172" s="1075"/>
      <c r="F172" s="1075"/>
      <c r="G172" s="1075"/>
      <c r="H172" s="1075"/>
      <c r="I172" s="1075"/>
      <c r="J172" s="1075"/>
      <c r="K172" s="1075"/>
      <c r="L172" s="1075"/>
      <c r="M172" s="1075"/>
      <c r="N172" s="1075"/>
      <c r="O172" s="1075"/>
      <c r="P172" s="1075"/>
      <c r="Q172" s="1075"/>
      <c r="R172" s="1075"/>
      <c r="S172" s="1075"/>
      <c r="T172" s="1075"/>
      <c r="U172" s="1075"/>
      <c r="V172" s="1075"/>
      <c r="W172" s="1075"/>
      <c r="X172" s="1075"/>
      <c r="Y172" s="1075"/>
      <c r="Z172" s="1075"/>
      <c r="AA172" s="1075"/>
      <c r="AB172" s="1075"/>
      <c r="AC172" s="1075"/>
      <c r="AD172" s="1075"/>
      <c r="AE172" s="1075"/>
      <c r="AF172" s="1075"/>
      <c r="AG172" s="1075"/>
      <c r="AH172" s="1075"/>
      <c r="AI172" s="1075"/>
      <c r="AJ172" s="1075"/>
      <c r="AK172" s="1075"/>
      <c r="AL172" s="1075"/>
      <c r="AM172" s="1075"/>
      <c r="AN172" s="1075"/>
      <c r="AO172" s="1075"/>
      <c r="AP172" s="1075"/>
      <c r="AQ172" s="1075"/>
      <c r="AR172" s="1075"/>
      <c r="AS172" s="1075"/>
      <c r="AT172" s="1075"/>
      <c r="AU172" s="1075"/>
      <c r="AV172" s="1075"/>
    </row>
    <row r="173" spans="1:48" ht="11.25" hidden="1" customHeight="1">
      <c r="A173" s="1075"/>
      <c r="B173" s="1075"/>
      <c r="C173" s="1075"/>
      <c r="D173" s="1075"/>
      <c r="E173" s="1075"/>
      <c r="F173" s="1075"/>
      <c r="G173" s="1075"/>
      <c r="H173" s="1075"/>
      <c r="I173" s="1075"/>
      <c r="J173" s="1075"/>
      <c r="K173" s="1075"/>
      <c r="L173" s="1075"/>
      <c r="M173" s="1075"/>
      <c r="N173" s="1075"/>
      <c r="O173" s="1075"/>
      <c r="P173" s="1075"/>
      <c r="Q173" s="1075"/>
      <c r="R173" s="1075"/>
      <c r="S173" s="1075"/>
      <c r="T173" s="1075"/>
      <c r="U173" s="1075"/>
      <c r="V173" s="1075"/>
      <c r="W173" s="1075"/>
      <c r="X173" s="1075"/>
      <c r="Y173" s="1075"/>
      <c r="Z173" s="1075"/>
      <c r="AA173" s="1075"/>
      <c r="AB173" s="1075"/>
      <c r="AC173" s="1075"/>
      <c r="AD173" s="1075"/>
      <c r="AE173" s="1075"/>
      <c r="AF173" s="1075"/>
      <c r="AG173" s="1075"/>
      <c r="AH173" s="1075"/>
      <c r="AI173" s="1075"/>
      <c r="AJ173" s="1075"/>
      <c r="AK173" s="1075"/>
      <c r="AL173" s="1075"/>
      <c r="AM173" s="1075"/>
      <c r="AN173" s="1075"/>
      <c r="AO173" s="1075"/>
      <c r="AP173" s="1075"/>
      <c r="AQ173" s="1075"/>
      <c r="AR173" s="1075"/>
      <c r="AS173" s="1075"/>
      <c r="AT173" s="1075"/>
      <c r="AU173" s="1075"/>
      <c r="AV173" s="1075"/>
    </row>
    <row r="174" spans="1:48" ht="11.25" hidden="1" customHeight="1">
      <c r="A174" s="1075"/>
      <c r="B174" s="1075"/>
      <c r="C174" s="1075"/>
      <c r="D174" s="1075"/>
      <c r="E174" s="1075"/>
      <c r="F174" s="1075"/>
      <c r="G174" s="1075"/>
      <c r="H174" s="1075"/>
      <c r="I174" s="1075"/>
      <c r="J174" s="1075"/>
      <c r="K174" s="1075"/>
      <c r="L174" s="1075"/>
      <c r="M174" s="1075"/>
      <c r="N174" s="1075"/>
      <c r="O174" s="1075"/>
      <c r="P174" s="1075"/>
      <c r="Q174" s="1075"/>
      <c r="R174" s="1075"/>
      <c r="S174" s="1075"/>
      <c r="T174" s="1075"/>
      <c r="U174" s="1075"/>
      <c r="V174" s="1075"/>
      <c r="W174" s="1075"/>
      <c r="X174" s="1075"/>
      <c r="Y174" s="1075"/>
      <c r="Z174" s="1075"/>
      <c r="AA174" s="1075"/>
      <c r="AB174" s="1075"/>
      <c r="AC174" s="1075"/>
      <c r="AD174" s="1075"/>
      <c r="AE174" s="1075"/>
      <c r="AF174" s="1075"/>
      <c r="AG174" s="1075"/>
      <c r="AH174" s="1075"/>
      <c r="AI174" s="1075"/>
      <c r="AJ174" s="1075"/>
      <c r="AK174" s="1075"/>
      <c r="AL174" s="1075"/>
      <c r="AM174" s="1075"/>
      <c r="AN174" s="1075"/>
      <c r="AO174" s="1075"/>
      <c r="AP174" s="1075"/>
      <c r="AQ174" s="1075"/>
      <c r="AR174" s="1075"/>
      <c r="AS174" s="1075"/>
      <c r="AT174" s="1075"/>
      <c r="AU174" s="1075"/>
      <c r="AV174" s="1075"/>
    </row>
    <row r="175" spans="1:48" ht="11.25" hidden="1" customHeight="1">
      <c r="A175" s="1075"/>
      <c r="B175" s="1075"/>
      <c r="C175" s="1075"/>
      <c r="D175" s="1075"/>
      <c r="E175" s="1075"/>
      <c r="F175" s="1075"/>
      <c r="G175" s="1075"/>
      <c r="H175" s="1075"/>
      <c r="I175" s="1075"/>
      <c r="J175" s="1075"/>
      <c r="K175" s="1075"/>
      <c r="L175" s="1075"/>
      <c r="M175" s="1075"/>
      <c r="N175" s="1075"/>
      <c r="O175" s="1075"/>
      <c r="P175" s="1075"/>
      <c r="Q175" s="1075"/>
      <c r="R175" s="1075"/>
      <c r="S175" s="1075"/>
      <c r="T175" s="1075"/>
      <c r="U175" s="1075"/>
      <c r="V175" s="1075"/>
      <c r="W175" s="1075"/>
      <c r="X175" s="1075"/>
      <c r="Y175" s="1075"/>
      <c r="Z175" s="1075"/>
      <c r="AA175" s="1075"/>
      <c r="AB175" s="1075"/>
      <c r="AC175" s="1075"/>
      <c r="AD175" s="1075"/>
      <c r="AE175" s="1075"/>
      <c r="AF175" s="1075"/>
      <c r="AG175" s="1075"/>
      <c r="AH175" s="1075"/>
      <c r="AI175" s="1075"/>
      <c r="AJ175" s="1075"/>
      <c r="AK175" s="1075"/>
      <c r="AL175" s="1075"/>
      <c r="AM175" s="1075"/>
      <c r="AN175" s="1075"/>
      <c r="AO175" s="1075"/>
      <c r="AP175" s="1075"/>
      <c r="AQ175" s="1075"/>
      <c r="AR175" s="1075"/>
      <c r="AS175" s="1075"/>
      <c r="AT175" s="1075"/>
      <c r="AU175" s="1075"/>
      <c r="AV175" s="1075"/>
    </row>
    <row r="176" spans="1:48" ht="11.25" hidden="1" customHeight="1">
      <c r="A176" s="1075"/>
      <c r="B176" s="1075"/>
      <c r="C176" s="1075"/>
      <c r="D176" s="1075"/>
      <c r="E176" s="1075"/>
      <c r="F176" s="1075"/>
      <c r="G176" s="1075"/>
      <c r="H176" s="1075"/>
      <c r="I176" s="1075"/>
      <c r="J176" s="1075"/>
      <c r="K176" s="1075"/>
      <c r="L176" s="1075"/>
      <c r="M176" s="1075"/>
      <c r="N176" s="1075"/>
      <c r="O176" s="1075"/>
      <c r="P176" s="1075"/>
      <c r="Q176" s="1075"/>
      <c r="R176" s="1075"/>
      <c r="S176" s="1075"/>
      <c r="T176" s="1075"/>
      <c r="U176" s="1075"/>
      <c r="V176" s="1075"/>
      <c r="W176" s="1075"/>
      <c r="X176" s="1075"/>
      <c r="Y176" s="1075"/>
      <c r="Z176" s="1075"/>
      <c r="AA176" s="1075"/>
      <c r="AB176" s="1075"/>
      <c r="AC176" s="1075"/>
      <c r="AD176" s="1075"/>
      <c r="AE176" s="1075"/>
      <c r="AF176" s="1075"/>
      <c r="AG176" s="1075"/>
      <c r="AH176" s="1075"/>
      <c r="AI176" s="1075"/>
      <c r="AJ176" s="1075"/>
      <c r="AK176" s="1075"/>
      <c r="AL176" s="1075"/>
      <c r="AM176" s="1075"/>
      <c r="AN176" s="1075"/>
      <c r="AO176" s="1075"/>
      <c r="AP176" s="1075"/>
      <c r="AQ176" s="1075"/>
      <c r="AR176" s="1075"/>
      <c r="AS176" s="1075"/>
      <c r="AT176" s="1075"/>
      <c r="AU176" s="1075"/>
      <c r="AV176" s="1075"/>
    </row>
    <row r="177" spans="1:48" ht="11.25" hidden="1" customHeight="1">
      <c r="A177" s="1075"/>
      <c r="B177" s="1075"/>
      <c r="C177" s="1075"/>
      <c r="D177" s="1075"/>
      <c r="E177" s="1075"/>
      <c r="F177" s="1075"/>
      <c r="G177" s="1075"/>
      <c r="H177" s="1075"/>
      <c r="I177" s="1075"/>
      <c r="J177" s="1075"/>
      <c r="K177" s="1075"/>
      <c r="L177" s="1075"/>
      <c r="M177" s="1075"/>
      <c r="N177" s="1075"/>
      <c r="O177" s="1075"/>
      <c r="P177" s="1075"/>
      <c r="Q177" s="1075"/>
      <c r="R177" s="1075"/>
      <c r="S177" s="1075"/>
      <c r="T177" s="1075"/>
      <c r="U177" s="1075"/>
      <c r="V177" s="1075"/>
      <c r="W177" s="1075"/>
      <c r="X177" s="1075"/>
      <c r="Y177" s="1075"/>
      <c r="Z177" s="1075"/>
      <c r="AA177" s="1075"/>
      <c r="AB177" s="1075"/>
      <c r="AC177" s="1075"/>
      <c r="AD177" s="1075"/>
      <c r="AE177" s="1075"/>
      <c r="AF177" s="1075"/>
      <c r="AG177" s="1075"/>
      <c r="AH177" s="1075"/>
      <c r="AI177" s="1075"/>
      <c r="AJ177" s="1075"/>
      <c r="AK177" s="1075"/>
      <c r="AL177" s="1075"/>
      <c r="AM177" s="1075"/>
      <c r="AN177" s="1075"/>
      <c r="AO177" s="1075"/>
      <c r="AP177" s="1075"/>
      <c r="AQ177" s="1075"/>
      <c r="AR177" s="1075"/>
      <c r="AS177" s="1075"/>
      <c r="AT177" s="1075"/>
      <c r="AU177" s="1075"/>
      <c r="AV177" s="1075"/>
    </row>
    <row r="178" spans="1:48" ht="11.25" hidden="1" customHeight="1">
      <c r="A178" s="1075"/>
      <c r="B178" s="1075"/>
      <c r="C178" s="1075"/>
      <c r="D178" s="1075"/>
      <c r="E178" s="1075"/>
      <c r="F178" s="1075"/>
      <c r="G178" s="1075"/>
      <c r="H178" s="1075"/>
      <c r="I178" s="1075"/>
      <c r="J178" s="1075"/>
      <c r="K178" s="1075"/>
      <c r="L178" s="1075"/>
      <c r="M178" s="1075"/>
      <c r="N178" s="1075"/>
      <c r="O178" s="1075"/>
      <c r="P178" s="1075"/>
      <c r="Q178" s="1075"/>
      <c r="R178" s="1075"/>
      <c r="S178" s="1075"/>
      <c r="T178" s="1075"/>
      <c r="U178" s="1075"/>
      <c r="V178" s="1075"/>
      <c r="W178" s="1075"/>
      <c r="X178" s="1075"/>
      <c r="Y178" s="1075"/>
      <c r="Z178" s="1075"/>
      <c r="AA178" s="1075"/>
      <c r="AB178" s="1075"/>
      <c r="AC178" s="1075"/>
      <c r="AD178" s="1075"/>
      <c r="AE178" s="1075"/>
      <c r="AF178" s="1075"/>
      <c r="AG178" s="1075"/>
      <c r="AH178" s="1075"/>
      <c r="AI178" s="1075"/>
      <c r="AJ178" s="1075"/>
      <c r="AK178" s="1075"/>
      <c r="AL178" s="1075"/>
      <c r="AM178" s="1075"/>
      <c r="AN178" s="1075"/>
      <c r="AO178" s="1075"/>
      <c r="AP178" s="1075"/>
      <c r="AQ178" s="1075"/>
      <c r="AR178" s="1075"/>
      <c r="AS178" s="1075"/>
      <c r="AT178" s="1075"/>
      <c r="AU178" s="1075"/>
      <c r="AV178" s="1075"/>
    </row>
    <row r="179" spans="1:48" ht="11.25" hidden="1" customHeight="1">
      <c r="A179" s="1075"/>
      <c r="B179" s="1075"/>
      <c r="C179" s="1075"/>
      <c r="D179" s="1075"/>
      <c r="E179" s="1075"/>
      <c r="F179" s="1075"/>
      <c r="G179" s="1075"/>
      <c r="H179" s="1075"/>
      <c r="I179" s="1075"/>
      <c r="J179" s="1075"/>
      <c r="K179" s="1075"/>
      <c r="L179" s="1075"/>
      <c r="M179" s="1075"/>
      <c r="N179" s="1075"/>
      <c r="O179" s="1075"/>
      <c r="P179" s="1075"/>
      <c r="Q179" s="1075"/>
      <c r="R179" s="1075"/>
      <c r="S179" s="1075"/>
      <c r="T179" s="1075"/>
      <c r="U179" s="1075"/>
      <c r="V179" s="1075"/>
      <c r="W179" s="1075"/>
      <c r="X179" s="1075"/>
      <c r="Y179" s="1075"/>
      <c r="Z179" s="1075"/>
      <c r="AA179" s="1075"/>
      <c r="AB179" s="1075"/>
      <c r="AC179" s="1075"/>
      <c r="AD179" s="1075"/>
      <c r="AE179" s="1075"/>
      <c r="AF179" s="1075"/>
      <c r="AG179" s="1075"/>
      <c r="AH179" s="1075"/>
      <c r="AI179" s="1075"/>
      <c r="AJ179" s="1075"/>
      <c r="AK179" s="1075"/>
      <c r="AL179" s="1075"/>
      <c r="AM179" s="1075"/>
      <c r="AN179" s="1075"/>
      <c r="AO179" s="1075"/>
      <c r="AP179" s="1075"/>
      <c r="AQ179" s="1075"/>
      <c r="AR179" s="1075"/>
      <c r="AS179" s="1075"/>
      <c r="AT179" s="1075"/>
      <c r="AU179" s="1075"/>
      <c r="AV179" s="1075"/>
    </row>
    <row r="180" spans="1:48" ht="11.25" hidden="1" customHeight="1">
      <c r="A180" s="1075"/>
      <c r="B180" s="1075"/>
      <c r="C180" s="1075"/>
      <c r="D180" s="1075"/>
      <c r="E180" s="1075"/>
      <c r="F180" s="1075"/>
      <c r="G180" s="1075"/>
      <c r="H180" s="1075"/>
      <c r="I180" s="1075"/>
      <c r="J180" s="1075"/>
      <c r="K180" s="1075"/>
      <c r="L180" s="1075"/>
      <c r="M180" s="1075"/>
      <c r="N180" s="1075"/>
      <c r="O180" s="1075"/>
      <c r="P180" s="1075"/>
      <c r="Q180" s="1075"/>
      <c r="R180" s="1075"/>
      <c r="S180" s="1075"/>
      <c r="T180" s="1075"/>
      <c r="U180" s="1075"/>
      <c r="V180" s="1075"/>
      <c r="W180" s="1075"/>
      <c r="X180" s="1075"/>
      <c r="Y180" s="1075"/>
      <c r="Z180" s="1075"/>
      <c r="AA180" s="1075"/>
      <c r="AB180" s="1075"/>
      <c r="AC180" s="1075"/>
      <c r="AD180" s="1075"/>
      <c r="AE180" s="1075"/>
      <c r="AF180" s="1075"/>
      <c r="AG180" s="1075"/>
      <c r="AH180" s="1075"/>
      <c r="AI180" s="1075"/>
      <c r="AJ180" s="1075"/>
      <c r="AK180" s="1075"/>
      <c r="AL180" s="1075"/>
      <c r="AM180" s="1075"/>
      <c r="AN180" s="1075"/>
      <c r="AO180" s="1075"/>
      <c r="AP180" s="1075"/>
      <c r="AQ180" s="1075"/>
      <c r="AR180" s="1075"/>
      <c r="AS180" s="1075"/>
      <c r="AT180" s="1075"/>
      <c r="AU180" s="1075"/>
      <c r="AV180" s="1075"/>
    </row>
    <row r="181" spans="1:48" ht="11.25" hidden="1" customHeight="1">
      <c r="A181" s="1075"/>
      <c r="B181" s="1075"/>
      <c r="C181" s="1075"/>
      <c r="D181" s="1075"/>
      <c r="E181" s="1075"/>
      <c r="F181" s="1075"/>
      <c r="G181" s="1075"/>
      <c r="H181" s="1075"/>
      <c r="I181" s="1075"/>
      <c r="J181" s="1075"/>
      <c r="K181" s="1075"/>
      <c r="L181" s="1075"/>
      <c r="M181" s="1075"/>
      <c r="N181" s="1075"/>
      <c r="O181" s="1075"/>
      <c r="P181" s="1075"/>
      <c r="Q181" s="1075"/>
      <c r="R181" s="1075"/>
      <c r="S181" s="1075"/>
      <c r="T181" s="1075"/>
      <c r="U181" s="1075"/>
      <c r="V181" s="1075"/>
      <c r="W181" s="1075"/>
      <c r="X181" s="1075"/>
      <c r="Y181" s="1075"/>
      <c r="Z181" s="1075"/>
      <c r="AA181" s="1075"/>
      <c r="AB181" s="1075"/>
      <c r="AC181" s="1075"/>
      <c r="AD181" s="1075"/>
      <c r="AE181" s="1075"/>
      <c r="AF181" s="1075"/>
      <c r="AG181" s="1075"/>
      <c r="AH181" s="1075"/>
      <c r="AI181" s="1075"/>
      <c r="AJ181" s="1075"/>
      <c r="AK181" s="1075"/>
      <c r="AL181" s="1075"/>
      <c r="AM181" s="1075"/>
      <c r="AN181" s="1075"/>
      <c r="AO181" s="1075"/>
      <c r="AP181" s="1075"/>
      <c r="AQ181" s="1075"/>
      <c r="AR181" s="1075"/>
      <c r="AS181" s="1075"/>
      <c r="AT181" s="1075"/>
      <c r="AU181" s="1075"/>
      <c r="AV181" s="1075"/>
    </row>
    <row r="182" spans="1:48" ht="11.25" hidden="1" customHeight="1">
      <c r="A182" s="1075"/>
      <c r="B182" s="1075"/>
      <c r="C182" s="1075"/>
      <c r="D182" s="1075"/>
      <c r="E182" s="1075"/>
      <c r="F182" s="1075"/>
      <c r="G182" s="1075"/>
      <c r="H182" s="1075"/>
      <c r="I182" s="1075"/>
      <c r="J182" s="1075"/>
      <c r="K182" s="1075"/>
      <c r="L182" s="1075"/>
      <c r="M182" s="1075"/>
      <c r="N182" s="1075"/>
      <c r="O182" s="1075"/>
      <c r="P182" s="1075"/>
      <c r="Q182" s="1075"/>
      <c r="R182" s="1075"/>
      <c r="S182" s="1075"/>
      <c r="T182" s="1075"/>
      <c r="U182" s="1075"/>
      <c r="V182" s="1075"/>
      <c r="W182" s="1075"/>
      <c r="X182" s="1075"/>
      <c r="Y182" s="1075"/>
      <c r="Z182" s="1075"/>
      <c r="AA182" s="1075"/>
      <c r="AB182" s="1075"/>
      <c r="AC182" s="1075"/>
      <c r="AD182" s="1075"/>
      <c r="AE182" s="1075"/>
      <c r="AF182" s="1075"/>
      <c r="AG182" s="1075"/>
      <c r="AH182" s="1075"/>
      <c r="AI182" s="1075"/>
      <c r="AJ182" s="1075"/>
      <c r="AK182" s="1075"/>
      <c r="AL182" s="1075"/>
      <c r="AM182" s="1075"/>
      <c r="AN182" s="1075"/>
      <c r="AO182" s="1075"/>
      <c r="AP182" s="1075"/>
      <c r="AQ182" s="1075"/>
      <c r="AR182" s="1075"/>
      <c r="AS182" s="1075"/>
      <c r="AT182" s="1075"/>
      <c r="AU182" s="1075"/>
      <c r="AV182" s="1075"/>
    </row>
    <row r="183" spans="1:48" ht="11.25" hidden="1" customHeight="1">
      <c r="A183" s="1075"/>
      <c r="B183" s="1075"/>
      <c r="C183" s="1075"/>
      <c r="D183" s="1075"/>
      <c r="E183" s="1075"/>
      <c r="F183" s="1075"/>
      <c r="G183" s="1075"/>
      <c r="H183" s="1075"/>
      <c r="I183" s="1075"/>
      <c r="J183" s="1075"/>
      <c r="K183" s="1075"/>
      <c r="L183" s="1075"/>
      <c r="M183" s="1075"/>
      <c r="N183" s="1075"/>
      <c r="O183" s="1075"/>
      <c r="P183" s="1075"/>
      <c r="Q183" s="1075"/>
      <c r="R183" s="1075"/>
      <c r="S183" s="1075"/>
      <c r="T183" s="1075"/>
      <c r="U183" s="1075"/>
      <c r="V183" s="1075"/>
      <c r="W183" s="1075"/>
      <c r="X183" s="1075"/>
      <c r="Y183" s="1075"/>
      <c r="Z183" s="1075"/>
      <c r="AA183" s="1075"/>
      <c r="AB183" s="1075"/>
      <c r="AC183" s="1075"/>
      <c r="AD183" s="1075"/>
      <c r="AE183" s="1075"/>
      <c r="AF183" s="1075"/>
      <c r="AG183" s="1075"/>
      <c r="AH183" s="1075"/>
      <c r="AI183" s="1075"/>
      <c r="AJ183" s="1075"/>
      <c r="AK183" s="1075"/>
      <c r="AL183" s="1075"/>
      <c r="AM183" s="1075"/>
      <c r="AN183" s="1075"/>
      <c r="AO183" s="1075"/>
      <c r="AP183" s="1075"/>
      <c r="AQ183" s="1075"/>
      <c r="AR183" s="1075"/>
      <c r="AS183" s="1075"/>
      <c r="AT183" s="1075"/>
      <c r="AU183" s="1075"/>
      <c r="AV183" s="1075"/>
    </row>
    <row r="184" spans="1:48" ht="11.25" hidden="1" customHeight="1">
      <c r="A184" s="1075"/>
      <c r="B184" s="1075"/>
      <c r="C184" s="1075"/>
      <c r="D184" s="1075"/>
      <c r="E184" s="1075"/>
      <c r="F184" s="1075"/>
      <c r="G184" s="1075"/>
      <c r="H184" s="1075"/>
      <c r="I184" s="1075"/>
      <c r="J184" s="1075"/>
      <c r="K184" s="1075"/>
      <c r="L184" s="1075"/>
      <c r="M184" s="1075"/>
      <c r="N184" s="1075"/>
      <c r="O184" s="1075"/>
      <c r="P184" s="1075"/>
      <c r="Q184" s="1075"/>
      <c r="R184" s="1075"/>
      <c r="S184" s="1075"/>
      <c r="T184" s="1075"/>
      <c r="U184" s="1075"/>
      <c r="V184" s="1075"/>
      <c r="W184" s="1075"/>
      <c r="X184" s="1075"/>
      <c r="Y184" s="1075"/>
      <c r="Z184" s="1075"/>
      <c r="AA184" s="1075"/>
      <c r="AB184" s="1075"/>
      <c r="AC184" s="1075"/>
      <c r="AD184" s="1075"/>
      <c r="AE184" s="1075"/>
      <c r="AF184" s="1075"/>
      <c r="AG184" s="1075"/>
      <c r="AH184" s="1075"/>
      <c r="AI184" s="1075"/>
      <c r="AJ184" s="1075"/>
      <c r="AK184" s="1075"/>
      <c r="AL184" s="1075"/>
      <c r="AM184" s="1075"/>
      <c r="AN184" s="1075"/>
      <c r="AO184" s="1075"/>
      <c r="AP184" s="1075"/>
      <c r="AQ184" s="1075"/>
      <c r="AR184" s="1075"/>
      <c r="AS184" s="1075"/>
      <c r="AT184" s="1075"/>
      <c r="AU184" s="1075"/>
      <c r="AV184" s="1075"/>
    </row>
    <row r="185" spans="1:48" ht="11.25" hidden="1" customHeight="1">
      <c r="A185" s="1075"/>
      <c r="B185" s="1075"/>
      <c r="C185" s="1075"/>
      <c r="D185" s="1075"/>
      <c r="E185" s="1075"/>
      <c r="F185" s="1075"/>
      <c r="G185" s="1075"/>
      <c r="H185" s="1075"/>
      <c r="I185" s="1075"/>
      <c r="J185" s="1075"/>
      <c r="K185" s="1075"/>
      <c r="L185" s="1075"/>
      <c r="M185" s="1075"/>
      <c r="N185" s="1075"/>
      <c r="O185" s="1075"/>
      <c r="P185" s="1075"/>
      <c r="Q185" s="1075"/>
      <c r="R185" s="1075"/>
      <c r="S185" s="1075"/>
      <c r="T185" s="1075"/>
      <c r="U185" s="1075"/>
      <c r="V185" s="1075"/>
      <c r="W185" s="1075"/>
      <c r="X185" s="1075"/>
      <c r="Y185" s="1075"/>
      <c r="Z185" s="1075"/>
      <c r="AA185" s="1075"/>
      <c r="AB185" s="1075"/>
      <c r="AC185" s="1075"/>
      <c r="AD185" s="1075"/>
      <c r="AE185" s="1075"/>
      <c r="AF185" s="1075"/>
      <c r="AG185" s="1075"/>
      <c r="AH185" s="1075"/>
      <c r="AI185" s="1075"/>
      <c r="AJ185" s="1075"/>
      <c r="AK185" s="1075"/>
      <c r="AL185" s="1075"/>
      <c r="AM185" s="1075"/>
      <c r="AN185" s="1075"/>
      <c r="AO185" s="1075"/>
      <c r="AP185" s="1075"/>
      <c r="AQ185" s="1075"/>
      <c r="AR185" s="1075"/>
      <c r="AS185" s="1075"/>
      <c r="AT185" s="1075"/>
      <c r="AU185" s="1075"/>
      <c r="AV185" s="1075"/>
    </row>
    <row r="186" spans="1:48" ht="11.25" hidden="1" customHeight="1">
      <c r="A186" s="1075"/>
      <c r="B186" s="1075"/>
      <c r="C186" s="1075"/>
      <c r="D186" s="1075"/>
      <c r="E186" s="1075"/>
      <c r="F186" s="1075"/>
      <c r="G186" s="1075"/>
      <c r="H186" s="1075"/>
      <c r="I186" s="1075"/>
      <c r="J186" s="1075"/>
      <c r="K186" s="1075"/>
      <c r="L186" s="1075"/>
      <c r="M186" s="1075"/>
      <c r="N186" s="1075"/>
      <c r="O186" s="1075"/>
      <c r="P186" s="1075"/>
      <c r="Q186" s="1075"/>
      <c r="R186" s="1075"/>
      <c r="S186" s="1075"/>
      <c r="T186" s="1075"/>
      <c r="U186" s="1075"/>
      <c r="V186" s="1075"/>
      <c r="W186" s="1075"/>
      <c r="X186" s="1075"/>
      <c r="Y186" s="1075"/>
      <c r="Z186" s="1075"/>
      <c r="AA186" s="1075"/>
      <c r="AB186" s="1075"/>
      <c r="AC186" s="1075"/>
      <c r="AD186" s="1075"/>
      <c r="AE186" s="1075"/>
      <c r="AF186" s="1075"/>
      <c r="AG186" s="1075"/>
      <c r="AH186" s="1075"/>
      <c r="AI186" s="1075"/>
      <c r="AJ186" s="1075"/>
      <c r="AK186" s="1075"/>
      <c r="AL186" s="1075"/>
      <c r="AM186" s="1075"/>
      <c r="AN186" s="1075"/>
      <c r="AO186" s="1075"/>
      <c r="AP186" s="1075"/>
      <c r="AQ186" s="1075"/>
      <c r="AR186" s="1075"/>
      <c r="AS186" s="1075"/>
      <c r="AT186" s="1075"/>
      <c r="AU186" s="1075"/>
      <c r="AV186" s="1075"/>
    </row>
    <row r="187" spans="1:48" ht="11.25" hidden="1" customHeight="1">
      <c r="A187" s="1075"/>
      <c r="B187" s="1075"/>
      <c r="C187" s="1075"/>
      <c r="D187" s="1075"/>
      <c r="E187" s="1075"/>
      <c r="F187" s="1075"/>
      <c r="G187" s="1075"/>
      <c r="H187" s="1075"/>
      <c r="I187" s="1075"/>
      <c r="J187" s="1075"/>
      <c r="K187" s="1075"/>
      <c r="L187" s="1075"/>
      <c r="M187" s="1075"/>
      <c r="N187" s="1075"/>
      <c r="O187" s="1075"/>
      <c r="P187" s="1075"/>
      <c r="Q187" s="1075"/>
      <c r="R187" s="1075"/>
      <c r="S187" s="1075"/>
      <c r="T187" s="1075"/>
      <c r="U187" s="1075"/>
      <c r="V187" s="1075"/>
      <c r="W187" s="1075"/>
      <c r="X187" s="1075"/>
      <c r="Y187" s="1075"/>
      <c r="Z187" s="1075"/>
      <c r="AA187" s="1075"/>
      <c r="AB187" s="1075"/>
      <c r="AC187" s="1075"/>
      <c r="AD187" s="1075"/>
      <c r="AE187" s="1075"/>
      <c r="AF187" s="1075"/>
      <c r="AG187" s="1075"/>
      <c r="AH187" s="1075"/>
      <c r="AI187" s="1075"/>
      <c r="AJ187" s="1075"/>
      <c r="AK187" s="1075"/>
      <c r="AL187" s="1075"/>
      <c r="AM187" s="1075"/>
      <c r="AN187" s="1075"/>
      <c r="AO187" s="1075"/>
      <c r="AP187" s="1075"/>
      <c r="AQ187" s="1075"/>
      <c r="AR187" s="1075"/>
      <c r="AS187" s="1075"/>
      <c r="AT187" s="1075"/>
      <c r="AU187" s="1075"/>
      <c r="AV187" s="1075"/>
    </row>
    <row r="188" spans="1:48" ht="11.25" hidden="1" customHeight="1">
      <c r="A188" s="1075"/>
      <c r="B188" s="1075"/>
      <c r="C188" s="1075"/>
      <c r="D188" s="1075"/>
      <c r="E188" s="1075"/>
      <c r="F188" s="1075"/>
      <c r="G188" s="1075"/>
      <c r="H188" s="1075"/>
      <c r="I188" s="1075"/>
      <c r="J188" s="1075"/>
      <c r="K188" s="1075"/>
      <c r="L188" s="1075"/>
      <c r="M188" s="1075"/>
      <c r="N188" s="1075"/>
      <c r="O188" s="1075"/>
      <c r="P188" s="1075"/>
      <c r="Q188" s="1075"/>
      <c r="R188" s="1075"/>
      <c r="S188" s="1075"/>
      <c r="T188" s="1075"/>
      <c r="U188" s="1075"/>
      <c r="V188" s="1075"/>
      <c r="W188" s="1075"/>
      <c r="X188" s="1075"/>
      <c r="Y188" s="1075"/>
      <c r="Z188" s="1075"/>
      <c r="AA188" s="1075"/>
      <c r="AB188" s="1075"/>
      <c r="AC188" s="1075"/>
      <c r="AD188" s="1075"/>
      <c r="AE188" s="1075"/>
      <c r="AF188" s="1075"/>
      <c r="AG188" s="1075"/>
      <c r="AH188" s="1075"/>
      <c r="AI188" s="1075"/>
      <c r="AJ188" s="1075"/>
      <c r="AK188" s="1075"/>
      <c r="AL188" s="1075"/>
      <c r="AM188" s="1075"/>
      <c r="AN188" s="1075"/>
      <c r="AO188" s="1075"/>
      <c r="AP188" s="1075"/>
      <c r="AQ188" s="1075"/>
      <c r="AR188" s="1075"/>
      <c r="AS188" s="1075"/>
      <c r="AT188" s="1075"/>
      <c r="AU188" s="1075"/>
      <c r="AV188" s="1075"/>
    </row>
    <row r="189" spans="1:48" ht="11.25" hidden="1" customHeight="1">
      <c r="A189" s="1075"/>
      <c r="B189" s="1075"/>
      <c r="C189" s="1075"/>
      <c r="D189" s="1075"/>
      <c r="E189" s="1075"/>
      <c r="F189" s="1075"/>
      <c r="G189" s="1075"/>
      <c r="H189" s="1075"/>
      <c r="I189" s="1075"/>
      <c r="J189" s="1075"/>
      <c r="K189" s="1075"/>
      <c r="L189" s="1075"/>
      <c r="M189" s="1075"/>
      <c r="N189" s="1075"/>
      <c r="O189" s="1075"/>
      <c r="P189" s="1075"/>
      <c r="Q189" s="1075"/>
      <c r="R189" s="1075"/>
      <c r="S189" s="1075"/>
      <c r="T189" s="1075"/>
      <c r="U189" s="1075"/>
      <c r="V189" s="1075"/>
      <c r="W189" s="1075"/>
      <c r="X189" s="1075"/>
      <c r="Y189" s="1075"/>
      <c r="Z189" s="1075"/>
      <c r="AA189" s="1075"/>
      <c r="AB189" s="1075"/>
      <c r="AC189" s="1075"/>
      <c r="AD189" s="1075"/>
      <c r="AE189" s="1075"/>
      <c r="AF189" s="1075"/>
      <c r="AG189" s="1075"/>
      <c r="AH189" s="1075"/>
      <c r="AI189" s="1075"/>
      <c r="AJ189" s="1075"/>
      <c r="AK189" s="1075"/>
      <c r="AL189" s="1075"/>
      <c r="AM189" s="1075"/>
      <c r="AN189" s="1075"/>
      <c r="AO189" s="1075"/>
      <c r="AP189" s="1075"/>
      <c r="AQ189" s="1075"/>
      <c r="AR189" s="1075"/>
      <c r="AS189" s="1075"/>
      <c r="AT189" s="1075"/>
      <c r="AU189" s="1075"/>
      <c r="AV189" s="1075"/>
    </row>
    <row r="190" spans="1:48" ht="11.25" hidden="1" customHeight="1">
      <c r="A190" s="1075"/>
      <c r="B190" s="1075"/>
      <c r="C190" s="1075"/>
      <c r="D190" s="1075"/>
      <c r="E190" s="1075"/>
      <c r="F190" s="1075"/>
      <c r="G190" s="1075"/>
      <c r="H190" s="1075"/>
      <c r="I190" s="1075"/>
      <c r="J190" s="1075"/>
      <c r="K190" s="1075"/>
      <c r="L190" s="1075"/>
      <c r="M190" s="1075"/>
      <c r="N190" s="1075"/>
      <c r="O190" s="1075"/>
      <c r="P190" s="1075"/>
      <c r="Q190" s="1075"/>
      <c r="R190" s="1075"/>
      <c r="S190" s="1075"/>
      <c r="T190" s="1075"/>
      <c r="U190" s="1075"/>
      <c r="V190" s="1075"/>
      <c r="W190" s="1075"/>
      <c r="X190" s="1075"/>
      <c r="Y190" s="1075"/>
      <c r="Z190" s="1075"/>
      <c r="AA190" s="1075"/>
      <c r="AB190" s="1075"/>
      <c r="AC190" s="1075"/>
      <c r="AD190" s="1075"/>
      <c r="AE190" s="1075"/>
      <c r="AF190" s="1075"/>
      <c r="AG190" s="1075"/>
      <c r="AH190" s="1075"/>
      <c r="AI190" s="1075"/>
      <c r="AJ190" s="1075"/>
      <c r="AK190" s="1075"/>
      <c r="AL190" s="1075"/>
      <c r="AM190" s="1075"/>
      <c r="AN190" s="1075"/>
      <c r="AO190" s="1075"/>
      <c r="AP190" s="1075"/>
      <c r="AQ190" s="1075"/>
      <c r="AR190" s="1075"/>
      <c r="AS190" s="1075"/>
      <c r="AT190" s="1075"/>
      <c r="AU190" s="1075"/>
      <c r="AV190" s="1075"/>
    </row>
    <row r="191" spans="1:48" ht="11.25" hidden="1" customHeight="1">
      <c r="A191" s="1075"/>
      <c r="B191" s="1075"/>
      <c r="C191" s="1075"/>
      <c r="D191" s="1075"/>
      <c r="E191" s="1075"/>
      <c r="F191" s="1075"/>
      <c r="G191" s="1075"/>
      <c r="H191" s="1075"/>
      <c r="I191" s="1075"/>
      <c r="J191" s="1075"/>
      <c r="K191" s="1075"/>
      <c r="L191" s="1075"/>
      <c r="M191" s="1075"/>
      <c r="N191" s="1075"/>
      <c r="O191" s="1075"/>
      <c r="P191" s="1075"/>
      <c r="Q191" s="1075"/>
      <c r="R191" s="1075"/>
      <c r="S191" s="1075"/>
      <c r="T191" s="1075"/>
      <c r="U191" s="1075"/>
      <c r="V191" s="1075"/>
      <c r="W191" s="1075"/>
      <c r="X191" s="1075"/>
      <c r="Y191" s="1075"/>
      <c r="Z191" s="1075"/>
      <c r="AA191" s="1075"/>
      <c r="AB191" s="1075"/>
      <c r="AC191" s="1075"/>
      <c r="AD191" s="1075"/>
      <c r="AE191" s="1075"/>
      <c r="AF191" s="1075"/>
      <c r="AG191" s="1075"/>
      <c r="AH191" s="1075"/>
      <c r="AI191" s="1075"/>
      <c r="AJ191" s="1075"/>
      <c r="AK191" s="1075"/>
      <c r="AL191" s="1075"/>
      <c r="AM191" s="1075"/>
      <c r="AN191" s="1075"/>
      <c r="AO191" s="1075"/>
      <c r="AP191" s="1075"/>
      <c r="AQ191" s="1075"/>
      <c r="AR191" s="1075"/>
      <c r="AS191" s="1075"/>
      <c r="AT191" s="1075"/>
      <c r="AU191" s="1075"/>
      <c r="AV191" s="1075"/>
    </row>
    <row r="192" spans="1:48" ht="11.25" hidden="1" customHeight="1">
      <c r="A192" s="1075"/>
      <c r="B192" s="1075"/>
      <c r="C192" s="1075"/>
      <c r="D192" s="1075"/>
      <c r="E192" s="1075"/>
      <c r="F192" s="1075"/>
      <c r="G192" s="1075"/>
      <c r="H192" s="1075"/>
      <c r="I192" s="1075"/>
      <c r="J192" s="1075"/>
      <c r="K192" s="1075"/>
      <c r="L192" s="1075"/>
      <c r="M192" s="1075"/>
      <c r="N192" s="1075"/>
      <c r="O192" s="1075"/>
      <c r="P192" s="1075"/>
      <c r="Q192" s="1075"/>
      <c r="R192" s="1075"/>
      <c r="S192" s="1075"/>
      <c r="T192" s="1075"/>
      <c r="U192" s="1075"/>
      <c r="V192" s="1075"/>
      <c r="W192" s="1075"/>
      <c r="X192" s="1075"/>
      <c r="Y192" s="1075"/>
      <c r="Z192" s="1075"/>
      <c r="AA192" s="1075"/>
      <c r="AB192" s="1075"/>
      <c r="AC192" s="1075"/>
      <c r="AD192" s="1075"/>
      <c r="AE192" s="1075"/>
      <c r="AF192" s="1075"/>
      <c r="AG192" s="1075"/>
      <c r="AH192" s="1075"/>
      <c r="AI192" s="1075"/>
      <c r="AJ192" s="1075"/>
      <c r="AK192" s="1075"/>
      <c r="AL192" s="1075"/>
      <c r="AM192" s="1075"/>
      <c r="AN192" s="1075"/>
      <c r="AO192" s="1075"/>
      <c r="AP192" s="1075"/>
      <c r="AQ192" s="1075"/>
      <c r="AR192" s="1075"/>
      <c r="AS192" s="1075"/>
      <c r="AT192" s="1075"/>
      <c r="AU192" s="1075"/>
      <c r="AV192" s="1075"/>
    </row>
    <row r="193" spans="1:48" ht="11.25" hidden="1" customHeight="1">
      <c r="A193" s="1075"/>
      <c r="B193" s="1075"/>
      <c r="C193" s="1075"/>
      <c r="D193" s="1075"/>
      <c r="E193" s="1075"/>
      <c r="F193" s="1075"/>
      <c r="G193" s="1075"/>
      <c r="H193" s="1075"/>
      <c r="I193" s="1075"/>
      <c r="J193" s="1075"/>
      <c r="K193" s="1075"/>
      <c r="L193" s="1075"/>
      <c r="M193" s="1075"/>
      <c r="N193" s="1075"/>
      <c r="O193" s="1075"/>
      <c r="P193" s="1075"/>
      <c r="Q193" s="1075"/>
      <c r="R193" s="1075"/>
      <c r="S193" s="1075"/>
      <c r="T193" s="1075"/>
      <c r="U193" s="1075"/>
      <c r="V193" s="1075"/>
      <c r="W193" s="1075"/>
      <c r="X193" s="1075"/>
      <c r="Y193" s="1075"/>
      <c r="Z193" s="1075"/>
      <c r="AA193" s="1075"/>
      <c r="AB193" s="1075"/>
      <c r="AC193" s="1075"/>
      <c r="AD193" s="1075"/>
      <c r="AE193" s="1075"/>
      <c r="AF193" s="1075"/>
      <c r="AG193" s="1075"/>
      <c r="AH193" s="1075"/>
      <c r="AI193" s="1075"/>
      <c r="AJ193" s="1075"/>
      <c r="AK193" s="1075"/>
      <c r="AL193" s="1075"/>
      <c r="AM193" s="1075"/>
      <c r="AN193" s="1075"/>
      <c r="AO193" s="1075"/>
      <c r="AP193" s="1075"/>
      <c r="AQ193" s="1075"/>
      <c r="AR193" s="1075"/>
      <c r="AS193" s="1075"/>
      <c r="AT193" s="1075"/>
      <c r="AU193" s="1075"/>
      <c r="AV193" s="1075"/>
    </row>
    <row r="194" spans="1:48" ht="11.25" hidden="1" customHeight="1">
      <c r="A194" s="1075"/>
      <c r="B194" s="1075"/>
      <c r="C194" s="1075"/>
      <c r="D194" s="1075"/>
      <c r="E194" s="1075"/>
      <c r="F194" s="1075"/>
      <c r="G194" s="1075"/>
      <c r="H194" s="1075"/>
      <c r="I194" s="1075"/>
      <c r="J194" s="1075"/>
      <c r="K194" s="1075"/>
      <c r="L194" s="1075"/>
      <c r="M194" s="1075"/>
      <c r="N194" s="1075"/>
      <c r="O194" s="1075"/>
      <c r="P194" s="1075"/>
      <c r="Q194" s="1075"/>
      <c r="R194" s="1075"/>
      <c r="S194" s="1075"/>
      <c r="T194" s="1075"/>
      <c r="U194" s="1075"/>
      <c r="V194" s="1075"/>
      <c r="W194" s="1075"/>
      <c r="X194" s="1075"/>
      <c r="Y194" s="1075"/>
      <c r="Z194" s="1075"/>
      <c r="AA194" s="1075"/>
      <c r="AB194" s="1075"/>
      <c r="AC194" s="1075"/>
      <c r="AD194" s="1075"/>
      <c r="AE194" s="1075"/>
      <c r="AF194" s="1075"/>
      <c r="AG194" s="1075"/>
      <c r="AH194" s="1075"/>
      <c r="AI194" s="1075"/>
      <c r="AJ194" s="1075"/>
      <c r="AK194" s="1075"/>
      <c r="AL194" s="1075"/>
      <c r="AM194" s="1075"/>
      <c r="AN194" s="1075"/>
      <c r="AO194" s="1075"/>
      <c r="AP194" s="1075"/>
      <c r="AQ194" s="1075"/>
      <c r="AR194" s="1075"/>
      <c r="AS194" s="1075"/>
      <c r="AT194" s="1075"/>
      <c r="AU194" s="1075"/>
      <c r="AV194" s="1075"/>
    </row>
    <row r="195" spans="1:48" ht="11.25" hidden="1" customHeight="1">
      <c r="A195" s="1075"/>
      <c r="B195" s="1075"/>
      <c r="C195" s="1075"/>
      <c r="D195" s="1075"/>
      <c r="E195" s="1075"/>
      <c r="F195" s="1075"/>
      <c r="G195" s="1075"/>
      <c r="H195" s="1075"/>
      <c r="I195" s="1075"/>
      <c r="J195" s="1075"/>
      <c r="K195" s="1075"/>
      <c r="L195" s="1075"/>
      <c r="M195" s="1075"/>
      <c r="N195" s="1075"/>
      <c r="O195" s="1075"/>
      <c r="P195" s="1075"/>
      <c r="Q195" s="1075"/>
      <c r="R195" s="1075"/>
      <c r="S195" s="1075"/>
      <c r="T195" s="1075"/>
      <c r="U195" s="1075"/>
      <c r="V195" s="1075"/>
      <c r="W195" s="1075"/>
      <c r="X195" s="1075"/>
      <c r="Y195" s="1075"/>
      <c r="Z195" s="1075"/>
      <c r="AA195" s="1075"/>
      <c r="AB195" s="1075"/>
      <c r="AC195" s="1075"/>
      <c r="AD195" s="1075"/>
      <c r="AE195" s="1075"/>
      <c r="AF195" s="1075"/>
      <c r="AG195" s="1075"/>
      <c r="AH195" s="1075"/>
      <c r="AI195" s="1075"/>
      <c r="AJ195" s="1075"/>
      <c r="AK195" s="1075"/>
      <c r="AL195" s="1075"/>
      <c r="AM195" s="1075"/>
      <c r="AN195" s="1075"/>
      <c r="AO195" s="1075"/>
      <c r="AP195" s="1075"/>
      <c r="AQ195" s="1075"/>
      <c r="AR195" s="1075"/>
      <c r="AS195" s="1075"/>
      <c r="AT195" s="1075"/>
      <c r="AU195" s="1075"/>
      <c r="AV195" s="1075"/>
    </row>
    <row r="196" spans="1:48" ht="11.25" hidden="1" customHeight="1">
      <c r="A196" s="1075"/>
      <c r="B196" s="1075"/>
      <c r="C196" s="1075"/>
      <c r="D196" s="1075"/>
      <c r="E196" s="1075"/>
      <c r="F196" s="1075"/>
      <c r="G196" s="1075"/>
      <c r="H196" s="1075"/>
      <c r="I196" s="1075"/>
      <c r="J196" s="1075"/>
      <c r="K196" s="1075"/>
      <c r="L196" s="1075"/>
      <c r="M196" s="1075"/>
      <c r="N196" s="1075"/>
      <c r="O196" s="1075"/>
      <c r="P196" s="1075"/>
      <c r="Q196" s="1075"/>
      <c r="R196" s="1075"/>
      <c r="S196" s="1075"/>
      <c r="T196" s="1075"/>
      <c r="U196" s="1075"/>
      <c r="V196" s="1075"/>
      <c r="W196" s="1075"/>
      <c r="X196" s="1075"/>
      <c r="Y196" s="1075"/>
      <c r="Z196" s="1075"/>
      <c r="AA196" s="1075"/>
      <c r="AB196" s="1075"/>
      <c r="AC196" s="1075"/>
      <c r="AD196" s="1075"/>
      <c r="AE196" s="1075"/>
      <c r="AF196" s="1075"/>
      <c r="AG196" s="1075"/>
      <c r="AH196" s="1075"/>
      <c r="AI196" s="1075"/>
      <c r="AJ196" s="1075"/>
      <c r="AK196" s="1075"/>
      <c r="AL196" s="1075"/>
      <c r="AM196" s="1075"/>
      <c r="AN196" s="1075"/>
      <c r="AO196" s="1075"/>
      <c r="AP196" s="1075"/>
      <c r="AQ196" s="1075"/>
      <c r="AR196" s="1075"/>
      <c r="AS196" s="1075"/>
      <c r="AT196" s="1075"/>
      <c r="AU196" s="1075"/>
      <c r="AV196" s="1075"/>
    </row>
    <row r="197" spans="1:48" ht="11.25" hidden="1" customHeight="1">
      <c r="A197" s="1075"/>
      <c r="B197" s="1075"/>
      <c r="C197" s="1075"/>
      <c r="D197" s="1075"/>
      <c r="E197" s="1075"/>
      <c r="F197" s="1075"/>
      <c r="G197" s="1075"/>
      <c r="H197" s="1075"/>
      <c r="I197" s="1075"/>
      <c r="J197" s="1075"/>
      <c r="K197" s="1075"/>
      <c r="L197" s="1075"/>
      <c r="M197" s="1075"/>
      <c r="N197" s="1075"/>
      <c r="O197" s="1075"/>
      <c r="P197" s="1075"/>
      <c r="Q197" s="1075"/>
      <c r="R197" s="1075"/>
      <c r="S197" s="1075"/>
      <c r="T197" s="1075"/>
      <c r="U197" s="1075"/>
      <c r="V197" s="1075"/>
      <c r="W197" s="1075"/>
      <c r="X197" s="1075"/>
      <c r="Y197" s="1075"/>
      <c r="Z197" s="1075"/>
      <c r="AA197" s="1075"/>
      <c r="AB197" s="1075"/>
      <c r="AC197" s="1075"/>
      <c r="AD197" s="1075"/>
      <c r="AE197" s="1075"/>
      <c r="AF197" s="1075"/>
      <c r="AG197" s="1075"/>
      <c r="AH197" s="1075"/>
      <c r="AI197" s="1075"/>
      <c r="AJ197" s="1075"/>
      <c r="AK197" s="1075"/>
      <c r="AL197" s="1075"/>
      <c r="AM197" s="1075"/>
      <c r="AN197" s="1075"/>
      <c r="AO197" s="1075"/>
      <c r="AP197" s="1075"/>
      <c r="AQ197" s="1075"/>
      <c r="AR197" s="1075"/>
      <c r="AS197" s="1075"/>
      <c r="AT197" s="1075"/>
      <c r="AU197" s="1075"/>
      <c r="AV197" s="1075"/>
    </row>
    <row r="198" spans="1:48" ht="11.25" hidden="1" customHeight="1">
      <c r="A198" s="1075"/>
      <c r="B198" s="1075"/>
      <c r="C198" s="1075"/>
      <c r="D198" s="1075"/>
      <c r="E198" s="1075"/>
      <c r="F198" s="1075"/>
      <c r="G198" s="1075"/>
      <c r="H198" s="1075"/>
      <c r="I198" s="1075"/>
      <c r="J198" s="1075"/>
      <c r="K198" s="1075"/>
      <c r="L198" s="1075"/>
      <c r="M198" s="1075"/>
      <c r="N198" s="1075"/>
      <c r="O198" s="1075"/>
      <c r="P198" s="1075"/>
      <c r="Q198" s="1075"/>
      <c r="R198" s="1075"/>
      <c r="S198" s="1075"/>
      <c r="T198" s="1075"/>
      <c r="U198" s="1075"/>
      <c r="V198" s="1075"/>
      <c r="W198" s="1075"/>
      <c r="X198" s="1075"/>
      <c r="Y198" s="1075"/>
      <c r="Z198" s="1075"/>
      <c r="AA198" s="1075"/>
      <c r="AB198" s="1075"/>
      <c r="AC198" s="1075"/>
      <c r="AD198" s="1075"/>
      <c r="AE198" s="1075"/>
      <c r="AF198" s="1075"/>
      <c r="AG198" s="1075"/>
      <c r="AH198" s="1075"/>
      <c r="AI198" s="1075"/>
      <c r="AJ198" s="1075"/>
      <c r="AK198" s="1075"/>
      <c r="AL198" s="1075"/>
      <c r="AM198" s="1075"/>
      <c r="AN198" s="1075"/>
      <c r="AO198" s="1075"/>
      <c r="AP198" s="1075"/>
      <c r="AQ198" s="1075"/>
      <c r="AR198" s="1075"/>
      <c r="AS198" s="1075"/>
      <c r="AT198" s="1075"/>
      <c r="AU198" s="1075"/>
      <c r="AV198" s="1075"/>
    </row>
    <row r="199" spans="1:48" ht="11.25" hidden="1" customHeight="1">
      <c r="A199" s="1075"/>
      <c r="B199" s="1075"/>
      <c r="C199" s="1075"/>
      <c r="D199" s="1075"/>
      <c r="E199" s="1075"/>
      <c r="F199" s="1075"/>
      <c r="G199" s="1075"/>
      <c r="H199" s="1075"/>
      <c r="I199" s="1075"/>
      <c r="J199" s="1075"/>
      <c r="K199" s="1075"/>
      <c r="L199" s="1075"/>
      <c r="M199" s="1075"/>
      <c r="N199" s="1075"/>
      <c r="O199" s="1075"/>
      <c r="P199" s="1075"/>
      <c r="Q199" s="1075"/>
      <c r="R199" s="1075"/>
      <c r="S199" s="1075"/>
      <c r="T199" s="1075"/>
      <c r="U199" s="1075"/>
      <c r="V199" s="1075"/>
      <c r="W199" s="1075"/>
      <c r="X199" s="1075"/>
      <c r="Y199" s="1075"/>
      <c r="Z199" s="1075"/>
      <c r="AA199" s="1075"/>
      <c r="AB199" s="1075"/>
      <c r="AC199" s="1075"/>
      <c r="AD199" s="1075"/>
      <c r="AE199" s="1075"/>
      <c r="AF199" s="1075"/>
      <c r="AG199" s="1075"/>
      <c r="AH199" s="1075"/>
      <c r="AI199" s="1075"/>
      <c r="AJ199" s="1075"/>
      <c r="AK199" s="1075"/>
      <c r="AL199" s="1075"/>
      <c r="AM199" s="1075"/>
      <c r="AN199" s="1075"/>
      <c r="AO199" s="1075"/>
      <c r="AP199" s="1075"/>
      <c r="AQ199" s="1075"/>
      <c r="AR199" s="1075"/>
      <c r="AS199" s="1075"/>
      <c r="AT199" s="1075"/>
      <c r="AU199" s="1075"/>
      <c r="AV199" s="1075"/>
    </row>
    <row r="200" spans="1:48" ht="11.25" hidden="1" customHeight="1">
      <c r="A200" s="1075"/>
      <c r="B200" s="1075"/>
      <c r="C200" s="1075"/>
      <c r="D200" s="1075"/>
      <c r="E200" s="1075"/>
      <c r="F200" s="1075"/>
      <c r="G200" s="1075"/>
      <c r="H200" s="1075"/>
      <c r="I200" s="1075"/>
      <c r="J200" s="1075"/>
      <c r="K200" s="1075"/>
      <c r="L200" s="1075"/>
      <c r="M200" s="1075"/>
      <c r="N200" s="1075"/>
      <c r="O200" s="1075"/>
      <c r="P200" s="1075"/>
      <c r="Q200" s="1075"/>
      <c r="R200" s="1075"/>
      <c r="S200" s="1075"/>
      <c r="T200" s="1075"/>
      <c r="U200" s="1075"/>
      <c r="V200" s="1075"/>
      <c r="W200" s="1075"/>
      <c r="X200" s="1075"/>
      <c r="Y200" s="1075"/>
      <c r="Z200" s="1075"/>
      <c r="AA200" s="1075"/>
      <c r="AB200" s="1075"/>
      <c r="AC200" s="1075"/>
      <c r="AD200" s="1075"/>
      <c r="AE200" s="1075"/>
      <c r="AF200" s="1075"/>
      <c r="AG200" s="1075"/>
      <c r="AH200" s="1075"/>
      <c r="AI200" s="1075"/>
      <c r="AJ200" s="1075"/>
      <c r="AK200" s="1075"/>
      <c r="AL200" s="1075"/>
      <c r="AM200" s="1075"/>
      <c r="AN200" s="1075"/>
      <c r="AO200" s="1075"/>
      <c r="AP200" s="1075"/>
      <c r="AQ200" s="1075"/>
      <c r="AR200" s="1075"/>
      <c r="AS200" s="1075"/>
      <c r="AT200" s="1075"/>
      <c r="AU200" s="1075"/>
      <c r="AV200" s="1075"/>
    </row>
    <row r="201" spans="1:48" ht="11.25" hidden="1" customHeight="1">
      <c r="A201" s="1075"/>
      <c r="B201" s="1075"/>
      <c r="C201" s="1075"/>
      <c r="D201" s="1075"/>
      <c r="E201" s="1075"/>
      <c r="F201" s="1075"/>
      <c r="G201" s="1075"/>
      <c r="H201" s="1075"/>
      <c r="I201" s="1075"/>
      <c r="J201" s="1075"/>
      <c r="K201" s="1075"/>
      <c r="L201" s="1075"/>
      <c r="M201" s="1075"/>
      <c r="N201" s="1075"/>
      <c r="O201" s="1075"/>
      <c r="P201" s="1075"/>
      <c r="Q201" s="1075"/>
      <c r="R201" s="1075"/>
      <c r="S201" s="1075"/>
      <c r="T201" s="1075"/>
      <c r="U201" s="1075"/>
      <c r="V201" s="1075"/>
      <c r="W201" s="1075"/>
      <c r="X201" s="1075"/>
      <c r="Y201" s="1075"/>
      <c r="Z201" s="1075"/>
      <c r="AA201" s="1075"/>
      <c r="AB201" s="1075"/>
      <c r="AC201" s="1075"/>
      <c r="AD201" s="1075"/>
      <c r="AE201" s="1075"/>
      <c r="AF201" s="1075"/>
      <c r="AG201" s="1075"/>
      <c r="AH201" s="1075"/>
      <c r="AI201" s="1075"/>
      <c r="AJ201" s="1075"/>
      <c r="AK201" s="1075"/>
      <c r="AL201" s="1075"/>
      <c r="AM201" s="1075"/>
      <c r="AN201" s="1075"/>
      <c r="AO201" s="1075"/>
      <c r="AP201" s="1075"/>
      <c r="AQ201" s="1075"/>
      <c r="AR201" s="1075"/>
      <c r="AS201" s="1075"/>
      <c r="AT201" s="1075"/>
      <c r="AU201" s="1075"/>
      <c r="AV201" s="1075"/>
    </row>
    <row r="202" spans="1:48" ht="11.25" hidden="1" customHeight="1">
      <c r="A202" s="1075"/>
      <c r="B202" s="1075"/>
      <c r="C202" s="1075"/>
      <c r="D202" s="1075"/>
      <c r="E202" s="1075"/>
      <c r="F202" s="1075"/>
      <c r="G202" s="1075"/>
      <c r="H202" s="1075"/>
      <c r="I202" s="1075"/>
      <c r="J202" s="1075"/>
      <c r="K202" s="1075"/>
      <c r="L202" s="1075"/>
      <c r="M202" s="1075"/>
      <c r="N202" s="1075"/>
      <c r="O202" s="1075"/>
      <c r="P202" s="1075"/>
      <c r="Q202" s="1075"/>
      <c r="R202" s="1075"/>
      <c r="S202" s="1075"/>
      <c r="T202" s="1075"/>
      <c r="U202" s="1075"/>
      <c r="V202" s="1075"/>
      <c r="W202" s="1075"/>
      <c r="X202" s="1075"/>
      <c r="Y202" s="1075"/>
      <c r="Z202" s="1075"/>
      <c r="AA202" s="1075"/>
      <c r="AB202" s="1075"/>
      <c r="AC202" s="1075"/>
      <c r="AD202" s="1075"/>
      <c r="AE202" s="1075"/>
      <c r="AF202" s="1075"/>
      <c r="AG202" s="1075"/>
      <c r="AH202" s="1075"/>
      <c r="AI202" s="1075"/>
      <c r="AJ202" s="1075"/>
      <c r="AK202" s="1075"/>
      <c r="AL202" s="1075"/>
      <c r="AM202" s="1075"/>
      <c r="AN202" s="1075"/>
      <c r="AO202" s="1075"/>
      <c r="AP202" s="1075"/>
      <c r="AQ202" s="1075"/>
      <c r="AR202" s="1075"/>
      <c r="AS202" s="1075"/>
      <c r="AT202" s="1075"/>
      <c r="AU202" s="1075"/>
      <c r="AV202" s="1075"/>
    </row>
    <row r="203" spans="1:48" ht="11.25" hidden="1" customHeight="1">
      <c r="A203" s="1075"/>
      <c r="B203" s="1075"/>
      <c r="C203" s="1075"/>
      <c r="D203" s="1075"/>
      <c r="E203" s="1075"/>
      <c r="F203" s="1075"/>
      <c r="G203" s="1075"/>
      <c r="H203" s="1075"/>
      <c r="I203" s="1075"/>
      <c r="J203" s="1075"/>
      <c r="K203" s="1075"/>
      <c r="L203" s="1075"/>
      <c r="M203" s="1075"/>
      <c r="N203" s="1075"/>
      <c r="O203" s="1075"/>
      <c r="P203" s="1075"/>
      <c r="Q203" s="1075"/>
      <c r="R203" s="1075"/>
      <c r="S203" s="1075"/>
      <c r="T203" s="1075"/>
      <c r="U203" s="1075"/>
      <c r="V203" s="1075"/>
      <c r="W203" s="1075"/>
      <c r="X203" s="1075"/>
      <c r="Y203" s="1075"/>
      <c r="Z203" s="1075"/>
      <c r="AA203" s="1075"/>
      <c r="AB203" s="1075"/>
      <c r="AC203" s="1075"/>
      <c r="AD203" s="1075"/>
      <c r="AE203" s="1075"/>
      <c r="AF203" s="1075"/>
      <c r="AG203" s="1075"/>
      <c r="AH203" s="1075"/>
      <c r="AI203" s="1075"/>
      <c r="AJ203" s="1075"/>
      <c r="AK203" s="1075"/>
      <c r="AL203" s="1075"/>
      <c r="AM203" s="1075"/>
      <c r="AN203" s="1075"/>
      <c r="AO203" s="1075"/>
      <c r="AP203" s="1075"/>
      <c r="AQ203" s="1075"/>
      <c r="AR203" s="1075"/>
      <c r="AS203" s="1075"/>
      <c r="AT203" s="1075"/>
      <c r="AU203" s="1075"/>
      <c r="AV203" s="1075"/>
    </row>
    <row r="204" spans="1:48" ht="11.25" hidden="1" customHeight="1">
      <c r="A204" s="1075"/>
      <c r="B204" s="1075"/>
      <c r="C204" s="1075"/>
      <c r="D204" s="1075"/>
      <c r="E204" s="1075"/>
      <c r="F204" s="1075"/>
      <c r="G204" s="1075"/>
      <c r="H204" s="1075"/>
      <c r="I204" s="1075"/>
      <c r="J204" s="1075"/>
      <c r="K204" s="1075"/>
      <c r="L204" s="1075"/>
      <c r="M204" s="1075"/>
      <c r="N204" s="1075"/>
      <c r="O204" s="1075"/>
      <c r="P204" s="1075"/>
      <c r="Q204" s="1075"/>
      <c r="R204" s="1075"/>
      <c r="S204" s="1075"/>
      <c r="T204" s="1075"/>
      <c r="U204" s="1075"/>
      <c r="V204" s="1075"/>
      <c r="W204" s="1075"/>
      <c r="X204" s="1075"/>
      <c r="Y204" s="1075"/>
      <c r="Z204" s="1075"/>
      <c r="AA204" s="1075"/>
      <c r="AB204" s="1075"/>
      <c r="AC204" s="1075"/>
      <c r="AD204" s="1075"/>
      <c r="AE204" s="1075"/>
      <c r="AF204" s="1075"/>
      <c r="AG204" s="1075"/>
      <c r="AH204" s="1075"/>
      <c r="AI204" s="1075"/>
      <c r="AJ204" s="1075"/>
      <c r="AK204" s="1075"/>
      <c r="AL204" s="1075"/>
      <c r="AM204" s="1075"/>
      <c r="AN204" s="1075"/>
      <c r="AO204" s="1075"/>
      <c r="AP204" s="1075"/>
      <c r="AQ204" s="1075"/>
      <c r="AR204" s="1075"/>
      <c r="AS204" s="1075"/>
      <c r="AT204" s="1075"/>
      <c r="AU204" s="1075"/>
      <c r="AV204" s="1075"/>
    </row>
    <row r="205" spans="1:48" ht="11.25" hidden="1" customHeight="1">
      <c r="A205" s="1075"/>
      <c r="B205" s="1075"/>
      <c r="C205" s="1075"/>
      <c r="D205" s="1075"/>
      <c r="E205" s="1075"/>
      <c r="F205" s="1075"/>
      <c r="G205" s="1075"/>
      <c r="H205" s="1075"/>
      <c r="I205" s="1075"/>
      <c r="J205" s="1075"/>
      <c r="K205" s="1075"/>
      <c r="L205" s="1075"/>
      <c r="M205" s="1075"/>
      <c r="N205" s="1075"/>
      <c r="O205" s="1075"/>
      <c r="P205" s="1075"/>
      <c r="Q205" s="1075"/>
      <c r="R205" s="1075"/>
      <c r="S205" s="1075"/>
      <c r="T205" s="1075"/>
      <c r="U205" s="1075"/>
      <c r="V205" s="1075"/>
      <c r="W205" s="1075"/>
      <c r="X205" s="1075"/>
      <c r="Y205" s="1075"/>
      <c r="Z205" s="1075"/>
      <c r="AA205" s="1075"/>
      <c r="AB205" s="1075"/>
      <c r="AC205" s="1075"/>
      <c r="AD205" s="1075"/>
      <c r="AE205" s="1075"/>
      <c r="AF205" s="1075"/>
      <c r="AG205" s="1075"/>
      <c r="AH205" s="1075"/>
      <c r="AI205" s="1075"/>
      <c r="AJ205" s="1075"/>
      <c r="AK205" s="1075"/>
      <c r="AL205" s="1075"/>
      <c r="AM205" s="1075"/>
      <c r="AN205" s="1075"/>
      <c r="AO205" s="1075"/>
      <c r="AP205" s="1075"/>
      <c r="AQ205" s="1075"/>
      <c r="AR205" s="1075"/>
      <c r="AS205" s="1075"/>
      <c r="AT205" s="1075"/>
      <c r="AU205" s="1075"/>
      <c r="AV205" s="1075"/>
    </row>
    <row r="206" spans="1:48" ht="11.25" hidden="1" customHeight="1">
      <c r="A206" s="1075"/>
      <c r="B206" s="1075"/>
      <c r="C206" s="1075"/>
      <c r="D206" s="1075"/>
      <c r="E206" s="1075"/>
      <c r="F206" s="1075"/>
      <c r="G206" s="1075"/>
      <c r="H206" s="1075"/>
      <c r="I206" s="1075"/>
      <c r="J206" s="1075"/>
      <c r="K206" s="1075"/>
      <c r="L206" s="1075"/>
      <c r="M206" s="1075"/>
      <c r="N206" s="1075"/>
      <c r="O206" s="1075"/>
      <c r="P206" s="1075"/>
      <c r="Q206" s="1075"/>
      <c r="R206" s="1075"/>
      <c r="S206" s="1075"/>
      <c r="T206" s="1075"/>
      <c r="U206" s="1075"/>
      <c r="V206" s="1075"/>
      <c r="W206" s="1075"/>
      <c r="X206" s="1075"/>
      <c r="Y206" s="1075"/>
      <c r="Z206" s="1075"/>
      <c r="AA206" s="1075"/>
      <c r="AB206" s="1075"/>
      <c r="AC206" s="1075"/>
      <c r="AD206" s="1075"/>
      <c r="AE206" s="1075"/>
      <c r="AF206" s="1075"/>
      <c r="AG206" s="1075"/>
      <c r="AH206" s="1075"/>
      <c r="AI206" s="1075"/>
      <c r="AJ206" s="1075"/>
      <c r="AK206" s="1075"/>
      <c r="AL206" s="1075"/>
      <c r="AM206" s="1075"/>
      <c r="AN206" s="1075"/>
      <c r="AO206" s="1075"/>
      <c r="AP206" s="1075"/>
      <c r="AQ206" s="1075"/>
      <c r="AR206" s="1075"/>
      <c r="AS206" s="1075"/>
      <c r="AT206" s="1075"/>
      <c r="AU206" s="1075"/>
      <c r="AV206" s="1075"/>
    </row>
    <row r="207" spans="1:48" ht="11.25" hidden="1" customHeight="1">
      <c r="A207" s="1075"/>
      <c r="B207" s="1075"/>
      <c r="C207" s="1075"/>
      <c r="D207" s="1075"/>
      <c r="E207" s="1075"/>
      <c r="F207" s="1075"/>
      <c r="G207" s="1075"/>
      <c r="H207" s="1075"/>
      <c r="I207" s="1075"/>
      <c r="J207" s="1075"/>
      <c r="K207" s="1075"/>
      <c r="L207" s="1075"/>
      <c r="M207" s="1075"/>
      <c r="N207" s="1075"/>
      <c r="O207" s="1075"/>
      <c r="P207" s="1075"/>
      <c r="Q207" s="1075"/>
      <c r="R207" s="1075"/>
      <c r="S207" s="1075"/>
      <c r="T207" s="1075"/>
      <c r="U207" s="1075"/>
      <c r="V207" s="1075"/>
      <c r="W207" s="1075"/>
      <c r="X207" s="1075"/>
      <c r="Y207" s="1075"/>
      <c r="Z207" s="1075"/>
      <c r="AA207" s="1075"/>
      <c r="AB207" s="1075"/>
      <c r="AC207" s="1075"/>
      <c r="AD207" s="1075"/>
      <c r="AE207" s="1075"/>
      <c r="AF207" s="1075"/>
      <c r="AG207" s="1075"/>
      <c r="AH207" s="1075"/>
      <c r="AI207" s="1075"/>
      <c r="AJ207" s="1075"/>
      <c r="AK207" s="1075"/>
      <c r="AL207" s="1075"/>
      <c r="AM207" s="1075"/>
      <c r="AN207" s="1075"/>
      <c r="AO207" s="1075"/>
      <c r="AP207" s="1075"/>
      <c r="AQ207" s="1075"/>
      <c r="AR207" s="1075"/>
      <c r="AS207" s="1075"/>
      <c r="AT207" s="1075"/>
      <c r="AU207" s="1075"/>
      <c r="AV207" s="1075"/>
    </row>
    <row r="208" spans="1:48" ht="11.25" hidden="1" customHeight="1">
      <c r="A208" s="1075"/>
      <c r="B208" s="1075"/>
      <c r="C208" s="1075"/>
      <c r="D208" s="1075"/>
      <c r="E208" s="1075"/>
      <c r="F208" s="1075"/>
      <c r="G208" s="1075"/>
      <c r="H208" s="1075"/>
      <c r="I208" s="1075"/>
      <c r="J208" s="1075"/>
      <c r="K208" s="1075"/>
      <c r="L208" s="1075"/>
      <c r="M208" s="1075"/>
      <c r="N208" s="1075"/>
      <c r="O208" s="1075"/>
      <c r="P208" s="1075"/>
      <c r="Q208" s="1075"/>
      <c r="R208" s="1075"/>
      <c r="S208" s="1075"/>
      <c r="T208" s="1075"/>
      <c r="U208" s="1075"/>
      <c r="V208" s="1075"/>
      <c r="W208" s="1075"/>
      <c r="X208" s="1075"/>
      <c r="Y208" s="1075"/>
      <c r="Z208" s="1075"/>
      <c r="AA208" s="1075"/>
      <c r="AB208" s="1075"/>
      <c r="AC208" s="1075"/>
      <c r="AD208" s="1075"/>
      <c r="AE208" s="1075"/>
      <c r="AF208" s="1075"/>
      <c r="AG208" s="1075"/>
      <c r="AH208" s="1075"/>
      <c r="AI208" s="1075"/>
      <c r="AJ208" s="1075"/>
      <c r="AK208" s="1075"/>
      <c r="AL208" s="1075"/>
      <c r="AM208" s="1075"/>
      <c r="AN208" s="1075"/>
      <c r="AO208" s="1075"/>
      <c r="AP208" s="1075"/>
      <c r="AQ208" s="1075"/>
      <c r="AR208" s="1075"/>
      <c r="AS208" s="1075"/>
      <c r="AT208" s="1075"/>
      <c r="AU208" s="1075"/>
      <c r="AV208" s="1075"/>
    </row>
    <row r="209" spans="1:48" ht="11.25" hidden="1" customHeight="1">
      <c r="A209" s="1075"/>
      <c r="B209" s="1075"/>
      <c r="C209" s="1075"/>
      <c r="D209" s="1075"/>
      <c r="E209" s="1075"/>
      <c r="F209" s="1075"/>
      <c r="G209" s="1075"/>
      <c r="H209" s="1075"/>
      <c r="I209" s="1075"/>
      <c r="J209" s="1075"/>
      <c r="K209" s="1075"/>
      <c r="L209" s="1075"/>
      <c r="M209" s="1075"/>
      <c r="N209" s="1075"/>
      <c r="O209" s="1075"/>
      <c r="P209" s="1075"/>
      <c r="Q209" s="1075"/>
      <c r="R209" s="1075"/>
      <c r="S209" s="1075"/>
      <c r="T209" s="1075"/>
      <c r="U209" s="1075"/>
      <c r="V209" s="1075"/>
      <c r="W209" s="1075"/>
      <c r="X209" s="1075"/>
      <c r="Y209" s="1075"/>
      <c r="Z209" s="1075"/>
      <c r="AA209" s="1075"/>
      <c r="AB209" s="1075"/>
      <c r="AC209" s="1075"/>
      <c r="AD209" s="1075"/>
      <c r="AE209" s="1075"/>
      <c r="AF209" s="1075"/>
      <c r="AG209" s="1075"/>
      <c r="AH209" s="1075"/>
      <c r="AI209" s="1075"/>
      <c r="AJ209" s="1075"/>
      <c r="AK209" s="1075"/>
      <c r="AL209" s="1075"/>
      <c r="AM209" s="1075"/>
      <c r="AN209" s="1075"/>
      <c r="AO209" s="1075"/>
      <c r="AP209" s="1075"/>
      <c r="AQ209" s="1075"/>
      <c r="AR209" s="1075"/>
      <c r="AS209" s="1075"/>
      <c r="AT209" s="1075"/>
      <c r="AU209" s="1075"/>
      <c r="AV209" s="1075"/>
    </row>
    <row r="210" spans="1:48" ht="11.25" hidden="1" customHeight="1">
      <c r="A210" s="1075"/>
      <c r="B210" s="1075"/>
      <c r="C210" s="1075"/>
      <c r="D210" s="1075"/>
      <c r="E210" s="1075"/>
      <c r="F210" s="1075"/>
      <c r="G210" s="1075"/>
      <c r="H210" s="1075"/>
      <c r="I210" s="1075"/>
      <c r="J210" s="1075"/>
      <c r="K210" s="1075"/>
      <c r="L210" s="1075"/>
      <c r="M210" s="1075"/>
      <c r="N210" s="1075"/>
      <c r="O210" s="1075"/>
      <c r="P210" s="1075"/>
      <c r="Q210" s="1075"/>
      <c r="R210" s="1075"/>
      <c r="S210" s="1075"/>
      <c r="T210" s="1075"/>
      <c r="U210" s="1075"/>
      <c r="V210" s="1075"/>
      <c r="W210" s="1075"/>
      <c r="X210" s="1075"/>
      <c r="Y210" s="1075"/>
      <c r="Z210" s="1075"/>
      <c r="AA210" s="1075"/>
      <c r="AB210" s="1075"/>
      <c r="AC210" s="1075"/>
      <c r="AD210" s="1075"/>
      <c r="AE210" s="1075"/>
      <c r="AF210" s="1075"/>
      <c r="AG210" s="1075"/>
      <c r="AH210" s="1075"/>
      <c r="AI210" s="1075"/>
      <c r="AJ210" s="1075"/>
      <c r="AK210" s="1075"/>
      <c r="AL210" s="1075"/>
      <c r="AM210" s="1075"/>
      <c r="AN210" s="1075"/>
      <c r="AO210" s="1075"/>
      <c r="AP210" s="1075"/>
      <c r="AQ210" s="1075"/>
      <c r="AR210" s="1075"/>
      <c r="AS210" s="1075"/>
      <c r="AT210" s="1075"/>
      <c r="AU210" s="1075"/>
      <c r="AV210" s="1075"/>
    </row>
    <row r="211" spans="1:48" ht="11.25" hidden="1" customHeight="1">
      <c r="A211" s="1075"/>
      <c r="B211" s="1075"/>
      <c r="C211" s="1075"/>
      <c r="D211" s="1075"/>
      <c r="E211" s="1075"/>
      <c r="F211" s="1075"/>
      <c r="G211" s="1075"/>
      <c r="H211" s="1075"/>
      <c r="I211" s="1075"/>
      <c r="J211" s="1075"/>
      <c r="K211" s="1075"/>
      <c r="L211" s="1075"/>
      <c r="M211" s="1075"/>
      <c r="N211" s="1075"/>
      <c r="O211" s="1075"/>
      <c r="P211" s="1075"/>
      <c r="Q211" s="1075"/>
      <c r="R211" s="1075"/>
      <c r="S211" s="1075"/>
      <c r="T211" s="1075"/>
      <c r="U211" s="1075"/>
      <c r="V211" s="1075"/>
      <c r="W211" s="1075"/>
      <c r="X211" s="1075"/>
      <c r="Y211" s="1075"/>
      <c r="Z211" s="1075"/>
      <c r="AA211" s="1075"/>
      <c r="AB211" s="1075"/>
      <c r="AC211" s="1075"/>
      <c r="AD211" s="1075"/>
      <c r="AE211" s="1075"/>
      <c r="AF211" s="1075"/>
      <c r="AG211" s="1075"/>
      <c r="AH211" s="1075"/>
      <c r="AI211" s="1075"/>
      <c r="AJ211" s="1075"/>
      <c r="AK211" s="1075"/>
      <c r="AL211" s="1075"/>
      <c r="AM211" s="1075"/>
      <c r="AN211" s="1075"/>
      <c r="AO211" s="1075"/>
      <c r="AP211" s="1075"/>
      <c r="AQ211" s="1075"/>
      <c r="AR211" s="1075"/>
      <c r="AS211" s="1075"/>
      <c r="AT211" s="1075"/>
      <c r="AU211" s="1075"/>
      <c r="AV211" s="1075"/>
    </row>
    <row r="212" spans="1:48" ht="11.25" hidden="1" customHeight="1">
      <c r="A212" s="1075"/>
      <c r="B212" s="1075"/>
      <c r="C212" s="1075"/>
      <c r="D212" s="1075"/>
      <c r="E212" s="1075"/>
      <c r="F212" s="1075"/>
      <c r="G212" s="1075"/>
      <c r="H212" s="1075"/>
      <c r="I212" s="1075"/>
      <c r="J212" s="1075"/>
      <c r="K212" s="1075"/>
      <c r="L212" s="1075"/>
      <c r="M212" s="1075"/>
      <c r="N212" s="1075"/>
      <c r="O212" s="1075"/>
      <c r="P212" s="1075"/>
      <c r="Q212" s="1075"/>
      <c r="R212" s="1075"/>
      <c r="S212" s="1075"/>
      <c r="T212" s="1075"/>
      <c r="U212" s="1075"/>
      <c r="V212" s="1075"/>
      <c r="W212" s="1075"/>
      <c r="X212" s="1075"/>
      <c r="Y212" s="1075"/>
      <c r="Z212" s="1075"/>
      <c r="AA212" s="1075"/>
      <c r="AB212" s="1075"/>
      <c r="AC212" s="1075"/>
      <c r="AD212" s="1075"/>
      <c r="AE212" s="1075"/>
      <c r="AF212" s="1075"/>
      <c r="AG212" s="1075"/>
      <c r="AH212" s="1075"/>
      <c r="AI212" s="1075"/>
      <c r="AJ212" s="1075"/>
      <c r="AK212" s="1075"/>
      <c r="AL212" s="1075"/>
      <c r="AM212" s="1075"/>
      <c r="AN212" s="1075"/>
      <c r="AO212" s="1075"/>
      <c r="AP212" s="1075"/>
      <c r="AQ212" s="1075"/>
      <c r="AR212" s="1075"/>
      <c r="AS212" s="1075"/>
      <c r="AT212" s="1075"/>
      <c r="AU212" s="1075"/>
      <c r="AV212" s="1075"/>
    </row>
    <row r="213" spans="1:48" ht="11.25" hidden="1" customHeight="1">
      <c r="A213" s="1075"/>
      <c r="B213" s="1075"/>
      <c r="C213" s="1075"/>
      <c r="D213" s="1075"/>
      <c r="E213" s="1075"/>
      <c r="F213" s="1075"/>
      <c r="G213" s="1075"/>
      <c r="H213" s="1075"/>
      <c r="I213" s="1075"/>
      <c r="J213" s="1075"/>
      <c r="K213" s="1075"/>
      <c r="L213" s="1075"/>
      <c r="M213" s="1075"/>
      <c r="N213" s="1075"/>
      <c r="O213" s="1075"/>
      <c r="P213" s="1075"/>
      <c r="Q213" s="1075"/>
      <c r="R213" s="1075"/>
      <c r="S213" s="1075"/>
      <c r="T213" s="1075"/>
      <c r="U213" s="1075"/>
      <c r="V213" s="1075"/>
      <c r="W213" s="1075"/>
      <c r="X213" s="1075"/>
      <c r="Y213" s="1075"/>
      <c r="Z213" s="1075"/>
      <c r="AA213" s="1075"/>
      <c r="AB213" s="1075"/>
      <c r="AC213" s="1075"/>
      <c r="AD213" s="1075"/>
      <c r="AE213" s="1075"/>
      <c r="AF213" s="1075"/>
      <c r="AG213" s="1075"/>
      <c r="AH213" s="1075"/>
      <c r="AI213" s="1075"/>
      <c r="AJ213" s="1075"/>
      <c r="AK213" s="1075"/>
      <c r="AL213" s="1075"/>
      <c r="AM213" s="1075"/>
      <c r="AN213" s="1075"/>
      <c r="AO213" s="1075"/>
      <c r="AP213" s="1075"/>
      <c r="AQ213" s="1075"/>
      <c r="AR213" s="1075"/>
      <c r="AS213" s="1075"/>
      <c r="AT213" s="1075"/>
      <c r="AU213" s="1075"/>
      <c r="AV213" s="1075"/>
    </row>
    <row r="214" spans="1:48" ht="11.25" hidden="1" customHeight="1">
      <c r="A214" s="1075"/>
      <c r="B214" s="1075"/>
      <c r="C214" s="1075"/>
      <c r="D214" s="1075"/>
      <c r="E214" s="1075"/>
      <c r="F214" s="1075"/>
      <c r="G214" s="1075"/>
      <c r="H214" s="1075"/>
      <c r="I214" s="1075"/>
      <c r="J214" s="1075"/>
      <c r="K214" s="1075"/>
      <c r="L214" s="1075"/>
      <c r="M214" s="1075"/>
      <c r="N214" s="1075"/>
      <c r="O214" s="1075"/>
      <c r="P214" s="1075"/>
      <c r="Q214" s="1075"/>
      <c r="R214" s="1075"/>
      <c r="S214" s="1075"/>
      <c r="T214" s="1075"/>
      <c r="U214" s="1075"/>
      <c r="V214" s="1075"/>
      <c r="W214" s="1075"/>
      <c r="X214" s="1075"/>
      <c r="Y214" s="1075"/>
      <c r="Z214" s="1075"/>
      <c r="AA214" s="1075"/>
      <c r="AB214" s="1075"/>
      <c r="AC214" s="1075"/>
      <c r="AD214" s="1075"/>
      <c r="AE214" s="1075"/>
      <c r="AF214" s="1075"/>
      <c r="AG214" s="1075"/>
      <c r="AH214" s="1075"/>
      <c r="AI214" s="1075"/>
      <c r="AJ214" s="1075"/>
      <c r="AK214" s="1075"/>
      <c r="AL214" s="1075"/>
      <c r="AM214" s="1075"/>
      <c r="AN214" s="1075"/>
      <c r="AO214" s="1075"/>
      <c r="AP214" s="1075"/>
      <c r="AQ214" s="1075"/>
      <c r="AR214" s="1075"/>
      <c r="AS214" s="1075"/>
      <c r="AT214" s="1075"/>
      <c r="AU214" s="1075"/>
      <c r="AV214" s="1075"/>
    </row>
    <row r="215" spans="1:48" ht="11.25" hidden="1" customHeight="1">
      <c r="A215" s="1075"/>
      <c r="B215" s="1075"/>
      <c r="C215" s="1075"/>
      <c r="D215" s="1075"/>
      <c r="E215" s="1075"/>
      <c r="F215" s="1075"/>
      <c r="G215" s="1075"/>
      <c r="H215" s="1075"/>
      <c r="I215" s="1075"/>
      <c r="J215" s="1075"/>
      <c r="K215" s="1075"/>
      <c r="L215" s="1075"/>
      <c r="M215" s="1075"/>
      <c r="N215" s="1075"/>
      <c r="O215" s="1075"/>
      <c r="P215" s="1075"/>
      <c r="Q215" s="1075"/>
      <c r="R215" s="1075"/>
      <c r="S215" s="1075"/>
      <c r="T215" s="1075"/>
      <c r="U215" s="1075"/>
      <c r="V215" s="1075"/>
      <c r="W215" s="1075"/>
      <c r="X215" s="1075"/>
      <c r="Y215" s="1075"/>
      <c r="Z215" s="1075"/>
      <c r="AA215" s="1075"/>
      <c r="AB215" s="1075"/>
      <c r="AC215" s="1075"/>
      <c r="AD215" s="1075"/>
      <c r="AE215" s="1075"/>
      <c r="AF215" s="1075"/>
      <c r="AG215" s="1075"/>
      <c r="AH215" s="1075"/>
      <c r="AI215" s="1075"/>
      <c r="AJ215" s="1075"/>
      <c r="AK215" s="1075"/>
      <c r="AL215" s="1075"/>
      <c r="AM215" s="1075"/>
      <c r="AN215" s="1075"/>
      <c r="AO215" s="1075"/>
      <c r="AP215" s="1075"/>
      <c r="AQ215" s="1075"/>
      <c r="AR215" s="1075"/>
      <c r="AS215" s="1075"/>
      <c r="AT215" s="1075"/>
      <c r="AU215" s="1075"/>
      <c r="AV215" s="1075"/>
    </row>
    <row r="216" spans="1:48" ht="11.25" hidden="1" customHeight="1">
      <c r="A216" s="1075"/>
      <c r="B216" s="1075"/>
      <c r="C216" s="1075"/>
      <c r="D216" s="1075"/>
      <c r="E216" s="1075"/>
      <c r="F216" s="1075"/>
      <c r="G216" s="1075"/>
      <c r="H216" s="1075"/>
      <c r="I216" s="1075"/>
      <c r="J216" s="1075"/>
      <c r="K216" s="1075"/>
      <c r="L216" s="1075"/>
      <c r="M216" s="1075"/>
      <c r="N216" s="1075"/>
      <c r="O216" s="1075"/>
      <c r="P216" s="1075"/>
      <c r="Q216" s="1075"/>
      <c r="R216" s="1075"/>
      <c r="S216" s="1075"/>
      <c r="T216" s="1075"/>
      <c r="U216" s="1075"/>
      <c r="V216" s="1075"/>
      <c r="W216" s="1075"/>
      <c r="X216" s="1075"/>
      <c r="Y216" s="1075"/>
      <c r="Z216" s="1075"/>
      <c r="AA216" s="1075"/>
      <c r="AB216" s="1075"/>
      <c r="AC216" s="1075"/>
      <c r="AD216" s="1075"/>
      <c r="AE216" s="1075"/>
      <c r="AF216" s="1075"/>
      <c r="AG216" s="1075"/>
      <c r="AH216" s="1075"/>
      <c r="AI216" s="1075"/>
      <c r="AJ216" s="1075"/>
      <c r="AK216" s="1075"/>
      <c r="AL216" s="1075"/>
      <c r="AM216" s="1075"/>
      <c r="AN216" s="1075"/>
      <c r="AO216" s="1075"/>
      <c r="AP216" s="1075"/>
      <c r="AQ216" s="1075"/>
      <c r="AR216" s="1075"/>
      <c r="AS216" s="1075"/>
      <c r="AT216" s="1075"/>
      <c r="AU216" s="1075"/>
      <c r="AV216" s="1075"/>
    </row>
    <row r="217" spans="1:48" ht="11.25" hidden="1" customHeight="1">
      <c r="A217" s="1075"/>
      <c r="B217" s="1075"/>
      <c r="C217" s="1075"/>
      <c r="D217" s="1075"/>
      <c r="E217" s="1075"/>
      <c r="F217" s="1075"/>
      <c r="G217" s="1075"/>
      <c r="H217" s="1075"/>
      <c r="I217" s="1075"/>
      <c r="J217" s="1075"/>
      <c r="K217" s="1075"/>
      <c r="L217" s="1075"/>
      <c r="M217" s="1075"/>
      <c r="N217" s="1075"/>
      <c r="O217" s="1075"/>
      <c r="P217" s="1075"/>
      <c r="Q217" s="1075"/>
      <c r="R217" s="1075"/>
      <c r="S217" s="1075"/>
      <c r="T217" s="1075"/>
      <c r="U217" s="1075"/>
      <c r="V217" s="1075"/>
      <c r="W217" s="1075"/>
      <c r="X217" s="1075"/>
      <c r="Y217" s="1075"/>
      <c r="Z217" s="1075"/>
      <c r="AA217" s="1075"/>
      <c r="AB217" s="1075"/>
      <c r="AC217" s="1075"/>
      <c r="AD217" s="1075"/>
      <c r="AE217" s="1075"/>
      <c r="AF217" s="1075"/>
      <c r="AG217" s="1075"/>
      <c r="AH217" s="1075"/>
      <c r="AI217" s="1075"/>
      <c r="AJ217" s="1075"/>
      <c r="AK217" s="1075"/>
      <c r="AL217" s="1075"/>
      <c r="AM217" s="1075"/>
      <c r="AN217" s="1075"/>
      <c r="AO217" s="1075"/>
      <c r="AP217" s="1075"/>
      <c r="AQ217" s="1075"/>
      <c r="AR217" s="1075"/>
      <c r="AS217" s="1075"/>
      <c r="AT217" s="1075"/>
      <c r="AU217" s="1075"/>
      <c r="AV217" s="1075"/>
    </row>
    <row r="218" spans="1:48" ht="11.25" hidden="1" customHeight="1">
      <c r="A218" s="1075"/>
      <c r="B218" s="1075"/>
      <c r="C218" s="1075"/>
      <c r="D218" s="1075"/>
      <c r="E218" s="1075"/>
      <c r="F218" s="1075"/>
      <c r="G218" s="1075"/>
      <c r="H218" s="1075"/>
      <c r="I218" s="1075"/>
      <c r="J218" s="1075"/>
      <c r="K218" s="1075"/>
      <c r="L218" s="1075"/>
      <c r="M218" s="1075"/>
      <c r="N218" s="1075"/>
      <c r="O218" s="1075"/>
      <c r="P218" s="1075"/>
      <c r="Q218" s="1075"/>
      <c r="R218" s="1075"/>
      <c r="S218" s="1075"/>
      <c r="T218" s="1075"/>
      <c r="U218" s="1075"/>
      <c r="V218" s="1075"/>
      <c r="W218" s="1075"/>
      <c r="X218" s="1075"/>
      <c r="Y218" s="1075"/>
      <c r="Z218" s="1075"/>
      <c r="AA218" s="1075"/>
      <c r="AB218" s="1075"/>
      <c r="AC218" s="1075"/>
      <c r="AD218" s="1075"/>
      <c r="AE218" s="1075"/>
      <c r="AF218" s="1075"/>
      <c r="AG218" s="1075"/>
      <c r="AH218" s="1075"/>
      <c r="AI218" s="1075"/>
      <c r="AJ218" s="1075"/>
      <c r="AK218" s="1075"/>
      <c r="AL218" s="1075"/>
      <c r="AM218" s="1075"/>
      <c r="AN218" s="1075"/>
      <c r="AO218" s="1075"/>
      <c r="AP218" s="1075"/>
      <c r="AQ218" s="1075"/>
      <c r="AR218" s="1075"/>
      <c r="AS218" s="1075"/>
      <c r="AT218" s="1075"/>
      <c r="AU218" s="1075"/>
      <c r="AV218" s="1075"/>
    </row>
    <row r="219" spans="1:48" ht="11.25" hidden="1" customHeight="1">
      <c r="A219" s="1075"/>
      <c r="B219" s="1075"/>
      <c r="C219" s="1075"/>
      <c r="D219" s="1075"/>
      <c r="E219" s="1075"/>
      <c r="F219" s="1075"/>
      <c r="G219" s="1075"/>
      <c r="H219" s="1075"/>
      <c r="I219" s="1075"/>
      <c r="J219" s="1075"/>
      <c r="K219" s="1075"/>
      <c r="L219" s="1075"/>
      <c r="M219" s="1075"/>
      <c r="N219" s="1075"/>
      <c r="O219" s="1075"/>
      <c r="P219" s="1075"/>
      <c r="Q219" s="1075"/>
      <c r="R219" s="1075"/>
      <c r="S219" s="1075"/>
      <c r="T219" s="1075"/>
      <c r="U219" s="1075"/>
      <c r="V219" s="1075"/>
      <c r="W219" s="1075"/>
      <c r="X219" s="1075"/>
      <c r="Y219" s="1075"/>
      <c r="Z219" s="1075"/>
      <c r="AA219" s="1075"/>
      <c r="AB219" s="1075"/>
      <c r="AC219" s="1075"/>
      <c r="AD219" s="1075"/>
      <c r="AE219" s="1075"/>
      <c r="AF219" s="1075"/>
      <c r="AG219" s="1075"/>
      <c r="AH219" s="1075"/>
      <c r="AI219" s="1075"/>
      <c r="AJ219" s="1075"/>
      <c r="AK219" s="1075"/>
      <c r="AL219" s="1075"/>
      <c r="AM219" s="1075"/>
      <c r="AN219" s="1075"/>
      <c r="AO219" s="1075"/>
      <c r="AP219" s="1075"/>
      <c r="AQ219" s="1075"/>
      <c r="AR219" s="1075"/>
      <c r="AS219" s="1075"/>
      <c r="AT219" s="1075"/>
      <c r="AU219" s="1075"/>
      <c r="AV219" s="1075"/>
    </row>
    <row r="220" spans="1:48" ht="11.25" hidden="1" customHeight="1">
      <c r="A220" s="1075"/>
      <c r="B220" s="1075"/>
      <c r="C220" s="1075"/>
      <c r="D220" s="1075"/>
      <c r="E220" s="1075"/>
      <c r="F220" s="1075"/>
      <c r="G220" s="1075"/>
      <c r="H220" s="1075"/>
      <c r="I220" s="1075"/>
      <c r="J220" s="1075"/>
      <c r="K220" s="1075"/>
      <c r="L220" s="1075"/>
      <c r="M220" s="1075"/>
      <c r="N220" s="1075"/>
      <c r="O220" s="1075"/>
      <c r="P220" s="1075"/>
      <c r="Q220" s="1075"/>
      <c r="R220" s="1075"/>
      <c r="S220" s="1075"/>
      <c r="T220" s="1075"/>
      <c r="U220" s="1075"/>
      <c r="V220" s="1075"/>
      <c r="W220" s="1075"/>
      <c r="X220" s="1075"/>
      <c r="Y220" s="1075"/>
      <c r="Z220" s="1075"/>
      <c r="AA220" s="1075"/>
      <c r="AB220" s="1075"/>
      <c r="AC220" s="1075"/>
      <c r="AD220" s="1075"/>
      <c r="AE220" s="1075"/>
      <c r="AF220" s="1075"/>
      <c r="AG220" s="1075"/>
      <c r="AH220" s="1075"/>
      <c r="AI220" s="1075"/>
      <c r="AJ220" s="1075"/>
      <c r="AK220" s="1075"/>
      <c r="AL220" s="1075"/>
      <c r="AM220" s="1075"/>
      <c r="AN220" s="1075"/>
      <c r="AO220" s="1075"/>
      <c r="AP220" s="1075"/>
      <c r="AQ220" s="1075"/>
      <c r="AR220" s="1075"/>
      <c r="AS220" s="1075"/>
      <c r="AT220" s="1075"/>
      <c r="AU220" s="1075"/>
      <c r="AV220" s="1075"/>
    </row>
    <row r="221" spans="1:48" ht="11.25" hidden="1" customHeight="1">
      <c r="A221" s="1075"/>
      <c r="B221" s="1075"/>
      <c r="C221" s="1075"/>
      <c r="D221" s="1075"/>
      <c r="E221" s="1075"/>
      <c r="F221" s="1075"/>
      <c r="G221" s="1075"/>
      <c r="H221" s="1075"/>
      <c r="I221" s="1075"/>
      <c r="J221" s="1075"/>
      <c r="K221" s="1075"/>
      <c r="L221" s="1075"/>
      <c r="M221" s="1075"/>
      <c r="N221" s="1075"/>
      <c r="O221" s="1075"/>
      <c r="P221" s="1075"/>
      <c r="Q221" s="1075"/>
      <c r="R221" s="1075"/>
      <c r="S221" s="1075"/>
      <c r="T221" s="1075"/>
      <c r="U221" s="1075"/>
      <c r="V221" s="1075"/>
      <c r="W221" s="1075"/>
      <c r="X221" s="1075"/>
      <c r="Y221" s="1075"/>
      <c r="Z221" s="1075"/>
      <c r="AA221" s="1075"/>
      <c r="AB221" s="1075"/>
      <c r="AC221" s="1075"/>
      <c r="AD221" s="1075"/>
      <c r="AE221" s="1075"/>
      <c r="AF221" s="1075"/>
      <c r="AG221" s="1075"/>
      <c r="AH221" s="1075"/>
      <c r="AI221" s="1075"/>
      <c r="AJ221" s="1075"/>
      <c r="AK221" s="1075"/>
      <c r="AL221" s="1075"/>
      <c r="AM221" s="1075"/>
      <c r="AN221" s="1075"/>
      <c r="AO221" s="1075"/>
      <c r="AP221" s="1075"/>
      <c r="AQ221" s="1075"/>
      <c r="AR221" s="1075"/>
      <c r="AS221" s="1075"/>
      <c r="AT221" s="1075"/>
      <c r="AU221" s="1075"/>
      <c r="AV221" s="1075"/>
    </row>
    <row r="222" spans="1:48" ht="11.25" hidden="1" customHeight="1">
      <c r="A222" s="1075"/>
      <c r="B222" s="1075"/>
      <c r="C222" s="1075"/>
      <c r="D222" s="1075"/>
      <c r="E222" s="1075"/>
      <c r="F222" s="1075"/>
      <c r="G222" s="1075"/>
      <c r="H222" s="1075"/>
      <c r="I222" s="1075"/>
      <c r="J222" s="1075"/>
      <c r="K222" s="1075"/>
      <c r="L222" s="1075"/>
      <c r="M222" s="1075"/>
      <c r="N222" s="1075"/>
      <c r="O222" s="1075"/>
      <c r="P222" s="1075"/>
      <c r="Q222" s="1075"/>
      <c r="R222" s="1075"/>
      <c r="S222" s="1075"/>
      <c r="T222" s="1075"/>
      <c r="U222" s="1075"/>
      <c r="V222" s="1075"/>
      <c r="W222" s="1075"/>
      <c r="X222" s="1075"/>
      <c r="Y222" s="1075"/>
      <c r="Z222" s="1075"/>
      <c r="AA222" s="1075"/>
      <c r="AB222" s="1075"/>
      <c r="AC222" s="1075"/>
      <c r="AD222" s="1075"/>
      <c r="AE222" s="1075"/>
      <c r="AF222" s="1075"/>
      <c r="AG222" s="1075"/>
      <c r="AH222" s="1075"/>
      <c r="AI222" s="1075"/>
      <c r="AJ222" s="1075"/>
      <c r="AK222" s="1075"/>
      <c r="AL222" s="1075"/>
      <c r="AM222" s="1075"/>
      <c r="AN222" s="1075"/>
      <c r="AO222" s="1075"/>
      <c r="AP222" s="1075"/>
      <c r="AQ222" s="1075"/>
      <c r="AR222" s="1075"/>
      <c r="AS222" s="1075"/>
      <c r="AT222" s="1075"/>
      <c r="AU222" s="1075"/>
      <c r="AV222" s="1075"/>
    </row>
    <row r="223" spans="1:48" ht="11.25" hidden="1" customHeight="1">
      <c r="A223" s="1075"/>
      <c r="B223" s="1075"/>
      <c r="C223" s="1075"/>
      <c r="D223" s="1075"/>
      <c r="E223" s="1075"/>
      <c r="F223" s="1075"/>
      <c r="G223" s="1075"/>
      <c r="H223" s="1075"/>
      <c r="I223" s="1075"/>
      <c r="J223" s="1075"/>
      <c r="K223" s="1075"/>
      <c r="L223" s="1075"/>
      <c r="M223" s="1075"/>
      <c r="N223" s="1075"/>
      <c r="O223" s="1075"/>
      <c r="P223" s="1075"/>
      <c r="Q223" s="1075"/>
      <c r="R223" s="1075"/>
      <c r="S223" s="1075"/>
      <c r="T223" s="1075"/>
      <c r="U223" s="1075"/>
      <c r="V223" s="1075"/>
      <c r="W223" s="1075"/>
      <c r="X223" s="1075"/>
      <c r="Y223" s="1075"/>
      <c r="Z223" s="1075"/>
      <c r="AA223" s="1075"/>
      <c r="AB223" s="1075"/>
      <c r="AC223" s="1075"/>
      <c r="AD223" s="1075"/>
      <c r="AE223" s="1075"/>
      <c r="AF223" s="1075"/>
      <c r="AG223" s="1075"/>
      <c r="AH223" s="1075"/>
      <c r="AI223" s="1075"/>
      <c r="AJ223" s="1075"/>
      <c r="AK223" s="1075"/>
      <c r="AL223" s="1075"/>
      <c r="AM223" s="1075"/>
      <c r="AN223" s="1075"/>
      <c r="AO223" s="1075"/>
      <c r="AP223" s="1075"/>
      <c r="AQ223" s="1075"/>
      <c r="AR223" s="1075"/>
      <c r="AS223" s="1075"/>
      <c r="AT223" s="1075"/>
      <c r="AU223" s="1075"/>
      <c r="AV223" s="1075"/>
    </row>
    <row r="224" spans="1:48" ht="11.25" hidden="1" customHeight="1">
      <c r="A224" s="1075"/>
      <c r="B224" s="1075"/>
      <c r="C224" s="1075"/>
      <c r="D224" s="1075"/>
      <c r="E224" s="1075"/>
      <c r="F224" s="1075"/>
      <c r="G224" s="1075"/>
      <c r="H224" s="1075"/>
      <c r="I224" s="1075"/>
      <c r="J224" s="1075"/>
      <c r="K224" s="1075"/>
      <c r="L224" s="1075"/>
      <c r="M224" s="1075"/>
      <c r="N224" s="1075"/>
      <c r="O224" s="1075"/>
      <c r="P224" s="1075"/>
      <c r="Q224" s="1075"/>
      <c r="R224" s="1075"/>
      <c r="S224" s="1075"/>
      <c r="T224" s="1075"/>
      <c r="U224" s="1075"/>
      <c r="V224" s="1075"/>
      <c r="W224" s="1075"/>
      <c r="X224" s="1075"/>
      <c r="Y224" s="1075"/>
      <c r="Z224" s="1075"/>
      <c r="AA224" s="1075"/>
      <c r="AB224" s="1075"/>
      <c r="AC224" s="1075"/>
      <c r="AD224" s="1075"/>
      <c r="AE224" s="1075"/>
      <c r="AF224" s="1075"/>
      <c r="AG224" s="1075"/>
      <c r="AH224" s="1075"/>
      <c r="AI224" s="1075"/>
      <c r="AJ224" s="1075"/>
      <c r="AK224" s="1075"/>
      <c r="AL224" s="1075"/>
      <c r="AM224" s="1075"/>
      <c r="AN224" s="1075"/>
      <c r="AO224" s="1075"/>
      <c r="AP224" s="1075"/>
      <c r="AQ224" s="1075"/>
      <c r="AR224" s="1075"/>
      <c r="AS224" s="1075"/>
      <c r="AT224" s="1075"/>
      <c r="AU224" s="1075"/>
      <c r="AV224" s="1075"/>
    </row>
    <row r="225" spans="1:48" ht="11.25" hidden="1" customHeight="1">
      <c r="A225" s="1075"/>
      <c r="B225" s="1075"/>
      <c r="C225" s="1075"/>
      <c r="D225" s="1075"/>
      <c r="E225" s="1075"/>
      <c r="F225" s="1075"/>
      <c r="G225" s="1075"/>
      <c r="H225" s="1075"/>
      <c r="I225" s="1075"/>
      <c r="J225" s="1075"/>
      <c r="K225" s="1075"/>
      <c r="L225" s="1075"/>
      <c r="M225" s="1075"/>
      <c r="N225" s="1075"/>
      <c r="O225" s="1075"/>
      <c r="P225" s="1075"/>
      <c r="Q225" s="1075"/>
      <c r="R225" s="1075"/>
      <c r="S225" s="1075"/>
      <c r="T225" s="1075"/>
      <c r="U225" s="1075"/>
      <c r="V225" s="1075"/>
      <c r="W225" s="1075"/>
      <c r="X225" s="1075"/>
      <c r="Y225" s="1075"/>
      <c r="Z225" s="1075"/>
      <c r="AA225" s="1075"/>
      <c r="AB225" s="1075"/>
      <c r="AC225" s="1075"/>
      <c r="AD225" s="1075"/>
      <c r="AE225" s="1075"/>
      <c r="AF225" s="1075"/>
      <c r="AG225" s="1075"/>
      <c r="AH225" s="1075"/>
      <c r="AI225" s="1075"/>
      <c r="AJ225" s="1075"/>
      <c r="AK225" s="1075"/>
      <c r="AL225" s="1075"/>
      <c r="AM225" s="1075"/>
      <c r="AN225" s="1075"/>
      <c r="AO225" s="1075"/>
      <c r="AP225" s="1075"/>
      <c r="AQ225" s="1075"/>
      <c r="AR225" s="1075"/>
      <c r="AS225" s="1075"/>
      <c r="AT225" s="1075"/>
      <c r="AU225" s="1075"/>
      <c r="AV225" s="1075"/>
    </row>
    <row r="226" spans="1:48" ht="11.25" hidden="1" customHeight="1">
      <c r="A226" s="1075"/>
      <c r="B226" s="1075"/>
      <c r="C226" s="1075"/>
      <c r="D226" s="1075"/>
      <c r="E226" s="1075"/>
      <c r="F226" s="1075"/>
      <c r="G226" s="1075"/>
      <c r="H226" s="1075"/>
      <c r="I226" s="1075"/>
      <c r="J226" s="1075"/>
      <c r="K226" s="1075"/>
      <c r="L226" s="1075"/>
      <c r="M226" s="1075"/>
      <c r="N226" s="1075"/>
      <c r="O226" s="1075"/>
      <c r="P226" s="1075"/>
      <c r="Q226" s="1075"/>
      <c r="R226" s="1075"/>
      <c r="S226" s="1075"/>
      <c r="T226" s="1075"/>
      <c r="U226" s="1075"/>
      <c r="V226" s="1075"/>
      <c r="W226" s="1075"/>
      <c r="X226" s="1075"/>
      <c r="Y226" s="1075"/>
      <c r="Z226" s="1075"/>
      <c r="AA226" s="1075"/>
      <c r="AB226" s="1075"/>
      <c r="AC226" s="1075"/>
      <c r="AD226" s="1075"/>
      <c r="AE226" s="1075"/>
      <c r="AF226" s="1075"/>
      <c r="AG226" s="1075"/>
      <c r="AH226" s="1075"/>
      <c r="AI226" s="1075"/>
      <c r="AJ226" s="1075"/>
      <c r="AK226" s="1075"/>
      <c r="AL226" s="1075"/>
      <c r="AM226" s="1075"/>
      <c r="AN226" s="1075"/>
      <c r="AO226" s="1075"/>
      <c r="AP226" s="1075"/>
      <c r="AQ226" s="1075"/>
      <c r="AR226" s="1075"/>
      <c r="AS226" s="1075"/>
      <c r="AT226" s="1075"/>
      <c r="AU226" s="1075"/>
      <c r="AV226" s="1075"/>
    </row>
    <row r="227" spans="1:48" ht="11.25" hidden="1" customHeight="1">
      <c r="A227" s="1075"/>
      <c r="B227" s="1075"/>
      <c r="C227" s="1075"/>
      <c r="D227" s="1075"/>
      <c r="E227" s="1075"/>
      <c r="F227" s="1075"/>
      <c r="G227" s="1075"/>
      <c r="H227" s="1075"/>
      <c r="I227" s="1075"/>
      <c r="J227" s="1075"/>
      <c r="K227" s="1075"/>
      <c r="L227" s="1075"/>
      <c r="M227" s="1075"/>
      <c r="N227" s="1075"/>
      <c r="O227" s="1075"/>
      <c r="P227" s="1075"/>
      <c r="Q227" s="1075"/>
      <c r="R227" s="1075"/>
      <c r="S227" s="1075"/>
      <c r="T227" s="1075"/>
      <c r="U227" s="1075"/>
      <c r="V227" s="1075"/>
      <c r="W227" s="1075"/>
      <c r="X227" s="1075"/>
      <c r="Y227" s="1075"/>
      <c r="Z227" s="1075"/>
      <c r="AA227" s="1075"/>
      <c r="AB227" s="1075"/>
      <c r="AC227" s="1075"/>
      <c r="AD227" s="1075"/>
      <c r="AE227" s="1075"/>
      <c r="AF227" s="1075"/>
      <c r="AG227" s="1075"/>
      <c r="AH227" s="1075"/>
      <c r="AI227" s="1075"/>
      <c r="AJ227" s="1075"/>
      <c r="AK227" s="1075"/>
      <c r="AL227" s="1075"/>
      <c r="AM227" s="1075"/>
      <c r="AN227" s="1075"/>
      <c r="AO227" s="1075"/>
      <c r="AP227" s="1075"/>
      <c r="AQ227" s="1075"/>
      <c r="AR227" s="1075"/>
      <c r="AS227" s="1075"/>
      <c r="AT227" s="1075"/>
      <c r="AU227" s="1075"/>
      <c r="AV227" s="1075"/>
    </row>
    <row r="228" spans="1:48" ht="11.25" hidden="1" customHeight="1">
      <c r="A228" s="1075"/>
      <c r="B228" s="1075"/>
      <c r="C228" s="1075"/>
      <c r="D228" s="1075"/>
      <c r="E228" s="1075"/>
      <c r="F228" s="1075"/>
      <c r="G228" s="1075"/>
      <c r="H228" s="1075"/>
      <c r="I228" s="1075"/>
      <c r="J228" s="1075"/>
      <c r="K228" s="1075"/>
      <c r="L228" s="1075"/>
      <c r="M228" s="1075"/>
      <c r="N228" s="1075"/>
      <c r="O228" s="1075"/>
      <c r="P228" s="1075"/>
      <c r="Q228" s="1075"/>
      <c r="R228" s="1075"/>
      <c r="S228" s="1075"/>
      <c r="T228" s="1075"/>
      <c r="U228" s="1075"/>
      <c r="V228" s="1075"/>
      <c r="W228" s="1075"/>
      <c r="X228" s="1075"/>
      <c r="Y228" s="1075"/>
      <c r="Z228" s="1075"/>
      <c r="AA228" s="1075"/>
      <c r="AB228" s="1075"/>
      <c r="AC228" s="1075"/>
      <c r="AD228" s="1075"/>
      <c r="AE228" s="1075"/>
      <c r="AF228" s="1075"/>
      <c r="AG228" s="1075"/>
      <c r="AH228" s="1075"/>
      <c r="AI228" s="1075"/>
      <c r="AJ228" s="1075"/>
      <c r="AK228" s="1075"/>
      <c r="AL228" s="1075"/>
      <c r="AM228" s="1075"/>
      <c r="AN228" s="1075"/>
      <c r="AO228" s="1075"/>
      <c r="AP228" s="1075"/>
      <c r="AQ228" s="1075"/>
      <c r="AR228" s="1075"/>
      <c r="AS228" s="1075"/>
      <c r="AT228" s="1075"/>
      <c r="AU228" s="1075"/>
      <c r="AV228" s="1075"/>
    </row>
    <row r="229" spans="1:48" ht="11.25" hidden="1" customHeight="1">
      <c r="A229" s="1075"/>
      <c r="B229" s="1075"/>
      <c r="C229" s="1075"/>
      <c r="D229" s="1075"/>
      <c r="E229" s="1075"/>
      <c r="F229" s="1075"/>
      <c r="G229" s="1075"/>
      <c r="H229" s="1075"/>
      <c r="I229" s="1075"/>
      <c r="J229" s="1075"/>
      <c r="K229" s="1075"/>
      <c r="L229" s="1075"/>
      <c r="M229" s="1075"/>
      <c r="N229" s="1075"/>
      <c r="O229" s="1075"/>
      <c r="P229" s="1075"/>
      <c r="Q229" s="1075"/>
      <c r="R229" s="1075"/>
      <c r="S229" s="1075"/>
      <c r="T229" s="1075"/>
      <c r="U229" s="1075"/>
      <c r="V229" s="1075"/>
      <c r="W229" s="1075"/>
      <c r="X229" s="1075"/>
      <c r="Y229" s="1075"/>
      <c r="Z229" s="1075"/>
      <c r="AA229" s="1075"/>
      <c r="AB229" s="1075"/>
      <c r="AC229" s="1075"/>
      <c r="AD229" s="1075"/>
      <c r="AE229" s="1075"/>
      <c r="AF229" s="1075"/>
      <c r="AG229" s="1075"/>
      <c r="AH229" s="1075"/>
      <c r="AI229" s="1075"/>
      <c r="AJ229" s="1075"/>
      <c r="AK229" s="1075"/>
      <c r="AL229" s="1075"/>
      <c r="AM229" s="1075"/>
      <c r="AN229" s="1075"/>
      <c r="AO229" s="1075"/>
      <c r="AP229" s="1075"/>
      <c r="AQ229" s="1075"/>
      <c r="AR229" s="1075"/>
      <c r="AS229" s="1075"/>
      <c r="AT229" s="1075"/>
      <c r="AU229" s="1075"/>
      <c r="AV229" s="1075"/>
    </row>
    <row r="230" spans="1:48" ht="11.25" hidden="1" customHeight="1">
      <c r="A230" s="1075"/>
      <c r="B230" s="1075"/>
      <c r="C230" s="1075"/>
      <c r="D230" s="1075"/>
      <c r="E230" s="1075"/>
      <c r="F230" s="1075"/>
      <c r="G230" s="1075"/>
      <c r="H230" s="1075"/>
      <c r="I230" s="1075"/>
      <c r="J230" s="1075"/>
      <c r="K230" s="1075"/>
      <c r="L230" s="1075"/>
      <c r="M230" s="1075"/>
      <c r="N230" s="1075"/>
      <c r="O230" s="1075"/>
      <c r="P230" s="1075"/>
      <c r="Q230" s="1075"/>
      <c r="R230" s="1075"/>
      <c r="S230" s="1075"/>
      <c r="T230" s="1075"/>
      <c r="U230" s="1075"/>
      <c r="V230" s="1075"/>
      <c r="W230" s="1075"/>
      <c r="X230" s="1075"/>
      <c r="Y230" s="1075"/>
      <c r="Z230" s="1075"/>
      <c r="AA230" s="1075"/>
      <c r="AB230" s="1075"/>
      <c r="AC230" s="1075"/>
      <c r="AD230" s="1075"/>
      <c r="AE230" s="1075"/>
      <c r="AF230" s="1075"/>
      <c r="AG230" s="1075"/>
      <c r="AH230" s="1075"/>
      <c r="AI230" s="1075"/>
      <c r="AJ230" s="1075"/>
      <c r="AK230" s="1075"/>
      <c r="AL230" s="1075"/>
      <c r="AM230" s="1075"/>
      <c r="AN230" s="1075"/>
      <c r="AO230" s="1075"/>
      <c r="AP230" s="1075"/>
      <c r="AQ230" s="1075"/>
      <c r="AR230" s="1075"/>
      <c r="AS230" s="1075"/>
      <c r="AT230" s="1075"/>
      <c r="AU230" s="1075"/>
      <c r="AV230" s="1075"/>
    </row>
    <row r="231" spans="1:48" ht="11.25" hidden="1" customHeight="1">
      <c r="A231" s="1075"/>
      <c r="B231" s="1075"/>
      <c r="C231" s="1075"/>
      <c r="D231" s="1075"/>
      <c r="E231" s="1075"/>
      <c r="F231" s="1075"/>
      <c r="G231" s="1075"/>
      <c r="H231" s="1075"/>
      <c r="I231" s="1075"/>
      <c r="J231" s="1075"/>
      <c r="K231" s="1075"/>
      <c r="L231" s="1075"/>
      <c r="M231" s="1075"/>
      <c r="N231" s="1075"/>
      <c r="O231" s="1075"/>
      <c r="P231" s="1075"/>
      <c r="Q231" s="1075"/>
      <c r="R231" s="1075"/>
      <c r="S231" s="1075"/>
      <c r="T231" s="1075"/>
      <c r="U231" s="1075"/>
      <c r="V231" s="1075"/>
      <c r="W231" s="1075"/>
      <c r="X231" s="1075"/>
      <c r="Y231" s="1075"/>
      <c r="Z231" s="1075"/>
      <c r="AA231" s="1075"/>
      <c r="AB231" s="1075"/>
      <c r="AC231" s="1075"/>
      <c r="AD231" s="1075"/>
      <c r="AE231" s="1075"/>
      <c r="AF231" s="1075"/>
      <c r="AG231" s="1075"/>
      <c r="AH231" s="1075"/>
      <c r="AI231" s="1075"/>
      <c r="AJ231" s="1075"/>
      <c r="AK231" s="1075"/>
      <c r="AL231" s="1075"/>
      <c r="AM231" s="1075"/>
      <c r="AN231" s="1075"/>
      <c r="AO231" s="1075"/>
      <c r="AP231" s="1075"/>
      <c r="AQ231" s="1075"/>
      <c r="AR231" s="1075"/>
      <c r="AS231" s="1075"/>
      <c r="AT231" s="1075"/>
      <c r="AU231" s="1075"/>
      <c r="AV231" s="1075"/>
    </row>
    <row r="232" spans="1:48" ht="11.25" hidden="1" customHeight="1">
      <c r="A232" s="1075"/>
      <c r="B232" s="1075"/>
      <c r="C232" s="1075"/>
      <c r="D232" s="1075"/>
      <c r="E232" s="1075"/>
      <c r="F232" s="1075"/>
      <c r="G232" s="1075"/>
      <c r="H232" s="1075"/>
      <c r="I232" s="1075"/>
      <c r="J232" s="1075"/>
      <c r="K232" s="1075"/>
      <c r="L232" s="1075"/>
      <c r="M232" s="1075"/>
      <c r="N232" s="1075"/>
      <c r="O232" s="1075"/>
      <c r="P232" s="1075"/>
      <c r="Q232" s="1075"/>
      <c r="R232" s="1075"/>
      <c r="S232" s="1075"/>
      <c r="T232" s="1075"/>
      <c r="U232" s="1075"/>
      <c r="V232" s="1075"/>
      <c r="W232" s="1075"/>
      <c r="X232" s="1075"/>
      <c r="Y232" s="1075"/>
      <c r="Z232" s="1075"/>
      <c r="AA232" s="1075"/>
      <c r="AB232" s="1075"/>
      <c r="AC232" s="1075"/>
      <c r="AD232" s="1075"/>
      <c r="AE232" s="1075"/>
      <c r="AF232" s="1075"/>
      <c r="AG232" s="1075"/>
      <c r="AH232" s="1075"/>
      <c r="AI232" s="1075"/>
      <c r="AJ232" s="1075"/>
      <c r="AK232" s="1075"/>
      <c r="AL232" s="1075"/>
      <c r="AM232" s="1075"/>
      <c r="AN232" s="1075"/>
      <c r="AO232" s="1075"/>
      <c r="AP232" s="1075"/>
      <c r="AQ232" s="1075"/>
      <c r="AR232" s="1075"/>
      <c r="AS232" s="1075"/>
      <c r="AT232" s="1075"/>
      <c r="AU232" s="1075"/>
      <c r="AV232" s="1075"/>
    </row>
    <row r="233" spans="1:48" ht="11.25" hidden="1" customHeight="1">
      <c r="A233" s="1075"/>
      <c r="B233" s="1075"/>
      <c r="C233" s="1075"/>
      <c r="D233" s="1075"/>
      <c r="E233" s="1075"/>
      <c r="F233" s="1075"/>
      <c r="G233" s="1075"/>
      <c r="H233" s="1075"/>
      <c r="I233" s="1075"/>
      <c r="J233" s="1075"/>
      <c r="K233" s="1075"/>
      <c r="L233" s="1075"/>
      <c r="M233" s="1075"/>
      <c r="N233" s="1075"/>
      <c r="O233" s="1075"/>
      <c r="P233" s="1075"/>
      <c r="Q233" s="1075"/>
      <c r="R233" s="1075"/>
      <c r="S233" s="1075"/>
      <c r="T233" s="1075"/>
      <c r="U233" s="1075"/>
      <c r="V233" s="1075"/>
      <c r="W233" s="1075"/>
      <c r="X233" s="1075"/>
      <c r="Y233" s="1075"/>
      <c r="Z233" s="1075"/>
      <c r="AA233" s="1075"/>
      <c r="AB233" s="1075"/>
      <c r="AC233" s="1075"/>
      <c r="AD233" s="1075"/>
      <c r="AE233" s="1075"/>
      <c r="AF233" s="1075"/>
      <c r="AG233" s="1075"/>
      <c r="AH233" s="1075"/>
      <c r="AI233" s="1075"/>
      <c r="AJ233" s="1075"/>
      <c r="AK233" s="1075"/>
      <c r="AL233" s="1075"/>
      <c r="AM233" s="1075"/>
      <c r="AN233" s="1075"/>
      <c r="AO233" s="1075"/>
      <c r="AP233" s="1075"/>
      <c r="AQ233" s="1075"/>
      <c r="AR233" s="1075"/>
      <c r="AS233" s="1075"/>
      <c r="AT233" s="1075"/>
      <c r="AU233" s="1075"/>
      <c r="AV233" s="1075"/>
    </row>
    <row r="234" spans="1:48" ht="11.25" hidden="1" customHeight="1">
      <c r="A234" s="1075"/>
      <c r="B234" s="1075"/>
      <c r="C234" s="1075"/>
      <c r="D234" s="1075"/>
      <c r="E234" s="1075"/>
      <c r="F234" s="1075"/>
      <c r="G234" s="1075"/>
      <c r="H234" s="1075"/>
      <c r="I234" s="1075"/>
      <c r="J234" s="1075"/>
      <c r="K234" s="1075"/>
      <c r="L234" s="1075"/>
      <c r="M234" s="1075"/>
      <c r="N234" s="1075"/>
      <c r="O234" s="1075"/>
      <c r="P234" s="1075"/>
      <c r="Q234" s="1075"/>
      <c r="R234" s="1075"/>
      <c r="S234" s="1075"/>
      <c r="T234" s="1075"/>
      <c r="U234" s="1075"/>
      <c r="V234" s="1075"/>
      <c r="W234" s="1075"/>
      <c r="X234" s="1075"/>
      <c r="Y234" s="1075"/>
      <c r="Z234" s="1075"/>
      <c r="AA234" s="1075"/>
      <c r="AB234" s="1075"/>
      <c r="AC234" s="1075"/>
      <c r="AD234" s="1075"/>
      <c r="AE234" s="1075"/>
      <c r="AF234" s="1075"/>
      <c r="AG234" s="1075"/>
      <c r="AH234" s="1075"/>
      <c r="AI234" s="1075"/>
      <c r="AJ234" s="1075"/>
      <c r="AK234" s="1075"/>
      <c r="AL234" s="1075"/>
      <c r="AM234" s="1075"/>
      <c r="AN234" s="1075"/>
      <c r="AO234" s="1075"/>
      <c r="AP234" s="1075"/>
      <c r="AQ234" s="1075"/>
      <c r="AR234" s="1075"/>
      <c r="AS234" s="1075"/>
      <c r="AT234" s="1075"/>
      <c r="AU234" s="1075"/>
      <c r="AV234" s="1075"/>
    </row>
    <row r="235" spans="1:48" ht="11.25" hidden="1" customHeight="1">
      <c r="A235" s="1075"/>
      <c r="B235" s="1075"/>
      <c r="C235" s="1075"/>
      <c r="D235" s="1075"/>
      <c r="E235" s="1075"/>
      <c r="F235" s="1075"/>
      <c r="G235" s="1075"/>
      <c r="H235" s="1075"/>
      <c r="I235" s="1075"/>
      <c r="J235" s="1075"/>
      <c r="K235" s="1075"/>
      <c r="L235" s="1075"/>
      <c r="M235" s="1075"/>
      <c r="N235" s="1075"/>
      <c r="O235" s="1075"/>
      <c r="P235" s="1075"/>
      <c r="Q235" s="1075"/>
      <c r="R235" s="1075"/>
      <c r="S235" s="1075"/>
      <c r="T235" s="1075"/>
      <c r="U235" s="1075"/>
      <c r="V235" s="1075"/>
      <c r="W235" s="1075"/>
      <c r="X235" s="1075"/>
      <c r="Y235" s="1075"/>
      <c r="Z235" s="1075"/>
      <c r="AA235" s="1075"/>
      <c r="AB235" s="1075"/>
      <c r="AC235" s="1075"/>
      <c r="AD235" s="1075"/>
      <c r="AE235" s="1075"/>
      <c r="AF235" s="1075"/>
      <c r="AG235" s="1075"/>
      <c r="AH235" s="1075"/>
      <c r="AI235" s="1075"/>
      <c r="AJ235" s="1075"/>
      <c r="AK235" s="1075"/>
      <c r="AL235" s="1075"/>
      <c r="AM235" s="1075"/>
      <c r="AN235" s="1075"/>
      <c r="AO235" s="1075"/>
      <c r="AP235" s="1075"/>
      <c r="AQ235" s="1075"/>
      <c r="AR235" s="1075"/>
      <c r="AS235" s="1075"/>
      <c r="AT235" s="1075"/>
      <c r="AU235" s="1075"/>
      <c r="AV235" s="1075"/>
    </row>
    <row r="236" spans="1:48" ht="11.25" hidden="1" customHeight="1">
      <c r="A236" s="1075"/>
      <c r="B236" s="1075"/>
      <c r="C236" s="1075"/>
      <c r="D236" s="1075"/>
      <c r="E236" s="1075"/>
      <c r="F236" s="1075"/>
      <c r="G236" s="1075"/>
      <c r="H236" s="1075"/>
      <c r="I236" s="1075"/>
      <c r="J236" s="1075"/>
      <c r="K236" s="1075"/>
      <c r="L236" s="1075"/>
      <c r="M236" s="1075"/>
      <c r="N236" s="1075"/>
      <c r="O236" s="1075"/>
      <c r="P236" s="1075"/>
      <c r="Q236" s="1075"/>
      <c r="R236" s="1075"/>
      <c r="S236" s="1075"/>
      <c r="T236" s="1075"/>
      <c r="U236" s="1075"/>
      <c r="V236" s="1075"/>
      <c r="W236" s="1075"/>
      <c r="X236" s="1075"/>
      <c r="Y236" s="1075"/>
      <c r="Z236" s="1075"/>
      <c r="AA236" s="1075"/>
      <c r="AB236" s="1075"/>
      <c r="AC236" s="1075"/>
      <c r="AD236" s="1075"/>
      <c r="AE236" s="1075"/>
      <c r="AF236" s="1075"/>
      <c r="AG236" s="1075"/>
      <c r="AH236" s="1075"/>
      <c r="AI236" s="1075"/>
      <c r="AJ236" s="1075"/>
      <c r="AK236" s="1075"/>
      <c r="AL236" s="1075"/>
      <c r="AM236" s="1075"/>
      <c r="AN236" s="1075"/>
      <c r="AO236" s="1075"/>
      <c r="AP236" s="1075"/>
      <c r="AQ236" s="1075"/>
      <c r="AR236" s="1075"/>
      <c r="AS236" s="1075"/>
      <c r="AT236" s="1075"/>
      <c r="AU236" s="1075"/>
      <c r="AV236" s="1075"/>
    </row>
    <row r="237" spans="1:48" ht="11.25" hidden="1" customHeight="1">
      <c r="A237" s="1075"/>
      <c r="B237" s="1075"/>
      <c r="C237" s="1075"/>
      <c r="D237" s="1075"/>
      <c r="E237" s="1075"/>
      <c r="F237" s="1075"/>
      <c r="G237" s="1075"/>
      <c r="H237" s="1075"/>
      <c r="I237" s="1075"/>
      <c r="J237" s="1075"/>
      <c r="K237" s="1075"/>
      <c r="L237" s="1075"/>
      <c r="M237" s="1075"/>
      <c r="N237" s="1075"/>
      <c r="O237" s="1075"/>
      <c r="P237" s="1075"/>
      <c r="Q237" s="1075"/>
      <c r="R237" s="1075"/>
      <c r="S237" s="1075"/>
      <c r="T237" s="1075"/>
      <c r="U237" s="1075"/>
      <c r="V237" s="1075"/>
      <c r="W237" s="1075"/>
      <c r="X237" s="1075"/>
      <c r="Y237" s="1075"/>
      <c r="Z237" s="1075"/>
      <c r="AA237" s="1075"/>
      <c r="AB237" s="1075"/>
      <c r="AC237" s="1075"/>
      <c r="AD237" s="1075"/>
      <c r="AE237" s="1075"/>
      <c r="AF237" s="1075"/>
      <c r="AG237" s="1075"/>
      <c r="AH237" s="1075"/>
      <c r="AI237" s="1075"/>
      <c r="AJ237" s="1075"/>
      <c r="AK237" s="1075"/>
      <c r="AL237" s="1075"/>
      <c r="AM237" s="1075"/>
      <c r="AN237" s="1075"/>
      <c r="AO237" s="1075"/>
      <c r="AP237" s="1075"/>
      <c r="AQ237" s="1075"/>
      <c r="AR237" s="1075"/>
      <c r="AS237" s="1075"/>
      <c r="AT237" s="1075"/>
      <c r="AU237" s="1075"/>
      <c r="AV237" s="1075"/>
    </row>
    <row r="238" spans="1:48" ht="11.25" hidden="1" customHeight="1">
      <c r="A238" s="1075"/>
      <c r="B238" s="1075"/>
      <c r="C238" s="1075"/>
      <c r="D238" s="1075"/>
      <c r="E238" s="1075"/>
      <c r="F238" s="1075"/>
      <c r="G238" s="1075"/>
      <c r="H238" s="1075"/>
      <c r="I238" s="1075"/>
      <c r="J238" s="1075"/>
      <c r="K238" s="1075"/>
      <c r="L238" s="1075"/>
      <c r="M238" s="1075"/>
      <c r="N238" s="1075"/>
      <c r="O238" s="1075"/>
      <c r="P238" s="1075"/>
      <c r="Q238" s="1075"/>
      <c r="R238" s="1075"/>
      <c r="S238" s="1075"/>
      <c r="T238" s="1075"/>
      <c r="U238" s="1075"/>
      <c r="V238" s="1075"/>
      <c r="W238" s="1075"/>
      <c r="X238" s="1075"/>
      <c r="Y238" s="1075"/>
      <c r="Z238" s="1075"/>
      <c r="AA238" s="1075"/>
      <c r="AB238" s="1075"/>
      <c r="AC238" s="1075"/>
      <c r="AD238" s="1075"/>
      <c r="AE238" s="1075"/>
      <c r="AF238" s="1075"/>
      <c r="AG238" s="1075"/>
      <c r="AH238" s="1075"/>
      <c r="AI238" s="1075"/>
      <c r="AJ238" s="1075"/>
      <c r="AK238" s="1075"/>
      <c r="AL238" s="1075"/>
      <c r="AM238" s="1075"/>
      <c r="AN238" s="1075"/>
      <c r="AO238" s="1075"/>
      <c r="AP238" s="1075"/>
      <c r="AQ238" s="1075"/>
      <c r="AR238" s="1075"/>
      <c r="AS238" s="1075"/>
      <c r="AT238" s="1075"/>
      <c r="AU238" s="1075"/>
      <c r="AV238" s="1075"/>
    </row>
    <row r="239" spans="1:48" ht="11.25" hidden="1" customHeight="1">
      <c r="A239" s="1075"/>
      <c r="B239" s="1075"/>
      <c r="C239" s="1075"/>
      <c r="D239" s="1075"/>
      <c r="E239" s="1075"/>
      <c r="F239" s="1075"/>
      <c r="G239" s="1075"/>
      <c r="H239" s="1075"/>
      <c r="I239" s="1075"/>
      <c r="J239" s="1075"/>
      <c r="K239" s="1075"/>
      <c r="L239" s="1075"/>
      <c r="M239" s="1075"/>
      <c r="N239" s="1075"/>
      <c r="O239" s="1075"/>
      <c r="P239" s="1075"/>
      <c r="Q239" s="1075"/>
      <c r="R239" s="1075"/>
      <c r="S239" s="1075"/>
      <c r="T239" s="1075"/>
      <c r="U239" s="1075"/>
      <c r="V239" s="1075"/>
      <c r="W239" s="1075"/>
      <c r="X239" s="1075"/>
      <c r="Y239" s="1075"/>
      <c r="Z239" s="1075"/>
      <c r="AA239" s="1075"/>
      <c r="AB239" s="1075"/>
      <c r="AC239" s="1075"/>
      <c r="AD239" s="1075"/>
      <c r="AE239" s="1075"/>
      <c r="AF239" s="1075"/>
      <c r="AG239" s="1075"/>
      <c r="AH239" s="1075"/>
      <c r="AI239" s="1075"/>
      <c r="AJ239" s="1075"/>
      <c r="AK239" s="1075"/>
      <c r="AL239" s="1075"/>
      <c r="AM239" s="1075"/>
      <c r="AN239" s="1075"/>
      <c r="AO239" s="1075"/>
      <c r="AP239" s="1075"/>
      <c r="AQ239" s="1075"/>
      <c r="AR239" s="1075"/>
      <c r="AS239" s="1075"/>
      <c r="AT239" s="1075"/>
      <c r="AU239" s="1075"/>
      <c r="AV239" s="1075"/>
    </row>
    <row r="240" spans="1:48" ht="11.25" hidden="1" customHeight="1">
      <c r="A240" s="1075"/>
      <c r="B240" s="1075"/>
      <c r="C240" s="1075"/>
      <c r="D240" s="1075"/>
      <c r="E240" s="1075"/>
      <c r="F240" s="1075"/>
      <c r="G240" s="1075"/>
      <c r="H240" s="1075"/>
      <c r="I240" s="1075"/>
      <c r="J240" s="1075"/>
      <c r="K240" s="1075"/>
      <c r="L240" s="1075"/>
      <c r="M240" s="1075"/>
      <c r="N240" s="1075"/>
      <c r="O240" s="1075"/>
      <c r="P240" s="1075"/>
      <c r="Q240" s="1075"/>
      <c r="R240" s="1075"/>
      <c r="S240" s="1075"/>
      <c r="T240" s="1075"/>
      <c r="U240" s="1075"/>
      <c r="V240" s="1075"/>
      <c r="W240" s="1075"/>
      <c r="X240" s="1075"/>
      <c r="Y240" s="1075"/>
      <c r="Z240" s="1075"/>
      <c r="AA240" s="1075"/>
      <c r="AB240" s="1075"/>
      <c r="AC240" s="1075"/>
      <c r="AD240" s="1075"/>
      <c r="AE240" s="1075"/>
      <c r="AF240" s="1075"/>
      <c r="AG240" s="1075"/>
      <c r="AH240" s="1075"/>
      <c r="AI240" s="1075"/>
      <c r="AJ240" s="1075"/>
      <c r="AK240" s="1075"/>
      <c r="AL240" s="1075"/>
      <c r="AM240" s="1075"/>
      <c r="AN240" s="1075"/>
      <c r="AO240" s="1075"/>
      <c r="AP240" s="1075"/>
      <c r="AQ240" s="1075"/>
      <c r="AR240" s="1075"/>
      <c r="AS240" s="1075"/>
      <c r="AT240" s="1075"/>
      <c r="AU240" s="1075"/>
      <c r="AV240" s="1075"/>
    </row>
    <row r="241" spans="1:48" ht="11.25" hidden="1" customHeight="1">
      <c r="A241" s="1075"/>
      <c r="B241" s="1075"/>
      <c r="C241" s="1075"/>
      <c r="D241" s="1075"/>
      <c r="E241" s="1075"/>
      <c r="F241" s="1075"/>
      <c r="G241" s="1075"/>
      <c r="H241" s="1075"/>
      <c r="I241" s="1075"/>
      <c r="J241" s="1075"/>
      <c r="K241" s="1075"/>
      <c r="L241" s="1075"/>
      <c r="M241" s="1075"/>
      <c r="N241" s="1075"/>
      <c r="O241" s="1075"/>
      <c r="P241" s="1075"/>
      <c r="Q241" s="1075"/>
      <c r="R241" s="1075"/>
      <c r="S241" s="1075"/>
      <c r="T241" s="1075"/>
      <c r="U241" s="1075"/>
      <c r="V241" s="1075"/>
      <c r="W241" s="1075"/>
      <c r="X241" s="1075"/>
      <c r="Y241" s="1075"/>
      <c r="Z241" s="1075"/>
      <c r="AA241" s="1075"/>
      <c r="AB241" s="1075"/>
      <c r="AC241" s="1075"/>
      <c r="AD241" s="1075"/>
      <c r="AE241" s="1075"/>
      <c r="AF241" s="1075"/>
      <c r="AG241" s="1075"/>
      <c r="AH241" s="1075"/>
      <c r="AI241" s="1075"/>
      <c r="AJ241" s="1075"/>
      <c r="AK241" s="1075"/>
      <c r="AL241" s="1075"/>
      <c r="AM241" s="1075"/>
      <c r="AN241" s="1075"/>
      <c r="AO241" s="1075"/>
      <c r="AP241" s="1075"/>
      <c r="AQ241" s="1075"/>
      <c r="AR241" s="1075"/>
      <c r="AS241" s="1075"/>
      <c r="AT241" s="1075"/>
      <c r="AU241" s="1075"/>
      <c r="AV241" s="1075"/>
    </row>
    <row r="242" spans="1:48" ht="11.25" hidden="1" customHeight="1">
      <c r="A242" s="1075"/>
      <c r="B242" s="1075"/>
      <c r="C242" s="1075"/>
      <c r="D242" s="1075"/>
      <c r="E242" s="1075"/>
      <c r="F242" s="1075"/>
      <c r="G242" s="1075"/>
      <c r="H242" s="1075"/>
      <c r="I242" s="1075"/>
      <c r="J242" s="1075"/>
      <c r="K242" s="1075"/>
      <c r="L242" s="1075"/>
      <c r="M242" s="1075"/>
      <c r="N242" s="1075"/>
      <c r="O242" s="1075"/>
      <c r="P242" s="1075"/>
      <c r="Q242" s="1075"/>
      <c r="R242" s="1075"/>
      <c r="S242" s="1075"/>
      <c r="T242" s="1075"/>
      <c r="U242" s="1075"/>
      <c r="V242" s="1075"/>
      <c r="W242" s="1075"/>
      <c r="X242" s="1075"/>
      <c r="Y242" s="1075"/>
      <c r="Z242" s="1075"/>
      <c r="AA242" s="1075"/>
      <c r="AB242" s="1075"/>
      <c r="AC242" s="1075"/>
      <c r="AD242" s="1075"/>
      <c r="AE242" s="1075"/>
      <c r="AF242" s="1075"/>
      <c r="AG242" s="1075"/>
      <c r="AH242" s="1075"/>
      <c r="AI242" s="1075"/>
      <c r="AJ242" s="1075"/>
      <c r="AK242" s="1075"/>
      <c r="AL242" s="1075"/>
      <c r="AM242" s="1075"/>
      <c r="AN242" s="1075"/>
      <c r="AO242" s="1075"/>
      <c r="AP242" s="1075"/>
      <c r="AQ242" s="1075"/>
      <c r="AR242" s="1075"/>
      <c r="AS242" s="1075"/>
      <c r="AT242" s="1075"/>
      <c r="AU242" s="1075"/>
      <c r="AV242" s="1075"/>
    </row>
    <row r="243" spans="1:48" ht="11.25" hidden="1" customHeight="1">
      <c r="A243" s="1075"/>
      <c r="B243" s="1075"/>
      <c r="C243" s="1075"/>
      <c r="D243" s="1075"/>
      <c r="E243" s="1075"/>
      <c r="F243" s="1075"/>
      <c r="G243" s="1075"/>
      <c r="H243" s="1075"/>
      <c r="I243" s="1075"/>
      <c r="J243" s="1075"/>
      <c r="K243" s="1075"/>
      <c r="L243" s="1075"/>
      <c r="M243" s="1075"/>
      <c r="N243" s="1075"/>
      <c r="O243" s="1075"/>
      <c r="P243" s="1075"/>
      <c r="Q243" s="1075"/>
      <c r="R243" s="1075"/>
      <c r="S243" s="1075"/>
      <c r="T243" s="1075"/>
      <c r="U243" s="1075"/>
      <c r="V243" s="1075"/>
      <c r="W243" s="1075"/>
      <c r="X243" s="1075"/>
      <c r="Y243" s="1075"/>
      <c r="Z243" s="1075"/>
      <c r="AA243" s="1075"/>
      <c r="AB243" s="1075"/>
      <c r="AC243" s="1075"/>
      <c r="AD243" s="1075"/>
      <c r="AE243" s="1075"/>
      <c r="AF243" s="1075"/>
      <c r="AG243" s="1075"/>
      <c r="AH243" s="1075"/>
      <c r="AI243" s="1075"/>
      <c r="AJ243" s="1075"/>
      <c r="AK243" s="1075"/>
      <c r="AL243" s="1075"/>
      <c r="AM243" s="1075"/>
      <c r="AN243" s="1075"/>
      <c r="AO243" s="1075"/>
      <c r="AP243" s="1075"/>
      <c r="AQ243" s="1075"/>
      <c r="AR243" s="1075"/>
      <c r="AS243" s="1075"/>
      <c r="AT243" s="1075"/>
      <c r="AU243" s="1075"/>
      <c r="AV243" s="1075"/>
    </row>
    <row r="244" spans="1:48" ht="11.25" hidden="1" customHeight="1">
      <c r="A244" s="1075"/>
      <c r="B244" s="1075"/>
      <c r="C244" s="1075"/>
      <c r="D244" s="1075"/>
      <c r="E244" s="1075"/>
      <c r="F244" s="1075"/>
      <c r="G244" s="1075"/>
      <c r="H244" s="1075"/>
      <c r="I244" s="1075"/>
      <c r="J244" s="1075"/>
      <c r="K244" s="1075"/>
      <c r="L244" s="1075"/>
      <c r="M244" s="1075"/>
      <c r="N244" s="1075"/>
      <c r="O244" s="1075"/>
      <c r="P244" s="1075"/>
      <c r="Q244" s="1075"/>
      <c r="R244" s="1075"/>
      <c r="S244" s="1075"/>
      <c r="T244" s="1075"/>
      <c r="U244" s="1075"/>
      <c r="V244" s="1075"/>
      <c r="W244" s="1075"/>
      <c r="X244" s="1075"/>
      <c r="Y244" s="1075"/>
      <c r="Z244" s="1075"/>
      <c r="AA244" s="1075"/>
      <c r="AB244" s="1075"/>
      <c r="AC244" s="1075"/>
      <c r="AD244" s="1075"/>
      <c r="AE244" s="1075"/>
      <c r="AF244" s="1075"/>
      <c r="AG244" s="1075"/>
      <c r="AH244" s="1075"/>
      <c r="AI244" s="1075"/>
      <c r="AJ244" s="1075"/>
      <c r="AK244" s="1075"/>
      <c r="AL244" s="1075"/>
      <c r="AM244" s="1075"/>
      <c r="AN244" s="1075"/>
      <c r="AO244" s="1075"/>
      <c r="AP244" s="1075"/>
      <c r="AQ244" s="1075"/>
      <c r="AR244" s="1075"/>
      <c r="AS244" s="1075"/>
      <c r="AT244" s="1075"/>
      <c r="AU244" s="1075"/>
      <c r="AV244" s="1075"/>
    </row>
    <row r="245" spans="1:48" ht="11.25" hidden="1" customHeight="1">
      <c r="A245" s="1075"/>
      <c r="B245" s="1075"/>
      <c r="C245" s="1075"/>
      <c r="D245" s="1075"/>
      <c r="E245" s="1075"/>
      <c r="F245" s="1075"/>
      <c r="G245" s="1075"/>
      <c r="H245" s="1075"/>
      <c r="I245" s="1075"/>
      <c r="J245" s="1075"/>
      <c r="K245" s="1075"/>
      <c r="L245" s="1075"/>
      <c r="M245" s="1075"/>
      <c r="N245" s="1075"/>
      <c r="O245" s="1075"/>
      <c r="P245" s="1075"/>
      <c r="Q245" s="1075"/>
      <c r="R245" s="1075"/>
      <c r="S245" s="1075"/>
      <c r="T245" s="1075"/>
      <c r="U245" s="1075"/>
      <c r="V245" s="1075"/>
      <c r="W245" s="1075"/>
      <c r="X245" s="1075"/>
      <c r="Y245" s="1075"/>
      <c r="Z245" s="1075"/>
      <c r="AA245" s="1075"/>
      <c r="AB245" s="1075"/>
      <c r="AC245" s="1075"/>
      <c r="AD245" s="1075"/>
      <c r="AE245" s="1075"/>
      <c r="AF245" s="1075"/>
      <c r="AG245" s="1075"/>
      <c r="AH245" s="1075"/>
      <c r="AI245" s="1075"/>
      <c r="AJ245" s="1075"/>
      <c r="AK245" s="1075"/>
      <c r="AL245" s="1075"/>
      <c r="AM245" s="1075"/>
      <c r="AN245" s="1075"/>
      <c r="AO245" s="1075"/>
      <c r="AP245" s="1075"/>
      <c r="AQ245" s="1075"/>
      <c r="AR245" s="1075"/>
      <c r="AS245" s="1075"/>
      <c r="AT245" s="1075"/>
      <c r="AU245" s="1075"/>
      <c r="AV245" s="1075"/>
    </row>
    <row r="246" spans="1:48" ht="11.25" hidden="1" customHeight="1">
      <c r="A246" s="1075"/>
      <c r="B246" s="1075"/>
      <c r="C246" s="1075"/>
      <c r="D246" s="1075"/>
      <c r="E246" s="1075"/>
      <c r="F246" s="1075"/>
      <c r="G246" s="1075"/>
      <c r="H246" s="1075"/>
      <c r="I246" s="1075"/>
      <c r="J246" s="1075"/>
      <c r="K246" s="1075"/>
      <c r="L246" s="1075"/>
      <c r="M246" s="1075"/>
      <c r="N246" s="1075"/>
      <c r="O246" s="1075"/>
      <c r="P246" s="1075"/>
      <c r="Q246" s="1075"/>
      <c r="R246" s="1075"/>
      <c r="S246" s="1075"/>
      <c r="T246" s="1075"/>
      <c r="U246" s="1075"/>
      <c r="V246" s="1075"/>
      <c r="W246" s="1075"/>
      <c r="X246" s="1075"/>
      <c r="Y246" s="1075"/>
      <c r="Z246" s="1075"/>
      <c r="AA246" s="1075"/>
      <c r="AB246" s="1075"/>
      <c r="AC246" s="1075"/>
      <c r="AD246" s="1075"/>
      <c r="AE246" s="1075"/>
      <c r="AF246" s="1075"/>
      <c r="AG246" s="1075"/>
      <c r="AH246" s="1075"/>
      <c r="AI246" s="1075"/>
      <c r="AJ246" s="1075"/>
      <c r="AK246" s="1075"/>
      <c r="AL246" s="1075"/>
      <c r="AM246" s="1075"/>
      <c r="AN246" s="1075"/>
      <c r="AO246" s="1075"/>
      <c r="AP246" s="1075"/>
      <c r="AQ246" s="1075"/>
      <c r="AR246" s="1075"/>
      <c r="AS246" s="1075"/>
      <c r="AT246" s="1075"/>
      <c r="AU246" s="1075"/>
      <c r="AV246" s="1075"/>
    </row>
    <row r="247" spans="1:48" ht="11.25" hidden="1" customHeight="1">
      <c r="A247" s="1075"/>
      <c r="B247" s="1075"/>
      <c r="C247" s="1075"/>
      <c r="D247" s="1075"/>
      <c r="E247" s="1075"/>
      <c r="F247" s="1075"/>
      <c r="G247" s="1075"/>
      <c r="H247" s="1075"/>
      <c r="I247" s="1075"/>
      <c r="J247" s="1075"/>
      <c r="K247" s="1075"/>
      <c r="L247" s="1075"/>
      <c r="M247" s="1075"/>
      <c r="N247" s="1075"/>
      <c r="O247" s="1075"/>
      <c r="P247" s="1075"/>
      <c r="Q247" s="1075"/>
      <c r="R247" s="1075"/>
      <c r="S247" s="1075"/>
      <c r="T247" s="1075"/>
      <c r="U247" s="1075"/>
      <c r="V247" s="1075"/>
      <c r="W247" s="1075"/>
      <c r="X247" s="1075"/>
      <c r="Y247" s="1075"/>
      <c r="Z247" s="1075"/>
      <c r="AA247" s="1075"/>
      <c r="AB247" s="1075"/>
      <c r="AC247" s="1075"/>
      <c r="AD247" s="1075"/>
      <c r="AE247" s="1075"/>
      <c r="AF247" s="1075"/>
      <c r="AG247" s="1075"/>
      <c r="AH247" s="1075"/>
      <c r="AI247" s="1075"/>
      <c r="AJ247" s="1075"/>
      <c r="AK247" s="1075"/>
      <c r="AL247" s="1075"/>
      <c r="AM247" s="1075"/>
      <c r="AN247" s="1075"/>
      <c r="AO247" s="1075"/>
      <c r="AP247" s="1075"/>
      <c r="AQ247" s="1075"/>
      <c r="AR247" s="1075"/>
      <c r="AS247" s="1075"/>
      <c r="AT247" s="1075"/>
      <c r="AU247" s="1075"/>
      <c r="AV247" s="1075"/>
    </row>
    <row r="248" spans="1:48" ht="11.25" hidden="1" customHeight="1">
      <c r="A248" s="1075"/>
      <c r="B248" s="1075"/>
      <c r="C248" s="1075"/>
      <c r="D248" s="1075"/>
      <c r="E248" s="1075"/>
      <c r="F248" s="1075"/>
      <c r="G248" s="1075"/>
      <c r="H248" s="1075"/>
      <c r="I248" s="1075"/>
      <c r="J248" s="1075"/>
      <c r="K248" s="1075"/>
      <c r="L248" s="1075"/>
      <c r="M248" s="1075"/>
      <c r="N248" s="1075"/>
      <c r="O248" s="1075"/>
      <c r="P248" s="1075"/>
      <c r="Q248" s="1075"/>
      <c r="R248" s="1075"/>
      <c r="S248" s="1075"/>
      <c r="T248" s="1075"/>
      <c r="U248" s="1075"/>
      <c r="V248" s="1075"/>
      <c r="W248" s="1075"/>
      <c r="X248" s="1075"/>
      <c r="Y248" s="1075"/>
      <c r="Z248" s="1075"/>
      <c r="AA248" s="1075"/>
      <c r="AB248" s="1075"/>
      <c r="AC248" s="1075"/>
      <c r="AD248" s="1075"/>
      <c r="AE248" s="1075"/>
      <c r="AF248" s="1075"/>
      <c r="AG248" s="1075"/>
      <c r="AH248" s="1075"/>
      <c r="AI248" s="1075"/>
      <c r="AJ248" s="1075"/>
      <c r="AK248" s="1075"/>
      <c r="AL248" s="1075"/>
      <c r="AM248" s="1075"/>
      <c r="AN248" s="1075"/>
      <c r="AO248" s="1075"/>
      <c r="AP248" s="1075"/>
      <c r="AQ248" s="1075"/>
      <c r="AR248" s="1075"/>
      <c r="AS248" s="1075"/>
      <c r="AT248" s="1075"/>
      <c r="AU248" s="1075"/>
      <c r="AV248" s="1075"/>
    </row>
    <row r="249" spans="1:48" ht="11.25" hidden="1" customHeight="1">
      <c r="A249" s="1075"/>
      <c r="B249" s="1075"/>
      <c r="C249" s="1075"/>
      <c r="D249" s="1075"/>
      <c r="E249" s="1075"/>
      <c r="F249" s="1075"/>
      <c r="G249" s="1075"/>
      <c r="H249" s="1075"/>
      <c r="I249" s="1075"/>
      <c r="J249" s="1075"/>
      <c r="K249" s="1075"/>
      <c r="L249" s="1075"/>
      <c r="M249" s="1075"/>
      <c r="N249" s="1075"/>
      <c r="O249" s="1075"/>
      <c r="P249" s="1075"/>
      <c r="Q249" s="1075"/>
      <c r="R249" s="1075"/>
      <c r="S249" s="1075"/>
      <c r="T249" s="1075"/>
      <c r="U249" s="1075"/>
      <c r="V249" s="1075"/>
      <c r="W249" s="1075"/>
      <c r="X249" s="1075"/>
      <c r="Y249" s="1075"/>
      <c r="Z249" s="1075"/>
      <c r="AA249" s="1075"/>
      <c r="AB249" s="1075"/>
      <c r="AC249" s="1075"/>
      <c r="AD249" s="1075"/>
      <c r="AE249" s="1075"/>
      <c r="AF249" s="1075"/>
      <c r="AG249" s="1075"/>
      <c r="AH249" s="1075"/>
      <c r="AI249" s="1075"/>
      <c r="AJ249" s="1075"/>
      <c r="AK249" s="1075"/>
      <c r="AL249" s="1075"/>
      <c r="AM249" s="1075"/>
      <c r="AN249" s="1075"/>
      <c r="AO249" s="1075"/>
      <c r="AP249" s="1075"/>
      <c r="AQ249" s="1075"/>
      <c r="AR249" s="1075"/>
      <c r="AS249" s="1075"/>
      <c r="AT249" s="1075"/>
      <c r="AU249" s="1075"/>
      <c r="AV249" s="1075"/>
    </row>
    <row r="250" spans="1:48" ht="11.25" hidden="1" customHeight="1">
      <c r="A250" s="1075"/>
      <c r="B250" s="1075"/>
      <c r="C250" s="1075"/>
      <c r="D250" s="1075"/>
      <c r="E250" s="1075"/>
      <c r="F250" s="1075"/>
      <c r="G250" s="1075"/>
      <c r="H250" s="1075"/>
      <c r="I250" s="1075"/>
      <c r="J250" s="1075"/>
      <c r="K250" s="1075"/>
      <c r="L250" s="1075"/>
      <c r="M250" s="1075"/>
      <c r="N250" s="1075"/>
      <c r="O250" s="1075"/>
      <c r="P250" s="1075"/>
      <c r="Q250" s="1075"/>
      <c r="R250" s="1075"/>
      <c r="S250" s="1075"/>
      <c r="T250" s="1075"/>
      <c r="U250" s="1075"/>
      <c r="V250" s="1075"/>
      <c r="W250" s="1075"/>
      <c r="X250" s="1075"/>
      <c r="Y250" s="1075"/>
      <c r="Z250" s="1075"/>
      <c r="AA250" s="1075"/>
      <c r="AB250" s="1075"/>
      <c r="AC250" s="1075"/>
      <c r="AD250" s="1075"/>
      <c r="AE250" s="1075"/>
      <c r="AF250" s="1075"/>
      <c r="AG250" s="1075"/>
      <c r="AH250" s="1075"/>
      <c r="AI250" s="1075"/>
      <c r="AJ250" s="1075"/>
      <c r="AK250" s="1075"/>
      <c r="AL250" s="1075"/>
      <c r="AM250" s="1075"/>
      <c r="AN250" s="1075"/>
      <c r="AO250" s="1075"/>
      <c r="AP250" s="1075"/>
      <c r="AQ250" s="1075"/>
      <c r="AR250" s="1075"/>
      <c r="AS250" s="1075"/>
      <c r="AT250" s="1075"/>
      <c r="AU250" s="1075"/>
      <c r="AV250" s="1075"/>
    </row>
    <row r="251" spans="1:48" ht="11.25" hidden="1" customHeight="1">
      <c r="A251" s="1075"/>
      <c r="B251" s="1075"/>
      <c r="C251" s="1075"/>
      <c r="D251" s="1075"/>
      <c r="E251" s="1075"/>
      <c r="F251" s="1075"/>
      <c r="G251" s="1075"/>
      <c r="H251" s="1075"/>
      <c r="I251" s="1075"/>
      <c r="J251" s="1075"/>
      <c r="K251" s="1075"/>
      <c r="L251" s="1075"/>
      <c r="M251" s="1075"/>
      <c r="N251" s="1075"/>
      <c r="O251" s="1075"/>
      <c r="P251" s="1075"/>
      <c r="Q251" s="1075"/>
      <c r="R251" s="1075"/>
      <c r="S251" s="1075"/>
      <c r="T251" s="1075"/>
      <c r="U251" s="1075"/>
      <c r="V251" s="1075"/>
      <c r="W251" s="1075"/>
      <c r="X251" s="1075"/>
      <c r="Y251" s="1075"/>
      <c r="Z251" s="1075"/>
      <c r="AA251" s="1075"/>
      <c r="AB251" s="1075"/>
      <c r="AC251" s="1075"/>
      <c r="AD251" s="1075"/>
      <c r="AE251" s="1075"/>
      <c r="AF251" s="1075"/>
      <c r="AG251" s="1075"/>
      <c r="AH251" s="1075"/>
      <c r="AI251" s="1075"/>
      <c r="AJ251" s="1075"/>
      <c r="AK251" s="1075"/>
      <c r="AL251" s="1075"/>
      <c r="AM251" s="1075"/>
      <c r="AN251" s="1075"/>
      <c r="AO251" s="1075"/>
      <c r="AP251" s="1075"/>
      <c r="AQ251" s="1075"/>
      <c r="AR251" s="1075"/>
      <c r="AS251" s="1075"/>
      <c r="AT251" s="1075"/>
      <c r="AU251" s="1075"/>
      <c r="AV251" s="1075"/>
    </row>
    <row r="252" spans="1:48" ht="11.25" hidden="1" customHeight="1">
      <c r="A252" s="1075"/>
      <c r="B252" s="1075"/>
      <c r="C252" s="1075"/>
      <c r="D252" s="1075"/>
      <c r="E252" s="1075"/>
      <c r="F252" s="1075"/>
      <c r="G252" s="1075"/>
      <c r="H252" s="1075"/>
      <c r="I252" s="1075"/>
      <c r="J252" s="1075"/>
      <c r="K252" s="1075"/>
      <c r="L252" s="1075"/>
      <c r="M252" s="1075"/>
      <c r="N252" s="1075"/>
      <c r="O252" s="1075"/>
      <c r="P252" s="1075"/>
      <c r="Q252" s="1075"/>
      <c r="R252" s="1075"/>
      <c r="S252" s="1075"/>
      <c r="T252" s="1075"/>
      <c r="U252" s="1075"/>
      <c r="V252" s="1075"/>
      <c r="W252" s="1075"/>
      <c r="X252" s="1075"/>
      <c r="Y252" s="1075"/>
      <c r="Z252" s="1075"/>
      <c r="AA252" s="1075"/>
      <c r="AB252" s="1075"/>
      <c r="AC252" s="1075"/>
      <c r="AD252" s="1075"/>
      <c r="AE252" s="1075"/>
      <c r="AF252" s="1075"/>
      <c r="AG252" s="1075"/>
      <c r="AH252" s="1075"/>
      <c r="AI252" s="1075"/>
      <c r="AJ252" s="1075"/>
      <c r="AK252" s="1075"/>
      <c r="AL252" s="1075"/>
      <c r="AM252" s="1075"/>
      <c r="AN252" s="1075"/>
      <c r="AO252" s="1075"/>
      <c r="AP252" s="1075"/>
      <c r="AQ252" s="1075"/>
      <c r="AR252" s="1075"/>
      <c r="AS252" s="1075"/>
      <c r="AT252" s="1075"/>
      <c r="AU252" s="1075"/>
      <c r="AV252" s="1075"/>
    </row>
    <row r="253" spans="1:48" ht="11.25" hidden="1" customHeight="1">
      <c r="A253" s="1075"/>
      <c r="B253" s="1075"/>
      <c r="C253" s="1075"/>
      <c r="D253" s="1075"/>
      <c r="E253" s="1075"/>
      <c r="F253" s="1075"/>
      <c r="G253" s="1075"/>
      <c r="H253" s="1075"/>
      <c r="I253" s="1075"/>
      <c r="J253" s="1075"/>
      <c r="K253" s="1075"/>
      <c r="L253" s="1075"/>
      <c r="M253" s="1075"/>
      <c r="N253" s="1075"/>
      <c r="O253" s="1075"/>
      <c r="P253" s="1075"/>
      <c r="Q253" s="1075"/>
      <c r="R253" s="1075"/>
      <c r="S253" s="1075"/>
      <c r="T253" s="1075"/>
      <c r="U253" s="1075"/>
      <c r="V253" s="1075"/>
      <c r="W253" s="1075"/>
      <c r="X253" s="1075"/>
      <c r="Y253" s="1075"/>
      <c r="Z253" s="1075"/>
      <c r="AA253" s="1075"/>
      <c r="AB253" s="1075"/>
      <c r="AC253" s="1075"/>
      <c r="AD253" s="1075"/>
      <c r="AE253" s="1075"/>
      <c r="AF253" s="1075"/>
      <c r="AG253" s="1075"/>
      <c r="AH253" s="1075"/>
      <c r="AI253" s="1075"/>
      <c r="AJ253" s="1075"/>
      <c r="AK253" s="1075"/>
      <c r="AL253" s="1075"/>
      <c r="AM253" s="1075"/>
      <c r="AN253" s="1075"/>
      <c r="AO253" s="1075"/>
      <c r="AP253" s="1075"/>
      <c r="AQ253" s="1075"/>
      <c r="AR253" s="1075"/>
      <c r="AS253" s="1075"/>
      <c r="AT253" s="1075"/>
      <c r="AU253" s="1075"/>
      <c r="AV253" s="1075"/>
    </row>
    <row r="254" spans="1:48" ht="11.25" hidden="1" customHeight="1">
      <c r="A254" s="1075"/>
      <c r="B254" s="1075"/>
      <c r="C254" s="1075"/>
      <c r="D254" s="1075"/>
      <c r="E254" s="1075"/>
      <c r="F254" s="1075"/>
      <c r="G254" s="1075"/>
      <c r="H254" s="1075"/>
      <c r="I254" s="1075"/>
      <c r="J254" s="1075"/>
      <c r="K254" s="1075"/>
      <c r="L254" s="1075"/>
      <c r="M254" s="1075"/>
      <c r="N254" s="1075"/>
      <c r="O254" s="1075"/>
      <c r="P254" s="1075"/>
      <c r="Q254" s="1075"/>
      <c r="R254" s="1075"/>
      <c r="S254" s="1075"/>
      <c r="T254" s="1075"/>
      <c r="U254" s="1075"/>
      <c r="V254" s="1075"/>
      <c r="W254" s="1075"/>
      <c r="X254" s="1075"/>
      <c r="Y254" s="1075"/>
      <c r="Z254" s="1075"/>
      <c r="AA254" s="1075"/>
      <c r="AB254" s="1075"/>
      <c r="AC254" s="1075"/>
      <c r="AD254" s="1075"/>
      <c r="AE254" s="1075"/>
      <c r="AF254" s="1075"/>
      <c r="AG254" s="1075"/>
      <c r="AH254" s="1075"/>
      <c r="AI254" s="1075"/>
      <c r="AJ254" s="1075"/>
      <c r="AK254" s="1075"/>
      <c r="AL254" s="1075"/>
      <c r="AM254" s="1075"/>
      <c r="AN254" s="1075"/>
      <c r="AO254" s="1075"/>
      <c r="AP254" s="1075"/>
      <c r="AQ254" s="1075"/>
      <c r="AR254" s="1075"/>
      <c r="AS254" s="1075"/>
      <c r="AT254" s="1075"/>
      <c r="AU254" s="1075"/>
      <c r="AV254" s="1075"/>
    </row>
    <row r="255" spans="1:48" ht="11.25" hidden="1" customHeight="1">
      <c r="A255" s="1075"/>
      <c r="B255" s="1075"/>
      <c r="C255" s="1075"/>
      <c r="D255" s="1075"/>
      <c r="E255" s="1075"/>
      <c r="F255" s="1075"/>
      <c r="G255" s="1075"/>
      <c r="H255" s="1075"/>
      <c r="I255" s="1075"/>
      <c r="J255" s="1075"/>
      <c r="K255" s="1075"/>
      <c r="L255" s="1075"/>
      <c r="M255" s="1075"/>
      <c r="N255" s="1075"/>
      <c r="O255" s="1075"/>
      <c r="P255" s="1075"/>
      <c r="Q255" s="1075"/>
      <c r="R255" s="1075"/>
      <c r="S255" s="1075"/>
      <c r="T255" s="1075"/>
      <c r="U255" s="1075"/>
      <c r="V255" s="1075"/>
      <c r="W255" s="1075"/>
      <c r="X255" s="1075"/>
      <c r="Y255" s="1075"/>
      <c r="Z255" s="1075"/>
      <c r="AA255" s="1075"/>
      <c r="AB255" s="1075"/>
      <c r="AC255" s="1075"/>
      <c r="AD255" s="1075"/>
      <c r="AE255" s="1075"/>
      <c r="AF255" s="1075"/>
      <c r="AG255" s="1075"/>
      <c r="AH255" s="1075"/>
      <c r="AI255" s="1075"/>
      <c r="AJ255" s="1075"/>
      <c r="AK255" s="1075"/>
      <c r="AL255" s="1075"/>
      <c r="AM255" s="1075"/>
      <c r="AN255" s="1075"/>
      <c r="AO255" s="1075"/>
      <c r="AP255" s="1075"/>
      <c r="AQ255" s="1075"/>
      <c r="AR255" s="1075"/>
      <c r="AS255" s="1075"/>
      <c r="AT255" s="1075"/>
      <c r="AU255" s="1075"/>
      <c r="AV255" s="1075"/>
    </row>
    <row r="256" spans="1:48" ht="11.25" hidden="1" customHeight="1">
      <c r="A256" s="1075"/>
      <c r="B256" s="1075"/>
      <c r="C256" s="1075"/>
      <c r="D256" s="1075"/>
      <c r="E256" s="1075"/>
      <c r="F256" s="1075"/>
      <c r="G256" s="1075"/>
      <c r="H256" s="1075"/>
      <c r="I256" s="1075"/>
      <c r="J256" s="1075"/>
      <c r="K256" s="1075"/>
      <c r="L256" s="1075"/>
      <c r="M256" s="1075"/>
      <c r="N256" s="1075"/>
      <c r="O256" s="1075"/>
      <c r="P256" s="1075"/>
      <c r="Q256" s="1075"/>
      <c r="R256" s="1075"/>
      <c r="S256" s="1075"/>
      <c r="T256" s="1075"/>
      <c r="U256" s="1075"/>
      <c r="V256" s="1075"/>
      <c r="W256" s="1075"/>
      <c r="X256" s="1075"/>
      <c r="Y256" s="1075"/>
      <c r="Z256" s="1075"/>
      <c r="AA256" s="1075"/>
      <c r="AB256" s="1075"/>
      <c r="AC256" s="1075"/>
      <c r="AD256" s="1075"/>
      <c r="AE256" s="1075"/>
      <c r="AF256" s="1075"/>
      <c r="AG256" s="1075"/>
      <c r="AH256" s="1075"/>
      <c r="AI256" s="1075"/>
      <c r="AJ256" s="1075"/>
      <c r="AK256" s="1075"/>
      <c r="AL256" s="1075"/>
      <c r="AM256" s="1075"/>
      <c r="AN256" s="1075"/>
      <c r="AO256" s="1075"/>
      <c r="AP256" s="1075"/>
      <c r="AQ256" s="1075"/>
      <c r="AR256" s="1075"/>
      <c r="AS256" s="1075"/>
      <c r="AT256" s="1075"/>
      <c r="AU256" s="1075"/>
      <c r="AV256" s="1075"/>
    </row>
    <row r="257" spans="1:48" ht="11.25" hidden="1" customHeight="1">
      <c r="A257" s="1075"/>
      <c r="B257" s="1075"/>
      <c r="C257" s="1075"/>
      <c r="D257" s="1075"/>
      <c r="E257" s="1075"/>
      <c r="F257" s="1075"/>
      <c r="G257" s="1075"/>
      <c r="H257" s="1075"/>
      <c r="I257" s="1075"/>
      <c r="J257" s="1075"/>
      <c r="K257" s="1075"/>
      <c r="L257" s="1075"/>
      <c r="M257" s="1075"/>
      <c r="N257" s="1075"/>
      <c r="O257" s="1075"/>
      <c r="P257" s="1075"/>
      <c r="Q257" s="1075"/>
      <c r="R257" s="1075"/>
      <c r="S257" s="1075"/>
      <c r="T257" s="1075"/>
      <c r="U257" s="1075"/>
      <c r="V257" s="1075"/>
      <c r="W257" s="1075"/>
      <c r="X257" s="1075"/>
      <c r="Y257" s="1075"/>
      <c r="Z257" s="1075"/>
      <c r="AA257" s="1075"/>
      <c r="AB257" s="1075"/>
      <c r="AC257" s="1075"/>
      <c r="AD257" s="1075"/>
      <c r="AE257" s="1075"/>
      <c r="AF257" s="1075"/>
      <c r="AG257" s="1075"/>
      <c r="AH257" s="1075"/>
      <c r="AI257" s="1075"/>
      <c r="AJ257" s="1075"/>
      <c r="AK257" s="1075"/>
      <c r="AL257" s="1075"/>
      <c r="AM257" s="1075"/>
      <c r="AN257" s="1075"/>
      <c r="AO257" s="1075"/>
      <c r="AP257" s="1075"/>
      <c r="AQ257" s="1075"/>
      <c r="AR257" s="1075"/>
      <c r="AS257" s="1075"/>
      <c r="AT257" s="1075"/>
      <c r="AU257" s="1075"/>
      <c r="AV257" s="1075"/>
    </row>
    <row r="258" spans="1:48" ht="11.25" hidden="1" customHeight="1">
      <c r="A258" s="1075"/>
      <c r="B258" s="1075"/>
      <c r="C258" s="1075"/>
      <c r="D258" s="1075"/>
      <c r="E258" s="1075"/>
      <c r="F258" s="1075"/>
      <c r="G258" s="1075"/>
      <c r="H258" s="1075"/>
      <c r="I258" s="1075"/>
      <c r="J258" s="1075"/>
      <c r="K258" s="1075"/>
      <c r="L258" s="1075"/>
      <c r="M258" s="1075"/>
      <c r="N258" s="1075"/>
      <c r="O258" s="1075"/>
      <c r="P258" s="1075"/>
      <c r="Q258" s="1075"/>
      <c r="R258" s="1075"/>
      <c r="S258" s="1075"/>
      <c r="T258" s="1075"/>
      <c r="U258" s="1075"/>
      <c r="V258" s="1075"/>
      <c r="W258" s="1075"/>
      <c r="X258" s="1075"/>
      <c r="Y258" s="1075"/>
      <c r="Z258" s="1075"/>
      <c r="AA258" s="1075"/>
      <c r="AB258" s="1075"/>
      <c r="AC258" s="1075"/>
      <c r="AD258" s="1075"/>
      <c r="AE258" s="1075"/>
      <c r="AF258" s="1075"/>
      <c r="AG258" s="1075"/>
      <c r="AH258" s="1075"/>
      <c r="AI258" s="1075"/>
      <c r="AJ258" s="1075"/>
      <c r="AK258" s="1075"/>
      <c r="AL258" s="1075"/>
      <c r="AM258" s="1075"/>
      <c r="AN258" s="1075"/>
      <c r="AO258" s="1075"/>
      <c r="AP258" s="1075"/>
      <c r="AQ258" s="1075"/>
      <c r="AR258" s="1075"/>
      <c r="AS258" s="1075"/>
      <c r="AT258" s="1075"/>
      <c r="AU258" s="1075"/>
      <c r="AV258" s="1075"/>
    </row>
    <row r="259" spans="1:48" ht="11.25" hidden="1" customHeight="1">
      <c r="A259" s="1075"/>
      <c r="B259" s="1075"/>
      <c r="C259" s="1075"/>
      <c r="D259" s="1075"/>
      <c r="E259" s="1075"/>
      <c r="F259" s="1075"/>
      <c r="G259" s="1075"/>
      <c r="H259" s="1075"/>
      <c r="I259" s="1075"/>
      <c r="J259" s="1075"/>
      <c r="K259" s="1075"/>
      <c r="L259" s="1075"/>
      <c r="M259" s="1075"/>
      <c r="N259" s="1075"/>
      <c r="O259" s="1075"/>
      <c r="P259" s="1075"/>
      <c r="Q259" s="1075"/>
      <c r="R259" s="1075"/>
      <c r="S259" s="1075"/>
      <c r="T259" s="1075"/>
      <c r="U259" s="1075"/>
      <c r="V259" s="1075"/>
      <c r="W259" s="1075"/>
      <c r="X259" s="1075"/>
      <c r="Y259" s="1075"/>
      <c r="Z259" s="1075"/>
      <c r="AA259" s="1075"/>
      <c r="AB259" s="1075"/>
      <c r="AC259" s="1075"/>
      <c r="AD259" s="1075"/>
      <c r="AE259" s="1075"/>
      <c r="AF259" s="1075"/>
      <c r="AG259" s="1075"/>
      <c r="AH259" s="1075"/>
      <c r="AI259" s="1075"/>
      <c r="AJ259" s="1075"/>
      <c r="AK259" s="1075"/>
      <c r="AL259" s="1075"/>
      <c r="AM259" s="1075"/>
      <c r="AN259" s="1075"/>
      <c r="AO259" s="1075"/>
      <c r="AP259" s="1075"/>
      <c r="AQ259" s="1075"/>
      <c r="AR259" s="1075"/>
      <c r="AS259" s="1075"/>
      <c r="AT259" s="1075"/>
      <c r="AU259" s="1075"/>
      <c r="AV259" s="1075"/>
    </row>
    <row r="260" spans="1:48" ht="11.25" hidden="1" customHeight="1">
      <c r="A260" s="1075"/>
      <c r="B260" s="1075"/>
      <c r="C260" s="1075"/>
      <c r="D260" s="1075"/>
      <c r="E260" s="1075"/>
      <c r="F260" s="1075"/>
      <c r="G260" s="1075"/>
      <c r="H260" s="1075"/>
      <c r="I260" s="1075"/>
      <c r="J260" s="1075"/>
      <c r="K260" s="1075"/>
      <c r="L260" s="1075"/>
      <c r="M260" s="1075"/>
      <c r="N260" s="1075"/>
      <c r="O260" s="1075"/>
      <c r="P260" s="1075"/>
      <c r="Q260" s="1075"/>
      <c r="R260" s="1075"/>
      <c r="S260" s="1075"/>
      <c r="T260" s="1075"/>
      <c r="U260" s="1075"/>
      <c r="V260" s="1075"/>
      <c r="W260" s="1075"/>
      <c r="X260" s="1075"/>
      <c r="Y260" s="1075"/>
      <c r="Z260" s="1075"/>
      <c r="AA260" s="1075"/>
      <c r="AB260" s="1075"/>
      <c r="AC260" s="1075"/>
      <c r="AD260" s="1075"/>
      <c r="AE260" s="1075"/>
      <c r="AF260" s="1075"/>
      <c r="AG260" s="1075"/>
      <c r="AH260" s="1075"/>
      <c r="AI260" s="1075"/>
      <c r="AJ260" s="1075"/>
      <c r="AK260" s="1075"/>
      <c r="AL260" s="1075"/>
      <c r="AM260" s="1075"/>
      <c r="AN260" s="1075"/>
      <c r="AO260" s="1075"/>
      <c r="AP260" s="1075"/>
      <c r="AQ260" s="1075"/>
      <c r="AR260" s="1075"/>
      <c r="AS260" s="1075"/>
      <c r="AT260" s="1075"/>
      <c r="AU260" s="1075"/>
      <c r="AV260" s="1075"/>
    </row>
    <row r="261" spans="1:48" ht="11.25" hidden="1" customHeight="1">
      <c r="A261" s="1075"/>
      <c r="B261" s="1075"/>
      <c r="C261" s="1075"/>
      <c r="D261" s="1075"/>
      <c r="E261" s="1075"/>
      <c r="F261" s="1075"/>
      <c r="G261" s="1075"/>
      <c r="H261" s="1075"/>
      <c r="I261" s="1075"/>
      <c r="J261" s="1075"/>
      <c r="K261" s="1075"/>
      <c r="L261" s="1075"/>
      <c r="M261" s="1075"/>
      <c r="N261" s="1075"/>
      <c r="O261" s="1075"/>
      <c r="P261" s="1075"/>
      <c r="Q261" s="1075"/>
      <c r="R261" s="1075"/>
      <c r="S261" s="1075"/>
      <c r="T261" s="1075"/>
      <c r="U261" s="1075"/>
      <c r="V261" s="1075"/>
      <c r="W261" s="1075"/>
      <c r="X261" s="1075"/>
      <c r="Y261" s="1075"/>
      <c r="Z261" s="1075"/>
      <c r="AA261" s="1075"/>
      <c r="AB261" s="1075"/>
      <c r="AC261" s="1075"/>
      <c r="AD261" s="1075"/>
      <c r="AE261" s="1075"/>
      <c r="AF261" s="1075"/>
      <c r="AG261" s="1075"/>
      <c r="AH261" s="1075"/>
      <c r="AI261" s="1075"/>
      <c r="AJ261" s="1075"/>
      <c r="AK261" s="1075"/>
      <c r="AL261" s="1075"/>
      <c r="AM261" s="1075"/>
      <c r="AN261" s="1075"/>
      <c r="AO261" s="1075"/>
      <c r="AP261" s="1075"/>
      <c r="AQ261" s="1075"/>
      <c r="AR261" s="1075"/>
      <c r="AS261" s="1075"/>
      <c r="AT261" s="1075"/>
      <c r="AU261" s="1075"/>
      <c r="AV261" s="1075"/>
    </row>
    <row r="262" spans="1:48" ht="11.25" hidden="1" customHeight="1">
      <c r="A262" s="1075"/>
      <c r="B262" s="1075"/>
      <c r="C262" s="1075"/>
      <c r="D262" s="1075"/>
      <c r="E262" s="1075"/>
      <c r="F262" s="1075"/>
      <c r="G262" s="1075"/>
      <c r="H262" s="1075"/>
      <c r="I262" s="1075"/>
      <c r="J262" s="1075"/>
      <c r="K262" s="1075"/>
      <c r="L262" s="1075"/>
      <c r="M262" s="1075"/>
      <c r="N262" s="1075"/>
      <c r="O262" s="1075"/>
      <c r="P262" s="1075"/>
      <c r="Q262" s="1075"/>
      <c r="R262" s="1075"/>
      <c r="S262" s="1075"/>
      <c r="T262" s="1075"/>
      <c r="U262" s="1075"/>
      <c r="V262" s="1075"/>
      <c r="W262" s="1075"/>
      <c r="X262" s="1075"/>
      <c r="Y262" s="1075"/>
      <c r="Z262" s="1075"/>
      <c r="AA262" s="1075"/>
      <c r="AB262" s="1075"/>
      <c r="AC262" s="1075"/>
      <c r="AD262" s="1075"/>
      <c r="AE262" s="1075"/>
      <c r="AF262" s="1075"/>
      <c r="AG262" s="1075"/>
      <c r="AH262" s="1075"/>
      <c r="AI262" s="1075"/>
      <c r="AJ262" s="1075"/>
      <c r="AK262" s="1075"/>
      <c r="AL262" s="1075"/>
      <c r="AM262" s="1075"/>
      <c r="AN262" s="1075"/>
      <c r="AO262" s="1075"/>
      <c r="AP262" s="1075"/>
      <c r="AQ262" s="1075"/>
      <c r="AR262" s="1075"/>
      <c r="AS262" s="1075"/>
      <c r="AT262" s="1075"/>
      <c r="AU262" s="1075"/>
      <c r="AV262" s="1075"/>
    </row>
    <row r="263" spans="1:48" ht="11.25" hidden="1" customHeight="1">
      <c r="A263" s="1075"/>
      <c r="B263" s="1075"/>
      <c r="C263" s="1075"/>
      <c r="D263" s="1075"/>
      <c r="E263" s="1075"/>
      <c r="F263" s="1075"/>
      <c r="G263" s="1075"/>
      <c r="H263" s="1075"/>
      <c r="I263" s="1075"/>
      <c r="J263" s="1075"/>
      <c r="K263" s="1075"/>
      <c r="L263" s="1075"/>
      <c r="M263" s="1075"/>
      <c r="N263" s="1075"/>
      <c r="O263" s="1075"/>
      <c r="P263" s="1075"/>
      <c r="Q263" s="1075"/>
      <c r="R263" s="1075"/>
      <c r="S263" s="1075"/>
      <c r="T263" s="1075"/>
      <c r="U263" s="1075"/>
      <c r="V263" s="1075"/>
      <c r="W263" s="1075"/>
      <c r="X263" s="1075"/>
      <c r="Y263" s="1075"/>
      <c r="Z263" s="1075"/>
      <c r="AA263" s="1075"/>
      <c r="AB263" s="1075"/>
      <c r="AC263" s="1075"/>
      <c r="AD263" s="1075"/>
      <c r="AE263" s="1075"/>
      <c r="AF263" s="1075"/>
      <c r="AG263" s="1075"/>
      <c r="AH263" s="1075"/>
      <c r="AI263" s="1075"/>
      <c r="AJ263" s="1075"/>
      <c r="AK263" s="1075"/>
      <c r="AL263" s="1075"/>
      <c r="AM263" s="1075"/>
      <c r="AN263" s="1075"/>
      <c r="AO263" s="1075"/>
      <c r="AP263" s="1075"/>
      <c r="AQ263" s="1075"/>
      <c r="AR263" s="1075"/>
      <c r="AS263" s="1075"/>
      <c r="AT263" s="1075"/>
      <c r="AU263" s="1075"/>
      <c r="AV263" s="1075"/>
    </row>
    <row r="264" spans="1:48" ht="11.25" hidden="1" customHeight="1">
      <c r="A264" s="1075"/>
      <c r="B264" s="1075"/>
      <c r="C264" s="1075"/>
      <c r="D264" s="1075"/>
      <c r="E264" s="1075"/>
      <c r="F264" s="1075"/>
      <c r="G264" s="1075"/>
      <c r="H264" s="1075"/>
      <c r="I264" s="1075"/>
      <c r="J264" s="1075"/>
      <c r="K264" s="1075"/>
      <c r="L264" s="1075"/>
      <c r="M264" s="1075"/>
      <c r="N264" s="1075"/>
      <c r="O264" s="1075"/>
      <c r="P264" s="1075"/>
      <c r="Q264" s="1075"/>
      <c r="R264" s="1075"/>
      <c r="S264" s="1075"/>
      <c r="T264" s="1075"/>
      <c r="U264" s="1075"/>
      <c r="V264" s="1075"/>
      <c r="W264" s="1075"/>
      <c r="X264" s="1075"/>
      <c r="Y264" s="1075"/>
      <c r="Z264" s="1075"/>
      <c r="AA264" s="1075"/>
      <c r="AB264" s="1075"/>
      <c r="AC264" s="1075"/>
      <c r="AD264" s="1075"/>
      <c r="AE264" s="1075"/>
      <c r="AF264" s="1075"/>
      <c r="AG264" s="1075"/>
      <c r="AH264" s="1075"/>
      <c r="AI264" s="1075"/>
      <c r="AJ264" s="1075"/>
      <c r="AK264" s="1075"/>
      <c r="AL264" s="1075"/>
      <c r="AM264" s="1075"/>
      <c r="AN264" s="1075"/>
      <c r="AO264" s="1075"/>
      <c r="AP264" s="1075"/>
      <c r="AQ264" s="1075"/>
      <c r="AR264" s="1075"/>
      <c r="AS264" s="1075"/>
      <c r="AT264" s="1075"/>
      <c r="AU264" s="1075"/>
      <c r="AV264" s="1075"/>
    </row>
    <row r="265" spans="1:48" ht="11.25" hidden="1" customHeight="1">
      <c r="A265" s="1075"/>
      <c r="B265" s="1075"/>
      <c r="C265" s="1075"/>
      <c r="D265" s="1075"/>
      <c r="E265" s="1075"/>
      <c r="F265" s="1075"/>
      <c r="G265" s="1075"/>
      <c r="H265" s="1075"/>
      <c r="I265" s="1075"/>
      <c r="J265" s="1075"/>
      <c r="K265" s="1075"/>
      <c r="L265" s="1075"/>
      <c r="M265" s="1075"/>
      <c r="N265" s="1075"/>
      <c r="O265" s="1075"/>
      <c r="P265" s="1075"/>
      <c r="Q265" s="1075"/>
      <c r="R265" s="1075"/>
      <c r="S265" s="1075"/>
      <c r="T265" s="1075"/>
      <c r="U265" s="1075"/>
      <c r="V265" s="1075"/>
      <c r="W265" s="1075"/>
      <c r="X265" s="1075"/>
      <c r="Y265" s="1075"/>
      <c r="Z265" s="1075"/>
      <c r="AA265" s="1075"/>
      <c r="AB265" s="1075"/>
      <c r="AC265" s="1075"/>
      <c r="AD265" s="1075"/>
      <c r="AE265" s="1075"/>
      <c r="AF265" s="1075"/>
      <c r="AG265" s="1075"/>
      <c r="AH265" s="1075"/>
      <c r="AI265" s="1075"/>
      <c r="AJ265" s="1075"/>
      <c r="AK265" s="1075"/>
      <c r="AL265" s="1075"/>
      <c r="AM265" s="1075"/>
      <c r="AN265" s="1075"/>
      <c r="AO265" s="1075"/>
      <c r="AP265" s="1075"/>
      <c r="AQ265" s="1075"/>
      <c r="AR265" s="1075"/>
      <c r="AS265" s="1075"/>
      <c r="AT265" s="1075"/>
      <c r="AU265" s="1075"/>
      <c r="AV265" s="1075"/>
    </row>
    <row r="266" spans="1:48" ht="11.25" hidden="1" customHeight="1">
      <c r="A266" s="1075"/>
      <c r="B266" s="1075"/>
      <c r="C266" s="1075"/>
      <c r="D266" s="1075"/>
      <c r="E266" s="1075"/>
      <c r="F266" s="1075"/>
      <c r="G266" s="1075"/>
      <c r="H266" s="1075"/>
      <c r="I266" s="1075"/>
      <c r="J266" s="1075"/>
      <c r="K266" s="1075"/>
      <c r="L266" s="1075"/>
      <c r="M266" s="1075"/>
      <c r="N266" s="1075"/>
      <c r="O266" s="1075"/>
      <c r="P266" s="1075"/>
      <c r="Q266" s="1075"/>
      <c r="R266" s="1075"/>
      <c r="S266" s="1075"/>
      <c r="T266" s="1075"/>
      <c r="U266" s="1075"/>
      <c r="V266" s="1075"/>
      <c r="W266" s="1075"/>
      <c r="X266" s="1075"/>
      <c r="Y266" s="1075"/>
      <c r="Z266" s="1075"/>
      <c r="AA266" s="1075"/>
      <c r="AB266" s="1075"/>
      <c r="AC266" s="1075"/>
      <c r="AD266" s="1075"/>
      <c r="AE266" s="1075"/>
      <c r="AF266" s="1075"/>
      <c r="AG266" s="1075"/>
      <c r="AH266" s="1075"/>
      <c r="AI266" s="1075"/>
      <c r="AJ266" s="1075"/>
      <c r="AK266" s="1075"/>
      <c r="AL266" s="1075"/>
      <c r="AM266" s="1075"/>
      <c r="AN266" s="1075"/>
      <c r="AO266" s="1075"/>
      <c r="AP266" s="1075"/>
      <c r="AQ266" s="1075"/>
      <c r="AR266" s="1075"/>
      <c r="AS266" s="1075"/>
      <c r="AT266" s="1075"/>
      <c r="AU266" s="1075"/>
      <c r="AV266" s="1075"/>
    </row>
    <row r="267" spans="1:48" ht="11.25" hidden="1" customHeight="1">
      <c r="A267" s="1075"/>
      <c r="B267" s="1075"/>
      <c r="C267" s="1075"/>
      <c r="D267" s="1075"/>
      <c r="E267" s="1075"/>
      <c r="F267" s="1075"/>
      <c r="G267" s="1075"/>
      <c r="H267" s="1075"/>
      <c r="I267" s="1075"/>
      <c r="J267" s="1075"/>
      <c r="K267" s="1075"/>
      <c r="L267" s="1075"/>
      <c r="M267" s="1075"/>
      <c r="N267" s="1075"/>
      <c r="O267" s="1075"/>
      <c r="P267" s="1075"/>
      <c r="Q267" s="1075"/>
      <c r="R267" s="1075"/>
      <c r="S267" s="1075"/>
      <c r="T267" s="1075"/>
      <c r="U267" s="1075"/>
      <c r="V267" s="1075"/>
      <c r="W267" s="1075"/>
      <c r="X267" s="1075"/>
      <c r="Y267" s="1075"/>
      <c r="Z267" s="1075"/>
      <c r="AA267" s="1075"/>
      <c r="AB267" s="1075"/>
      <c r="AC267" s="1075"/>
      <c r="AD267" s="1075"/>
      <c r="AE267" s="1075"/>
      <c r="AF267" s="1075"/>
      <c r="AG267" s="1075"/>
      <c r="AH267" s="1075"/>
      <c r="AI267" s="1075"/>
      <c r="AJ267" s="1075"/>
      <c r="AK267" s="1075"/>
      <c r="AL267" s="1075"/>
      <c r="AM267" s="1075"/>
      <c r="AN267" s="1075"/>
      <c r="AO267" s="1075"/>
      <c r="AP267" s="1075"/>
      <c r="AQ267" s="1075"/>
      <c r="AR267" s="1075"/>
      <c r="AS267" s="1075"/>
      <c r="AT267" s="1075"/>
      <c r="AU267" s="1075"/>
      <c r="AV267" s="1075"/>
    </row>
    <row r="268" spans="1:48" ht="11.25" hidden="1" customHeight="1">
      <c r="A268" s="1075"/>
      <c r="B268" s="1075"/>
      <c r="C268" s="1075"/>
      <c r="D268" s="1075"/>
      <c r="E268" s="1075"/>
      <c r="F268" s="1075"/>
      <c r="G268" s="1075"/>
      <c r="H268" s="1075"/>
      <c r="I268" s="1075"/>
      <c r="J268" s="1075"/>
      <c r="K268" s="1075"/>
      <c r="L268" s="1075"/>
      <c r="M268" s="1075"/>
      <c r="N268" s="1075"/>
      <c r="O268" s="1075"/>
      <c r="P268" s="1075"/>
      <c r="Q268" s="1075"/>
      <c r="R268" s="1075"/>
      <c r="S268" s="1075"/>
      <c r="T268" s="1075"/>
      <c r="U268" s="1075"/>
      <c r="V268" s="1075"/>
      <c r="W268" s="1075"/>
      <c r="X268" s="1075"/>
      <c r="Y268" s="1075"/>
      <c r="Z268" s="1075"/>
      <c r="AA268" s="1075"/>
      <c r="AB268" s="1075"/>
      <c r="AC268" s="1075"/>
      <c r="AD268" s="1075"/>
      <c r="AE268" s="1075"/>
      <c r="AF268" s="1075"/>
      <c r="AG268" s="1075"/>
      <c r="AH268" s="1075"/>
      <c r="AI268" s="1075"/>
      <c r="AJ268" s="1075"/>
      <c r="AK268" s="1075"/>
      <c r="AL268" s="1075"/>
      <c r="AM268" s="1075"/>
      <c r="AN268" s="1075"/>
      <c r="AO268" s="1075"/>
      <c r="AP268" s="1075"/>
      <c r="AQ268" s="1075"/>
      <c r="AR268" s="1075"/>
      <c r="AS268" s="1075"/>
      <c r="AT268" s="1075"/>
      <c r="AU268" s="1075"/>
      <c r="AV268" s="1075"/>
    </row>
    <row r="269" spans="1:48" ht="11.25" hidden="1" customHeight="1">
      <c r="A269" s="1075"/>
      <c r="B269" s="1075"/>
      <c r="C269" s="1075"/>
      <c r="D269" s="1075"/>
      <c r="E269" s="1075"/>
      <c r="F269" s="1075"/>
      <c r="G269" s="1075"/>
      <c r="H269" s="1075"/>
      <c r="I269" s="1075"/>
      <c r="J269" s="1075"/>
      <c r="K269" s="1075"/>
      <c r="L269" s="1075"/>
      <c r="M269" s="1075"/>
      <c r="N269" s="1075"/>
      <c r="O269" s="1075"/>
      <c r="P269" s="1075"/>
      <c r="Q269" s="1075"/>
      <c r="R269" s="1075"/>
      <c r="S269" s="1075"/>
      <c r="T269" s="1075"/>
      <c r="U269" s="1075"/>
      <c r="V269" s="1075"/>
      <c r="W269" s="1075"/>
      <c r="X269" s="1075"/>
      <c r="Y269" s="1075"/>
      <c r="Z269" s="1075"/>
      <c r="AA269" s="1075"/>
      <c r="AB269" s="1075"/>
      <c r="AC269" s="1075"/>
      <c r="AD269" s="1075"/>
      <c r="AE269" s="1075"/>
      <c r="AF269" s="1075"/>
      <c r="AG269" s="1075"/>
      <c r="AH269" s="1075"/>
      <c r="AI269" s="1075"/>
      <c r="AJ269" s="1075"/>
      <c r="AK269" s="1075"/>
      <c r="AL269" s="1075"/>
      <c r="AM269" s="1075"/>
      <c r="AN269" s="1075"/>
      <c r="AO269" s="1075"/>
      <c r="AP269" s="1075"/>
      <c r="AQ269" s="1075"/>
      <c r="AR269" s="1075"/>
      <c r="AS269" s="1075"/>
      <c r="AT269" s="1075"/>
      <c r="AU269" s="1075"/>
      <c r="AV269" s="1075"/>
    </row>
    <row r="270" spans="1:48" ht="11.25" hidden="1" customHeight="1">
      <c r="A270" s="1075"/>
      <c r="B270" s="1075"/>
      <c r="C270" s="1075"/>
      <c r="D270" s="1075"/>
      <c r="E270" s="1075"/>
      <c r="F270" s="1075"/>
      <c r="G270" s="1075"/>
      <c r="H270" s="1075"/>
      <c r="I270" s="1075"/>
      <c r="J270" s="1075"/>
      <c r="K270" s="1075"/>
      <c r="L270" s="1075"/>
      <c r="M270" s="1075"/>
      <c r="N270" s="1075"/>
      <c r="O270" s="1075"/>
      <c r="P270" s="1075"/>
      <c r="Q270" s="1075"/>
      <c r="R270" s="1075"/>
      <c r="S270" s="1075"/>
      <c r="T270" s="1075"/>
      <c r="U270" s="1075"/>
      <c r="V270" s="1075"/>
      <c r="W270" s="1075"/>
      <c r="X270" s="1075"/>
      <c r="Y270" s="1075"/>
      <c r="Z270" s="1075"/>
      <c r="AA270" s="1075"/>
      <c r="AB270" s="1075"/>
      <c r="AC270" s="1075"/>
      <c r="AD270" s="1075"/>
      <c r="AE270" s="1075"/>
      <c r="AF270" s="1075"/>
      <c r="AG270" s="1075"/>
      <c r="AH270" s="1075"/>
      <c r="AI270" s="1075"/>
      <c r="AJ270" s="1075"/>
      <c r="AK270" s="1075"/>
      <c r="AL270" s="1075"/>
      <c r="AM270" s="1075"/>
      <c r="AN270" s="1075"/>
      <c r="AO270" s="1075"/>
      <c r="AP270" s="1075"/>
      <c r="AQ270" s="1075"/>
      <c r="AR270" s="1075"/>
      <c r="AS270" s="1075"/>
      <c r="AT270" s="1075"/>
      <c r="AU270" s="1075"/>
      <c r="AV270" s="1075"/>
    </row>
    <row r="271" spans="1:48" ht="11.25" hidden="1" customHeight="1">
      <c r="A271" s="1075"/>
      <c r="B271" s="1075"/>
      <c r="C271" s="1075"/>
      <c r="D271" s="1075"/>
      <c r="E271" s="1075"/>
      <c r="F271" s="1075"/>
      <c r="G271" s="1075"/>
      <c r="H271" s="1075"/>
      <c r="I271" s="1075"/>
      <c r="J271" s="1075"/>
      <c r="K271" s="1075"/>
      <c r="L271" s="1075"/>
      <c r="M271" s="1075"/>
      <c r="N271" s="1075"/>
      <c r="O271" s="1075"/>
      <c r="P271" s="1075"/>
      <c r="Q271" s="1075"/>
      <c r="R271" s="1075"/>
      <c r="S271" s="1075"/>
      <c r="T271" s="1075"/>
      <c r="U271" s="1075"/>
      <c r="V271" s="1075"/>
      <c r="W271" s="1075"/>
      <c r="X271" s="1075"/>
      <c r="Y271" s="1075"/>
      <c r="Z271" s="1075"/>
      <c r="AA271" s="1075"/>
      <c r="AB271" s="1075"/>
      <c r="AC271" s="1075"/>
      <c r="AD271" s="1075"/>
      <c r="AE271" s="1075"/>
      <c r="AF271" s="1075"/>
      <c r="AG271" s="1075"/>
      <c r="AH271" s="1075"/>
      <c r="AI271" s="1075"/>
      <c r="AJ271" s="1075"/>
      <c r="AK271" s="1075"/>
      <c r="AL271" s="1075"/>
      <c r="AM271" s="1075"/>
      <c r="AN271" s="1075"/>
      <c r="AO271" s="1075"/>
      <c r="AP271" s="1075"/>
      <c r="AQ271" s="1075"/>
      <c r="AR271" s="1075"/>
      <c r="AS271" s="1075"/>
      <c r="AT271" s="1075"/>
      <c r="AU271" s="1075"/>
      <c r="AV271" s="1075"/>
    </row>
    <row r="272" spans="1:48" ht="11.25" hidden="1" customHeight="1">
      <c r="A272" s="1075"/>
      <c r="B272" s="1075"/>
      <c r="C272" s="1075"/>
      <c r="D272" s="1075"/>
      <c r="E272" s="1075"/>
      <c r="F272" s="1075"/>
      <c r="G272" s="1075"/>
      <c r="H272" s="1075"/>
      <c r="I272" s="1075"/>
      <c r="J272" s="1075"/>
      <c r="K272" s="1075"/>
      <c r="L272" s="1075"/>
      <c r="M272" s="1075"/>
      <c r="N272" s="1075"/>
      <c r="O272" s="1075"/>
      <c r="P272" s="1075"/>
      <c r="Q272" s="1075"/>
      <c r="R272" s="1075"/>
      <c r="S272" s="1075"/>
      <c r="T272" s="1075"/>
      <c r="U272" s="1075"/>
      <c r="V272" s="1075"/>
      <c r="W272" s="1075"/>
      <c r="X272" s="1075"/>
      <c r="Y272" s="1075"/>
      <c r="Z272" s="1075"/>
      <c r="AA272" s="1075"/>
      <c r="AB272" s="1075"/>
      <c r="AC272" s="1075"/>
      <c r="AD272" s="1075"/>
      <c r="AE272" s="1075"/>
      <c r="AF272" s="1075"/>
      <c r="AG272" s="1075"/>
      <c r="AH272" s="1075"/>
      <c r="AI272" s="1075"/>
      <c r="AJ272" s="1075"/>
      <c r="AK272" s="1075"/>
      <c r="AL272" s="1075"/>
      <c r="AM272" s="1075"/>
      <c r="AN272" s="1075"/>
      <c r="AO272" s="1075"/>
      <c r="AP272" s="1075"/>
      <c r="AQ272" s="1075"/>
      <c r="AR272" s="1075"/>
      <c r="AS272" s="1075"/>
      <c r="AT272" s="1075"/>
      <c r="AU272" s="1075"/>
      <c r="AV272" s="1075"/>
    </row>
    <row r="273" spans="1:48" ht="11.25" hidden="1" customHeight="1">
      <c r="A273" s="1075"/>
      <c r="B273" s="1075"/>
      <c r="C273" s="1075"/>
      <c r="D273" s="1075"/>
      <c r="E273" s="1075"/>
      <c r="F273" s="1075"/>
      <c r="G273" s="1075"/>
      <c r="H273" s="1075"/>
      <c r="I273" s="1075"/>
      <c r="J273" s="1075"/>
      <c r="K273" s="1075"/>
      <c r="L273" s="1075"/>
      <c r="M273" s="1075"/>
      <c r="N273" s="1075"/>
      <c r="O273" s="1075"/>
      <c r="P273" s="1075"/>
      <c r="Q273" s="1075"/>
      <c r="R273" s="1075"/>
      <c r="S273" s="1075"/>
      <c r="T273" s="1075"/>
      <c r="U273" s="1075"/>
      <c r="V273" s="1075"/>
      <c r="W273" s="1075"/>
      <c r="X273" s="1075"/>
      <c r="Y273" s="1075"/>
      <c r="Z273" s="1075"/>
      <c r="AA273" s="1075"/>
      <c r="AB273" s="1075"/>
      <c r="AC273" s="1075"/>
      <c r="AD273" s="1075"/>
      <c r="AE273" s="1075"/>
      <c r="AF273" s="1075"/>
      <c r="AG273" s="1075"/>
      <c r="AH273" s="1075"/>
      <c r="AI273" s="1075"/>
      <c r="AJ273" s="1075"/>
      <c r="AK273" s="1075"/>
      <c r="AL273" s="1075"/>
      <c r="AM273" s="1075"/>
      <c r="AN273" s="1075"/>
      <c r="AO273" s="1075"/>
      <c r="AP273" s="1075"/>
      <c r="AQ273" s="1075"/>
      <c r="AR273" s="1075"/>
      <c r="AS273" s="1075"/>
      <c r="AT273" s="1075"/>
      <c r="AU273" s="1075"/>
      <c r="AV273" s="1075"/>
    </row>
    <row r="274" spans="1:48" ht="11.25" hidden="1" customHeight="1">
      <c r="A274" s="1075"/>
      <c r="B274" s="1075"/>
      <c r="C274" s="1075"/>
      <c r="D274" s="1075"/>
      <c r="E274" s="1075"/>
      <c r="F274" s="1075"/>
      <c r="G274" s="1075"/>
      <c r="H274" s="1075"/>
      <c r="I274" s="1075"/>
      <c r="J274" s="1075"/>
      <c r="K274" s="1075"/>
      <c r="L274" s="1075"/>
      <c r="M274" s="1075"/>
      <c r="N274" s="1075"/>
      <c r="O274" s="1075"/>
      <c r="P274" s="1075"/>
      <c r="Q274" s="1075"/>
      <c r="R274" s="1075"/>
      <c r="S274" s="1075"/>
      <c r="T274" s="1075"/>
      <c r="U274" s="1075"/>
      <c r="V274" s="1075"/>
      <c r="W274" s="1075"/>
      <c r="X274" s="1075"/>
      <c r="Y274" s="1075"/>
      <c r="Z274" s="1075"/>
      <c r="AA274" s="1075"/>
      <c r="AB274" s="1075"/>
      <c r="AC274" s="1075"/>
      <c r="AD274" s="1075"/>
      <c r="AE274" s="1075"/>
      <c r="AF274" s="1075"/>
      <c r="AG274" s="1075"/>
      <c r="AH274" s="1075"/>
      <c r="AI274" s="1075"/>
      <c r="AJ274" s="1075"/>
      <c r="AK274" s="1075"/>
      <c r="AL274" s="1075"/>
      <c r="AM274" s="1075"/>
      <c r="AN274" s="1075"/>
      <c r="AO274" s="1075"/>
      <c r="AP274" s="1075"/>
      <c r="AQ274" s="1075"/>
      <c r="AR274" s="1075"/>
      <c r="AS274" s="1075"/>
      <c r="AT274" s="1075"/>
      <c r="AU274" s="1075"/>
      <c r="AV274" s="1075"/>
    </row>
    <row r="275" spans="1:48" ht="11.25" hidden="1" customHeight="1">
      <c r="A275" s="1075"/>
      <c r="B275" s="1075"/>
      <c r="C275" s="1075"/>
      <c r="D275" s="1075"/>
      <c r="E275" s="1075"/>
      <c r="F275" s="1075"/>
      <c r="G275" s="1075"/>
      <c r="H275" s="1075"/>
      <c r="I275" s="1075"/>
      <c r="J275" s="1075"/>
      <c r="K275" s="1075"/>
      <c r="L275" s="1075"/>
      <c r="M275" s="1075"/>
      <c r="N275" s="1075"/>
      <c r="O275" s="1075"/>
      <c r="P275" s="1075"/>
      <c r="Q275" s="1075"/>
      <c r="R275" s="1075"/>
      <c r="S275" s="1075"/>
      <c r="T275" s="1075"/>
      <c r="U275" s="1075"/>
      <c r="V275" s="1075"/>
      <c r="W275" s="1075"/>
      <c r="X275" s="1075"/>
      <c r="Y275" s="1075"/>
      <c r="Z275" s="1075"/>
      <c r="AA275" s="1075"/>
      <c r="AB275" s="1075"/>
      <c r="AC275" s="1075"/>
      <c r="AD275" s="1075"/>
      <c r="AE275" s="1075"/>
      <c r="AF275" s="1075"/>
      <c r="AG275" s="1075"/>
      <c r="AH275" s="1075"/>
      <c r="AI275" s="1075"/>
      <c r="AJ275" s="1075"/>
      <c r="AK275" s="1075"/>
      <c r="AL275" s="1075"/>
      <c r="AM275" s="1075"/>
      <c r="AN275" s="1075"/>
      <c r="AO275" s="1075"/>
      <c r="AP275" s="1075"/>
      <c r="AQ275" s="1075"/>
      <c r="AR275" s="1075"/>
      <c r="AS275" s="1075"/>
      <c r="AT275" s="1075"/>
      <c r="AU275" s="1075"/>
      <c r="AV275" s="1075"/>
    </row>
    <row r="276" spans="1:48" ht="11.25" hidden="1" customHeight="1">
      <c r="A276" s="1075"/>
      <c r="B276" s="1075"/>
      <c r="C276" s="1075"/>
      <c r="D276" s="1075"/>
      <c r="E276" s="1075"/>
      <c r="F276" s="1075"/>
      <c r="G276" s="1075"/>
      <c r="H276" s="1075"/>
      <c r="I276" s="1075"/>
      <c r="J276" s="1075"/>
      <c r="K276" s="1075"/>
      <c r="L276" s="1075"/>
      <c r="M276" s="1075"/>
      <c r="N276" s="1075"/>
      <c r="O276" s="1075"/>
      <c r="P276" s="1075"/>
      <c r="Q276" s="1075"/>
      <c r="R276" s="1075"/>
      <c r="S276" s="1075"/>
      <c r="T276" s="1075"/>
      <c r="U276" s="1075"/>
      <c r="V276" s="1075"/>
      <c r="W276" s="1075"/>
      <c r="X276" s="1075"/>
      <c r="Y276" s="1075"/>
      <c r="Z276" s="1075"/>
      <c r="AA276" s="1075"/>
      <c r="AB276" s="1075"/>
      <c r="AC276" s="1075"/>
      <c r="AD276" s="1075"/>
      <c r="AE276" s="1075"/>
      <c r="AF276" s="1075"/>
      <c r="AG276" s="1075"/>
      <c r="AH276" s="1075"/>
      <c r="AI276" s="1075"/>
      <c r="AJ276" s="1075"/>
      <c r="AK276" s="1075"/>
      <c r="AL276" s="1075"/>
      <c r="AM276" s="1075"/>
      <c r="AN276" s="1075"/>
      <c r="AO276" s="1075"/>
      <c r="AP276" s="1075"/>
      <c r="AQ276" s="1075"/>
      <c r="AR276" s="1075"/>
      <c r="AS276" s="1075"/>
      <c r="AT276" s="1075"/>
      <c r="AU276" s="1075"/>
      <c r="AV276" s="1075"/>
    </row>
    <row r="277" spans="1:48" ht="11.25" hidden="1" customHeight="1">
      <c r="A277" s="1075"/>
      <c r="B277" s="1075"/>
      <c r="C277" s="1075"/>
      <c r="D277" s="1075"/>
      <c r="E277" s="1075"/>
      <c r="F277" s="1075"/>
      <c r="G277" s="1075"/>
      <c r="H277" s="1075"/>
      <c r="I277" s="1075"/>
      <c r="J277" s="1075"/>
      <c r="K277" s="1075"/>
      <c r="L277" s="1075"/>
      <c r="M277" s="1075"/>
      <c r="N277" s="1075"/>
      <c r="O277" s="1075"/>
      <c r="P277" s="1075"/>
      <c r="Q277" s="1075"/>
      <c r="R277" s="1075"/>
      <c r="S277" s="1075"/>
      <c r="T277" s="1075"/>
      <c r="U277" s="1075"/>
      <c r="V277" s="1075"/>
      <c r="W277" s="1075"/>
      <c r="X277" s="1075"/>
      <c r="Y277" s="1075"/>
      <c r="Z277" s="1075"/>
      <c r="AA277" s="1075"/>
      <c r="AB277" s="1075"/>
      <c r="AC277" s="1075"/>
      <c r="AD277" s="1075"/>
      <c r="AE277" s="1075"/>
      <c r="AF277" s="1075"/>
      <c r="AG277" s="1075"/>
      <c r="AH277" s="1075"/>
      <c r="AI277" s="1075"/>
      <c r="AJ277" s="1075"/>
      <c r="AK277" s="1075"/>
      <c r="AL277" s="1075"/>
      <c r="AM277" s="1075"/>
      <c r="AN277" s="1075"/>
      <c r="AO277" s="1075"/>
      <c r="AP277" s="1075"/>
      <c r="AQ277" s="1075"/>
      <c r="AR277" s="1075"/>
      <c r="AS277" s="1075"/>
      <c r="AT277" s="1075"/>
      <c r="AU277" s="1075"/>
      <c r="AV277" s="1075"/>
    </row>
    <row r="278" spans="1:48" ht="11.25" hidden="1" customHeight="1">
      <c r="A278" s="1075"/>
      <c r="B278" s="1075"/>
      <c r="C278" s="1075"/>
      <c r="D278" s="1075"/>
      <c r="E278" s="1075"/>
      <c r="F278" s="1075"/>
      <c r="G278" s="1075"/>
      <c r="H278" s="1075"/>
      <c r="I278" s="1075"/>
      <c r="J278" s="1075"/>
      <c r="K278" s="1075"/>
      <c r="L278" s="1075"/>
      <c r="M278" s="1075"/>
      <c r="N278" s="1075"/>
      <c r="O278" s="1075"/>
      <c r="P278" s="1075"/>
      <c r="Q278" s="1075"/>
      <c r="R278" s="1075"/>
      <c r="S278" s="1075"/>
      <c r="T278" s="1075"/>
      <c r="U278" s="1075"/>
      <c r="V278" s="1075"/>
      <c r="W278" s="1075"/>
      <c r="X278" s="1075"/>
      <c r="Y278" s="1075"/>
      <c r="Z278" s="1075"/>
      <c r="AA278" s="1075"/>
      <c r="AB278" s="1075"/>
      <c r="AC278" s="1075"/>
      <c r="AD278" s="1075"/>
      <c r="AE278" s="1075"/>
      <c r="AF278" s="1075"/>
      <c r="AG278" s="1075"/>
      <c r="AH278" s="1075"/>
      <c r="AI278" s="1075"/>
      <c r="AJ278" s="1075"/>
      <c r="AK278" s="1075"/>
      <c r="AL278" s="1075"/>
      <c r="AM278" s="1075"/>
      <c r="AN278" s="1075"/>
      <c r="AO278" s="1075"/>
      <c r="AP278" s="1075"/>
      <c r="AQ278" s="1075"/>
      <c r="AR278" s="1075"/>
      <c r="AS278" s="1075"/>
      <c r="AT278" s="1075"/>
      <c r="AU278" s="1075"/>
      <c r="AV278" s="1075"/>
    </row>
    <row r="279" spans="1:48" ht="11.25" hidden="1" customHeight="1">
      <c r="A279" s="1075"/>
      <c r="B279" s="1075"/>
      <c r="C279" s="1075"/>
      <c r="D279" s="1075"/>
      <c r="E279" s="1075"/>
      <c r="F279" s="1075"/>
      <c r="G279" s="1075"/>
      <c r="H279" s="1075"/>
      <c r="I279" s="1075"/>
      <c r="J279" s="1075"/>
      <c r="K279" s="1075"/>
      <c r="L279" s="1075"/>
      <c r="M279" s="1075"/>
      <c r="N279" s="1075"/>
      <c r="O279" s="1075"/>
      <c r="P279" s="1075"/>
      <c r="Q279" s="1075"/>
      <c r="R279" s="1075"/>
      <c r="S279" s="1075"/>
      <c r="T279" s="1075"/>
      <c r="U279" s="1075"/>
      <c r="V279" s="1075"/>
      <c r="W279" s="1075"/>
      <c r="X279" s="1075"/>
      <c r="Y279" s="1075"/>
      <c r="Z279" s="1075"/>
      <c r="AA279" s="1075"/>
      <c r="AB279" s="1075"/>
      <c r="AC279" s="1075"/>
      <c r="AD279" s="1075"/>
      <c r="AE279" s="1075"/>
      <c r="AF279" s="1075"/>
      <c r="AG279" s="1075"/>
      <c r="AH279" s="1075"/>
      <c r="AI279" s="1075"/>
      <c r="AJ279" s="1075"/>
      <c r="AK279" s="1075"/>
      <c r="AL279" s="1075"/>
      <c r="AM279" s="1075"/>
      <c r="AN279" s="1075"/>
      <c r="AO279" s="1075"/>
      <c r="AP279" s="1075"/>
      <c r="AQ279" s="1075"/>
      <c r="AR279" s="1075"/>
      <c r="AS279" s="1075"/>
      <c r="AT279" s="1075"/>
      <c r="AU279" s="1075"/>
      <c r="AV279" s="1075"/>
    </row>
    <row r="280" spans="1:48" ht="11.25" hidden="1" customHeight="1">
      <c r="A280" s="1075"/>
      <c r="B280" s="1075"/>
      <c r="C280" s="1075"/>
      <c r="D280" s="1075"/>
      <c r="E280" s="1075"/>
      <c r="F280" s="1075"/>
      <c r="G280" s="1075"/>
      <c r="H280" s="1075"/>
      <c r="I280" s="1075"/>
      <c r="J280" s="1075"/>
      <c r="K280" s="1075"/>
      <c r="L280" s="1075"/>
      <c r="M280" s="1075"/>
      <c r="N280" s="1075"/>
      <c r="O280" s="1075"/>
      <c r="P280" s="1075"/>
      <c r="Q280" s="1075"/>
      <c r="R280" s="1075"/>
      <c r="S280" s="1075"/>
      <c r="T280" s="1075"/>
      <c r="U280" s="1075"/>
      <c r="V280" s="1075"/>
      <c r="W280" s="1075"/>
      <c r="X280" s="1075"/>
      <c r="Y280" s="1075"/>
      <c r="Z280" s="1075"/>
      <c r="AA280" s="1075"/>
      <c r="AB280" s="1075"/>
      <c r="AC280" s="1075"/>
      <c r="AD280" s="1075"/>
      <c r="AE280" s="1075"/>
      <c r="AF280" s="1075"/>
      <c r="AG280" s="1075"/>
      <c r="AH280" s="1075"/>
      <c r="AI280" s="1075"/>
      <c r="AJ280" s="1075"/>
      <c r="AK280" s="1075"/>
      <c r="AL280" s="1075"/>
      <c r="AM280" s="1075"/>
      <c r="AN280" s="1075"/>
      <c r="AO280" s="1075"/>
      <c r="AP280" s="1075"/>
      <c r="AQ280" s="1075"/>
      <c r="AR280" s="1075"/>
      <c r="AS280" s="1075"/>
      <c r="AT280" s="1075"/>
      <c r="AU280" s="1075"/>
      <c r="AV280" s="1075"/>
    </row>
    <row r="281" spans="1:48" ht="11.25" hidden="1" customHeight="1">
      <c r="A281" s="1075"/>
      <c r="B281" s="1075"/>
      <c r="C281" s="1075"/>
      <c r="D281" s="1075"/>
      <c r="E281" s="1075"/>
      <c r="F281" s="1075"/>
      <c r="G281" s="1075"/>
      <c r="H281" s="1075"/>
      <c r="I281" s="1075"/>
      <c r="J281" s="1075"/>
      <c r="K281" s="1075"/>
      <c r="L281" s="1075"/>
      <c r="M281" s="1075"/>
      <c r="N281" s="1075"/>
      <c r="O281" s="1075"/>
      <c r="P281" s="1075"/>
      <c r="Q281" s="1075"/>
      <c r="R281" s="1075"/>
      <c r="S281" s="1075"/>
      <c r="T281" s="1075"/>
      <c r="U281" s="1075"/>
      <c r="V281" s="1075"/>
      <c r="W281" s="1075"/>
      <c r="X281" s="1075"/>
      <c r="Y281" s="1075"/>
      <c r="Z281" s="1075"/>
      <c r="AA281" s="1075"/>
      <c r="AB281" s="1075"/>
      <c r="AC281" s="1075"/>
      <c r="AD281" s="1075"/>
      <c r="AE281" s="1075"/>
      <c r="AF281" s="1075"/>
      <c r="AG281" s="1075"/>
      <c r="AH281" s="1075"/>
      <c r="AI281" s="1075"/>
      <c r="AJ281" s="1075"/>
      <c r="AK281" s="1075"/>
      <c r="AL281" s="1075"/>
      <c r="AM281" s="1075"/>
      <c r="AN281" s="1075"/>
      <c r="AO281" s="1075"/>
      <c r="AP281" s="1075"/>
      <c r="AQ281" s="1075"/>
      <c r="AR281" s="1075"/>
      <c r="AS281" s="1075"/>
      <c r="AT281" s="1075"/>
      <c r="AU281" s="1075"/>
      <c r="AV281" s="1075"/>
    </row>
    <row r="282" spans="1:48" ht="11.25" hidden="1" customHeight="1">
      <c r="A282" s="1075"/>
      <c r="B282" s="1075"/>
      <c r="C282" s="1075"/>
      <c r="D282" s="1075"/>
      <c r="E282" s="1075"/>
      <c r="F282" s="1075"/>
      <c r="G282" s="1075"/>
      <c r="H282" s="1075"/>
      <c r="I282" s="1075"/>
      <c r="J282" s="1075"/>
      <c r="K282" s="1075"/>
      <c r="L282" s="1075"/>
      <c r="M282" s="1075"/>
      <c r="N282" s="1075"/>
      <c r="O282" s="1075"/>
      <c r="P282" s="1075"/>
      <c r="Q282" s="1075"/>
      <c r="R282" s="1075"/>
      <c r="S282" s="1075"/>
      <c r="T282" s="1075"/>
      <c r="U282" s="1075"/>
      <c r="V282" s="1075"/>
      <c r="W282" s="1075"/>
      <c r="X282" s="1075"/>
      <c r="Y282" s="1075"/>
      <c r="Z282" s="1075"/>
      <c r="AA282" s="1075"/>
      <c r="AB282" s="1075"/>
      <c r="AC282" s="1075"/>
      <c r="AD282" s="1075"/>
      <c r="AE282" s="1075"/>
      <c r="AF282" s="1075"/>
      <c r="AG282" s="1075"/>
      <c r="AH282" s="1075"/>
      <c r="AI282" s="1075"/>
      <c r="AJ282" s="1075"/>
      <c r="AK282" s="1075"/>
      <c r="AL282" s="1075"/>
      <c r="AM282" s="1075"/>
      <c r="AN282" s="1075"/>
      <c r="AO282" s="1075"/>
      <c r="AP282" s="1075"/>
      <c r="AQ282" s="1075"/>
      <c r="AR282" s="1075"/>
      <c r="AS282" s="1075"/>
      <c r="AT282" s="1075"/>
      <c r="AU282" s="1075"/>
      <c r="AV282" s="1075"/>
    </row>
    <row r="283" spans="1:48" ht="11.25" hidden="1" customHeight="1">
      <c r="A283" s="1075"/>
      <c r="B283" s="1075"/>
      <c r="C283" s="1075"/>
      <c r="D283" s="1075"/>
      <c r="E283" s="1075"/>
      <c r="F283" s="1075"/>
      <c r="G283" s="1075"/>
      <c r="H283" s="1075"/>
      <c r="I283" s="1075"/>
      <c r="J283" s="1075"/>
      <c r="K283" s="1075"/>
      <c r="L283" s="1075"/>
      <c r="M283" s="1075"/>
      <c r="N283" s="1075"/>
      <c r="O283" s="1075"/>
      <c r="P283" s="1075"/>
      <c r="Q283" s="1075"/>
      <c r="R283" s="1075"/>
      <c r="S283" s="1075"/>
      <c r="T283" s="1075"/>
      <c r="U283" s="1075"/>
      <c r="V283" s="1075"/>
      <c r="W283" s="1075"/>
      <c r="X283" s="1075"/>
      <c r="Y283" s="1075"/>
      <c r="Z283" s="1075"/>
      <c r="AA283" s="1075"/>
      <c r="AB283" s="1075"/>
      <c r="AC283" s="1075"/>
      <c r="AD283" s="1075"/>
      <c r="AE283" s="1075"/>
      <c r="AF283" s="1075"/>
      <c r="AG283" s="1075"/>
      <c r="AH283" s="1075"/>
      <c r="AI283" s="1075"/>
      <c r="AJ283" s="1075"/>
      <c r="AK283" s="1075"/>
      <c r="AL283" s="1075"/>
      <c r="AM283" s="1075"/>
      <c r="AN283" s="1075"/>
      <c r="AO283" s="1075"/>
      <c r="AP283" s="1075"/>
      <c r="AQ283" s="1075"/>
      <c r="AR283" s="1075"/>
      <c r="AS283" s="1075"/>
      <c r="AT283" s="1075"/>
      <c r="AU283" s="1075"/>
      <c r="AV283" s="1075"/>
    </row>
    <row r="284" spans="1:48" ht="11.25" hidden="1" customHeight="1">
      <c r="A284" s="1075"/>
      <c r="B284" s="1075"/>
      <c r="C284" s="1075"/>
      <c r="D284" s="1075"/>
      <c r="E284" s="1075"/>
      <c r="F284" s="1075"/>
      <c r="G284" s="1075"/>
      <c r="H284" s="1075"/>
      <c r="I284" s="1075"/>
      <c r="J284" s="1075"/>
      <c r="K284" s="1075"/>
      <c r="L284" s="1075"/>
      <c r="M284" s="1075"/>
      <c r="N284" s="1075"/>
      <c r="O284" s="1075"/>
      <c r="P284" s="1075"/>
      <c r="Q284" s="1075"/>
      <c r="R284" s="1075"/>
      <c r="S284" s="1075"/>
      <c r="T284" s="1075"/>
      <c r="U284" s="1075"/>
      <c r="V284" s="1075"/>
      <c r="W284" s="1075"/>
      <c r="X284" s="1075"/>
      <c r="Y284" s="1075"/>
      <c r="Z284" s="1075"/>
      <c r="AA284" s="1075"/>
      <c r="AB284" s="1075"/>
      <c r="AC284" s="1075"/>
      <c r="AD284" s="1075"/>
      <c r="AE284" s="1075"/>
      <c r="AF284" s="1075"/>
      <c r="AG284" s="1075"/>
      <c r="AH284" s="1075"/>
      <c r="AI284" s="1075"/>
      <c r="AJ284" s="1075"/>
      <c r="AK284" s="1075"/>
      <c r="AL284" s="1075"/>
      <c r="AM284" s="1075"/>
      <c r="AN284" s="1075"/>
      <c r="AO284" s="1075"/>
      <c r="AP284" s="1075"/>
      <c r="AQ284" s="1075"/>
      <c r="AR284" s="1075"/>
      <c r="AS284" s="1075"/>
      <c r="AT284" s="1075"/>
      <c r="AU284" s="1075"/>
      <c r="AV284" s="1075"/>
    </row>
    <row r="285" spans="1:48" ht="11.25" hidden="1" customHeight="1">
      <c r="A285" s="1075"/>
      <c r="B285" s="1075"/>
      <c r="C285" s="1075"/>
      <c r="D285" s="1075"/>
      <c r="E285" s="1075"/>
      <c r="F285" s="1075"/>
      <c r="G285" s="1075"/>
      <c r="H285" s="1075"/>
      <c r="I285" s="1075"/>
      <c r="J285" s="1075"/>
      <c r="K285" s="1075"/>
      <c r="L285" s="1075"/>
      <c r="M285" s="1075"/>
      <c r="N285" s="1075"/>
      <c r="O285" s="1075"/>
      <c r="P285" s="1075"/>
      <c r="Q285" s="1075"/>
      <c r="R285" s="1075"/>
      <c r="S285" s="1075"/>
      <c r="T285" s="1075"/>
      <c r="U285" s="1075"/>
      <c r="V285" s="1075"/>
      <c r="W285" s="1075"/>
      <c r="X285" s="1075"/>
      <c r="Y285" s="1075"/>
      <c r="Z285" s="1075"/>
      <c r="AA285" s="1075"/>
      <c r="AB285" s="1075"/>
      <c r="AC285" s="1075"/>
      <c r="AD285" s="1075"/>
      <c r="AE285" s="1075"/>
      <c r="AF285" s="1075"/>
      <c r="AG285" s="1075"/>
      <c r="AH285" s="1075"/>
      <c r="AI285" s="1075"/>
      <c r="AJ285" s="1075"/>
      <c r="AK285" s="1075"/>
      <c r="AL285" s="1075"/>
      <c r="AM285" s="1075"/>
      <c r="AN285" s="1075"/>
      <c r="AO285" s="1075"/>
      <c r="AP285" s="1075"/>
      <c r="AQ285" s="1075"/>
      <c r="AR285" s="1075"/>
      <c r="AS285" s="1075"/>
      <c r="AT285" s="1075"/>
      <c r="AU285" s="1075"/>
      <c r="AV285" s="1075"/>
    </row>
    <row r="286" spans="1:48" ht="11.25" hidden="1" customHeight="1">
      <c r="A286" s="1075"/>
      <c r="B286" s="1075"/>
      <c r="C286" s="1075"/>
      <c r="D286" s="1075"/>
      <c r="E286" s="1075"/>
      <c r="F286" s="1075"/>
      <c r="G286" s="1075"/>
      <c r="H286" s="1075"/>
      <c r="I286" s="1075"/>
      <c r="J286" s="1075"/>
      <c r="K286" s="1075"/>
      <c r="L286" s="1075"/>
      <c r="M286" s="1075"/>
      <c r="N286" s="1075"/>
      <c r="O286" s="1075"/>
      <c r="P286" s="1075"/>
      <c r="Q286" s="1075"/>
      <c r="R286" s="1075"/>
      <c r="S286" s="1075"/>
      <c r="T286" s="1075"/>
      <c r="U286" s="1075"/>
      <c r="V286" s="1075"/>
      <c r="W286" s="1075"/>
      <c r="X286" s="1075"/>
      <c r="Y286" s="1075"/>
      <c r="Z286" s="1075"/>
      <c r="AA286" s="1075"/>
      <c r="AB286" s="1075"/>
      <c r="AC286" s="1075"/>
      <c r="AD286" s="1075"/>
      <c r="AE286" s="1075"/>
      <c r="AF286" s="1075"/>
      <c r="AG286" s="1075"/>
      <c r="AH286" s="1075"/>
      <c r="AI286" s="1075"/>
      <c r="AJ286" s="1075"/>
      <c r="AK286" s="1075"/>
      <c r="AL286" s="1075"/>
      <c r="AM286" s="1075"/>
      <c r="AN286" s="1075"/>
      <c r="AO286" s="1075"/>
      <c r="AP286" s="1075"/>
      <c r="AQ286" s="1075"/>
      <c r="AR286" s="1075"/>
      <c r="AS286" s="1075"/>
      <c r="AT286" s="1075"/>
      <c r="AU286" s="1075"/>
      <c r="AV286" s="1075"/>
    </row>
    <row r="287" spans="1:48" ht="11.25" hidden="1" customHeight="1">
      <c r="A287" s="1075"/>
      <c r="B287" s="1075"/>
      <c r="C287" s="1075"/>
      <c r="D287" s="1075"/>
      <c r="E287" s="1075"/>
      <c r="F287" s="1075"/>
      <c r="G287" s="1075"/>
      <c r="H287" s="1075"/>
      <c r="I287" s="1075"/>
      <c r="J287" s="1075"/>
      <c r="K287" s="1075"/>
      <c r="L287" s="1075"/>
      <c r="M287" s="1075"/>
      <c r="N287" s="1075"/>
      <c r="O287" s="1075"/>
      <c r="P287" s="1075"/>
      <c r="Q287" s="1075"/>
      <c r="R287" s="1075"/>
      <c r="S287" s="1075"/>
      <c r="T287" s="1075"/>
      <c r="U287" s="1075"/>
      <c r="V287" s="1075"/>
      <c r="W287" s="1075"/>
      <c r="X287" s="1075"/>
      <c r="Y287" s="1075"/>
      <c r="Z287" s="1075"/>
      <c r="AA287" s="1075"/>
      <c r="AB287" s="1075"/>
      <c r="AC287" s="1075"/>
      <c r="AD287" s="1075"/>
      <c r="AE287" s="1075"/>
      <c r="AF287" s="1075"/>
      <c r="AG287" s="1075"/>
      <c r="AH287" s="1075"/>
      <c r="AI287" s="1075"/>
      <c r="AJ287" s="1075"/>
      <c r="AK287" s="1075"/>
      <c r="AL287" s="1075"/>
      <c r="AM287" s="1075"/>
      <c r="AN287" s="1075"/>
      <c r="AO287" s="1075"/>
      <c r="AP287" s="1075"/>
      <c r="AQ287" s="1075"/>
      <c r="AR287" s="1075"/>
      <c r="AS287" s="1075"/>
      <c r="AT287" s="1075"/>
      <c r="AU287" s="1075"/>
      <c r="AV287" s="1075"/>
    </row>
    <row r="288" spans="1:48" ht="11.25" hidden="1" customHeight="1">
      <c r="A288" s="1075"/>
      <c r="B288" s="1075"/>
      <c r="C288" s="1075"/>
      <c r="D288" s="1075"/>
      <c r="E288" s="1075"/>
      <c r="F288" s="1075"/>
      <c r="G288" s="1075"/>
      <c r="H288" s="1075"/>
      <c r="I288" s="1075"/>
      <c r="J288" s="1075"/>
      <c r="K288" s="1075"/>
      <c r="L288" s="1075"/>
      <c r="M288" s="1075"/>
      <c r="N288" s="1075"/>
      <c r="O288" s="1075"/>
      <c r="P288" s="1075"/>
      <c r="Q288" s="1075"/>
      <c r="R288" s="1075"/>
      <c r="S288" s="1075"/>
      <c r="T288" s="1075"/>
      <c r="U288" s="1075"/>
      <c r="V288" s="1075"/>
      <c r="W288" s="1075"/>
      <c r="X288" s="1075"/>
      <c r="Y288" s="1075"/>
      <c r="Z288" s="1075"/>
      <c r="AA288" s="1075"/>
      <c r="AB288" s="1075"/>
      <c r="AC288" s="1075"/>
      <c r="AD288" s="1075"/>
      <c r="AE288" s="1075"/>
      <c r="AF288" s="1075"/>
      <c r="AG288" s="1075"/>
      <c r="AH288" s="1075"/>
      <c r="AI288" s="1075"/>
      <c r="AJ288" s="1075"/>
      <c r="AK288" s="1075"/>
      <c r="AL288" s="1075"/>
      <c r="AM288" s="1075"/>
      <c r="AN288" s="1075"/>
      <c r="AO288" s="1075"/>
      <c r="AP288" s="1075"/>
      <c r="AQ288" s="1075"/>
      <c r="AR288" s="1075"/>
      <c r="AS288" s="1075"/>
      <c r="AT288" s="1075"/>
      <c r="AU288" s="1075"/>
      <c r="AV288" s="1075"/>
    </row>
    <row r="289" spans="1:48" ht="11.25" hidden="1" customHeight="1">
      <c r="A289" s="1075"/>
      <c r="B289" s="1075"/>
      <c r="C289" s="1075"/>
      <c r="D289" s="1075"/>
      <c r="E289" s="1075"/>
      <c r="F289" s="1075"/>
      <c r="G289" s="1075"/>
      <c r="H289" s="1075"/>
      <c r="I289" s="1075"/>
      <c r="J289" s="1075"/>
      <c r="K289" s="1075"/>
      <c r="L289" s="1075"/>
      <c r="M289" s="1075"/>
      <c r="N289" s="1075"/>
      <c r="O289" s="1075"/>
      <c r="P289" s="1075"/>
      <c r="Q289" s="1075"/>
      <c r="R289" s="1075"/>
      <c r="S289" s="1075"/>
      <c r="T289" s="1075"/>
      <c r="U289" s="1075"/>
      <c r="V289" s="1075"/>
      <c r="W289" s="1075"/>
      <c r="X289" s="1075"/>
      <c r="Y289" s="1075"/>
      <c r="Z289" s="1075"/>
      <c r="AA289" s="1075"/>
      <c r="AB289" s="1075"/>
      <c r="AC289" s="1075"/>
      <c r="AD289" s="1075"/>
      <c r="AE289" s="1075"/>
      <c r="AF289" s="1075"/>
      <c r="AG289" s="1075"/>
      <c r="AH289" s="1075"/>
      <c r="AI289" s="1075"/>
      <c r="AJ289" s="1075"/>
      <c r="AK289" s="1075"/>
      <c r="AL289" s="1075"/>
      <c r="AM289" s="1075"/>
      <c r="AN289" s="1075"/>
      <c r="AO289" s="1075"/>
      <c r="AP289" s="1075"/>
      <c r="AQ289" s="1075"/>
      <c r="AR289" s="1075"/>
      <c r="AS289" s="1075"/>
      <c r="AT289" s="1075"/>
      <c r="AU289" s="1075"/>
      <c r="AV289" s="1075"/>
    </row>
    <row r="290" spans="1:48" ht="11.25" hidden="1" customHeight="1">
      <c r="A290" s="1075"/>
      <c r="B290" s="1075"/>
      <c r="C290" s="1075"/>
      <c r="D290" s="1075"/>
      <c r="E290" s="1075"/>
      <c r="F290" s="1075"/>
      <c r="G290" s="1075"/>
      <c r="H290" s="1075"/>
      <c r="I290" s="1075"/>
      <c r="J290" s="1075"/>
      <c r="K290" s="1075"/>
      <c r="L290" s="1075"/>
      <c r="M290" s="1075"/>
      <c r="N290" s="1075"/>
      <c r="O290" s="1075"/>
      <c r="P290" s="1075"/>
      <c r="Q290" s="1075"/>
      <c r="R290" s="1075"/>
      <c r="S290" s="1075"/>
      <c r="T290" s="1075"/>
      <c r="U290" s="1075"/>
      <c r="V290" s="1075"/>
      <c r="W290" s="1075"/>
      <c r="X290" s="1075"/>
      <c r="Y290" s="1075"/>
      <c r="Z290" s="1075"/>
      <c r="AA290" s="1075"/>
      <c r="AB290" s="1075"/>
      <c r="AC290" s="1075"/>
      <c r="AD290" s="1075"/>
      <c r="AE290" s="1075"/>
      <c r="AF290" s="1075"/>
      <c r="AG290" s="1075"/>
      <c r="AH290" s="1075"/>
      <c r="AI290" s="1075"/>
      <c r="AJ290" s="1075"/>
      <c r="AK290" s="1075"/>
      <c r="AL290" s="1075"/>
      <c r="AM290" s="1075"/>
      <c r="AN290" s="1075"/>
      <c r="AO290" s="1075"/>
      <c r="AP290" s="1075"/>
      <c r="AQ290" s="1075"/>
      <c r="AR290" s="1075"/>
      <c r="AS290" s="1075"/>
      <c r="AT290" s="1075"/>
      <c r="AU290" s="1075"/>
      <c r="AV290" s="1075"/>
    </row>
    <row r="291" spans="1:48" ht="11.25" hidden="1" customHeight="1">
      <c r="A291" s="1075"/>
      <c r="B291" s="1075"/>
      <c r="C291" s="1075"/>
      <c r="D291" s="1075"/>
      <c r="E291" s="1075"/>
      <c r="F291" s="1075"/>
      <c r="G291" s="1075"/>
      <c r="H291" s="1075"/>
      <c r="I291" s="1075"/>
      <c r="J291" s="1075"/>
      <c r="K291" s="1075"/>
      <c r="L291" s="1075"/>
      <c r="M291" s="1075"/>
      <c r="N291" s="1075"/>
      <c r="O291" s="1075"/>
      <c r="P291" s="1075"/>
      <c r="Q291" s="1075"/>
      <c r="R291" s="1075"/>
      <c r="S291" s="1075"/>
      <c r="T291" s="1075"/>
      <c r="U291" s="1075"/>
      <c r="V291" s="1075"/>
      <c r="W291" s="1075"/>
      <c r="X291" s="1075"/>
      <c r="Y291" s="1075"/>
      <c r="Z291" s="1075"/>
      <c r="AA291" s="1075"/>
      <c r="AB291" s="1075"/>
      <c r="AC291" s="1075"/>
      <c r="AD291" s="1075"/>
      <c r="AE291" s="1075"/>
      <c r="AF291" s="1075"/>
      <c r="AG291" s="1075"/>
      <c r="AH291" s="1075"/>
      <c r="AI291" s="1075"/>
      <c r="AJ291" s="1075"/>
      <c r="AK291" s="1075"/>
      <c r="AL291" s="1075"/>
      <c r="AM291" s="1075"/>
      <c r="AN291" s="1075"/>
      <c r="AO291" s="1075"/>
      <c r="AP291" s="1075"/>
      <c r="AQ291" s="1075"/>
      <c r="AR291" s="1075"/>
      <c r="AS291" s="1075"/>
      <c r="AT291" s="1075"/>
      <c r="AU291" s="1075"/>
      <c r="AV291" s="1075"/>
    </row>
    <row r="292" spans="1:48" ht="11.25" hidden="1" customHeight="1">
      <c r="A292" s="1075"/>
      <c r="B292" s="1075"/>
      <c r="C292" s="1075"/>
      <c r="D292" s="1075"/>
      <c r="E292" s="1075"/>
      <c r="F292" s="1075"/>
      <c r="G292" s="1075"/>
      <c r="H292" s="1075"/>
      <c r="I292" s="1075"/>
      <c r="J292" s="1075"/>
      <c r="K292" s="1075"/>
      <c r="L292" s="1075"/>
      <c r="M292" s="1075"/>
      <c r="N292" s="1075"/>
      <c r="O292" s="1075"/>
      <c r="P292" s="1075"/>
      <c r="Q292" s="1075"/>
      <c r="R292" s="1075"/>
      <c r="S292" s="1075"/>
      <c r="T292" s="1075"/>
      <c r="U292" s="1075"/>
      <c r="V292" s="1075"/>
      <c r="W292" s="1075"/>
      <c r="X292" s="1075"/>
      <c r="Y292" s="1075"/>
      <c r="Z292" s="1075"/>
      <c r="AA292" s="1075"/>
      <c r="AB292" s="1075"/>
      <c r="AC292" s="1075"/>
      <c r="AD292" s="1075"/>
      <c r="AE292" s="1075"/>
      <c r="AF292" s="1075"/>
      <c r="AG292" s="1075"/>
      <c r="AH292" s="1075"/>
      <c r="AI292" s="1075"/>
      <c r="AJ292" s="1075"/>
      <c r="AK292" s="1075"/>
      <c r="AL292" s="1075"/>
      <c r="AM292" s="1075"/>
      <c r="AN292" s="1075"/>
      <c r="AO292" s="1075"/>
      <c r="AP292" s="1075"/>
      <c r="AQ292" s="1075"/>
      <c r="AR292" s="1075"/>
      <c r="AS292" s="1075"/>
      <c r="AT292" s="1075"/>
      <c r="AU292" s="1075"/>
      <c r="AV292" s="1075"/>
    </row>
    <row r="293" spans="1:48" ht="11.25" hidden="1" customHeight="1">
      <c r="A293" s="1075"/>
      <c r="B293" s="1075"/>
      <c r="C293" s="1075"/>
      <c r="D293" s="1075"/>
      <c r="E293" s="1075"/>
      <c r="F293" s="1075"/>
      <c r="G293" s="1075"/>
      <c r="H293" s="1075"/>
      <c r="I293" s="1075"/>
      <c r="J293" s="1075"/>
      <c r="K293" s="1075"/>
      <c r="L293" s="1075"/>
      <c r="M293" s="1075"/>
      <c r="N293" s="1075"/>
      <c r="O293" s="1075"/>
      <c r="P293" s="1075"/>
      <c r="Q293" s="1075"/>
      <c r="R293" s="1075"/>
      <c r="S293" s="1075"/>
      <c r="T293" s="1075"/>
      <c r="U293" s="1075"/>
      <c r="V293" s="1075"/>
      <c r="W293" s="1075"/>
      <c r="X293" s="1075"/>
      <c r="Y293" s="1075"/>
      <c r="Z293" s="1075"/>
      <c r="AA293" s="1075"/>
      <c r="AB293" s="1075"/>
      <c r="AC293" s="1075"/>
      <c r="AD293" s="1075"/>
      <c r="AE293" s="1075"/>
      <c r="AF293" s="1075"/>
      <c r="AG293" s="1075"/>
      <c r="AH293" s="1075"/>
      <c r="AI293" s="1075"/>
      <c r="AJ293" s="1075"/>
      <c r="AK293" s="1075"/>
      <c r="AL293" s="1075"/>
      <c r="AM293" s="1075"/>
      <c r="AN293" s="1075"/>
      <c r="AO293" s="1075"/>
      <c r="AP293" s="1075"/>
      <c r="AQ293" s="1075"/>
      <c r="AR293" s="1075"/>
      <c r="AS293" s="1075"/>
      <c r="AT293" s="1075"/>
      <c r="AU293" s="1075"/>
      <c r="AV293" s="1075"/>
    </row>
    <row r="294" spans="1:48" ht="11.25" hidden="1" customHeight="1">
      <c r="A294" s="1075"/>
      <c r="B294" s="1075"/>
      <c r="C294" s="1075"/>
      <c r="D294" s="1075"/>
      <c r="E294" s="1075"/>
      <c r="F294" s="1075"/>
      <c r="G294" s="1075"/>
      <c r="H294" s="1075"/>
      <c r="I294" s="1075"/>
      <c r="J294" s="1075"/>
      <c r="K294" s="1075"/>
      <c r="L294" s="1075"/>
      <c r="M294" s="1075"/>
      <c r="N294" s="1075"/>
      <c r="O294" s="1075"/>
      <c r="P294" s="1075"/>
      <c r="Q294" s="1075"/>
      <c r="R294" s="1075"/>
      <c r="S294" s="1075"/>
      <c r="T294" s="1075"/>
      <c r="U294" s="1075"/>
      <c r="V294" s="1075"/>
      <c r="W294" s="1075"/>
      <c r="X294" s="1075"/>
      <c r="Y294" s="1075"/>
      <c r="Z294" s="1075"/>
      <c r="AA294" s="1075"/>
      <c r="AB294" s="1075"/>
      <c r="AC294" s="1075"/>
      <c r="AD294" s="1075"/>
      <c r="AE294" s="1075"/>
      <c r="AF294" s="1075"/>
      <c r="AG294" s="1075"/>
      <c r="AH294" s="1075"/>
      <c r="AI294" s="1075"/>
      <c r="AJ294" s="1075"/>
      <c r="AK294" s="1075"/>
      <c r="AL294" s="1075"/>
      <c r="AM294" s="1075"/>
      <c r="AN294" s="1075"/>
      <c r="AO294" s="1075"/>
      <c r="AP294" s="1075"/>
      <c r="AQ294" s="1075"/>
      <c r="AR294" s="1075"/>
      <c r="AS294" s="1075"/>
      <c r="AT294" s="1075"/>
      <c r="AU294" s="1075"/>
      <c r="AV294" s="1075"/>
    </row>
    <row r="295" spans="1:48" ht="11.25" hidden="1" customHeight="1">
      <c r="A295" s="1075"/>
      <c r="B295" s="1075"/>
      <c r="C295" s="1075"/>
      <c r="D295" s="1075"/>
      <c r="E295" s="1075"/>
      <c r="F295" s="1075"/>
      <c r="G295" s="1075"/>
      <c r="H295" s="1075"/>
      <c r="I295" s="1075"/>
      <c r="J295" s="1075"/>
      <c r="K295" s="1075"/>
      <c r="L295" s="1075"/>
      <c r="M295" s="1075"/>
      <c r="N295" s="1075"/>
      <c r="O295" s="1075"/>
      <c r="P295" s="1075"/>
      <c r="Q295" s="1075"/>
      <c r="R295" s="1075"/>
      <c r="S295" s="1075"/>
      <c r="T295" s="1075"/>
      <c r="U295" s="1075"/>
      <c r="V295" s="1075"/>
      <c r="W295" s="1075"/>
      <c r="X295" s="1075"/>
      <c r="Y295" s="1075"/>
      <c r="Z295" s="1075"/>
      <c r="AA295" s="1075"/>
      <c r="AB295" s="1075"/>
      <c r="AC295" s="1075"/>
      <c r="AD295" s="1075"/>
      <c r="AE295" s="1075"/>
      <c r="AF295" s="1075"/>
      <c r="AG295" s="1075"/>
      <c r="AH295" s="1075"/>
      <c r="AI295" s="1075"/>
      <c r="AJ295" s="1075"/>
      <c r="AK295" s="1075"/>
      <c r="AL295" s="1075"/>
      <c r="AM295" s="1075"/>
      <c r="AN295" s="1075"/>
      <c r="AO295" s="1075"/>
      <c r="AP295" s="1075"/>
      <c r="AQ295" s="1075"/>
      <c r="AR295" s="1075"/>
      <c r="AS295" s="1075"/>
      <c r="AT295" s="1075"/>
      <c r="AU295" s="1075"/>
      <c r="AV295" s="1075"/>
    </row>
    <row r="296" spans="1:48" ht="11.25" hidden="1" customHeight="1">
      <c r="A296" s="1075"/>
      <c r="B296" s="1075"/>
      <c r="C296" s="1075"/>
      <c r="D296" s="1075"/>
      <c r="E296" s="1075"/>
      <c r="F296" s="1075"/>
      <c r="G296" s="1075"/>
      <c r="H296" s="1075"/>
      <c r="I296" s="1075"/>
      <c r="J296" s="1075"/>
      <c r="K296" s="1075"/>
      <c r="L296" s="1075"/>
      <c r="M296" s="1075"/>
      <c r="N296" s="1075"/>
      <c r="O296" s="1075"/>
      <c r="P296" s="1075"/>
      <c r="Q296" s="1075"/>
      <c r="R296" s="1075"/>
      <c r="S296" s="1075"/>
      <c r="T296" s="1075"/>
      <c r="U296" s="1075"/>
      <c r="V296" s="1075"/>
      <c r="W296" s="1075"/>
      <c r="X296" s="1075"/>
      <c r="Y296" s="1075"/>
      <c r="Z296" s="1075"/>
      <c r="AA296" s="1075"/>
      <c r="AB296" s="1075"/>
      <c r="AC296" s="1075"/>
      <c r="AD296" s="1075"/>
      <c r="AE296" s="1075"/>
      <c r="AF296" s="1075"/>
      <c r="AG296" s="1075"/>
      <c r="AH296" s="1075"/>
      <c r="AI296" s="1075"/>
      <c r="AJ296" s="1075"/>
      <c r="AK296" s="1075"/>
      <c r="AL296" s="1075"/>
      <c r="AM296" s="1075"/>
      <c r="AN296" s="1075"/>
      <c r="AO296" s="1075"/>
      <c r="AP296" s="1075"/>
      <c r="AQ296" s="1075"/>
      <c r="AR296" s="1075"/>
      <c r="AS296" s="1075"/>
      <c r="AT296" s="1075"/>
      <c r="AU296" s="1075"/>
      <c r="AV296" s="1075"/>
    </row>
    <row r="297" spans="1:48" ht="11.25" hidden="1" customHeight="1">
      <c r="A297" s="1075"/>
      <c r="B297" s="1075"/>
      <c r="C297" s="1075"/>
      <c r="D297" s="1075"/>
      <c r="E297" s="1075"/>
      <c r="F297" s="1075"/>
      <c r="G297" s="1075"/>
      <c r="H297" s="1075"/>
      <c r="I297" s="1075"/>
      <c r="J297" s="1075"/>
      <c r="K297" s="1075"/>
      <c r="L297" s="1075"/>
      <c r="M297" s="1075"/>
      <c r="N297" s="1075"/>
      <c r="O297" s="1075"/>
      <c r="P297" s="1075"/>
      <c r="Q297" s="1075"/>
      <c r="R297" s="1075"/>
      <c r="S297" s="1075"/>
      <c r="T297" s="1075"/>
      <c r="U297" s="1075"/>
      <c r="V297" s="1075"/>
      <c r="W297" s="1075"/>
      <c r="X297" s="1075"/>
      <c r="Y297" s="1075"/>
      <c r="Z297" s="1075"/>
      <c r="AA297" s="1075"/>
      <c r="AB297" s="1075"/>
      <c r="AC297" s="1075"/>
      <c r="AD297" s="1075"/>
      <c r="AE297" s="1075"/>
      <c r="AF297" s="1075"/>
      <c r="AG297" s="1075"/>
      <c r="AH297" s="1075"/>
      <c r="AI297" s="1075"/>
      <c r="AJ297" s="1075"/>
      <c r="AK297" s="1075"/>
      <c r="AL297" s="1075"/>
      <c r="AM297" s="1075"/>
      <c r="AN297" s="1075"/>
      <c r="AO297" s="1075"/>
      <c r="AP297" s="1075"/>
      <c r="AQ297" s="1075"/>
      <c r="AR297" s="1075"/>
      <c r="AS297" s="1075"/>
      <c r="AT297" s="1075"/>
      <c r="AU297" s="1075"/>
      <c r="AV297" s="1075"/>
    </row>
    <row r="298" spans="1:48" ht="11.25" hidden="1" customHeight="1">
      <c r="A298" s="1075"/>
      <c r="B298" s="1075"/>
      <c r="C298" s="1075"/>
      <c r="D298" s="1075"/>
      <c r="E298" s="1075"/>
      <c r="F298" s="1075"/>
      <c r="G298" s="1075"/>
      <c r="H298" s="1075"/>
      <c r="I298" s="1075"/>
      <c r="J298" s="1075"/>
      <c r="K298" s="1075"/>
      <c r="L298" s="1075"/>
      <c r="M298" s="1075"/>
      <c r="N298" s="1075"/>
      <c r="O298" s="1075"/>
      <c r="P298" s="1075"/>
      <c r="Q298" s="1075"/>
      <c r="R298" s="1075"/>
      <c r="S298" s="1075"/>
      <c r="T298" s="1075"/>
      <c r="U298" s="1075"/>
      <c r="V298" s="1075"/>
      <c r="W298" s="1075"/>
      <c r="X298" s="1075"/>
      <c r="Y298" s="1075"/>
      <c r="Z298" s="1075"/>
      <c r="AA298" s="1075"/>
      <c r="AB298" s="1075"/>
      <c r="AC298" s="1075"/>
      <c r="AD298" s="1075"/>
      <c r="AE298" s="1075"/>
      <c r="AF298" s="1075"/>
      <c r="AG298" s="1075"/>
      <c r="AH298" s="1075"/>
      <c r="AI298" s="1075"/>
      <c r="AJ298" s="1075"/>
      <c r="AK298" s="1075"/>
      <c r="AL298" s="1075"/>
      <c r="AM298" s="1075"/>
      <c r="AN298" s="1075"/>
      <c r="AO298" s="1075"/>
      <c r="AP298" s="1075"/>
      <c r="AQ298" s="1075"/>
      <c r="AR298" s="1075"/>
      <c r="AS298" s="1075"/>
      <c r="AT298" s="1075"/>
      <c r="AU298" s="1075"/>
      <c r="AV298" s="1075"/>
    </row>
    <row r="299" spans="1:48" ht="11.25" hidden="1" customHeight="1">
      <c r="A299" s="1075"/>
      <c r="B299" s="1075"/>
      <c r="C299" s="1075"/>
      <c r="D299" s="1075"/>
      <c r="E299" s="1075"/>
      <c r="F299" s="1075"/>
      <c r="G299" s="1075"/>
      <c r="H299" s="1075"/>
      <c r="I299" s="1075"/>
      <c r="J299" s="1075"/>
      <c r="K299" s="1075"/>
      <c r="L299" s="1075"/>
      <c r="M299" s="1075"/>
      <c r="N299" s="1075"/>
      <c r="O299" s="1075"/>
      <c r="P299" s="1075"/>
      <c r="Q299" s="1075"/>
      <c r="R299" s="1075"/>
      <c r="S299" s="1075"/>
      <c r="T299" s="1075"/>
      <c r="U299" s="1075"/>
      <c r="V299" s="1075"/>
      <c r="W299" s="1075"/>
      <c r="X299" s="1075"/>
      <c r="Y299" s="1075"/>
      <c r="Z299" s="1075"/>
      <c r="AA299" s="1075"/>
      <c r="AB299" s="1075"/>
      <c r="AC299" s="1075"/>
      <c r="AD299" s="1075"/>
      <c r="AE299" s="1075"/>
      <c r="AF299" s="1075"/>
      <c r="AG299" s="1075"/>
      <c r="AH299" s="1075"/>
      <c r="AI299" s="1075"/>
      <c r="AJ299" s="1075"/>
      <c r="AK299" s="1075"/>
      <c r="AL299" s="1075"/>
      <c r="AM299" s="1075"/>
      <c r="AN299" s="1075"/>
      <c r="AO299" s="1075"/>
      <c r="AP299" s="1075"/>
      <c r="AQ299" s="1075"/>
      <c r="AR299" s="1075"/>
      <c r="AS299" s="1075"/>
      <c r="AT299" s="1075"/>
      <c r="AU299" s="1075"/>
      <c r="AV299" s="1075"/>
    </row>
    <row r="300" spans="1:48" ht="11.25" hidden="1" customHeight="1">
      <c r="A300" s="1075"/>
      <c r="B300" s="1075"/>
      <c r="C300" s="1075"/>
      <c r="D300" s="1075"/>
      <c r="E300" s="1075"/>
      <c r="F300" s="1075"/>
      <c r="G300" s="1075"/>
      <c r="H300" s="1075"/>
      <c r="I300" s="1075"/>
      <c r="J300" s="1075"/>
      <c r="K300" s="1075"/>
      <c r="L300" s="1075"/>
      <c r="M300" s="1075"/>
      <c r="N300" s="1075"/>
      <c r="O300" s="1075"/>
      <c r="P300" s="1075"/>
      <c r="Q300" s="1075"/>
      <c r="R300" s="1075"/>
      <c r="S300" s="1075"/>
      <c r="T300" s="1075"/>
      <c r="U300" s="1075"/>
      <c r="V300" s="1075"/>
      <c r="W300" s="1075"/>
      <c r="X300" s="1075"/>
      <c r="Y300" s="1075"/>
      <c r="Z300" s="1075"/>
      <c r="AA300" s="1075"/>
      <c r="AB300" s="1075"/>
      <c r="AC300" s="1075"/>
      <c r="AD300" s="1075"/>
      <c r="AE300" s="1075"/>
      <c r="AF300" s="1075"/>
      <c r="AG300" s="1075"/>
      <c r="AH300" s="1075"/>
      <c r="AI300" s="1075"/>
      <c r="AJ300" s="1075"/>
      <c r="AK300" s="1075"/>
      <c r="AL300" s="1075"/>
      <c r="AM300" s="1075"/>
      <c r="AN300" s="1075"/>
      <c r="AO300" s="1075"/>
      <c r="AP300" s="1075"/>
      <c r="AQ300" s="1075"/>
      <c r="AR300" s="1075"/>
      <c r="AS300" s="1075"/>
      <c r="AT300" s="1075"/>
      <c r="AU300" s="1075"/>
      <c r="AV300" s="1075"/>
    </row>
    <row r="301" spans="1:48" ht="11.25" hidden="1" customHeight="1">
      <c r="A301" s="1075"/>
      <c r="B301" s="1075"/>
      <c r="C301" s="1075"/>
      <c r="D301" s="1075"/>
      <c r="E301" s="1075"/>
      <c r="F301" s="1075"/>
      <c r="G301" s="1075"/>
      <c r="H301" s="1075"/>
      <c r="I301" s="1075"/>
      <c r="J301" s="1075"/>
      <c r="K301" s="1075"/>
      <c r="L301" s="1075"/>
      <c r="M301" s="1075"/>
      <c r="N301" s="1075"/>
      <c r="O301" s="1075"/>
      <c r="P301" s="1075"/>
      <c r="Q301" s="1075"/>
      <c r="R301" s="1075"/>
      <c r="S301" s="1075"/>
      <c r="T301" s="1075"/>
      <c r="U301" s="1075"/>
      <c r="V301" s="1075"/>
      <c r="W301" s="1075"/>
      <c r="X301" s="1075"/>
      <c r="Y301" s="1075"/>
      <c r="Z301" s="1075"/>
      <c r="AA301" s="1075"/>
      <c r="AB301" s="1075"/>
      <c r="AC301" s="1075"/>
      <c r="AD301" s="1075"/>
      <c r="AE301" s="1075"/>
      <c r="AF301" s="1075"/>
      <c r="AG301" s="1075"/>
      <c r="AH301" s="1075"/>
      <c r="AI301" s="1075"/>
      <c r="AJ301" s="1075"/>
      <c r="AK301" s="1075"/>
      <c r="AL301" s="1075"/>
      <c r="AM301" s="1075"/>
      <c r="AN301" s="1075"/>
      <c r="AO301" s="1075"/>
      <c r="AP301" s="1075"/>
      <c r="AQ301" s="1075"/>
      <c r="AR301" s="1075"/>
      <c r="AS301" s="1075"/>
      <c r="AT301" s="1075"/>
      <c r="AU301" s="1075"/>
      <c r="AV301" s="1075"/>
    </row>
    <row r="302" spans="1:48" ht="11.25" hidden="1" customHeight="1">
      <c r="A302" s="1075"/>
      <c r="B302" s="1075"/>
      <c r="C302" s="1075"/>
      <c r="D302" s="1075"/>
      <c r="E302" s="1075"/>
      <c r="F302" s="1075"/>
      <c r="G302" s="1075"/>
      <c r="H302" s="1075"/>
      <c r="I302" s="1075"/>
      <c r="J302" s="1075"/>
      <c r="K302" s="1075"/>
      <c r="L302" s="1075"/>
      <c r="M302" s="1075"/>
      <c r="N302" s="1075"/>
      <c r="O302" s="1075"/>
      <c r="P302" s="1075"/>
      <c r="Q302" s="1075"/>
      <c r="R302" s="1075"/>
      <c r="S302" s="1075"/>
      <c r="T302" s="1075"/>
      <c r="U302" s="1075"/>
      <c r="V302" s="1075"/>
      <c r="W302" s="1075"/>
      <c r="X302" s="1075"/>
      <c r="Y302" s="1075"/>
      <c r="Z302" s="1075"/>
      <c r="AA302" s="1075"/>
      <c r="AB302" s="1075"/>
      <c r="AC302" s="1075"/>
      <c r="AD302" s="1075"/>
      <c r="AE302" s="1075"/>
      <c r="AF302" s="1075"/>
      <c r="AG302" s="1075"/>
      <c r="AH302" s="1075"/>
      <c r="AI302" s="1075"/>
      <c r="AJ302" s="1075"/>
      <c r="AK302" s="1075"/>
      <c r="AL302" s="1075"/>
      <c r="AM302" s="1075"/>
      <c r="AN302" s="1075"/>
      <c r="AO302" s="1075"/>
      <c r="AP302" s="1075"/>
      <c r="AQ302" s="1075"/>
      <c r="AR302" s="1075"/>
      <c r="AS302" s="1075"/>
      <c r="AT302" s="1075"/>
      <c r="AU302" s="1075"/>
      <c r="AV302" s="1075"/>
    </row>
    <row r="303" spans="1:48" ht="11.25" hidden="1" customHeight="1">
      <c r="A303" s="1075"/>
      <c r="B303" s="1075"/>
      <c r="C303" s="1075"/>
      <c r="D303" s="1075"/>
      <c r="E303" s="1075"/>
      <c r="F303" s="1075"/>
      <c r="G303" s="1075"/>
      <c r="H303" s="1075"/>
      <c r="I303" s="1075"/>
      <c r="J303" s="1075"/>
      <c r="K303" s="1075"/>
      <c r="L303" s="1075"/>
      <c r="M303" s="1075"/>
      <c r="N303" s="1075"/>
      <c r="O303" s="1075"/>
      <c r="P303" s="1075"/>
      <c r="Q303" s="1075"/>
      <c r="R303" s="1075"/>
      <c r="S303" s="1075"/>
      <c r="T303" s="1075"/>
      <c r="U303" s="1075"/>
      <c r="V303" s="1075"/>
      <c r="W303" s="1075"/>
      <c r="X303" s="1075"/>
      <c r="Y303" s="1075"/>
      <c r="Z303" s="1075"/>
      <c r="AA303" s="1075"/>
      <c r="AB303" s="1075"/>
      <c r="AC303" s="1075"/>
      <c r="AD303" s="1075"/>
      <c r="AE303" s="1075"/>
      <c r="AF303" s="1075"/>
      <c r="AG303" s="1075"/>
      <c r="AH303" s="1075"/>
      <c r="AI303" s="1075"/>
      <c r="AJ303" s="1075"/>
      <c r="AK303" s="1075"/>
      <c r="AL303" s="1075"/>
      <c r="AM303" s="1075"/>
      <c r="AN303" s="1075"/>
      <c r="AO303" s="1075"/>
      <c r="AP303" s="1075"/>
      <c r="AQ303" s="1075"/>
      <c r="AR303" s="1075"/>
      <c r="AS303" s="1075"/>
      <c r="AT303" s="1075"/>
      <c r="AU303" s="1075"/>
      <c r="AV303" s="1075"/>
    </row>
    <row r="304" spans="1:48" ht="11.25" hidden="1" customHeight="1">
      <c r="A304" s="1075"/>
      <c r="B304" s="1075"/>
      <c r="C304" s="1075"/>
      <c r="D304" s="1075"/>
      <c r="E304" s="1075"/>
      <c r="F304" s="1075"/>
      <c r="G304" s="1075"/>
      <c r="H304" s="1075"/>
      <c r="I304" s="1075"/>
      <c r="J304" s="1075"/>
      <c r="K304" s="1075"/>
      <c r="L304" s="1075"/>
      <c r="M304" s="1075"/>
      <c r="N304" s="1075"/>
      <c r="O304" s="1075"/>
      <c r="P304" s="1075"/>
      <c r="Q304" s="1075"/>
      <c r="R304" s="1075"/>
      <c r="S304" s="1075"/>
      <c r="T304" s="1075"/>
      <c r="U304" s="1075"/>
      <c r="V304" s="1075"/>
      <c r="W304" s="1075"/>
      <c r="X304" s="1075"/>
      <c r="Y304" s="1075"/>
      <c r="Z304" s="1075"/>
      <c r="AA304" s="1075"/>
      <c r="AB304" s="1075"/>
      <c r="AC304" s="1075"/>
      <c r="AD304" s="1075"/>
      <c r="AE304" s="1075"/>
      <c r="AF304" s="1075"/>
      <c r="AG304" s="1075"/>
      <c r="AH304" s="1075"/>
      <c r="AI304" s="1075"/>
      <c r="AJ304" s="1075"/>
      <c r="AK304" s="1075"/>
      <c r="AL304" s="1075"/>
      <c r="AM304" s="1075"/>
      <c r="AN304" s="1075"/>
      <c r="AO304" s="1075"/>
      <c r="AP304" s="1075"/>
      <c r="AQ304" s="1075"/>
      <c r="AR304" s="1075"/>
      <c r="AS304" s="1075"/>
      <c r="AT304" s="1075"/>
      <c r="AU304" s="1075"/>
      <c r="AV304" s="1075"/>
    </row>
    <row r="305" spans="1:48" ht="11.25" hidden="1" customHeight="1">
      <c r="A305" s="1075"/>
      <c r="B305" s="1075"/>
      <c r="C305" s="1075"/>
      <c r="D305" s="1075"/>
      <c r="E305" s="1075"/>
      <c r="F305" s="1075"/>
      <c r="G305" s="1075"/>
      <c r="H305" s="1075"/>
      <c r="I305" s="1075"/>
      <c r="J305" s="1075"/>
      <c r="K305" s="1075"/>
      <c r="L305" s="1075"/>
      <c r="M305" s="1075"/>
      <c r="N305" s="1075"/>
      <c r="O305" s="1075"/>
      <c r="P305" s="1075"/>
      <c r="Q305" s="1075"/>
      <c r="R305" s="1075"/>
      <c r="S305" s="1075"/>
      <c r="T305" s="1075"/>
      <c r="U305" s="1075"/>
      <c r="V305" s="1075"/>
      <c r="W305" s="1075"/>
      <c r="X305" s="1075"/>
      <c r="Y305" s="1075"/>
      <c r="Z305" s="1075"/>
      <c r="AA305" s="1075"/>
      <c r="AB305" s="1075"/>
      <c r="AC305" s="1075"/>
      <c r="AD305" s="1075"/>
      <c r="AE305" s="1075"/>
      <c r="AF305" s="1075"/>
      <c r="AG305" s="1075"/>
      <c r="AH305" s="1075"/>
      <c r="AI305" s="1075"/>
      <c r="AJ305" s="1075"/>
      <c r="AK305" s="1075"/>
      <c r="AL305" s="1075"/>
      <c r="AM305" s="1075"/>
      <c r="AN305" s="1075"/>
      <c r="AO305" s="1075"/>
      <c r="AP305" s="1075"/>
      <c r="AQ305" s="1075"/>
      <c r="AR305" s="1075"/>
      <c r="AS305" s="1075"/>
      <c r="AT305" s="1075"/>
      <c r="AU305" s="1075"/>
      <c r="AV305" s="1075"/>
    </row>
    <row r="306" spans="1:48" ht="11.25" hidden="1" customHeight="1">
      <c r="A306" s="1075"/>
      <c r="B306" s="1075"/>
      <c r="C306" s="1075"/>
      <c r="D306" s="1075"/>
      <c r="E306" s="1075"/>
      <c r="F306" s="1075"/>
      <c r="G306" s="1075"/>
      <c r="H306" s="1075"/>
      <c r="I306" s="1075"/>
      <c r="J306" s="1075"/>
      <c r="K306" s="1075"/>
      <c r="L306" s="1075"/>
      <c r="M306" s="1075"/>
      <c r="N306" s="1075"/>
      <c r="O306" s="1075"/>
      <c r="P306" s="1075"/>
      <c r="Q306" s="1075"/>
      <c r="R306" s="1075"/>
      <c r="S306" s="1075"/>
      <c r="T306" s="1075"/>
      <c r="U306" s="1075"/>
      <c r="V306" s="1075"/>
      <c r="W306" s="1075"/>
      <c r="X306" s="1075"/>
      <c r="Y306" s="1075"/>
      <c r="Z306" s="1075"/>
      <c r="AA306" s="1075"/>
      <c r="AB306" s="1075"/>
      <c r="AC306" s="1075"/>
      <c r="AD306" s="1075"/>
      <c r="AE306" s="1075"/>
      <c r="AF306" s="1075"/>
      <c r="AG306" s="1075"/>
      <c r="AH306" s="1075"/>
      <c r="AI306" s="1075"/>
      <c r="AJ306" s="1075"/>
      <c r="AK306" s="1075"/>
      <c r="AL306" s="1075"/>
      <c r="AM306" s="1075"/>
      <c r="AN306" s="1075"/>
      <c r="AO306" s="1075"/>
      <c r="AP306" s="1075"/>
      <c r="AQ306" s="1075"/>
      <c r="AR306" s="1075"/>
      <c r="AS306" s="1075"/>
      <c r="AT306" s="1075"/>
      <c r="AU306" s="1075"/>
      <c r="AV306" s="1075"/>
    </row>
    <row r="307" spans="1:48" ht="11.25" hidden="1" customHeight="1">
      <c r="A307" s="1075"/>
      <c r="B307" s="1075"/>
      <c r="C307" s="1075"/>
      <c r="D307" s="1075"/>
      <c r="E307" s="1075"/>
      <c r="F307" s="1075"/>
      <c r="G307" s="1075"/>
      <c r="H307" s="1075"/>
      <c r="I307" s="1075"/>
      <c r="J307" s="1075"/>
      <c r="K307" s="1075"/>
      <c r="L307" s="1075"/>
      <c r="M307" s="1075"/>
      <c r="N307" s="1075"/>
      <c r="O307" s="1075"/>
      <c r="P307" s="1075"/>
      <c r="Q307" s="1075"/>
      <c r="R307" s="1075"/>
      <c r="S307" s="1075"/>
      <c r="T307" s="1075"/>
      <c r="U307" s="1075"/>
      <c r="V307" s="1075"/>
      <c r="W307" s="1075"/>
      <c r="X307" s="1075"/>
      <c r="Y307" s="1075"/>
      <c r="Z307" s="1075"/>
      <c r="AA307" s="1075"/>
      <c r="AB307" s="1075"/>
      <c r="AC307" s="1075"/>
      <c r="AD307" s="1075"/>
      <c r="AE307" s="1075"/>
      <c r="AF307" s="1075"/>
      <c r="AG307" s="1075"/>
      <c r="AH307" s="1075"/>
      <c r="AI307" s="1075"/>
      <c r="AJ307" s="1075"/>
      <c r="AK307" s="1075"/>
      <c r="AL307" s="1075"/>
      <c r="AM307" s="1075"/>
      <c r="AN307" s="1075"/>
      <c r="AO307" s="1075"/>
      <c r="AP307" s="1075"/>
      <c r="AQ307" s="1075"/>
      <c r="AR307" s="1075"/>
      <c r="AS307" s="1075"/>
      <c r="AT307" s="1075"/>
      <c r="AU307" s="1075"/>
      <c r="AV307" s="1075"/>
    </row>
    <row r="308" spans="1:48" ht="11.25" hidden="1" customHeight="1">
      <c r="A308" s="1075"/>
      <c r="B308" s="1075"/>
      <c r="C308" s="1075"/>
      <c r="D308" s="1075"/>
      <c r="E308" s="1075"/>
      <c r="F308" s="1075"/>
      <c r="G308" s="1075"/>
      <c r="H308" s="1075"/>
      <c r="I308" s="1075"/>
      <c r="J308" s="1075"/>
      <c r="K308" s="1075"/>
      <c r="L308" s="1075"/>
      <c r="M308" s="1075"/>
      <c r="N308" s="1075"/>
      <c r="O308" s="1075"/>
      <c r="P308" s="1075"/>
      <c r="Q308" s="1075"/>
      <c r="R308" s="1075"/>
      <c r="S308" s="1075"/>
      <c r="T308" s="1075"/>
      <c r="U308" s="1075"/>
      <c r="V308" s="1075"/>
      <c r="W308" s="1075"/>
      <c r="X308" s="1075"/>
      <c r="Y308" s="1075"/>
      <c r="Z308" s="1075"/>
      <c r="AA308" s="1075"/>
      <c r="AB308" s="1075"/>
      <c r="AC308" s="1075"/>
      <c r="AD308" s="1075"/>
      <c r="AE308" s="1075"/>
      <c r="AF308" s="1075"/>
      <c r="AG308" s="1075"/>
      <c r="AH308" s="1075"/>
      <c r="AI308" s="1075"/>
      <c r="AJ308" s="1075"/>
      <c r="AK308" s="1075"/>
      <c r="AL308" s="1075"/>
      <c r="AM308" s="1075"/>
      <c r="AN308" s="1075"/>
      <c r="AO308" s="1075"/>
      <c r="AP308" s="1075"/>
      <c r="AQ308" s="1075"/>
      <c r="AR308" s="1075"/>
      <c r="AS308" s="1075"/>
      <c r="AT308" s="1075"/>
      <c r="AU308" s="1075"/>
      <c r="AV308" s="1075"/>
    </row>
    <row r="309" spans="1:48" ht="11.25" hidden="1" customHeight="1">
      <c r="A309" s="1075"/>
      <c r="B309" s="1075"/>
      <c r="C309" s="1075"/>
      <c r="D309" s="1075"/>
      <c r="E309" s="1075"/>
      <c r="F309" s="1075"/>
      <c r="G309" s="1075"/>
      <c r="H309" s="1075"/>
      <c r="I309" s="1075"/>
      <c r="J309" s="1075"/>
      <c r="K309" s="1075"/>
      <c r="L309" s="1075"/>
      <c r="M309" s="1075"/>
      <c r="N309" s="1075"/>
      <c r="O309" s="1075"/>
      <c r="P309" s="1075"/>
      <c r="Q309" s="1075"/>
      <c r="R309" s="1075"/>
      <c r="S309" s="1075"/>
      <c r="T309" s="1075"/>
      <c r="U309" s="1075"/>
      <c r="V309" s="1075"/>
      <c r="W309" s="1075"/>
      <c r="X309" s="1075"/>
      <c r="Y309" s="1075"/>
      <c r="Z309" s="1075"/>
      <c r="AA309" s="1075"/>
      <c r="AB309" s="1075"/>
      <c r="AC309" s="1075"/>
      <c r="AD309" s="1075"/>
      <c r="AE309" s="1075"/>
      <c r="AF309" s="1075"/>
      <c r="AG309" s="1075"/>
      <c r="AH309" s="1075"/>
      <c r="AI309" s="1075"/>
      <c r="AJ309" s="1075"/>
      <c r="AK309" s="1075"/>
      <c r="AL309" s="1075"/>
      <c r="AM309" s="1075"/>
      <c r="AN309" s="1075"/>
      <c r="AO309" s="1075"/>
      <c r="AP309" s="1075"/>
      <c r="AQ309" s="1075"/>
      <c r="AR309" s="1075"/>
      <c r="AS309" s="1075"/>
      <c r="AT309" s="1075"/>
      <c r="AU309" s="1075"/>
      <c r="AV309" s="1075"/>
    </row>
    <row r="310" spans="1:48" ht="11.25" hidden="1" customHeight="1">
      <c r="A310" s="1075"/>
      <c r="B310" s="1075"/>
      <c r="C310" s="1075"/>
      <c r="D310" s="1075"/>
      <c r="E310" s="1075"/>
      <c r="F310" s="1075"/>
      <c r="G310" s="1075"/>
      <c r="H310" s="1075"/>
      <c r="I310" s="1075"/>
      <c r="J310" s="1075"/>
      <c r="K310" s="1075"/>
      <c r="L310" s="1075"/>
      <c r="M310" s="1075"/>
      <c r="N310" s="1075"/>
      <c r="O310" s="1075"/>
      <c r="P310" s="1075"/>
      <c r="Q310" s="1075"/>
      <c r="R310" s="1075"/>
      <c r="S310" s="1075"/>
      <c r="T310" s="1075"/>
      <c r="U310" s="1075"/>
      <c r="V310" s="1075"/>
      <c r="W310" s="1075"/>
      <c r="X310" s="1075"/>
      <c r="Y310" s="1075"/>
      <c r="Z310" s="1075"/>
      <c r="AA310" s="1075"/>
      <c r="AB310" s="1075"/>
      <c r="AC310" s="1075"/>
      <c r="AD310" s="1075"/>
      <c r="AE310" s="1075"/>
      <c r="AF310" s="1075"/>
      <c r="AG310" s="1075"/>
      <c r="AH310" s="1075"/>
      <c r="AI310" s="1075"/>
      <c r="AJ310" s="1075"/>
      <c r="AK310" s="1075"/>
      <c r="AL310" s="1075"/>
      <c r="AM310" s="1075"/>
      <c r="AN310" s="1075"/>
      <c r="AO310" s="1075"/>
      <c r="AP310" s="1075"/>
      <c r="AQ310" s="1075"/>
      <c r="AR310" s="1075"/>
      <c r="AS310" s="1075"/>
      <c r="AT310" s="1075"/>
      <c r="AU310" s="1075"/>
      <c r="AV310" s="1075"/>
    </row>
    <row r="311" spans="1:48" ht="11.25" hidden="1" customHeight="1">
      <c r="A311" s="1075"/>
      <c r="B311" s="1075"/>
      <c r="C311" s="1075"/>
      <c r="D311" s="1075"/>
      <c r="E311" s="1075"/>
      <c r="F311" s="1075"/>
      <c r="G311" s="1075"/>
      <c r="H311" s="1075"/>
      <c r="I311" s="1075"/>
      <c r="J311" s="1075"/>
      <c r="K311" s="1075"/>
      <c r="L311" s="1075"/>
      <c r="M311" s="1075"/>
      <c r="N311" s="1075"/>
      <c r="O311" s="1075"/>
      <c r="P311" s="1075"/>
      <c r="Q311" s="1075"/>
      <c r="R311" s="1075"/>
      <c r="S311" s="1075"/>
      <c r="T311" s="1075"/>
      <c r="U311" s="1075"/>
      <c r="V311" s="1075"/>
      <c r="W311" s="1075"/>
      <c r="X311" s="1075"/>
      <c r="Y311" s="1075"/>
      <c r="Z311" s="1075"/>
      <c r="AA311" s="1075"/>
      <c r="AB311" s="1075"/>
      <c r="AC311" s="1075"/>
      <c r="AD311" s="1075"/>
      <c r="AE311" s="1075"/>
      <c r="AF311" s="1075"/>
      <c r="AG311" s="1075"/>
      <c r="AH311" s="1075"/>
      <c r="AI311" s="1075"/>
      <c r="AJ311" s="1075"/>
      <c r="AK311" s="1075"/>
      <c r="AL311" s="1075"/>
      <c r="AM311" s="1075"/>
      <c r="AN311" s="1075"/>
      <c r="AO311" s="1075"/>
      <c r="AP311" s="1075"/>
      <c r="AQ311" s="1075"/>
      <c r="AR311" s="1075"/>
      <c r="AS311" s="1075"/>
      <c r="AT311" s="1075"/>
      <c r="AU311" s="1075"/>
      <c r="AV311" s="1075"/>
    </row>
    <row r="312" spans="1:48" ht="11.25" hidden="1" customHeight="1">
      <c r="A312" s="1075"/>
      <c r="B312" s="1075"/>
      <c r="C312" s="1075"/>
      <c r="D312" s="1075"/>
      <c r="E312" s="1075"/>
      <c r="F312" s="1075"/>
      <c r="G312" s="1075"/>
      <c r="H312" s="1075"/>
      <c r="I312" s="1075"/>
      <c r="J312" s="1075"/>
      <c r="K312" s="1075"/>
      <c r="L312" s="1075"/>
      <c r="M312" s="1075"/>
      <c r="N312" s="1075"/>
      <c r="O312" s="1075"/>
      <c r="P312" s="1075"/>
      <c r="Q312" s="1075"/>
      <c r="R312" s="1075"/>
      <c r="S312" s="1075"/>
      <c r="T312" s="1075"/>
      <c r="U312" s="1075"/>
      <c r="V312" s="1075"/>
      <c r="W312" s="1075"/>
      <c r="X312" s="1075"/>
      <c r="Y312" s="1075"/>
      <c r="Z312" s="1075"/>
      <c r="AA312" s="1075"/>
      <c r="AB312" s="1075"/>
      <c r="AC312" s="1075"/>
      <c r="AD312" s="1075"/>
      <c r="AE312" s="1075"/>
      <c r="AF312" s="1075"/>
      <c r="AG312" s="1075"/>
      <c r="AH312" s="1075"/>
      <c r="AI312" s="1075"/>
      <c r="AJ312" s="1075"/>
      <c r="AK312" s="1075"/>
      <c r="AL312" s="1075"/>
      <c r="AM312" s="1075"/>
      <c r="AN312" s="1075"/>
      <c r="AO312" s="1075"/>
      <c r="AP312" s="1075"/>
      <c r="AQ312" s="1075"/>
      <c r="AR312" s="1075"/>
      <c r="AS312" s="1075"/>
      <c r="AT312" s="1075"/>
      <c r="AU312" s="1075"/>
      <c r="AV312" s="1075"/>
    </row>
    <row r="313" spans="1:48" ht="11.25" hidden="1" customHeight="1">
      <c r="A313" s="1075"/>
      <c r="B313" s="1075"/>
      <c r="C313" s="1075"/>
      <c r="D313" s="1075"/>
      <c r="E313" s="1075"/>
      <c r="F313" s="1075"/>
      <c r="G313" s="1075"/>
      <c r="H313" s="1075"/>
      <c r="I313" s="1075"/>
      <c r="J313" s="1075"/>
      <c r="K313" s="1075"/>
      <c r="L313" s="1075"/>
      <c r="M313" s="1075"/>
      <c r="N313" s="1075"/>
      <c r="O313" s="1075"/>
      <c r="P313" s="1075"/>
      <c r="Q313" s="1075"/>
      <c r="R313" s="1075"/>
      <c r="S313" s="1075"/>
      <c r="T313" s="1075"/>
      <c r="U313" s="1075"/>
      <c r="V313" s="1075"/>
      <c r="W313" s="1075"/>
      <c r="X313" s="1075"/>
      <c r="Y313" s="1075"/>
      <c r="Z313" s="1075"/>
      <c r="AA313" s="1075"/>
      <c r="AB313" s="1075"/>
      <c r="AC313" s="1075"/>
      <c r="AD313" s="1075"/>
      <c r="AE313" s="1075"/>
      <c r="AF313" s="1075"/>
      <c r="AG313" s="1075"/>
      <c r="AH313" s="1075"/>
      <c r="AI313" s="1075"/>
      <c r="AJ313" s="1075"/>
      <c r="AK313" s="1075"/>
      <c r="AL313" s="1075"/>
      <c r="AM313" s="1075"/>
      <c r="AN313" s="1075"/>
      <c r="AO313" s="1075"/>
      <c r="AP313" s="1075"/>
      <c r="AQ313" s="1075"/>
      <c r="AR313" s="1075"/>
      <c r="AS313" s="1075"/>
      <c r="AT313" s="1075"/>
      <c r="AU313" s="1075"/>
      <c r="AV313" s="1075"/>
    </row>
    <row r="314" spans="1:48" ht="11.25" hidden="1" customHeight="1">
      <c r="A314" s="1075"/>
      <c r="B314" s="1075"/>
      <c r="C314" s="1075"/>
      <c r="D314" s="1075"/>
      <c r="E314" s="1075"/>
      <c r="F314" s="1075"/>
      <c r="G314" s="1075"/>
      <c r="H314" s="1075"/>
      <c r="I314" s="1075"/>
      <c r="J314" s="1075"/>
      <c r="K314" s="1075"/>
      <c r="L314" s="1075"/>
      <c r="M314" s="1075"/>
      <c r="N314" s="1075"/>
      <c r="O314" s="1075"/>
      <c r="P314" s="1075"/>
      <c r="Q314" s="1075"/>
      <c r="R314" s="1075"/>
      <c r="S314" s="1075"/>
      <c r="T314" s="1075"/>
      <c r="U314" s="1075"/>
      <c r="V314" s="1075"/>
      <c r="W314" s="1075"/>
      <c r="X314" s="1075"/>
      <c r="Y314" s="1075"/>
      <c r="Z314" s="1075"/>
      <c r="AA314" s="1075"/>
      <c r="AB314" s="1075"/>
      <c r="AC314" s="1075"/>
      <c r="AD314" s="1075"/>
      <c r="AE314" s="1075"/>
      <c r="AF314" s="1075"/>
      <c r="AG314" s="1075"/>
      <c r="AH314" s="1075"/>
      <c r="AI314" s="1075"/>
      <c r="AJ314" s="1075"/>
      <c r="AK314" s="1075"/>
      <c r="AL314" s="1075"/>
      <c r="AM314" s="1075"/>
      <c r="AN314" s="1075"/>
      <c r="AO314" s="1075"/>
      <c r="AP314" s="1075"/>
      <c r="AQ314" s="1075"/>
      <c r="AR314" s="1075"/>
      <c r="AS314" s="1075"/>
      <c r="AT314" s="1075"/>
      <c r="AU314" s="1075"/>
      <c r="AV314" s="1075"/>
    </row>
    <row r="315" spans="1:48" ht="11.25" hidden="1" customHeight="1">
      <c r="A315" s="1075"/>
      <c r="B315" s="1075"/>
      <c r="C315" s="1075"/>
      <c r="D315" s="1075"/>
      <c r="E315" s="1075"/>
      <c r="F315" s="1075"/>
      <c r="G315" s="1075"/>
      <c r="H315" s="1075"/>
      <c r="I315" s="1075"/>
      <c r="J315" s="1075"/>
      <c r="K315" s="1075"/>
      <c r="L315" s="1075"/>
      <c r="M315" s="1075"/>
      <c r="N315" s="1075"/>
      <c r="O315" s="1075"/>
      <c r="P315" s="1075"/>
      <c r="Q315" s="1075"/>
      <c r="R315" s="1075"/>
      <c r="S315" s="1075"/>
      <c r="T315" s="1075"/>
      <c r="U315" s="1075"/>
      <c r="V315" s="1075"/>
      <c r="W315" s="1075"/>
      <c r="X315" s="1075"/>
      <c r="Y315" s="1075"/>
      <c r="Z315" s="1075"/>
      <c r="AA315" s="1075"/>
      <c r="AB315" s="1075"/>
      <c r="AC315" s="1075"/>
      <c r="AD315" s="1075"/>
      <c r="AE315" s="1075"/>
      <c r="AF315" s="1075"/>
      <c r="AG315" s="1075"/>
      <c r="AH315" s="1075"/>
      <c r="AI315" s="1075"/>
      <c r="AJ315" s="1075"/>
      <c r="AK315" s="1075"/>
      <c r="AL315" s="1075"/>
      <c r="AM315" s="1075"/>
      <c r="AN315" s="1075"/>
      <c r="AO315" s="1075"/>
      <c r="AP315" s="1075"/>
      <c r="AQ315" s="1075"/>
      <c r="AR315" s="1075"/>
      <c r="AS315" s="1075"/>
      <c r="AT315" s="1075"/>
      <c r="AU315" s="1075"/>
      <c r="AV315" s="1075"/>
    </row>
    <row r="316" spans="1:48" ht="11.25" hidden="1" customHeight="1">
      <c r="A316" s="1075"/>
      <c r="B316" s="1075"/>
      <c r="C316" s="1075"/>
      <c r="D316" s="1075"/>
      <c r="E316" s="1075"/>
      <c r="F316" s="1075"/>
      <c r="G316" s="1075"/>
      <c r="H316" s="1075"/>
      <c r="I316" s="1075"/>
      <c r="J316" s="1075"/>
      <c r="K316" s="1075"/>
      <c r="L316" s="1075"/>
      <c r="M316" s="1075"/>
      <c r="N316" s="1075"/>
      <c r="O316" s="1075"/>
      <c r="P316" s="1075"/>
      <c r="Q316" s="1075"/>
      <c r="R316" s="1075"/>
      <c r="S316" s="1075"/>
      <c r="T316" s="1075"/>
      <c r="U316" s="1075"/>
      <c r="V316" s="1075"/>
      <c r="W316" s="1075"/>
      <c r="X316" s="1075"/>
      <c r="Y316" s="1075"/>
      <c r="Z316" s="1075"/>
      <c r="AA316" s="1075"/>
      <c r="AB316" s="1075"/>
      <c r="AC316" s="1075"/>
      <c r="AD316" s="1075"/>
      <c r="AE316" s="1075"/>
      <c r="AF316" s="1075"/>
      <c r="AG316" s="1075"/>
      <c r="AH316" s="1075"/>
      <c r="AI316" s="1075"/>
      <c r="AJ316" s="1075"/>
      <c r="AK316" s="1075"/>
      <c r="AL316" s="1075"/>
      <c r="AM316" s="1075"/>
      <c r="AN316" s="1075"/>
      <c r="AO316" s="1075"/>
      <c r="AP316" s="1075"/>
      <c r="AQ316" s="1075"/>
      <c r="AR316" s="1075"/>
      <c r="AS316" s="1075"/>
      <c r="AT316" s="1075"/>
      <c r="AU316" s="1075"/>
      <c r="AV316" s="1075"/>
    </row>
    <row r="317" spans="1:48" ht="11.25" hidden="1" customHeight="1">
      <c r="A317" s="1075"/>
      <c r="B317" s="1075"/>
      <c r="C317" s="1075"/>
      <c r="D317" s="1075"/>
      <c r="E317" s="1075"/>
      <c r="F317" s="1075"/>
      <c r="G317" s="1075"/>
      <c r="H317" s="1075"/>
      <c r="I317" s="1075"/>
      <c r="J317" s="1075"/>
      <c r="K317" s="1075"/>
      <c r="L317" s="1075"/>
      <c r="M317" s="1075"/>
      <c r="N317" s="1075"/>
      <c r="O317" s="1075"/>
      <c r="P317" s="1075"/>
      <c r="Q317" s="1075"/>
      <c r="R317" s="1075"/>
      <c r="S317" s="1075"/>
      <c r="T317" s="1075"/>
      <c r="U317" s="1075"/>
      <c r="V317" s="1075"/>
      <c r="W317" s="1075"/>
      <c r="X317" s="1075"/>
      <c r="Y317" s="1075"/>
      <c r="Z317" s="1075"/>
      <c r="AA317" s="1075"/>
      <c r="AB317" s="1075"/>
      <c r="AC317" s="1075"/>
      <c r="AD317" s="1075"/>
      <c r="AE317" s="1075"/>
      <c r="AF317" s="1075"/>
      <c r="AG317" s="1075"/>
      <c r="AH317" s="1075"/>
      <c r="AI317" s="1075"/>
      <c r="AJ317" s="1075"/>
      <c r="AK317" s="1075"/>
      <c r="AL317" s="1075"/>
      <c r="AM317" s="1075"/>
      <c r="AN317" s="1075"/>
      <c r="AO317" s="1075"/>
      <c r="AP317" s="1075"/>
      <c r="AQ317" s="1075"/>
      <c r="AR317" s="1075"/>
      <c r="AS317" s="1075"/>
      <c r="AT317" s="1075"/>
      <c r="AU317" s="1075"/>
      <c r="AV317" s="1075"/>
    </row>
    <row r="318" spans="1:48" ht="11.25" hidden="1" customHeight="1">
      <c r="A318" s="1075"/>
      <c r="B318" s="1075"/>
      <c r="C318" s="1075"/>
      <c r="D318" s="1075"/>
      <c r="E318" s="1075"/>
      <c r="F318" s="1075"/>
      <c r="G318" s="1075"/>
      <c r="H318" s="1075"/>
      <c r="I318" s="1075"/>
      <c r="J318" s="1075"/>
      <c r="K318" s="1075"/>
      <c r="L318" s="1075"/>
      <c r="M318" s="1075"/>
      <c r="N318" s="1075"/>
      <c r="O318" s="1075"/>
      <c r="P318" s="1075"/>
      <c r="Q318" s="1075"/>
      <c r="R318" s="1075"/>
      <c r="S318" s="1075"/>
      <c r="T318" s="1075"/>
      <c r="U318" s="1075"/>
      <c r="V318" s="1075"/>
      <c r="W318" s="1075"/>
      <c r="X318" s="1075"/>
      <c r="Y318" s="1075"/>
      <c r="Z318" s="1075"/>
      <c r="AA318" s="1075"/>
      <c r="AB318" s="1075"/>
      <c r="AC318" s="1075"/>
      <c r="AD318" s="1075"/>
      <c r="AE318" s="1075"/>
      <c r="AF318" s="1075"/>
      <c r="AG318" s="1075"/>
      <c r="AH318" s="1075"/>
      <c r="AI318" s="1075"/>
      <c r="AJ318" s="1075"/>
      <c r="AK318" s="1075"/>
      <c r="AL318" s="1075"/>
      <c r="AM318" s="1075"/>
      <c r="AN318" s="1075"/>
      <c r="AO318" s="1075"/>
      <c r="AP318" s="1075"/>
      <c r="AQ318" s="1075"/>
      <c r="AR318" s="1075"/>
      <c r="AS318" s="1075"/>
      <c r="AT318" s="1075"/>
      <c r="AU318" s="1075"/>
      <c r="AV318" s="1075"/>
    </row>
    <row r="319" spans="1:48" ht="11.25" hidden="1" customHeight="1">
      <c r="A319" s="1075"/>
      <c r="B319" s="1075"/>
      <c r="C319" s="1075"/>
      <c r="D319" s="1075"/>
      <c r="E319" s="1075"/>
      <c r="F319" s="1075"/>
      <c r="G319" s="1075"/>
      <c r="H319" s="1075"/>
      <c r="I319" s="1075"/>
      <c r="J319" s="1075"/>
      <c r="K319" s="1075"/>
      <c r="L319" s="1075"/>
      <c r="M319" s="1075"/>
      <c r="N319" s="1075"/>
      <c r="O319" s="1075"/>
      <c r="P319" s="1075"/>
      <c r="Q319" s="1075"/>
      <c r="R319" s="1075"/>
      <c r="S319" s="1075"/>
      <c r="T319" s="1075"/>
      <c r="U319" s="1075"/>
      <c r="V319" s="1075"/>
      <c r="W319" s="1075"/>
      <c r="X319" s="1075"/>
      <c r="Y319" s="1075"/>
      <c r="Z319" s="1075"/>
      <c r="AA319" s="1075"/>
      <c r="AB319" s="1075"/>
      <c r="AC319" s="1075"/>
      <c r="AD319" s="1075"/>
      <c r="AE319" s="1075"/>
      <c r="AF319" s="1075"/>
      <c r="AG319" s="1075"/>
      <c r="AH319" s="1075"/>
      <c r="AI319" s="1075"/>
      <c r="AJ319" s="1075"/>
      <c r="AK319" s="1075"/>
      <c r="AL319" s="1075"/>
      <c r="AM319" s="1075"/>
      <c r="AN319" s="1075"/>
      <c r="AO319" s="1075"/>
      <c r="AP319" s="1075"/>
      <c r="AQ319" s="1075"/>
      <c r="AR319" s="1075"/>
      <c r="AS319" s="1075"/>
      <c r="AT319" s="1075"/>
      <c r="AU319" s="1075"/>
      <c r="AV319" s="1075"/>
    </row>
    <row r="320" spans="1:48" ht="11.25" hidden="1" customHeight="1">
      <c r="A320" s="1075"/>
      <c r="B320" s="1075"/>
      <c r="C320" s="1075"/>
      <c r="D320" s="1075"/>
      <c r="E320" s="1075"/>
      <c r="F320" s="1075"/>
      <c r="G320" s="1075"/>
      <c r="H320" s="1075"/>
      <c r="I320" s="1075"/>
      <c r="J320" s="1075"/>
      <c r="K320" s="1075"/>
      <c r="L320" s="1075"/>
      <c r="M320" s="1075"/>
      <c r="N320" s="1075"/>
      <c r="O320" s="1075"/>
      <c r="P320" s="1075"/>
      <c r="Q320" s="1075"/>
      <c r="R320" s="1075"/>
      <c r="S320" s="1075"/>
      <c r="T320" s="1075"/>
      <c r="U320" s="1075"/>
      <c r="V320" s="1075"/>
      <c r="W320" s="1075"/>
      <c r="X320" s="1075"/>
      <c r="Y320" s="1075"/>
      <c r="Z320" s="1075"/>
      <c r="AA320" s="1075"/>
      <c r="AB320" s="1075"/>
      <c r="AC320" s="1075"/>
      <c r="AD320" s="1075"/>
      <c r="AE320" s="1075"/>
      <c r="AF320" s="1075"/>
      <c r="AG320" s="1075"/>
      <c r="AH320" s="1075"/>
      <c r="AI320" s="1075"/>
      <c r="AJ320" s="1075"/>
      <c r="AK320" s="1075"/>
      <c r="AL320" s="1075"/>
      <c r="AM320" s="1075"/>
      <c r="AN320" s="1075"/>
      <c r="AO320" s="1075"/>
      <c r="AP320" s="1075"/>
      <c r="AQ320" s="1075"/>
      <c r="AR320" s="1075"/>
      <c r="AS320" s="1075"/>
      <c r="AT320" s="1075"/>
      <c r="AU320" s="1075"/>
      <c r="AV320" s="1075"/>
    </row>
    <row r="321" spans="1:48" ht="11.25" hidden="1" customHeight="1">
      <c r="A321" s="1075"/>
      <c r="B321" s="1075"/>
      <c r="C321" s="1075"/>
      <c r="D321" s="1075"/>
      <c r="E321" s="1075"/>
      <c r="F321" s="1075"/>
      <c r="G321" s="1075"/>
      <c r="H321" s="1075"/>
      <c r="I321" s="1075"/>
      <c r="J321" s="1075"/>
      <c r="K321" s="1075"/>
      <c r="L321" s="1075"/>
      <c r="M321" s="1075"/>
      <c r="N321" s="1075"/>
      <c r="O321" s="1075"/>
      <c r="P321" s="1075"/>
      <c r="Q321" s="1075"/>
      <c r="R321" s="1075"/>
      <c r="S321" s="1075"/>
      <c r="T321" s="1075"/>
      <c r="U321" s="1075"/>
      <c r="V321" s="1075"/>
      <c r="W321" s="1075"/>
      <c r="X321" s="1075"/>
      <c r="Y321" s="1075"/>
      <c r="Z321" s="1075"/>
      <c r="AA321" s="1075"/>
      <c r="AB321" s="1075"/>
      <c r="AC321" s="1075"/>
      <c r="AD321" s="1075"/>
      <c r="AE321" s="1075"/>
      <c r="AF321" s="1075"/>
      <c r="AG321" s="1075"/>
      <c r="AH321" s="1075"/>
      <c r="AI321" s="1075"/>
      <c r="AJ321" s="1075"/>
      <c r="AK321" s="1075"/>
      <c r="AL321" s="1075"/>
      <c r="AM321" s="1075"/>
      <c r="AN321" s="1075"/>
      <c r="AO321" s="1075"/>
      <c r="AP321" s="1075"/>
      <c r="AQ321" s="1075"/>
      <c r="AR321" s="1075"/>
      <c r="AS321" s="1075"/>
      <c r="AT321" s="1075"/>
      <c r="AU321" s="1075"/>
      <c r="AV321" s="1075"/>
    </row>
    <row r="322" spans="1:48" ht="11.25" hidden="1" customHeight="1">
      <c r="A322" s="1075"/>
      <c r="B322" s="1075"/>
      <c r="C322" s="1075"/>
      <c r="D322" s="1075"/>
      <c r="E322" s="1075"/>
      <c r="F322" s="1075"/>
      <c r="G322" s="1075"/>
      <c r="H322" s="1075"/>
      <c r="I322" s="1075"/>
      <c r="J322" s="1075"/>
      <c r="K322" s="1075"/>
      <c r="L322" s="1075"/>
      <c r="M322" s="1075"/>
      <c r="N322" s="1075"/>
      <c r="O322" s="1075"/>
      <c r="P322" s="1075"/>
      <c r="Q322" s="1075"/>
      <c r="R322" s="1075"/>
      <c r="S322" s="1075"/>
      <c r="T322" s="1075"/>
      <c r="U322" s="1075"/>
      <c r="V322" s="1075"/>
      <c r="W322" s="1075"/>
      <c r="X322" s="1075"/>
      <c r="Y322" s="1075"/>
      <c r="Z322" s="1075"/>
      <c r="AA322" s="1075"/>
      <c r="AB322" s="1075"/>
      <c r="AC322" s="1075"/>
      <c r="AD322" s="1075"/>
      <c r="AE322" s="1075"/>
      <c r="AF322" s="1075"/>
      <c r="AG322" s="1075"/>
      <c r="AH322" s="1075"/>
      <c r="AI322" s="1075"/>
      <c r="AJ322" s="1075"/>
      <c r="AK322" s="1075"/>
      <c r="AL322" s="1075"/>
      <c r="AM322" s="1075"/>
      <c r="AN322" s="1075"/>
      <c r="AO322" s="1075"/>
      <c r="AP322" s="1075"/>
      <c r="AQ322" s="1075"/>
      <c r="AR322" s="1075"/>
      <c r="AS322" s="1075"/>
      <c r="AT322" s="1075"/>
      <c r="AU322" s="1075"/>
      <c r="AV322" s="1075"/>
    </row>
    <row r="323" spans="1:48" ht="11.25" hidden="1" customHeight="1">
      <c r="A323" s="1075"/>
      <c r="B323" s="1075"/>
      <c r="C323" s="1075"/>
      <c r="D323" s="1075"/>
      <c r="E323" s="1075"/>
      <c r="F323" s="1075"/>
      <c r="G323" s="1075"/>
      <c r="H323" s="1075"/>
      <c r="I323" s="1075"/>
      <c r="J323" s="1075"/>
      <c r="K323" s="1075"/>
      <c r="L323" s="1075"/>
      <c r="M323" s="1075"/>
      <c r="N323" s="1075"/>
      <c r="O323" s="1075"/>
      <c r="P323" s="1075"/>
      <c r="Q323" s="1075"/>
      <c r="R323" s="1075"/>
      <c r="S323" s="1075"/>
      <c r="T323" s="1075"/>
      <c r="U323" s="1075"/>
      <c r="V323" s="1075"/>
      <c r="W323" s="1075"/>
      <c r="X323" s="1075"/>
      <c r="Y323" s="1075"/>
      <c r="Z323" s="1075"/>
      <c r="AA323" s="1075"/>
      <c r="AB323" s="1075"/>
      <c r="AC323" s="1075"/>
      <c r="AD323" s="1075"/>
      <c r="AE323" s="1075"/>
      <c r="AF323" s="1075"/>
      <c r="AG323" s="1075"/>
      <c r="AH323" s="1075"/>
      <c r="AI323" s="1075"/>
      <c r="AJ323" s="1075"/>
      <c r="AK323" s="1075"/>
      <c r="AL323" s="1075"/>
      <c r="AM323" s="1075"/>
      <c r="AN323" s="1075"/>
      <c r="AO323" s="1075"/>
      <c r="AP323" s="1075"/>
      <c r="AQ323" s="1075"/>
      <c r="AR323" s="1075"/>
      <c r="AS323" s="1075"/>
      <c r="AT323" s="1075"/>
      <c r="AU323" s="1075"/>
      <c r="AV323" s="1075"/>
    </row>
    <row r="324" spans="1:48" ht="11.25" hidden="1" customHeight="1">
      <c r="A324" s="1075"/>
      <c r="B324" s="1075"/>
      <c r="C324" s="1075"/>
      <c r="D324" s="1075"/>
      <c r="E324" s="1075"/>
      <c r="F324" s="1075"/>
      <c r="G324" s="1075"/>
      <c r="H324" s="1075"/>
      <c r="I324" s="1075"/>
      <c r="J324" s="1075"/>
      <c r="K324" s="1075"/>
      <c r="L324" s="1075"/>
      <c r="M324" s="1075"/>
      <c r="N324" s="1075"/>
      <c r="O324" s="1075"/>
      <c r="P324" s="1075"/>
      <c r="Q324" s="1075"/>
      <c r="R324" s="1075"/>
      <c r="S324" s="1075"/>
      <c r="T324" s="1075"/>
      <c r="U324" s="1075"/>
      <c r="V324" s="1075"/>
      <c r="W324" s="1075"/>
      <c r="X324" s="1075"/>
      <c r="Y324" s="1075"/>
      <c r="Z324" s="1075"/>
      <c r="AA324" s="1075"/>
      <c r="AB324" s="1075"/>
      <c r="AC324" s="1075"/>
      <c r="AD324" s="1075"/>
      <c r="AE324" s="1075"/>
      <c r="AF324" s="1075"/>
      <c r="AG324" s="1075"/>
      <c r="AH324" s="1075"/>
      <c r="AI324" s="1075"/>
      <c r="AJ324" s="1075"/>
      <c r="AK324" s="1075"/>
      <c r="AL324" s="1075"/>
      <c r="AM324" s="1075"/>
      <c r="AN324" s="1075"/>
      <c r="AO324" s="1075"/>
      <c r="AP324" s="1075"/>
      <c r="AQ324" s="1075"/>
      <c r="AR324" s="1075"/>
      <c r="AS324" s="1075"/>
      <c r="AT324" s="1075"/>
      <c r="AU324" s="1075"/>
      <c r="AV324" s="1075"/>
    </row>
    <row r="325" spans="1:48" ht="11.25" hidden="1" customHeight="1">
      <c r="A325" s="1075"/>
      <c r="B325" s="1075"/>
      <c r="C325" s="1075"/>
      <c r="D325" s="1075"/>
      <c r="E325" s="1075"/>
      <c r="F325" s="1075"/>
      <c r="G325" s="1075"/>
      <c r="H325" s="1075"/>
      <c r="I325" s="1075"/>
      <c r="J325" s="1075"/>
      <c r="K325" s="1075"/>
      <c r="L325" s="1075"/>
      <c r="M325" s="1075"/>
      <c r="N325" s="1075"/>
      <c r="O325" s="1075"/>
      <c r="P325" s="1075"/>
      <c r="Q325" s="1075"/>
      <c r="R325" s="1075"/>
      <c r="S325" s="1075"/>
      <c r="T325" s="1075"/>
      <c r="U325" s="1075"/>
      <c r="V325" s="1075"/>
      <c r="W325" s="1075"/>
      <c r="X325" s="1075"/>
      <c r="Y325" s="1075"/>
      <c r="Z325" s="1075"/>
      <c r="AA325" s="1075"/>
      <c r="AB325" s="1075"/>
      <c r="AC325" s="1075"/>
      <c r="AD325" s="1075"/>
      <c r="AE325" s="1075"/>
      <c r="AF325" s="1075"/>
      <c r="AG325" s="1075"/>
      <c r="AH325" s="1075"/>
      <c r="AI325" s="1075"/>
      <c r="AJ325" s="1075"/>
      <c r="AK325" s="1075"/>
      <c r="AL325" s="1075"/>
      <c r="AM325" s="1075"/>
      <c r="AN325" s="1075"/>
      <c r="AO325" s="1075"/>
      <c r="AP325" s="1075"/>
      <c r="AQ325" s="1075"/>
      <c r="AR325" s="1075"/>
      <c r="AS325" s="1075"/>
      <c r="AT325" s="1075"/>
      <c r="AU325" s="1075"/>
      <c r="AV325" s="1075"/>
    </row>
    <row r="326" spans="1:48" ht="11.25" hidden="1" customHeight="1">
      <c r="A326" s="1075"/>
      <c r="B326" s="1075"/>
      <c r="C326" s="1075"/>
      <c r="D326" s="1075"/>
      <c r="E326" s="1075"/>
      <c r="F326" s="1075"/>
      <c r="G326" s="1075"/>
      <c r="H326" s="1075"/>
      <c r="I326" s="1075"/>
      <c r="J326" s="1075"/>
      <c r="K326" s="1075"/>
      <c r="L326" s="1075"/>
      <c r="M326" s="1075"/>
      <c r="N326" s="1075"/>
      <c r="O326" s="1075"/>
      <c r="P326" s="1075"/>
      <c r="Q326" s="1075"/>
      <c r="R326" s="1075"/>
      <c r="S326" s="1075"/>
      <c r="T326" s="1075"/>
      <c r="U326" s="1075"/>
      <c r="V326" s="1075"/>
      <c r="W326" s="1075"/>
      <c r="X326" s="1075"/>
      <c r="Y326" s="1075"/>
      <c r="Z326" s="1075"/>
      <c r="AA326" s="1075"/>
      <c r="AB326" s="1075"/>
      <c r="AC326" s="1075"/>
      <c r="AD326" s="1075"/>
      <c r="AE326" s="1075"/>
      <c r="AF326" s="1075"/>
      <c r="AG326" s="1075"/>
      <c r="AH326" s="1075"/>
      <c r="AI326" s="1075"/>
      <c r="AJ326" s="1075"/>
      <c r="AK326" s="1075"/>
      <c r="AL326" s="1075"/>
      <c r="AM326" s="1075"/>
      <c r="AN326" s="1075"/>
      <c r="AO326" s="1075"/>
      <c r="AP326" s="1075"/>
      <c r="AQ326" s="1075"/>
      <c r="AR326" s="1075"/>
      <c r="AS326" s="1075"/>
      <c r="AT326" s="1075"/>
      <c r="AU326" s="1075"/>
      <c r="AV326" s="1075"/>
    </row>
    <row r="327" spans="1:48" ht="11.25" hidden="1" customHeight="1">
      <c r="A327" s="1075"/>
      <c r="B327" s="1075"/>
      <c r="C327" s="1075"/>
      <c r="D327" s="1075"/>
      <c r="E327" s="1075"/>
      <c r="F327" s="1075"/>
      <c r="G327" s="1075"/>
      <c r="H327" s="1075"/>
      <c r="I327" s="1075"/>
      <c r="J327" s="1075"/>
      <c r="K327" s="1075"/>
      <c r="L327" s="1075"/>
      <c r="M327" s="1075"/>
      <c r="N327" s="1075"/>
      <c r="O327" s="1075"/>
      <c r="P327" s="1075"/>
      <c r="Q327" s="1075"/>
      <c r="R327" s="1075"/>
      <c r="S327" s="1075"/>
      <c r="T327" s="1075"/>
      <c r="U327" s="1075"/>
      <c r="V327" s="1075"/>
      <c r="W327" s="1075"/>
      <c r="X327" s="1075"/>
      <c r="Y327" s="1075"/>
      <c r="Z327" s="1075"/>
      <c r="AA327" s="1075"/>
      <c r="AB327" s="1075"/>
      <c r="AC327" s="1075"/>
      <c r="AD327" s="1075"/>
      <c r="AE327" s="1075"/>
      <c r="AF327" s="1075"/>
      <c r="AG327" s="1075"/>
      <c r="AH327" s="1075"/>
      <c r="AI327" s="1075"/>
      <c r="AJ327" s="1075"/>
      <c r="AK327" s="1075"/>
      <c r="AL327" s="1075"/>
      <c r="AM327" s="1075"/>
      <c r="AN327" s="1075"/>
      <c r="AO327" s="1075"/>
      <c r="AP327" s="1075"/>
      <c r="AQ327" s="1075"/>
      <c r="AR327" s="1075"/>
      <c r="AS327" s="1075"/>
      <c r="AT327" s="1075"/>
      <c r="AU327" s="1075"/>
      <c r="AV327" s="1075"/>
    </row>
    <row r="328" spans="1:48" ht="11.25" hidden="1" customHeight="1">
      <c r="A328" s="1075"/>
      <c r="B328" s="1075"/>
      <c r="C328" s="1075"/>
      <c r="D328" s="1075"/>
      <c r="E328" s="1075"/>
      <c r="F328" s="1075"/>
      <c r="G328" s="1075"/>
      <c r="H328" s="1075"/>
      <c r="I328" s="1075"/>
      <c r="J328" s="1075"/>
      <c r="K328" s="1075"/>
      <c r="L328" s="1075"/>
      <c r="M328" s="1075"/>
      <c r="N328" s="1075"/>
      <c r="O328" s="1075"/>
      <c r="P328" s="1075"/>
      <c r="Q328" s="1075"/>
      <c r="R328" s="1075"/>
      <c r="S328" s="1075"/>
      <c r="T328" s="1075"/>
      <c r="U328" s="1075"/>
      <c r="V328" s="1075"/>
      <c r="W328" s="1075"/>
      <c r="X328" s="1075"/>
      <c r="Y328" s="1075"/>
      <c r="Z328" s="1075"/>
      <c r="AA328" s="1075"/>
      <c r="AB328" s="1075"/>
      <c r="AC328" s="1075"/>
      <c r="AD328" s="1075"/>
      <c r="AE328" s="1075"/>
      <c r="AF328" s="1075"/>
      <c r="AG328" s="1075"/>
      <c r="AH328" s="1075"/>
      <c r="AI328" s="1075"/>
      <c r="AJ328" s="1075"/>
      <c r="AK328" s="1075"/>
      <c r="AL328" s="1075"/>
      <c r="AM328" s="1075"/>
      <c r="AN328" s="1075"/>
      <c r="AO328" s="1075"/>
      <c r="AP328" s="1075"/>
      <c r="AQ328" s="1075"/>
      <c r="AR328" s="1075"/>
      <c r="AS328" s="1075"/>
      <c r="AT328" s="1075"/>
      <c r="AU328" s="1075"/>
      <c r="AV328" s="1075"/>
    </row>
    <row r="329" spans="1:48" ht="11.25" hidden="1" customHeight="1">
      <c r="A329" s="1075"/>
      <c r="B329" s="1075"/>
      <c r="C329" s="1075"/>
      <c r="D329" s="1075"/>
      <c r="E329" s="1075"/>
      <c r="F329" s="1075"/>
      <c r="G329" s="1075"/>
      <c r="H329" s="1075"/>
      <c r="I329" s="1075"/>
      <c r="J329" s="1075"/>
      <c r="K329" s="1075"/>
      <c r="L329" s="1075"/>
      <c r="M329" s="1075"/>
      <c r="N329" s="1075"/>
      <c r="O329" s="1075"/>
      <c r="P329" s="1075"/>
      <c r="Q329" s="1075"/>
      <c r="R329" s="1075"/>
      <c r="S329" s="1075"/>
      <c r="T329" s="1075"/>
      <c r="U329" s="1075"/>
      <c r="V329" s="1075"/>
      <c r="W329" s="1075"/>
      <c r="X329" s="1075"/>
      <c r="Y329" s="1075"/>
      <c r="Z329" s="1075"/>
      <c r="AA329" s="1075"/>
      <c r="AB329" s="1075"/>
      <c r="AC329" s="1075"/>
      <c r="AD329" s="1075"/>
      <c r="AE329" s="1075"/>
      <c r="AF329" s="1075"/>
      <c r="AG329" s="1075"/>
      <c r="AH329" s="1075"/>
      <c r="AI329" s="1075"/>
      <c r="AJ329" s="1075"/>
      <c r="AK329" s="1075"/>
      <c r="AL329" s="1075"/>
      <c r="AM329" s="1075"/>
      <c r="AN329" s="1075"/>
      <c r="AO329" s="1075"/>
      <c r="AP329" s="1075"/>
      <c r="AQ329" s="1075"/>
      <c r="AR329" s="1075"/>
      <c r="AS329" s="1075"/>
      <c r="AT329" s="1075"/>
      <c r="AU329" s="1075"/>
      <c r="AV329" s="1075"/>
    </row>
    <row r="330" spans="1:48" ht="11.25" hidden="1" customHeight="1">
      <c r="A330" s="1075"/>
      <c r="B330" s="1075"/>
      <c r="C330" s="1075"/>
      <c r="D330" s="1075"/>
      <c r="E330" s="1075"/>
      <c r="F330" s="1075"/>
      <c r="G330" s="1075"/>
      <c r="H330" s="1075"/>
      <c r="I330" s="1075"/>
      <c r="J330" s="1075"/>
      <c r="K330" s="1075"/>
      <c r="L330" s="1075"/>
      <c r="M330" s="1075"/>
      <c r="N330" s="1075"/>
      <c r="O330" s="1075"/>
      <c r="P330" s="1075"/>
      <c r="Q330" s="1075"/>
      <c r="R330" s="1075"/>
      <c r="S330" s="1075"/>
      <c r="T330" s="1075"/>
      <c r="U330" s="1075"/>
      <c r="V330" s="1075"/>
      <c r="W330" s="1075"/>
      <c r="X330" s="1075"/>
      <c r="Y330" s="1075"/>
      <c r="Z330" s="1075"/>
      <c r="AA330" s="1075"/>
      <c r="AB330" s="1075"/>
      <c r="AC330" s="1075"/>
      <c r="AD330" s="1075"/>
      <c r="AE330" s="1075"/>
      <c r="AF330" s="1075"/>
      <c r="AG330" s="1075"/>
      <c r="AH330" s="1075"/>
      <c r="AI330" s="1075"/>
      <c r="AJ330" s="1075"/>
      <c r="AK330" s="1075"/>
      <c r="AL330" s="1075"/>
      <c r="AM330" s="1075"/>
      <c r="AN330" s="1075"/>
      <c r="AO330" s="1075"/>
      <c r="AP330" s="1075"/>
      <c r="AQ330" s="1075"/>
      <c r="AR330" s="1075"/>
      <c r="AS330" s="1075"/>
      <c r="AT330" s="1075"/>
      <c r="AU330" s="1075"/>
      <c r="AV330" s="1075"/>
    </row>
    <row r="331" spans="1:48" ht="11.25" hidden="1" customHeight="1">
      <c r="A331" s="1075"/>
      <c r="B331" s="1075"/>
      <c r="C331" s="1075"/>
      <c r="D331" s="1075"/>
      <c r="E331" s="1075"/>
      <c r="F331" s="1075"/>
      <c r="G331" s="1075"/>
      <c r="H331" s="1075"/>
      <c r="I331" s="1075"/>
      <c r="J331" s="1075"/>
      <c r="K331" s="1075"/>
      <c r="L331" s="1075"/>
      <c r="M331" s="1075"/>
      <c r="N331" s="1075"/>
      <c r="O331" s="1075"/>
      <c r="P331" s="1075"/>
      <c r="Q331" s="1075"/>
      <c r="R331" s="1075"/>
      <c r="S331" s="1075"/>
      <c r="T331" s="1075"/>
      <c r="U331" s="1075"/>
      <c r="V331" s="1075"/>
      <c r="W331" s="1075"/>
      <c r="X331" s="1075"/>
      <c r="Y331" s="1075"/>
      <c r="Z331" s="1075"/>
      <c r="AA331" s="1075"/>
      <c r="AB331" s="1075"/>
      <c r="AC331" s="1075"/>
      <c r="AD331" s="1075"/>
      <c r="AE331" s="1075"/>
      <c r="AF331" s="1075"/>
      <c r="AG331" s="1075"/>
      <c r="AH331" s="1075"/>
      <c r="AI331" s="1075"/>
      <c r="AJ331" s="1075"/>
      <c r="AK331" s="1075"/>
      <c r="AL331" s="1075"/>
      <c r="AM331" s="1075"/>
      <c r="AN331" s="1075"/>
      <c r="AO331" s="1075"/>
      <c r="AP331" s="1075"/>
      <c r="AQ331" s="1075"/>
      <c r="AR331" s="1075"/>
      <c r="AS331" s="1075"/>
      <c r="AT331" s="1075"/>
      <c r="AU331" s="1075"/>
      <c r="AV331" s="1075"/>
    </row>
    <row r="332" spans="1:48" ht="11.25" hidden="1" customHeight="1">
      <c r="A332" s="1075"/>
      <c r="B332" s="1075"/>
      <c r="C332" s="1075"/>
      <c r="D332" s="1075"/>
      <c r="E332" s="1075"/>
      <c r="F332" s="1075"/>
      <c r="G332" s="1075"/>
      <c r="H332" s="1075"/>
      <c r="I332" s="1075"/>
      <c r="J332" s="1075"/>
      <c r="K332" s="1075"/>
      <c r="L332" s="1075"/>
      <c r="M332" s="1075"/>
      <c r="N332" s="1075"/>
      <c r="O332" s="1075"/>
      <c r="P332" s="1075"/>
      <c r="Q332" s="1075"/>
      <c r="R332" s="1075"/>
      <c r="S332" s="1075"/>
      <c r="T332" s="1075"/>
      <c r="U332" s="1075"/>
      <c r="V332" s="1075"/>
      <c r="W332" s="1075"/>
      <c r="X332" s="1075"/>
      <c r="Y332" s="1075"/>
      <c r="Z332" s="1075"/>
      <c r="AA332" s="1075"/>
      <c r="AB332" s="1075"/>
      <c r="AC332" s="1075"/>
      <c r="AD332" s="1075"/>
      <c r="AE332" s="1075"/>
      <c r="AF332" s="1075"/>
      <c r="AG332" s="1075"/>
      <c r="AH332" s="1075"/>
      <c r="AI332" s="1075"/>
      <c r="AJ332" s="1075"/>
      <c r="AK332" s="1075"/>
      <c r="AL332" s="1075"/>
      <c r="AM332" s="1075"/>
      <c r="AN332" s="1075"/>
      <c r="AO332" s="1075"/>
      <c r="AP332" s="1075"/>
      <c r="AQ332" s="1075"/>
      <c r="AR332" s="1075"/>
      <c r="AS332" s="1075"/>
      <c r="AT332" s="1075"/>
      <c r="AU332" s="1075"/>
      <c r="AV332" s="1075"/>
    </row>
    <row r="333" spans="1:48" ht="11.25" hidden="1" customHeight="1">
      <c r="A333" s="1075"/>
      <c r="B333" s="1075"/>
      <c r="C333" s="1075"/>
      <c r="D333" s="1075"/>
      <c r="E333" s="1075"/>
      <c r="F333" s="1075"/>
      <c r="G333" s="1075"/>
      <c r="H333" s="1075"/>
      <c r="I333" s="1075"/>
      <c r="J333" s="1075"/>
      <c r="K333" s="1075"/>
      <c r="L333" s="1075"/>
      <c r="M333" s="1075"/>
      <c r="N333" s="1075"/>
      <c r="O333" s="1075"/>
      <c r="P333" s="1075"/>
      <c r="Q333" s="1075"/>
      <c r="R333" s="1075"/>
      <c r="S333" s="1075"/>
      <c r="T333" s="1075"/>
      <c r="U333" s="1075"/>
      <c r="V333" s="1075"/>
      <c r="W333" s="1075"/>
      <c r="X333" s="1075"/>
      <c r="Y333" s="1075"/>
      <c r="Z333" s="1075"/>
      <c r="AA333" s="1075"/>
      <c r="AB333" s="1075"/>
      <c r="AC333" s="1075"/>
      <c r="AD333" s="1075"/>
      <c r="AE333" s="1075"/>
      <c r="AF333" s="1075"/>
      <c r="AG333" s="1075"/>
      <c r="AH333" s="1075"/>
      <c r="AI333" s="1075"/>
      <c r="AJ333" s="1075"/>
      <c r="AK333" s="1075"/>
      <c r="AL333" s="1075"/>
      <c r="AM333" s="1075"/>
      <c r="AN333" s="1075"/>
      <c r="AO333" s="1075"/>
      <c r="AP333" s="1075"/>
      <c r="AQ333" s="1075"/>
      <c r="AR333" s="1075"/>
      <c r="AS333" s="1075"/>
      <c r="AT333" s="1075"/>
      <c r="AU333" s="1075"/>
      <c r="AV333" s="1075"/>
    </row>
    <row r="334" spans="1:48" ht="11.25" hidden="1" customHeight="1">
      <c r="A334" s="1075"/>
      <c r="B334" s="1075"/>
      <c r="C334" s="1075"/>
      <c r="D334" s="1075"/>
      <c r="E334" s="1075"/>
      <c r="F334" s="1075"/>
      <c r="G334" s="1075"/>
      <c r="H334" s="1075"/>
      <c r="I334" s="1075"/>
      <c r="J334" s="1075"/>
      <c r="K334" s="1075"/>
      <c r="L334" s="1075"/>
      <c r="M334" s="1075"/>
      <c r="N334" s="1075"/>
      <c r="O334" s="1075"/>
      <c r="P334" s="1075"/>
      <c r="Q334" s="1075"/>
      <c r="R334" s="1075"/>
      <c r="S334" s="1075"/>
      <c r="T334" s="1075"/>
      <c r="U334" s="1075"/>
      <c r="V334" s="1075"/>
      <c r="W334" s="1075"/>
      <c r="X334" s="1075"/>
      <c r="Y334" s="1075"/>
      <c r="Z334" s="1075"/>
      <c r="AA334" s="1075"/>
      <c r="AB334" s="1075"/>
      <c r="AC334" s="1075"/>
      <c r="AD334" s="1075"/>
      <c r="AE334" s="1075"/>
      <c r="AF334" s="1075"/>
      <c r="AG334" s="1075"/>
      <c r="AH334" s="1075"/>
      <c r="AI334" s="1075"/>
      <c r="AJ334" s="1075"/>
      <c r="AK334" s="1075"/>
      <c r="AL334" s="1075"/>
      <c r="AM334" s="1075"/>
      <c r="AN334" s="1075"/>
      <c r="AO334" s="1075"/>
      <c r="AP334" s="1075"/>
      <c r="AQ334" s="1075"/>
      <c r="AR334" s="1075"/>
      <c r="AS334" s="1075"/>
      <c r="AT334" s="1075"/>
      <c r="AU334" s="1075"/>
      <c r="AV334" s="1075"/>
    </row>
    <row r="335" spans="1:48" ht="11.25" hidden="1" customHeight="1">
      <c r="A335" s="1075"/>
      <c r="B335" s="1075"/>
      <c r="C335" s="1075"/>
      <c r="D335" s="1075"/>
      <c r="E335" s="1075"/>
      <c r="F335" s="1075"/>
      <c r="G335" s="1075"/>
      <c r="H335" s="1075"/>
      <c r="I335" s="1075"/>
      <c r="J335" s="1075"/>
      <c r="K335" s="1075"/>
      <c r="L335" s="1075"/>
      <c r="M335" s="1075"/>
      <c r="N335" s="1075"/>
      <c r="O335" s="1075"/>
      <c r="P335" s="1075"/>
      <c r="Q335" s="1075"/>
      <c r="R335" s="1075"/>
      <c r="S335" s="1075"/>
      <c r="T335" s="1075"/>
      <c r="U335" s="1075"/>
      <c r="V335" s="1075"/>
      <c r="W335" s="1075"/>
      <c r="X335" s="1075"/>
      <c r="Y335" s="1075"/>
      <c r="Z335" s="1075"/>
      <c r="AA335" s="1075"/>
      <c r="AB335" s="1075"/>
      <c r="AC335" s="1075"/>
      <c r="AD335" s="1075"/>
      <c r="AE335" s="1075"/>
      <c r="AF335" s="1075"/>
      <c r="AG335" s="1075"/>
      <c r="AH335" s="1075"/>
      <c r="AI335" s="1075"/>
      <c r="AJ335" s="1075"/>
      <c r="AK335" s="1075"/>
      <c r="AL335" s="1075"/>
      <c r="AM335" s="1075"/>
      <c r="AN335" s="1075"/>
      <c r="AO335" s="1075"/>
      <c r="AP335" s="1075"/>
      <c r="AQ335" s="1075"/>
      <c r="AR335" s="1075"/>
      <c r="AS335" s="1075"/>
      <c r="AT335" s="1075"/>
      <c r="AU335" s="1075"/>
      <c r="AV335" s="1075"/>
    </row>
    <row r="336" spans="1:48" ht="11.25" hidden="1" customHeight="1">
      <c r="A336" s="1075"/>
      <c r="B336" s="1075"/>
      <c r="C336" s="1075"/>
      <c r="D336" s="1075"/>
      <c r="E336" s="1075"/>
      <c r="F336" s="1075"/>
      <c r="G336" s="1075"/>
      <c r="H336" s="1075"/>
      <c r="I336" s="1075"/>
      <c r="J336" s="1075"/>
      <c r="K336" s="1075"/>
      <c r="L336" s="1075"/>
      <c r="M336" s="1075"/>
      <c r="N336" s="1075"/>
      <c r="O336" s="1075"/>
      <c r="P336" s="1075"/>
      <c r="Q336" s="1075"/>
      <c r="R336" s="1075"/>
      <c r="S336" s="1075"/>
      <c r="T336" s="1075"/>
      <c r="U336" s="1075"/>
      <c r="V336" s="1075"/>
      <c r="W336" s="1075"/>
      <c r="X336" s="1075"/>
      <c r="Y336" s="1075"/>
      <c r="Z336" s="1075"/>
      <c r="AA336" s="1075"/>
      <c r="AB336" s="1075"/>
      <c r="AC336" s="1075"/>
      <c r="AD336" s="1075"/>
      <c r="AE336" s="1075"/>
      <c r="AF336" s="1075"/>
      <c r="AG336" s="1075"/>
      <c r="AH336" s="1075"/>
      <c r="AI336" s="1075"/>
      <c r="AJ336" s="1075"/>
      <c r="AK336" s="1075"/>
      <c r="AL336" s="1075"/>
      <c r="AM336" s="1075"/>
      <c r="AN336" s="1075"/>
      <c r="AO336" s="1075"/>
      <c r="AP336" s="1075"/>
      <c r="AQ336" s="1075"/>
      <c r="AR336" s="1075"/>
      <c r="AS336" s="1075"/>
      <c r="AT336" s="1075"/>
      <c r="AU336" s="1075"/>
      <c r="AV336" s="1075"/>
    </row>
    <row r="337" spans="1:48" ht="11.25" hidden="1" customHeight="1">
      <c r="A337" s="1075"/>
      <c r="B337" s="1075"/>
      <c r="C337" s="1075"/>
      <c r="D337" s="1075"/>
      <c r="E337" s="1075"/>
      <c r="F337" s="1075"/>
      <c r="G337" s="1075"/>
      <c r="H337" s="1075"/>
      <c r="I337" s="1075"/>
      <c r="J337" s="1075"/>
      <c r="K337" s="1075"/>
      <c r="L337" s="1075"/>
      <c r="M337" s="1075"/>
      <c r="N337" s="1075"/>
      <c r="O337" s="1075"/>
      <c r="P337" s="1075"/>
      <c r="Q337" s="1075"/>
      <c r="R337" s="1075"/>
      <c r="S337" s="1075"/>
      <c r="T337" s="1075"/>
      <c r="U337" s="1075"/>
      <c r="V337" s="1075"/>
      <c r="W337" s="1075"/>
      <c r="X337" s="1075"/>
      <c r="Y337" s="1075"/>
      <c r="Z337" s="1075"/>
      <c r="AA337" s="1075"/>
      <c r="AB337" s="1075"/>
      <c r="AC337" s="1075"/>
      <c r="AD337" s="1075"/>
      <c r="AE337" s="1075"/>
      <c r="AF337" s="1075"/>
      <c r="AG337" s="1075"/>
      <c r="AH337" s="1075"/>
      <c r="AI337" s="1075"/>
      <c r="AJ337" s="1075"/>
      <c r="AK337" s="1075"/>
      <c r="AL337" s="1075"/>
      <c r="AM337" s="1075"/>
      <c r="AN337" s="1075"/>
      <c r="AO337" s="1075"/>
      <c r="AP337" s="1075"/>
      <c r="AQ337" s="1075"/>
      <c r="AR337" s="1075"/>
      <c r="AS337" s="1075"/>
      <c r="AT337" s="1075"/>
      <c r="AU337" s="1075"/>
      <c r="AV337" s="1075"/>
    </row>
    <row r="338" spans="1:48" ht="11.25" hidden="1" customHeight="1">
      <c r="A338" s="1075"/>
      <c r="B338" s="1075"/>
      <c r="C338" s="1075"/>
      <c r="D338" s="1075"/>
      <c r="E338" s="1075"/>
      <c r="F338" s="1075"/>
      <c r="G338" s="1075"/>
      <c r="H338" s="1075"/>
      <c r="I338" s="1075"/>
      <c r="J338" s="1075"/>
      <c r="K338" s="1075"/>
      <c r="L338" s="1075"/>
      <c r="M338" s="1075"/>
      <c r="N338" s="1075"/>
      <c r="O338" s="1075"/>
      <c r="P338" s="1075"/>
      <c r="Q338" s="1075"/>
      <c r="R338" s="1075"/>
      <c r="S338" s="1075"/>
      <c r="T338" s="1075"/>
      <c r="U338" s="1075"/>
      <c r="V338" s="1075"/>
      <c r="W338" s="1075"/>
      <c r="X338" s="1075"/>
      <c r="Y338" s="1075"/>
      <c r="Z338" s="1075"/>
      <c r="AA338" s="1075"/>
      <c r="AB338" s="1075"/>
      <c r="AC338" s="1075"/>
      <c r="AD338" s="1075"/>
      <c r="AE338" s="1075"/>
      <c r="AF338" s="1075"/>
      <c r="AG338" s="1075"/>
      <c r="AH338" s="1075"/>
      <c r="AI338" s="1075"/>
      <c r="AJ338" s="1075"/>
      <c r="AK338" s="1075"/>
      <c r="AL338" s="1075"/>
      <c r="AM338" s="1075"/>
      <c r="AN338" s="1075"/>
      <c r="AO338" s="1075"/>
      <c r="AP338" s="1075"/>
      <c r="AQ338" s="1075"/>
      <c r="AR338" s="1075"/>
      <c r="AS338" s="1075"/>
      <c r="AT338" s="1075"/>
      <c r="AU338" s="1075"/>
      <c r="AV338" s="1075"/>
    </row>
    <row r="339" spans="1:48" ht="11.25" hidden="1" customHeight="1">
      <c r="A339" s="1075"/>
      <c r="B339" s="1075"/>
      <c r="C339" s="1075"/>
      <c r="D339" s="1075"/>
      <c r="E339" s="1075"/>
      <c r="F339" s="1075"/>
      <c r="G339" s="1075"/>
      <c r="H339" s="1075"/>
      <c r="I339" s="1075"/>
      <c r="J339" s="1075"/>
      <c r="K339" s="1075"/>
      <c r="L339" s="1075"/>
      <c r="M339" s="1075"/>
      <c r="N339" s="1075"/>
      <c r="O339" s="1075"/>
      <c r="P339" s="1075"/>
      <c r="Q339" s="1075"/>
      <c r="R339" s="1075"/>
      <c r="S339" s="1075"/>
      <c r="T339" s="1075"/>
      <c r="U339" s="1075"/>
      <c r="V339" s="1075"/>
      <c r="W339" s="1075"/>
      <c r="X339" s="1075"/>
      <c r="Y339" s="1075"/>
      <c r="Z339" s="1075"/>
      <c r="AA339" s="1075"/>
      <c r="AB339" s="1075"/>
      <c r="AC339" s="1075"/>
      <c r="AD339" s="1075"/>
      <c r="AE339" s="1075"/>
      <c r="AF339" s="1075"/>
      <c r="AG339" s="1075"/>
      <c r="AH339" s="1075"/>
      <c r="AI339" s="1075"/>
      <c r="AJ339" s="1075"/>
      <c r="AK339" s="1075"/>
      <c r="AL339" s="1075"/>
      <c r="AM339" s="1075"/>
      <c r="AN339" s="1075"/>
      <c r="AO339" s="1075"/>
      <c r="AP339" s="1075"/>
      <c r="AQ339" s="1075"/>
      <c r="AR339" s="1075"/>
      <c r="AS339" s="1075"/>
      <c r="AT339" s="1075"/>
      <c r="AU339" s="1075"/>
      <c r="AV339" s="1075"/>
    </row>
    <row r="340" spans="1:48" ht="11.25" hidden="1" customHeight="1">
      <c r="A340" s="1075"/>
      <c r="B340" s="1075"/>
      <c r="C340" s="1075"/>
      <c r="D340" s="1075"/>
      <c r="E340" s="1075"/>
      <c r="F340" s="1075"/>
      <c r="G340" s="1075"/>
      <c r="H340" s="1075"/>
      <c r="I340" s="1075"/>
      <c r="J340" s="1075"/>
      <c r="K340" s="1075"/>
      <c r="L340" s="1075"/>
      <c r="M340" s="1075"/>
      <c r="N340" s="1075"/>
      <c r="O340" s="1075"/>
      <c r="P340" s="1075"/>
      <c r="Q340" s="1075"/>
      <c r="R340" s="1075"/>
      <c r="S340" s="1075"/>
      <c r="T340" s="1075"/>
      <c r="U340" s="1075"/>
      <c r="V340" s="1075"/>
      <c r="W340" s="1075"/>
      <c r="X340" s="1075"/>
      <c r="Y340" s="1075"/>
      <c r="Z340" s="1075"/>
      <c r="AA340" s="1075"/>
      <c r="AB340" s="1075"/>
      <c r="AC340" s="1075"/>
      <c r="AD340" s="1075"/>
      <c r="AE340" s="1075"/>
      <c r="AF340" s="1075"/>
      <c r="AG340" s="1075"/>
      <c r="AH340" s="1075"/>
      <c r="AI340" s="1075"/>
      <c r="AJ340" s="1075"/>
      <c r="AK340" s="1075"/>
      <c r="AL340" s="1075"/>
      <c r="AM340" s="1075"/>
      <c r="AN340" s="1075"/>
      <c r="AO340" s="1075"/>
      <c r="AP340" s="1075"/>
      <c r="AQ340" s="1075"/>
      <c r="AR340" s="1075"/>
      <c r="AS340" s="1075"/>
      <c r="AT340" s="1075"/>
      <c r="AU340" s="1075"/>
      <c r="AV340" s="1075"/>
    </row>
    <row r="341" spans="1:48" ht="11.25" hidden="1" customHeight="1">
      <c r="A341" s="1075"/>
      <c r="B341" s="1075"/>
      <c r="C341" s="1075"/>
      <c r="D341" s="1075"/>
      <c r="E341" s="1075"/>
      <c r="F341" s="1075"/>
      <c r="G341" s="1075"/>
      <c r="H341" s="1075"/>
      <c r="I341" s="1075"/>
      <c r="J341" s="1075"/>
      <c r="K341" s="1075"/>
      <c r="L341" s="1075"/>
      <c r="M341" s="1075"/>
      <c r="N341" s="1075"/>
      <c r="O341" s="1075"/>
      <c r="P341" s="1075"/>
      <c r="Q341" s="1075"/>
      <c r="R341" s="1075"/>
      <c r="S341" s="1075"/>
      <c r="T341" s="1075"/>
      <c r="U341" s="1075"/>
      <c r="V341" s="1075"/>
      <c r="W341" s="1075"/>
      <c r="X341" s="1075"/>
      <c r="Y341" s="1075"/>
      <c r="Z341" s="1075"/>
      <c r="AA341" s="1075"/>
      <c r="AB341" s="1075"/>
      <c r="AC341" s="1075"/>
      <c r="AD341" s="1075"/>
      <c r="AE341" s="1075"/>
      <c r="AF341" s="1075"/>
      <c r="AG341" s="1075"/>
      <c r="AH341" s="1075"/>
      <c r="AI341" s="1075"/>
      <c r="AJ341" s="1075"/>
      <c r="AK341" s="1075"/>
      <c r="AL341" s="1075"/>
      <c r="AM341" s="1075"/>
      <c r="AN341" s="1075"/>
      <c r="AO341" s="1075"/>
      <c r="AP341" s="1075"/>
      <c r="AQ341" s="1075"/>
      <c r="AR341" s="1075"/>
      <c r="AS341" s="1075"/>
      <c r="AT341" s="1075"/>
      <c r="AU341" s="1075"/>
      <c r="AV341" s="1075"/>
    </row>
    <row r="342" spans="1:48" ht="11.25" hidden="1" customHeight="1">
      <c r="A342" s="1075"/>
      <c r="B342" s="1075"/>
      <c r="C342" s="1075"/>
      <c r="D342" s="1075"/>
      <c r="E342" s="1075"/>
      <c r="F342" s="1075"/>
      <c r="G342" s="1075"/>
      <c r="H342" s="1075"/>
      <c r="I342" s="1075"/>
      <c r="J342" s="1075"/>
      <c r="K342" s="1075"/>
      <c r="L342" s="1075"/>
      <c r="M342" s="1075"/>
      <c r="N342" s="1075"/>
      <c r="O342" s="1075"/>
      <c r="P342" s="1075"/>
      <c r="Q342" s="1075"/>
      <c r="R342" s="1075"/>
      <c r="S342" s="1075"/>
      <c r="T342" s="1075"/>
      <c r="U342" s="1075"/>
      <c r="V342" s="1075"/>
      <c r="W342" s="1075"/>
      <c r="X342" s="1075"/>
      <c r="Y342" s="1075"/>
      <c r="Z342" s="1075"/>
      <c r="AA342" s="1075"/>
      <c r="AB342" s="1075"/>
      <c r="AC342" s="1075"/>
      <c r="AD342" s="1075"/>
      <c r="AE342" s="1075"/>
      <c r="AF342" s="1075"/>
      <c r="AG342" s="1075"/>
      <c r="AH342" s="1075"/>
      <c r="AI342" s="1075"/>
      <c r="AJ342" s="1075"/>
      <c r="AK342" s="1075"/>
      <c r="AL342" s="1075"/>
      <c r="AM342" s="1075"/>
      <c r="AN342" s="1075"/>
      <c r="AO342" s="1075"/>
      <c r="AP342" s="1075"/>
      <c r="AQ342" s="1075"/>
      <c r="AR342" s="1075"/>
      <c r="AS342" s="1075"/>
      <c r="AT342" s="1075"/>
      <c r="AU342" s="1075"/>
      <c r="AV342" s="1075"/>
    </row>
    <row r="343" spans="1:48" ht="11.25" hidden="1" customHeight="1">
      <c r="A343" s="1075"/>
      <c r="B343" s="1075"/>
      <c r="C343" s="1075"/>
      <c r="D343" s="1075"/>
      <c r="E343" s="1075"/>
      <c r="F343" s="1075"/>
      <c r="G343" s="1075"/>
      <c r="H343" s="1075"/>
      <c r="I343" s="1075"/>
      <c r="J343" s="1075"/>
      <c r="K343" s="1075"/>
      <c r="L343" s="1075"/>
      <c r="M343" s="1075"/>
      <c r="N343" s="1075"/>
      <c r="O343" s="1075"/>
      <c r="P343" s="1075"/>
      <c r="Q343" s="1075"/>
      <c r="R343" s="1075"/>
      <c r="S343" s="1075"/>
      <c r="T343" s="1075"/>
      <c r="U343" s="1075"/>
      <c r="V343" s="1075"/>
      <c r="W343" s="1075"/>
      <c r="X343" s="1075"/>
      <c r="Y343" s="1075"/>
      <c r="Z343" s="1075"/>
      <c r="AA343" s="1075"/>
      <c r="AB343" s="1075"/>
      <c r="AC343" s="1075"/>
      <c r="AD343" s="1075"/>
      <c r="AE343" s="1075"/>
      <c r="AF343" s="1075"/>
      <c r="AG343" s="1075"/>
      <c r="AH343" s="1075"/>
      <c r="AI343" s="1075"/>
      <c r="AJ343" s="1075"/>
      <c r="AK343" s="1075"/>
      <c r="AL343" s="1075"/>
      <c r="AM343" s="1075"/>
      <c r="AN343" s="1075"/>
      <c r="AO343" s="1075"/>
      <c r="AP343" s="1075"/>
      <c r="AQ343" s="1075"/>
      <c r="AR343" s="1075"/>
      <c r="AS343" s="1075"/>
      <c r="AT343" s="1075"/>
      <c r="AU343" s="1075"/>
      <c r="AV343" s="1075"/>
    </row>
    <row r="344" spans="1:48" ht="11.25" hidden="1" customHeight="1">
      <c r="A344" s="1075"/>
      <c r="B344" s="1075"/>
      <c r="C344" s="1075"/>
      <c r="D344" s="1075"/>
      <c r="E344" s="1075"/>
      <c r="F344" s="1075"/>
      <c r="G344" s="1075"/>
      <c r="H344" s="1075"/>
      <c r="I344" s="1075"/>
      <c r="J344" s="1075"/>
      <c r="K344" s="1075"/>
      <c r="L344" s="1075"/>
      <c r="M344" s="1075"/>
      <c r="N344" s="1075"/>
      <c r="O344" s="1075"/>
      <c r="P344" s="1075"/>
      <c r="Q344" s="1075"/>
      <c r="R344" s="1075"/>
      <c r="S344" s="1075"/>
      <c r="T344" s="1075"/>
      <c r="U344" s="1075"/>
      <c r="V344" s="1075"/>
      <c r="W344" s="1075"/>
      <c r="X344" s="1075"/>
      <c r="Y344" s="1075"/>
      <c r="Z344" s="1075"/>
      <c r="AA344" s="1075"/>
      <c r="AB344" s="1075"/>
      <c r="AC344" s="1075"/>
      <c r="AD344" s="1075"/>
      <c r="AE344" s="1075"/>
      <c r="AF344" s="1075"/>
      <c r="AG344" s="1075"/>
      <c r="AH344" s="1075"/>
      <c r="AI344" s="1075"/>
      <c r="AJ344" s="1075"/>
      <c r="AK344" s="1075"/>
      <c r="AL344" s="1075"/>
      <c r="AM344" s="1075"/>
      <c r="AN344" s="1075"/>
      <c r="AO344" s="1075"/>
      <c r="AP344" s="1075"/>
      <c r="AQ344" s="1075"/>
      <c r="AR344" s="1075"/>
      <c r="AS344" s="1075"/>
      <c r="AT344" s="1075"/>
      <c r="AU344" s="1075"/>
      <c r="AV344" s="1075"/>
    </row>
    <row r="345" spans="1:48" ht="11.25" hidden="1" customHeight="1">
      <c r="A345" s="1075"/>
      <c r="B345" s="1075"/>
      <c r="C345" s="1075"/>
      <c r="D345" s="1075"/>
      <c r="E345" s="1075"/>
      <c r="F345" s="1075"/>
      <c r="G345" s="1075"/>
      <c r="H345" s="1075"/>
      <c r="I345" s="1075"/>
      <c r="J345" s="1075"/>
      <c r="K345" s="1075"/>
      <c r="L345" s="1075"/>
      <c r="M345" s="1075"/>
      <c r="N345" s="1075"/>
      <c r="O345" s="1075"/>
      <c r="P345" s="1075"/>
      <c r="Q345" s="1075"/>
      <c r="R345" s="1075"/>
      <c r="S345" s="1075"/>
      <c r="T345" s="1075"/>
      <c r="U345" s="1075"/>
      <c r="V345" s="1075"/>
      <c r="W345" s="1075"/>
      <c r="X345" s="1075"/>
      <c r="Y345" s="1075"/>
      <c r="Z345" s="1075"/>
      <c r="AA345" s="1075"/>
      <c r="AB345" s="1075"/>
      <c r="AC345" s="1075"/>
      <c r="AD345" s="1075"/>
      <c r="AE345" s="1075"/>
      <c r="AF345" s="1075"/>
      <c r="AG345" s="1075"/>
      <c r="AH345" s="1075"/>
      <c r="AI345" s="1075"/>
      <c r="AJ345" s="1075"/>
      <c r="AK345" s="1075"/>
      <c r="AL345" s="1075"/>
      <c r="AM345" s="1075"/>
      <c r="AN345" s="1075"/>
      <c r="AO345" s="1075"/>
      <c r="AP345" s="1075"/>
      <c r="AQ345" s="1075"/>
      <c r="AR345" s="1075"/>
      <c r="AS345" s="1075"/>
      <c r="AT345" s="1075"/>
      <c r="AU345" s="1075"/>
      <c r="AV345" s="1075"/>
    </row>
    <row r="346" spans="1:48" ht="11.25" hidden="1" customHeight="1">
      <c r="A346" s="1075"/>
      <c r="B346" s="1075"/>
      <c r="C346" s="1075"/>
      <c r="D346" s="1075"/>
      <c r="E346" s="1075"/>
      <c r="F346" s="1075"/>
      <c r="G346" s="1075"/>
      <c r="H346" s="1075"/>
      <c r="I346" s="1075"/>
      <c r="J346" s="1075"/>
      <c r="K346" s="1075"/>
      <c r="L346" s="1075"/>
      <c r="M346" s="1075"/>
      <c r="N346" s="1075"/>
      <c r="O346" s="1075"/>
      <c r="P346" s="1075"/>
      <c r="Q346" s="1075"/>
      <c r="R346" s="1075"/>
      <c r="S346" s="1075"/>
      <c r="T346" s="1075"/>
      <c r="U346" s="1075"/>
      <c r="V346" s="1075"/>
      <c r="W346" s="1075"/>
      <c r="X346" s="1075"/>
      <c r="Y346" s="1075"/>
      <c r="Z346" s="1075"/>
      <c r="AA346" s="1075"/>
      <c r="AB346" s="1075"/>
      <c r="AC346" s="1075"/>
      <c r="AD346" s="1075"/>
      <c r="AE346" s="1075"/>
      <c r="AF346" s="1075"/>
      <c r="AG346" s="1075"/>
      <c r="AH346" s="1075"/>
      <c r="AI346" s="1075"/>
      <c r="AJ346" s="1075"/>
      <c r="AK346" s="1075"/>
      <c r="AL346" s="1075"/>
      <c r="AM346" s="1075"/>
      <c r="AN346" s="1075"/>
      <c r="AO346" s="1075"/>
      <c r="AP346" s="1075"/>
      <c r="AQ346" s="1075"/>
      <c r="AR346" s="1075"/>
      <c r="AS346" s="1075"/>
      <c r="AT346" s="1075"/>
      <c r="AU346" s="1075"/>
      <c r="AV346" s="1075"/>
    </row>
    <row r="347" spans="1:48" ht="11.25" hidden="1" customHeight="1">
      <c r="A347" s="1075"/>
      <c r="B347" s="1075"/>
      <c r="C347" s="1075"/>
      <c r="D347" s="1075"/>
      <c r="E347" s="1075"/>
      <c r="F347" s="1075"/>
      <c r="G347" s="1075"/>
      <c r="H347" s="1075"/>
      <c r="I347" s="1075"/>
      <c r="J347" s="1075"/>
      <c r="K347" s="1075"/>
      <c r="L347" s="1075"/>
      <c r="M347" s="1075"/>
      <c r="N347" s="1075"/>
      <c r="O347" s="1075"/>
      <c r="P347" s="1075"/>
      <c r="Q347" s="1075"/>
      <c r="R347" s="1075"/>
      <c r="S347" s="1075"/>
      <c r="T347" s="1075"/>
      <c r="U347" s="1075"/>
      <c r="V347" s="1075"/>
      <c r="W347" s="1075"/>
      <c r="X347" s="1075"/>
      <c r="Y347" s="1075"/>
      <c r="Z347" s="1075"/>
      <c r="AA347" s="1075"/>
      <c r="AB347" s="1075"/>
      <c r="AC347" s="1075"/>
      <c r="AD347" s="1075"/>
      <c r="AE347" s="1075"/>
      <c r="AF347" s="1075"/>
      <c r="AG347" s="1075"/>
      <c r="AH347" s="1075"/>
      <c r="AI347" s="1075"/>
      <c r="AJ347" s="1075"/>
      <c r="AK347" s="1075"/>
      <c r="AL347" s="1075"/>
      <c r="AM347" s="1075"/>
      <c r="AN347" s="1075"/>
      <c r="AO347" s="1075"/>
      <c r="AP347" s="1075"/>
      <c r="AQ347" s="1075"/>
      <c r="AR347" s="1075"/>
      <c r="AS347" s="1075"/>
      <c r="AT347" s="1075"/>
      <c r="AU347" s="1075"/>
      <c r="AV347" s="1075"/>
    </row>
    <row r="348" spans="1:48" ht="11.25" hidden="1" customHeight="1">
      <c r="A348" s="1075"/>
      <c r="B348" s="1075"/>
      <c r="C348" s="1075"/>
      <c r="D348" s="1075"/>
      <c r="E348" s="1075"/>
      <c r="F348" s="1075"/>
      <c r="G348" s="1075"/>
      <c r="H348" s="1075"/>
      <c r="I348" s="1075"/>
      <c r="J348" s="1075"/>
      <c r="K348" s="1075"/>
      <c r="L348" s="1075"/>
      <c r="M348" s="1075"/>
      <c r="N348" s="1075"/>
      <c r="O348" s="1075"/>
      <c r="P348" s="1075"/>
      <c r="Q348" s="1075"/>
      <c r="R348" s="1075"/>
      <c r="S348" s="1075"/>
      <c r="T348" s="1075"/>
      <c r="U348" s="1075"/>
      <c r="V348" s="1075"/>
      <c r="W348" s="1075"/>
      <c r="X348" s="1075"/>
      <c r="Y348" s="1075"/>
      <c r="Z348" s="1075"/>
      <c r="AA348" s="1075"/>
      <c r="AB348" s="1075"/>
      <c r="AC348" s="1075"/>
      <c r="AD348" s="1075"/>
      <c r="AE348" s="1075"/>
      <c r="AF348" s="1075"/>
      <c r="AG348" s="1075"/>
      <c r="AH348" s="1075"/>
      <c r="AI348" s="1075"/>
      <c r="AJ348" s="1075"/>
      <c r="AK348" s="1075"/>
      <c r="AL348" s="1075"/>
      <c r="AM348" s="1075"/>
      <c r="AN348" s="1075"/>
      <c r="AO348" s="1075"/>
      <c r="AP348" s="1075"/>
      <c r="AQ348" s="1075"/>
      <c r="AR348" s="1075"/>
      <c r="AS348" s="1075"/>
      <c r="AT348" s="1075"/>
      <c r="AU348" s="1075"/>
      <c r="AV348" s="1075"/>
    </row>
    <row r="349" spans="1:48" ht="11.25" hidden="1" customHeight="1">
      <c r="A349" s="1075"/>
      <c r="B349" s="1075"/>
      <c r="C349" s="1075"/>
      <c r="D349" s="1075"/>
      <c r="E349" s="1075"/>
      <c r="F349" s="1075"/>
      <c r="G349" s="1075"/>
      <c r="H349" s="1075"/>
      <c r="I349" s="1075"/>
      <c r="J349" s="1075"/>
      <c r="K349" s="1075"/>
      <c r="L349" s="1075"/>
      <c r="M349" s="1075"/>
      <c r="N349" s="1075"/>
      <c r="O349" s="1075"/>
      <c r="P349" s="1075"/>
      <c r="Q349" s="1075"/>
      <c r="R349" s="1075"/>
      <c r="S349" s="1075"/>
      <c r="T349" s="1075"/>
      <c r="U349" s="1075"/>
      <c r="V349" s="1075"/>
      <c r="W349" s="1075"/>
      <c r="X349" s="1075"/>
      <c r="Y349" s="1075"/>
      <c r="Z349" s="1075"/>
      <c r="AA349" s="1075"/>
      <c r="AB349" s="1075"/>
      <c r="AC349" s="1075"/>
      <c r="AD349" s="1075"/>
      <c r="AE349" s="1075"/>
      <c r="AF349" s="1075"/>
      <c r="AG349" s="1075"/>
      <c r="AH349" s="1075"/>
      <c r="AI349" s="1075"/>
      <c r="AJ349" s="1075"/>
      <c r="AK349" s="1075"/>
      <c r="AL349" s="1075"/>
      <c r="AM349" s="1075"/>
      <c r="AN349" s="1075"/>
      <c r="AO349" s="1075"/>
      <c r="AP349" s="1075"/>
      <c r="AQ349" s="1075"/>
      <c r="AR349" s="1075"/>
      <c r="AS349" s="1075"/>
      <c r="AT349" s="1075"/>
      <c r="AU349" s="1075"/>
      <c r="AV349" s="1075"/>
    </row>
    <row r="350" spans="1:48" ht="11.25" hidden="1" customHeight="1">
      <c r="A350" s="1075"/>
      <c r="B350" s="1075"/>
      <c r="C350" s="1075"/>
      <c r="D350" s="1075"/>
      <c r="E350" s="1075"/>
      <c r="F350" s="1075"/>
      <c r="G350" s="1075"/>
      <c r="H350" s="1075"/>
      <c r="I350" s="1075"/>
      <c r="J350" s="1075"/>
      <c r="K350" s="1075"/>
      <c r="L350" s="1075"/>
      <c r="M350" s="1075"/>
      <c r="N350" s="1075"/>
      <c r="O350" s="1075"/>
      <c r="P350" s="1075"/>
      <c r="Q350" s="1075"/>
      <c r="R350" s="1075"/>
      <c r="S350" s="1075"/>
      <c r="T350" s="1075"/>
      <c r="U350" s="1075"/>
      <c r="V350" s="1075"/>
      <c r="W350" s="1075"/>
      <c r="X350" s="1075"/>
      <c r="Y350" s="1075"/>
      <c r="Z350" s="1075"/>
      <c r="AA350" s="1075"/>
      <c r="AB350" s="1075"/>
      <c r="AC350" s="1075"/>
      <c r="AD350" s="1075"/>
      <c r="AE350" s="1075"/>
      <c r="AF350" s="1075"/>
      <c r="AG350" s="1075"/>
      <c r="AH350" s="1075"/>
      <c r="AI350" s="1075"/>
      <c r="AJ350" s="1075"/>
      <c r="AK350" s="1075"/>
      <c r="AL350" s="1075"/>
      <c r="AM350" s="1075"/>
      <c r="AN350" s="1075"/>
      <c r="AO350" s="1075"/>
      <c r="AP350" s="1075"/>
      <c r="AQ350" s="1075"/>
      <c r="AR350" s="1075"/>
      <c r="AS350" s="1075"/>
      <c r="AT350" s="1075"/>
      <c r="AU350" s="1075"/>
      <c r="AV350" s="1075"/>
    </row>
    <row r="351" spans="1:48" ht="11.25" hidden="1" customHeight="1">
      <c r="A351" s="1075"/>
      <c r="B351" s="1075"/>
      <c r="C351" s="1075"/>
      <c r="D351" s="1075"/>
      <c r="E351" s="1075"/>
      <c r="F351" s="1075"/>
      <c r="G351" s="1075"/>
      <c r="H351" s="1075"/>
      <c r="I351" s="1075"/>
      <c r="J351" s="1075"/>
      <c r="K351" s="1075"/>
      <c r="L351" s="1075"/>
      <c r="M351" s="1075"/>
      <c r="N351" s="1075"/>
      <c r="O351" s="1075"/>
      <c r="P351" s="1075"/>
      <c r="Q351" s="1075"/>
      <c r="R351" s="1075"/>
      <c r="S351" s="1075"/>
      <c r="T351" s="1075"/>
      <c r="U351" s="1075"/>
      <c r="V351" s="1075"/>
      <c r="W351" s="1075"/>
      <c r="X351" s="1075"/>
      <c r="Y351" s="1075"/>
      <c r="Z351" s="1075"/>
      <c r="AA351" s="1075"/>
      <c r="AB351" s="1075"/>
      <c r="AC351" s="1075"/>
      <c r="AD351" s="1075"/>
      <c r="AE351" s="1075"/>
      <c r="AF351" s="1075"/>
      <c r="AG351" s="1075"/>
      <c r="AH351" s="1075"/>
      <c r="AI351" s="1075"/>
      <c r="AJ351" s="1075"/>
      <c r="AK351" s="1075"/>
      <c r="AL351" s="1075"/>
      <c r="AM351" s="1075"/>
      <c r="AN351" s="1075"/>
      <c r="AO351" s="1075"/>
      <c r="AP351" s="1075"/>
      <c r="AQ351" s="1075"/>
      <c r="AR351" s="1075"/>
      <c r="AS351" s="1075"/>
      <c r="AT351" s="1075"/>
      <c r="AU351" s="1075"/>
      <c r="AV351" s="1075"/>
    </row>
    <row r="352" spans="1:48" ht="11.25" hidden="1" customHeight="1">
      <c r="A352" s="1075"/>
      <c r="B352" s="1075"/>
      <c r="C352" s="1075"/>
      <c r="D352" s="1075"/>
      <c r="E352" s="1075"/>
      <c r="F352" s="1075"/>
      <c r="G352" s="1075"/>
      <c r="H352" s="1075"/>
      <c r="I352" s="1075"/>
      <c r="J352" s="1075"/>
      <c r="K352" s="1075"/>
      <c r="L352" s="1075"/>
      <c r="M352" s="1075"/>
      <c r="N352" s="1075"/>
      <c r="O352" s="1075"/>
      <c r="P352" s="1075"/>
      <c r="Q352" s="1075"/>
      <c r="R352" s="1075"/>
      <c r="S352" s="1075"/>
      <c r="T352" s="1075"/>
      <c r="U352" s="1075"/>
      <c r="V352" s="1075"/>
      <c r="W352" s="1075"/>
      <c r="X352" s="1075"/>
      <c r="Y352" s="1075"/>
      <c r="Z352" s="1075"/>
      <c r="AA352" s="1075"/>
      <c r="AB352" s="1075"/>
      <c r="AC352" s="1075"/>
      <c r="AD352" s="1075"/>
      <c r="AE352" s="1075"/>
      <c r="AF352" s="1075"/>
      <c r="AG352" s="1075"/>
      <c r="AH352" s="1075"/>
      <c r="AI352" s="1075"/>
      <c r="AJ352" s="1075"/>
      <c r="AK352" s="1075"/>
      <c r="AL352" s="1075"/>
      <c r="AM352" s="1075"/>
      <c r="AN352" s="1075"/>
      <c r="AO352" s="1075"/>
      <c r="AP352" s="1075"/>
      <c r="AQ352" s="1075"/>
      <c r="AR352" s="1075"/>
      <c r="AS352" s="1075"/>
      <c r="AT352" s="1075"/>
      <c r="AU352" s="1075"/>
      <c r="AV352" s="1075"/>
    </row>
    <row r="353" spans="1:48" ht="11.25" hidden="1" customHeight="1">
      <c r="A353" s="1075"/>
      <c r="B353" s="1075"/>
      <c r="C353" s="1075"/>
      <c r="D353" s="1075"/>
      <c r="E353" s="1075"/>
      <c r="F353" s="1075"/>
      <c r="G353" s="1075"/>
      <c r="H353" s="1075"/>
      <c r="I353" s="1075"/>
      <c r="J353" s="1075"/>
      <c r="K353" s="1075"/>
      <c r="L353" s="1075"/>
      <c r="M353" s="1075"/>
      <c r="N353" s="1075"/>
      <c r="O353" s="1075"/>
      <c r="P353" s="1075"/>
      <c r="Q353" s="1075"/>
      <c r="R353" s="1075"/>
      <c r="S353" s="1075"/>
      <c r="T353" s="1075"/>
      <c r="U353" s="1075"/>
      <c r="V353" s="1075"/>
      <c r="W353" s="1075"/>
      <c r="X353" s="1075"/>
      <c r="Y353" s="1075"/>
      <c r="Z353" s="1075"/>
      <c r="AA353" s="1075"/>
      <c r="AB353" s="1075"/>
      <c r="AC353" s="1075"/>
      <c r="AD353" s="1075"/>
      <c r="AE353" s="1075"/>
      <c r="AF353" s="1075"/>
      <c r="AG353" s="1075"/>
      <c r="AH353" s="1075"/>
      <c r="AI353" s="1075"/>
      <c r="AJ353" s="1075"/>
      <c r="AK353" s="1075"/>
      <c r="AL353" s="1075"/>
      <c r="AM353" s="1075"/>
      <c r="AN353" s="1075"/>
      <c r="AO353" s="1075"/>
      <c r="AP353" s="1075"/>
      <c r="AQ353" s="1075"/>
      <c r="AR353" s="1075"/>
      <c r="AS353" s="1075"/>
      <c r="AT353" s="1075"/>
      <c r="AU353" s="1075"/>
      <c r="AV353" s="1075"/>
    </row>
    <row r="354" spans="1:48" ht="11.25" hidden="1" customHeight="1">
      <c r="A354" s="1075"/>
      <c r="B354" s="1075"/>
      <c r="C354" s="1075"/>
      <c r="D354" s="1075"/>
      <c r="E354" s="1075"/>
      <c r="F354" s="1075"/>
      <c r="G354" s="1075"/>
      <c r="H354" s="1075"/>
      <c r="I354" s="1075"/>
      <c r="J354" s="1075"/>
      <c r="K354" s="1075"/>
      <c r="L354" s="1075"/>
      <c r="M354" s="1075"/>
      <c r="N354" s="1075"/>
      <c r="O354" s="1075"/>
      <c r="P354" s="1075"/>
      <c r="Q354" s="1075"/>
      <c r="R354" s="1075"/>
      <c r="S354" s="1075"/>
      <c r="T354" s="1075"/>
      <c r="U354" s="1075"/>
      <c r="V354" s="1075"/>
      <c r="W354" s="1075"/>
      <c r="X354" s="1075"/>
      <c r="Y354" s="1075"/>
      <c r="Z354" s="1075"/>
      <c r="AA354" s="1075"/>
      <c r="AB354" s="1075"/>
      <c r="AC354" s="1075"/>
      <c r="AD354" s="1075"/>
      <c r="AE354" s="1075"/>
      <c r="AF354" s="1075"/>
      <c r="AG354" s="1075"/>
      <c r="AH354" s="1075"/>
      <c r="AI354" s="1075"/>
      <c r="AJ354" s="1075"/>
      <c r="AK354" s="1075"/>
      <c r="AL354" s="1075"/>
      <c r="AM354" s="1075"/>
      <c r="AN354" s="1075"/>
      <c r="AO354" s="1075"/>
      <c r="AP354" s="1075"/>
      <c r="AQ354" s="1075"/>
      <c r="AR354" s="1075"/>
      <c r="AS354" s="1075"/>
      <c r="AT354" s="1075"/>
      <c r="AU354" s="1075"/>
      <c r="AV354" s="1075"/>
    </row>
    <row r="355" spans="1:48" ht="11.25" hidden="1" customHeight="1">
      <c r="A355" s="1075"/>
      <c r="B355" s="1075"/>
      <c r="C355" s="1075"/>
      <c r="D355" s="1075"/>
      <c r="E355" s="1075"/>
      <c r="F355" s="1075"/>
      <c r="G355" s="1075"/>
      <c r="H355" s="1075"/>
      <c r="I355" s="1075"/>
      <c r="J355" s="1075"/>
      <c r="K355" s="1075"/>
      <c r="L355" s="1075"/>
      <c r="M355" s="1075"/>
      <c r="N355" s="1075"/>
      <c r="O355" s="1075"/>
      <c r="P355" s="1075"/>
      <c r="Q355" s="1075"/>
      <c r="R355" s="1075"/>
      <c r="S355" s="1075"/>
      <c r="T355" s="1075"/>
      <c r="U355" s="1075"/>
      <c r="V355" s="1075"/>
      <c r="W355" s="1075"/>
      <c r="X355" s="1075"/>
      <c r="Y355" s="1075"/>
      <c r="Z355" s="1075"/>
      <c r="AA355" s="1075"/>
      <c r="AB355" s="1075"/>
      <c r="AC355" s="1075"/>
      <c r="AD355" s="1075"/>
      <c r="AE355" s="1075"/>
      <c r="AF355" s="1075"/>
      <c r="AG355" s="1075"/>
      <c r="AH355" s="1075"/>
      <c r="AI355" s="1075"/>
      <c r="AJ355" s="1075"/>
      <c r="AK355" s="1075"/>
      <c r="AL355" s="1075"/>
      <c r="AM355" s="1075"/>
      <c r="AN355" s="1075"/>
      <c r="AO355" s="1075"/>
      <c r="AP355" s="1075"/>
      <c r="AQ355" s="1075"/>
      <c r="AR355" s="1075"/>
      <c r="AS355" s="1075"/>
      <c r="AT355" s="1075"/>
      <c r="AU355" s="1075"/>
      <c r="AV355" s="1075"/>
    </row>
    <row r="356" spans="1:48" ht="11.25" hidden="1" customHeight="1">
      <c r="A356" s="1075"/>
      <c r="B356" s="1075"/>
      <c r="C356" s="1075"/>
      <c r="D356" s="1075"/>
      <c r="E356" s="1075"/>
      <c r="F356" s="1075"/>
      <c r="G356" s="1075"/>
      <c r="H356" s="1075"/>
      <c r="I356" s="1075"/>
      <c r="J356" s="1075"/>
      <c r="K356" s="1075"/>
      <c r="L356" s="1075"/>
      <c r="M356" s="1075"/>
      <c r="N356" s="1075"/>
      <c r="O356" s="1075"/>
      <c r="P356" s="1075"/>
      <c r="Q356" s="1075"/>
      <c r="R356" s="1075"/>
      <c r="S356" s="1075"/>
      <c r="T356" s="1075"/>
      <c r="U356" s="1075"/>
      <c r="V356" s="1075"/>
      <c r="W356" s="1075"/>
      <c r="X356" s="1075"/>
      <c r="Y356" s="1075"/>
      <c r="Z356" s="1075"/>
      <c r="AA356" s="1075"/>
      <c r="AB356" s="1075"/>
      <c r="AC356" s="1075"/>
      <c r="AD356" s="1075"/>
      <c r="AE356" s="1075"/>
      <c r="AF356" s="1075"/>
      <c r="AG356" s="1075"/>
      <c r="AH356" s="1075"/>
      <c r="AI356" s="1075"/>
      <c r="AJ356" s="1075"/>
      <c r="AK356" s="1075"/>
      <c r="AL356" s="1075"/>
      <c r="AM356" s="1075"/>
      <c r="AN356" s="1075"/>
      <c r="AO356" s="1075"/>
      <c r="AP356" s="1075"/>
      <c r="AQ356" s="1075"/>
      <c r="AR356" s="1075"/>
      <c r="AS356" s="1075"/>
      <c r="AT356" s="1075"/>
      <c r="AU356" s="1075"/>
      <c r="AV356" s="1075"/>
    </row>
    <row r="357" spans="1:48" ht="11.25" hidden="1" customHeight="1">
      <c r="A357" s="1075"/>
      <c r="B357" s="1075"/>
      <c r="C357" s="1075"/>
      <c r="D357" s="1075"/>
      <c r="E357" s="1075"/>
      <c r="F357" s="1075"/>
      <c r="G357" s="1075"/>
      <c r="H357" s="1075"/>
      <c r="I357" s="1075"/>
      <c r="J357" s="1075"/>
      <c r="K357" s="1075"/>
      <c r="L357" s="1075"/>
      <c r="M357" s="1075"/>
      <c r="N357" s="1075"/>
      <c r="O357" s="1075"/>
      <c r="P357" s="1075"/>
      <c r="Q357" s="1075"/>
      <c r="R357" s="1075"/>
      <c r="S357" s="1075"/>
      <c r="T357" s="1075"/>
      <c r="U357" s="1075"/>
      <c r="V357" s="1075"/>
      <c r="W357" s="1075"/>
      <c r="X357" s="1075"/>
      <c r="Y357" s="1075"/>
      <c r="Z357" s="1075"/>
      <c r="AA357" s="1075"/>
      <c r="AB357" s="1075"/>
      <c r="AC357" s="1075"/>
      <c r="AD357" s="1075"/>
      <c r="AE357" s="1075"/>
      <c r="AF357" s="1075"/>
      <c r="AG357" s="1075"/>
      <c r="AH357" s="1075"/>
      <c r="AI357" s="1075"/>
      <c r="AJ357" s="1075"/>
      <c r="AK357" s="1075"/>
      <c r="AL357" s="1075"/>
      <c r="AM357" s="1075"/>
      <c r="AN357" s="1075"/>
      <c r="AO357" s="1075"/>
      <c r="AP357" s="1075"/>
      <c r="AQ357" s="1075"/>
      <c r="AR357" s="1075"/>
      <c r="AS357" s="1075"/>
      <c r="AT357" s="1075"/>
      <c r="AU357" s="1075"/>
      <c r="AV357" s="1075"/>
    </row>
    <row r="358" spans="1:48" ht="11.25" hidden="1" customHeight="1">
      <c r="A358" s="1075"/>
      <c r="B358" s="1075"/>
      <c r="C358" s="1075"/>
      <c r="D358" s="1075"/>
      <c r="E358" s="1075"/>
      <c r="F358" s="1075"/>
      <c r="G358" s="1075"/>
      <c r="H358" s="1075"/>
      <c r="I358" s="1075"/>
      <c r="J358" s="1075"/>
      <c r="K358" s="1075"/>
      <c r="L358" s="1075"/>
      <c r="M358" s="1075"/>
      <c r="N358" s="1075"/>
      <c r="O358" s="1075"/>
      <c r="P358" s="1075"/>
      <c r="Q358" s="1075"/>
      <c r="R358" s="1075"/>
      <c r="S358" s="1075"/>
      <c r="T358" s="1075"/>
      <c r="U358" s="1075"/>
      <c r="V358" s="1075"/>
      <c r="W358" s="1075"/>
      <c r="X358" s="1075"/>
      <c r="Y358" s="1075"/>
      <c r="Z358" s="1075"/>
      <c r="AA358" s="1075"/>
      <c r="AB358" s="1075"/>
      <c r="AC358" s="1075"/>
      <c r="AD358" s="1075"/>
      <c r="AE358" s="1075"/>
      <c r="AF358" s="1075"/>
      <c r="AG358" s="1075"/>
      <c r="AH358" s="1075"/>
      <c r="AI358" s="1075"/>
      <c r="AJ358" s="1075"/>
      <c r="AK358" s="1075"/>
      <c r="AL358" s="1075"/>
      <c r="AM358" s="1075"/>
      <c r="AN358" s="1075"/>
      <c r="AO358" s="1075"/>
      <c r="AP358" s="1075"/>
      <c r="AQ358" s="1075"/>
      <c r="AR358" s="1075"/>
      <c r="AS358" s="1075"/>
      <c r="AT358" s="1075"/>
      <c r="AU358" s="1075"/>
      <c r="AV358" s="1075"/>
    </row>
    <row r="359" spans="1:48" ht="11.25" hidden="1" customHeight="1">
      <c r="A359" s="1075"/>
      <c r="B359" s="1075"/>
      <c r="C359" s="1075"/>
      <c r="D359" s="1075"/>
      <c r="E359" s="1075"/>
      <c r="F359" s="1075"/>
      <c r="G359" s="1075"/>
      <c r="H359" s="1075"/>
      <c r="I359" s="1075"/>
      <c r="J359" s="1075"/>
      <c r="K359" s="1075"/>
      <c r="L359" s="1075"/>
      <c r="M359" s="1075"/>
      <c r="N359" s="1075"/>
      <c r="O359" s="1075"/>
      <c r="P359" s="1075"/>
      <c r="Q359" s="1075"/>
      <c r="R359" s="1075"/>
      <c r="S359" s="1075"/>
      <c r="T359" s="1075"/>
      <c r="U359" s="1075"/>
      <c r="V359" s="1075"/>
      <c r="W359" s="1075"/>
      <c r="X359" s="1075"/>
      <c r="Y359" s="1075"/>
      <c r="Z359" s="1075"/>
      <c r="AA359" s="1075"/>
      <c r="AB359" s="1075"/>
      <c r="AC359" s="1075"/>
      <c r="AD359" s="1075"/>
      <c r="AE359" s="1075"/>
      <c r="AF359" s="1075"/>
      <c r="AG359" s="1075"/>
      <c r="AH359" s="1075"/>
      <c r="AI359" s="1075"/>
      <c r="AJ359" s="1075"/>
      <c r="AK359" s="1075"/>
      <c r="AL359" s="1075"/>
      <c r="AM359" s="1075"/>
      <c r="AN359" s="1075"/>
      <c r="AO359" s="1075"/>
      <c r="AP359" s="1075"/>
      <c r="AQ359" s="1075"/>
      <c r="AR359" s="1075"/>
      <c r="AS359" s="1075"/>
      <c r="AT359" s="1075"/>
      <c r="AU359" s="1075"/>
      <c r="AV359" s="1075"/>
    </row>
    <row r="360" spans="1:48" ht="11.25" hidden="1" customHeight="1">
      <c r="A360" s="1075"/>
      <c r="B360" s="1075"/>
      <c r="C360" s="1075"/>
      <c r="D360" s="1075"/>
      <c r="E360" s="1075"/>
      <c r="F360" s="1075"/>
      <c r="G360" s="1075"/>
      <c r="H360" s="1075"/>
      <c r="I360" s="1075"/>
      <c r="J360" s="1075"/>
      <c r="K360" s="1075"/>
      <c r="L360" s="1075"/>
      <c r="M360" s="1075"/>
      <c r="N360" s="1075"/>
      <c r="O360" s="1075"/>
      <c r="P360" s="1075"/>
      <c r="Q360" s="1075"/>
      <c r="R360" s="1075"/>
      <c r="S360" s="1075"/>
      <c r="T360" s="1075"/>
      <c r="U360" s="1075"/>
      <c r="V360" s="1075"/>
      <c r="W360" s="1075"/>
      <c r="X360" s="1075"/>
      <c r="Y360" s="1075"/>
      <c r="Z360" s="1075"/>
      <c r="AA360" s="1075"/>
      <c r="AB360" s="1075"/>
      <c r="AC360" s="1075"/>
      <c r="AD360" s="1075"/>
      <c r="AE360" s="1075"/>
      <c r="AF360" s="1075"/>
      <c r="AG360" s="1075"/>
      <c r="AH360" s="1075"/>
      <c r="AI360" s="1075"/>
      <c r="AJ360" s="1075"/>
      <c r="AK360" s="1075"/>
      <c r="AL360" s="1075"/>
      <c r="AM360" s="1075"/>
      <c r="AN360" s="1075"/>
      <c r="AO360" s="1075"/>
      <c r="AP360" s="1075"/>
      <c r="AQ360" s="1075"/>
      <c r="AR360" s="1075"/>
      <c r="AS360" s="1075"/>
      <c r="AT360" s="1075"/>
      <c r="AU360" s="1075"/>
      <c r="AV360" s="1075"/>
    </row>
    <row r="361" spans="1:48" ht="11.25" hidden="1" customHeight="1">
      <c r="A361" s="1075"/>
      <c r="B361" s="1075"/>
      <c r="C361" s="1075"/>
      <c r="D361" s="1075"/>
      <c r="E361" s="1075"/>
      <c r="F361" s="1075"/>
      <c r="G361" s="1075"/>
      <c r="H361" s="1075"/>
      <c r="I361" s="1075"/>
      <c r="J361" s="1075"/>
      <c r="K361" s="1075"/>
      <c r="L361" s="1075"/>
      <c r="M361" s="1075"/>
      <c r="N361" s="1075"/>
      <c r="O361" s="1075"/>
      <c r="P361" s="1075"/>
      <c r="Q361" s="1075"/>
      <c r="R361" s="1075"/>
      <c r="S361" s="1075"/>
      <c r="T361" s="1075"/>
      <c r="U361" s="1075"/>
      <c r="V361" s="1075"/>
      <c r="W361" s="1075"/>
      <c r="X361" s="1075"/>
      <c r="Y361" s="1075"/>
      <c r="Z361" s="1075"/>
      <c r="AA361" s="1075"/>
      <c r="AB361" s="1075"/>
      <c r="AC361" s="1075"/>
      <c r="AD361" s="1075"/>
      <c r="AE361" s="1075"/>
      <c r="AF361" s="1075"/>
      <c r="AG361" s="1075"/>
      <c r="AH361" s="1075"/>
      <c r="AI361" s="1075"/>
      <c r="AJ361" s="1075"/>
      <c r="AK361" s="1075"/>
      <c r="AL361" s="1075"/>
      <c r="AM361" s="1075"/>
      <c r="AN361" s="1075"/>
      <c r="AO361" s="1075"/>
      <c r="AP361" s="1075"/>
      <c r="AQ361" s="1075"/>
      <c r="AR361" s="1075"/>
      <c r="AS361" s="1075"/>
      <c r="AT361" s="1075"/>
      <c r="AU361" s="1075"/>
      <c r="AV361" s="1075"/>
    </row>
    <row r="362" spans="1:48" ht="11.25" hidden="1" customHeight="1">
      <c r="A362" s="1075"/>
      <c r="B362" s="1075"/>
      <c r="C362" s="1075"/>
      <c r="D362" s="1075"/>
      <c r="E362" s="1075"/>
      <c r="F362" s="1075"/>
      <c r="G362" s="1075"/>
      <c r="H362" s="1075"/>
      <c r="I362" s="1075"/>
      <c r="J362" s="1075"/>
      <c r="K362" s="1075"/>
      <c r="L362" s="1075"/>
      <c r="M362" s="1075"/>
      <c r="N362" s="1075"/>
      <c r="O362" s="1075"/>
      <c r="P362" s="1075"/>
      <c r="Q362" s="1075"/>
      <c r="R362" s="1075"/>
      <c r="S362" s="1075"/>
      <c r="T362" s="1075"/>
      <c r="U362" s="1075"/>
      <c r="V362" s="1075"/>
      <c r="W362" s="1075"/>
      <c r="X362" s="1075"/>
      <c r="Y362" s="1075"/>
      <c r="Z362" s="1075"/>
      <c r="AA362" s="1075"/>
      <c r="AB362" s="1075"/>
      <c r="AC362" s="1075"/>
      <c r="AD362" s="1075"/>
      <c r="AE362" s="1075"/>
      <c r="AF362" s="1075"/>
      <c r="AG362" s="1075"/>
      <c r="AH362" s="1075"/>
      <c r="AI362" s="1075"/>
      <c r="AJ362" s="1075"/>
      <c r="AK362" s="1075"/>
      <c r="AL362" s="1075"/>
      <c r="AM362" s="1075"/>
      <c r="AN362" s="1075"/>
      <c r="AO362" s="1075"/>
      <c r="AP362" s="1075"/>
      <c r="AQ362" s="1075"/>
      <c r="AR362" s="1075"/>
      <c r="AS362" s="1075"/>
      <c r="AT362" s="1075"/>
      <c r="AU362" s="1075"/>
      <c r="AV362" s="1075"/>
    </row>
    <row r="363" spans="1:48" ht="11.25" hidden="1" customHeight="1">
      <c r="A363" s="1075"/>
      <c r="B363" s="1075"/>
      <c r="C363" s="1075"/>
      <c r="D363" s="1075"/>
      <c r="E363" s="1075"/>
      <c r="F363" s="1075"/>
      <c r="G363" s="1075"/>
      <c r="H363" s="1075"/>
      <c r="I363" s="1075"/>
      <c r="J363" s="1075"/>
      <c r="K363" s="1075"/>
      <c r="L363" s="1075"/>
      <c r="M363" s="1075"/>
      <c r="N363" s="1075"/>
      <c r="O363" s="1075"/>
      <c r="P363" s="1075"/>
      <c r="Q363" s="1075"/>
      <c r="R363" s="1075"/>
      <c r="S363" s="1075"/>
      <c r="T363" s="1075"/>
      <c r="U363" s="1075"/>
      <c r="V363" s="1075"/>
      <c r="W363" s="1075"/>
      <c r="X363" s="1075"/>
      <c r="Y363" s="1075"/>
      <c r="Z363" s="1075"/>
      <c r="AA363" s="1075"/>
      <c r="AB363" s="1075"/>
      <c r="AC363" s="1075"/>
      <c r="AD363" s="1075"/>
      <c r="AE363" s="1075"/>
      <c r="AF363" s="1075"/>
      <c r="AG363" s="1075"/>
      <c r="AH363" s="1075"/>
      <c r="AI363" s="1075"/>
      <c r="AJ363" s="1075"/>
      <c r="AK363" s="1075"/>
      <c r="AL363" s="1075"/>
      <c r="AM363" s="1075"/>
      <c r="AN363" s="1075"/>
      <c r="AO363" s="1075"/>
      <c r="AP363" s="1075"/>
      <c r="AQ363" s="1075"/>
      <c r="AR363" s="1075"/>
      <c r="AS363" s="1075"/>
      <c r="AT363" s="1075"/>
      <c r="AU363" s="1075"/>
      <c r="AV363" s="1075"/>
    </row>
    <row r="364" spans="1:48" ht="11.25" hidden="1" customHeight="1">
      <c r="A364" s="1075"/>
      <c r="B364" s="1075"/>
      <c r="C364" s="1075"/>
      <c r="D364" s="1075"/>
      <c r="E364" s="1075"/>
      <c r="F364" s="1075"/>
      <c r="G364" s="1075"/>
      <c r="H364" s="1075"/>
      <c r="I364" s="1075"/>
      <c r="J364" s="1075"/>
      <c r="K364" s="1075"/>
      <c r="L364" s="1075"/>
      <c r="M364" s="1075"/>
      <c r="N364" s="1075"/>
      <c r="O364" s="1075"/>
      <c r="P364" s="1075"/>
      <c r="Q364" s="1075"/>
      <c r="R364" s="1075"/>
      <c r="S364" s="1075"/>
      <c r="T364" s="1075"/>
      <c r="U364" s="1075"/>
      <c r="V364" s="1075"/>
      <c r="W364" s="1075"/>
      <c r="X364" s="1075"/>
      <c r="Y364" s="1075"/>
      <c r="Z364" s="1075"/>
      <c r="AA364" s="1075"/>
      <c r="AB364" s="1075"/>
      <c r="AC364" s="1075"/>
      <c r="AD364" s="1075"/>
      <c r="AE364" s="1075"/>
      <c r="AF364" s="1075"/>
      <c r="AG364" s="1075"/>
      <c r="AH364" s="1075"/>
      <c r="AI364" s="1075"/>
      <c r="AJ364" s="1075"/>
      <c r="AK364" s="1075"/>
      <c r="AL364" s="1075"/>
      <c r="AM364" s="1075"/>
      <c r="AN364" s="1075"/>
      <c r="AO364" s="1075"/>
      <c r="AP364" s="1075"/>
      <c r="AQ364" s="1075"/>
      <c r="AR364" s="1075"/>
      <c r="AS364" s="1075"/>
      <c r="AT364" s="1075"/>
      <c r="AU364" s="1075"/>
      <c r="AV364" s="1075"/>
    </row>
    <row r="365" spans="1:48" ht="11.25" hidden="1" customHeight="1">
      <c r="A365" s="1075"/>
      <c r="B365" s="1075"/>
      <c r="C365" s="1075"/>
      <c r="D365" s="1075"/>
      <c r="E365" s="1075"/>
      <c r="F365" s="1075"/>
      <c r="G365" s="1075"/>
      <c r="H365" s="1075"/>
      <c r="I365" s="1075"/>
      <c r="J365" s="1075"/>
      <c r="K365" s="1075"/>
      <c r="L365" s="1075"/>
      <c r="M365" s="1075"/>
      <c r="N365" s="1075"/>
      <c r="O365" s="1075"/>
      <c r="P365" s="1075"/>
      <c r="Q365" s="1075"/>
      <c r="R365" s="1075"/>
      <c r="S365" s="1075"/>
      <c r="T365" s="1075"/>
      <c r="U365" s="1075"/>
      <c r="V365" s="1075"/>
      <c r="W365" s="1075"/>
      <c r="X365" s="1075"/>
      <c r="Y365" s="1075"/>
      <c r="Z365" s="1075"/>
      <c r="AA365" s="1075"/>
      <c r="AB365" s="1075"/>
      <c r="AC365" s="1075"/>
      <c r="AD365" s="1075"/>
      <c r="AE365" s="1075"/>
      <c r="AF365" s="1075"/>
      <c r="AG365" s="1075"/>
      <c r="AH365" s="1075"/>
      <c r="AI365" s="1075"/>
      <c r="AJ365" s="1075"/>
      <c r="AK365" s="1075"/>
      <c r="AL365" s="1075"/>
      <c r="AM365" s="1075"/>
      <c r="AN365" s="1075"/>
      <c r="AO365" s="1075"/>
      <c r="AP365" s="1075"/>
      <c r="AQ365" s="1075"/>
      <c r="AR365" s="1075"/>
      <c r="AS365" s="1075"/>
      <c r="AT365" s="1075"/>
      <c r="AU365" s="1075"/>
      <c r="AV365" s="1075"/>
    </row>
    <row r="366" spans="1:48" ht="11.25" hidden="1" customHeight="1">
      <c r="A366" s="1075"/>
      <c r="B366" s="1075"/>
      <c r="C366" s="1075"/>
      <c r="D366" s="1075"/>
      <c r="E366" s="1075"/>
      <c r="F366" s="1075"/>
      <c r="G366" s="1075"/>
      <c r="H366" s="1075"/>
      <c r="I366" s="1075"/>
      <c r="J366" s="1075"/>
      <c r="K366" s="1075"/>
      <c r="L366" s="1075"/>
      <c r="M366" s="1075"/>
      <c r="N366" s="1075"/>
      <c r="O366" s="1075"/>
      <c r="P366" s="1075"/>
      <c r="Q366" s="1075"/>
      <c r="R366" s="1075"/>
      <c r="S366" s="1075"/>
      <c r="T366" s="1075"/>
      <c r="U366" s="1075"/>
      <c r="V366" s="1075"/>
      <c r="W366" s="1075"/>
      <c r="X366" s="1075"/>
      <c r="Y366" s="1075"/>
      <c r="Z366" s="1075"/>
      <c r="AA366" s="1075"/>
      <c r="AB366" s="1075"/>
      <c r="AC366" s="1075"/>
      <c r="AD366" s="1075"/>
      <c r="AE366" s="1075"/>
      <c r="AF366" s="1075"/>
      <c r="AG366" s="1075"/>
      <c r="AH366" s="1075"/>
      <c r="AI366" s="1075"/>
      <c r="AJ366" s="1075"/>
      <c r="AK366" s="1075"/>
      <c r="AL366" s="1075"/>
      <c r="AM366" s="1075"/>
      <c r="AN366" s="1075"/>
      <c r="AO366" s="1075"/>
      <c r="AP366" s="1075"/>
      <c r="AQ366" s="1075"/>
      <c r="AR366" s="1075"/>
      <c r="AS366" s="1075"/>
      <c r="AT366" s="1075"/>
      <c r="AU366" s="1075"/>
      <c r="AV366" s="1075"/>
    </row>
    <row r="367" spans="1:48" ht="11.25" hidden="1" customHeight="1">
      <c r="A367" s="1075"/>
      <c r="B367" s="1075"/>
      <c r="C367" s="1075"/>
      <c r="D367" s="1075"/>
      <c r="E367" s="1075"/>
      <c r="F367" s="1075"/>
      <c r="G367" s="1075"/>
      <c r="H367" s="1075"/>
      <c r="I367" s="1075"/>
      <c r="J367" s="1075"/>
      <c r="K367" s="1075"/>
      <c r="L367" s="1075"/>
      <c r="M367" s="1075"/>
      <c r="N367" s="1075"/>
      <c r="O367" s="1075"/>
      <c r="P367" s="1075"/>
      <c r="Q367" s="1075"/>
      <c r="R367" s="1075"/>
      <c r="S367" s="1075"/>
      <c r="T367" s="1075"/>
      <c r="U367" s="1075"/>
      <c r="V367" s="1075"/>
      <c r="W367" s="1075"/>
      <c r="X367" s="1075"/>
      <c r="Y367" s="1075"/>
      <c r="Z367" s="1075"/>
      <c r="AA367" s="1075"/>
      <c r="AB367" s="1075"/>
      <c r="AC367" s="1075"/>
      <c r="AD367" s="1075"/>
      <c r="AE367" s="1075"/>
      <c r="AF367" s="1075"/>
      <c r="AG367" s="1075"/>
      <c r="AH367" s="1075"/>
      <c r="AI367" s="1075"/>
      <c r="AJ367" s="1075"/>
      <c r="AK367" s="1075"/>
      <c r="AL367" s="1075"/>
      <c r="AM367" s="1075"/>
      <c r="AN367" s="1075"/>
      <c r="AO367" s="1075"/>
      <c r="AP367" s="1075"/>
      <c r="AQ367" s="1075"/>
      <c r="AR367" s="1075"/>
      <c r="AS367" s="1075"/>
      <c r="AT367" s="1075"/>
      <c r="AU367" s="1075"/>
      <c r="AV367" s="1075"/>
    </row>
    <row r="368" spans="1:48" ht="11.25" hidden="1" customHeight="1">
      <c r="A368" s="1075"/>
      <c r="B368" s="1075"/>
      <c r="C368" s="1075"/>
      <c r="D368" s="1075"/>
      <c r="E368" s="1075"/>
      <c r="F368" s="1075"/>
      <c r="G368" s="1075"/>
      <c r="H368" s="1075"/>
      <c r="I368" s="1075"/>
      <c r="J368" s="1075"/>
      <c r="K368" s="1075"/>
      <c r="L368" s="1075"/>
      <c r="M368" s="1075"/>
      <c r="N368" s="1075"/>
      <c r="O368" s="1075"/>
      <c r="P368" s="1075"/>
      <c r="Q368" s="1075"/>
      <c r="R368" s="1075"/>
      <c r="S368" s="1075"/>
      <c r="T368" s="1075"/>
      <c r="U368" s="1075"/>
      <c r="V368" s="1075"/>
      <c r="W368" s="1075"/>
      <c r="X368" s="1075"/>
      <c r="Y368" s="1075"/>
      <c r="Z368" s="1075"/>
      <c r="AA368" s="1075"/>
      <c r="AB368" s="1075"/>
      <c r="AC368" s="1075"/>
      <c r="AD368" s="1075"/>
      <c r="AE368" s="1075"/>
      <c r="AF368" s="1075"/>
      <c r="AG368" s="1075"/>
      <c r="AH368" s="1075"/>
      <c r="AI368" s="1075"/>
      <c r="AJ368" s="1075"/>
      <c r="AK368" s="1075"/>
      <c r="AL368" s="1075"/>
      <c r="AM368" s="1075"/>
      <c r="AN368" s="1075"/>
      <c r="AO368" s="1075"/>
      <c r="AP368" s="1075"/>
      <c r="AQ368" s="1075"/>
      <c r="AR368" s="1075"/>
      <c r="AS368" s="1075"/>
      <c r="AT368" s="1075"/>
      <c r="AU368" s="1075"/>
      <c r="AV368" s="1075"/>
    </row>
    <row r="369" spans="1:48" ht="11.25" hidden="1" customHeight="1">
      <c r="A369" s="1075"/>
      <c r="B369" s="1075"/>
      <c r="C369" s="1075"/>
      <c r="D369" s="1075"/>
      <c r="E369" s="1075"/>
      <c r="F369" s="1075"/>
      <c r="G369" s="1075"/>
      <c r="H369" s="1075"/>
      <c r="I369" s="1075"/>
      <c r="J369" s="1075"/>
      <c r="K369" s="1075"/>
      <c r="L369" s="1075"/>
      <c r="M369" s="1075"/>
      <c r="N369" s="1075"/>
      <c r="O369" s="1075"/>
      <c r="P369" s="1075"/>
      <c r="Q369" s="1075"/>
      <c r="R369" s="1075"/>
      <c r="S369" s="1075"/>
      <c r="T369" s="1075"/>
      <c r="U369" s="1075"/>
      <c r="V369" s="1075"/>
      <c r="W369" s="1075"/>
      <c r="X369" s="1075"/>
      <c r="Y369" s="1075"/>
      <c r="Z369" s="1075"/>
      <c r="AA369" s="1075"/>
      <c r="AB369" s="1075"/>
      <c r="AC369" s="1075"/>
      <c r="AD369" s="1075"/>
      <c r="AE369" s="1075"/>
      <c r="AF369" s="1075"/>
      <c r="AG369" s="1075"/>
      <c r="AH369" s="1075"/>
      <c r="AI369" s="1075"/>
      <c r="AJ369" s="1075"/>
      <c r="AK369" s="1075"/>
      <c r="AL369" s="1075"/>
      <c r="AM369" s="1075"/>
      <c r="AN369" s="1075"/>
      <c r="AO369" s="1075"/>
      <c r="AP369" s="1075"/>
      <c r="AQ369" s="1075"/>
      <c r="AR369" s="1075"/>
      <c r="AS369" s="1075"/>
      <c r="AT369" s="1075"/>
      <c r="AU369" s="1075"/>
      <c r="AV369" s="1075"/>
    </row>
    <row r="370" spans="1:48" ht="11.25" hidden="1" customHeight="1">
      <c r="A370" s="1075"/>
      <c r="B370" s="1075"/>
      <c r="C370" s="1075"/>
      <c r="D370" s="1075"/>
      <c r="E370" s="1075"/>
      <c r="F370" s="1075"/>
      <c r="G370" s="1075"/>
      <c r="H370" s="1075"/>
      <c r="I370" s="1075"/>
      <c r="J370" s="1075"/>
      <c r="K370" s="1075"/>
      <c r="L370" s="1075"/>
      <c r="M370" s="1075"/>
      <c r="N370" s="1075"/>
      <c r="O370" s="1075"/>
      <c r="P370" s="1075"/>
      <c r="Q370" s="1075"/>
      <c r="R370" s="1075"/>
      <c r="S370" s="1075"/>
      <c r="T370" s="1075"/>
      <c r="U370" s="1075"/>
      <c r="V370" s="1075"/>
      <c r="W370" s="1075"/>
      <c r="X370" s="1075"/>
      <c r="Y370" s="1075"/>
      <c r="Z370" s="1075"/>
      <c r="AA370" s="1075"/>
      <c r="AB370" s="1075"/>
      <c r="AC370" s="1075"/>
      <c r="AD370" s="1075"/>
      <c r="AE370" s="1075"/>
      <c r="AF370" s="1075"/>
      <c r="AG370" s="1075"/>
      <c r="AH370" s="1075"/>
      <c r="AI370" s="1075"/>
      <c r="AJ370" s="1075"/>
      <c r="AK370" s="1075"/>
      <c r="AL370" s="1075"/>
      <c r="AM370" s="1075"/>
      <c r="AN370" s="1075"/>
      <c r="AO370" s="1075"/>
      <c r="AP370" s="1075"/>
      <c r="AQ370" s="1075"/>
      <c r="AR370" s="1075"/>
      <c r="AS370" s="1075"/>
      <c r="AT370" s="1075"/>
      <c r="AU370" s="1075"/>
      <c r="AV370" s="1075"/>
    </row>
    <row r="371" spans="1:48" ht="11.25" hidden="1" customHeight="1">
      <c r="A371" s="1075"/>
      <c r="B371" s="1075"/>
      <c r="C371" s="1075"/>
      <c r="D371" s="1075"/>
      <c r="E371" s="1075"/>
      <c r="F371" s="1075"/>
      <c r="G371" s="1075"/>
      <c r="H371" s="1075"/>
      <c r="I371" s="1075"/>
      <c r="J371" s="1075"/>
      <c r="K371" s="1075"/>
      <c r="L371" s="1075"/>
      <c r="M371" s="1075"/>
      <c r="N371" s="1075"/>
      <c r="O371" s="1075"/>
      <c r="P371" s="1075"/>
      <c r="Q371" s="1075"/>
      <c r="R371" s="1075"/>
      <c r="S371" s="1075"/>
      <c r="T371" s="1075"/>
      <c r="U371" s="1075"/>
      <c r="V371" s="1075"/>
      <c r="W371" s="1075"/>
      <c r="X371" s="1075"/>
      <c r="Y371" s="1075"/>
      <c r="Z371" s="1075"/>
      <c r="AA371" s="1075"/>
      <c r="AB371" s="1075"/>
      <c r="AC371" s="1075"/>
      <c r="AD371" s="1075"/>
      <c r="AE371" s="1075"/>
      <c r="AF371" s="1075"/>
      <c r="AG371" s="1075"/>
      <c r="AH371" s="1075"/>
      <c r="AI371" s="1075"/>
      <c r="AJ371" s="1075"/>
      <c r="AK371" s="1075"/>
      <c r="AL371" s="1075"/>
      <c r="AM371" s="1075"/>
      <c r="AN371" s="1075"/>
      <c r="AO371" s="1075"/>
      <c r="AP371" s="1075"/>
      <c r="AQ371" s="1075"/>
      <c r="AR371" s="1075"/>
      <c r="AS371" s="1075"/>
      <c r="AT371" s="1075"/>
      <c r="AU371" s="1075"/>
      <c r="AV371" s="1075"/>
    </row>
    <row r="372" spans="1:48" ht="11.25" hidden="1" customHeight="1">
      <c r="A372" s="1075"/>
      <c r="B372" s="1075"/>
      <c r="C372" s="1075"/>
      <c r="D372" s="1075"/>
      <c r="E372" s="1075"/>
      <c r="F372" s="1075"/>
      <c r="G372" s="1075"/>
      <c r="H372" s="1075"/>
      <c r="I372" s="1075"/>
      <c r="J372" s="1075"/>
      <c r="K372" s="1075"/>
      <c r="L372" s="1075"/>
      <c r="M372" s="1075"/>
      <c r="N372" s="1075"/>
      <c r="O372" s="1075"/>
      <c r="P372" s="1075"/>
      <c r="Q372" s="1075"/>
      <c r="R372" s="1075"/>
      <c r="S372" s="1075"/>
      <c r="T372" s="1075"/>
      <c r="U372" s="1075"/>
      <c r="V372" s="1075"/>
      <c r="W372" s="1075"/>
      <c r="X372" s="1075"/>
      <c r="Y372" s="1075"/>
      <c r="Z372" s="1075"/>
      <c r="AA372" s="1075"/>
      <c r="AB372" s="1075"/>
      <c r="AC372" s="1075"/>
      <c r="AD372" s="1075"/>
      <c r="AE372" s="1075"/>
      <c r="AF372" s="1075"/>
      <c r="AG372" s="1075"/>
      <c r="AH372" s="1075"/>
      <c r="AI372" s="1075"/>
      <c r="AJ372" s="1075"/>
      <c r="AK372" s="1075"/>
      <c r="AL372" s="1075"/>
      <c r="AM372" s="1075"/>
      <c r="AN372" s="1075"/>
      <c r="AO372" s="1075"/>
      <c r="AP372" s="1075"/>
      <c r="AQ372" s="1075"/>
      <c r="AR372" s="1075"/>
      <c r="AS372" s="1075"/>
      <c r="AT372" s="1075"/>
      <c r="AU372" s="1075"/>
      <c r="AV372" s="1075"/>
    </row>
    <row r="373" spans="1:48" ht="11.25" hidden="1" customHeight="1">
      <c r="A373" s="1075"/>
      <c r="B373" s="1075"/>
      <c r="C373" s="1075"/>
      <c r="D373" s="1075"/>
      <c r="E373" s="1075"/>
      <c r="F373" s="1075"/>
      <c r="G373" s="1075"/>
      <c r="H373" s="1075"/>
      <c r="I373" s="1075"/>
      <c r="J373" s="1075"/>
      <c r="K373" s="1075"/>
      <c r="L373" s="1075"/>
      <c r="M373" s="1075"/>
      <c r="N373" s="1075"/>
      <c r="O373" s="1075"/>
      <c r="P373" s="1075"/>
      <c r="Q373" s="1075"/>
      <c r="R373" s="1075"/>
      <c r="S373" s="1075"/>
      <c r="T373" s="1075"/>
      <c r="U373" s="1075"/>
      <c r="V373" s="1075"/>
      <c r="W373" s="1075"/>
      <c r="X373" s="1075"/>
      <c r="Y373" s="1075"/>
      <c r="Z373" s="1075"/>
      <c r="AA373" s="1075"/>
      <c r="AB373" s="1075"/>
      <c r="AC373" s="1075"/>
      <c r="AD373" s="1075"/>
      <c r="AE373" s="1075"/>
      <c r="AF373" s="1075"/>
      <c r="AG373" s="1075"/>
      <c r="AH373" s="1075"/>
      <c r="AI373" s="1075"/>
      <c r="AJ373" s="1075"/>
      <c r="AK373" s="1075"/>
      <c r="AL373" s="1075"/>
      <c r="AM373" s="1075"/>
      <c r="AN373" s="1075"/>
      <c r="AO373" s="1075"/>
      <c r="AP373" s="1075"/>
      <c r="AQ373" s="1075"/>
      <c r="AR373" s="1075"/>
      <c r="AS373" s="1075"/>
      <c r="AT373" s="1075"/>
      <c r="AU373" s="1075"/>
      <c r="AV373" s="1075"/>
    </row>
    <row r="374" spans="1:48" ht="11.25" hidden="1" customHeight="1">
      <c r="A374" s="1075"/>
      <c r="B374" s="1075"/>
      <c r="C374" s="1075"/>
      <c r="D374" s="1075"/>
      <c r="E374" s="1075"/>
      <c r="F374" s="1075"/>
      <c r="G374" s="1075"/>
      <c r="H374" s="1075"/>
      <c r="I374" s="1075"/>
      <c r="J374" s="1075"/>
      <c r="K374" s="1075"/>
      <c r="L374" s="1075"/>
      <c r="M374" s="1075"/>
      <c r="N374" s="1075"/>
      <c r="O374" s="1075"/>
      <c r="P374" s="1075"/>
      <c r="Q374" s="1075"/>
      <c r="R374" s="1075"/>
      <c r="S374" s="1075"/>
      <c r="T374" s="1075"/>
      <c r="U374" s="1075"/>
      <c r="V374" s="1075"/>
      <c r="W374" s="1075"/>
      <c r="X374" s="1075"/>
      <c r="Y374" s="1075"/>
      <c r="Z374" s="1075"/>
      <c r="AA374" s="1075"/>
      <c r="AB374" s="1075"/>
      <c r="AC374" s="1075"/>
      <c r="AD374" s="1075"/>
      <c r="AE374" s="1075"/>
      <c r="AF374" s="1075"/>
      <c r="AG374" s="1075"/>
      <c r="AH374" s="1075"/>
      <c r="AI374" s="1075"/>
      <c r="AJ374" s="1075"/>
      <c r="AK374" s="1075"/>
      <c r="AL374" s="1075"/>
      <c r="AM374" s="1075"/>
      <c r="AN374" s="1075"/>
      <c r="AO374" s="1075"/>
      <c r="AP374" s="1075"/>
      <c r="AQ374" s="1075"/>
      <c r="AR374" s="1075"/>
      <c r="AS374" s="1075"/>
      <c r="AT374" s="1075"/>
      <c r="AU374" s="1075"/>
      <c r="AV374" s="1075"/>
    </row>
    <row r="375" spans="1:48" ht="11.25" hidden="1" customHeight="1">
      <c r="A375" s="1075"/>
      <c r="B375" s="1075"/>
      <c r="C375" s="1075"/>
      <c r="D375" s="1075"/>
      <c r="E375" s="1075"/>
      <c r="F375" s="1075"/>
      <c r="G375" s="1075"/>
      <c r="H375" s="1075"/>
      <c r="I375" s="1075"/>
      <c r="J375" s="1075"/>
      <c r="K375" s="1075"/>
      <c r="L375" s="1075"/>
      <c r="M375" s="1075"/>
      <c r="N375" s="1075"/>
      <c r="O375" s="1075"/>
      <c r="P375" s="1075"/>
      <c r="Q375" s="1075"/>
      <c r="R375" s="1075"/>
      <c r="S375" s="1075"/>
      <c r="T375" s="1075"/>
      <c r="U375" s="1075"/>
      <c r="V375" s="1075"/>
      <c r="W375" s="1075"/>
      <c r="X375" s="1075"/>
      <c r="Y375" s="1075"/>
      <c r="Z375" s="1075"/>
      <c r="AA375" s="1075"/>
      <c r="AB375" s="1075"/>
      <c r="AC375" s="1075"/>
      <c r="AD375" s="1075"/>
      <c r="AE375" s="1075"/>
      <c r="AF375" s="1075"/>
      <c r="AG375" s="1075"/>
      <c r="AH375" s="1075"/>
      <c r="AI375" s="1075"/>
      <c r="AJ375" s="1075"/>
      <c r="AK375" s="1075"/>
      <c r="AL375" s="1075"/>
      <c r="AM375" s="1075"/>
      <c r="AN375" s="1075"/>
      <c r="AO375" s="1075"/>
      <c r="AP375" s="1075"/>
      <c r="AQ375" s="1075"/>
      <c r="AR375" s="1075"/>
      <c r="AS375" s="1075"/>
      <c r="AT375" s="1075"/>
      <c r="AU375" s="1075"/>
      <c r="AV375" s="1075"/>
    </row>
    <row r="376" spans="1:48" ht="11.25" hidden="1" customHeight="1">
      <c r="A376" s="1075"/>
      <c r="B376" s="1075"/>
      <c r="C376" s="1075"/>
      <c r="D376" s="1075"/>
      <c r="E376" s="1075"/>
      <c r="F376" s="1075"/>
      <c r="G376" s="1075"/>
      <c r="H376" s="1075"/>
      <c r="I376" s="1075"/>
      <c r="J376" s="1075"/>
      <c r="K376" s="1075"/>
      <c r="L376" s="1075"/>
      <c r="M376" s="1075"/>
      <c r="N376" s="1075"/>
      <c r="O376" s="1075"/>
      <c r="P376" s="1075"/>
      <c r="Q376" s="1075"/>
      <c r="R376" s="1075"/>
      <c r="S376" s="1075"/>
      <c r="T376" s="1075"/>
      <c r="U376" s="1075"/>
      <c r="V376" s="1075"/>
      <c r="W376" s="1075"/>
      <c r="X376" s="1075"/>
      <c r="Y376" s="1075"/>
      <c r="Z376" s="1075"/>
      <c r="AA376" s="1075"/>
      <c r="AB376" s="1075"/>
      <c r="AC376" s="1075"/>
      <c r="AD376" s="1075"/>
      <c r="AE376" s="1075"/>
      <c r="AF376" s="1075"/>
      <c r="AG376" s="1075"/>
      <c r="AH376" s="1075"/>
      <c r="AI376" s="1075"/>
      <c r="AJ376" s="1075"/>
      <c r="AK376" s="1075"/>
      <c r="AL376" s="1075"/>
      <c r="AM376" s="1075"/>
      <c r="AN376" s="1075"/>
      <c r="AO376" s="1075"/>
      <c r="AP376" s="1075"/>
      <c r="AQ376" s="1075"/>
      <c r="AR376" s="1075"/>
      <c r="AS376" s="1075"/>
      <c r="AT376" s="1075"/>
      <c r="AU376" s="1075"/>
      <c r="AV376" s="1075"/>
    </row>
    <row r="377" spans="1:48" ht="11.25" hidden="1" customHeight="1">
      <c r="A377" s="1075"/>
      <c r="B377" s="1075"/>
      <c r="C377" s="1075"/>
      <c r="D377" s="1075"/>
      <c r="E377" s="1075"/>
      <c r="F377" s="1075"/>
      <c r="G377" s="1075"/>
      <c r="H377" s="1075"/>
      <c r="I377" s="1075"/>
      <c r="J377" s="1075"/>
      <c r="K377" s="1075"/>
      <c r="L377" s="1075"/>
      <c r="M377" s="1075"/>
      <c r="N377" s="1075"/>
      <c r="O377" s="1075"/>
      <c r="P377" s="1075"/>
      <c r="Q377" s="1075"/>
      <c r="R377" s="1075"/>
      <c r="S377" s="1075"/>
      <c r="T377" s="1075"/>
      <c r="U377" s="1075"/>
      <c r="V377" s="1075"/>
      <c r="W377" s="1075"/>
      <c r="X377" s="1075"/>
      <c r="Y377" s="1075"/>
      <c r="Z377" s="1075"/>
      <c r="AA377" s="1075"/>
      <c r="AB377" s="1075"/>
      <c r="AC377" s="1075"/>
      <c r="AD377" s="1075"/>
      <c r="AE377" s="1075"/>
      <c r="AF377" s="1075"/>
      <c r="AG377" s="1075"/>
      <c r="AH377" s="1075"/>
      <c r="AI377" s="1075"/>
      <c r="AJ377" s="1075"/>
      <c r="AK377" s="1075"/>
      <c r="AL377" s="1075"/>
      <c r="AM377" s="1075"/>
      <c r="AN377" s="1075"/>
      <c r="AO377" s="1075"/>
      <c r="AP377" s="1075"/>
      <c r="AQ377" s="1075"/>
      <c r="AR377" s="1075"/>
      <c r="AS377" s="1075"/>
      <c r="AT377" s="1075"/>
      <c r="AU377" s="1075"/>
      <c r="AV377" s="1075"/>
    </row>
    <row r="378" spans="1:48" ht="11.25" hidden="1" customHeight="1">
      <c r="A378" s="1075"/>
      <c r="B378" s="1075"/>
      <c r="C378" s="1075"/>
      <c r="D378" s="1075"/>
      <c r="E378" s="1075"/>
      <c r="F378" s="1075"/>
      <c r="G378" s="1075"/>
      <c r="H378" s="1075"/>
      <c r="I378" s="1075"/>
      <c r="J378" s="1075"/>
      <c r="K378" s="1075"/>
      <c r="L378" s="1075"/>
      <c r="M378" s="1075"/>
      <c r="N378" s="1075"/>
      <c r="O378" s="1075"/>
      <c r="P378" s="1075"/>
      <c r="Q378" s="1075"/>
      <c r="R378" s="1075"/>
      <c r="S378" s="1075"/>
      <c r="T378" s="1075"/>
      <c r="U378" s="1075"/>
      <c r="V378" s="1075"/>
      <c r="W378" s="1075"/>
      <c r="X378" s="1075"/>
      <c r="Y378" s="1075"/>
      <c r="Z378" s="1075"/>
      <c r="AA378" s="1075"/>
      <c r="AB378" s="1075"/>
      <c r="AC378" s="1075"/>
      <c r="AD378" s="1075"/>
      <c r="AE378" s="1075"/>
      <c r="AF378" s="1075"/>
      <c r="AG378" s="1075"/>
      <c r="AH378" s="1075"/>
      <c r="AI378" s="1075"/>
      <c r="AJ378" s="1075"/>
      <c r="AK378" s="1075"/>
      <c r="AL378" s="1075"/>
      <c r="AM378" s="1075"/>
      <c r="AN378" s="1075"/>
      <c r="AO378" s="1075"/>
      <c r="AP378" s="1075"/>
      <c r="AQ378" s="1075"/>
      <c r="AR378" s="1075"/>
      <c r="AS378" s="1075"/>
      <c r="AT378" s="1075"/>
      <c r="AU378" s="1075"/>
      <c r="AV378" s="1075"/>
    </row>
    <row r="379" spans="1:48" ht="11.25" hidden="1" customHeight="1">
      <c r="A379" s="1075"/>
      <c r="B379" s="1075"/>
      <c r="C379" s="1075"/>
      <c r="D379" s="1075"/>
      <c r="E379" s="1075"/>
      <c r="F379" s="1075"/>
      <c r="G379" s="1075"/>
      <c r="H379" s="1075"/>
      <c r="I379" s="1075"/>
      <c r="J379" s="1075"/>
      <c r="K379" s="1075"/>
      <c r="L379" s="1075"/>
      <c r="M379" s="1075"/>
      <c r="N379" s="1075"/>
      <c r="O379" s="1075"/>
      <c r="P379" s="1075"/>
      <c r="Q379" s="1075"/>
      <c r="R379" s="1075"/>
      <c r="S379" s="1075"/>
      <c r="T379" s="1075"/>
      <c r="U379" s="1075"/>
      <c r="V379" s="1075"/>
      <c r="W379" s="1075"/>
      <c r="X379" s="1075"/>
      <c r="Y379" s="1075"/>
      <c r="Z379" s="1075"/>
      <c r="AA379" s="1075"/>
      <c r="AB379" s="1075"/>
      <c r="AC379" s="1075"/>
      <c r="AD379" s="1075"/>
      <c r="AE379" s="1075"/>
      <c r="AF379" s="1075"/>
      <c r="AG379" s="1075"/>
      <c r="AH379" s="1075"/>
      <c r="AI379" s="1075"/>
      <c r="AJ379" s="1075"/>
      <c r="AK379" s="1075"/>
      <c r="AL379" s="1075"/>
      <c r="AM379" s="1075"/>
      <c r="AN379" s="1075"/>
      <c r="AO379" s="1075"/>
      <c r="AP379" s="1075"/>
      <c r="AQ379" s="1075"/>
      <c r="AR379" s="1075"/>
      <c r="AS379" s="1075"/>
      <c r="AT379" s="1075"/>
      <c r="AU379" s="1075"/>
      <c r="AV379" s="1075"/>
    </row>
    <row r="380" spans="1:48" ht="11.25" hidden="1" customHeight="1">
      <c r="A380" s="1075"/>
      <c r="B380" s="1075"/>
      <c r="C380" s="1075"/>
      <c r="D380" s="1075"/>
      <c r="E380" s="1075"/>
      <c r="F380" s="1075"/>
      <c r="G380" s="1075"/>
      <c r="H380" s="1075"/>
      <c r="I380" s="1075"/>
      <c r="J380" s="1075"/>
      <c r="K380" s="1075"/>
      <c r="L380" s="1075"/>
      <c r="M380" s="1075"/>
      <c r="N380" s="1075"/>
      <c r="O380" s="1075"/>
      <c r="P380" s="1075"/>
      <c r="Q380" s="1075"/>
      <c r="R380" s="1075"/>
      <c r="S380" s="1075"/>
      <c r="T380" s="1075"/>
      <c r="U380" s="1075"/>
      <c r="V380" s="1075"/>
      <c r="W380" s="1075"/>
      <c r="X380" s="1075"/>
      <c r="Y380" s="1075"/>
      <c r="Z380" s="1075"/>
      <c r="AA380" s="1075"/>
      <c r="AB380" s="1075"/>
      <c r="AC380" s="1075"/>
      <c r="AD380" s="1075"/>
      <c r="AE380" s="1075"/>
      <c r="AF380" s="1075"/>
      <c r="AG380" s="1075"/>
      <c r="AH380" s="1075"/>
      <c r="AI380" s="1075"/>
      <c r="AJ380" s="1075"/>
      <c r="AK380" s="1075"/>
      <c r="AL380" s="1075"/>
      <c r="AM380" s="1075"/>
      <c r="AN380" s="1075"/>
      <c r="AO380" s="1075"/>
      <c r="AP380" s="1075"/>
      <c r="AQ380" s="1075"/>
      <c r="AR380" s="1075"/>
      <c r="AS380" s="1075"/>
      <c r="AT380" s="1075"/>
      <c r="AU380" s="1075"/>
      <c r="AV380" s="1075"/>
    </row>
    <row r="381" spans="1:48" ht="11.25" hidden="1" customHeight="1">
      <c r="A381" s="1075"/>
      <c r="B381" s="1075"/>
      <c r="C381" s="1075"/>
      <c r="D381" s="1075"/>
      <c r="E381" s="1075"/>
      <c r="F381" s="1075"/>
      <c r="G381" s="1075"/>
      <c r="H381" s="1075"/>
      <c r="I381" s="1075"/>
      <c r="J381" s="1075"/>
      <c r="K381" s="1075"/>
      <c r="L381" s="1075"/>
      <c r="M381" s="1075"/>
      <c r="N381" s="1075"/>
      <c r="O381" s="1075"/>
      <c r="P381" s="1075"/>
      <c r="Q381" s="1075"/>
      <c r="R381" s="1075"/>
      <c r="S381" s="1075"/>
      <c r="T381" s="1075"/>
      <c r="U381" s="1075"/>
      <c r="V381" s="1075"/>
      <c r="W381" s="1075"/>
      <c r="X381" s="1075"/>
      <c r="Y381" s="1075"/>
      <c r="Z381" s="1075"/>
      <c r="AA381" s="1075"/>
      <c r="AB381" s="1075"/>
      <c r="AC381" s="1075"/>
      <c r="AD381" s="1075"/>
      <c r="AE381" s="1075"/>
      <c r="AF381" s="1075"/>
      <c r="AG381" s="1075"/>
      <c r="AH381" s="1075"/>
      <c r="AI381" s="1075"/>
      <c r="AJ381" s="1075"/>
      <c r="AK381" s="1075"/>
      <c r="AL381" s="1075"/>
      <c r="AM381" s="1075"/>
      <c r="AN381" s="1075"/>
      <c r="AO381" s="1075"/>
      <c r="AP381" s="1075"/>
      <c r="AQ381" s="1075"/>
      <c r="AR381" s="1075"/>
      <c r="AS381" s="1075"/>
      <c r="AT381" s="1075"/>
      <c r="AU381" s="1075"/>
      <c r="AV381" s="1075"/>
    </row>
    <row r="382" spans="1:48" ht="11.25" hidden="1" customHeight="1">
      <c r="A382" s="1075"/>
      <c r="B382" s="1075"/>
      <c r="C382" s="1075"/>
      <c r="D382" s="1075"/>
      <c r="E382" s="1075"/>
      <c r="F382" s="1075"/>
      <c r="G382" s="1075"/>
      <c r="H382" s="1075"/>
      <c r="I382" s="1075"/>
      <c r="J382" s="1075"/>
      <c r="K382" s="1075"/>
      <c r="L382" s="1075"/>
      <c r="M382" s="1075"/>
      <c r="N382" s="1075"/>
      <c r="O382" s="1075"/>
      <c r="P382" s="1075"/>
      <c r="Q382" s="1075"/>
      <c r="R382" s="1075"/>
      <c r="S382" s="1075"/>
      <c r="T382" s="1075"/>
      <c r="U382" s="1075"/>
      <c r="V382" s="1075"/>
      <c r="W382" s="1075"/>
      <c r="X382" s="1075"/>
      <c r="Y382" s="1075"/>
      <c r="Z382" s="1075"/>
      <c r="AA382" s="1075"/>
      <c r="AB382" s="1075"/>
      <c r="AC382" s="1075"/>
      <c r="AD382" s="1075"/>
      <c r="AE382" s="1075"/>
      <c r="AF382" s="1075"/>
      <c r="AG382" s="1075"/>
      <c r="AH382" s="1075"/>
      <c r="AI382" s="1075"/>
      <c r="AJ382" s="1075"/>
      <c r="AK382" s="1075"/>
      <c r="AL382" s="1075"/>
      <c r="AM382" s="1075"/>
      <c r="AN382" s="1075"/>
      <c r="AO382" s="1075"/>
      <c r="AP382" s="1075"/>
      <c r="AQ382" s="1075"/>
      <c r="AR382" s="1075"/>
      <c r="AS382" s="1075"/>
      <c r="AT382" s="1075"/>
      <c r="AU382" s="1075"/>
      <c r="AV382" s="1075"/>
    </row>
    <row r="383" spans="1:48" ht="11.25" hidden="1" customHeight="1">
      <c r="A383" s="1075"/>
      <c r="B383" s="1075"/>
      <c r="C383" s="1075"/>
      <c r="D383" s="1075"/>
      <c r="E383" s="1075"/>
      <c r="F383" s="1075"/>
      <c r="G383" s="1075"/>
      <c r="H383" s="1075"/>
      <c r="I383" s="1075"/>
      <c r="J383" s="1075"/>
      <c r="K383" s="1075"/>
      <c r="L383" s="1075"/>
      <c r="M383" s="1075"/>
      <c r="N383" s="1075"/>
      <c r="O383" s="1075"/>
      <c r="P383" s="1075"/>
      <c r="Q383" s="1075"/>
      <c r="R383" s="1075"/>
      <c r="S383" s="1075"/>
      <c r="T383" s="1075"/>
      <c r="U383" s="1075"/>
      <c r="V383" s="1075"/>
      <c r="W383" s="1075"/>
      <c r="X383" s="1075"/>
      <c r="Y383" s="1075"/>
      <c r="Z383" s="1075"/>
      <c r="AA383" s="1075"/>
      <c r="AB383" s="1075"/>
      <c r="AC383" s="1075"/>
      <c r="AD383" s="1075"/>
      <c r="AE383" s="1075"/>
      <c r="AF383" s="1075"/>
      <c r="AG383" s="1075"/>
      <c r="AH383" s="1075"/>
      <c r="AI383" s="1075"/>
      <c r="AJ383" s="1075"/>
      <c r="AK383" s="1075"/>
      <c r="AL383" s="1075"/>
      <c r="AM383" s="1075"/>
      <c r="AN383" s="1075"/>
      <c r="AO383" s="1075"/>
      <c r="AP383" s="1075"/>
      <c r="AQ383" s="1075"/>
      <c r="AR383" s="1075"/>
      <c r="AS383" s="1075"/>
      <c r="AT383" s="1075"/>
      <c r="AU383" s="1075"/>
      <c r="AV383" s="1075"/>
    </row>
    <row r="384" spans="1:48" ht="11.25" hidden="1" customHeight="1">
      <c r="A384" s="1075"/>
      <c r="B384" s="1075"/>
      <c r="C384" s="1075"/>
      <c r="D384" s="1075"/>
      <c r="E384" s="1075"/>
      <c r="F384" s="1075"/>
      <c r="G384" s="1075"/>
      <c r="H384" s="1075"/>
      <c r="I384" s="1075"/>
      <c r="J384" s="1075"/>
      <c r="K384" s="1075"/>
      <c r="L384" s="1075"/>
      <c r="M384" s="1075"/>
      <c r="N384" s="1075"/>
      <c r="O384" s="1075"/>
      <c r="P384" s="1075"/>
      <c r="Q384" s="1075"/>
      <c r="R384" s="1075"/>
      <c r="S384" s="1075"/>
      <c r="T384" s="1075"/>
      <c r="U384" s="1075"/>
      <c r="V384" s="1075"/>
      <c r="W384" s="1075"/>
      <c r="X384" s="1075"/>
      <c r="Y384" s="1075"/>
      <c r="Z384" s="1075"/>
      <c r="AA384" s="1075"/>
      <c r="AB384" s="1075"/>
      <c r="AC384" s="1075"/>
      <c r="AD384" s="1075"/>
      <c r="AE384" s="1075"/>
      <c r="AF384" s="1075"/>
      <c r="AG384" s="1075"/>
      <c r="AH384" s="1075"/>
      <c r="AI384" s="1075"/>
      <c r="AJ384" s="1075"/>
      <c r="AK384" s="1075"/>
      <c r="AL384" s="1075"/>
      <c r="AM384" s="1075"/>
      <c r="AN384" s="1075"/>
      <c r="AO384" s="1075"/>
      <c r="AP384" s="1075"/>
      <c r="AQ384" s="1075"/>
      <c r="AR384" s="1075"/>
      <c r="AS384" s="1075"/>
      <c r="AT384" s="1075"/>
      <c r="AU384" s="1075"/>
      <c r="AV384" s="1075"/>
    </row>
    <row r="385" spans="1:48" ht="11.25" hidden="1" customHeight="1">
      <c r="A385" s="1075"/>
      <c r="B385" s="1075"/>
      <c r="C385" s="1075"/>
      <c r="D385" s="1075"/>
      <c r="E385" s="1075"/>
      <c r="F385" s="1075"/>
      <c r="G385" s="1075"/>
      <c r="H385" s="1075"/>
      <c r="I385" s="1075"/>
      <c r="J385" s="1075"/>
      <c r="K385" s="1075"/>
      <c r="L385" s="1075"/>
      <c r="M385" s="1075"/>
      <c r="N385" s="1075"/>
      <c r="O385" s="1075"/>
      <c r="P385" s="1075"/>
      <c r="Q385" s="1075"/>
      <c r="R385" s="1075"/>
      <c r="S385" s="1075"/>
      <c r="T385" s="1075"/>
      <c r="U385" s="1075"/>
      <c r="V385" s="1075"/>
      <c r="W385" s="1075"/>
      <c r="X385" s="1075"/>
      <c r="Y385" s="1075"/>
      <c r="Z385" s="1075"/>
      <c r="AA385" s="1075"/>
      <c r="AB385" s="1075"/>
      <c r="AC385" s="1075"/>
      <c r="AD385" s="1075"/>
      <c r="AE385" s="1075"/>
      <c r="AF385" s="1075"/>
      <c r="AG385" s="1075"/>
      <c r="AH385" s="1075"/>
      <c r="AI385" s="1075"/>
      <c r="AJ385" s="1075"/>
      <c r="AK385" s="1075"/>
      <c r="AL385" s="1075"/>
      <c r="AM385" s="1075"/>
      <c r="AN385" s="1075"/>
      <c r="AO385" s="1075"/>
      <c r="AP385" s="1075"/>
      <c r="AQ385" s="1075"/>
      <c r="AR385" s="1075"/>
      <c r="AS385" s="1075"/>
      <c r="AT385" s="1075"/>
      <c r="AU385" s="1075"/>
      <c r="AV385" s="1075"/>
    </row>
    <row r="386" spans="1:48" ht="11.25" hidden="1" customHeight="1">
      <c r="A386" s="1075"/>
      <c r="B386" s="1075"/>
      <c r="C386" s="1075"/>
      <c r="D386" s="1075"/>
      <c r="E386" s="1075"/>
      <c r="F386" s="1075"/>
      <c r="G386" s="1075"/>
      <c r="H386" s="1075"/>
      <c r="I386" s="1075"/>
      <c r="J386" s="1075"/>
      <c r="K386" s="1075"/>
      <c r="L386" s="1075"/>
      <c r="M386" s="1075"/>
      <c r="N386" s="1075"/>
      <c r="O386" s="1075"/>
      <c r="P386" s="1075"/>
      <c r="Q386" s="1075"/>
      <c r="R386" s="1075"/>
      <c r="S386" s="1075"/>
      <c r="T386" s="1075"/>
      <c r="U386" s="1075"/>
      <c r="V386" s="1075"/>
      <c r="W386" s="1075"/>
      <c r="X386" s="1075"/>
      <c r="Y386" s="1075"/>
      <c r="Z386" s="1075"/>
      <c r="AA386" s="1075"/>
      <c r="AB386" s="1075"/>
      <c r="AC386" s="1075"/>
      <c r="AD386" s="1075"/>
      <c r="AE386" s="1075"/>
      <c r="AF386" s="1075"/>
      <c r="AG386" s="1075"/>
      <c r="AH386" s="1075"/>
      <c r="AI386" s="1075"/>
      <c r="AJ386" s="1075"/>
      <c r="AK386" s="1075"/>
      <c r="AL386" s="1075"/>
      <c r="AM386" s="1075"/>
      <c r="AN386" s="1075"/>
      <c r="AO386" s="1075"/>
      <c r="AP386" s="1075"/>
      <c r="AQ386" s="1075"/>
      <c r="AR386" s="1075"/>
      <c r="AS386" s="1075"/>
      <c r="AT386" s="1075"/>
      <c r="AU386" s="1075"/>
      <c r="AV386" s="1075"/>
    </row>
    <row r="387" spans="1:48" ht="11.25" hidden="1" customHeight="1">
      <c r="A387" s="1075"/>
      <c r="B387" s="1075"/>
      <c r="C387" s="1075"/>
      <c r="D387" s="1075"/>
      <c r="E387" s="1075"/>
      <c r="F387" s="1075"/>
      <c r="G387" s="1075"/>
      <c r="H387" s="1075"/>
      <c r="I387" s="1075"/>
      <c r="J387" s="1075"/>
      <c r="K387" s="1075"/>
      <c r="L387" s="1075"/>
      <c r="M387" s="1075"/>
      <c r="N387" s="1075"/>
      <c r="O387" s="1075"/>
      <c r="P387" s="1075"/>
      <c r="Q387" s="1075"/>
      <c r="R387" s="1075"/>
      <c r="S387" s="1075"/>
      <c r="T387" s="1075"/>
      <c r="U387" s="1075"/>
      <c r="V387" s="1075"/>
      <c r="W387" s="1075"/>
      <c r="X387" s="1075"/>
      <c r="Y387" s="1075"/>
      <c r="Z387" s="1075"/>
      <c r="AA387" s="1075"/>
      <c r="AB387" s="1075"/>
      <c r="AC387" s="1075"/>
      <c r="AD387" s="1075"/>
      <c r="AE387" s="1075"/>
      <c r="AF387" s="1075"/>
      <c r="AG387" s="1075"/>
      <c r="AH387" s="1075"/>
      <c r="AI387" s="1075"/>
      <c r="AJ387" s="1075"/>
      <c r="AK387" s="1075"/>
      <c r="AL387" s="1075"/>
      <c r="AM387" s="1075"/>
      <c r="AN387" s="1075"/>
      <c r="AO387" s="1075"/>
      <c r="AP387" s="1075"/>
      <c r="AQ387" s="1075"/>
      <c r="AR387" s="1075"/>
      <c r="AS387" s="1075"/>
      <c r="AT387" s="1075"/>
      <c r="AU387" s="1075"/>
      <c r="AV387" s="1075"/>
    </row>
    <row r="388" spans="1:48" ht="11.25" hidden="1" customHeight="1">
      <c r="A388" s="1075"/>
      <c r="B388" s="1075"/>
      <c r="C388" s="1075"/>
      <c r="D388" s="1075"/>
      <c r="E388" s="1075"/>
      <c r="F388" s="1075"/>
      <c r="G388" s="1075"/>
      <c r="H388" s="1075"/>
      <c r="I388" s="1075"/>
      <c r="J388" s="1075"/>
      <c r="K388" s="1075"/>
      <c r="L388" s="1075"/>
      <c r="M388" s="1075"/>
      <c r="N388" s="1075"/>
      <c r="O388" s="1075"/>
      <c r="P388" s="1075"/>
      <c r="Q388" s="1075"/>
      <c r="R388" s="1075"/>
      <c r="S388" s="1075"/>
      <c r="T388" s="1075"/>
      <c r="U388" s="1075"/>
      <c r="V388" s="1075"/>
      <c r="W388" s="1075"/>
      <c r="X388" s="1075"/>
      <c r="Y388" s="1075"/>
      <c r="Z388" s="1075"/>
      <c r="AA388" s="1075"/>
      <c r="AB388" s="1075"/>
      <c r="AC388" s="1075"/>
      <c r="AD388" s="1075"/>
      <c r="AE388" s="1075"/>
      <c r="AF388" s="1075"/>
      <c r="AG388" s="1075"/>
      <c r="AH388" s="1075"/>
      <c r="AI388" s="1075"/>
      <c r="AJ388" s="1075"/>
      <c r="AK388" s="1075"/>
      <c r="AL388" s="1075"/>
      <c r="AM388" s="1075"/>
      <c r="AN388" s="1075"/>
      <c r="AO388" s="1075"/>
      <c r="AP388" s="1075"/>
      <c r="AQ388" s="1075"/>
      <c r="AR388" s="1075"/>
      <c r="AS388" s="1075"/>
      <c r="AT388" s="1075"/>
      <c r="AU388" s="1075"/>
      <c r="AV388" s="1075"/>
    </row>
    <row r="389" spans="1:48" ht="11.25" hidden="1" customHeight="1">
      <c r="A389" s="1075"/>
      <c r="B389" s="1075"/>
      <c r="C389" s="1075"/>
      <c r="D389" s="1075"/>
      <c r="E389" s="1075"/>
      <c r="F389" s="1075"/>
      <c r="G389" s="1075"/>
      <c r="H389" s="1075"/>
      <c r="I389" s="1075"/>
      <c r="J389" s="1075"/>
      <c r="K389" s="1075"/>
      <c r="L389" s="1075"/>
      <c r="M389" s="1075"/>
      <c r="N389" s="1075"/>
      <c r="O389" s="1075"/>
      <c r="P389" s="1075"/>
      <c r="Q389" s="1075"/>
      <c r="R389" s="1075"/>
      <c r="S389" s="1075"/>
      <c r="T389" s="1075"/>
      <c r="U389" s="1075"/>
      <c r="V389" s="1075"/>
      <c r="W389" s="1075"/>
      <c r="X389" s="1075"/>
      <c r="Y389" s="1075"/>
      <c r="Z389" s="1075"/>
      <c r="AA389" s="1075"/>
      <c r="AB389" s="1075"/>
      <c r="AC389" s="1075"/>
      <c r="AD389" s="1075"/>
      <c r="AE389" s="1075"/>
      <c r="AF389" s="1075"/>
      <c r="AG389" s="1075"/>
      <c r="AH389" s="1075"/>
      <c r="AI389" s="1075"/>
      <c r="AJ389" s="1075"/>
      <c r="AK389" s="1075"/>
      <c r="AL389" s="1075"/>
      <c r="AM389" s="1075"/>
      <c r="AN389" s="1075"/>
      <c r="AO389" s="1075"/>
      <c r="AP389" s="1075"/>
      <c r="AQ389" s="1075"/>
      <c r="AR389" s="1075"/>
      <c r="AS389" s="1075"/>
      <c r="AT389" s="1075"/>
      <c r="AU389" s="1075"/>
      <c r="AV389" s="1075"/>
    </row>
    <row r="390" spans="1:48" ht="11.25" hidden="1" customHeight="1">
      <c r="A390" s="1075"/>
      <c r="B390" s="1075"/>
      <c r="C390" s="1075"/>
      <c r="D390" s="1075"/>
      <c r="E390" s="1075"/>
      <c r="F390" s="1075"/>
      <c r="G390" s="1075"/>
      <c r="H390" s="1075"/>
      <c r="I390" s="1075"/>
      <c r="J390" s="1075"/>
      <c r="K390" s="1075"/>
      <c r="L390" s="1075"/>
      <c r="M390" s="1075"/>
      <c r="N390" s="1075"/>
      <c r="O390" s="1075"/>
      <c r="P390" s="1075"/>
      <c r="Q390" s="1075"/>
      <c r="R390" s="1075"/>
      <c r="S390" s="1075"/>
      <c r="T390" s="1075"/>
      <c r="U390" s="1075"/>
      <c r="V390" s="1075"/>
      <c r="W390" s="1075"/>
      <c r="X390" s="1075"/>
      <c r="Y390" s="1075"/>
      <c r="Z390" s="1075"/>
      <c r="AA390" s="1075"/>
      <c r="AB390" s="1075"/>
      <c r="AC390" s="1075"/>
      <c r="AD390" s="1075"/>
      <c r="AE390" s="1075"/>
      <c r="AF390" s="1075"/>
      <c r="AG390" s="1075"/>
      <c r="AH390" s="1075"/>
      <c r="AI390" s="1075"/>
      <c r="AJ390" s="1075"/>
      <c r="AK390" s="1075"/>
      <c r="AL390" s="1075"/>
      <c r="AM390" s="1075"/>
      <c r="AN390" s="1075"/>
      <c r="AO390" s="1075"/>
      <c r="AP390" s="1075"/>
      <c r="AQ390" s="1075"/>
      <c r="AR390" s="1075"/>
      <c r="AS390" s="1075"/>
      <c r="AT390" s="1075"/>
      <c r="AU390" s="1075"/>
      <c r="AV390" s="1075"/>
    </row>
    <row r="391" spans="1:48" ht="11.25" hidden="1" customHeight="1">
      <c r="A391" s="1075"/>
      <c r="B391" s="1075"/>
      <c r="C391" s="1075"/>
      <c r="D391" s="1075"/>
      <c r="E391" s="1075"/>
      <c r="F391" s="1075"/>
      <c r="G391" s="1075"/>
      <c r="H391" s="1075"/>
      <c r="I391" s="1075"/>
      <c r="J391" s="1075"/>
      <c r="K391" s="1075"/>
      <c r="L391" s="1075"/>
      <c r="M391" s="1075"/>
      <c r="N391" s="1075"/>
      <c r="O391" s="1075"/>
      <c r="P391" s="1075"/>
      <c r="Q391" s="1075"/>
      <c r="R391" s="1075"/>
      <c r="S391" s="1075"/>
      <c r="T391" s="1075"/>
      <c r="U391" s="1075"/>
      <c r="V391" s="1075"/>
      <c r="W391" s="1075"/>
      <c r="X391" s="1075"/>
      <c r="Y391" s="1075"/>
      <c r="Z391" s="1075"/>
      <c r="AA391" s="1075"/>
      <c r="AB391" s="1075"/>
      <c r="AC391" s="1075"/>
      <c r="AD391" s="1075"/>
      <c r="AE391" s="1075"/>
      <c r="AF391" s="1075"/>
      <c r="AG391" s="1075"/>
      <c r="AH391" s="1075"/>
      <c r="AI391" s="1075"/>
      <c r="AJ391" s="1075"/>
      <c r="AK391" s="1075"/>
      <c r="AL391" s="1075"/>
      <c r="AM391" s="1075"/>
      <c r="AN391" s="1075"/>
      <c r="AO391" s="1075"/>
      <c r="AP391" s="1075"/>
      <c r="AQ391" s="1075"/>
      <c r="AR391" s="1075"/>
      <c r="AS391" s="1075"/>
      <c r="AT391" s="1075"/>
      <c r="AU391" s="1075"/>
      <c r="AV391" s="1075"/>
    </row>
    <row r="392" spans="1:48" ht="11.25" hidden="1" customHeight="1">
      <c r="A392" s="1075"/>
      <c r="B392" s="1075"/>
      <c r="C392" s="1075"/>
      <c r="D392" s="1075"/>
      <c r="E392" s="1075"/>
      <c r="F392" s="1075"/>
      <c r="G392" s="1075"/>
      <c r="H392" s="1075"/>
      <c r="I392" s="1075"/>
      <c r="J392" s="1075"/>
      <c r="K392" s="1075"/>
      <c r="L392" s="1075"/>
      <c r="M392" s="1075"/>
      <c r="N392" s="1075"/>
      <c r="O392" s="1075"/>
      <c r="P392" s="1075"/>
      <c r="Q392" s="1075"/>
      <c r="R392" s="1075"/>
      <c r="S392" s="1075"/>
      <c r="T392" s="1075"/>
      <c r="U392" s="1075"/>
      <c r="V392" s="1075"/>
      <c r="W392" s="1075"/>
      <c r="X392" s="1075"/>
      <c r="Y392" s="1075"/>
      <c r="Z392" s="1075"/>
      <c r="AA392" s="1075"/>
      <c r="AB392" s="1075"/>
      <c r="AC392" s="1075"/>
      <c r="AD392" s="1075"/>
      <c r="AE392" s="1075"/>
      <c r="AF392" s="1075"/>
      <c r="AG392" s="1075"/>
      <c r="AH392" s="1075"/>
      <c r="AI392" s="1075"/>
      <c r="AJ392" s="1075"/>
      <c r="AK392" s="1075"/>
      <c r="AL392" s="1075"/>
      <c r="AM392" s="1075"/>
      <c r="AN392" s="1075"/>
      <c r="AO392" s="1075"/>
      <c r="AP392" s="1075"/>
      <c r="AQ392" s="1075"/>
      <c r="AR392" s="1075"/>
      <c r="AS392" s="1075"/>
      <c r="AT392" s="1075"/>
      <c r="AU392" s="1075"/>
      <c r="AV392" s="1075"/>
    </row>
    <row r="393" spans="1:48" ht="11.25" hidden="1" customHeight="1">
      <c r="A393" s="1075"/>
      <c r="B393" s="1075"/>
      <c r="C393" s="1075"/>
      <c r="D393" s="1075"/>
      <c r="E393" s="1075"/>
      <c r="F393" s="1075"/>
      <c r="G393" s="1075"/>
      <c r="H393" s="1075"/>
      <c r="I393" s="1075"/>
      <c r="J393" s="1075"/>
      <c r="K393" s="1075"/>
      <c r="L393" s="1075"/>
      <c r="M393" s="1075"/>
      <c r="N393" s="1075"/>
      <c r="O393" s="1075"/>
      <c r="P393" s="1075"/>
      <c r="Q393" s="1075"/>
      <c r="R393" s="1075"/>
      <c r="S393" s="1075"/>
      <c r="T393" s="1075"/>
      <c r="U393" s="1075"/>
      <c r="V393" s="1075"/>
      <c r="W393" s="1075"/>
      <c r="X393" s="1075"/>
      <c r="Y393" s="1075"/>
      <c r="Z393" s="1075"/>
      <c r="AA393" s="1075"/>
      <c r="AB393" s="1075"/>
      <c r="AC393" s="1075"/>
      <c r="AD393" s="1075"/>
      <c r="AE393" s="1075"/>
      <c r="AF393" s="1075"/>
      <c r="AG393" s="1075"/>
      <c r="AH393" s="1075"/>
      <c r="AI393" s="1075"/>
      <c r="AJ393" s="1075"/>
      <c r="AK393" s="1075"/>
      <c r="AL393" s="1075"/>
      <c r="AM393" s="1075"/>
      <c r="AN393" s="1075"/>
      <c r="AO393" s="1075"/>
      <c r="AP393" s="1075"/>
      <c r="AQ393" s="1075"/>
      <c r="AR393" s="1075"/>
      <c r="AS393" s="1075"/>
      <c r="AT393" s="1075"/>
      <c r="AU393" s="1075"/>
      <c r="AV393" s="1075"/>
    </row>
    <row r="394" spans="1:48" ht="11.25" hidden="1" customHeight="1">
      <c r="A394" s="1075"/>
      <c r="B394" s="1075"/>
      <c r="C394" s="1075"/>
      <c r="D394" s="1075"/>
      <c r="E394" s="1075"/>
      <c r="F394" s="1075"/>
      <c r="G394" s="1075"/>
      <c r="H394" s="1075"/>
      <c r="I394" s="1075"/>
      <c r="J394" s="1075"/>
      <c r="K394" s="1075"/>
      <c r="L394" s="1075"/>
      <c r="M394" s="1075"/>
      <c r="N394" s="1075"/>
      <c r="O394" s="1075"/>
      <c r="P394" s="1075"/>
      <c r="Q394" s="1075"/>
      <c r="R394" s="1075"/>
      <c r="S394" s="1075"/>
      <c r="T394" s="1075"/>
      <c r="U394" s="1075"/>
      <c r="V394" s="1075"/>
      <c r="W394" s="1075"/>
      <c r="X394" s="1075"/>
      <c r="Y394" s="1075"/>
      <c r="Z394" s="1075"/>
      <c r="AA394" s="1075"/>
      <c r="AB394" s="1075"/>
      <c r="AC394" s="1075"/>
      <c r="AD394" s="1075"/>
      <c r="AE394" s="1075"/>
      <c r="AF394" s="1075"/>
      <c r="AG394" s="1075"/>
      <c r="AH394" s="1075"/>
      <c r="AI394" s="1075"/>
      <c r="AJ394" s="1075"/>
      <c r="AK394" s="1075"/>
      <c r="AL394" s="1075"/>
      <c r="AM394" s="1075"/>
      <c r="AN394" s="1075"/>
      <c r="AO394" s="1075"/>
      <c r="AP394" s="1075"/>
      <c r="AQ394" s="1075"/>
      <c r="AR394" s="1075"/>
      <c r="AS394" s="1075"/>
      <c r="AT394" s="1075"/>
      <c r="AU394" s="1075"/>
      <c r="AV394" s="1075"/>
    </row>
    <row r="395" spans="1:48" ht="11.25" hidden="1" customHeight="1">
      <c r="A395" s="1075"/>
      <c r="B395" s="1075"/>
      <c r="C395" s="1075"/>
      <c r="D395" s="1075"/>
      <c r="E395" s="1075"/>
      <c r="F395" s="1075"/>
      <c r="G395" s="1075"/>
      <c r="H395" s="1075"/>
      <c r="I395" s="1075"/>
      <c r="J395" s="1075"/>
      <c r="K395" s="1075"/>
      <c r="L395" s="1075"/>
      <c r="M395" s="1075"/>
      <c r="N395" s="1075"/>
      <c r="O395" s="1075"/>
      <c r="P395" s="1075"/>
      <c r="Q395" s="1075"/>
      <c r="R395" s="1075"/>
      <c r="S395" s="1075"/>
      <c r="T395" s="1075"/>
      <c r="U395" s="1075"/>
      <c r="V395" s="1075"/>
      <c r="W395" s="1075"/>
      <c r="X395" s="1075"/>
      <c r="Y395" s="1075"/>
      <c r="Z395" s="1075"/>
      <c r="AA395" s="1075"/>
      <c r="AB395" s="1075"/>
      <c r="AC395" s="1075"/>
      <c r="AD395" s="1075"/>
      <c r="AE395" s="1075"/>
      <c r="AF395" s="1075"/>
      <c r="AG395" s="1075"/>
      <c r="AH395" s="1075"/>
      <c r="AI395" s="1075"/>
      <c r="AJ395" s="1075"/>
      <c r="AK395" s="1075"/>
      <c r="AL395" s="1075"/>
      <c r="AM395" s="1075"/>
      <c r="AN395" s="1075"/>
      <c r="AO395" s="1075"/>
      <c r="AP395" s="1075"/>
      <c r="AQ395" s="1075"/>
      <c r="AR395" s="1075"/>
      <c r="AS395" s="1075"/>
      <c r="AT395" s="1075"/>
      <c r="AU395" s="1075"/>
      <c r="AV395" s="1075"/>
    </row>
    <row r="396" spans="1:48" ht="11.25" hidden="1" customHeight="1">
      <c r="A396" s="1075"/>
      <c r="B396" s="1075"/>
      <c r="C396" s="1075"/>
      <c r="D396" s="1075"/>
      <c r="E396" s="1075"/>
      <c r="F396" s="1075"/>
      <c r="G396" s="1075"/>
      <c r="H396" s="1075"/>
      <c r="I396" s="1075"/>
      <c r="J396" s="1075"/>
      <c r="K396" s="1075"/>
      <c r="L396" s="1075"/>
      <c r="M396" s="1075"/>
      <c r="N396" s="1075"/>
      <c r="O396" s="1075"/>
      <c r="P396" s="1075"/>
      <c r="Q396" s="1075"/>
      <c r="R396" s="1075"/>
      <c r="S396" s="1075"/>
      <c r="T396" s="1075"/>
      <c r="U396" s="1075"/>
      <c r="V396" s="1075"/>
      <c r="W396" s="1075"/>
      <c r="X396" s="1075"/>
      <c r="Y396" s="1075"/>
      <c r="Z396" s="1075"/>
      <c r="AA396" s="1075"/>
      <c r="AB396" s="1075"/>
      <c r="AC396" s="1075"/>
      <c r="AD396" s="1075"/>
      <c r="AE396" s="1075"/>
      <c r="AF396" s="1075"/>
      <c r="AG396" s="1075"/>
      <c r="AH396" s="1075"/>
      <c r="AI396" s="1075"/>
      <c r="AJ396" s="1075"/>
      <c r="AK396" s="1075"/>
      <c r="AL396" s="1075"/>
      <c r="AM396" s="1075"/>
      <c r="AN396" s="1075"/>
      <c r="AO396" s="1075"/>
      <c r="AP396" s="1075"/>
      <c r="AQ396" s="1075"/>
      <c r="AR396" s="1075"/>
      <c r="AS396" s="1075"/>
      <c r="AT396" s="1075"/>
      <c r="AU396" s="1075"/>
      <c r="AV396" s="1075"/>
    </row>
    <row r="397" spans="1:48" ht="11.25" hidden="1" customHeight="1">
      <c r="A397" s="1075"/>
      <c r="B397" s="1075"/>
      <c r="C397" s="1075"/>
      <c r="D397" s="1075"/>
      <c r="E397" s="1075"/>
      <c r="F397" s="1075"/>
      <c r="G397" s="1075"/>
      <c r="H397" s="1075"/>
      <c r="I397" s="1075"/>
      <c r="J397" s="1075"/>
      <c r="K397" s="1075"/>
      <c r="L397" s="1075"/>
      <c r="M397" s="1075"/>
      <c r="N397" s="1075"/>
      <c r="O397" s="1075"/>
      <c r="P397" s="1075"/>
      <c r="Q397" s="1075"/>
      <c r="R397" s="1075"/>
      <c r="S397" s="1075"/>
      <c r="T397" s="1075"/>
      <c r="U397" s="1075"/>
      <c r="V397" s="1075"/>
      <c r="W397" s="1075"/>
      <c r="X397" s="1075"/>
      <c r="Y397" s="1075"/>
      <c r="Z397" s="1075"/>
      <c r="AA397" s="1075"/>
      <c r="AB397" s="1075"/>
      <c r="AC397" s="1075"/>
      <c r="AD397" s="1075"/>
      <c r="AE397" s="1075"/>
      <c r="AF397" s="1075"/>
      <c r="AG397" s="1075"/>
      <c r="AH397" s="1075"/>
      <c r="AI397" s="1075"/>
      <c r="AJ397" s="1075"/>
      <c r="AK397" s="1075"/>
      <c r="AL397" s="1075"/>
      <c r="AM397" s="1075"/>
      <c r="AN397" s="1075"/>
      <c r="AO397" s="1075"/>
      <c r="AP397" s="1075"/>
      <c r="AQ397" s="1075"/>
      <c r="AR397" s="1075"/>
      <c r="AS397" s="1075"/>
      <c r="AT397" s="1075"/>
      <c r="AU397" s="1075"/>
      <c r="AV397" s="1075"/>
    </row>
    <row r="398" spans="1:48" ht="11.25" hidden="1" customHeight="1">
      <c r="A398" s="1075"/>
      <c r="B398" s="1075"/>
      <c r="C398" s="1075"/>
      <c r="D398" s="1075"/>
      <c r="E398" s="1075"/>
      <c r="F398" s="1075"/>
      <c r="G398" s="1075"/>
      <c r="H398" s="1075"/>
      <c r="I398" s="1075"/>
      <c r="J398" s="1075"/>
      <c r="K398" s="1075"/>
      <c r="L398" s="1075"/>
      <c r="M398" s="1075"/>
      <c r="N398" s="1075"/>
      <c r="O398" s="1075"/>
      <c r="P398" s="1075"/>
      <c r="Q398" s="1075"/>
      <c r="R398" s="1075"/>
      <c r="S398" s="1075"/>
      <c r="T398" s="1075"/>
      <c r="U398" s="1075"/>
      <c r="V398" s="1075"/>
      <c r="W398" s="1075"/>
      <c r="X398" s="1075"/>
      <c r="Y398" s="1075"/>
      <c r="Z398" s="1075"/>
      <c r="AA398" s="1075"/>
      <c r="AB398" s="1075"/>
      <c r="AC398" s="1075"/>
      <c r="AD398" s="1075"/>
      <c r="AE398" s="1075"/>
      <c r="AF398" s="1075"/>
      <c r="AG398" s="1075"/>
      <c r="AH398" s="1075"/>
      <c r="AI398" s="1075"/>
      <c r="AJ398" s="1075"/>
      <c r="AK398" s="1075"/>
      <c r="AL398" s="1075"/>
      <c r="AM398" s="1075"/>
      <c r="AN398" s="1075"/>
      <c r="AO398" s="1075"/>
      <c r="AP398" s="1075"/>
      <c r="AQ398" s="1075"/>
      <c r="AR398" s="1075"/>
      <c r="AS398" s="1075"/>
      <c r="AT398" s="1075"/>
      <c r="AU398" s="1075"/>
      <c r="AV398" s="1075"/>
    </row>
    <row r="399" spans="1:48" ht="11.25" hidden="1" customHeight="1">
      <c r="A399" s="1075"/>
      <c r="B399" s="1075"/>
      <c r="C399" s="1075"/>
      <c r="D399" s="1075"/>
      <c r="E399" s="1075"/>
      <c r="F399" s="1075"/>
      <c r="G399" s="1075"/>
      <c r="H399" s="1075"/>
      <c r="I399" s="1075"/>
      <c r="J399" s="1075"/>
      <c r="K399" s="1075"/>
      <c r="L399" s="1075"/>
      <c r="M399" s="1075"/>
      <c r="N399" s="1075"/>
      <c r="O399" s="1075"/>
      <c r="P399" s="1075"/>
      <c r="Q399" s="1075"/>
      <c r="R399" s="1075"/>
      <c r="S399" s="1075"/>
      <c r="T399" s="1075"/>
      <c r="U399" s="1075"/>
      <c r="V399" s="1075"/>
      <c r="W399" s="1075"/>
      <c r="X399" s="1075"/>
      <c r="Y399" s="1075"/>
      <c r="Z399" s="1075"/>
      <c r="AA399" s="1075"/>
      <c r="AB399" s="1075"/>
      <c r="AC399" s="1075"/>
      <c r="AD399" s="1075"/>
      <c r="AE399" s="1075"/>
      <c r="AF399" s="1075"/>
      <c r="AG399" s="1075"/>
      <c r="AH399" s="1075"/>
      <c r="AI399" s="1075"/>
      <c r="AJ399" s="1075"/>
      <c r="AK399" s="1075"/>
      <c r="AL399" s="1075"/>
      <c r="AM399" s="1075"/>
      <c r="AN399" s="1075"/>
      <c r="AO399" s="1075"/>
      <c r="AP399" s="1075"/>
      <c r="AQ399" s="1075"/>
      <c r="AR399" s="1075"/>
      <c r="AS399" s="1075"/>
      <c r="AT399" s="1075"/>
      <c r="AU399" s="1075"/>
      <c r="AV399" s="1075"/>
    </row>
    <row r="400" spans="1:48" ht="11.25" hidden="1" customHeight="1">
      <c r="A400" s="1075"/>
      <c r="B400" s="1075"/>
      <c r="C400" s="1075"/>
      <c r="D400" s="1075"/>
      <c r="E400" s="1075"/>
      <c r="F400" s="1075"/>
      <c r="G400" s="1075"/>
      <c r="H400" s="1075"/>
      <c r="I400" s="1075"/>
      <c r="J400" s="1075"/>
      <c r="K400" s="1075"/>
      <c r="L400" s="1075"/>
      <c r="M400" s="1075"/>
      <c r="N400" s="1075"/>
      <c r="O400" s="1075"/>
      <c r="P400" s="1075"/>
      <c r="Q400" s="1075"/>
      <c r="R400" s="1075"/>
      <c r="S400" s="1075"/>
      <c r="T400" s="1075"/>
      <c r="U400" s="1075"/>
      <c r="V400" s="1075"/>
      <c r="W400" s="1075"/>
      <c r="X400" s="1075"/>
      <c r="Y400" s="1075"/>
      <c r="Z400" s="1075"/>
      <c r="AA400" s="1075"/>
      <c r="AB400" s="1075"/>
      <c r="AC400" s="1075"/>
      <c r="AD400" s="1075"/>
      <c r="AE400" s="1075"/>
      <c r="AF400" s="1075"/>
      <c r="AG400" s="1075"/>
      <c r="AH400" s="1075"/>
      <c r="AI400" s="1075"/>
      <c r="AJ400" s="1075"/>
      <c r="AK400" s="1075"/>
      <c r="AL400" s="1075"/>
      <c r="AM400" s="1075"/>
      <c r="AN400" s="1075"/>
      <c r="AO400" s="1075"/>
      <c r="AP400" s="1075"/>
      <c r="AQ400" s="1075"/>
      <c r="AR400" s="1075"/>
      <c r="AS400" s="1075"/>
      <c r="AT400" s="1075"/>
      <c r="AU400" s="1075"/>
      <c r="AV400" s="1075"/>
    </row>
    <row r="401" spans="1:48" ht="11.25" hidden="1" customHeight="1">
      <c r="A401" s="1075"/>
      <c r="B401" s="1075"/>
      <c r="C401" s="1075"/>
      <c r="D401" s="1075"/>
      <c r="E401" s="1075"/>
      <c r="F401" s="1075"/>
      <c r="G401" s="1075"/>
      <c r="H401" s="1075"/>
      <c r="I401" s="1075"/>
      <c r="J401" s="1075"/>
      <c r="K401" s="1075"/>
      <c r="L401" s="1075"/>
      <c r="M401" s="1075"/>
      <c r="N401" s="1075"/>
      <c r="O401" s="1075"/>
      <c r="P401" s="1075"/>
      <c r="Q401" s="1075"/>
      <c r="R401" s="1075"/>
      <c r="S401" s="1075"/>
      <c r="T401" s="1075"/>
      <c r="U401" s="1075"/>
      <c r="V401" s="1075"/>
      <c r="W401" s="1075"/>
      <c r="X401" s="1075"/>
      <c r="Y401" s="1075"/>
      <c r="Z401" s="1075"/>
      <c r="AA401" s="1075"/>
      <c r="AB401" s="1075"/>
      <c r="AC401" s="1075"/>
      <c r="AD401" s="1075"/>
      <c r="AE401" s="1075"/>
      <c r="AF401" s="1075"/>
      <c r="AG401" s="1075"/>
      <c r="AH401" s="1075"/>
      <c r="AI401" s="1075"/>
      <c r="AJ401" s="1075"/>
      <c r="AK401" s="1075"/>
      <c r="AL401" s="1075"/>
      <c r="AM401" s="1075"/>
      <c r="AN401" s="1075"/>
      <c r="AO401" s="1075"/>
      <c r="AP401" s="1075"/>
      <c r="AQ401" s="1075"/>
      <c r="AR401" s="1075"/>
      <c r="AS401" s="1075"/>
      <c r="AT401" s="1075"/>
      <c r="AU401" s="1075"/>
      <c r="AV401" s="1075"/>
    </row>
    <row r="402" spans="1:48" ht="11.25" hidden="1" customHeight="1">
      <c r="A402" s="1075"/>
      <c r="B402" s="1075"/>
      <c r="C402" s="1075"/>
      <c r="D402" s="1075"/>
      <c r="E402" s="1075"/>
      <c r="F402" s="1075"/>
      <c r="G402" s="1075"/>
      <c r="H402" s="1075"/>
      <c r="I402" s="1075"/>
      <c r="J402" s="1075"/>
      <c r="K402" s="1075"/>
      <c r="L402" s="1075"/>
      <c r="M402" s="1075"/>
      <c r="N402" s="1075"/>
      <c r="O402" s="1075"/>
      <c r="P402" s="1075"/>
      <c r="Q402" s="1075"/>
      <c r="R402" s="1075"/>
      <c r="S402" s="1075"/>
      <c r="T402" s="1075"/>
      <c r="U402" s="1075"/>
      <c r="V402" s="1075"/>
      <c r="W402" s="1075"/>
      <c r="X402" s="1075"/>
      <c r="Y402" s="1075"/>
      <c r="Z402" s="1075"/>
      <c r="AA402" s="1075"/>
      <c r="AB402" s="1075"/>
      <c r="AC402" s="1075"/>
      <c r="AD402" s="1075"/>
      <c r="AE402" s="1075"/>
      <c r="AF402" s="1075"/>
      <c r="AG402" s="1075"/>
      <c r="AH402" s="1075"/>
      <c r="AI402" s="1075"/>
      <c r="AJ402" s="1075"/>
      <c r="AK402" s="1075"/>
      <c r="AL402" s="1075"/>
      <c r="AM402" s="1075"/>
      <c r="AN402" s="1075"/>
      <c r="AO402" s="1075"/>
      <c r="AP402" s="1075"/>
      <c r="AQ402" s="1075"/>
      <c r="AR402" s="1075"/>
      <c r="AS402" s="1075"/>
      <c r="AT402" s="1075"/>
      <c r="AU402" s="1075"/>
      <c r="AV402" s="1075"/>
    </row>
    <row r="403" spans="1:48" ht="11.25" hidden="1" customHeight="1">
      <c r="A403" s="1075"/>
      <c r="B403" s="1075"/>
      <c r="C403" s="1075"/>
      <c r="D403" s="1075"/>
      <c r="E403" s="1075"/>
      <c r="F403" s="1075"/>
      <c r="G403" s="1075"/>
      <c r="H403" s="1075"/>
      <c r="I403" s="1075"/>
      <c r="J403" s="1075"/>
      <c r="K403" s="1075"/>
      <c r="L403" s="1075"/>
      <c r="M403" s="1075"/>
      <c r="N403" s="1075"/>
      <c r="O403" s="1075"/>
      <c r="P403" s="1075"/>
      <c r="Q403" s="1075"/>
      <c r="R403" s="1075"/>
      <c r="S403" s="1075"/>
      <c r="T403" s="1075"/>
      <c r="U403" s="1075"/>
      <c r="V403" s="1075"/>
      <c r="W403" s="1075"/>
      <c r="X403" s="1075"/>
      <c r="Y403" s="1075"/>
      <c r="Z403" s="1075"/>
      <c r="AA403" s="1075"/>
      <c r="AB403" s="1075"/>
      <c r="AC403" s="1075"/>
      <c r="AD403" s="1075"/>
      <c r="AE403" s="1075"/>
      <c r="AF403" s="1075"/>
      <c r="AG403" s="1075"/>
      <c r="AH403" s="1075"/>
      <c r="AI403" s="1075"/>
      <c r="AJ403" s="1075"/>
      <c r="AK403" s="1075"/>
      <c r="AL403" s="1075"/>
      <c r="AM403" s="1075"/>
      <c r="AN403" s="1075"/>
      <c r="AO403" s="1075"/>
      <c r="AP403" s="1075"/>
      <c r="AQ403" s="1075"/>
      <c r="AR403" s="1075"/>
      <c r="AS403" s="1075"/>
      <c r="AT403" s="1075"/>
      <c r="AU403" s="1075"/>
      <c r="AV403" s="1075"/>
    </row>
    <row r="404" spans="1:48" ht="11.25" hidden="1" customHeight="1">
      <c r="A404" s="1075"/>
      <c r="B404" s="1075"/>
      <c r="C404" s="1075"/>
      <c r="D404" s="1075"/>
      <c r="E404" s="1075"/>
      <c r="F404" s="1075"/>
      <c r="G404" s="1075"/>
      <c r="H404" s="1075"/>
      <c r="I404" s="1075"/>
      <c r="J404" s="1075"/>
      <c r="K404" s="1075"/>
      <c r="L404" s="1075"/>
      <c r="M404" s="1075"/>
      <c r="N404" s="1075"/>
      <c r="O404" s="1075"/>
      <c r="P404" s="1075"/>
      <c r="Q404" s="1075"/>
      <c r="R404" s="1075"/>
      <c r="S404" s="1075"/>
      <c r="T404" s="1075"/>
      <c r="U404" s="1075"/>
      <c r="V404" s="1075"/>
      <c r="W404" s="1075"/>
      <c r="X404" s="1075"/>
      <c r="Y404" s="1075"/>
      <c r="Z404" s="1075"/>
      <c r="AA404" s="1075"/>
      <c r="AB404" s="1075"/>
      <c r="AC404" s="1075"/>
      <c r="AD404" s="1075"/>
      <c r="AE404" s="1075"/>
      <c r="AF404" s="1075"/>
      <c r="AG404" s="1075"/>
      <c r="AH404" s="1075"/>
      <c r="AI404" s="1075"/>
      <c r="AJ404" s="1075"/>
      <c r="AK404" s="1075"/>
      <c r="AL404" s="1075"/>
      <c r="AM404" s="1075"/>
      <c r="AN404" s="1075"/>
      <c r="AO404" s="1075"/>
      <c r="AP404" s="1075"/>
      <c r="AQ404" s="1075"/>
      <c r="AR404" s="1075"/>
      <c r="AS404" s="1075"/>
      <c r="AT404" s="1075"/>
      <c r="AU404" s="1075"/>
      <c r="AV404" s="1075"/>
    </row>
    <row r="405" spans="1:48" ht="11.25" hidden="1" customHeight="1">
      <c r="A405" s="1075"/>
      <c r="B405" s="1075"/>
      <c r="C405" s="1075"/>
      <c r="D405" s="1075"/>
      <c r="E405" s="1075"/>
      <c r="F405" s="1075"/>
      <c r="G405" s="1075"/>
      <c r="H405" s="1075"/>
      <c r="I405" s="1075"/>
      <c r="J405" s="1075"/>
      <c r="K405" s="1075"/>
      <c r="L405" s="1075"/>
      <c r="M405" s="1075"/>
      <c r="N405" s="1075"/>
      <c r="O405" s="1075"/>
      <c r="P405" s="1075"/>
      <c r="Q405" s="1075"/>
      <c r="R405" s="1075"/>
      <c r="S405" s="1075"/>
      <c r="T405" s="1075"/>
      <c r="U405" s="1075"/>
      <c r="V405" s="1075"/>
      <c r="W405" s="1075"/>
      <c r="X405" s="1075"/>
      <c r="Y405" s="1075"/>
      <c r="Z405" s="1075"/>
      <c r="AA405" s="1075"/>
      <c r="AB405" s="1075"/>
      <c r="AC405" s="1075"/>
      <c r="AD405" s="1075"/>
      <c r="AE405" s="1075"/>
      <c r="AF405" s="1075"/>
      <c r="AG405" s="1075"/>
      <c r="AH405" s="1075"/>
      <c r="AI405" s="1075"/>
      <c r="AJ405" s="1075"/>
      <c r="AK405" s="1075"/>
      <c r="AL405" s="1075"/>
      <c r="AM405" s="1075"/>
      <c r="AN405" s="1075"/>
      <c r="AO405" s="1075"/>
      <c r="AP405" s="1075"/>
      <c r="AQ405" s="1075"/>
      <c r="AR405" s="1075"/>
      <c r="AS405" s="1075"/>
      <c r="AT405" s="1075"/>
      <c r="AU405" s="1075"/>
      <c r="AV405" s="1075"/>
    </row>
    <row r="406" spans="1:48" ht="11.25" hidden="1" customHeight="1">
      <c r="A406" s="1075"/>
      <c r="B406" s="1075"/>
      <c r="C406" s="1075"/>
      <c r="D406" s="1075"/>
      <c r="E406" s="1075"/>
      <c r="F406" s="1075"/>
      <c r="G406" s="1075"/>
      <c r="H406" s="1075"/>
      <c r="I406" s="1075"/>
      <c r="J406" s="1075"/>
      <c r="K406" s="1075"/>
      <c r="L406" s="1075"/>
      <c r="M406" s="1075"/>
      <c r="N406" s="1075"/>
      <c r="O406" s="1075"/>
      <c r="P406" s="1075"/>
      <c r="Q406" s="1075"/>
      <c r="R406" s="1075"/>
      <c r="S406" s="1075"/>
      <c r="T406" s="1075"/>
      <c r="U406" s="1075"/>
      <c r="V406" s="1075"/>
      <c r="W406" s="1075"/>
      <c r="X406" s="1075"/>
      <c r="Y406" s="1075"/>
      <c r="Z406" s="1075"/>
      <c r="AA406" s="1075"/>
      <c r="AB406" s="1075"/>
      <c r="AC406" s="1075"/>
      <c r="AD406" s="1075"/>
      <c r="AE406" s="1075"/>
      <c r="AF406" s="1075"/>
      <c r="AG406" s="1075"/>
      <c r="AH406" s="1075"/>
      <c r="AI406" s="1075"/>
      <c r="AJ406" s="1075"/>
      <c r="AK406" s="1075"/>
      <c r="AL406" s="1075"/>
      <c r="AM406" s="1075"/>
      <c r="AN406" s="1075"/>
      <c r="AO406" s="1075"/>
      <c r="AP406" s="1075"/>
      <c r="AQ406" s="1075"/>
      <c r="AR406" s="1075"/>
      <c r="AS406" s="1075"/>
      <c r="AT406" s="1075"/>
      <c r="AU406" s="1075"/>
      <c r="AV406" s="1075"/>
    </row>
    <row r="407" spans="1:48" ht="11.25" hidden="1" customHeight="1">
      <c r="A407" s="1075"/>
      <c r="B407" s="1075"/>
      <c r="C407" s="1075"/>
      <c r="D407" s="1075"/>
      <c r="E407" s="1075"/>
      <c r="F407" s="1075"/>
      <c r="G407" s="1075"/>
      <c r="H407" s="1075"/>
      <c r="I407" s="1075"/>
      <c r="J407" s="1075"/>
      <c r="K407" s="1075"/>
      <c r="L407" s="1075"/>
      <c r="M407" s="1075"/>
      <c r="N407" s="1075"/>
      <c r="O407" s="1075"/>
      <c r="P407" s="1075"/>
      <c r="Q407" s="1075"/>
      <c r="R407" s="1075"/>
      <c r="S407" s="1075"/>
      <c r="T407" s="1075"/>
      <c r="U407" s="1075"/>
      <c r="V407" s="1075"/>
      <c r="W407" s="1075"/>
      <c r="X407" s="1075"/>
      <c r="Y407" s="1075"/>
      <c r="Z407" s="1075"/>
      <c r="AA407" s="1075"/>
      <c r="AB407" s="1075"/>
      <c r="AC407" s="1075"/>
      <c r="AD407" s="1075"/>
      <c r="AE407" s="1075"/>
      <c r="AF407" s="1075"/>
      <c r="AG407" s="1075"/>
      <c r="AH407" s="1075"/>
      <c r="AI407" s="1075"/>
      <c r="AJ407" s="1075"/>
      <c r="AK407" s="1075"/>
      <c r="AL407" s="1075"/>
      <c r="AM407" s="1075"/>
      <c r="AN407" s="1075"/>
      <c r="AO407" s="1075"/>
      <c r="AP407" s="1075"/>
      <c r="AQ407" s="1075"/>
      <c r="AR407" s="1075"/>
      <c r="AS407" s="1075"/>
      <c r="AT407" s="1075"/>
      <c r="AU407" s="1075"/>
      <c r="AV407" s="1075"/>
    </row>
    <row r="408" spans="1:48" ht="11.25" hidden="1" customHeight="1">
      <c r="A408" s="1075"/>
      <c r="B408" s="1075"/>
      <c r="C408" s="1075"/>
      <c r="D408" s="1075"/>
      <c r="E408" s="1075"/>
      <c r="F408" s="1075"/>
      <c r="G408" s="1075"/>
      <c r="H408" s="1075"/>
      <c r="I408" s="1075"/>
      <c r="J408" s="1075"/>
      <c r="K408" s="1075"/>
      <c r="L408" s="1075"/>
      <c r="M408" s="1075"/>
      <c r="N408" s="1075"/>
      <c r="O408" s="1075"/>
      <c r="P408" s="1075"/>
      <c r="Q408" s="1075"/>
      <c r="R408" s="1075"/>
      <c r="S408" s="1075"/>
      <c r="T408" s="1075"/>
      <c r="U408" s="1075"/>
      <c r="V408" s="1075"/>
      <c r="W408" s="1075"/>
      <c r="X408" s="1075"/>
      <c r="Y408" s="1075"/>
      <c r="Z408" s="1075"/>
      <c r="AA408" s="1075"/>
      <c r="AB408" s="1075"/>
      <c r="AC408" s="1075"/>
      <c r="AD408" s="1075"/>
      <c r="AE408" s="1075"/>
      <c r="AF408" s="1075"/>
      <c r="AG408" s="1075"/>
      <c r="AH408" s="1075"/>
      <c r="AI408" s="1075"/>
      <c r="AJ408" s="1075"/>
      <c r="AK408" s="1075"/>
      <c r="AL408" s="1075"/>
      <c r="AM408" s="1075"/>
      <c r="AN408" s="1075"/>
      <c r="AO408" s="1075"/>
      <c r="AP408" s="1075"/>
      <c r="AQ408" s="1075"/>
      <c r="AR408" s="1075"/>
      <c r="AS408" s="1075"/>
      <c r="AT408" s="1075"/>
      <c r="AU408" s="1075"/>
      <c r="AV408" s="1075"/>
    </row>
    <row r="409" spans="1:48" ht="11.25" hidden="1" customHeight="1">
      <c r="A409" s="1075"/>
      <c r="B409" s="1075"/>
      <c r="C409" s="1075"/>
      <c r="D409" s="1075"/>
      <c r="E409" s="1075"/>
      <c r="F409" s="1075"/>
      <c r="G409" s="1075"/>
      <c r="H409" s="1075"/>
      <c r="I409" s="1075"/>
      <c r="J409" s="1075"/>
      <c r="K409" s="1075"/>
      <c r="L409" s="1075"/>
      <c r="M409" s="1075"/>
      <c r="N409" s="1075"/>
      <c r="O409" s="1075"/>
      <c r="P409" s="1075"/>
      <c r="Q409" s="1075"/>
      <c r="R409" s="1075"/>
      <c r="S409" s="1075"/>
      <c r="T409" s="1075"/>
      <c r="U409" s="1075"/>
      <c r="V409" s="1075"/>
      <c r="W409" s="1075"/>
      <c r="X409" s="1075"/>
      <c r="Y409" s="1075"/>
      <c r="Z409" s="1075"/>
      <c r="AA409" s="1075"/>
      <c r="AB409" s="1075"/>
      <c r="AC409" s="1075"/>
      <c r="AD409" s="1075"/>
      <c r="AE409" s="1075"/>
      <c r="AF409" s="1075"/>
      <c r="AG409" s="1075"/>
      <c r="AH409" s="1075"/>
      <c r="AI409" s="1075"/>
      <c r="AJ409" s="1075"/>
      <c r="AK409" s="1075"/>
      <c r="AL409" s="1075"/>
      <c r="AM409" s="1075"/>
      <c r="AN409" s="1075"/>
      <c r="AO409" s="1075"/>
      <c r="AP409" s="1075"/>
      <c r="AQ409" s="1075"/>
      <c r="AR409" s="1075"/>
      <c r="AS409" s="1075"/>
      <c r="AT409" s="1075"/>
      <c r="AU409" s="1075"/>
      <c r="AV409" s="1075"/>
    </row>
    <row r="410" spans="1:48" ht="11.25" hidden="1" customHeight="1">
      <c r="A410" s="1075"/>
      <c r="B410" s="1075"/>
      <c r="C410" s="1075"/>
      <c r="D410" s="1075"/>
      <c r="E410" s="1075"/>
      <c r="F410" s="1075"/>
      <c r="G410" s="1075"/>
      <c r="H410" s="1075"/>
      <c r="I410" s="1075"/>
      <c r="J410" s="1075"/>
      <c r="K410" s="1075"/>
      <c r="L410" s="1075"/>
      <c r="M410" s="1075"/>
      <c r="N410" s="1075"/>
      <c r="O410" s="1075"/>
      <c r="P410" s="1075"/>
      <c r="Q410" s="1075"/>
      <c r="R410" s="1075"/>
      <c r="S410" s="1075"/>
      <c r="T410" s="1075"/>
      <c r="U410" s="1075"/>
      <c r="V410" s="1075"/>
      <c r="W410" s="1075"/>
      <c r="X410" s="1075"/>
      <c r="Y410" s="1075"/>
      <c r="Z410" s="1075"/>
      <c r="AA410" s="1075"/>
      <c r="AB410" s="1075"/>
      <c r="AC410" s="1075"/>
      <c r="AD410" s="1075"/>
      <c r="AE410" s="1075"/>
      <c r="AF410" s="1075"/>
      <c r="AG410" s="1075"/>
      <c r="AH410" s="1075"/>
      <c r="AI410" s="1075"/>
      <c r="AJ410" s="1075"/>
      <c r="AK410" s="1075"/>
      <c r="AL410" s="1075"/>
      <c r="AM410" s="1075"/>
      <c r="AN410" s="1075"/>
      <c r="AO410" s="1075"/>
      <c r="AP410" s="1075"/>
      <c r="AQ410" s="1075"/>
      <c r="AR410" s="1075"/>
      <c r="AS410" s="1075"/>
      <c r="AT410" s="1075"/>
      <c r="AU410" s="1075"/>
      <c r="AV410" s="1075"/>
    </row>
    <row r="411" spans="1:48" ht="11.25" hidden="1" customHeight="1">
      <c r="A411" s="1075"/>
      <c r="B411" s="1075"/>
      <c r="C411" s="1075"/>
      <c r="D411" s="1075"/>
      <c r="E411" s="1075"/>
      <c r="F411" s="1075"/>
      <c r="G411" s="1075"/>
      <c r="H411" s="1075"/>
      <c r="I411" s="1075"/>
      <c r="J411" s="1075"/>
      <c r="K411" s="1075"/>
      <c r="L411" s="1075"/>
      <c r="M411" s="1075"/>
      <c r="N411" s="1075"/>
      <c r="O411" s="1075"/>
      <c r="P411" s="1075"/>
      <c r="Q411" s="1075"/>
      <c r="R411" s="1075"/>
      <c r="S411" s="1075"/>
      <c r="T411" s="1075"/>
      <c r="U411" s="1075"/>
      <c r="V411" s="1075"/>
      <c r="W411" s="1075"/>
      <c r="X411" s="1075"/>
      <c r="Y411" s="1075"/>
      <c r="Z411" s="1075"/>
      <c r="AA411" s="1075"/>
      <c r="AB411" s="1075"/>
      <c r="AC411" s="1075"/>
      <c r="AD411" s="1075"/>
      <c r="AE411" s="1075"/>
      <c r="AF411" s="1075"/>
      <c r="AG411" s="1075"/>
      <c r="AH411" s="1075"/>
      <c r="AI411" s="1075"/>
      <c r="AJ411" s="1075"/>
      <c r="AK411" s="1075"/>
      <c r="AL411" s="1075"/>
      <c r="AM411" s="1075"/>
      <c r="AN411" s="1075"/>
      <c r="AO411" s="1075"/>
      <c r="AP411" s="1075"/>
      <c r="AQ411" s="1075"/>
      <c r="AR411" s="1075"/>
      <c r="AS411" s="1075"/>
      <c r="AT411" s="1075"/>
      <c r="AU411" s="1075"/>
      <c r="AV411" s="1075"/>
    </row>
    <row r="412" spans="1:48" ht="11.25" hidden="1" customHeight="1">
      <c r="A412" s="1075"/>
      <c r="B412" s="1075"/>
      <c r="C412" s="1075"/>
      <c r="D412" s="1075"/>
      <c r="E412" s="1075"/>
      <c r="F412" s="1075"/>
      <c r="G412" s="1075"/>
      <c r="H412" s="1075"/>
      <c r="I412" s="1075"/>
      <c r="J412" s="1075"/>
      <c r="K412" s="1075"/>
      <c r="L412" s="1075"/>
      <c r="M412" s="1075"/>
      <c r="N412" s="1075"/>
      <c r="O412" s="1075"/>
      <c r="P412" s="1075"/>
      <c r="Q412" s="1075"/>
      <c r="R412" s="1075"/>
      <c r="S412" s="1075"/>
      <c r="T412" s="1075"/>
      <c r="U412" s="1075"/>
      <c r="V412" s="1075"/>
      <c r="W412" s="1075"/>
      <c r="X412" s="1075"/>
      <c r="Y412" s="1075"/>
      <c r="Z412" s="1075"/>
      <c r="AA412" s="1075"/>
      <c r="AB412" s="1075"/>
      <c r="AC412" s="1075"/>
      <c r="AD412" s="1075"/>
      <c r="AE412" s="1075"/>
      <c r="AF412" s="1075"/>
      <c r="AG412" s="1075"/>
      <c r="AH412" s="1075"/>
      <c r="AI412" s="1075"/>
      <c r="AJ412" s="1075"/>
      <c r="AK412" s="1075"/>
      <c r="AL412" s="1075"/>
      <c r="AM412" s="1075"/>
      <c r="AN412" s="1075"/>
      <c r="AO412" s="1075"/>
      <c r="AP412" s="1075"/>
      <c r="AQ412" s="1075"/>
      <c r="AR412" s="1075"/>
      <c r="AS412" s="1075"/>
      <c r="AT412" s="1075"/>
      <c r="AU412" s="1075"/>
      <c r="AV412" s="1075"/>
    </row>
    <row r="413" spans="1:48" ht="11.25" hidden="1" customHeight="1">
      <c r="A413" s="1075"/>
      <c r="B413" s="1075"/>
      <c r="C413" s="1075"/>
      <c r="D413" s="1075"/>
      <c r="E413" s="1075"/>
      <c r="F413" s="1075"/>
      <c r="G413" s="1075"/>
      <c r="H413" s="1075"/>
      <c r="I413" s="1075"/>
      <c r="J413" s="1075"/>
      <c r="K413" s="1075"/>
      <c r="L413" s="1075"/>
      <c r="M413" s="1075"/>
      <c r="N413" s="1075"/>
      <c r="O413" s="1075"/>
      <c r="P413" s="1075"/>
      <c r="Q413" s="1075"/>
      <c r="R413" s="1075"/>
      <c r="S413" s="1075"/>
      <c r="T413" s="1075"/>
      <c r="U413" s="1075"/>
      <c r="V413" s="1075"/>
      <c r="W413" s="1075"/>
      <c r="X413" s="1075"/>
      <c r="Y413" s="1075"/>
      <c r="Z413" s="1075"/>
      <c r="AA413" s="1075"/>
      <c r="AB413" s="1075"/>
      <c r="AC413" s="1075"/>
      <c r="AD413" s="1075"/>
      <c r="AE413" s="1075"/>
      <c r="AF413" s="1075"/>
      <c r="AG413" s="1075"/>
      <c r="AH413" s="1075"/>
      <c r="AI413" s="1075"/>
      <c r="AJ413" s="1075"/>
      <c r="AK413" s="1075"/>
      <c r="AL413" s="1075"/>
      <c r="AM413" s="1075"/>
      <c r="AN413" s="1075"/>
      <c r="AO413" s="1075"/>
      <c r="AP413" s="1075"/>
      <c r="AQ413" s="1075"/>
      <c r="AR413" s="1075"/>
      <c r="AS413" s="1075"/>
      <c r="AT413" s="1075"/>
      <c r="AU413" s="1075"/>
      <c r="AV413" s="1075"/>
    </row>
    <row r="414" spans="1:48" ht="11.25" hidden="1" customHeight="1">
      <c r="A414" s="1075"/>
      <c r="B414" s="1075"/>
      <c r="C414" s="1075"/>
      <c r="D414" s="1075"/>
      <c r="E414" s="1075"/>
      <c r="F414" s="1075"/>
      <c r="G414" s="1075"/>
      <c r="H414" s="1075"/>
      <c r="I414" s="1075"/>
      <c r="J414" s="1075"/>
      <c r="K414" s="1075"/>
      <c r="L414" s="1075"/>
      <c r="M414" s="1075"/>
      <c r="N414" s="1075"/>
      <c r="O414" s="1075"/>
      <c r="P414" s="1075"/>
      <c r="Q414" s="1075"/>
      <c r="R414" s="1075"/>
      <c r="S414" s="1075"/>
      <c r="T414" s="1075"/>
      <c r="U414" s="1075"/>
      <c r="V414" s="1075"/>
      <c r="W414" s="1075"/>
      <c r="X414" s="1075"/>
      <c r="Y414" s="1075"/>
      <c r="Z414" s="1075"/>
      <c r="AA414" s="1075"/>
      <c r="AB414" s="1075"/>
      <c r="AC414" s="1075"/>
      <c r="AD414" s="1075"/>
      <c r="AE414" s="1075"/>
      <c r="AF414" s="1075"/>
      <c r="AG414" s="1075"/>
      <c r="AH414" s="1075"/>
      <c r="AI414" s="1075"/>
      <c r="AJ414" s="1075"/>
      <c r="AK414" s="1075"/>
      <c r="AL414" s="1075"/>
      <c r="AM414" s="1075"/>
      <c r="AN414" s="1075"/>
      <c r="AO414" s="1075"/>
      <c r="AP414" s="1075"/>
      <c r="AQ414" s="1075"/>
      <c r="AR414" s="1075"/>
      <c r="AS414" s="1075"/>
      <c r="AT414" s="1075"/>
      <c r="AU414" s="1075"/>
      <c r="AV414" s="1075"/>
    </row>
    <row r="415" spans="1:48" ht="11.25" hidden="1" customHeight="1">
      <c r="A415" s="1075"/>
      <c r="B415" s="1075"/>
      <c r="C415" s="1075"/>
      <c r="D415" s="1075"/>
      <c r="E415" s="1075"/>
      <c r="F415" s="1075"/>
      <c r="G415" s="1075"/>
      <c r="H415" s="1075"/>
      <c r="I415" s="1075"/>
      <c r="J415" s="1075"/>
      <c r="K415" s="1075"/>
      <c r="L415" s="1075"/>
      <c r="M415" s="1075"/>
      <c r="N415" s="1075"/>
      <c r="O415" s="1075"/>
      <c r="P415" s="1075"/>
      <c r="Q415" s="1075"/>
      <c r="R415" s="1075"/>
      <c r="S415" s="1075"/>
      <c r="T415" s="1075"/>
      <c r="U415" s="1075"/>
      <c r="V415" s="1075"/>
      <c r="W415" s="1075"/>
      <c r="X415" s="1075"/>
      <c r="Y415" s="1075"/>
      <c r="Z415" s="1075"/>
      <c r="AA415" s="1075"/>
      <c r="AB415" s="1075"/>
      <c r="AC415" s="1075"/>
      <c r="AD415" s="1075"/>
      <c r="AE415" s="1075"/>
      <c r="AF415" s="1075"/>
      <c r="AG415" s="1075"/>
      <c r="AH415" s="1075"/>
      <c r="AI415" s="1075"/>
      <c r="AJ415" s="1075"/>
      <c r="AK415" s="1075"/>
      <c r="AL415" s="1075"/>
      <c r="AM415" s="1075"/>
      <c r="AN415" s="1075"/>
      <c r="AO415" s="1075"/>
      <c r="AP415" s="1075"/>
      <c r="AQ415" s="1075"/>
      <c r="AR415" s="1075"/>
      <c r="AS415" s="1075"/>
      <c r="AT415" s="1075"/>
      <c r="AU415" s="1075"/>
      <c r="AV415" s="1075"/>
    </row>
    <row r="416" spans="1:48" ht="11.25" hidden="1" customHeight="1">
      <c r="A416" s="1075"/>
      <c r="B416" s="1075"/>
      <c r="C416" s="1075"/>
      <c r="D416" s="1075"/>
      <c r="E416" s="1075"/>
      <c r="F416" s="1075"/>
      <c r="G416" s="1075"/>
      <c r="H416" s="1075"/>
      <c r="I416" s="1075"/>
      <c r="J416" s="1075"/>
      <c r="K416" s="1075"/>
      <c r="L416" s="1075"/>
      <c r="M416" s="1075"/>
      <c r="N416" s="1075"/>
      <c r="O416" s="1075"/>
      <c r="P416" s="1075"/>
      <c r="Q416" s="1075"/>
      <c r="R416" s="1075"/>
      <c r="S416" s="1075"/>
      <c r="T416" s="1075"/>
      <c r="U416" s="1075"/>
      <c r="V416" s="1075"/>
      <c r="W416" s="1075"/>
      <c r="X416" s="1075"/>
      <c r="Y416" s="1075"/>
      <c r="Z416" s="1075"/>
      <c r="AA416" s="1075"/>
      <c r="AB416" s="1075"/>
      <c r="AC416" s="1075"/>
      <c r="AD416" s="1075"/>
      <c r="AE416" s="1075"/>
      <c r="AF416" s="1075"/>
      <c r="AG416" s="1075"/>
      <c r="AH416" s="1075"/>
      <c r="AI416" s="1075"/>
      <c r="AJ416" s="1075"/>
      <c r="AK416" s="1075"/>
      <c r="AL416" s="1075"/>
      <c r="AM416" s="1075"/>
      <c r="AN416" s="1075"/>
      <c r="AO416" s="1075"/>
      <c r="AP416" s="1075"/>
      <c r="AQ416" s="1075"/>
      <c r="AR416" s="1075"/>
      <c r="AS416" s="1075"/>
      <c r="AT416" s="1075"/>
      <c r="AU416" s="1075"/>
      <c r="AV416" s="1075"/>
    </row>
    <row r="417" spans="1:48" ht="11.25" hidden="1" customHeight="1">
      <c r="A417" s="1075"/>
      <c r="B417" s="1075"/>
      <c r="C417" s="1075"/>
      <c r="D417" s="1075"/>
      <c r="E417" s="1075"/>
      <c r="F417" s="1075"/>
      <c r="G417" s="1075"/>
      <c r="H417" s="1075"/>
      <c r="I417" s="1075"/>
      <c r="J417" s="1075"/>
      <c r="K417" s="1075"/>
      <c r="L417" s="1075"/>
      <c r="M417" s="1075"/>
      <c r="N417" s="1075"/>
      <c r="O417" s="1075"/>
      <c r="P417" s="1075"/>
      <c r="Q417" s="1075"/>
      <c r="R417" s="1075"/>
      <c r="S417" s="1075"/>
      <c r="T417" s="1075"/>
      <c r="U417" s="1075"/>
      <c r="V417" s="1075"/>
      <c r="W417" s="1075"/>
      <c r="X417" s="1075"/>
      <c r="Y417" s="1075"/>
      <c r="Z417" s="1075"/>
      <c r="AA417" s="1075"/>
      <c r="AB417" s="1075"/>
      <c r="AC417" s="1075"/>
      <c r="AD417" s="1075"/>
      <c r="AE417" s="1075"/>
      <c r="AF417" s="1075"/>
      <c r="AG417" s="1075"/>
      <c r="AH417" s="1075"/>
      <c r="AI417" s="1075"/>
      <c r="AJ417" s="1075"/>
      <c r="AK417" s="1075"/>
      <c r="AL417" s="1075"/>
      <c r="AM417" s="1075"/>
      <c r="AN417" s="1075"/>
      <c r="AO417" s="1075"/>
      <c r="AP417" s="1075"/>
      <c r="AQ417" s="1075"/>
      <c r="AR417" s="1075"/>
      <c r="AS417" s="1075"/>
      <c r="AT417" s="1075"/>
      <c r="AU417" s="1075"/>
      <c r="AV417" s="1075"/>
    </row>
    <row r="418" spans="1:48" ht="11.25" hidden="1" customHeight="1">
      <c r="A418" s="1075"/>
      <c r="B418" s="1075"/>
      <c r="C418" s="1075"/>
      <c r="D418" s="1075"/>
      <c r="E418" s="1075"/>
      <c r="F418" s="1075"/>
      <c r="G418" s="1075"/>
      <c r="H418" s="1075"/>
      <c r="I418" s="1075"/>
      <c r="J418" s="1075"/>
      <c r="K418" s="1075"/>
      <c r="L418" s="1075"/>
      <c r="M418" s="1075"/>
      <c r="N418" s="1075"/>
      <c r="O418" s="1075"/>
      <c r="P418" s="1075"/>
      <c r="Q418" s="1075"/>
      <c r="R418" s="1075"/>
      <c r="S418" s="1075"/>
      <c r="T418" s="1075"/>
      <c r="U418" s="1075"/>
      <c r="V418" s="1075"/>
      <c r="W418" s="1075"/>
      <c r="X418" s="1075"/>
      <c r="Y418" s="1075"/>
      <c r="Z418" s="1075"/>
      <c r="AA418" s="1075"/>
      <c r="AB418" s="1075"/>
      <c r="AC418" s="1075"/>
      <c r="AD418" s="1075"/>
      <c r="AE418" s="1075"/>
      <c r="AF418" s="1075"/>
      <c r="AG418" s="1075"/>
      <c r="AH418" s="1075"/>
      <c r="AI418" s="1075"/>
      <c r="AJ418" s="1075"/>
      <c r="AK418" s="1075"/>
      <c r="AL418" s="1075"/>
      <c r="AM418" s="1075"/>
      <c r="AN418" s="1075"/>
      <c r="AO418" s="1075"/>
      <c r="AP418" s="1075"/>
      <c r="AQ418" s="1075"/>
      <c r="AR418" s="1075"/>
      <c r="AS418" s="1075"/>
      <c r="AT418" s="1075"/>
      <c r="AU418" s="1075"/>
      <c r="AV418" s="1075"/>
    </row>
    <row r="419" spans="1:48" ht="11.25" hidden="1" customHeight="1">
      <c r="A419" s="1075"/>
      <c r="B419" s="1075"/>
      <c r="C419" s="1075"/>
      <c r="D419" s="1075"/>
      <c r="E419" s="1075"/>
      <c r="F419" s="1075"/>
      <c r="G419" s="1075"/>
      <c r="H419" s="1075"/>
      <c r="I419" s="1075"/>
      <c r="J419" s="1075"/>
      <c r="K419" s="1075"/>
      <c r="L419" s="1075"/>
      <c r="M419" s="1075"/>
      <c r="N419" s="1075"/>
      <c r="O419" s="1075"/>
      <c r="P419" s="1075"/>
      <c r="Q419" s="1075"/>
      <c r="R419" s="1075"/>
      <c r="S419" s="1075"/>
      <c r="T419" s="1075"/>
      <c r="U419" s="1075"/>
      <c r="V419" s="1075"/>
      <c r="W419" s="1075"/>
      <c r="X419" s="1075"/>
      <c r="Y419" s="1075"/>
      <c r="Z419" s="1075"/>
      <c r="AA419" s="1075"/>
      <c r="AB419" s="1075"/>
      <c r="AC419" s="1075"/>
      <c r="AD419" s="1075"/>
      <c r="AE419" s="1075"/>
      <c r="AF419" s="1075"/>
      <c r="AG419" s="1075"/>
      <c r="AH419" s="1075"/>
      <c r="AI419" s="1075"/>
      <c r="AJ419" s="1075"/>
      <c r="AK419" s="1075"/>
      <c r="AL419" s="1075"/>
      <c r="AM419" s="1075"/>
      <c r="AN419" s="1075"/>
      <c r="AO419" s="1075"/>
      <c r="AP419" s="1075"/>
      <c r="AQ419" s="1075"/>
      <c r="AR419" s="1075"/>
      <c r="AS419" s="1075"/>
      <c r="AT419" s="1075"/>
      <c r="AU419" s="1075"/>
      <c r="AV419" s="1075"/>
    </row>
    <row r="420" spans="1:48" ht="11.25" hidden="1" customHeight="1">
      <c r="A420" s="1075"/>
      <c r="B420" s="1075"/>
      <c r="C420" s="1075"/>
      <c r="D420" s="1075"/>
      <c r="E420" s="1075"/>
      <c r="F420" s="1075"/>
      <c r="G420" s="1075"/>
      <c r="H420" s="1075"/>
      <c r="I420" s="1075"/>
      <c r="J420" s="1075"/>
      <c r="K420" s="1075"/>
      <c r="L420" s="1075"/>
      <c r="M420" s="1075"/>
      <c r="N420" s="1075"/>
      <c r="O420" s="1075"/>
      <c r="P420" s="1075"/>
      <c r="Q420" s="1075"/>
      <c r="R420" s="1075"/>
      <c r="S420" s="1075"/>
      <c r="T420" s="1075"/>
      <c r="U420" s="1075"/>
      <c r="V420" s="1075"/>
      <c r="W420" s="1075"/>
      <c r="X420" s="1075"/>
      <c r="Y420" s="1075"/>
      <c r="Z420" s="1075"/>
      <c r="AA420" s="1075"/>
      <c r="AB420" s="1075"/>
      <c r="AC420" s="1075"/>
      <c r="AD420" s="1075"/>
      <c r="AE420" s="1075"/>
      <c r="AF420" s="1075"/>
      <c r="AG420" s="1075"/>
      <c r="AH420" s="1075"/>
      <c r="AI420" s="1075"/>
      <c r="AJ420" s="1075"/>
      <c r="AK420" s="1075"/>
      <c r="AL420" s="1075"/>
      <c r="AM420" s="1075"/>
      <c r="AN420" s="1075"/>
      <c r="AO420" s="1075"/>
      <c r="AP420" s="1075"/>
      <c r="AQ420" s="1075"/>
      <c r="AR420" s="1075"/>
      <c r="AS420" s="1075"/>
      <c r="AT420" s="1075"/>
      <c r="AU420" s="1075"/>
      <c r="AV420" s="1075"/>
    </row>
    <row r="421" spans="1:48" ht="11.25" hidden="1" customHeight="1">
      <c r="A421" s="1075"/>
      <c r="B421" s="1075"/>
      <c r="C421" s="1075"/>
      <c r="D421" s="1075"/>
      <c r="E421" s="1075"/>
      <c r="F421" s="1075"/>
      <c r="G421" s="1075"/>
      <c r="H421" s="1075"/>
      <c r="I421" s="1075"/>
      <c r="J421" s="1075"/>
      <c r="K421" s="1075"/>
      <c r="L421" s="1075"/>
      <c r="M421" s="1075"/>
      <c r="N421" s="1075"/>
      <c r="O421" s="1075"/>
      <c r="P421" s="1075"/>
      <c r="Q421" s="1075"/>
      <c r="R421" s="1075"/>
      <c r="S421" s="1075"/>
      <c r="T421" s="1075"/>
      <c r="U421" s="1075"/>
      <c r="V421" s="1075"/>
      <c r="W421" s="1075"/>
      <c r="X421" s="1075"/>
      <c r="Y421" s="1075"/>
      <c r="Z421" s="1075"/>
      <c r="AA421" s="1075"/>
      <c r="AB421" s="1075"/>
      <c r="AC421" s="1075"/>
      <c r="AD421" s="1075"/>
      <c r="AE421" s="1075"/>
      <c r="AF421" s="1075"/>
      <c r="AG421" s="1075"/>
      <c r="AH421" s="1075"/>
      <c r="AI421" s="1075"/>
      <c r="AJ421" s="1075"/>
      <c r="AK421" s="1075"/>
      <c r="AL421" s="1075"/>
      <c r="AM421" s="1075"/>
      <c r="AN421" s="1075"/>
      <c r="AO421" s="1075"/>
      <c r="AP421" s="1075"/>
      <c r="AQ421" s="1075"/>
      <c r="AR421" s="1075"/>
      <c r="AS421" s="1075"/>
      <c r="AT421" s="1075"/>
      <c r="AU421" s="1075"/>
      <c r="AV421" s="1075"/>
    </row>
    <row r="422" spans="1:48" ht="11.25" hidden="1" customHeight="1">
      <c r="A422" s="1075"/>
      <c r="B422" s="1075"/>
      <c r="C422" s="1075"/>
      <c r="D422" s="1075"/>
      <c r="E422" s="1075"/>
      <c r="F422" s="1075"/>
      <c r="G422" s="1075"/>
      <c r="H422" s="1075"/>
      <c r="I422" s="1075"/>
      <c r="J422" s="1075"/>
      <c r="K422" s="1075"/>
      <c r="L422" s="1075"/>
      <c r="M422" s="1075"/>
      <c r="N422" s="1075"/>
      <c r="O422" s="1075"/>
      <c r="P422" s="1075"/>
      <c r="Q422" s="1075"/>
      <c r="R422" s="1075"/>
      <c r="S422" s="1075"/>
      <c r="T422" s="1075"/>
      <c r="U422" s="1075"/>
      <c r="V422" s="1075"/>
      <c r="W422" s="1075"/>
      <c r="X422" s="1075"/>
      <c r="Y422" s="1075"/>
      <c r="Z422" s="1075"/>
      <c r="AA422" s="1075"/>
      <c r="AB422" s="1075"/>
      <c r="AC422" s="1075"/>
      <c r="AD422" s="1075"/>
      <c r="AE422" s="1075"/>
      <c r="AF422" s="1075"/>
      <c r="AG422" s="1075"/>
      <c r="AH422" s="1075"/>
      <c r="AI422" s="1075"/>
      <c r="AJ422" s="1075"/>
      <c r="AK422" s="1075"/>
      <c r="AL422" s="1075"/>
      <c r="AM422" s="1075"/>
      <c r="AN422" s="1075"/>
      <c r="AO422" s="1075"/>
      <c r="AP422" s="1075"/>
      <c r="AQ422" s="1075"/>
      <c r="AR422" s="1075"/>
      <c r="AS422" s="1075"/>
      <c r="AT422" s="1075"/>
      <c r="AU422" s="1075"/>
      <c r="AV422" s="1075"/>
    </row>
    <row r="423" spans="1:48" ht="11.25" hidden="1" customHeight="1">
      <c r="A423" s="1075"/>
      <c r="B423" s="1075"/>
      <c r="C423" s="1075"/>
      <c r="D423" s="1075"/>
      <c r="E423" s="1075"/>
      <c r="F423" s="1075"/>
      <c r="G423" s="1075"/>
      <c r="H423" s="1075"/>
      <c r="I423" s="1075"/>
      <c r="J423" s="1075"/>
      <c r="K423" s="1075"/>
      <c r="L423" s="1075"/>
      <c r="M423" s="1075"/>
      <c r="N423" s="1075"/>
      <c r="O423" s="1075"/>
      <c r="P423" s="1075"/>
      <c r="Q423" s="1075"/>
      <c r="R423" s="1075"/>
      <c r="S423" s="1075"/>
      <c r="T423" s="1075"/>
      <c r="U423" s="1075"/>
      <c r="V423" s="1075"/>
      <c r="W423" s="1075"/>
      <c r="X423" s="1075"/>
      <c r="Y423" s="1075"/>
      <c r="Z423" s="1075"/>
      <c r="AA423" s="1075"/>
      <c r="AB423" s="1075"/>
      <c r="AC423" s="1075"/>
      <c r="AD423" s="1075"/>
      <c r="AE423" s="1075"/>
      <c r="AF423" s="1075"/>
      <c r="AG423" s="1075"/>
      <c r="AH423" s="1075"/>
      <c r="AI423" s="1075"/>
      <c r="AJ423" s="1075"/>
      <c r="AK423" s="1075"/>
      <c r="AL423" s="1075"/>
      <c r="AM423" s="1075"/>
      <c r="AN423" s="1075"/>
      <c r="AO423" s="1075"/>
      <c r="AP423" s="1075"/>
      <c r="AQ423" s="1075"/>
      <c r="AR423" s="1075"/>
      <c r="AS423" s="1075"/>
      <c r="AT423" s="1075"/>
      <c r="AU423" s="1075"/>
      <c r="AV423" s="1075"/>
    </row>
    <row r="424" spans="1:48" ht="11.25" hidden="1" customHeight="1">
      <c r="A424" s="1075"/>
      <c r="B424" s="1075"/>
      <c r="C424" s="1075"/>
      <c r="D424" s="1075"/>
      <c r="E424" s="1075"/>
      <c r="F424" s="1075"/>
      <c r="G424" s="1075"/>
      <c r="H424" s="1075"/>
      <c r="I424" s="1075"/>
      <c r="J424" s="1075"/>
      <c r="K424" s="1075"/>
      <c r="L424" s="1075"/>
      <c r="M424" s="1075"/>
      <c r="N424" s="1075"/>
      <c r="O424" s="1075"/>
      <c r="P424" s="1075"/>
      <c r="Q424" s="1075"/>
      <c r="R424" s="1075"/>
      <c r="S424" s="1075"/>
      <c r="T424" s="1075"/>
      <c r="U424" s="1075"/>
      <c r="V424" s="1075"/>
      <c r="W424" s="1075"/>
      <c r="X424" s="1075"/>
      <c r="Y424" s="1075"/>
      <c r="Z424" s="1075"/>
      <c r="AA424" s="1075"/>
      <c r="AB424" s="1075"/>
      <c r="AC424" s="1075"/>
      <c r="AD424" s="1075"/>
      <c r="AE424" s="1075"/>
      <c r="AF424" s="1075"/>
      <c r="AG424" s="1075"/>
      <c r="AH424" s="1075"/>
      <c r="AI424" s="1075"/>
      <c r="AJ424" s="1075"/>
      <c r="AK424" s="1075"/>
      <c r="AL424" s="1075"/>
      <c r="AM424" s="1075"/>
      <c r="AN424" s="1075"/>
      <c r="AO424" s="1075"/>
      <c r="AP424" s="1075"/>
      <c r="AQ424" s="1075"/>
      <c r="AR424" s="1075"/>
      <c r="AS424" s="1075"/>
      <c r="AT424" s="1075"/>
      <c r="AU424" s="1075"/>
      <c r="AV424" s="1075"/>
    </row>
    <row r="425" spans="1:48" ht="11.25" hidden="1" customHeight="1">
      <c r="A425" s="1075"/>
      <c r="B425" s="1075"/>
      <c r="C425" s="1075"/>
      <c r="D425" s="1075"/>
      <c r="E425" s="1075"/>
      <c r="F425" s="1075"/>
      <c r="G425" s="1075"/>
      <c r="H425" s="1075"/>
      <c r="I425" s="1075"/>
      <c r="J425" s="1075"/>
      <c r="K425" s="1075"/>
      <c r="L425" s="1075"/>
      <c r="M425" s="1075"/>
      <c r="N425" s="1075"/>
      <c r="O425" s="1075"/>
      <c r="P425" s="1075"/>
      <c r="Q425" s="1075"/>
      <c r="R425" s="1075"/>
      <c r="S425" s="1075"/>
      <c r="T425" s="1075"/>
      <c r="U425" s="1075"/>
      <c r="V425" s="1075"/>
      <c r="W425" s="1075"/>
      <c r="X425" s="1075"/>
      <c r="Y425" s="1075"/>
      <c r="Z425" s="1075"/>
      <c r="AA425" s="1075"/>
      <c r="AB425" s="1075"/>
      <c r="AC425" s="1075"/>
      <c r="AD425" s="1075"/>
      <c r="AE425" s="1075"/>
      <c r="AF425" s="1075"/>
      <c r="AG425" s="1075"/>
      <c r="AH425" s="1075"/>
      <c r="AI425" s="1075"/>
      <c r="AJ425" s="1075"/>
      <c r="AK425" s="1075"/>
      <c r="AL425" s="1075"/>
      <c r="AM425" s="1075"/>
      <c r="AN425" s="1075"/>
      <c r="AO425" s="1075"/>
      <c r="AP425" s="1075"/>
      <c r="AQ425" s="1075"/>
      <c r="AR425" s="1075"/>
      <c r="AS425" s="1075"/>
      <c r="AT425" s="1075"/>
      <c r="AU425" s="1075"/>
      <c r="AV425" s="1075"/>
    </row>
    <row r="426" spans="1:48" ht="11.25" hidden="1" customHeight="1">
      <c r="A426" s="1075"/>
      <c r="B426" s="1075"/>
      <c r="C426" s="1075"/>
      <c r="D426" s="1075"/>
      <c r="E426" s="1075"/>
      <c r="F426" s="1075"/>
      <c r="G426" s="1075"/>
      <c r="H426" s="1075"/>
      <c r="I426" s="1075"/>
      <c r="J426" s="1075"/>
      <c r="K426" s="1075"/>
      <c r="L426" s="1075"/>
      <c r="M426" s="1075"/>
      <c r="N426" s="1075"/>
      <c r="O426" s="1075"/>
      <c r="P426" s="1075"/>
      <c r="Q426" s="1075"/>
      <c r="R426" s="1075"/>
      <c r="S426" s="1075"/>
      <c r="T426" s="1075"/>
      <c r="U426" s="1075"/>
      <c r="V426" s="1075"/>
      <c r="W426" s="1075"/>
      <c r="X426" s="1075"/>
      <c r="Y426" s="1075"/>
      <c r="Z426" s="1075"/>
      <c r="AA426" s="1075"/>
      <c r="AB426" s="1075"/>
      <c r="AC426" s="1075"/>
      <c r="AD426" s="1075"/>
      <c r="AE426" s="1075"/>
      <c r="AF426" s="1075"/>
      <c r="AG426" s="1075"/>
      <c r="AH426" s="1075"/>
      <c r="AI426" s="1075"/>
      <c r="AJ426" s="1075"/>
      <c r="AK426" s="1075"/>
      <c r="AL426" s="1075"/>
      <c r="AM426" s="1075"/>
      <c r="AN426" s="1075"/>
      <c r="AO426" s="1075"/>
      <c r="AP426" s="1075"/>
      <c r="AQ426" s="1075"/>
      <c r="AR426" s="1075"/>
      <c r="AS426" s="1075"/>
      <c r="AT426" s="1075"/>
      <c r="AU426" s="1075"/>
      <c r="AV426" s="1075"/>
    </row>
    <row r="427" spans="1:48" ht="11.25" hidden="1" customHeight="1">
      <c r="A427" s="1075"/>
      <c r="B427" s="1075"/>
      <c r="C427" s="1075"/>
      <c r="D427" s="1075"/>
      <c r="E427" s="1075"/>
      <c r="F427" s="1075"/>
      <c r="G427" s="1075"/>
      <c r="H427" s="1075"/>
      <c r="I427" s="1075"/>
      <c r="J427" s="1075"/>
      <c r="K427" s="1075"/>
      <c r="L427" s="1075"/>
      <c r="M427" s="1075"/>
      <c r="N427" s="1075"/>
      <c r="O427" s="1075"/>
      <c r="P427" s="1075"/>
      <c r="Q427" s="1075"/>
      <c r="R427" s="1075"/>
      <c r="S427" s="1075"/>
      <c r="T427" s="1075"/>
      <c r="U427" s="1075"/>
      <c r="V427" s="1075"/>
      <c r="W427" s="1075"/>
      <c r="X427" s="1075"/>
      <c r="Y427" s="1075"/>
      <c r="Z427" s="1075"/>
      <c r="AA427" s="1075"/>
      <c r="AB427" s="1075"/>
      <c r="AC427" s="1075"/>
      <c r="AD427" s="1075"/>
      <c r="AE427" s="1075"/>
      <c r="AF427" s="1075"/>
      <c r="AG427" s="1075"/>
      <c r="AH427" s="1075"/>
      <c r="AI427" s="1075"/>
      <c r="AJ427" s="1075"/>
      <c r="AK427" s="1075"/>
      <c r="AL427" s="1075"/>
      <c r="AM427" s="1075"/>
      <c r="AN427" s="1075"/>
      <c r="AO427" s="1075"/>
      <c r="AP427" s="1075"/>
      <c r="AQ427" s="1075"/>
      <c r="AR427" s="1075"/>
      <c r="AS427" s="1075"/>
      <c r="AT427" s="1075"/>
      <c r="AU427" s="1075"/>
      <c r="AV427" s="1075"/>
    </row>
    <row r="428" spans="1:48" ht="11.25" hidden="1" customHeight="1">
      <c r="A428" s="1075"/>
      <c r="B428" s="1075"/>
      <c r="C428" s="1075"/>
      <c r="D428" s="1075"/>
      <c r="E428" s="1075"/>
      <c r="F428" s="1075"/>
      <c r="G428" s="1075"/>
      <c r="H428" s="1075"/>
      <c r="I428" s="1075"/>
      <c r="J428" s="1075"/>
      <c r="K428" s="1075"/>
      <c r="L428" s="1075"/>
      <c r="M428" s="1075"/>
      <c r="N428" s="1075"/>
      <c r="O428" s="1075"/>
      <c r="P428" s="1075"/>
      <c r="Q428" s="1075"/>
      <c r="R428" s="1075"/>
      <c r="S428" s="1075"/>
      <c r="T428" s="1075"/>
      <c r="U428" s="1075"/>
      <c r="V428" s="1075"/>
      <c r="W428" s="1075"/>
      <c r="X428" s="1075"/>
      <c r="Y428" s="1075"/>
      <c r="Z428" s="1075"/>
      <c r="AA428" s="1075"/>
      <c r="AB428" s="1075"/>
      <c r="AC428" s="1075"/>
      <c r="AD428" s="1075"/>
      <c r="AE428" s="1075"/>
      <c r="AF428" s="1075"/>
      <c r="AG428" s="1075"/>
      <c r="AH428" s="1075"/>
      <c r="AI428" s="1075"/>
      <c r="AJ428" s="1075"/>
      <c r="AK428" s="1075"/>
      <c r="AL428" s="1075"/>
      <c r="AM428" s="1075"/>
      <c r="AN428" s="1075"/>
      <c r="AO428" s="1075"/>
      <c r="AP428" s="1075"/>
      <c r="AQ428" s="1075"/>
      <c r="AR428" s="1075"/>
      <c r="AS428" s="1075"/>
      <c r="AT428" s="1075"/>
      <c r="AU428" s="1075"/>
      <c r="AV428" s="1075"/>
    </row>
    <row r="429" spans="1:48" ht="11.25" hidden="1" customHeight="1">
      <c r="A429" s="1075"/>
      <c r="B429" s="1075"/>
      <c r="C429" s="1075"/>
      <c r="D429" s="1075"/>
      <c r="E429" s="1075"/>
      <c r="F429" s="1075"/>
      <c r="G429" s="1075"/>
      <c r="H429" s="1075"/>
      <c r="I429" s="1075"/>
      <c r="J429" s="1075"/>
      <c r="K429" s="1075"/>
      <c r="L429" s="1075"/>
      <c r="M429" s="1075"/>
      <c r="N429" s="1075"/>
      <c r="O429" s="1075"/>
      <c r="P429" s="1075"/>
      <c r="Q429" s="1075"/>
      <c r="R429" s="1075"/>
      <c r="S429" s="1075"/>
      <c r="T429" s="1075"/>
      <c r="U429" s="1075"/>
      <c r="V429" s="1075"/>
      <c r="W429" s="1075"/>
      <c r="X429" s="1075"/>
      <c r="Y429" s="1075"/>
      <c r="Z429" s="1075"/>
      <c r="AA429" s="1075"/>
      <c r="AB429" s="1075"/>
      <c r="AC429" s="1075"/>
      <c r="AD429" s="1075"/>
      <c r="AE429" s="1075"/>
      <c r="AF429" s="1075"/>
      <c r="AG429" s="1075"/>
      <c r="AH429" s="1075"/>
      <c r="AI429" s="1075"/>
      <c r="AJ429" s="1075"/>
      <c r="AK429" s="1075"/>
      <c r="AL429" s="1075"/>
      <c r="AM429" s="1075"/>
      <c r="AN429" s="1075"/>
      <c r="AO429" s="1075"/>
      <c r="AP429" s="1075"/>
      <c r="AQ429" s="1075"/>
      <c r="AR429" s="1075"/>
      <c r="AS429" s="1075"/>
      <c r="AT429" s="1075"/>
      <c r="AU429" s="1075"/>
      <c r="AV429" s="1075"/>
    </row>
    <row r="430" spans="1:48" ht="11.25" hidden="1" customHeight="1">
      <c r="A430" s="1075"/>
      <c r="B430" s="1075"/>
      <c r="C430" s="1075"/>
      <c r="D430" s="1075"/>
      <c r="E430" s="1075"/>
      <c r="F430" s="1075"/>
      <c r="G430" s="1075"/>
      <c r="H430" s="1075"/>
      <c r="I430" s="1075"/>
      <c r="J430" s="1075"/>
      <c r="K430" s="1075"/>
      <c r="L430" s="1075"/>
      <c r="M430" s="1075"/>
      <c r="N430" s="1075"/>
      <c r="O430" s="1075"/>
      <c r="P430" s="1075"/>
      <c r="Q430" s="1075"/>
      <c r="R430" s="1075"/>
      <c r="S430" s="1075"/>
      <c r="T430" s="1075"/>
      <c r="U430" s="1075"/>
      <c r="V430" s="1075"/>
      <c r="W430" s="1075"/>
      <c r="X430" s="1075"/>
      <c r="Y430" s="1075"/>
      <c r="Z430" s="1075"/>
      <c r="AA430" s="1075"/>
      <c r="AB430" s="1075"/>
      <c r="AC430" s="1075"/>
      <c r="AD430" s="1075"/>
      <c r="AE430" s="1075"/>
      <c r="AF430" s="1075"/>
      <c r="AG430" s="1075"/>
      <c r="AH430" s="1075"/>
      <c r="AI430" s="1075"/>
      <c r="AJ430" s="1075"/>
      <c r="AK430" s="1075"/>
      <c r="AL430" s="1075"/>
      <c r="AM430" s="1075"/>
      <c r="AN430" s="1075"/>
      <c r="AO430" s="1075"/>
      <c r="AP430" s="1075"/>
      <c r="AQ430" s="1075"/>
      <c r="AR430" s="1075"/>
      <c r="AS430" s="1075"/>
      <c r="AT430" s="1075"/>
      <c r="AU430" s="1075"/>
      <c r="AV430" s="1075"/>
    </row>
    <row r="431" spans="1:48" ht="11.25" hidden="1" customHeight="1">
      <c r="A431" s="1075"/>
      <c r="B431" s="1075"/>
      <c r="C431" s="1075"/>
      <c r="D431" s="1075"/>
      <c r="E431" s="1075"/>
      <c r="F431" s="1075"/>
      <c r="G431" s="1075"/>
      <c r="H431" s="1075"/>
      <c r="I431" s="1075"/>
      <c r="J431" s="1075"/>
      <c r="K431" s="1075"/>
      <c r="L431" s="1075"/>
      <c r="M431" s="1075"/>
      <c r="N431" s="1075"/>
      <c r="O431" s="1075"/>
      <c r="P431" s="1075"/>
      <c r="Q431" s="1075"/>
      <c r="R431" s="1075"/>
      <c r="S431" s="1075"/>
      <c r="T431" s="1075"/>
      <c r="U431" s="1075"/>
      <c r="V431" s="1075"/>
      <c r="W431" s="1075"/>
      <c r="X431" s="1075"/>
      <c r="Y431" s="1075"/>
      <c r="Z431" s="1075"/>
      <c r="AA431" s="1075"/>
      <c r="AB431" s="1075"/>
      <c r="AC431" s="1075"/>
      <c r="AD431" s="1075"/>
      <c r="AE431" s="1075"/>
      <c r="AF431" s="1075"/>
      <c r="AG431" s="1075"/>
      <c r="AH431" s="1075"/>
      <c r="AI431" s="1075"/>
      <c r="AJ431" s="1075"/>
      <c r="AK431" s="1075"/>
      <c r="AL431" s="1075"/>
      <c r="AM431" s="1075"/>
      <c r="AN431" s="1075"/>
      <c r="AO431" s="1075"/>
      <c r="AP431" s="1075"/>
      <c r="AQ431" s="1075"/>
      <c r="AR431" s="1075"/>
      <c r="AS431" s="1075"/>
      <c r="AT431" s="1075"/>
      <c r="AU431" s="1075"/>
      <c r="AV431" s="1075"/>
    </row>
    <row r="432" spans="1:48" ht="11.25" hidden="1" customHeight="1">
      <c r="A432" s="1075"/>
      <c r="B432" s="1075"/>
      <c r="C432" s="1075"/>
      <c r="D432" s="1075"/>
      <c r="E432" s="1075"/>
      <c r="F432" s="1075"/>
      <c r="G432" s="1075"/>
      <c r="H432" s="1075"/>
      <c r="I432" s="1075"/>
      <c r="J432" s="1075"/>
      <c r="K432" s="1075"/>
      <c r="L432" s="1075"/>
      <c r="M432" s="1075"/>
      <c r="N432" s="1075"/>
      <c r="O432" s="1075"/>
      <c r="P432" s="1075"/>
      <c r="Q432" s="1075"/>
      <c r="R432" s="1075"/>
      <c r="S432" s="1075"/>
      <c r="T432" s="1075"/>
      <c r="U432" s="1075"/>
      <c r="V432" s="1075"/>
      <c r="W432" s="1075"/>
      <c r="X432" s="1075"/>
      <c r="Y432" s="1075"/>
      <c r="Z432" s="1075"/>
      <c r="AA432" s="1075"/>
      <c r="AB432" s="1075"/>
      <c r="AC432" s="1075"/>
      <c r="AD432" s="1075"/>
      <c r="AE432" s="1075"/>
      <c r="AF432" s="1075"/>
      <c r="AG432" s="1075"/>
      <c r="AH432" s="1075"/>
      <c r="AI432" s="1075"/>
      <c r="AJ432" s="1075"/>
      <c r="AK432" s="1075"/>
      <c r="AL432" s="1075"/>
      <c r="AM432" s="1075"/>
      <c r="AN432" s="1075"/>
      <c r="AO432" s="1075"/>
      <c r="AP432" s="1075"/>
      <c r="AQ432" s="1075"/>
      <c r="AR432" s="1075"/>
      <c r="AS432" s="1075"/>
      <c r="AT432" s="1075"/>
      <c r="AU432" s="1075"/>
      <c r="AV432" s="1075"/>
    </row>
    <row r="433" spans="1:48" ht="11.25" hidden="1" customHeight="1">
      <c r="A433" s="1075"/>
      <c r="B433" s="1075"/>
      <c r="C433" s="1075"/>
      <c r="D433" s="1075"/>
      <c r="E433" s="1075"/>
      <c r="F433" s="1075"/>
      <c r="G433" s="1075"/>
      <c r="H433" s="1075"/>
      <c r="I433" s="1075"/>
      <c r="J433" s="1075"/>
      <c r="K433" s="1075"/>
      <c r="L433" s="1075"/>
      <c r="M433" s="1075"/>
      <c r="N433" s="1075"/>
      <c r="O433" s="1075"/>
      <c r="P433" s="1075"/>
      <c r="Q433" s="1075"/>
      <c r="R433" s="1075"/>
      <c r="S433" s="1075"/>
      <c r="T433" s="1075"/>
      <c r="U433" s="1075"/>
      <c r="V433" s="1075"/>
      <c r="W433" s="1075"/>
      <c r="X433" s="1075"/>
      <c r="Y433" s="1075"/>
      <c r="Z433" s="1075"/>
      <c r="AA433" s="1075"/>
      <c r="AB433" s="1075"/>
      <c r="AC433" s="1075"/>
      <c r="AD433" s="1075"/>
      <c r="AE433" s="1075"/>
      <c r="AF433" s="1075"/>
      <c r="AG433" s="1075"/>
      <c r="AH433" s="1075"/>
      <c r="AI433" s="1075"/>
      <c r="AJ433" s="1075"/>
      <c r="AK433" s="1075"/>
      <c r="AL433" s="1075"/>
      <c r="AM433" s="1075"/>
      <c r="AN433" s="1075"/>
      <c r="AO433" s="1075"/>
      <c r="AP433" s="1075"/>
      <c r="AQ433" s="1075"/>
      <c r="AR433" s="1075"/>
      <c r="AS433" s="1075"/>
      <c r="AT433" s="1075"/>
      <c r="AU433" s="1075"/>
      <c r="AV433" s="1075"/>
    </row>
    <row r="434" spans="1:48" ht="11.25" hidden="1" customHeight="1">
      <c r="A434" s="1075"/>
      <c r="B434" s="1075"/>
      <c r="C434" s="1075"/>
      <c r="D434" s="1075"/>
      <c r="E434" s="1075"/>
      <c r="F434" s="1075"/>
      <c r="G434" s="1075"/>
      <c r="H434" s="1075"/>
      <c r="I434" s="1075"/>
      <c r="J434" s="1075"/>
      <c r="K434" s="1075"/>
      <c r="L434" s="1075"/>
      <c r="M434" s="1075"/>
      <c r="N434" s="1075"/>
      <c r="O434" s="1075"/>
      <c r="P434" s="1075"/>
      <c r="Q434" s="1075"/>
      <c r="R434" s="1075"/>
      <c r="S434" s="1075"/>
      <c r="T434" s="1075"/>
      <c r="U434" s="1075"/>
      <c r="V434" s="1075"/>
      <c r="W434" s="1075"/>
      <c r="X434" s="1075"/>
      <c r="Y434" s="1075"/>
      <c r="Z434" s="1075"/>
      <c r="AA434" s="1075"/>
      <c r="AB434" s="1075"/>
      <c r="AC434" s="1075"/>
      <c r="AD434" s="1075"/>
      <c r="AE434" s="1075"/>
      <c r="AF434" s="1075"/>
      <c r="AG434" s="1075"/>
      <c r="AH434" s="1075"/>
      <c r="AI434" s="1075"/>
      <c r="AJ434" s="1075"/>
      <c r="AK434" s="1075"/>
      <c r="AL434" s="1075"/>
      <c r="AM434" s="1075"/>
      <c r="AN434" s="1075"/>
      <c r="AO434" s="1075"/>
      <c r="AP434" s="1075"/>
      <c r="AQ434" s="1075"/>
      <c r="AR434" s="1075"/>
      <c r="AS434" s="1075"/>
      <c r="AT434" s="1075"/>
      <c r="AU434" s="1075"/>
      <c r="AV434" s="1075"/>
    </row>
    <row r="435" spans="1:48" ht="11.25" hidden="1" customHeight="1">
      <c r="A435" s="1075"/>
      <c r="B435" s="1075"/>
      <c r="C435" s="1075"/>
      <c r="D435" s="1075"/>
      <c r="E435" s="1075"/>
      <c r="F435" s="1075"/>
      <c r="G435" s="1075"/>
      <c r="H435" s="1075"/>
      <c r="I435" s="1075"/>
      <c r="J435" s="1075"/>
      <c r="K435" s="1075"/>
      <c r="L435" s="1075"/>
      <c r="M435" s="1075"/>
      <c r="N435" s="1075"/>
      <c r="O435" s="1075"/>
      <c r="P435" s="1075"/>
      <c r="Q435" s="1075"/>
      <c r="R435" s="1075"/>
      <c r="S435" s="1075"/>
      <c r="T435" s="1075"/>
      <c r="U435" s="1075"/>
      <c r="V435" s="1075"/>
      <c r="W435" s="1075"/>
      <c r="X435" s="1075"/>
      <c r="Y435" s="1075"/>
      <c r="Z435" s="1075"/>
      <c r="AA435" s="1075"/>
      <c r="AB435" s="1075"/>
      <c r="AC435" s="1075"/>
      <c r="AD435" s="1075"/>
      <c r="AE435" s="1075"/>
      <c r="AF435" s="1075"/>
      <c r="AG435" s="1075"/>
      <c r="AH435" s="1075"/>
      <c r="AI435" s="1075"/>
      <c r="AJ435" s="1075"/>
      <c r="AK435" s="1075"/>
      <c r="AL435" s="1075"/>
      <c r="AM435" s="1075"/>
      <c r="AN435" s="1075"/>
      <c r="AO435" s="1075"/>
      <c r="AP435" s="1075"/>
      <c r="AQ435" s="1075"/>
      <c r="AR435" s="1075"/>
      <c r="AS435" s="1075"/>
      <c r="AT435" s="1075"/>
      <c r="AU435" s="1075"/>
      <c r="AV435" s="1075"/>
    </row>
    <row r="436" spans="1:48" ht="11.25" hidden="1" customHeight="1">
      <c r="A436" s="1075"/>
      <c r="B436" s="1075"/>
      <c r="C436" s="1075"/>
      <c r="D436" s="1075"/>
      <c r="E436" s="1075"/>
      <c r="F436" s="1075"/>
      <c r="G436" s="1075"/>
      <c r="H436" s="1075"/>
      <c r="I436" s="1075"/>
      <c r="J436" s="1075"/>
      <c r="K436" s="1075"/>
      <c r="L436" s="1075"/>
      <c r="M436" s="1075"/>
      <c r="N436" s="1075"/>
      <c r="O436" s="1075"/>
      <c r="P436" s="1075"/>
      <c r="Q436" s="1075"/>
      <c r="R436" s="1075"/>
      <c r="S436" s="1075"/>
      <c r="T436" s="1075"/>
      <c r="U436" s="1075"/>
      <c r="V436" s="1075"/>
      <c r="W436" s="1075"/>
      <c r="X436" s="1075"/>
      <c r="Y436" s="1075"/>
      <c r="Z436" s="1075"/>
      <c r="AA436" s="1075"/>
      <c r="AB436" s="1075"/>
      <c r="AC436" s="1075"/>
      <c r="AD436" s="1075"/>
      <c r="AE436" s="1075"/>
      <c r="AF436" s="1075"/>
      <c r="AG436" s="1075"/>
      <c r="AH436" s="1075"/>
      <c r="AI436" s="1075"/>
      <c r="AJ436" s="1075"/>
      <c r="AK436" s="1075"/>
      <c r="AL436" s="1075"/>
      <c r="AM436" s="1075"/>
      <c r="AN436" s="1075"/>
      <c r="AO436" s="1075"/>
      <c r="AP436" s="1075"/>
      <c r="AQ436" s="1075"/>
      <c r="AR436" s="1075"/>
      <c r="AS436" s="1075"/>
      <c r="AT436" s="1075"/>
      <c r="AU436" s="1075"/>
      <c r="AV436" s="1075"/>
    </row>
    <row r="437" spans="1:48" ht="11.25" hidden="1" customHeight="1">
      <c r="A437" s="1075"/>
      <c r="B437" s="1075"/>
      <c r="C437" s="1075"/>
      <c r="D437" s="1075"/>
      <c r="E437" s="1075"/>
      <c r="F437" s="1075"/>
      <c r="G437" s="1075"/>
      <c r="H437" s="1075"/>
      <c r="I437" s="1075"/>
      <c r="J437" s="1075"/>
      <c r="K437" s="1075"/>
      <c r="L437" s="1075"/>
      <c r="M437" s="1075"/>
      <c r="N437" s="1075"/>
      <c r="O437" s="1075"/>
      <c r="P437" s="1075"/>
      <c r="Q437" s="1075"/>
      <c r="R437" s="1075"/>
      <c r="S437" s="1075"/>
      <c r="T437" s="1075"/>
      <c r="U437" s="1075"/>
      <c r="V437" s="1075"/>
      <c r="W437" s="1075"/>
      <c r="X437" s="1075"/>
      <c r="Y437" s="1075"/>
      <c r="Z437" s="1075"/>
      <c r="AA437" s="1075"/>
      <c r="AB437" s="1075"/>
      <c r="AC437" s="1075"/>
      <c r="AD437" s="1075"/>
      <c r="AE437" s="1075"/>
      <c r="AF437" s="1075"/>
      <c r="AG437" s="1075"/>
      <c r="AH437" s="1075"/>
      <c r="AI437" s="1075"/>
      <c r="AJ437" s="1075"/>
      <c r="AK437" s="1075"/>
      <c r="AL437" s="1075"/>
      <c r="AM437" s="1075"/>
      <c r="AN437" s="1075"/>
      <c r="AO437" s="1075"/>
      <c r="AP437" s="1075"/>
      <c r="AQ437" s="1075"/>
      <c r="AR437" s="1075"/>
      <c r="AS437" s="1075"/>
      <c r="AT437" s="1075"/>
      <c r="AU437" s="1075"/>
      <c r="AV437" s="1075"/>
    </row>
    <row r="438" spans="1:48" ht="11.25" hidden="1" customHeight="1">
      <c r="A438" s="1075"/>
      <c r="B438" s="1075"/>
      <c r="C438" s="1075"/>
      <c r="D438" s="1075"/>
      <c r="E438" s="1075"/>
      <c r="F438" s="1075"/>
      <c r="G438" s="1075"/>
      <c r="H438" s="1075"/>
      <c r="I438" s="1075"/>
      <c r="J438" s="1075"/>
      <c r="K438" s="1075"/>
      <c r="L438" s="1075"/>
      <c r="M438" s="1075"/>
      <c r="N438" s="1075"/>
      <c r="O438" s="1075"/>
      <c r="P438" s="1075"/>
      <c r="Q438" s="1075"/>
      <c r="R438" s="1075"/>
      <c r="S438" s="1075"/>
      <c r="T438" s="1075"/>
      <c r="U438" s="1075"/>
      <c r="V438" s="1075"/>
      <c r="W438" s="1075"/>
      <c r="X438" s="1075"/>
      <c r="Y438" s="1075"/>
      <c r="Z438" s="1075"/>
      <c r="AA438" s="1075"/>
      <c r="AB438" s="1075"/>
      <c r="AC438" s="1075"/>
      <c r="AD438" s="1075"/>
      <c r="AE438" s="1075"/>
      <c r="AF438" s="1075"/>
      <c r="AG438" s="1075"/>
      <c r="AH438" s="1075"/>
      <c r="AI438" s="1075"/>
      <c r="AJ438" s="1075"/>
      <c r="AK438" s="1075"/>
      <c r="AL438" s="1075"/>
      <c r="AM438" s="1075"/>
      <c r="AN438" s="1075"/>
      <c r="AO438" s="1075"/>
      <c r="AP438" s="1075"/>
      <c r="AQ438" s="1075"/>
      <c r="AR438" s="1075"/>
      <c r="AS438" s="1075"/>
      <c r="AT438" s="1075"/>
      <c r="AU438" s="1075"/>
      <c r="AV438" s="1075"/>
    </row>
    <row r="439" spans="1:48" ht="11.25" hidden="1" customHeight="1">
      <c r="A439" s="1075"/>
      <c r="B439" s="1075"/>
      <c r="C439" s="1075"/>
      <c r="D439" s="1075"/>
      <c r="E439" s="1075"/>
      <c r="F439" s="1075"/>
      <c r="G439" s="1075"/>
      <c r="H439" s="1075"/>
      <c r="I439" s="1075"/>
      <c r="J439" s="1075"/>
      <c r="K439" s="1075"/>
      <c r="L439" s="1075"/>
      <c r="M439" s="1075"/>
      <c r="N439" s="1075"/>
      <c r="O439" s="1075"/>
      <c r="P439" s="1075"/>
      <c r="Q439" s="1075"/>
      <c r="R439" s="1075"/>
      <c r="S439" s="1075"/>
      <c r="T439" s="1075"/>
      <c r="U439" s="1075"/>
      <c r="V439" s="1075"/>
      <c r="W439" s="1075"/>
      <c r="X439" s="1075"/>
      <c r="Y439" s="1075"/>
      <c r="Z439" s="1075"/>
      <c r="AA439" s="1075"/>
      <c r="AB439" s="1075"/>
      <c r="AC439" s="1075"/>
      <c r="AD439" s="1075"/>
      <c r="AE439" s="1075"/>
      <c r="AF439" s="1075"/>
      <c r="AG439" s="1075"/>
      <c r="AH439" s="1075"/>
      <c r="AI439" s="1075"/>
      <c r="AJ439" s="1075"/>
      <c r="AK439" s="1075"/>
      <c r="AL439" s="1075"/>
      <c r="AM439" s="1075"/>
      <c r="AN439" s="1075"/>
      <c r="AO439" s="1075"/>
      <c r="AP439" s="1075"/>
      <c r="AQ439" s="1075"/>
      <c r="AR439" s="1075"/>
      <c r="AS439" s="1075"/>
      <c r="AT439" s="1075"/>
      <c r="AU439" s="1075"/>
      <c r="AV439" s="1075"/>
    </row>
    <row r="440" spans="1:48" ht="11.25" hidden="1" customHeight="1">
      <c r="A440" s="1075"/>
      <c r="B440" s="1075"/>
      <c r="C440" s="1075"/>
      <c r="D440" s="1075"/>
      <c r="E440" s="1075"/>
      <c r="F440" s="1075"/>
      <c r="G440" s="1075"/>
      <c r="H440" s="1075"/>
      <c r="I440" s="1075"/>
      <c r="J440" s="1075"/>
      <c r="K440" s="1075"/>
      <c r="L440" s="1075"/>
      <c r="M440" s="1075"/>
      <c r="N440" s="1075"/>
      <c r="O440" s="1075"/>
      <c r="P440" s="1075"/>
      <c r="Q440" s="1075"/>
      <c r="R440" s="1075"/>
      <c r="S440" s="1075"/>
      <c r="T440" s="1075"/>
      <c r="U440" s="1075"/>
      <c r="V440" s="1075"/>
      <c r="W440" s="1075"/>
      <c r="X440" s="1075"/>
      <c r="Y440" s="1075"/>
      <c r="Z440" s="1075"/>
      <c r="AA440" s="1075"/>
      <c r="AB440" s="1075"/>
      <c r="AC440" s="1075"/>
      <c r="AD440" s="1075"/>
      <c r="AE440" s="1075"/>
      <c r="AF440" s="1075"/>
      <c r="AG440" s="1075"/>
      <c r="AH440" s="1075"/>
      <c r="AI440" s="1075"/>
      <c r="AJ440" s="1075"/>
      <c r="AK440" s="1075"/>
      <c r="AL440" s="1075"/>
      <c r="AM440" s="1075"/>
      <c r="AN440" s="1075"/>
      <c r="AO440" s="1075"/>
      <c r="AP440" s="1075"/>
      <c r="AQ440" s="1075"/>
      <c r="AR440" s="1075"/>
      <c r="AS440" s="1075"/>
      <c r="AT440" s="1075"/>
      <c r="AU440" s="1075"/>
      <c r="AV440" s="1075"/>
    </row>
    <row r="441" spans="1:48" ht="11.25" hidden="1" customHeight="1">
      <c r="A441" s="1075"/>
      <c r="B441" s="1075"/>
      <c r="C441" s="1075"/>
      <c r="D441" s="1075"/>
      <c r="E441" s="1075"/>
      <c r="F441" s="1075"/>
      <c r="G441" s="1075"/>
      <c r="H441" s="1075"/>
      <c r="I441" s="1075"/>
      <c r="J441" s="1075"/>
      <c r="K441" s="1075"/>
      <c r="L441" s="1075"/>
      <c r="M441" s="1075"/>
      <c r="N441" s="1075"/>
      <c r="O441" s="1075"/>
      <c r="P441" s="1075"/>
      <c r="Q441" s="1075"/>
      <c r="R441" s="1075"/>
      <c r="S441" s="1075"/>
      <c r="T441" s="1075"/>
      <c r="U441" s="1075"/>
      <c r="V441" s="1075"/>
      <c r="W441" s="1075"/>
      <c r="X441" s="1075"/>
      <c r="Y441" s="1075"/>
      <c r="Z441" s="1075"/>
      <c r="AA441" s="1075"/>
      <c r="AB441" s="1075"/>
      <c r="AC441" s="1075"/>
      <c r="AD441" s="1075"/>
      <c r="AE441" s="1075"/>
      <c r="AF441" s="1075"/>
      <c r="AG441" s="1075"/>
      <c r="AH441" s="1075"/>
      <c r="AI441" s="1075"/>
      <c r="AJ441" s="1075"/>
      <c r="AK441" s="1075"/>
      <c r="AL441" s="1075"/>
      <c r="AM441" s="1075"/>
      <c r="AN441" s="1075"/>
      <c r="AO441" s="1075"/>
      <c r="AP441" s="1075"/>
      <c r="AQ441" s="1075"/>
      <c r="AR441" s="1075"/>
      <c r="AS441" s="1075"/>
      <c r="AT441" s="1075"/>
      <c r="AU441" s="1075"/>
      <c r="AV441" s="1075"/>
    </row>
    <row r="442" spans="1:48" ht="11.25" hidden="1" customHeight="1">
      <c r="A442" s="1075"/>
      <c r="B442" s="1075"/>
      <c r="C442" s="1075"/>
      <c r="D442" s="1075"/>
      <c r="E442" s="1075"/>
      <c r="F442" s="1075"/>
      <c r="G442" s="1075"/>
      <c r="H442" s="1075"/>
      <c r="I442" s="1075"/>
      <c r="J442" s="1075"/>
      <c r="K442" s="1075"/>
      <c r="L442" s="1075"/>
      <c r="M442" s="1075"/>
      <c r="N442" s="1075"/>
      <c r="O442" s="1075"/>
      <c r="P442" s="1075"/>
      <c r="Q442" s="1075"/>
      <c r="R442" s="1075"/>
      <c r="S442" s="1075"/>
      <c r="T442" s="1075"/>
      <c r="U442" s="1075"/>
      <c r="V442" s="1075"/>
      <c r="W442" s="1075"/>
      <c r="X442" s="1075"/>
      <c r="Y442" s="1075"/>
      <c r="Z442" s="1075"/>
      <c r="AA442" s="1075"/>
      <c r="AB442" s="1075"/>
      <c r="AC442" s="1075"/>
      <c r="AD442" s="1075"/>
      <c r="AE442" s="1075"/>
      <c r="AF442" s="1075"/>
      <c r="AG442" s="1075"/>
      <c r="AH442" s="1075"/>
      <c r="AI442" s="1075"/>
      <c r="AJ442" s="1075"/>
      <c r="AK442" s="1075"/>
      <c r="AL442" s="1075"/>
      <c r="AM442" s="1075"/>
      <c r="AN442" s="1075"/>
      <c r="AO442" s="1075"/>
      <c r="AP442" s="1075"/>
      <c r="AQ442" s="1075"/>
      <c r="AR442" s="1075"/>
      <c r="AS442" s="1075"/>
      <c r="AT442" s="1075"/>
      <c r="AU442" s="1075"/>
      <c r="AV442" s="1075"/>
    </row>
    <row r="443" spans="1:48" ht="11.25" hidden="1" customHeight="1">
      <c r="A443" s="1075"/>
      <c r="B443" s="1075"/>
      <c r="C443" s="1075"/>
      <c r="D443" s="1075"/>
      <c r="E443" s="1075"/>
      <c r="F443" s="1075"/>
      <c r="G443" s="1075"/>
      <c r="H443" s="1075"/>
      <c r="I443" s="1075"/>
      <c r="J443" s="1075"/>
      <c r="K443" s="1075"/>
      <c r="L443" s="1075"/>
      <c r="M443" s="1075"/>
      <c r="N443" s="1075"/>
      <c r="O443" s="1075"/>
      <c r="P443" s="1075"/>
      <c r="Q443" s="1075"/>
      <c r="R443" s="1075"/>
      <c r="S443" s="1075"/>
      <c r="T443" s="1075"/>
      <c r="U443" s="1075"/>
      <c r="V443" s="1075"/>
      <c r="W443" s="1075"/>
      <c r="X443" s="1075"/>
      <c r="Y443" s="1075"/>
      <c r="Z443" s="1075"/>
      <c r="AA443" s="1075"/>
      <c r="AB443" s="1075"/>
      <c r="AC443" s="1075"/>
      <c r="AD443" s="1075"/>
      <c r="AE443" s="1075"/>
      <c r="AF443" s="1075"/>
      <c r="AG443" s="1075"/>
      <c r="AH443" s="1075"/>
      <c r="AI443" s="1075"/>
      <c r="AJ443" s="1075"/>
      <c r="AK443" s="1075"/>
      <c r="AL443" s="1075"/>
      <c r="AM443" s="1075"/>
      <c r="AN443" s="1075"/>
      <c r="AO443" s="1075"/>
      <c r="AP443" s="1075"/>
      <c r="AQ443" s="1075"/>
      <c r="AR443" s="1075"/>
      <c r="AS443" s="1075"/>
      <c r="AT443" s="1075"/>
      <c r="AU443" s="1075"/>
      <c r="AV443" s="1075"/>
    </row>
    <row r="444" spans="1:48" ht="11.25" hidden="1" customHeight="1">
      <c r="A444" s="1075"/>
      <c r="B444" s="1075"/>
      <c r="C444" s="1075"/>
      <c r="D444" s="1075"/>
      <c r="E444" s="1075"/>
      <c r="F444" s="1075"/>
      <c r="G444" s="1075"/>
      <c r="H444" s="1075"/>
      <c r="I444" s="1075"/>
      <c r="J444" s="1075"/>
      <c r="K444" s="1075"/>
      <c r="L444" s="1075"/>
      <c r="M444" s="1075"/>
      <c r="N444" s="1075"/>
      <c r="O444" s="1075"/>
      <c r="P444" s="1075"/>
      <c r="Q444" s="1075"/>
      <c r="R444" s="1075"/>
      <c r="S444" s="1075"/>
      <c r="T444" s="1075"/>
      <c r="U444" s="1075"/>
      <c r="V444" s="1075"/>
      <c r="W444" s="1075"/>
      <c r="X444" s="1075"/>
      <c r="Y444" s="1075"/>
      <c r="Z444" s="1075"/>
      <c r="AA444" s="1075"/>
      <c r="AB444" s="1075"/>
      <c r="AC444" s="1075"/>
      <c r="AD444" s="1075"/>
      <c r="AE444" s="1075"/>
      <c r="AF444" s="1075"/>
      <c r="AG444" s="1075"/>
      <c r="AH444" s="1075"/>
      <c r="AI444" s="1075"/>
      <c r="AJ444" s="1075"/>
      <c r="AK444" s="1075"/>
      <c r="AL444" s="1075"/>
      <c r="AM444" s="1075"/>
      <c r="AN444" s="1075"/>
      <c r="AO444" s="1075"/>
      <c r="AP444" s="1075"/>
      <c r="AQ444" s="1075"/>
      <c r="AR444" s="1075"/>
      <c r="AS444" s="1075"/>
      <c r="AT444" s="1075"/>
      <c r="AU444" s="1075"/>
      <c r="AV444" s="1075"/>
    </row>
    <row r="445" spans="1:48" ht="11.25" hidden="1" customHeight="1">
      <c r="A445" s="1075"/>
      <c r="B445" s="1075"/>
      <c r="C445" s="1075"/>
      <c r="D445" s="1075"/>
      <c r="E445" s="1075"/>
      <c r="F445" s="1075"/>
      <c r="G445" s="1075"/>
      <c r="H445" s="1075"/>
      <c r="I445" s="1075"/>
      <c r="J445" s="1075"/>
      <c r="K445" s="1075"/>
      <c r="L445" s="1075"/>
      <c r="M445" s="1075"/>
      <c r="N445" s="1075"/>
      <c r="O445" s="1075"/>
      <c r="P445" s="1075"/>
      <c r="Q445" s="1075"/>
      <c r="R445" s="1075"/>
      <c r="S445" s="1075"/>
      <c r="T445" s="1075"/>
      <c r="U445" s="1075"/>
      <c r="V445" s="1075"/>
      <c r="W445" s="1075"/>
      <c r="X445" s="1075"/>
      <c r="Y445" s="1075"/>
      <c r="Z445" s="1075"/>
      <c r="AA445" s="1075"/>
      <c r="AB445" s="1075"/>
      <c r="AC445" s="1075"/>
      <c r="AD445" s="1075"/>
      <c r="AE445" s="1075"/>
      <c r="AF445" s="1075"/>
      <c r="AG445" s="1075"/>
      <c r="AH445" s="1075"/>
      <c r="AI445" s="1075"/>
      <c r="AJ445" s="1075"/>
      <c r="AK445" s="1075"/>
      <c r="AL445" s="1075"/>
      <c r="AM445" s="1075"/>
      <c r="AN445" s="1075"/>
      <c r="AO445" s="1075"/>
      <c r="AP445" s="1075"/>
      <c r="AQ445" s="1075"/>
      <c r="AR445" s="1075"/>
      <c r="AS445" s="1075"/>
      <c r="AT445" s="1075"/>
      <c r="AU445" s="1075"/>
      <c r="AV445" s="1075"/>
    </row>
    <row r="446" spans="1:48" ht="11.25" hidden="1" customHeight="1">
      <c r="A446" s="1075"/>
      <c r="B446" s="1075"/>
      <c r="C446" s="1075"/>
      <c r="D446" s="1075"/>
      <c r="E446" s="1075"/>
      <c r="F446" s="1075"/>
      <c r="G446" s="1075"/>
      <c r="H446" s="1075"/>
      <c r="I446" s="1075"/>
      <c r="J446" s="1075"/>
      <c r="K446" s="1075"/>
      <c r="L446" s="1075"/>
      <c r="M446" s="1075"/>
      <c r="N446" s="1075"/>
      <c r="O446" s="1075"/>
      <c r="P446" s="1075"/>
      <c r="Q446" s="1075"/>
      <c r="R446" s="1075"/>
      <c r="S446" s="1075"/>
      <c r="T446" s="1075"/>
      <c r="U446" s="1075"/>
      <c r="V446" s="1075"/>
      <c r="W446" s="1075"/>
      <c r="X446" s="1075"/>
      <c r="Y446" s="1075"/>
      <c r="Z446" s="1075"/>
      <c r="AA446" s="1075"/>
      <c r="AB446" s="1075"/>
      <c r="AC446" s="1075"/>
      <c r="AD446" s="1075"/>
      <c r="AE446" s="1075"/>
      <c r="AF446" s="1075"/>
      <c r="AG446" s="1075"/>
      <c r="AH446" s="1075"/>
      <c r="AI446" s="1075"/>
      <c r="AJ446" s="1075"/>
      <c r="AK446" s="1075"/>
      <c r="AL446" s="1075"/>
      <c r="AM446" s="1075"/>
      <c r="AN446" s="1075"/>
      <c r="AO446" s="1075"/>
      <c r="AP446" s="1075"/>
      <c r="AQ446" s="1075"/>
      <c r="AR446" s="1075"/>
      <c r="AS446" s="1075"/>
      <c r="AT446" s="1075"/>
      <c r="AU446" s="1075"/>
      <c r="AV446" s="1075"/>
    </row>
    <row r="447" spans="1:48" ht="11.25" hidden="1" customHeight="1">
      <c r="A447" s="1075"/>
      <c r="B447" s="1075"/>
      <c r="C447" s="1075"/>
      <c r="D447" s="1075"/>
      <c r="E447" s="1075"/>
      <c r="F447" s="1075"/>
      <c r="G447" s="1075"/>
      <c r="H447" s="1075"/>
      <c r="I447" s="1075"/>
      <c r="J447" s="1075"/>
      <c r="K447" s="1075"/>
      <c r="L447" s="1075"/>
      <c r="M447" s="1075"/>
      <c r="N447" s="1075"/>
      <c r="O447" s="1075"/>
      <c r="P447" s="1075"/>
      <c r="Q447" s="1075"/>
      <c r="R447" s="1075"/>
      <c r="S447" s="1075"/>
      <c r="T447" s="1075"/>
      <c r="U447" s="1075"/>
      <c r="V447" s="1075"/>
      <c r="W447" s="1075"/>
      <c r="X447" s="1075"/>
      <c r="Y447" s="1075"/>
      <c r="Z447" s="1075"/>
      <c r="AA447" s="1075"/>
      <c r="AB447" s="1075"/>
      <c r="AC447" s="1075"/>
      <c r="AD447" s="1075"/>
      <c r="AE447" s="1075"/>
      <c r="AF447" s="1075"/>
      <c r="AG447" s="1075"/>
      <c r="AH447" s="1075"/>
      <c r="AI447" s="1075"/>
      <c r="AJ447" s="1075"/>
      <c r="AK447" s="1075"/>
      <c r="AL447" s="1075"/>
      <c r="AM447" s="1075"/>
      <c r="AN447" s="1075"/>
      <c r="AO447" s="1075"/>
      <c r="AP447" s="1075"/>
      <c r="AQ447" s="1075"/>
      <c r="AR447" s="1075"/>
      <c r="AS447" s="1075"/>
      <c r="AT447" s="1075"/>
      <c r="AU447" s="1075"/>
      <c r="AV447" s="1075"/>
    </row>
    <row r="448" spans="1:48" ht="11.25" hidden="1" customHeight="1">
      <c r="A448" s="1075"/>
      <c r="B448" s="1075"/>
      <c r="C448" s="1075"/>
      <c r="D448" s="1075"/>
      <c r="E448" s="1075"/>
      <c r="F448" s="1075"/>
      <c r="G448" s="1075"/>
      <c r="H448" s="1075"/>
      <c r="I448" s="1075"/>
      <c r="J448" s="1075"/>
      <c r="K448" s="1075"/>
      <c r="L448" s="1075"/>
      <c r="M448" s="1075"/>
      <c r="N448" s="1075"/>
      <c r="O448" s="1075"/>
      <c r="P448" s="1075"/>
      <c r="Q448" s="1075"/>
      <c r="R448" s="1075"/>
      <c r="S448" s="1075"/>
      <c r="T448" s="1075"/>
      <c r="U448" s="1075"/>
      <c r="V448" s="1075"/>
      <c r="W448" s="1075"/>
      <c r="X448" s="1075"/>
      <c r="Y448" s="1075"/>
      <c r="Z448" s="1075"/>
      <c r="AA448" s="1075"/>
      <c r="AB448" s="1075"/>
      <c r="AC448" s="1075"/>
      <c r="AD448" s="1075"/>
      <c r="AE448" s="1075"/>
      <c r="AF448" s="1075"/>
      <c r="AG448" s="1075"/>
      <c r="AH448" s="1075"/>
      <c r="AI448" s="1075"/>
      <c r="AJ448" s="1075"/>
      <c r="AK448" s="1075"/>
      <c r="AL448" s="1075"/>
      <c r="AM448" s="1075"/>
      <c r="AN448" s="1075"/>
      <c r="AO448" s="1075"/>
      <c r="AP448" s="1075"/>
      <c r="AQ448" s="1075"/>
      <c r="AR448" s="1075"/>
      <c r="AS448" s="1075"/>
      <c r="AT448" s="1075"/>
      <c r="AU448" s="1075"/>
      <c r="AV448" s="1075"/>
    </row>
    <row r="449" spans="1:48" ht="11.25" hidden="1" customHeight="1">
      <c r="A449" s="1075"/>
      <c r="B449" s="1075"/>
      <c r="C449" s="1075"/>
      <c r="D449" s="1075"/>
      <c r="E449" s="1075"/>
      <c r="F449" s="1075"/>
      <c r="G449" s="1075"/>
      <c r="H449" s="1075"/>
      <c r="I449" s="1075"/>
      <c r="J449" s="1075"/>
      <c r="K449" s="1075"/>
      <c r="L449" s="1075"/>
      <c r="M449" s="1075"/>
      <c r="N449" s="1075"/>
      <c r="O449" s="1075"/>
      <c r="P449" s="1075"/>
      <c r="Q449" s="1075"/>
      <c r="R449" s="1075"/>
      <c r="S449" s="1075"/>
      <c r="T449" s="1075"/>
      <c r="U449" s="1075"/>
      <c r="V449" s="1075"/>
      <c r="W449" s="1075"/>
      <c r="X449" s="1075"/>
      <c r="Y449" s="1075"/>
      <c r="Z449" s="1075"/>
      <c r="AA449" s="1075"/>
      <c r="AB449" s="1075"/>
      <c r="AC449" s="1075"/>
      <c r="AD449" s="1075"/>
      <c r="AE449" s="1075"/>
      <c r="AF449" s="1075"/>
      <c r="AG449" s="1075"/>
      <c r="AH449" s="1075"/>
      <c r="AI449" s="1075"/>
      <c r="AJ449" s="1075"/>
      <c r="AK449" s="1075"/>
      <c r="AL449" s="1075"/>
      <c r="AM449" s="1075"/>
      <c r="AN449" s="1075"/>
      <c r="AO449" s="1075"/>
      <c r="AP449" s="1075"/>
      <c r="AQ449" s="1075"/>
      <c r="AR449" s="1075"/>
      <c r="AS449" s="1075"/>
      <c r="AT449" s="1075"/>
      <c r="AU449" s="1075"/>
      <c r="AV449" s="1075"/>
    </row>
    <row r="450" spans="1:48" ht="11.25" hidden="1" customHeight="1">
      <c r="A450" s="1075"/>
      <c r="B450" s="1075"/>
      <c r="C450" s="1075"/>
      <c r="D450" s="1075"/>
      <c r="E450" s="1075"/>
      <c r="F450" s="1075"/>
      <c r="G450" s="1075"/>
      <c r="H450" s="1075"/>
      <c r="I450" s="1075"/>
      <c r="J450" s="1075"/>
      <c r="K450" s="1075"/>
      <c r="L450" s="1075"/>
      <c r="M450" s="1075"/>
      <c r="N450" s="1075"/>
      <c r="O450" s="1075"/>
      <c r="P450" s="1075"/>
      <c r="Q450" s="1075"/>
      <c r="R450" s="1075"/>
      <c r="S450" s="1075"/>
      <c r="T450" s="1075"/>
      <c r="U450" s="1075"/>
      <c r="V450" s="1075"/>
      <c r="W450" s="1075"/>
      <c r="X450" s="1075"/>
      <c r="Y450" s="1075"/>
      <c r="Z450" s="1075"/>
      <c r="AA450" s="1075"/>
      <c r="AB450" s="1075"/>
      <c r="AC450" s="1075"/>
      <c r="AD450" s="1075"/>
      <c r="AE450" s="1075"/>
      <c r="AF450" s="1075"/>
      <c r="AG450" s="1075"/>
      <c r="AH450" s="1075"/>
      <c r="AI450" s="1075"/>
      <c r="AJ450" s="1075"/>
      <c r="AK450" s="1075"/>
      <c r="AL450" s="1075"/>
      <c r="AM450" s="1075"/>
      <c r="AN450" s="1075"/>
      <c r="AO450" s="1075"/>
      <c r="AP450" s="1075"/>
      <c r="AQ450" s="1075"/>
      <c r="AR450" s="1075"/>
      <c r="AS450" s="1075"/>
      <c r="AT450" s="1075"/>
      <c r="AU450" s="1075"/>
      <c r="AV450" s="1075"/>
    </row>
    <row r="451" spans="1:48" ht="11.25" hidden="1" customHeight="1">
      <c r="A451" s="1075"/>
      <c r="B451" s="1075"/>
      <c r="C451" s="1075"/>
      <c r="D451" s="1075"/>
      <c r="E451" s="1075"/>
      <c r="F451" s="1075"/>
      <c r="G451" s="1075"/>
      <c r="H451" s="1075"/>
      <c r="I451" s="1075"/>
      <c r="J451" s="1075"/>
      <c r="K451" s="1075"/>
      <c r="L451" s="1075"/>
      <c r="M451" s="1075"/>
      <c r="N451" s="1075"/>
      <c r="O451" s="1075"/>
      <c r="P451" s="1075"/>
      <c r="Q451" s="1075"/>
      <c r="R451" s="1075"/>
      <c r="S451" s="1075"/>
      <c r="T451" s="1075"/>
      <c r="U451" s="1075"/>
      <c r="V451" s="1075"/>
      <c r="W451" s="1075"/>
      <c r="X451" s="1075"/>
      <c r="Y451" s="1075"/>
      <c r="Z451" s="1075"/>
      <c r="AA451" s="1075"/>
      <c r="AB451" s="1075"/>
      <c r="AC451" s="1075"/>
      <c r="AD451" s="1075"/>
      <c r="AE451" s="1075"/>
      <c r="AF451" s="1075"/>
      <c r="AG451" s="1075"/>
      <c r="AH451" s="1075"/>
      <c r="AI451" s="1075"/>
      <c r="AJ451" s="1075"/>
      <c r="AK451" s="1075"/>
      <c r="AL451" s="1075"/>
      <c r="AM451" s="1075"/>
      <c r="AN451" s="1075"/>
      <c r="AO451" s="1075"/>
      <c r="AP451" s="1075"/>
      <c r="AQ451" s="1075"/>
      <c r="AR451" s="1075"/>
      <c r="AS451" s="1075"/>
      <c r="AT451" s="1075"/>
      <c r="AU451" s="1075"/>
      <c r="AV451" s="1075"/>
    </row>
    <row r="452" spans="1:48" ht="11.25" hidden="1" customHeight="1">
      <c r="A452" s="1075"/>
      <c r="B452" s="1075"/>
      <c r="C452" s="1075"/>
      <c r="D452" s="1075"/>
      <c r="E452" s="1075"/>
      <c r="F452" s="1075"/>
      <c r="G452" s="1075"/>
      <c r="H452" s="1075"/>
      <c r="I452" s="1075"/>
      <c r="J452" s="1075"/>
      <c r="K452" s="1075"/>
      <c r="L452" s="1075"/>
      <c r="M452" s="1075"/>
      <c r="N452" s="1075"/>
      <c r="O452" s="1075"/>
      <c r="P452" s="1075"/>
      <c r="Q452" s="1075"/>
      <c r="R452" s="1075"/>
      <c r="S452" s="1075"/>
      <c r="T452" s="1075"/>
      <c r="U452" s="1075"/>
      <c r="V452" s="1075"/>
      <c r="W452" s="1075"/>
      <c r="X452" s="1075"/>
      <c r="Y452" s="1075"/>
      <c r="Z452" s="1075"/>
      <c r="AA452" s="1075"/>
      <c r="AB452" s="1075"/>
      <c r="AC452" s="1075"/>
      <c r="AD452" s="1075"/>
      <c r="AE452" s="1075"/>
      <c r="AF452" s="1075"/>
      <c r="AG452" s="1075"/>
      <c r="AH452" s="1075"/>
      <c r="AI452" s="1075"/>
      <c r="AJ452" s="1075"/>
      <c r="AK452" s="1075"/>
      <c r="AL452" s="1075"/>
      <c r="AM452" s="1075"/>
      <c r="AN452" s="1075"/>
      <c r="AO452" s="1075"/>
      <c r="AP452" s="1075"/>
      <c r="AQ452" s="1075"/>
      <c r="AR452" s="1075"/>
      <c r="AS452" s="1075"/>
      <c r="AT452" s="1075"/>
      <c r="AU452" s="1075"/>
      <c r="AV452" s="1075"/>
    </row>
    <row r="453" spans="1:48" ht="11.25" hidden="1" customHeight="1">
      <c r="A453" s="1075"/>
      <c r="B453" s="1075"/>
      <c r="C453" s="1075"/>
      <c r="D453" s="1075"/>
      <c r="E453" s="1075"/>
      <c r="F453" s="1075"/>
      <c r="G453" s="1075"/>
      <c r="H453" s="1075"/>
      <c r="I453" s="1075"/>
      <c r="J453" s="1075"/>
      <c r="K453" s="1075"/>
      <c r="L453" s="1075"/>
      <c r="M453" s="1075"/>
      <c r="N453" s="1075"/>
      <c r="O453" s="1075"/>
      <c r="P453" s="1075"/>
      <c r="Q453" s="1075"/>
      <c r="R453" s="1075"/>
      <c r="S453" s="1075"/>
      <c r="T453" s="1075"/>
      <c r="U453" s="1075"/>
      <c r="V453" s="1075"/>
      <c r="W453" s="1075"/>
      <c r="X453" s="1075"/>
      <c r="Y453" s="1075"/>
      <c r="Z453" s="1075"/>
      <c r="AA453" s="1075"/>
      <c r="AB453" s="1075"/>
      <c r="AC453" s="1075"/>
      <c r="AD453" s="1075"/>
      <c r="AE453" s="1075"/>
      <c r="AF453" s="1075"/>
      <c r="AG453" s="1075"/>
      <c r="AH453" s="1075"/>
      <c r="AI453" s="1075"/>
      <c r="AJ453" s="1075"/>
      <c r="AK453" s="1075"/>
      <c r="AL453" s="1075"/>
      <c r="AM453" s="1075"/>
      <c r="AN453" s="1075"/>
      <c r="AO453" s="1075"/>
      <c r="AP453" s="1075"/>
      <c r="AQ453" s="1075"/>
      <c r="AR453" s="1075"/>
      <c r="AS453" s="1075"/>
      <c r="AT453" s="1075"/>
      <c r="AU453" s="1075"/>
      <c r="AV453" s="1075"/>
    </row>
    <row r="454" spans="1:48" ht="11.25" hidden="1" customHeight="1">
      <c r="A454" s="1075"/>
      <c r="B454" s="1075"/>
      <c r="C454" s="1075"/>
      <c r="D454" s="1075"/>
      <c r="E454" s="1075"/>
      <c r="F454" s="1075"/>
      <c r="G454" s="1075"/>
      <c r="H454" s="1075"/>
      <c r="I454" s="1075"/>
      <c r="J454" s="1075"/>
      <c r="K454" s="1075"/>
      <c r="L454" s="1075"/>
      <c r="M454" s="1075"/>
      <c r="N454" s="1075"/>
      <c r="O454" s="1075"/>
      <c r="P454" s="1075"/>
      <c r="Q454" s="1075"/>
      <c r="R454" s="1075"/>
      <c r="S454" s="1075"/>
      <c r="T454" s="1075"/>
      <c r="U454" s="1075"/>
      <c r="V454" s="1075"/>
      <c r="W454" s="1075"/>
      <c r="X454" s="1075"/>
      <c r="Y454" s="1075"/>
      <c r="Z454" s="1075"/>
      <c r="AA454" s="1075"/>
      <c r="AB454" s="1075"/>
      <c r="AC454" s="1075"/>
      <c r="AD454" s="1075"/>
      <c r="AE454" s="1075"/>
      <c r="AF454" s="1075"/>
      <c r="AG454" s="1075"/>
      <c r="AH454" s="1075"/>
      <c r="AI454" s="1075"/>
      <c r="AJ454" s="1075"/>
      <c r="AK454" s="1075"/>
      <c r="AL454" s="1075"/>
      <c r="AM454" s="1075"/>
      <c r="AN454" s="1075"/>
      <c r="AO454" s="1075"/>
      <c r="AP454" s="1075"/>
      <c r="AQ454" s="1075"/>
      <c r="AR454" s="1075"/>
      <c r="AS454" s="1075"/>
      <c r="AT454" s="1075"/>
      <c r="AU454" s="1075"/>
      <c r="AV454" s="1075"/>
    </row>
    <row r="455" spans="1:48" ht="11.25" hidden="1" customHeight="1">
      <c r="A455" s="1075"/>
      <c r="B455" s="1075"/>
      <c r="C455" s="1075"/>
      <c r="D455" s="1075"/>
      <c r="E455" s="1075"/>
      <c r="F455" s="1075"/>
      <c r="G455" s="1075"/>
      <c r="H455" s="1075"/>
      <c r="I455" s="1075"/>
      <c r="J455" s="1075"/>
      <c r="K455" s="1075"/>
      <c r="L455" s="1075"/>
      <c r="M455" s="1075"/>
      <c r="N455" s="1075"/>
      <c r="O455" s="1075"/>
      <c r="P455" s="1075"/>
      <c r="Q455" s="1075"/>
      <c r="R455" s="1075"/>
      <c r="S455" s="1075"/>
      <c r="T455" s="1075"/>
      <c r="U455" s="1075"/>
      <c r="V455" s="1075"/>
      <c r="W455" s="1075"/>
      <c r="X455" s="1075"/>
      <c r="Y455" s="1075"/>
      <c r="Z455" s="1075"/>
      <c r="AA455" s="1075"/>
      <c r="AB455" s="1075"/>
      <c r="AC455" s="1075"/>
      <c r="AD455" s="1075"/>
      <c r="AE455" s="1075"/>
      <c r="AF455" s="1075"/>
      <c r="AG455" s="1075"/>
      <c r="AH455" s="1075"/>
      <c r="AI455" s="1075"/>
      <c r="AJ455" s="1075"/>
      <c r="AK455" s="1075"/>
      <c r="AL455" s="1075"/>
      <c r="AM455" s="1075"/>
      <c r="AN455" s="1075"/>
      <c r="AO455" s="1075"/>
      <c r="AP455" s="1075"/>
      <c r="AQ455" s="1075"/>
      <c r="AR455" s="1075"/>
      <c r="AS455" s="1075"/>
      <c r="AT455" s="1075"/>
      <c r="AU455" s="1075"/>
      <c r="AV455" s="1075"/>
    </row>
    <row r="456" spans="1:48" ht="11.25" hidden="1" customHeight="1">
      <c r="A456" s="1075"/>
      <c r="B456" s="1075"/>
      <c r="C456" s="1075"/>
      <c r="D456" s="1075"/>
      <c r="E456" s="1075"/>
      <c r="F456" s="1075"/>
      <c r="G456" s="1075"/>
      <c r="H456" s="1075"/>
      <c r="I456" s="1075"/>
      <c r="J456" s="1075"/>
      <c r="K456" s="1075"/>
      <c r="L456" s="1075"/>
      <c r="M456" s="1075"/>
      <c r="N456" s="1075"/>
      <c r="O456" s="1075"/>
      <c r="P456" s="1075"/>
      <c r="Q456" s="1075"/>
      <c r="R456" s="1075"/>
      <c r="S456" s="1075"/>
      <c r="T456" s="1075"/>
      <c r="U456" s="1075"/>
      <c r="V456" s="1075"/>
      <c r="W456" s="1075"/>
      <c r="X456" s="1075"/>
      <c r="Y456" s="1075"/>
      <c r="Z456" s="1075"/>
      <c r="AA456" s="1075"/>
      <c r="AB456" s="1075"/>
      <c r="AC456" s="1075"/>
      <c r="AD456" s="1075"/>
      <c r="AE456" s="1075"/>
      <c r="AF456" s="1075"/>
      <c r="AG456" s="1075"/>
      <c r="AH456" s="1075"/>
      <c r="AI456" s="1075"/>
      <c r="AJ456" s="1075"/>
      <c r="AK456" s="1075"/>
      <c r="AL456" s="1075"/>
      <c r="AM456" s="1075"/>
      <c r="AN456" s="1075"/>
      <c r="AO456" s="1075"/>
      <c r="AP456" s="1075"/>
      <c r="AQ456" s="1075"/>
      <c r="AR456" s="1075"/>
      <c r="AS456" s="1075"/>
      <c r="AT456" s="1075"/>
      <c r="AU456" s="1075"/>
      <c r="AV456" s="1075"/>
    </row>
    <row r="457" spans="1:48" ht="11.25" hidden="1" customHeight="1">
      <c r="A457" s="1075"/>
      <c r="B457" s="1075"/>
      <c r="C457" s="1075"/>
      <c r="D457" s="1075"/>
      <c r="E457" s="1075"/>
      <c r="F457" s="1075"/>
      <c r="G457" s="1075"/>
      <c r="H457" s="1075"/>
      <c r="I457" s="1075"/>
      <c r="J457" s="1075"/>
      <c r="K457" s="1075"/>
      <c r="L457" s="1075"/>
      <c r="M457" s="1075"/>
      <c r="N457" s="1075"/>
      <c r="O457" s="1075"/>
      <c r="P457" s="1075"/>
      <c r="Q457" s="1075"/>
      <c r="R457" s="1075"/>
      <c r="S457" s="1075"/>
      <c r="T457" s="1075"/>
      <c r="U457" s="1075"/>
      <c r="V457" s="1075"/>
      <c r="W457" s="1075"/>
      <c r="X457" s="1075"/>
      <c r="Y457" s="1075"/>
      <c r="Z457" s="1075"/>
      <c r="AA457" s="1075"/>
      <c r="AB457" s="1075"/>
      <c r="AC457" s="1075"/>
      <c r="AD457" s="1075"/>
      <c r="AE457" s="1075"/>
      <c r="AF457" s="1075"/>
      <c r="AG457" s="1075"/>
      <c r="AH457" s="1075"/>
      <c r="AI457" s="1075"/>
      <c r="AJ457" s="1075"/>
      <c r="AK457" s="1075"/>
      <c r="AL457" s="1075"/>
      <c r="AM457" s="1075"/>
      <c r="AN457" s="1075"/>
      <c r="AO457" s="1075"/>
      <c r="AP457" s="1075"/>
      <c r="AQ457" s="1075"/>
      <c r="AR457" s="1075"/>
      <c r="AS457" s="1075"/>
      <c r="AT457" s="1075"/>
      <c r="AU457" s="1075"/>
      <c r="AV457" s="1075"/>
    </row>
    <row r="458" spans="1:48" ht="11.25" hidden="1" customHeight="1">
      <c r="A458" s="1075"/>
      <c r="B458" s="1075"/>
      <c r="C458" s="1075"/>
      <c r="D458" s="1075"/>
      <c r="E458" s="1075"/>
      <c r="F458" s="1075"/>
      <c r="G458" s="1075"/>
      <c r="H458" s="1075"/>
      <c r="I458" s="1075"/>
      <c r="J458" s="1075"/>
      <c r="K458" s="1075"/>
      <c r="L458" s="1075"/>
      <c r="M458" s="1075"/>
      <c r="N458" s="1075"/>
      <c r="O458" s="1075"/>
      <c r="P458" s="1075"/>
      <c r="Q458" s="1075"/>
      <c r="R458" s="1075"/>
      <c r="S458" s="1075"/>
      <c r="T458" s="1075"/>
      <c r="U458" s="1075"/>
      <c r="V458" s="1075"/>
      <c r="W458" s="1075"/>
      <c r="X458" s="1075"/>
      <c r="Y458" s="1075"/>
      <c r="Z458" s="1075"/>
      <c r="AA458" s="1075"/>
      <c r="AB458" s="1075"/>
      <c r="AC458" s="1075"/>
      <c r="AD458" s="1075"/>
      <c r="AE458" s="1075"/>
      <c r="AF458" s="1075"/>
      <c r="AG458" s="1075"/>
      <c r="AH458" s="1075"/>
      <c r="AI458" s="1075"/>
      <c r="AJ458" s="1075"/>
      <c r="AK458" s="1075"/>
      <c r="AL458" s="1075"/>
      <c r="AM458" s="1075"/>
      <c r="AN458" s="1075"/>
      <c r="AO458" s="1075"/>
      <c r="AP458" s="1075"/>
      <c r="AQ458" s="1075"/>
      <c r="AR458" s="1075"/>
      <c r="AS458" s="1075"/>
      <c r="AT458" s="1075"/>
      <c r="AU458" s="1075"/>
      <c r="AV458" s="1075"/>
    </row>
    <row r="459" spans="1:48" ht="11.25" hidden="1" customHeight="1">
      <c r="A459" s="1075"/>
      <c r="B459" s="1075"/>
      <c r="C459" s="1075"/>
      <c r="D459" s="1075"/>
      <c r="E459" s="1075"/>
      <c r="F459" s="1075"/>
      <c r="G459" s="1075"/>
      <c r="H459" s="1075"/>
      <c r="I459" s="1075"/>
      <c r="J459" s="1075"/>
      <c r="K459" s="1075"/>
      <c r="L459" s="1075"/>
      <c r="M459" s="1075"/>
      <c r="N459" s="1075"/>
      <c r="O459" s="1075"/>
      <c r="P459" s="1075"/>
      <c r="Q459" s="1075"/>
      <c r="R459" s="1075"/>
      <c r="S459" s="1075"/>
      <c r="T459" s="1075"/>
      <c r="U459" s="1075"/>
      <c r="V459" s="1075"/>
      <c r="W459" s="1075"/>
      <c r="X459" s="1075"/>
      <c r="Y459" s="1075"/>
      <c r="Z459" s="1075"/>
      <c r="AA459" s="1075"/>
      <c r="AB459" s="1075"/>
      <c r="AC459" s="1075"/>
      <c r="AD459" s="1075"/>
      <c r="AE459" s="1075"/>
      <c r="AF459" s="1075"/>
      <c r="AG459" s="1075"/>
      <c r="AH459" s="1075"/>
      <c r="AI459" s="1075"/>
      <c r="AJ459" s="1075"/>
      <c r="AK459" s="1075"/>
      <c r="AL459" s="1075"/>
      <c r="AM459" s="1075"/>
      <c r="AN459" s="1075"/>
      <c r="AO459" s="1075"/>
      <c r="AP459" s="1075"/>
      <c r="AQ459" s="1075"/>
      <c r="AR459" s="1075"/>
      <c r="AS459" s="1075"/>
      <c r="AT459" s="1075"/>
      <c r="AU459" s="1075"/>
      <c r="AV459" s="1075"/>
    </row>
    <row r="460" spans="1:48" ht="11.25" hidden="1" customHeight="1">
      <c r="A460" s="1075"/>
      <c r="B460" s="1075"/>
      <c r="C460" s="1075"/>
      <c r="D460" s="1075"/>
      <c r="E460" s="1075"/>
      <c r="F460" s="1075"/>
      <c r="G460" s="1075"/>
      <c r="H460" s="1075"/>
      <c r="I460" s="1075"/>
      <c r="J460" s="1075"/>
      <c r="K460" s="1075"/>
      <c r="L460" s="1075"/>
      <c r="M460" s="1075"/>
      <c r="N460" s="1075"/>
      <c r="O460" s="1075"/>
      <c r="P460" s="1075"/>
      <c r="Q460" s="1075"/>
      <c r="R460" s="1075"/>
      <c r="S460" s="1075"/>
      <c r="T460" s="1075"/>
      <c r="U460" s="1075"/>
      <c r="V460" s="1075"/>
      <c r="W460" s="1075"/>
      <c r="X460" s="1075"/>
      <c r="Y460" s="1075"/>
      <c r="Z460" s="1075"/>
      <c r="AA460" s="1075"/>
      <c r="AB460" s="1075"/>
      <c r="AC460" s="1075"/>
      <c r="AD460" s="1075"/>
      <c r="AE460" s="1075"/>
      <c r="AF460" s="1075"/>
      <c r="AG460" s="1075"/>
      <c r="AH460" s="1075"/>
      <c r="AI460" s="1075"/>
      <c r="AJ460" s="1075"/>
      <c r="AK460" s="1075"/>
      <c r="AL460" s="1075"/>
      <c r="AM460" s="1075"/>
      <c r="AN460" s="1075"/>
      <c r="AO460" s="1075"/>
      <c r="AP460" s="1075"/>
      <c r="AQ460" s="1075"/>
      <c r="AR460" s="1075"/>
      <c r="AS460" s="1075"/>
      <c r="AT460" s="1075"/>
      <c r="AU460" s="1075"/>
      <c r="AV460" s="1075"/>
    </row>
    <row r="461" spans="1:48" ht="11.25" hidden="1" customHeight="1">
      <c r="A461" s="1075"/>
      <c r="B461" s="1075"/>
      <c r="C461" s="1075"/>
      <c r="D461" s="1075"/>
      <c r="E461" s="1075"/>
      <c r="F461" s="1075"/>
      <c r="G461" s="1075"/>
      <c r="H461" s="1075"/>
      <c r="I461" s="1075"/>
      <c r="J461" s="1075"/>
      <c r="K461" s="1075"/>
      <c r="L461" s="1075"/>
      <c r="M461" s="1075"/>
      <c r="N461" s="1075"/>
      <c r="O461" s="1075"/>
      <c r="P461" s="1075"/>
      <c r="Q461" s="1075"/>
      <c r="R461" s="1075"/>
      <c r="S461" s="1075"/>
      <c r="T461" s="1075"/>
      <c r="U461" s="1075"/>
      <c r="V461" s="1075"/>
      <c r="W461" s="1075"/>
      <c r="X461" s="1075"/>
      <c r="Y461" s="1075"/>
      <c r="Z461" s="1075"/>
      <c r="AA461" s="1075"/>
      <c r="AB461" s="1075"/>
      <c r="AC461" s="1075"/>
      <c r="AD461" s="1075"/>
      <c r="AE461" s="1075"/>
      <c r="AF461" s="1075"/>
      <c r="AG461" s="1075"/>
      <c r="AH461" s="1075"/>
      <c r="AI461" s="1075"/>
      <c r="AJ461" s="1075"/>
      <c r="AK461" s="1075"/>
      <c r="AL461" s="1075"/>
      <c r="AM461" s="1075"/>
      <c r="AN461" s="1075"/>
      <c r="AO461" s="1075"/>
      <c r="AP461" s="1075"/>
      <c r="AQ461" s="1075"/>
      <c r="AR461" s="1075"/>
      <c r="AS461" s="1075"/>
      <c r="AT461" s="1075"/>
      <c r="AU461" s="1075"/>
      <c r="AV461" s="1075"/>
    </row>
    <row r="462" spans="1:48" ht="11.25" hidden="1" customHeight="1">
      <c r="A462" s="1075"/>
      <c r="B462" s="1075"/>
      <c r="C462" s="1075"/>
      <c r="D462" s="1075"/>
      <c r="E462" s="1075"/>
      <c r="F462" s="1075"/>
      <c r="G462" s="1075"/>
      <c r="H462" s="1075"/>
      <c r="I462" s="1075"/>
      <c r="J462" s="1075"/>
      <c r="K462" s="1075"/>
      <c r="L462" s="1075"/>
      <c r="M462" s="1075"/>
      <c r="N462" s="1075"/>
      <c r="O462" s="1075"/>
      <c r="P462" s="1075"/>
      <c r="Q462" s="1075"/>
      <c r="R462" s="1075"/>
      <c r="S462" s="1075"/>
      <c r="T462" s="1075"/>
      <c r="U462" s="1075"/>
      <c r="V462" s="1075"/>
      <c r="W462" s="1075"/>
      <c r="X462" s="1075"/>
      <c r="Y462" s="1075"/>
      <c r="Z462" s="1075"/>
      <c r="AA462" s="1075"/>
      <c r="AB462" s="1075"/>
      <c r="AC462" s="1075"/>
      <c r="AD462" s="1075"/>
      <c r="AE462" s="1075"/>
      <c r="AF462" s="1075"/>
      <c r="AG462" s="1075"/>
      <c r="AH462" s="1075"/>
      <c r="AI462" s="1075"/>
      <c r="AJ462" s="1075"/>
      <c r="AK462" s="1075"/>
      <c r="AL462" s="1075"/>
      <c r="AM462" s="1075"/>
      <c r="AN462" s="1075"/>
      <c r="AO462" s="1075"/>
      <c r="AP462" s="1075"/>
      <c r="AQ462" s="1075"/>
      <c r="AR462" s="1075"/>
      <c r="AS462" s="1075"/>
      <c r="AT462" s="1075"/>
      <c r="AU462" s="1075"/>
      <c r="AV462" s="1075"/>
    </row>
    <row r="463" spans="1:48" ht="11.25" hidden="1" customHeight="1">
      <c r="A463" s="1075"/>
      <c r="B463" s="1075"/>
      <c r="C463" s="1075"/>
      <c r="D463" s="1075"/>
      <c r="E463" s="1075"/>
      <c r="F463" s="1075"/>
      <c r="G463" s="1075"/>
      <c r="H463" s="1075"/>
      <c r="I463" s="1075"/>
      <c r="J463" s="1075"/>
      <c r="K463" s="1075"/>
      <c r="L463" s="1075"/>
      <c r="M463" s="1075"/>
      <c r="N463" s="1075"/>
      <c r="O463" s="1075"/>
      <c r="P463" s="1075"/>
      <c r="Q463" s="1075"/>
      <c r="R463" s="1075"/>
      <c r="S463" s="1075"/>
      <c r="T463" s="1075"/>
      <c r="U463" s="1075"/>
      <c r="V463" s="1075"/>
      <c r="W463" s="1075"/>
      <c r="X463" s="1075"/>
      <c r="Y463" s="1075"/>
      <c r="Z463" s="1075"/>
      <c r="AA463" s="1075"/>
      <c r="AB463" s="1075"/>
      <c r="AC463" s="1075"/>
      <c r="AD463" s="1075"/>
      <c r="AE463" s="1075"/>
      <c r="AF463" s="1075"/>
      <c r="AG463" s="1075"/>
      <c r="AH463" s="1075"/>
      <c r="AI463" s="1075"/>
      <c r="AJ463" s="1075"/>
      <c r="AK463" s="1075"/>
      <c r="AL463" s="1075"/>
      <c r="AM463" s="1075"/>
      <c r="AN463" s="1075"/>
      <c r="AO463" s="1075"/>
      <c r="AP463" s="1075"/>
      <c r="AQ463" s="1075"/>
      <c r="AR463" s="1075"/>
      <c r="AS463" s="1075"/>
      <c r="AT463" s="1075"/>
      <c r="AU463" s="1075"/>
      <c r="AV463" s="1075"/>
    </row>
    <row r="464" spans="1:48" ht="11.25" hidden="1" customHeight="1">
      <c r="A464" s="1075"/>
      <c r="B464" s="1075"/>
      <c r="C464" s="1075"/>
      <c r="D464" s="1075"/>
      <c r="E464" s="1075"/>
      <c r="F464" s="1075"/>
      <c r="G464" s="1075"/>
      <c r="H464" s="1075"/>
      <c r="I464" s="1075"/>
      <c r="J464" s="1075"/>
      <c r="K464" s="1075"/>
      <c r="L464" s="1075"/>
      <c r="M464" s="1075"/>
      <c r="N464" s="1075"/>
      <c r="O464" s="1075"/>
      <c r="P464" s="1075"/>
      <c r="Q464" s="1075"/>
      <c r="R464" s="1075"/>
      <c r="S464" s="1075"/>
      <c r="T464" s="1075"/>
      <c r="U464" s="1075"/>
      <c r="V464" s="1075"/>
      <c r="W464" s="1075"/>
      <c r="X464" s="1075"/>
      <c r="Y464" s="1075"/>
      <c r="Z464" s="1075"/>
      <c r="AA464" s="1075"/>
      <c r="AB464" s="1075"/>
      <c r="AC464" s="1075"/>
      <c r="AD464" s="1075"/>
      <c r="AE464" s="1075"/>
      <c r="AF464" s="1075"/>
      <c r="AG464" s="1075"/>
      <c r="AH464" s="1075"/>
      <c r="AI464" s="1075"/>
      <c r="AJ464" s="1075"/>
      <c r="AK464" s="1075"/>
      <c r="AL464" s="1075"/>
      <c r="AM464" s="1075"/>
      <c r="AN464" s="1075"/>
      <c r="AO464" s="1075"/>
      <c r="AP464" s="1075"/>
      <c r="AQ464" s="1075"/>
      <c r="AR464" s="1075"/>
      <c r="AS464" s="1075"/>
      <c r="AT464" s="1075"/>
      <c r="AU464" s="1075"/>
      <c r="AV464" s="1075"/>
    </row>
    <row r="465" spans="1:48" ht="11.25" hidden="1" customHeight="1">
      <c r="A465" s="1075"/>
      <c r="B465" s="1075"/>
      <c r="C465" s="1075"/>
      <c r="D465" s="1075"/>
      <c r="E465" s="1075"/>
      <c r="F465" s="1075"/>
      <c r="G465" s="1075"/>
      <c r="H465" s="1075"/>
      <c r="I465" s="1075"/>
      <c r="J465" s="1075"/>
      <c r="K465" s="1075"/>
      <c r="L465" s="1075"/>
      <c r="M465" s="1075"/>
      <c r="N465" s="1075"/>
      <c r="O465" s="1075"/>
      <c r="P465" s="1075"/>
      <c r="Q465" s="1075"/>
      <c r="R465" s="1075"/>
      <c r="S465" s="1075"/>
      <c r="T465" s="1075"/>
      <c r="U465" s="1075"/>
      <c r="V465" s="1075"/>
      <c r="W465" s="1075"/>
      <c r="X465" s="1075"/>
      <c r="Y465" s="1075"/>
      <c r="Z465" s="1075"/>
      <c r="AA465" s="1075"/>
      <c r="AB465" s="1075"/>
      <c r="AC465" s="1075"/>
      <c r="AD465" s="1075"/>
      <c r="AE465" s="1075"/>
      <c r="AF465" s="1075"/>
      <c r="AG465" s="1075"/>
      <c r="AH465" s="1075"/>
      <c r="AI465" s="1075"/>
      <c r="AJ465" s="1075"/>
      <c r="AK465" s="1075"/>
      <c r="AL465" s="1075"/>
      <c r="AM465" s="1075"/>
      <c r="AN465" s="1075"/>
      <c r="AO465" s="1075"/>
      <c r="AP465" s="1075"/>
      <c r="AQ465" s="1075"/>
      <c r="AR465" s="1075"/>
      <c r="AS465" s="1075"/>
      <c r="AT465" s="1075"/>
      <c r="AU465" s="1075"/>
      <c r="AV465" s="1075"/>
    </row>
    <row r="466" spans="1:48" ht="11.25" hidden="1" customHeight="1">
      <c r="A466" s="1075"/>
      <c r="B466" s="1075"/>
      <c r="C466" s="1075"/>
      <c r="D466" s="1075"/>
      <c r="E466" s="1075"/>
      <c r="F466" s="1075"/>
      <c r="G466" s="1075"/>
      <c r="H466" s="1075"/>
      <c r="I466" s="1075"/>
      <c r="J466" s="1075"/>
      <c r="K466" s="1075"/>
      <c r="L466" s="1075"/>
      <c r="M466" s="1075"/>
      <c r="N466" s="1075"/>
      <c r="O466" s="1075"/>
      <c r="P466" s="1075"/>
      <c r="Q466" s="1075"/>
      <c r="R466" s="1075"/>
      <c r="S466" s="1075"/>
      <c r="T466" s="1075"/>
      <c r="U466" s="1075"/>
      <c r="V466" s="1075"/>
      <c r="W466" s="1075"/>
      <c r="X466" s="1075"/>
      <c r="Y466" s="1075"/>
      <c r="Z466" s="1075"/>
      <c r="AA466" s="1075"/>
      <c r="AB466" s="1075"/>
      <c r="AC466" s="1075"/>
      <c r="AD466" s="1075"/>
      <c r="AE466" s="1075"/>
      <c r="AF466" s="1075"/>
      <c r="AG466" s="1075"/>
      <c r="AH466" s="1075"/>
      <c r="AI466" s="1075"/>
      <c r="AJ466" s="1075"/>
      <c r="AK466" s="1075"/>
      <c r="AL466" s="1075"/>
      <c r="AM466" s="1075"/>
      <c r="AN466" s="1075"/>
      <c r="AO466" s="1075"/>
      <c r="AP466" s="1075"/>
      <c r="AQ466" s="1075"/>
      <c r="AR466" s="1075"/>
      <c r="AS466" s="1075"/>
      <c r="AT466" s="1075"/>
      <c r="AU466" s="1075"/>
      <c r="AV466" s="1075"/>
    </row>
    <row r="467" spans="1:48" ht="11.25" hidden="1" customHeight="1">
      <c r="A467" s="1075"/>
      <c r="B467" s="1075"/>
      <c r="C467" s="1075"/>
      <c r="D467" s="1075"/>
      <c r="E467" s="1075"/>
      <c r="F467" s="1075"/>
      <c r="G467" s="1075"/>
      <c r="H467" s="1075"/>
      <c r="I467" s="1075"/>
      <c r="J467" s="1075"/>
      <c r="K467" s="1075"/>
      <c r="L467" s="1075"/>
      <c r="M467" s="1075"/>
      <c r="N467" s="1075"/>
      <c r="O467" s="1075"/>
      <c r="P467" s="1075"/>
      <c r="Q467" s="1075"/>
      <c r="R467" s="1075"/>
      <c r="S467" s="1075"/>
      <c r="T467" s="1075"/>
      <c r="U467" s="1075"/>
      <c r="V467" s="1075"/>
      <c r="W467" s="1075"/>
      <c r="X467" s="1075"/>
      <c r="Y467" s="1075"/>
      <c r="Z467" s="1075"/>
      <c r="AA467" s="1075"/>
      <c r="AB467" s="1075"/>
      <c r="AC467" s="1075"/>
      <c r="AD467" s="1075"/>
      <c r="AE467" s="1075"/>
      <c r="AF467" s="1075"/>
      <c r="AG467" s="1075"/>
      <c r="AH467" s="1075"/>
      <c r="AI467" s="1075"/>
      <c r="AJ467" s="1075"/>
      <c r="AK467" s="1075"/>
      <c r="AL467" s="1075"/>
      <c r="AM467" s="1075"/>
      <c r="AN467" s="1075"/>
      <c r="AO467" s="1075"/>
      <c r="AP467" s="1075"/>
      <c r="AQ467" s="1075"/>
      <c r="AR467" s="1075"/>
      <c r="AS467" s="1075"/>
      <c r="AT467" s="1075"/>
      <c r="AU467" s="1075"/>
      <c r="AV467" s="1075"/>
    </row>
    <row r="468" spans="1:48" ht="11.25" hidden="1" customHeight="1">
      <c r="A468" s="1075"/>
      <c r="B468" s="1075"/>
      <c r="C468" s="1075"/>
      <c r="D468" s="1075"/>
      <c r="E468" s="1075"/>
      <c r="F468" s="1075"/>
      <c r="G468" s="1075"/>
      <c r="H468" s="1075"/>
      <c r="I468" s="1075"/>
      <c r="J468" s="1075"/>
      <c r="K468" s="1075"/>
      <c r="L468" s="1075"/>
      <c r="M468" s="1075"/>
      <c r="N468" s="1075"/>
      <c r="O468" s="1075"/>
      <c r="P468" s="1075"/>
      <c r="Q468" s="1075"/>
      <c r="R468" s="1075"/>
      <c r="S468" s="1075"/>
      <c r="T468" s="1075"/>
      <c r="U468" s="1075"/>
      <c r="V468" s="1075"/>
      <c r="W468" s="1075"/>
      <c r="X468" s="1075"/>
      <c r="Y468" s="1075"/>
      <c r="Z468" s="1075"/>
      <c r="AA468" s="1075"/>
      <c r="AB468" s="1075"/>
      <c r="AC468" s="1075"/>
      <c r="AD468" s="1075"/>
      <c r="AE468" s="1075"/>
      <c r="AF468" s="1075"/>
      <c r="AG468" s="1075"/>
      <c r="AH468" s="1075"/>
      <c r="AI468" s="1075"/>
      <c r="AJ468" s="1075"/>
      <c r="AK468" s="1075"/>
      <c r="AL468" s="1075"/>
      <c r="AM468" s="1075"/>
      <c r="AN468" s="1075"/>
      <c r="AO468" s="1075"/>
      <c r="AP468" s="1075"/>
      <c r="AQ468" s="1075"/>
      <c r="AR468" s="1075"/>
      <c r="AS468" s="1075"/>
      <c r="AT468" s="1075"/>
      <c r="AU468" s="1075"/>
      <c r="AV468" s="1075"/>
    </row>
    <row r="469" spans="1:48" ht="11.25" hidden="1" customHeight="1">
      <c r="A469" s="1075"/>
      <c r="B469" s="1075"/>
      <c r="C469" s="1075"/>
      <c r="D469" s="1075"/>
      <c r="E469" s="1075"/>
      <c r="F469" s="1075"/>
      <c r="G469" s="1075"/>
      <c r="H469" s="1075"/>
      <c r="I469" s="1075"/>
      <c r="J469" s="1075"/>
      <c r="K469" s="1075"/>
      <c r="L469" s="1075"/>
      <c r="M469" s="1075"/>
      <c r="N469" s="1075"/>
      <c r="O469" s="1075"/>
      <c r="P469" s="1075"/>
      <c r="Q469" s="1075"/>
      <c r="R469" s="1075"/>
      <c r="S469" s="1075"/>
      <c r="T469" s="1075"/>
      <c r="U469" s="1075"/>
      <c r="V469" s="1075"/>
      <c r="W469" s="1075"/>
      <c r="X469" s="1075"/>
      <c r="Y469" s="1075"/>
      <c r="Z469" s="1075"/>
      <c r="AA469" s="1075"/>
      <c r="AB469" s="1075"/>
      <c r="AC469" s="1075"/>
      <c r="AD469" s="1075"/>
      <c r="AE469" s="1075"/>
      <c r="AF469" s="1075"/>
      <c r="AG469" s="1075"/>
      <c r="AH469" s="1075"/>
      <c r="AI469" s="1075"/>
      <c r="AJ469" s="1075"/>
      <c r="AK469" s="1075"/>
      <c r="AL469" s="1075"/>
      <c r="AM469" s="1075"/>
      <c r="AN469" s="1075"/>
      <c r="AO469" s="1075"/>
      <c r="AP469" s="1075"/>
      <c r="AQ469" s="1075"/>
      <c r="AR469" s="1075"/>
      <c r="AS469" s="1075"/>
      <c r="AT469" s="1075"/>
      <c r="AU469" s="1075"/>
      <c r="AV469" s="1075"/>
    </row>
    <row r="470" spans="1:48" ht="11.25" hidden="1" customHeight="1">
      <c r="A470" s="1075"/>
      <c r="B470" s="1075"/>
      <c r="C470" s="1075"/>
      <c r="D470" s="1075"/>
      <c r="E470" s="1075"/>
      <c r="F470" s="1075"/>
      <c r="G470" s="1075"/>
      <c r="H470" s="1075"/>
      <c r="I470" s="1075"/>
      <c r="J470" s="1075"/>
      <c r="K470" s="1075"/>
      <c r="L470" s="1075"/>
      <c r="M470" s="1075"/>
      <c r="N470" s="1075"/>
      <c r="O470" s="1075"/>
      <c r="P470" s="1075"/>
      <c r="Q470" s="1075"/>
      <c r="R470" s="1075"/>
      <c r="S470" s="1075"/>
      <c r="T470" s="1075"/>
      <c r="U470" s="1075"/>
      <c r="V470" s="1075"/>
      <c r="W470" s="1075"/>
      <c r="X470" s="1075"/>
      <c r="Y470" s="1075"/>
      <c r="Z470" s="1075"/>
      <c r="AA470" s="1075"/>
      <c r="AB470" s="1075"/>
      <c r="AC470" s="1075"/>
      <c r="AD470" s="1075"/>
      <c r="AE470" s="1075"/>
      <c r="AF470" s="1075"/>
      <c r="AG470" s="1075"/>
      <c r="AH470" s="1075"/>
      <c r="AI470" s="1075"/>
      <c r="AJ470" s="1075"/>
      <c r="AK470" s="1075"/>
      <c r="AL470" s="1075"/>
      <c r="AM470" s="1075"/>
      <c r="AN470" s="1075"/>
      <c r="AO470" s="1075"/>
      <c r="AP470" s="1075"/>
      <c r="AQ470" s="1075"/>
      <c r="AR470" s="1075"/>
      <c r="AS470" s="1075"/>
      <c r="AT470" s="1075"/>
      <c r="AU470" s="1075"/>
      <c r="AV470" s="1075"/>
    </row>
    <row r="471" spans="1:48" ht="11.25" hidden="1" customHeight="1">
      <c r="A471" s="1075"/>
      <c r="B471" s="1075"/>
      <c r="C471" s="1075"/>
      <c r="D471" s="1075"/>
      <c r="E471" s="1075"/>
      <c r="F471" s="1075"/>
      <c r="G471" s="1075"/>
      <c r="H471" s="1075"/>
      <c r="I471" s="1075"/>
      <c r="J471" s="1075"/>
      <c r="K471" s="1075"/>
      <c r="L471" s="1075"/>
      <c r="M471" s="1075"/>
      <c r="N471" s="1075"/>
      <c r="O471" s="1075"/>
      <c r="P471" s="1075"/>
      <c r="Q471" s="1075"/>
      <c r="R471" s="1075"/>
      <c r="S471" s="1075"/>
      <c r="T471" s="1075"/>
      <c r="U471" s="1075"/>
      <c r="V471" s="1075"/>
      <c r="W471" s="1075"/>
      <c r="X471" s="1075"/>
      <c r="Y471" s="1075"/>
      <c r="Z471" s="1075"/>
      <c r="AA471" s="1075"/>
      <c r="AB471" s="1075"/>
      <c r="AC471" s="1075"/>
      <c r="AD471" s="1075"/>
      <c r="AE471" s="1075"/>
      <c r="AF471" s="1075"/>
      <c r="AG471" s="1075"/>
      <c r="AH471" s="1075"/>
      <c r="AI471" s="1075"/>
      <c r="AJ471" s="1075"/>
      <c r="AK471" s="1075"/>
      <c r="AL471" s="1075"/>
      <c r="AM471" s="1075"/>
      <c r="AN471" s="1075"/>
      <c r="AO471" s="1075"/>
      <c r="AP471" s="1075"/>
      <c r="AQ471" s="1075"/>
      <c r="AR471" s="1075"/>
      <c r="AS471" s="1075"/>
      <c r="AT471" s="1075"/>
      <c r="AU471" s="1075"/>
      <c r="AV471" s="1075"/>
    </row>
    <row r="472" spans="1:48" ht="11.25" hidden="1" customHeight="1">
      <c r="A472" s="1075"/>
      <c r="B472" s="1075"/>
      <c r="C472" s="1075"/>
      <c r="D472" s="1075"/>
      <c r="E472" s="1075"/>
      <c r="F472" s="1075"/>
      <c r="G472" s="1075"/>
      <c r="H472" s="1075"/>
      <c r="I472" s="1075"/>
      <c r="J472" s="1075"/>
      <c r="K472" s="1075"/>
      <c r="L472" s="1075"/>
      <c r="M472" s="1075"/>
      <c r="N472" s="1075"/>
      <c r="O472" s="1075"/>
      <c r="P472" s="1075"/>
      <c r="Q472" s="1075"/>
      <c r="R472" s="1075"/>
      <c r="S472" s="1075"/>
      <c r="T472" s="1075"/>
      <c r="U472" s="1075"/>
      <c r="V472" s="1075"/>
      <c r="W472" s="1075"/>
      <c r="X472" s="1075"/>
      <c r="Y472" s="1075"/>
      <c r="Z472" s="1075"/>
      <c r="AA472" s="1075"/>
      <c r="AB472" s="1075"/>
      <c r="AC472" s="1075"/>
      <c r="AD472" s="1075"/>
      <c r="AE472" s="1075"/>
      <c r="AF472" s="1075"/>
      <c r="AG472" s="1075"/>
      <c r="AH472" s="1075"/>
      <c r="AI472" s="1075"/>
      <c r="AJ472" s="1075"/>
      <c r="AK472" s="1075"/>
      <c r="AL472" s="1075"/>
      <c r="AM472" s="1075"/>
      <c r="AN472" s="1075"/>
      <c r="AO472" s="1075"/>
      <c r="AP472" s="1075"/>
      <c r="AQ472" s="1075"/>
      <c r="AR472" s="1075"/>
      <c r="AS472" s="1075"/>
      <c r="AT472" s="1075"/>
      <c r="AU472" s="1075"/>
      <c r="AV472" s="1075"/>
    </row>
    <row r="473" spans="1:48" ht="11.25" hidden="1" customHeight="1">
      <c r="A473" s="1075"/>
      <c r="B473" s="1075"/>
      <c r="C473" s="1075"/>
      <c r="D473" s="1075"/>
      <c r="E473" s="1075"/>
      <c r="F473" s="1075"/>
      <c r="G473" s="1075"/>
      <c r="H473" s="1075"/>
      <c r="I473" s="1075"/>
      <c r="J473" s="1075"/>
      <c r="K473" s="1075"/>
      <c r="L473" s="1075"/>
      <c r="M473" s="1075"/>
      <c r="N473" s="1075"/>
      <c r="O473" s="1075"/>
      <c r="P473" s="1075"/>
      <c r="Q473" s="1075"/>
      <c r="R473" s="1075"/>
      <c r="S473" s="1075"/>
      <c r="T473" s="1075"/>
      <c r="U473" s="1075"/>
      <c r="V473" s="1075"/>
      <c r="W473" s="1075"/>
      <c r="X473" s="1075"/>
      <c r="Y473" s="1075"/>
      <c r="Z473" s="1075"/>
      <c r="AA473" s="1075"/>
      <c r="AB473" s="1075"/>
      <c r="AC473" s="1075"/>
      <c r="AD473" s="1075"/>
      <c r="AE473" s="1075"/>
      <c r="AF473" s="1075"/>
      <c r="AG473" s="1075"/>
      <c r="AH473" s="1075"/>
      <c r="AI473" s="1075"/>
      <c r="AJ473" s="1075"/>
      <c r="AK473" s="1075"/>
      <c r="AL473" s="1075"/>
      <c r="AM473" s="1075"/>
      <c r="AN473" s="1075"/>
      <c r="AO473" s="1075"/>
      <c r="AP473" s="1075"/>
      <c r="AQ473" s="1075"/>
      <c r="AR473" s="1075"/>
      <c r="AS473" s="1075"/>
      <c r="AT473" s="1075"/>
      <c r="AU473" s="1075"/>
      <c r="AV473" s="1075"/>
    </row>
    <row r="474" spans="1:48" ht="11.25" hidden="1" customHeight="1">
      <c r="A474" s="1075"/>
      <c r="B474" s="1075"/>
      <c r="C474" s="1075"/>
      <c r="D474" s="1075"/>
      <c r="E474" s="1075"/>
      <c r="F474" s="1075"/>
      <c r="G474" s="1075"/>
      <c r="H474" s="1075"/>
      <c r="I474" s="1075"/>
      <c r="J474" s="1075"/>
      <c r="K474" s="1075"/>
      <c r="L474" s="1075"/>
      <c r="M474" s="1075"/>
      <c r="N474" s="1075"/>
      <c r="O474" s="1075"/>
      <c r="P474" s="1075"/>
      <c r="Q474" s="1075"/>
      <c r="R474" s="1075"/>
      <c r="S474" s="1075"/>
      <c r="T474" s="1075"/>
      <c r="U474" s="1075"/>
      <c r="V474" s="1075"/>
      <c r="W474" s="1075"/>
      <c r="X474" s="1075"/>
      <c r="Y474" s="1075"/>
      <c r="Z474" s="1075"/>
      <c r="AA474" s="1075"/>
      <c r="AB474" s="1075"/>
      <c r="AC474" s="1075"/>
      <c r="AD474" s="1075"/>
      <c r="AE474" s="1075"/>
      <c r="AF474" s="1075"/>
      <c r="AG474" s="1075"/>
      <c r="AH474" s="1075"/>
      <c r="AI474" s="1075"/>
      <c r="AJ474" s="1075"/>
      <c r="AK474" s="1075"/>
      <c r="AL474" s="1075"/>
      <c r="AM474" s="1075"/>
      <c r="AN474" s="1075"/>
      <c r="AO474" s="1075"/>
      <c r="AP474" s="1075"/>
      <c r="AQ474" s="1075"/>
      <c r="AR474" s="1075"/>
      <c r="AS474" s="1075"/>
      <c r="AT474" s="1075"/>
      <c r="AU474" s="1075"/>
      <c r="AV474" s="1075"/>
    </row>
    <row r="475" spans="1:48" ht="11.25" hidden="1" customHeight="1">
      <c r="A475" s="1075"/>
      <c r="B475" s="1075"/>
      <c r="C475" s="1075"/>
      <c r="D475" s="1075"/>
      <c r="E475" s="1075"/>
      <c r="F475" s="1075"/>
      <c r="G475" s="1075"/>
      <c r="H475" s="1075"/>
      <c r="I475" s="1075"/>
      <c r="J475" s="1075"/>
      <c r="K475" s="1075"/>
      <c r="L475" s="1075"/>
      <c r="M475" s="1075"/>
      <c r="N475" s="1075"/>
      <c r="O475" s="1075"/>
      <c r="P475" s="1075"/>
      <c r="Q475" s="1075"/>
      <c r="R475" s="1075"/>
      <c r="S475" s="1075"/>
      <c r="T475" s="1075"/>
      <c r="U475" s="1075"/>
      <c r="V475" s="1075"/>
      <c r="W475" s="1075"/>
      <c r="X475" s="1075"/>
      <c r="Y475" s="1075"/>
      <c r="Z475" s="1075"/>
      <c r="AA475" s="1075"/>
      <c r="AB475" s="1075"/>
      <c r="AC475" s="1075"/>
      <c r="AD475" s="1075"/>
      <c r="AE475" s="1075"/>
      <c r="AF475" s="1075"/>
      <c r="AG475" s="1075"/>
      <c r="AH475" s="1075"/>
      <c r="AI475" s="1075"/>
      <c r="AJ475" s="1075"/>
      <c r="AK475" s="1075"/>
      <c r="AL475" s="1075"/>
      <c r="AM475" s="1075"/>
      <c r="AN475" s="1075"/>
      <c r="AO475" s="1075"/>
      <c r="AP475" s="1075"/>
      <c r="AQ475" s="1075"/>
      <c r="AR475" s="1075"/>
      <c r="AS475" s="1075"/>
      <c r="AT475" s="1075"/>
      <c r="AU475" s="1075"/>
      <c r="AV475" s="1075"/>
    </row>
    <row r="476" spans="1:48" ht="11.25" hidden="1" customHeight="1">
      <c r="A476" s="1075"/>
      <c r="B476" s="1075"/>
      <c r="C476" s="1075"/>
      <c r="D476" s="1075"/>
      <c r="E476" s="1075"/>
      <c r="F476" s="1075"/>
      <c r="G476" s="1075"/>
      <c r="H476" s="1075"/>
      <c r="I476" s="1075"/>
      <c r="J476" s="1075"/>
      <c r="K476" s="1075"/>
      <c r="L476" s="1075"/>
      <c r="M476" s="1075"/>
      <c r="N476" s="1075"/>
      <c r="O476" s="1075"/>
      <c r="P476" s="1075"/>
      <c r="Q476" s="1075"/>
      <c r="R476" s="1075"/>
      <c r="S476" s="1075"/>
      <c r="T476" s="1075"/>
      <c r="U476" s="1075"/>
      <c r="V476" s="1075"/>
      <c r="W476" s="1075"/>
      <c r="X476" s="1075"/>
      <c r="Y476" s="1075"/>
      <c r="Z476" s="1075"/>
      <c r="AA476" s="1075"/>
      <c r="AB476" s="1075"/>
      <c r="AC476" s="1075"/>
      <c r="AD476" s="1075"/>
      <c r="AE476" s="1075"/>
      <c r="AF476" s="1075"/>
      <c r="AG476" s="1075"/>
      <c r="AH476" s="1075"/>
      <c r="AI476" s="1075"/>
      <c r="AJ476" s="1075"/>
      <c r="AK476" s="1075"/>
      <c r="AL476" s="1075"/>
      <c r="AM476" s="1075"/>
      <c r="AN476" s="1075"/>
      <c r="AO476" s="1075"/>
      <c r="AP476" s="1075"/>
      <c r="AQ476" s="1075"/>
      <c r="AR476" s="1075"/>
      <c r="AS476" s="1075"/>
      <c r="AT476" s="1075"/>
      <c r="AU476" s="1075"/>
      <c r="AV476" s="1075"/>
    </row>
    <row r="477" spans="1:48" ht="11.25" hidden="1" customHeight="1">
      <c r="A477" s="1075"/>
      <c r="B477" s="1075"/>
      <c r="C477" s="1075"/>
      <c r="D477" s="1075"/>
      <c r="E477" s="1075"/>
      <c r="F477" s="1075"/>
      <c r="G477" s="1075"/>
      <c r="H477" s="1075"/>
      <c r="I477" s="1075"/>
      <c r="J477" s="1075"/>
      <c r="K477" s="1075"/>
      <c r="L477" s="1075"/>
      <c r="M477" s="1075"/>
      <c r="N477" s="1075"/>
      <c r="O477" s="1075"/>
      <c r="P477" s="1075"/>
      <c r="Q477" s="1075"/>
      <c r="R477" s="1075"/>
      <c r="S477" s="1075"/>
      <c r="T477" s="1075"/>
      <c r="U477" s="1075"/>
      <c r="V477" s="1075"/>
      <c r="W477" s="1075"/>
      <c r="X477" s="1075"/>
      <c r="Y477" s="1075"/>
      <c r="Z477" s="1075"/>
      <c r="AA477" s="1075"/>
      <c r="AB477" s="1075"/>
      <c r="AC477" s="1075"/>
      <c r="AD477" s="1075"/>
      <c r="AE477" s="1075"/>
      <c r="AF477" s="1075"/>
      <c r="AG477" s="1075"/>
      <c r="AH477" s="1075"/>
      <c r="AI477" s="1075"/>
      <c r="AJ477" s="1075"/>
      <c r="AK477" s="1075"/>
      <c r="AL477" s="1075"/>
      <c r="AM477" s="1075"/>
      <c r="AN477" s="1075"/>
      <c r="AO477" s="1075"/>
      <c r="AP477" s="1075"/>
      <c r="AQ477" s="1075"/>
      <c r="AR477" s="1075"/>
      <c r="AS477" s="1075"/>
      <c r="AT477" s="1075"/>
      <c r="AU477" s="1075"/>
      <c r="AV477" s="1075"/>
    </row>
    <row r="478" spans="1:48" ht="11.25" hidden="1" customHeight="1">
      <c r="A478" s="1075"/>
      <c r="B478" s="1075"/>
      <c r="C478" s="1075"/>
      <c r="D478" s="1075"/>
      <c r="E478" s="1075"/>
      <c r="F478" s="1075"/>
      <c r="G478" s="1075"/>
      <c r="H478" s="1075"/>
      <c r="I478" s="1075"/>
      <c r="J478" s="1075"/>
      <c r="K478" s="1075"/>
      <c r="L478" s="1075"/>
      <c r="M478" s="1075"/>
      <c r="N478" s="1075"/>
      <c r="O478" s="1075"/>
      <c r="P478" s="1075"/>
      <c r="Q478" s="1075"/>
      <c r="R478" s="1075"/>
      <c r="S478" s="1075"/>
      <c r="T478" s="1075"/>
      <c r="U478" s="1075"/>
      <c r="V478" s="1075"/>
      <c r="W478" s="1075"/>
      <c r="X478" s="1075"/>
      <c r="Y478" s="1075"/>
      <c r="Z478" s="1075"/>
      <c r="AA478" s="1075"/>
      <c r="AB478" s="1075"/>
      <c r="AC478" s="1075"/>
      <c r="AD478" s="1075"/>
      <c r="AE478" s="1075"/>
      <c r="AF478" s="1075"/>
      <c r="AG478" s="1075"/>
      <c r="AH478" s="1075"/>
      <c r="AI478" s="1075"/>
      <c r="AJ478" s="1075"/>
      <c r="AK478" s="1075"/>
      <c r="AL478" s="1075"/>
      <c r="AM478" s="1075"/>
      <c r="AN478" s="1075"/>
      <c r="AO478" s="1075"/>
      <c r="AP478" s="1075"/>
      <c r="AQ478" s="1075"/>
      <c r="AR478" s="1075"/>
      <c r="AS478" s="1075"/>
      <c r="AT478" s="1075"/>
      <c r="AU478" s="1075"/>
      <c r="AV478" s="1075"/>
    </row>
    <row r="479" spans="1:48" ht="11.25" hidden="1" customHeight="1">
      <c r="A479" s="1075"/>
      <c r="B479" s="1075"/>
      <c r="C479" s="1075"/>
      <c r="D479" s="1075"/>
      <c r="E479" s="1075"/>
      <c r="F479" s="1075"/>
      <c r="G479" s="1075"/>
      <c r="H479" s="1075"/>
      <c r="I479" s="1075"/>
      <c r="J479" s="1075"/>
      <c r="K479" s="1075"/>
      <c r="L479" s="1075"/>
      <c r="M479" s="1075"/>
      <c r="N479" s="1075"/>
      <c r="O479" s="1075"/>
      <c r="P479" s="1075"/>
      <c r="Q479" s="1075"/>
      <c r="R479" s="1075"/>
      <c r="S479" s="1075"/>
      <c r="T479" s="1075"/>
      <c r="U479" s="1075"/>
      <c r="V479" s="1075"/>
      <c r="W479" s="1075"/>
      <c r="X479" s="1075"/>
      <c r="Y479" s="1075"/>
      <c r="Z479" s="1075"/>
      <c r="AA479" s="1075"/>
      <c r="AB479" s="1075"/>
      <c r="AC479" s="1075"/>
      <c r="AD479" s="1075"/>
      <c r="AE479" s="1075"/>
      <c r="AF479" s="1075"/>
      <c r="AG479" s="1075"/>
      <c r="AH479" s="1075"/>
      <c r="AI479" s="1075"/>
      <c r="AJ479" s="1075"/>
      <c r="AK479" s="1075"/>
      <c r="AL479" s="1075"/>
      <c r="AM479" s="1075"/>
      <c r="AN479" s="1075"/>
      <c r="AO479" s="1075"/>
      <c r="AP479" s="1075"/>
      <c r="AQ479" s="1075"/>
      <c r="AR479" s="1075"/>
      <c r="AS479" s="1075"/>
      <c r="AT479" s="1075"/>
      <c r="AU479" s="1075"/>
      <c r="AV479" s="1075"/>
    </row>
    <row r="480" spans="1:48" ht="11.25" hidden="1" customHeight="1">
      <c r="A480" s="1075"/>
      <c r="B480" s="1075"/>
      <c r="C480" s="1075"/>
      <c r="D480" s="1075"/>
      <c r="E480" s="1075"/>
      <c r="F480" s="1075"/>
      <c r="G480" s="1075"/>
      <c r="H480" s="1075"/>
      <c r="I480" s="1075"/>
      <c r="J480" s="1075"/>
      <c r="K480" s="1075"/>
      <c r="L480" s="1075"/>
      <c r="M480" s="1075"/>
      <c r="N480" s="1075"/>
      <c r="O480" s="1075"/>
      <c r="P480" s="1075"/>
      <c r="Q480" s="1075"/>
      <c r="R480" s="1075"/>
      <c r="S480" s="1075"/>
      <c r="T480" s="1075"/>
      <c r="U480" s="1075"/>
      <c r="V480" s="1075"/>
      <c r="W480" s="1075"/>
      <c r="X480" s="1075"/>
      <c r="Y480" s="1075"/>
      <c r="Z480" s="1075"/>
      <c r="AA480" s="1075"/>
      <c r="AB480" s="1075"/>
      <c r="AC480" s="1075"/>
      <c r="AD480" s="1075"/>
      <c r="AE480" s="1075"/>
      <c r="AF480" s="1075"/>
      <c r="AG480" s="1075"/>
      <c r="AH480" s="1075"/>
      <c r="AI480" s="1075"/>
      <c r="AJ480" s="1075"/>
      <c r="AK480" s="1075"/>
      <c r="AL480" s="1075"/>
      <c r="AM480" s="1075"/>
      <c r="AN480" s="1075"/>
      <c r="AO480" s="1075"/>
      <c r="AP480" s="1075"/>
      <c r="AQ480" s="1075"/>
      <c r="AR480" s="1075"/>
      <c r="AS480" s="1075"/>
      <c r="AT480" s="1075"/>
      <c r="AU480" s="1075"/>
      <c r="AV480" s="1075"/>
    </row>
    <row r="481" spans="1:48" ht="11.25" hidden="1" customHeight="1">
      <c r="A481" s="1075"/>
      <c r="B481" s="1075"/>
      <c r="C481" s="1075"/>
      <c r="D481" s="1075"/>
      <c r="E481" s="1075"/>
      <c r="F481" s="1075"/>
      <c r="G481" s="1075"/>
      <c r="H481" s="1075"/>
      <c r="I481" s="1075"/>
      <c r="J481" s="1075"/>
      <c r="K481" s="1075"/>
      <c r="L481" s="1075"/>
      <c r="M481" s="1075"/>
      <c r="N481" s="1075"/>
      <c r="O481" s="1075"/>
      <c r="P481" s="1075"/>
      <c r="Q481" s="1075"/>
      <c r="R481" s="1075"/>
      <c r="S481" s="1075"/>
      <c r="T481" s="1075"/>
      <c r="U481" s="1075"/>
      <c r="V481" s="1075"/>
      <c r="W481" s="1075"/>
      <c r="X481" s="1075"/>
      <c r="Y481" s="1075"/>
      <c r="Z481" s="1075"/>
      <c r="AA481" s="1075"/>
      <c r="AB481" s="1075"/>
      <c r="AC481" s="1075"/>
      <c r="AD481" s="1075"/>
      <c r="AE481" s="1075"/>
      <c r="AF481" s="1075"/>
      <c r="AG481" s="1075"/>
      <c r="AH481" s="1075"/>
      <c r="AI481" s="1075"/>
      <c r="AJ481" s="1075"/>
      <c r="AK481" s="1075"/>
      <c r="AL481" s="1075"/>
      <c r="AM481" s="1075"/>
      <c r="AN481" s="1075"/>
      <c r="AO481" s="1075"/>
      <c r="AP481" s="1075"/>
      <c r="AQ481" s="1075"/>
      <c r="AR481" s="1075"/>
      <c r="AS481" s="1075"/>
      <c r="AT481" s="1075"/>
      <c r="AU481" s="1075"/>
      <c r="AV481" s="1075"/>
    </row>
    <row r="482" spans="1:48" ht="11.25" hidden="1" customHeight="1">
      <c r="A482" s="1075"/>
      <c r="B482" s="1075"/>
      <c r="C482" s="1075"/>
      <c r="D482" s="1075"/>
      <c r="E482" s="1075"/>
      <c r="F482" s="1075"/>
      <c r="G482" s="1075"/>
      <c r="H482" s="1075"/>
      <c r="I482" s="1075"/>
      <c r="J482" s="1075"/>
      <c r="K482" s="1075"/>
      <c r="L482" s="1075"/>
      <c r="M482" s="1075"/>
      <c r="N482" s="1075"/>
      <c r="O482" s="1075"/>
      <c r="P482" s="1075"/>
      <c r="Q482" s="1075"/>
      <c r="R482" s="1075"/>
      <c r="S482" s="1075"/>
      <c r="T482" s="1075"/>
      <c r="U482" s="1075"/>
      <c r="V482" s="1075"/>
      <c r="W482" s="1075"/>
      <c r="X482" s="1075"/>
      <c r="Y482" s="1075"/>
      <c r="Z482" s="1075"/>
      <c r="AA482" s="1075"/>
      <c r="AB482" s="1075"/>
      <c r="AC482" s="1075"/>
      <c r="AD482" s="1075"/>
      <c r="AE482" s="1075"/>
      <c r="AF482" s="1075"/>
      <c r="AG482" s="1075"/>
      <c r="AH482" s="1075"/>
      <c r="AI482" s="1075"/>
      <c r="AJ482" s="1075"/>
      <c r="AK482" s="1075"/>
      <c r="AL482" s="1075"/>
      <c r="AM482" s="1075"/>
      <c r="AN482" s="1075"/>
      <c r="AO482" s="1075"/>
      <c r="AP482" s="1075"/>
      <c r="AQ482" s="1075"/>
      <c r="AR482" s="1075"/>
      <c r="AS482" s="1075"/>
      <c r="AT482" s="1075"/>
      <c r="AU482" s="1075"/>
      <c r="AV482" s="1075"/>
    </row>
    <row r="483" spans="1:48" ht="11.25" hidden="1" customHeight="1">
      <c r="A483" s="1075"/>
      <c r="B483" s="1075"/>
      <c r="C483" s="1075"/>
      <c r="D483" s="1075"/>
      <c r="E483" s="1075"/>
      <c r="F483" s="1075"/>
      <c r="G483" s="1075"/>
      <c r="H483" s="1075"/>
      <c r="I483" s="1075"/>
      <c r="J483" s="1075"/>
      <c r="K483" s="1075"/>
      <c r="L483" s="1075"/>
      <c r="M483" s="1075"/>
      <c r="N483" s="1075"/>
      <c r="O483" s="1075"/>
      <c r="P483" s="1075"/>
      <c r="Q483" s="1075"/>
      <c r="R483" s="1075"/>
      <c r="S483" s="1075"/>
      <c r="T483" s="1075"/>
      <c r="U483" s="1075"/>
      <c r="V483" s="1075"/>
      <c r="W483" s="1075"/>
      <c r="X483" s="1075"/>
      <c r="Y483" s="1075"/>
      <c r="Z483" s="1075"/>
      <c r="AA483" s="1075"/>
      <c r="AB483" s="1075"/>
      <c r="AC483" s="1075"/>
      <c r="AD483" s="1075"/>
      <c r="AE483" s="1075"/>
      <c r="AF483" s="1075"/>
      <c r="AG483" s="1075"/>
      <c r="AH483" s="1075"/>
      <c r="AI483" s="1075"/>
      <c r="AJ483" s="1075"/>
      <c r="AK483" s="1075"/>
      <c r="AL483" s="1075"/>
      <c r="AM483" s="1075"/>
      <c r="AN483" s="1075"/>
      <c r="AO483" s="1075"/>
      <c r="AP483" s="1075"/>
      <c r="AQ483" s="1075"/>
      <c r="AR483" s="1075"/>
      <c r="AS483" s="1075"/>
      <c r="AT483" s="1075"/>
      <c r="AU483" s="1075"/>
      <c r="AV483" s="1075"/>
    </row>
    <row r="484" spans="1:48" ht="11.25" hidden="1" customHeight="1">
      <c r="A484" s="1075"/>
      <c r="B484" s="1075"/>
      <c r="C484" s="1075"/>
      <c r="D484" s="1075"/>
      <c r="E484" s="1075"/>
      <c r="F484" s="1075"/>
      <c r="G484" s="1075"/>
      <c r="H484" s="1075"/>
      <c r="I484" s="1075"/>
      <c r="J484" s="1075"/>
      <c r="K484" s="1075"/>
      <c r="L484" s="1075"/>
      <c r="M484" s="1075"/>
      <c r="N484" s="1075"/>
      <c r="O484" s="1075"/>
      <c r="P484" s="1075"/>
      <c r="Q484" s="1075"/>
      <c r="R484" s="1075"/>
      <c r="S484" s="1075"/>
      <c r="T484" s="1075"/>
      <c r="U484" s="1075"/>
      <c r="V484" s="1075"/>
      <c r="W484" s="1075"/>
      <c r="X484" s="1075"/>
      <c r="Y484" s="1075"/>
      <c r="Z484" s="1075"/>
      <c r="AA484" s="1075"/>
      <c r="AB484" s="1075"/>
      <c r="AC484" s="1075"/>
      <c r="AD484" s="1075"/>
      <c r="AE484" s="1075"/>
      <c r="AF484" s="1075"/>
      <c r="AG484" s="1075"/>
      <c r="AH484" s="1075"/>
      <c r="AI484" s="1075"/>
      <c r="AJ484" s="1075"/>
      <c r="AK484" s="1075"/>
      <c r="AL484" s="1075"/>
      <c r="AM484" s="1075"/>
      <c r="AN484" s="1075"/>
      <c r="AO484" s="1075"/>
      <c r="AP484" s="1075"/>
      <c r="AQ484" s="1075"/>
      <c r="AR484" s="1075"/>
      <c r="AS484" s="1075"/>
      <c r="AT484" s="1075"/>
      <c r="AU484" s="1075"/>
      <c r="AV484" s="1075"/>
    </row>
    <row r="485" spans="1:48" ht="11.25" hidden="1" customHeight="1">
      <c r="A485" s="1075"/>
      <c r="B485" s="1075"/>
      <c r="C485" s="1075"/>
      <c r="D485" s="1075"/>
      <c r="E485" s="1075"/>
      <c r="F485" s="1075"/>
      <c r="G485" s="1075"/>
      <c r="H485" s="1075"/>
      <c r="I485" s="1075"/>
      <c r="J485" s="1075"/>
      <c r="K485" s="1075"/>
      <c r="L485" s="1075"/>
      <c r="M485" s="1075"/>
      <c r="N485" s="1075"/>
      <c r="O485" s="1075"/>
      <c r="P485" s="1075"/>
      <c r="Q485" s="1075"/>
      <c r="R485" s="1075"/>
      <c r="S485" s="1075"/>
      <c r="T485" s="1075"/>
      <c r="U485" s="1075"/>
      <c r="V485" s="1075"/>
      <c r="W485" s="1075"/>
      <c r="X485" s="1075"/>
      <c r="Y485" s="1075"/>
      <c r="Z485" s="1075"/>
      <c r="AA485" s="1075"/>
      <c r="AB485" s="1075"/>
      <c r="AC485" s="1075"/>
      <c r="AD485" s="1075"/>
      <c r="AE485" s="1075"/>
      <c r="AF485" s="1075"/>
      <c r="AG485" s="1075"/>
      <c r="AH485" s="1075"/>
      <c r="AI485" s="1075"/>
      <c r="AJ485" s="1075"/>
      <c r="AK485" s="1075"/>
      <c r="AL485" s="1075"/>
      <c r="AM485" s="1075"/>
      <c r="AN485" s="1075"/>
      <c r="AO485" s="1075"/>
      <c r="AP485" s="1075"/>
      <c r="AQ485" s="1075"/>
      <c r="AR485" s="1075"/>
      <c r="AS485" s="1075"/>
      <c r="AT485" s="1075"/>
      <c r="AU485" s="1075"/>
      <c r="AV485" s="1075"/>
    </row>
    <row r="486" spans="1:48" ht="11.25" hidden="1" customHeight="1">
      <c r="A486" s="1075"/>
      <c r="B486" s="1075"/>
      <c r="C486" s="1075"/>
      <c r="D486" s="1075"/>
      <c r="E486" s="1075"/>
      <c r="F486" s="1075"/>
      <c r="G486" s="1075"/>
      <c r="H486" s="1075"/>
      <c r="I486" s="1075"/>
      <c r="J486" s="1075"/>
      <c r="K486" s="1075"/>
      <c r="L486" s="1075"/>
      <c r="M486" s="1075"/>
      <c r="N486" s="1075"/>
      <c r="O486" s="1075"/>
      <c r="P486" s="1075"/>
      <c r="Q486" s="1075"/>
      <c r="R486" s="1075"/>
      <c r="S486" s="1075"/>
      <c r="T486" s="1075"/>
      <c r="U486" s="1075"/>
      <c r="V486" s="1075"/>
      <c r="W486" s="1075"/>
      <c r="X486" s="1075"/>
      <c r="Y486" s="1075"/>
      <c r="Z486" s="1075"/>
      <c r="AA486" s="1075"/>
      <c r="AB486" s="1075"/>
      <c r="AC486" s="1075"/>
      <c r="AD486" s="1075"/>
      <c r="AE486" s="1075"/>
      <c r="AF486" s="1075"/>
      <c r="AG486" s="1075"/>
      <c r="AH486" s="1075"/>
      <c r="AI486" s="1075"/>
      <c r="AJ486" s="1075"/>
      <c r="AK486" s="1075"/>
      <c r="AL486" s="1075"/>
      <c r="AM486" s="1075"/>
      <c r="AN486" s="1075"/>
      <c r="AO486" s="1075"/>
      <c r="AP486" s="1075"/>
      <c r="AQ486" s="1075"/>
      <c r="AR486" s="1075"/>
      <c r="AS486" s="1075"/>
      <c r="AT486" s="1075"/>
      <c r="AU486" s="1075"/>
      <c r="AV486" s="1075"/>
    </row>
    <row r="487" spans="1:48" ht="11.25" hidden="1" customHeight="1">
      <c r="A487" s="1075"/>
      <c r="B487" s="1075"/>
      <c r="C487" s="1075"/>
      <c r="D487" s="1075"/>
      <c r="E487" s="1075"/>
      <c r="F487" s="1075"/>
      <c r="G487" s="1075"/>
      <c r="H487" s="1075"/>
      <c r="I487" s="1075"/>
      <c r="J487" s="1075"/>
      <c r="K487" s="1075"/>
      <c r="L487" s="1075"/>
      <c r="M487" s="1075"/>
      <c r="N487" s="1075"/>
      <c r="O487" s="1075"/>
      <c r="P487" s="1075"/>
      <c r="Q487" s="1075"/>
      <c r="R487" s="1075"/>
      <c r="S487" s="1075"/>
      <c r="T487" s="1075"/>
      <c r="U487" s="1075"/>
      <c r="V487" s="1075"/>
      <c r="W487" s="1075"/>
      <c r="X487" s="1075"/>
      <c r="Y487" s="1075"/>
      <c r="Z487" s="1075"/>
      <c r="AA487" s="1075"/>
      <c r="AB487" s="1075"/>
      <c r="AC487" s="1075"/>
      <c r="AD487" s="1075"/>
      <c r="AE487" s="1075"/>
      <c r="AF487" s="1075"/>
      <c r="AG487" s="1075"/>
      <c r="AH487" s="1075"/>
      <c r="AI487" s="1075"/>
      <c r="AJ487" s="1075"/>
      <c r="AK487" s="1075"/>
      <c r="AL487" s="1075"/>
      <c r="AM487" s="1075"/>
      <c r="AN487" s="1075"/>
      <c r="AO487" s="1075"/>
      <c r="AP487" s="1075"/>
      <c r="AQ487" s="1075"/>
      <c r="AR487" s="1075"/>
      <c r="AS487" s="1075"/>
      <c r="AT487" s="1075"/>
      <c r="AU487" s="1075"/>
      <c r="AV487" s="1075"/>
    </row>
    <row r="488" spans="1:48" ht="11.25" hidden="1" customHeight="1">
      <c r="A488" s="1075"/>
      <c r="B488" s="1075"/>
      <c r="C488" s="1075"/>
      <c r="D488" s="1075"/>
      <c r="E488" s="1075"/>
      <c r="F488" s="1075"/>
      <c r="G488" s="1075"/>
      <c r="H488" s="1075"/>
      <c r="I488" s="1075"/>
      <c r="J488" s="1075"/>
      <c r="K488" s="1075"/>
      <c r="L488" s="1075"/>
      <c r="M488" s="1075"/>
      <c r="N488" s="1075"/>
      <c r="O488" s="1075"/>
      <c r="P488" s="1075"/>
      <c r="Q488" s="1075"/>
      <c r="R488" s="1075"/>
      <c r="S488" s="1075"/>
      <c r="T488" s="1075"/>
      <c r="U488" s="1075"/>
      <c r="V488" s="1075"/>
      <c r="W488" s="1075"/>
      <c r="X488" s="1075"/>
      <c r="Y488" s="1075"/>
      <c r="Z488" s="1075"/>
      <c r="AA488" s="1075"/>
      <c r="AB488" s="1075"/>
      <c r="AC488" s="1075"/>
      <c r="AD488" s="1075"/>
      <c r="AE488" s="1075"/>
      <c r="AF488" s="1075"/>
      <c r="AG488" s="1075"/>
      <c r="AH488" s="1075"/>
      <c r="AI488" s="1075"/>
      <c r="AJ488" s="1075"/>
      <c r="AK488" s="1075"/>
      <c r="AL488" s="1075"/>
      <c r="AM488" s="1075"/>
      <c r="AN488" s="1075"/>
      <c r="AO488" s="1075"/>
      <c r="AP488" s="1075"/>
      <c r="AQ488" s="1075"/>
      <c r="AR488" s="1075"/>
      <c r="AS488" s="1075"/>
      <c r="AT488" s="1075"/>
      <c r="AU488" s="1075"/>
      <c r="AV488" s="1075"/>
    </row>
    <row r="489" spans="1:48" ht="11.25" hidden="1" customHeight="1">
      <c r="A489" s="1075"/>
      <c r="B489" s="1075"/>
      <c r="C489" s="1075"/>
      <c r="D489" s="1075"/>
      <c r="E489" s="1075"/>
      <c r="F489" s="1075"/>
      <c r="G489" s="1075"/>
      <c r="H489" s="1075"/>
      <c r="I489" s="1075"/>
      <c r="J489" s="1075"/>
      <c r="K489" s="1075"/>
      <c r="L489" s="1075"/>
      <c r="M489" s="1075"/>
      <c r="N489" s="1075"/>
      <c r="O489" s="1075"/>
      <c r="P489" s="1075"/>
      <c r="Q489" s="1075"/>
      <c r="R489" s="1075"/>
      <c r="S489" s="1075"/>
      <c r="T489" s="1075"/>
      <c r="U489" s="1075"/>
      <c r="V489" s="1075"/>
      <c r="W489" s="1075"/>
      <c r="X489" s="1075"/>
      <c r="Y489" s="1075"/>
      <c r="Z489" s="1075"/>
      <c r="AA489" s="1075"/>
      <c r="AB489" s="1075"/>
      <c r="AC489" s="1075"/>
      <c r="AD489" s="1075"/>
      <c r="AE489" s="1075"/>
      <c r="AF489" s="1075"/>
      <c r="AG489" s="1075"/>
      <c r="AH489" s="1075"/>
      <c r="AI489" s="1075"/>
      <c r="AJ489" s="1075"/>
      <c r="AK489" s="1075"/>
      <c r="AL489" s="1075"/>
      <c r="AM489" s="1075"/>
      <c r="AN489" s="1075"/>
      <c r="AO489" s="1075"/>
      <c r="AP489" s="1075"/>
      <c r="AQ489" s="1075"/>
      <c r="AR489" s="1075"/>
      <c r="AS489" s="1075"/>
      <c r="AT489" s="1075"/>
      <c r="AU489" s="1075"/>
      <c r="AV489" s="1075"/>
    </row>
    <row r="490" spans="1:48" ht="11.25" hidden="1" customHeight="1">
      <c r="A490" s="1075"/>
      <c r="B490" s="1075"/>
      <c r="C490" s="1075"/>
      <c r="D490" s="1075"/>
      <c r="E490" s="1075"/>
      <c r="F490" s="1075"/>
      <c r="G490" s="1075"/>
      <c r="H490" s="1075"/>
      <c r="I490" s="1075"/>
      <c r="J490" s="1075"/>
      <c r="K490" s="1075"/>
      <c r="L490" s="1075"/>
      <c r="M490" s="1075"/>
      <c r="N490" s="1075"/>
      <c r="O490" s="1075"/>
      <c r="P490" s="1075"/>
      <c r="Q490" s="1075"/>
      <c r="R490" s="1075"/>
      <c r="S490" s="1075"/>
      <c r="T490" s="1075"/>
      <c r="U490" s="1075"/>
      <c r="V490" s="1075"/>
      <c r="W490" s="1075"/>
      <c r="X490" s="1075"/>
      <c r="Y490" s="1075"/>
      <c r="Z490" s="1075"/>
      <c r="AA490" s="1075"/>
      <c r="AB490" s="1075"/>
      <c r="AC490" s="1075"/>
      <c r="AD490" s="1075"/>
      <c r="AE490" s="1075"/>
      <c r="AF490" s="1075"/>
      <c r="AG490" s="1075"/>
      <c r="AH490" s="1075"/>
      <c r="AI490" s="1075"/>
      <c r="AJ490" s="1075"/>
      <c r="AK490" s="1075"/>
      <c r="AL490" s="1075"/>
      <c r="AM490" s="1075"/>
      <c r="AN490" s="1075"/>
      <c r="AO490" s="1075"/>
      <c r="AP490" s="1075"/>
      <c r="AQ490" s="1075"/>
      <c r="AR490" s="1075"/>
      <c r="AS490" s="1075"/>
      <c r="AT490" s="1075"/>
      <c r="AU490" s="1075"/>
      <c r="AV490" s="1075"/>
    </row>
    <row r="491" spans="1:48" ht="11.25" hidden="1" customHeight="1">
      <c r="A491" s="1075"/>
      <c r="B491" s="1075"/>
      <c r="C491" s="1075"/>
      <c r="D491" s="1075"/>
      <c r="E491" s="1075"/>
      <c r="F491" s="1075"/>
      <c r="G491" s="1075"/>
      <c r="H491" s="1075"/>
      <c r="I491" s="1075"/>
      <c r="J491" s="1075"/>
      <c r="K491" s="1075"/>
      <c r="L491" s="1075"/>
      <c r="M491" s="1075"/>
      <c r="N491" s="1075"/>
      <c r="O491" s="1075"/>
      <c r="P491" s="1075"/>
      <c r="Q491" s="1075"/>
      <c r="R491" s="1075"/>
      <c r="S491" s="1075"/>
      <c r="T491" s="1075"/>
      <c r="U491" s="1075"/>
      <c r="V491" s="1075"/>
      <c r="W491" s="1075"/>
      <c r="X491" s="1075"/>
      <c r="Y491" s="1075"/>
      <c r="Z491" s="1075"/>
      <c r="AA491" s="1075"/>
      <c r="AB491" s="1075"/>
      <c r="AC491" s="1075"/>
      <c r="AD491" s="1075"/>
      <c r="AE491" s="1075"/>
      <c r="AF491" s="1075"/>
      <c r="AG491" s="1075"/>
      <c r="AH491" s="1075"/>
      <c r="AI491" s="1075"/>
      <c r="AJ491" s="1075"/>
      <c r="AK491" s="1075"/>
      <c r="AL491" s="1075"/>
      <c r="AM491" s="1075"/>
      <c r="AN491" s="1075"/>
      <c r="AO491" s="1075"/>
      <c r="AP491" s="1075"/>
      <c r="AQ491" s="1075"/>
      <c r="AR491" s="1075"/>
      <c r="AS491" s="1075"/>
      <c r="AT491" s="1075"/>
      <c r="AU491" s="1075"/>
      <c r="AV491" s="1075"/>
    </row>
    <row r="492" spans="1:48" ht="11.25" hidden="1" customHeight="1">
      <c r="A492" s="1075"/>
      <c r="B492" s="1075"/>
      <c r="C492" s="1075"/>
      <c r="D492" s="1075"/>
      <c r="E492" s="1075"/>
      <c r="F492" s="1075"/>
      <c r="G492" s="1075"/>
      <c r="H492" s="1075"/>
      <c r="I492" s="1075"/>
      <c r="J492" s="1075"/>
      <c r="K492" s="1075"/>
      <c r="L492" s="1075"/>
      <c r="M492" s="1075"/>
      <c r="N492" s="1075"/>
      <c r="O492" s="1075"/>
      <c r="P492" s="1075"/>
      <c r="Q492" s="1075"/>
      <c r="R492" s="1075"/>
      <c r="S492" s="1075"/>
      <c r="T492" s="1075"/>
      <c r="U492" s="1075"/>
      <c r="V492" s="1075"/>
      <c r="W492" s="1075"/>
      <c r="X492" s="1075"/>
      <c r="Y492" s="1075"/>
      <c r="Z492" s="1075"/>
      <c r="AA492" s="1075"/>
      <c r="AB492" s="1075"/>
      <c r="AC492" s="1075"/>
      <c r="AD492" s="1075"/>
      <c r="AE492" s="1075"/>
      <c r="AF492" s="1075"/>
      <c r="AG492" s="1075"/>
      <c r="AH492" s="1075"/>
      <c r="AI492" s="1075"/>
      <c r="AJ492" s="1075"/>
      <c r="AK492" s="1075"/>
      <c r="AL492" s="1075"/>
      <c r="AM492" s="1075"/>
      <c r="AN492" s="1075"/>
      <c r="AO492" s="1075"/>
      <c r="AP492" s="1075"/>
      <c r="AQ492" s="1075"/>
      <c r="AR492" s="1075"/>
      <c r="AS492" s="1075"/>
      <c r="AT492" s="1075"/>
      <c r="AU492" s="1075"/>
      <c r="AV492" s="1075"/>
    </row>
    <row r="493" spans="1:48" ht="11.25" hidden="1" customHeight="1">
      <c r="A493" s="1075"/>
      <c r="B493" s="1075"/>
      <c r="C493" s="1075"/>
      <c r="D493" s="1075"/>
      <c r="E493" s="1075"/>
      <c r="F493" s="1075"/>
      <c r="G493" s="1075"/>
      <c r="H493" s="1075"/>
      <c r="I493" s="1075"/>
      <c r="J493" s="1075"/>
      <c r="K493" s="1075"/>
      <c r="L493" s="1075"/>
      <c r="M493" s="1075"/>
      <c r="N493" s="1075"/>
      <c r="O493" s="1075"/>
      <c r="P493" s="1075"/>
      <c r="Q493" s="1075"/>
      <c r="R493" s="1075"/>
      <c r="S493" s="1075"/>
      <c r="T493" s="1075"/>
      <c r="U493" s="1075"/>
      <c r="V493" s="1075"/>
      <c r="W493" s="1075"/>
      <c r="X493" s="1075"/>
      <c r="Y493" s="1075"/>
      <c r="Z493" s="1075"/>
      <c r="AA493" s="1075"/>
      <c r="AB493" s="1075"/>
      <c r="AC493" s="1075"/>
      <c r="AD493" s="1075"/>
      <c r="AE493" s="1075"/>
      <c r="AF493" s="1075"/>
      <c r="AG493" s="1075"/>
      <c r="AH493" s="1075"/>
      <c r="AI493" s="1075"/>
      <c r="AJ493" s="1075"/>
      <c r="AK493" s="1075"/>
      <c r="AL493" s="1075"/>
      <c r="AM493" s="1075"/>
      <c r="AN493" s="1075"/>
      <c r="AO493" s="1075"/>
      <c r="AP493" s="1075"/>
      <c r="AQ493" s="1075"/>
      <c r="AR493" s="1075"/>
      <c r="AS493" s="1075"/>
      <c r="AT493" s="1075"/>
      <c r="AU493" s="1075"/>
      <c r="AV493" s="1075"/>
    </row>
    <row r="494" spans="1:48" ht="11.25" hidden="1" customHeight="1">
      <c r="A494" s="1075"/>
      <c r="B494" s="1075"/>
      <c r="C494" s="1075"/>
      <c r="D494" s="1075"/>
      <c r="E494" s="1075"/>
      <c r="F494" s="1075"/>
      <c r="G494" s="1075"/>
      <c r="H494" s="1075"/>
      <c r="I494" s="1075"/>
      <c r="J494" s="1075"/>
      <c r="K494" s="1075"/>
      <c r="L494" s="1075"/>
      <c r="M494" s="1075"/>
      <c r="N494" s="1075"/>
      <c r="O494" s="1075"/>
      <c r="P494" s="1075"/>
      <c r="Q494" s="1075"/>
      <c r="R494" s="1075"/>
      <c r="S494" s="1075"/>
      <c r="T494" s="1075"/>
      <c r="U494" s="1075"/>
      <c r="V494" s="1075"/>
      <c r="W494" s="1075"/>
      <c r="X494" s="1075"/>
      <c r="Y494" s="1075"/>
      <c r="Z494" s="1075"/>
      <c r="AA494" s="1075"/>
      <c r="AB494" s="1075"/>
      <c r="AC494" s="1075"/>
      <c r="AD494" s="1075"/>
      <c r="AE494" s="1075"/>
      <c r="AF494" s="1075"/>
      <c r="AG494" s="1075"/>
      <c r="AH494" s="1075"/>
      <c r="AI494" s="1075"/>
      <c r="AJ494" s="1075"/>
      <c r="AK494" s="1075"/>
      <c r="AL494" s="1075"/>
      <c r="AM494" s="1075"/>
      <c r="AN494" s="1075"/>
      <c r="AO494" s="1075"/>
      <c r="AP494" s="1075"/>
      <c r="AQ494" s="1075"/>
      <c r="AR494" s="1075"/>
      <c r="AS494" s="1075"/>
      <c r="AT494" s="1075"/>
      <c r="AU494" s="1075"/>
      <c r="AV494" s="1075"/>
    </row>
    <row r="495" spans="1:48" ht="11.25" hidden="1" customHeight="1">
      <c r="A495" s="1075"/>
      <c r="B495" s="1075"/>
      <c r="C495" s="1075"/>
      <c r="D495" s="1075"/>
      <c r="E495" s="1075"/>
      <c r="F495" s="1075"/>
      <c r="G495" s="1075"/>
      <c r="H495" s="1075"/>
      <c r="I495" s="1075"/>
      <c r="J495" s="1075"/>
      <c r="K495" s="1075"/>
      <c r="L495" s="1075"/>
      <c r="M495" s="1075"/>
      <c r="N495" s="1075"/>
      <c r="O495" s="1075"/>
      <c r="P495" s="1075"/>
      <c r="Q495" s="1075"/>
      <c r="R495" s="1075"/>
      <c r="S495" s="1075"/>
      <c r="T495" s="1075"/>
      <c r="U495" s="1075"/>
      <c r="V495" s="1075"/>
      <c r="W495" s="1075"/>
      <c r="X495" s="1075"/>
      <c r="Y495" s="1075"/>
      <c r="Z495" s="1075"/>
      <c r="AA495" s="1075"/>
      <c r="AB495" s="1075"/>
      <c r="AC495" s="1075"/>
      <c r="AD495" s="1075"/>
      <c r="AE495" s="1075"/>
      <c r="AF495" s="1075"/>
      <c r="AG495" s="1075"/>
      <c r="AH495" s="1075"/>
      <c r="AI495" s="1075"/>
      <c r="AJ495" s="1075"/>
      <c r="AK495" s="1075"/>
      <c r="AL495" s="1075"/>
      <c r="AM495" s="1075"/>
      <c r="AN495" s="1075"/>
      <c r="AO495" s="1075"/>
      <c r="AP495" s="1075"/>
      <c r="AQ495" s="1075"/>
      <c r="AR495" s="1075"/>
      <c r="AS495" s="1075"/>
      <c r="AT495" s="1075"/>
      <c r="AU495" s="1075"/>
      <c r="AV495" s="1075"/>
    </row>
    <row r="496" spans="1:48" ht="11.25" hidden="1" customHeight="1">
      <c r="A496" s="1075"/>
      <c r="B496" s="1075"/>
      <c r="C496" s="1075"/>
      <c r="D496" s="1075"/>
      <c r="E496" s="1075"/>
      <c r="F496" s="1075"/>
      <c r="G496" s="1075"/>
      <c r="H496" s="1075"/>
      <c r="I496" s="1075"/>
      <c r="J496" s="1075"/>
      <c r="K496" s="1075"/>
      <c r="L496" s="1075"/>
      <c r="M496" s="1075"/>
      <c r="N496" s="1075"/>
      <c r="O496" s="1075"/>
      <c r="P496" s="1075"/>
      <c r="Q496" s="1075"/>
      <c r="R496" s="1075"/>
      <c r="S496" s="1075"/>
      <c r="T496" s="1075"/>
      <c r="U496" s="1075"/>
      <c r="V496" s="1075"/>
      <c r="W496" s="1075"/>
      <c r="X496" s="1075"/>
      <c r="Y496" s="1075"/>
      <c r="Z496" s="1075"/>
      <c r="AA496" s="1075"/>
      <c r="AB496" s="1075"/>
      <c r="AC496" s="1075"/>
      <c r="AD496" s="1075"/>
      <c r="AE496" s="1075"/>
      <c r="AF496" s="1075"/>
      <c r="AG496" s="1075"/>
      <c r="AH496" s="1075"/>
      <c r="AI496" s="1075"/>
      <c r="AJ496" s="1075"/>
      <c r="AK496" s="1075"/>
      <c r="AL496" s="1075"/>
      <c r="AM496" s="1075"/>
      <c r="AN496" s="1075"/>
      <c r="AO496" s="1075"/>
      <c r="AP496" s="1075"/>
      <c r="AQ496" s="1075"/>
      <c r="AR496" s="1075"/>
      <c r="AS496" s="1075"/>
      <c r="AT496" s="1075"/>
      <c r="AU496" s="1075"/>
      <c r="AV496" s="1075"/>
    </row>
    <row r="497" spans="1:48" ht="11.25" hidden="1" customHeight="1">
      <c r="A497" s="1075"/>
      <c r="B497" s="1075"/>
      <c r="C497" s="1075"/>
      <c r="D497" s="1075"/>
      <c r="E497" s="1075"/>
      <c r="F497" s="1075"/>
      <c r="G497" s="1075"/>
      <c r="H497" s="1075"/>
      <c r="I497" s="1075"/>
      <c r="J497" s="1075"/>
      <c r="K497" s="1075"/>
      <c r="L497" s="1075"/>
      <c r="M497" s="1075"/>
      <c r="N497" s="1075"/>
      <c r="O497" s="1075"/>
      <c r="P497" s="1075"/>
      <c r="Q497" s="1075"/>
      <c r="R497" s="1075"/>
      <c r="S497" s="1075"/>
      <c r="T497" s="1075"/>
      <c r="U497" s="1075"/>
      <c r="V497" s="1075"/>
      <c r="W497" s="1075"/>
      <c r="X497" s="1075"/>
      <c r="Y497" s="1075"/>
      <c r="Z497" s="1075"/>
      <c r="AA497" s="1075"/>
      <c r="AB497" s="1075"/>
      <c r="AC497" s="1075"/>
      <c r="AD497" s="1075"/>
      <c r="AE497" s="1075"/>
      <c r="AF497" s="1075"/>
      <c r="AG497" s="1075"/>
      <c r="AH497" s="1075"/>
      <c r="AI497" s="1075"/>
      <c r="AJ497" s="1075"/>
      <c r="AK497" s="1075"/>
      <c r="AL497" s="1075"/>
      <c r="AM497" s="1075"/>
      <c r="AN497" s="1075"/>
      <c r="AO497" s="1075"/>
      <c r="AP497" s="1075"/>
      <c r="AQ497" s="1075"/>
      <c r="AR497" s="1075"/>
      <c r="AS497" s="1075"/>
      <c r="AT497" s="1075"/>
      <c r="AU497" s="1075"/>
      <c r="AV497" s="1075"/>
    </row>
    <row r="498" spans="1:48" ht="11.25" hidden="1" customHeight="1">
      <c r="A498" s="1075"/>
      <c r="B498" s="1075"/>
      <c r="C498" s="1075"/>
      <c r="D498" s="1075"/>
      <c r="E498" s="1075"/>
      <c r="F498" s="1075"/>
      <c r="G498" s="1075"/>
      <c r="H498" s="1075"/>
      <c r="I498" s="1075"/>
      <c r="J498" s="1075"/>
      <c r="K498" s="1075"/>
      <c r="L498" s="1075"/>
      <c r="M498" s="1075"/>
      <c r="N498" s="1075"/>
      <c r="O498" s="1075"/>
      <c r="P498" s="1075"/>
      <c r="Q498" s="1075"/>
      <c r="R498" s="1075"/>
      <c r="S498" s="1075"/>
      <c r="T498" s="1075"/>
      <c r="U498" s="1075"/>
      <c r="V498" s="1075"/>
      <c r="W498" s="1075"/>
      <c r="X498" s="1075"/>
      <c r="Y498" s="1075"/>
      <c r="Z498" s="1075"/>
      <c r="AA498" s="1075"/>
      <c r="AB498" s="1075"/>
      <c r="AC498" s="1075"/>
      <c r="AD498" s="1075"/>
      <c r="AE498" s="1075"/>
      <c r="AF498" s="1075"/>
      <c r="AG498" s="1075"/>
      <c r="AH498" s="1075"/>
      <c r="AI498" s="1075"/>
      <c r="AJ498" s="1075"/>
      <c r="AK498" s="1075"/>
      <c r="AL498" s="1075"/>
      <c r="AM498" s="1075"/>
      <c r="AN498" s="1075"/>
      <c r="AO498" s="1075"/>
      <c r="AP498" s="1075"/>
      <c r="AQ498" s="1075"/>
      <c r="AR498" s="1075"/>
      <c r="AS498" s="1075"/>
      <c r="AT498" s="1075"/>
      <c r="AU498" s="1075"/>
      <c r="AV498" s="1075"/>
    </row>
    <row r="499" spans="1:48" ht="11.25" hidden="1" customHeight="1">
      <c r="A499" s="1075"/>
      <c r="B499" s="1075"/>
      <c r="C499" s="1075"/>
      <c r="D499" s="1075"/>
      <c r="E499" s="1075"/>
      <c r="F499" s="1075"/>
      <c r="G499" s="1075"/>
      <c r="H499" s="1075"/>
      <c r="I499" s="1075"/>
      <c r="J499" s="1075"/>
      <c r="K499" s="1075"/>
      <c r="L499" s="1075"/>
      <c r="M499" s="1075"/>
      <c r="N499" s="1075"/>
      <c r="O499" s="1075"/>
      <c r="P499" s="1075"/>
      <c r="Q499" s="1075"/>
      <c r="R499" s="1075"/>
      <c r="S499" s="1075"/>
      <c r="T499" s="1075"/>
      <c r="U499" s="1075"/>
      <c r="V499" s="1075"/>
      <c r="W499" s="1075"/>
      <c r="X499" s="1075"/>
      <c r="Y499" s="1075"/>
      <c r="Z499" s="1075"/>
      <c r="AA499" s="1075"/>
      <c r="AB499" s="1075"/>
      <c r="AC499" s="1075"/>
      <c r="AD499" s="1075"/>
      <c r="AE499" s="1075"/>
      <c r="AF499" s="1075"/>
      <c r="AG499" s="1075"/>
      <c r="AH499" s="1075"/>
      <c r="AI499" s="1075"/>
      <c r="AJ499" s="1075"/>
      <c r="AK499" s="1075"/>
      <c r="AL499" s="1075"/>
      <c r="AM499" s="1075"/>
      <c r="AN499" s="1075"/>
      <c r="AO499" s="1075"/>
      <c r="AP499" s="1075"/>
      <c r="AQ499" s="1075"/>
      <c r="AR499" s="1075"/>
      <c r="AS499" s="1075"/>
      <c r="AT499" s="1075"/>
      <c r="AU499" s="1075"/>
      <c r="AV499" s="1075"/>
    </row>
    <row r="500" spans="1:48" ht="11.25" hidden="1" customHeight="1">
      <c r="A500" s="1075"/>
      <c r="B500" s="1075"/>
      <c r="C500" s="1075"/>
      <c r="D500" s="1075"/>
      <c r="E500" s="1075"/>
      <c r="F500" s="1075"/>
      <c r="G500" s="1075"/>
      <c r="H500" s="1075"/>
      <c r="I500" s="1075"/>
      <c r="J500" s="1075"/>
      <c r="K500" s="1075"/>
      <c r="L500" s="1075"/>
      <c r="M500" s="1075"/>
      <c r="N500" s="1075"/>
      <c r="O500" s="1075"/>
      <c r="P500" s="1075"/>
      <c r="Q500" s="1075"/>
      <c r="R500" s="1075"/>
      <c r="S500" s="1075"/>
      <c r="T500" s="1075"/>
      <c r="U500" s="1075"/>
      <c r="V500" s="1075"/>
      <c r="W500" s="1075"/>
      <c r="X500" s="1075"/>
      <c r="Y500" s="1075"/>
      <c r="Z500" s="1075"/>
      <c r="AA500" s="1075"/>
      <c r="AB500" s="1075"/>
      <c r="AC500" s="1075"/>
      <c r="AD500" s="1075"/>
      <c r="AE500" s="1075"/>
      <c r="AF500" s="1075"/>
      <c r="AG500" s="1075"/>
      <c r="AH500" s="1075"/>
      <c r="AI500" s="1075"/>
      <c r="AJ500" s="1075"/>
      <c r="AK500" s="1075"/>
      <c r="AL500" s="1075"/>
      <c r="AM500" s="1075"/>
      <c r="AN500" s="1075"/>
      <c r="AO500" s="1075"/>
      <c r="AP500" s="1075"/>
      <c r="AQ500" s="1075"/>
      <c r="AR500" s="1075"/>
      <c r="AS500" s="1075"/>
      <c r="AT500" s="1075"/>
      <c r="AU500" s="1075"/>
      <c r="AV500" s="1075"/>
    </row>
    <row r="501" spans="1:48" ht="11.25" hidden="1" customHeight="1">
      <c r="A501" s="1075"/>
      <c r="B501" s="1075"/>
      <c r="C501" s="1075"/>
      <c r="D501" s="1075"/>
      <c r="E501" s="1075"/>
      <c r="F501" s="1075"/>
      <c r="G501" s="1075"/>
      <c r="H501" s="1075"/>
      <c r="I501" s="1075"/>
      <c r="J501" s="1075"/>
      <c r="K501" s="1075"/>
      <c r="L501" s="1075"/>
      <c r="M501" s="1075"/>
      <c r="N501" s="1075"/>
      <c r="O501" s="1075"/>
      <c r="P501" s="1075"/>
      <c r="Q501" s="1075"/>
      <c r="R501" s="1075"/>
      <c r="S501" s="1075"/>
      <c r="T501" s="1075"/>
      <c r="U501" s="1075"/>
      <c r="V501" s="1075"/>
      <c r="W501" s="1075"/>
      <c r="X501" s="1075"/>
      <c r="Y501" s="1075"/>
      <c r="Z501" s="1075"/>
      <c r="AA501" s="1075"/>
      <c r="AB501" s="1075"/>
      <c r="AC501" s="1075"/>
      <c r="AD501" s="1075"/>
      <c r="AE501" s="1075"/>
      <c r="AF501" s="1075"/>
      <c r="AG501" s="1075"/>
      <c r="AH501" s="1075"/>
      <c r="AI501" s="1075"/>
      <c r="AJ501" s="1075"/>
      <c r="AK501" s="1075"/>
      <c r="AL501" s="1075"/>
      <c r="AM501" s="1075"/>
      <c r="AN501" s="1075"/>
      <c r="AO501" s="1075"/>
      <c r="AP501" s="1075"/>
      <c r="AQ501" s="1075"/>
      <c r="AR501" s="1075"/>
      <c r="AS501" s="1075"/>
      <c r="AT501" s="1075"/>
      <c r="AU501" s="1075"/>
      <c r="AV501" s="1075"/>
    </row>
    <row r="502" spans="1:48" ht="11.25" hidden="1" customHeight="1">
      <c r="A502" s="1075"/>
      <c r="B502" s="1075"/>
      <c r="C502" s="1075"/>
      <c r="D502" s="1075"/>
      <c r="E502" s="1075"/>
      <c r="F502" s="1075"/>
      <c r="G502" s="1075"/>
      <c r="H502" s="1075"/>
      <c r="I502" s="1075"/>
      <c r="J502" s="1075"/>
      <c r="K502" s="1075"/>
      <c r="L502" s="1075"/>
      <c r="M502" s="1075"/>
      <c r="N502" s="1075"/>
      <c r="O502" s="1075"/>
      <c r="P502" s="1075"/>
      <c r="Q502" s="1075"/>
      <c r="R502" s="1075"/>
      <c r="S502" s="1075"/>
      <c r="T502" s="1075"/>
      <c r="U502" s="1075"/>
      <c r="V502" s="1075"/>
      <c r="W502" s="1075"/>
      <c r="X502" s="1075"/>
      <c r="Y502" s="1075"/>
      <c r="Z502" s="1075"/>
      <c r="AA502" s="1075"/>
      <c r="AB502" s="1075"/>
      <c r="AC502" s="1075"/>
      <c r="AD502" s="1075"/>
      <c r="AE502" s="1075"/>
      <c r="AF502" s="1075"/>
      <c r="AG502" s="1075"/>
      <c r="AH502" s="1075"/>
      <c r="AI502" s="1075"/>
      <c r="AJ502" s="1075"/>
      <c r="AK502" s="1075"/>
      <c r="AL502" s="1075"/>
      <c r="AM502" s="1075"/>
      <c r="AN502" s="1075"/>
      <c r="AO502" s="1075"/>
      <c r="AP502" s="1075"/>
      <c r="AQ502" s="1075"/>
      <c r="AR502" s="1075"/>
      <c r="AS502" s="1075"/>
      <c r="AT502" s="1075"/>
      <c r="AU502" s="1075"/>
      <c r="AV502" s="1075"/>
    </row>
    <row r="503" spans="1:48" ht="11.25" hidden="1" customHeight="1">
      <c r="A503" s="1075"/>
      <c r="B503" s="1075"/>
      <c r="C503" s="1075"/>
      <c r="D503" s="1075"/>
      <c r="E503" s="1075"/>
      <c r="F503" s="1075"/>
      <c r="G503" s="1075"/>
      <c r="H503" s="1075"/>
      <c r="I503" s="1075"/>
      <c r="J503" s="1075"/>
      <c r="K503" s="1075"/>
      <c r="L503" s="1075"/>
      <c r="M503" s="1075"/>
      <c r="N503" s="1075"/>
      <c r="O503" s="1075"/>
      <c r="P503" s="1075"/>
      <c r="Q503" s="1075"/>
      <c r="R503" s="1075"/>
      <c r="S503" s="1075"/>
      <c r="T503" s="1075"/>
      <c r="U503" s="1075"/>
      <c r="V503" s="1075"/>
      <c r="W503" s="1075"/>
      <c r="X503" s="1075"/>
      <c r="Y503" s="1075"/>
      <c r="Z503" s="1075"/>
      <c r="AA503" s="1075"/>
      <c r="AB503" s="1075"/>
      <c r="AC503" s="1075"/>
      <c r="AD503" s="1075"/>
      <c r="AE503" s="1075"/>
      <c r="AF503" s="1075"/>
      <c r="AG503" s="1075"/>
      <c r="AH503" s="1075"/>
      <c r="AI503" s="1075"/>
      <c r="AJ503" s="1075"/>
      <c r="AK503" s="1075"/>
      <c r="AL503" s="1075"/>
      <c r="AM503" s="1075"/>
      <c r="AN503" s="1075"/>
      <c r="AO503" s="1075"/>
      <c r="AP503" s="1075"/>
      <c r="AQ503" s="1075"/>
      <c r="AR503" s="1075"/>
      <c r="AS503" s="1075"/>
      <c r="AT503" s="1075"/>
      <c r="AU503" s="1075"/>
      <c r="AV503" s="1075"/>
    </row>
    <row r="504" spans="1:48" ht="11.25" hidden="1" customHeight="1">
      <c r="A504" s="1075"/>
      <c r="B504" s="1075"/>
      <c r="C504" s="1075"/>
      <c r="D504" s="1075"/>
      <c r="E504" s="1075"/>
      <c r="F504" s="1075"/>
      <c r="G504" s="1075"/>
      <c r="H504" s="1075"/>
      <c r="I504" s="1075"/>
      <c r="J504" s="1075"/>
      <c r="K504" s="1075"/>
      <c r="L504" s="1075"/>
      <c r="M504" s="1075"/>
      <c r="N504" s="1075"/>
      <c r="O504" s="1075"/>
      <c r="P504" s="1075"/>
      <c r="Q504" s="1075"/>
      <c r="R504" s="1075"/>
      <c r="S504" s="1075"/>
      <c r="T504" s="1075"/>
      <c r="U504" s="1075"/>
      <c r="V504" s="1075"/>
      <c r="W504" s="1075"/>
      <c r="X504" s="1075"/>
      <c r="Y504" s="1075"/>
      <c r="Z504" s="1075"/>
      <c r="AA504" s="1075"/>
      <c r="AB504" s="1075"/>
      <c r="AC504" s="1075"/>
      <c r="AD504" s="1075"/>
      <c r="AE504" s="1075"/>
      <c r="AF504" s="1075"/>
      <c r="AG504" s="1075"/>
      <c r="AH504" s="1075"/>
      <c r="AI504" s="1075"/>
      <c r="AJ504" s="1075"/>
      <c r="AK504" s="1075"/>
      <c r="AL504" s="1075"/>
      <c r="AM504" s="1075"/>
      <c r="AN504" s="1075"/>
      <c r="AO504" s="1075"/>
      <c r="AP504" s="1075"/>
      <c r="AQ504" s="1075"/>
      <c r="AR504" s="1075"/>
      <c r="AS504" s="1075"/>
      <c r="AT504" s="1075"/>
      <c r="AU504" s="1075"/>
      <c r="AV504" s="1075"/>
    </row>
    <row r="505" spans="1:48" ht="11.25" hidden="1" customHeight="1">
      <c r="A505" s="1075"/>
      <c r="B505" s="1075"/>
      <c r="C505" s="1075"/>
      <c r="D505" s="1075"/>
      <c r="E505" s="1075"/>
      <c r="F505" s="1075"/>
      <c r="G505" s="1075"/>
      <c r="H505" s="1075"/>
      <c r="I505" s="1075"/>
      <c r="J505" s="1075"/>
      <c r="K505" s="1075"/>
      <c r="L505" s="1075"/>
      <c r="M505" s="1075"/>
      <c r="N505" s="1075"/>
      <c r="O505" s="1075"/>
      <c r="P505" s="1075"/>
      <c r="Q505" s="1075"/>
      <c r="R505" s="1075"/>
      <c r="S505" s="1075"/>
      <c r="T505" s="1075"/>
      <c r="U505" s="1075"/>
      <c r="V505" s="1075"/>
      <c r="W505" s="1075"/>
      <c r="X505" s="1075"/>
      <c r="Y505" s="1075"/>
      <c r="Z505" s="1075"/>
      <c r="AA505" s="1075"/>
      <c r="AB505" s="1075"/>
      <c r="AC505" s="1075"/>
      <c r="AD505" s="1075"/>
      <c r="AE505" s="1075"/>
      <c r="AF505" s="1075"/>
      <c r="AG505" s="1075"/>
      <c r="AH505" s="1075"/>
      <c r="AI505" s="1075"/>
      <c r="AJ505" s="1075"/>
      <c r="AK505" s="1075"/>
      <c r="AL505" s="1075"/>
      <c r="AM505" s="1075"/>
      <c r="AN505" s="1075"/>
      <c r="AO505" s="1075"/>
      <c r="AP505" s="1075"/>
      <c r="AQ505" s="1075"/>
      <c r="AR505" s="1075"/>
      <c r="AS505" s="1075"/>
      <c r="AT505" s="1075"/>
      <c r="AU505" s="1075"/>
      <c r="AV505" s="1075"/>
    </row>
    <row r="506" spans="1:48" ht="11.25" hidden="1" customHeight="1">
      <c r="A506" s="1075"/>
      <c r="B506" s="1075"/>
      <c r="C506" s="1075"/>
      <c r="D506" s="1075"/>
      <c r="E506" s="1075"/>
      <c r="F506" s="1075"/>
      <c r="G506" s="1075"/>
      <c r="H506" s="1075"/>
      <c r="I506" s="1075"/>
      <c r="J506" s="1075"/>
      <c r="K506" s="1075"/>
      <c r="L506" s="1075"/>
      <c r="M506" s="1075"/>
      <c r="N506" s="1075"/>
      <c r="O506" s="1075"/>
      <c r="P506" s="1075"/>
      <c r="Q506" s="1075"/>
      <c r="R506" s="1075"/>
      <c r="S506" s="1075"/>
      <c r="T506" s="1075"/>
      <c r="U506" s="1075"/>
      <c r="V506" s="1075"/>
      <c r="W506" s="1075"/>
      <c r="X506" s="1075"/>
      <c r="Y506" s="1075"/>
      <c r="Z506" s="1075"/>
      <c r="AA506" s="1075"/>
      <c r="AB506" s="1075"/>
      <c r="AC506" s="1075"/>
      <c r="AD506" s="1075"/>
      <c r="AE506" s="1075"/>
      <c r="AF506" s="1075"/>
      <c r="AG506" s="1075"/>
      <c r="AH506" s="1075"/>
      <c r="AI506" s="1075"/>
      <c r="AJ506" s="1075"/>
      <c r="AK506" s="1075"/>
      <c r="AL506" s="1075"/>
      <c r="AM506" s="1075"/>
      <c r="AN506" s="1075"/>
      <c r="AO506" s="1075"/>
      <c r="AP506" s="1075"/>
      <c r="AQ506" s="1075"/>
      <c r="AR506" s="1075"/>
      <c r="AS506" s="1075"/>
      <c r="AT506" s="1075"/>
      <c r="AU506" s="1075"/>
      <c r="AV506" s="1075"/>
    </row>
    <row r="507" spans="1:48" ht="11.25" hidden="1" customHeight="1">
      <c r="A507" s="1075"/>
      <c r="B507" s="1075"/>
      <c r="C507" s="1075"/>
      <c r="D507" s="1075"/>
      <c r="E507" s="1075"/>
      <c r="F507" s="1075"/>
      <c r="G507" s="1075"/>
      <c r="H507" s="1075"/>
      <c r="I507" s="1075"/>
      <c r="J507" s="1075"/>
      <c r="K507" s="1075"/>
      <c r="L507" s="1075"/>
      <c r="M507" s="1075"/>
      <c r="N507" s="1075"/>
      <c r="O507" s="1075"/>
      <c r="P507" s="1075"/>
      <c r="Q507" s="1075"/>
      <c r="R507" s="1075"/>
      <c r="S507" s="1075"/>
      <c r="T507" s="1075"/>
      <c r="U507" s="1075"/>
      <c r="V507" s="1075"/>
      <c r="W507" s="1075"/>
      <c r="X507" s="1075"/>
      <c r="Y507" s="1075"/>
      <c r="Z507" s="1075"/>
      <c r="AA507" s="1075"/>
      <c r="AB507" s="1075"/>
      <c r="AC507" s="1075"/>
      <c r="AD507" s="1075"/>
      <c r="AE507" s="1075"/>
      <c r="AF507" s="1075"/>
      <c r="AG507" s="1075"/>
      <c r="AH507" s="1075"/>
      <c r="AI507" s="1075"/>
      <c r="AJ507" s="1075"/>
      <c r="AK507" s="1075"/>
      <c r="AL507" s="1075"/>
      <c r="AM507" s="1075"/>
      <c r="AN507" s="1075"/>
      <c r="AO507" s="1075"/>
      <c r="AP507" s="1075"/>
      <c r="AQ507" s="1075"/>
      <c r="AR507" s="1075"/>
      <c r="AS507" s="1075"/>
      <c r="AT507" s="1075"/>
      <c r="AU507" s="1075"/>
      <c r="AV507" s="1075"/>
    </row>
    <row r="508" spans="1:48" ht="11.25" hidden="1" customHeight="1">
      <c r="A508" s="1075"/>
      <c r="B508" s="1075"/>
      <c r="C508" s="1075"/>
      <c r="D508" s="1075"/>
      <c r="E508" s="1075"/>
      <c r="F508" s="1075"/>
      <c r="G508" s="1075"/>
      <c r="H508" s="1075"/>
      <c r="I508" s="1075"/>
      <c r="J508" s="1075"/>
      <c r="K508" s="1075"/>
      <c r="L508" s="1075"/>
      <c r="M508" s="1075"/>
      <c r="N508" s="1075"/>
      <c r="O508" s="1075"/>
      <c r="P508" s="1075"/>
      <c r="Q508" s="1075"/>
      <c r="R508" s="1075"/>
      <c r="S508" s="1075"/>
      <c r="T508" s="1075"/>
      <c r="U508" s="1075"/>
      <c r="V508" s="1075"/>
      <c r="W508" s="1075"/>
      <c r="X508" s="1075"/>
      <c r="Y508" s="1075"/>
      <c r="Z508" s="1075"/>
      <c r="AA508" s="1075"/>
      <c r="AB508" s="1075"/>
      <c r="AC508" s="1075"/>
      <c r="AD508" s="1075"/>
      <c r="AE508" s="1075"/>
      <c r="AF508" s="1075"/>
      <c r="AG508" s="1075"/>
      <c r="AH508" s="1075"/>
      <c r="AI508" s="1075"/>
      <c r="AJ508" s="1075"/>
      <c r="AK508" s="1075"/>
      <c r="AL508" s="1075"/>
      <c r="AM508" s="1075"/>
      <c r="AN508" s="1075"/>
      <c r="AO508" s="1075"/>
      <c r="AP508" s="1075"/>
      <c r="AQ508" s="1075"/>
      <c r="AR508" s="1075"/>
      <c r="AS508" s="1075"/>
      <c r="AT508" s="1075"/>
      <c r="AU508" s="1075"/>
      <c r="AV508" s="1075"/>
    </row>
    <row r="509" spans="1:48" ht="11.25" hidden="1" customHeight="1">
      <c r="A509" s="1075"/>
      <c r="B509" s="1075"/>
      <c r="C509" s="1075"/>
      <c r="D509" s="1075"/>
      <c r="E509" s="1075"/>
      <c r="F509" s="1075"/>
      <c r="G509" s="1075"/>
      <c r="H509" s="1075"/>
      <c r="I509" s="1075"/>
      <c r="J509" s="1075"/>
      <c r="K509" s="1075"/>
      <c r="L509" s="1075"/>
      <c r="M509" s="1075"/>
      <c r="N509" s="1075"/>
      <c r="O509" s="1075"/>
      <c r="P509" s="1075"/>
      <c r="Q509" s="1075"/>
      <c r="R509" s="1075"/>
      <c r="S509" s="1075"/>
      <c r="T509" s="1075"/>
      <c r="U509" s="1075"/>
      <c r="V509" s="1075"/>
      <c r="W509" s="1075"/>
      <c r="X509" s="1075"/>
      <c r="Y509" s="1075"/>
      <c r="Z509" s="1075"/>
      <c r="AA509" s="1075"/>
      <c r="AB509" s="1075"/>
      <c r="AC509" s="1075"/>
      <c r="AD509" s="1075"/>
      <c r="AE509" s="1075"/>
      <c r="AF509" s="1075"/>
      <c r="AG509" s="1075"/>
      <c r="AH509" s="1075"/>
      <c r="AI509" s="1075"/>
      <c r="AJ509" s="1075"/>
      <c r="AK509" s="1075"/>
      <c r="AL509" s="1075"/>
      <c r="AM509" s="1075"/>
      <c r="AN509" s="1075"/>
      <c r="AO509" s="1075"/>
      <c r="AP509" s="1075"/>
      <c r="AQ509" s="1075"/>
      <c r="AR509" s="1075"/>
      <c r="AS509" s="1075"/>
      <c r="AT509" s="1075"/>
      <c r="AU509" s="1075"/>
      <c r="AV509" s="1075"/>
    </row>
    <row r="510" spans="1:48" ht="11.25" hidden="1" customHeight="1">
      <c r="A510" s="1075"/>
      <c r="B510" s="1075"/>
      <c r="C510" s="1075"/>
      <c r="D510" s="1075"/>
      <c r="E510" s="1075"/>
      <c r="F510" s="1075"/>
      <c r="G510" s="1075"/>
      <c r="H510" s="1075"/>
      <c r="I510" s="1075"/>
      <c r="J510" s="1075"/>
      <c r="K510" s="1075"/>
      <c r="L510" s="1075"/>
      <c r="M510" s="1075"/>
      <c r="N510" s="1075"/>
      <c r="O510" s="1075"/>
      <c r="P510" s="1075"/>
      <c r="Q510" s="1075"/>
      <c r="R510" s="1075"/>
      <c r="S510" s="1075"/>
      <c r="T510" s="1075"/>
      <c r="U510" s="1075"/>
      <c r="V510" s="1075"/>
      <c r="W510" s="1075"/>
      <c r="X510" s="1075"/>
      <c r="Y510" s="1075"/>
      <c r="Z510" s="1075"/>
      <c r="AA510" s="1075"/>
      <c r="AB510" s="1075"/>
      <c r="AC510" s="1075"/>
      <c r="AD510" s="1075"/>
      <c r="AE510" s="1075"/>
      <c r="AF510" s="1075"/>
      <c r="AG510" s="1075"/>
      <c r="AH510" s="1075"/>
      <c r="AI510" s="1075"/>
      <c r="AJ510" s="1075"/>
      <c r="AK510" s="1075"/>
      <c r="AL510" s="1075"/>
      <c r="AM510" s="1075"/>
      <c r="AN510" s="1075"/>
      <c r="AO510" s="1075"/>
      <c r="AP510" s="1075"/>
      <c r="AQ510" s="1075"/>
      <c r="AR510" s="1075"/>
      <c r="AS510" s="1075"/>
      <c r="AT510" s="1075"/>
      <c r="AU510" s="1075"/>
      <c r="AV510" s="1075"/>
    </row>
    <row r="511" spans="1:48" ht="11.25" hidden="1" customHeight="1">
      <c r="A511" s="1075"/>
      <c r="B511" s="1075"/>
      <c r="C511" s="1075"/>
      <c r="D511" s="1075"/>
      <c r="E511" s="1075"/>
      <c r="F511" s="1075"/>
      <c r="G511" s="1075"/>
      <c r="H511" s="1075"/>
      <c r="I511" s="1075"/>
      <c r="J511" s="1075"/>
      <c r="K511" s="1075"/>
      <c r="L511" s="1075"/>
      <c r="M511" s="1075"/>
      <c r="N511" s="1075"/>
      <c r="O511" s="1075"/>
      <c r="P511" s="1075"/>
      <c r="Q511" s="1075"/>
      <c r="R511" s="1075"/>
      <c r="S511" s="1075"/>
      <c r="T511" s="1075"/>
      <c r="U511" s="1075"/>
      <c r="V511" s="1075"/>
      <c r="W511" s="1075"/>
      <c r="X511" s="1075"/>
      <c r="Y511" s="1075"/>
      <c r="Z511" s="1075"/>
      <c r="AA511" s="1075"/>
      <c r="AB511" s="1075"/>
      <c r="AC511" s="1075"/>
      <c r="AD511" s="1075"/>
      <c r="AE511" s="1075"/>
      <c r="AF511" s="1075"/>
      <c r="AG511" s="1075"/>
      <c r="AH511" s="1075"/>
      <c r="AI511" s="1075"/>
      <c r="AJ511" s="1075"/>
      <c r="AK511" s="1075"/>
      <c r="AL511" s="1075"/>
      <c r="AM511" s="1075"/>
      <c r="AN511" s="1075"/>
      <c r="AO511" s="1075"/>
      <c r="AP511" s="1075"/>
      <c r="AQ511" s="1075"/>
      <c r="AR511" s="1075"/>
      <c r="AS511" s="1075"/>
      <c r="AT511" s="1075"/>
      <c r="AU511" s="1075"/>
      <c r="AV511" s="1075"/>
    </row>
    <row r="512" spans="1:48" ht="11.25" hidden="1" customHeight="1">
      <c r="A512" s="1075"/>
      <c r="B512" s="1075"/>
      <c r="C512" s="1075"/>
      <c r="D512" s="1075"/>
      <c r="E512" s="1075"/>
      <c r="F512" s="1075"/>
      <c r="G512" s="1075"/>
      <c r="H512" s="1075"/>
      <c r="I512" s="1075"/>
      <c r="J512" s="1075"/>
      <c r="K512" s="1075"/>
      <c r="L512" s="1075"/>
      <c r="M512" s="1075"/>
      <c r="N512" s="1075"/>
      <c r="O512" s="1075"/>
      <c r="P512" s="1075"/>
      <c r="Q512" s="1075"/>
      <c r="R512" s="1075"/>
      <c r="S512" s="1075"/>
      <c r="T512" s="1075"/>
      <c r="U512" s="1075"/>
      <c r="V512" s="1075"/>
      <c r="W512" s="1075"/>
      <c r="X512" s="1075"/>
      <c r="Y512" s="1075"/>
      <c r="Z512" s="1075"/>
      <c r="AA512" s="1075"/>
      <c r="AB512" s="1075"/>
      <c r="AC512" s="1075"/>
      <c r="AD512" s="1075"/>
      <c r="AE512" s="1075"/>
      <c r="AF512" s="1075"/>
      <c r="AG512" s="1075"/>
      <c r="AH512" s="1075"/>
      <c r="AI512" s="1075"/>
      <c r="AJ512" s="1075"/>
      <c r="AK512" s="1075"/>
      <c r="AL512" s="1075"/>
      <c r="AM512" s="1075"/>
      <c r="AN512" s="1075"/>
      <c r="AO512" s="1075"/>
      <c r="AP512" s="1075"/>
      <c r="AQ512" s="1075"/>
      <c r="AR512" s="1075"/>
      <c r="AS512" s="1075"/>
      <c r="AT512" s="1075"/>
      <c r="AU512" s="1075"/>
      <c r="AV512" s="1075"/>
    </row>
    <row r="513" spans="1:48" ht="11.25" hidden="1" customHeight="1">
      <c r="A513" s="1075"/>
      <c r="B513" s="1075"/>
      <c r="C513" s="1075"/>
      <c r="D513" s="1075"/>
      <c r="E513" s="1075"/>
      <c r="F513" s="1075"/>
      <c r="G513" s="1075"/>
      <c r="H513" s="1075"/>
      <c r="I513" s="1075"/>
      <c r="J513" s="1075"/>
      <c r="K513" s="1075"/>
      <c r="L513" s="1075"/>
      <c r="M513" s="1075"/>
      <c r="N513" s="1075"/>
      <c r="O513" s="1075"/>
      <c r="P513" s="1075"/>
      <c r="Q513" s="1075"/>
      <c r="R513" s="1075"/>
      <c r="S513" s="1075"/>
      <c r="T513" s="1075"/>
      <c r="U513" s="1075"/>
      <c r="V513" s="1075"/>
      <c r="W513" s="1075"/>
      <c r="X513" s="1075"/>
      <c r="Y513" s="1075"/>
      <c r="Z513" s="1075"/>
      <c r="AA513" s="1075"/>
      <c r="AB513" s="1075"/>
      <c r="AC513" s="1075"/>
      <c r="AD513" s="1075"/>
      <c r="AE513" s="1075"/>
      <c r="AF513" s="1075"/>
      <c r="AG513" s="1075"/>
      <c r="AH513" s="1075"/>
      <c r="AI513" s="1075"/>
      <c r="AJ513" s="1075"/>
      <c r="AK513" s="1075"/>
      <c r="AL513" s="1075"/>
      <c r="AM513" s="1075"/>
      <c r="AN513" s="1075"/>
      <c r="AO513" s="1075"/>
      <c r="AP513" s="1075"/>
      <c r="AQ513" s="1075"/>
      <c r="AR513" s="1075"/>
      <c r="AS513" s="1075"/>
      <c r="AT513" s="1075"/>
      <c r="AU513" s="1075"/>
      <c r="AV513" s="1075"/>
    </row>
    <row r="514" spans="1:48" ht="11.25" hidden="1" customHeight="1">
      <c r="A514" s="1075"/>
      <c r="B514" s="1075"/>
      <c r="C514" s="1075"/>
      <c r="D514" s="1075"/>
      <c r="E514" s="1075"/>
      <c r="F514" s="1075"/>
      <c r="G514" s="1075"/>
      <c r="H514" s="1075"/>
      <c r="I514" s="1075"/>
      <c r="J514" s="1075"/>
      <c r="K514" s="1075"/>
      <c r="L514" s="1075"/>
      <c r="M514" s="1075"/>
      <c r="N514" s="1075"/>
      <c r="O514" s="1075"/>
      <c r="P514" s="1075"/>
      <c r="Q514" s="1075"/>
      <c r="R514" s="1075"/>
      <c r="S514" s="1075"/>
      <c r="T514" s="1075"/>
      <c r="U514" s="1075"/>
      <c r="V514" s="1075"/>
      <c r="W514" s="1075"/>
      <c r="X514" s="1075"/>
      <c r="Y514" s="1075"/>
      <c r="Z514" s="1075"/>
      <c r="AA514" s="1075"/>
      <c r="AB514" s="1075"/>
      <c r="AC514" s="1075"/>
      <c r="AD514" s="1075"/>
      <c r="AE514" s="1075"/>
      <c r="AF514" s="1075"/>
      <c r="AG514" s="1075"/>
      <c r="AH514" s="1075"/>
      <c r="AI514" s="1075"/>
      <c r="AJ514" s="1075"/>
      <c r="AK514" s="1075"/>
      <c r="AL514" s="1075"/>
      <c r="AM514" s="1075"/>
      <c r="AN514" s="1075"/>
      <c r="AO514" s="1075"/>
      <c r="AP514" s="1075"/>
      <c r="AQ514" s="1075"/>
      <c r="AR514" s="1075"/>
      <c r="AS514" s="1075"/>
      <c r="AT514" s="1075"/>
      <c r="AU514" s="1075"/>
      <c r="AV514" s="1075"/>
    </row>
    <row r="515" spans="1:48" ht="11.25" hidden="1" customHeight="1">
      <c r="A515" s="1075"/>
      <c r="B515" s="1075"/>
      <c r="C515" s="1075"/>
      <c r="D515" s="1075"/>
      <c r="E515" s="1075"/>
      <c r="F515" s="1075"/>
      <c r="G515" s="1075"/>
      <c r="H515" s="1075"/>
      <c r="I515" s="1075"/>
      <c r="J515" s="1075"/>
      <c r="K515" s="1075"/>
      <c r="L515" s="1075"/>
      <c r="M515" s="1075"/>
      <c r="N515" s="1075"/>
      <c r="O515" s="1075"/>
      <c r="P515" s="1075"/>
      <c r="Q515" s="1075"/>
      <c r="R515" s="1075"/>
      <c r="S515" s="1075"/>
      <c r="T515" s="1075"/>
      <c r="U515" s="1075"/>
      <c r="V515" s="1075"/>
      <c r="W515" s="1075"/>
      <c r="X515" s="1075"/>
      <c r="Y515" s="1075"/>
      <c r="Z515" s="1075"/>
      <c r="AA515" s="1075"/>
      <c r="AB515" s="1075"/>
      <c r="AC515" s="1075"/>
      <c r="AD515" s="1075"/>
      <c r="AE515" s="1075"/>
      <c r="AF515" s="1075"/>
      <c r="AG515" s="1075"/>
      <c r="AH515" s="1075"/>
      <c r="AI515" s="1075"/>
      <c r="AJ515" s="1075"/>
      <c r="AK515" s="1075"/>
      <c r="AL515" s="1075"/>
      <c r="AM515" s="1075"/>
      <c r="AN515" s="1075"/>
      <c r="AO515" s="1075"/>
      <c r="AP515" s="1075"/>
      <c r="AQ515" s="1075"/>
      <c r="AR515" s="1075"/>
      <c r="AS515" s="1075"/>
      <c r="AT515" s="1075"/>
      <c r="AU515" s="1075"/>
      <c r="AV515" s="1075"/>
    </row>
    <row r="516" spans="1:48" ht="11.25" hidden="1" customHeight="1">
      <c r="A516" s="1075"/>
      <c r="B516" s="1075"/>
      <c r="C516" s="1075"/>
      <c r="D516" s="1075"/>
      <c r="E516" s="1075"/>
      <c r="F516" s="1075"/>
      <c r="G516" s="1075"/>
      <c r="H516" s="1075"/>
      <c r="I516" s="1075"/>
      <c r="J516" s="1075"/>
      <c r="K516" s="1075"/>
      <c r="L516" s="1075"/>
      <c r="M516" s="1075"/>
      <c r="N516" s="1075"/>
      <c r="O516" s="1075"/>
      <c r="P516" s="1075"/>
      <c r="Q516" s="1075"/>
      <c r="R516" s="1075"/>
      <c r="S516" s="1075"/>
      <c r="T516" s="1075"/>
      <c r="U516" s="1075"/>
      <c r="V516" s="1075"/>
      <c r="W516" s="1075"/>
      <c r="X516" s="1075"/>
      <c r="Y516" s="1075"/>
      <c r="Z516" s="1075"/>
      <c r="AA516" s="1075"/>
      <c r="AB516" s="1075"/>
      <c r="AC516" s="1075"/>
      <c r="AD516" s="1075"/>
      <c r="AE516" s="1075"/>
      <c r="AF516" s="1075"/>
      <c r="AG516" s="1075"/>
      <c r="AH516" s="1075"/>
      <c r="AI516" s="1075"/>
      <c r="AJ516" s="1075"/>
      <c r="AK516" s="1075"/>
      <c r="AL516" s="1075"/>
      <c r="AM516" s="1075"/>
      <c r="AN516" s="1075"/>
      <c r="AO516" s="1075"/>
      <c r="AP516" s="1075"/>
      <c r="AQ516" s="1075"/>
      <c r="AR516" s="1075"/>
      <c r="AS516" s="1075"/>
      <c r="AT516" s="1075"/>
      <c r="AU516" s="1075"/>
      <c r="AV516" s="1075"/>
    </row>
    <row r="517" spans="1:48" ht="11.25" hidden="1" customHeight="1">
      <c r="A517" s="1075"/>
      <c r="B517" s="1075"/>
      <c r="C517" s="1075"/>
      <c r="D517" s="1075"/>
      <c r="E517" s="1075"/>
      <c r="F517" s="1075"/>
      <c r="G517" s="1075"/>
      <c r="H517" s="1075"/>
      <c r="I517" s="1075"/>
      <c r="J517" s="1075"/>
      <c r="K517" s="1075"/>
      <c r="L517" s="1075"/>
      <c r="M517" s="1075"/>
      <c r="N517" s="1075"/>
      <c r="O517" s="1075"/>
      <c r="P517" s="1075"/>
      <c r="Q517" s="1075"/>
      <c r="R517" s="1075"/>
      <c r="S517" s="1075"/>
      <c r="T517" s="1075"/>
      <c r="U517" s="1075"/>
      <c r="V517" s="1075"/>
      <c r="W517" s="1075"/>
      <c r="X517" s="1075"/>
      <c r="Y517" s="1075"/>
      <c r="Z517" s="1075"/>
      <c r="AA517" s="1075"/>
      <c r="AB517" s="1075"/>
      <c r="AC517" s="1075"/>
      <c r="AD517" s="1075"/>
      <c r="AE517" s="1075"/>
      <c r="AF517" s="1075"/>
      <c r="AG517" s="1075"/>
      <c r="AH517" s="1075"/>
      <c r="AI517" s="1075"/>
      <c r="AJ517" s="1075"/>
      <c r="AK517" s="1075"/>
      <c r="AL517" s="1075"/>
      <c r="AM517" s="1075"/>
      <c r="AN517" s="1075"/>
      <c r="AO517" s="1075"/>
      <c r="AP517" s="1075"/>
      <c r="AQ517" s="1075"/>
      <c r="AR517" s="1075"/>
      <c r="AS517" s="1075"/>
      <c r="AT517" s="1075"/>
      <c r="AU517" s="1075"/>
      <c r="AV517" s="1075"/>
    </row>
    <row r="518" spans="1:48" ht="11.25" hidden="1" customHeight="1">
      <c r="A518" s="1075"/>
      <c r="B518" s="1075"/>
      <c r="C518" s="1075"/>
      <c r="D518" s="1075"/>
      <c r="E518" s="1075"/>
      <c r="F518" s="1075"/>
      <c r="G518" s="1075"/>
      <c r="H518" s="1075"/>
      <c r="I518" s="1075"/>
      <c r="J518" s="1075"/>
      <c r="K518" s="1075"/>
      <c r="L518" s="1075"/>
      <c r="M518" s="1075"/>
      <c r="N518" s="1075"/>
      <c r="O518" s="1075"/>
      <c r="P518" s="1075"/>
      <c r="Q518" s="1075"/>
      <c r="R518" s="1075"/>
      <c r="S518" s="1075"/>
      <c r="T518" s="1075"/>
      <c r="U518" s="1075"/>
      <c r="V518" s="1075"/>
      <c r="W518" s="1075"/>
      <c r="X518" s="1075"/>
      <c r="Y518" s="1075"/>
      <c r="Z518" s="1075"/>
      <c r="AA518" s="1075"/>
      <c r="AB518" s="1075"/>
      <c r="AC518" s="1075"/>
      <c r="AD518" s="1075"/>
      <c r="AE518" s="1075"/>
      <c r="AF518" s="1075"/>
      <c r="AG518" s="1075"/>
      <c r="AH518" s="1075"/>
      <c r="AI518" s="1075"/>
      <c r="AJ518" s="1075"/>
      <c r="AK518" s="1075"/>
      <c r="AL518" s="1075"/>
      <c r="AM518" s="1075"/>
      <c r="AN518" s="1075"/>
      <c r="AO518" s="1075"/>
      <c r="AP518" s="1075"/>
      <c r="AQ518" s="1075"/>
      <c r="AR518" s="1075"/>
      <c r="AS518" s="1075"/>
      <c r="AT518" s="1075"/>
      <c r="AU518" s="1075"/>
      <c r="AV518" s="1075"/>
    </row>
    <row r="519" spans="1:48" ht="11.25" hidden="1" customHeight="1">
      <c r="A519" s="1075"/>
      <c r="B519" s="1075"/>
      <c r="C519" s="1075"/>
      <c r="D519" s="1075"/>
      <c r="E519" s="1075"/>
      <c r="F519" s="1075"/>
      <c r="G519" s="1075"/>
      <c r="H519" s="1075"/>
      <c r="I519" s="1075"/>
      <c r="J519" s="1075"/>
      <c r="K519" s="1075"/>
      <c r="L519" s="1075"/>
      <c r="M519" s="1075"/>
      <c r="N519" s="1075"/>
      <c r="O519" s="1075"/>
      <c r="P519" s="1075"/>
      <c r="Q519" s="1075"/>
      <c r="R519" s="1075"/>
      <c r="S519" s="1075"/>
      <c r="T519" s="1075"/>
      <c r="U519" s="1075"/>
      <c r="V519" s="1075"/>
      <c r="W519" s="1075"/>
      <c r="X519" s="1075"/>
      <c r="Y519" s="1075"/>
      <c r="Z519" s="1075"/>
      <c r="AA519" s="1075"/>
      <c r="AB519" s="1075"/>
      <c r="AC519" s="1075"/>
      <c r="AD519" s="1075"/>
      <c r="AE519" s="1075"/>
      <c r="AF519" s="1075"/>
      <c r="AG519" s="1075"/>
      <c r="AH519" s="1075"/>
      <c r="AI519" s="1075"/>
      <c r="AJ519" s="1075"/>
      <c r="AK519" s="1075"/>
      <c r="AL519" s="1075"/>
      <c r="AM519" s="1075"/>
      <c r="AN519" s="1075"/>
      <c r="AO519" s="1075"/>
      <c r="AP519" s="1075"/>
      <c r="AQ519" s="1075"/>
      <c r="AR519" s="1075"/>
      <c r="AS519" s="1075"/>
      <c r="AT519" s="1075"/>
      <c r="AU519" s="1075"/>
      <c r="AV519" s="1075"/>
    </row>
    <row r="520" spans="1:48" ht="11.25" hidden="1" customHeight="1">
      <c r="A520" s="1075"/>
      <c r="B520" s="1075"/>
      <c r="C520" s="1075"/>
      <c r="D520" s="1075"/>
      <c r="E520" s="1075"/>
      <c r="F520" s="1075"/>
      <c r="G520" s="1075"/>
      <c r="H520" s="1075"/>
      <c r="I520" s="1075"/>
      <c r="J520" s="1075"/>
      <c r="K520" s="1075"/>
      <c r="L520" s="1075"/>
      <c r="M520" s="1075"/>
      <c r="N520" s="1075"/>
      <c r="O520" s="1075"/>
      <c r="P520" s="1075"/>
      <c r="Q520" s="1075"/>
      <c r="R520" s="1075"/>
      <c r="S520" s="1075"/>
      <c r="T520" s="1075"/>
      <c r="U520" s="1075"/>
      <c r="V520" s="1075"/>
      <c r="W520" s="1075"/>
      <c r="X520" s="1075"/>
      <c r="Y520" s="1075"/>
      <c r="Z520" s="1075"/>
      <c r="AA520" s="1075"/>
      <c r="AB520" s="1075"/>
      <c r="AC520" s="1075"/>
      <c r="AD520" s="1075"/>
      <c r="AE520" s="1075"/>
      <c r="AF520" s="1075"/>
      <c r="AG520" s="1075"/>
      <c r="AH520" s="1075"/>
      <c r="AI520" s="1075"/>
      <c r="AJ520" s="1075"/>
      <c r="AK520" s="1075"/>
      <c r="AL520" s="1075"/>
      <c r="AM520" s="1075"/>
      <c r="AN520" s="1075"/>
      <c r="AO520" s="1075"/>
      <c r="AP520" s="1075"/>
      <c r="AQ520" s="1075"/>
      <c r="AR520" s="1075"/>
      <c r="AS520" s="1075"/>
      <c r="AT520" s="1075"/>
      <c r="AU520" s="1075"/>
      <c r="AV520" s="1075"/>
    </row>
    <row r="521" spans="1:48" ht="11.25" hidden="1" customHeight="1">
      <c r="A521" s="1075"/>
      <c r="B521" s="1075"/>
      <c r="C521" s="1075"/>
      <c r="D521" s="1075"/>
      <c r="E521" s="1075"/>
      <c r="F521" s="1075"/>
      <c r="G521" s="1075"/>
      <c r="H521" s="1075"/>
      <c r="I521" s="1075"/>
      <c r="J521" s="1075"/>
      <c r="K521" s="1075"/>
      <c r="L521" s="1075"/>
      <c r="M521" s="1075"/>
      <c r="N521" s="1075"/>
      <c r="O521" s="1075"/>
      <c r="P521" s="1075"/>
      <c r="Q521" s="1075"/>
      <c r="R521" s="1075"/>
      <c r="S521" s="1075"/>
      <c r="T521" s="1075"/>
      <c r="U521" s="1075"/>
      <c r="V521" s="1075"/>
      <c r="W521" s="1075"/>
      <c r="X521" s="1075"/>
      <c r="Y521" s="1075"/>
      <c r="Z521" s="1075"/>
      <c r="AA521" s="1075"/>
      <c r="AB521" s="1075"/>
      <c r="AC521" s="1075"/>
      <c r="AD521" s="1075"/>
      <c r="AE521" s="1075"/>
      <c r="AF521" s="1075"/>
      <c r="AG521" s="1075"/>
      <c r="AH521" s="1075"/>
      <c r="AI521" s="1075"/>
      <c r="AJ521" s="1075"/>
      <c r="AK521" s="1075"/>
      <c r="AL521" s="1075"/>
      <c r="AM521" s="1075"/>
      <c r="AN521" s="1075"/>
      <c r="AO521" s="1075"/>
      <c r="AP521" s="1075"/>
      <c r="AQ521" s="1075"/>
      <c r="AR521" s="1075"/>
      <c r="AS521" s="1075"/>
      <c r="AT521" s="1075"/>
      <c r="AU521" s="1075"/>
      <c r="AV521" s="1075"/>
    </row>
    <row r="522" spans="1:48" ht="11.25" hidden="1" customHeight="1">
      <c r="A522" s="1075"/>
      <c r="B522" s="1075"/>
      <c r="C522" s="1075"/>
      <c r="D522" s="1075"/>
      <c r="E522" s="1075"/>
      <c r="F522" s="1075"/>
      <c r="G522" s="1075"/>
      <c r="H522" s="1075"/>
      <c r="I522" s="1075"/>
      <c r="J522" s="1075"/>
      <c r="K522" s="1075"/>
      <c r="L522" s="1075"/>
      <c r="M522" s="1075"/>
      <c r="N522" s="1075"/>
      <c r="O522" s="1075"/>
      <c r="P522" s="1075"/>
      <c r="Q522" s="1075"/>
      <c r="R522" s="1075"/>
      <c r="S522" s="1075"/>
      <c r="T522" s="1075"/>
      <c r="U522" s="1075"/>
      <c r="V522" s="1075"/>
      <c r="W522" s="1075"/>
      <c r="X522" s="1075"/>
      <c r="Y522" s="1075"/>
      <c r="Z522" s="1075"/>
      <c r="AA522" s="1075"/>
      <c r="AB522" s="1075"/>
      <c r="AC522" s="1075"/>
      <c r="AD522" s="1075"/>
      <c r="AE522" s="1075"/>
      <c r="AF522" s="1075"/>
      <c r="AG522" s="1075"/>
      <c r="AH522" s="1075"/>
      <c r="AI522" s="1075"/>
      <c r="AJ522" s="1075"/>
      <c r="AK522" s="1075"/>
      <c r="AL522" s="1075"/>
      <c r="AM522" s="1075"/>
      <c r="AN522" s="1075"/>
      <c r="AO522" s="1075"/>
      <c r="AP522" s="1075"/>
      <c r="AQ522" s="1075"/>
      <c r="AR522" s="1075"/>
      <c r="AS522" s="1075"/>
      <c r="AT522" s="1075"/>
      <c r="AU522" s="1075"/>
      <c r="AV522" s="1075"/>
    </row>
    <row r="523" spans="1:48" ht="11.25" hidden="1" customHeight="1">
      <c r="A523" s="1075"/>
      <c r="B523" s="1075"/>
      <c r="C523" s="1075"/>
      <c r="D523" s="1075"/>
      <c r="E523" s="1075"/>
      <c r="F523" s="1075"/>
      <c r="G523" s="1075"/>
      <c r="H523" s="1075"/>
      <c r="I523" s="1075"/>
      <c r="J523" s="1075"/>
      <c r="K523" s="1075"/>
      <c r="L523" s="1075"/>
      <c r="M523" s="1075"/>
      <c r="N523" s="1075"/>
      <c r="O523" s="1075"/>
      <c r="P523" s="1075"/>
      <c r="Q523" s="1075"/>
      <c r="R523" s="1075"/>
      <c r="S523" s="1075"/>
      <c r="T523" s="1075"/>
      <c r="U523" s="1075"/>
      <c r="V523" s="1075"/>
      <c r="W523" s="1075"/>
      <c r="X523" s="1075"/>
      <c r="Y523" s="1075"/>
      <c r="Z523" s="1075"/>
      <c r="AA523" s="1075"/>
      <c r="AB523" s="1075"/>
      <c r="AC523" s="1075"/>
      <c r="AD523" s="1075"/>
      <c r="AE523" s="1075"/>
      <c r="AF523" s="1075"/>
      <c r="AG523" s="1075"/>
      <c r="AH523" s="1075"/>
      <c r="AI523" s="1075"/>
      <c r="AJ523" s="1075"/>
      <c r="AK523" s="1075"/>
      <c r="AL523" s="1075"/>
      <c r="AM523" s="1075"/>
      <c r="AN523" s="1075"/>
      <c r="AO523" s="1075"/>
      <c r="AP523" s="1075"/>
      <c r="AQ523" s="1075"/>
      <c r="AR523" s="1075"/>
      <c r="AS523" s="1075"/>
      <c r="AT523" s="1075"/>
      <c r="AU523" s="1075"/>
      <c r="AV523" s="1075"/>
    </row>
    <row r="524" spans="1:48" ht="11.25" hidden="1" customHeight="1">
      <c r="A524" s="1075"/>
      <c r="B524" s="1075"/>
      <c r="C524" s="1075"/>
      <c r="D524" s="1075"/>
      <c r="E524" s="1075"/>
      <c r="F524" s="1075"/>
      <c r="G524" s="1075"/>
      <c r="H524" s="1075"/>
      <c r="I524" s="1075"/>
      <c r="J524" s="1075"/>
      <c r="K524" s="1075"/>
      <c r="L524" s="1075"/>
      <c r="M524" s="1075"/>
      <c r="N524" s="1075"/>
      <c r="O524" s="1075"/>
      <c r="P524" s="1075"/>
      <c r="Q524" s="1075"/>
      <c r="R524" s="1075"/>
      <c r="S524" s="1075"/>
      <c r="T524" s="1075"/>
      <c r="U524" s="1075"/>
      <c r="V524" s="1075"/>
      <c r="W524" s="1075"/>
      <c r="X524" s="1075"/>
      <c r="Y524" s="1075"/>
      <c r="Z524" s="1075"/>
      <c r="AA524" s="1075"/>
      <c r="AB524" s="1075"/>
      <c r="AC524" s="1075"/>
      <c r="AD524" s="1075"/>
      <c r="AE524" s="1075"/>
      <c r="AF524" s="1075"/>
      <c r="AG524" s="1075"/>
      <c r="AH524" s="1075"/>
      <c r="AI524" s="1075"/>
      <c r="AJ524" s="1075"/>
      <c r="AK524" s="1075"/>
      <c r="AL524" s="1075"/>
      <c r="AM524" s="1075"/>
      <c r="AN524" s="1075"/>
      <c r="AO524" s="1075"/>
      <c r="AP524" s="1075"/>
      <c r="AQ524" s="1075"/>
      <c r="AR524" s="1075"/>
      <c r="AS524" s="1075"/>
      <c r="AT524" s="1075"/>
      <c r="AU524" s="1075"/>
      <c r="AV524" s="1075"/>
    </row>
    <row r="525" spans="1:48" ht="11.25" hidden="1" customHeight="1">
      <c r="A525" s="1075"/>
      <c r="B525" s="1075"/>
      <c r="C525" s="1075"/>
      <c r="D525" s="1075"/>
      <c r="E525" s="1075"/>
      <c r="F525" s="1075"/>
      <c r="G525" s="1075"/>
      <c r="H525" s="1075"/>
      <c r="I525" s="1075"/>
      <c r="J525" s="1075"/>
      <c r="K525" s="1075"/>
      <c r="L525" s="1075"/>
      <c r="M525" s="1075"/>
      <c r="N525" s="1075"/>
      <c r="O525" s="1075"/>
      <c r="P525" s="1075"/>
      <c r="Q525" s="1075"/>
      <c r="R525" s="1075"/>
      <c r="S525" s="1075"/>
      <c r="T525" s="1075"/>
      <c r="U525" s="1075"/>
      <c r="V525" s="1075"/>
      <c r="W525" s="1075"/>
      <c r="X525" s="1075"/>
      <c r="Y525" s="1075"/>
      <c r="Z525" s="1075"/>
      <c r="AA525" s="1075"/>
      <c r="AB525" s="1075"/>
      <c r="AC525" s="1075"/>
      <c r="AD525" s="1075"/>
      <c r="AE525" s="1075"/>
      <c r="AF525" s="1075"/>
      <c r="AG525" s="1075"/>
      <c r="AH525" s="1075"/>
      <c r="AI525" s="1075"/>
      <c r="AJ525" s="1075"/>
      <c r="AK525" s="1075"/>
      <c r="AL525" s="1075"/>
      <c r="AM525" s="1075"/>
      <c r="AN525" s="1075"/>
      <c r="AO525" s="1075"/>
      <c r="AP525" s="1075"/>
      <c r="AQ525" s="1075"/>
      <c r="AR525" s="1075"/>
      <c r="AS525" s="1075"/>
      <c r="AT525" s="1075"/>
      <c r="AU525" s="1075"/>
      <c r="AV525" s="1075"/>
    </row>
    <row r="526" spans="1:48" ht="11.25" hidden="1" customHeight="1">
      <c r="A526" s="1075"/>
      <c r="B526" s="1075"/>
      <c r="C526" s="1075"/>
      <c r="D526" s="1075"/>
      <c r="E526" s="1075"/>
      <c r="F526" s="1075"/>
      <c r="G526" s="1075"/>
      <c r="H526" s="1075"/>
      <c r="I526" s="1075"/>
      <c r="J526" s="1075"/>
      <c r="K526" s="1075"/>
      <c r="L526" s="1075"/>
      <c r="M526" s="1075"/>
      <c r="N526" s="1075"/>
      <c r="O526" s="1075"/>
      <c r="P526" s="1075"/>
      <c r="Q526" s="1075"/>
      <c r="R526" s="1075"/>
      <c r="S526" s="1075"/>
      <c r="T526" s="1075"/>
      <c r="U526" s="1075"/>
      <c r="V526" s="1075"/>
      <c r="W526" s="1075"/>
      <c r="X526" s="1075"/>
      <c r="Y526" s="1075"/>
      <c r="Z526" s="1075"/>
      <c r="AA526" s="1075"/>
      <c r="AB526" s="1075"/>
      <c r="AC526" s="1075"/>
      <c r="AD526" s="1075"/>
      <c r="AE526" s="1075"/>
      <c r="AF526" s="1075"/>
      <c r="AG526" s="1075"/>
      <c r="AH526" s="1075"/>
      <c r="AI526" s="1075"/>
      <c r="AJ526" s="1075"/>
      <c r="AK526" s="1075"/>
      <c r="AL526" s="1075"/>
      <c r="AM526" s="1075"/>
      <c r="AN526" s="1075"/>
      <c r="AO526" s="1075"/>
      <c r="AP526" s="1075"/>
      <c r="AQ526" s="1075"/>
      <c r="AR526" s="1075"/>
      <c r="AS526" s="1075"/>
      <c r="AT526" s="1075"/>
      <c r="AU526" s="1075"/>
      <c r="AV526" s="1075"/>
    </row>
    <row r="527" spans="1:48" ht="11.25" hidden="1" customHeight="1">
      <c r="A527" s="1075"/>
      <c r="B527" s="1075"/>
      <c r="C527" s="1075"/>
      <c r="D527" s="1075"/>
      <c r="E527" s="1075"/>
      <c r="F527" s="1075"/>
      <c r="G527" s="1075"/>
      <c r="H527" s="1075"/>
      <c r="I527" s="1075"/>
      <c r="J527" s="1075"/>
      <c r="K527" s="1075"/>
      <c r="L527" s="1075"/>
      <c r="M527" s="1075"/>
      <c r="N527" s="1075"/>
      <c r="O527" s="1075"/>
      <c r="P527" s="1075"/>
      <c r="Q527" s="1075"/>
      <c r="R527" s="1075"/>
      <c r="S527" s="1075"/>
      <c r="T527" s="1075"/>
      <c r="U527" s="1075"/>
      <c r="V527" s="1075"/>
      <c r="W527" s="1075"/>
      <c r="X527" s="1075"/>
      <c r="Y527" s="1075"/>
      <c r="Z527" s="1075"/>
      <c r="AA527" s="1075"/>
      <c r="AB527" s="1075"/>
      <c r="AC527" s="1075"/>
      <c r="AD527" s="1075"/>
      <c r="AE527" s="1075"/>
      <c r="AF527" s="1075"/>
      <c r="AG527" s="1075"/>
      <c r="AH527" s="1075"/>
      <c r="AI527" s="1075"/>
      <c r="AJ527" s="1075"/>
      <c r="AK527" s="1075"/>
      <c r="AL527" s="1075"/>
      <c r="AM527" s="1075"/>
      <c r="AN527" s="1075"/>
      <c r="AO527" s="1075"/>
      <c r="AP527" s="1075"/>
      <c r="AQ527" s="1075"/>
      <c r="AR527" s="1075"/>
      <c r="AS527" s="1075"/>
      <c r="AT527" s="1075"/>
      <c r="AU527" s="1075"/>
      <c r="AV527" s="1075"/>
    </row>
    <row r="528" spans="1:48" ht="11.25" hidden="1" customHeight="1">
      <c r="A528" s="1075"/>
      <c r="B528" s="1075"/>
      <c r="C528" s="1075"/>
      <c r="D528" s="1075"/>
      <c r="E528" s="1075"/>
      <c r="F528" s="1075"/>
      <c r="G528" s="1075"/>
      <c r="H528" s="1075"/>
      <c r="I528" s="1075"/>
      <c r="J528" s="1075"/>
      <c r="K528" s="1075"/>
      <c r="L528" s="1075"/>
      <c r="M528" s="1075"/>
      <c r="N528" s="1075"/>
      <c r="O528" s="1075"/>
      <c r="P528" s="1075"/>
      <c r="Q528" s="1075"/>
      <c r="R528" s="1075"/>
      <c r="S528" s="1075"/>
      <c r="T528" s="1075"/>
      <c r="U528" s="1075"/>
      <c r="V528" s="1075"/>
      <c r="W528" s="1075"/>
      <c r="X528" s="1075"/>
      <c r="Y528" s="1075"/>
      <c r="Z528" s="1075"/>
      <c r="AA528" s="1075"/>
      <c r="AB528" s="1075"/>
      <c r="AC528" s="1075"/>
      <c r="AD528" s="1075"/>
      <c r="AE528" s="1075"/>
      <c r="AF528" s="1075"/>
      <c r="AG528" s="1075"/>
      <c r="AH528" s="1075"/>
      <c r="AI528" s="1075"/>
      <c r="AJ528" s="1075"/>
      <c r="AK528" s="1075"/>
      <c r="AL528" s="1075"/>
      <c r="AM528" s="1075"/>
      <c r="AN528" s="1075"/>
      <c r="AO528" s="1075"/>
      <c r="AP528" s="1075"/>
      <c r="AQ528" s="1075"/>
      <c r="AR528" s="1075"/>
      <c r="AS528" s="1075"/>
      <c r="AT528" s="1075"/>
      <c r="AU528" s="1075"/>
      <c r="AV528" s="1075"/>
    </row>
    <row r="529" spans="1:48" ht="11.25" hidden="1" customHeight="1">
      <c r="A529" s="1075"/>
      <c r="B529" s="1075"/>
      <c r="C529" s="1075"/>
      <c r="D529" s="1075"/>
      <c r="E529" s="1075"/>
      <c r="F529" s="1075"/>
      <c r="G529" s="1075"/>
      <c r="H529" s="1075"/>
      <c r="I529" s="1075"/>
      <c r="J529" s="1075"/>
      <c r="K529" s="1075"/>
      <c r="L529" s="1075"/>
      <c r="M529" s="1075"/>
      <c r="N529" s="1075"/>
      <c r="O529" s="1075"/>
      <c r="P529" s="1075"/>
      <c r="Q529" s="1075"/>
      <c r="R529" s="1075"/>
      <c r="S529" s="1075"/>
      <c r="T529" s="1075"/>
      <c r="U529" s="1075"/>
      <c r="V529" s="1075"/>
      <c r="W529" s="1075"/>
      <c r="X529" s="1075"/>
      <c r="Y529" s="1075"/>
      <c r="Z529" s="1075"/>
      <c r="AA529" s="1075"/>
      <c r="AB529" s="1075"/>
      <c r="AC529" s="1075"/>
      <c r="AD529" s="1075"/>
      <c r="AE529" s="1075"/>
      <c r="AF529" s="1075"/>
      <c r="AG529" s="1075"/>
      <c r="AH529" s="1075"/>
      <c r="AI529" s="1075"/>
      <c r="AJ529" s="1075"/>
      <c r="AK529" s="1075"/>
      <c r="AL529" s="1075"/>
      <c r="AM529" s="1075"/>
      <c r="AN529" s="1075"/>
      <c r="AO529" s="1075"/>
      <c r="AP529" s="1075"/>
      <c r="AQ529" s="1075"/>
      <c r="AR529" s="1075"/>
      <c r="AS529" s="1075"/>
      <c r="AT529" s="1075"/>
      <c r="AU529" s="1075"/>
      <c r="AV529" s="1075"/>
    </row>
    <row r="530" spans="1:48" ht="11.25" hidden="1" customHeight="1">
      <c r="A530" s="1075"/>
      <c r="B530" s="1075"/>
      <c r="C530" s="1075"/>
      <c r="D530" s="1075"/>
      <c r="E530" s="1075"/>
      <c r="F530" s="1075"/>
      <c r="G530" s="1075"/>
      <c r="H530" s="1075"/>
      <c r="I530" s="1075"/>
      <c r="J530" s="1075"/>
      <c r="K530" s="1075"/>
      <c r="L530" s="1075"/>
      <c r="M530" s="1075"/>
      <c r="N530" s="1075"/>
      <c r="O530" s="1075"/>
      <c r="P530" s="1075"/>
      <c r="Q530" s="1075"/>
      <c r="R530" s="1075"/>
      <c r="S530" s="1075"/>
      <c r="T530" s="1075"/>
      <c r="U530" s="1075"/>
      <c r="V530" s="1075"/>
      <c r="W530" s="1075"/>
      <c r="X530" s="1075"/>
      <c r="Y530" s="1075"/>
      <c r="Z530" s="1075"/>
      <c r="AA530" s="1075"/>
      <c r="AB530" s="1075"/>
      <c r="AC530" s="1075"/>
      <c r="AD530" s="1075"/>
      <c r="AE530" s="1075"/>
      <c r="AF530" s="1075"/>
      <c r="AG530" s="1075"/>
      <c r="AH530" s="1075"/>
      <c r="AI530" s="1075"/>
      <c r="AJ530" s="1075"/>
      <c r="AK530" s="1075"/>
      <c r="AL530" s="1075"/>
      <c r="AM530" s="1075"/>
      <c r="AN530" s="1075"/>
      <c r="AO530" s="1075"/>
      <c r="AP530" s="1075"/>
      <c r="AQ530" s="1075"/>
      <c r="AR530" s="1075"/>
      <c r="AS530" s="1075"/>
      <c r="AT530" s="1075"/>
      <c r="AU530" s="1075"/>
      <c r="AV530" s="1075"/>
    </row>
    <row r="531" spans="1:48" ht="11.25" hidden="1" customHeight="1">
      <c r="A531" s="1075"/>
      <c r="B531" s="1075"/>
      <c r="C531" s="1075"/>
      <c r="D531" s="1075"/>
      <c r="E531" s="1075"/>
      <c r="F531" s="1075"/>
      <c r="G531" s="1075"/>
      <c r="H531" s="1075"/>
      <c r="I531" s="1075"/>
      <c r="J531" s="1075"/>
      <c r="K531" s="1075"/>
      <c r="L531" s="1075"/>
      <c r="M531" s="1075"/>
      <c r="N531" s="1075"/>
      <c r="O531" s="1075"/>
      <c r="P531" s="1075"/>
      <c r="Q531" s="1075"/>
      <c r="R531" s="1075"/>
      <c r="S531" s="1075"/>
      <c r="T531" s="1075"/>
      <c r="U531" s="1075"/>
      <c r="V531" s="1075"/>
      <c r="W531" s="1075"/>
      <c r="X531" s="1075"/>
      <c r="Y531" s="1075"/>
      <c r="Z531" s="1075"/>
      <c r="AA531" s="1075"/>
      <c r="AB531" s="1075"/>
      <c r="AC531" s="1075"/>
      <c r="AD531" s="1075"/>
      <c r="AE531" s="1075"/>
      <c r="AF531" s="1075"/>
      <c r="AG531" s="1075"/>
      <c r="AH531" s="1075"/>
      <c r="AI531" s="1075"/>
      <c r="AJ531" s="1075"/>
      <c r="AK531" s="1075"/>
      <c r="AL531" s="1075"/>
      <c r="AM531" s="1075"/>
      <c r="AN531" s="1075"/>
      <c r="AO531" s="1075"/>
      <c r="AP531" s="1075"/>
      <c r="AQ531" s="1075"/>
      <c r="AR531" s="1075"/>
      <c r="AS531" s="1075"/>
      <c r="AT531" s="1075"/>
      <c r="AU531" s="1075"/>
      <c r="AV531" s="1075"/>
    </row>
    <row r="532" spans="1:48" ht="11.25" hidden="1" customHeight="1">
      <c r="A532" s="1075"/>
      <c r="B532" s="1075"/>
      <c r="C532" s="1075"/>
      <c r="D532" s="1075"/>
      <c r="E532" s="1075"/>
      <c r="F532" s="1075"/>
      <c r="G532" s="1075"/>
      <c r="H532" s="1075"/>
      <c r="I532" s="1075"/>
      <c r="J532" s="1075"/>
      <c r="K532" s="1075"/>
      <c r="L532" s="1075"/>
      <c r="M532" s="1075"/>
      <c r="N532" s="1075"/>
      <c r="O532" s="1075"/>
      <c r="P532" s="1075"/>
      <c r="Q532" s="1075"/>
      <c r="R532" s="1075"/>
      <c r="S532" s="1075"/>
      <c r="T532" s="1075"/>
      <c r="U532" s="1075"/>
      <c r="V532" s="1075"/>
      <c r="W532" s="1075"/>
      <c r="X532" s="1075"/>
      <c r="Y532" s="1075"/>
      <c r="Z532" s="1075"/>
      <c r="AA532" s="1075"/>
      <c r="AB532" s="1075"/>
      <c r="AC532" s="1075"/>
      <c r="AD532" s="1075"/>
      <c r="AE532" s="1075"/>
      <c r="AF532" s="1075"/>
      <c r="AG532" s="1075"/>
      <c r="AH532" s="1075"/>
      <c r="AI532" s="1075"/>
      <c r="AJ532" s="1075"/>
      <c r="AK532" s="1075"/>
      <c r="AL532" s="1075"/>
      <c r="AM532" s="1075"/>
      <c r="AN532" s="1075"/>
      <c r="AO532" s="1075"/>
      <c r="AP532" s="1075"/>
      <c r="AQ532" s="1075"/>
      <c r="AR532" s="1075"/>
      <c r="AS532" s="1075"/>
      <c r="AT532" s="1075"/>
      <c r="AU532" s="1075"/>
      <c r="AV532" s="1075"/>
    </row>
    <row r="533" spans="1:48" ht="11.25" hidden="1" customHeight="1">
      <c r="A533" s="1075"/>
      <c r="B533" s="1075"/>
      <c r="C533" s="1075"/>
      <c r="D533" s="1075"/>
      <c r="E533" s="1075"/>
      <c r="F533" s="1075"/>
      <c r="G533" s="1075"/>
      <c r="H533" s="1075"/>
      <c r="I533" s="1075"/>
      <c r="J533" s="1075"/>
      <c r="K533" s="1075"/>
      <c r="L533" s="1075"/>
      <c r="M533" s="1075"/>
      <c r="N533" s="1075"/>
      <c r="O533" s="1075"/>
      <c r="P533" s="1075"/>
      <c r="Q533" s="1075"/>
      <c r="R533" s="1075"/>
      <c r="S533" s="1075"/>
      <c r="T533" s="1075"/>
      <c r="U533" s="1075"/>
      <c r="V533" s="1075"/>
      <c r="W533" s="1075"/>
      <c r="X533" s="1075"/>
      <c r="Y533" s="1075"/>
      <c r="Z533" s="1075"/>
      <c r="AA533" s="1075"/>
      <c r="AB533" s="1075"/>
      <c r="AC533" s="1075"/>
      <c r="AD533" s="1075"/>
      <c r="AE533" s="1075"/>
      <c r="AF533" s="1075"/>
      <c r="AG533" s="1075"/>
      <c r="AH533" s="1075"/>
      <c r="AI533" s="1075"/>
      <c r="AJ533" s="1075"/>
      <c r="AK533" s="1075"/>
      <c r="AL533" s="1075"/>
      <c r="AM533" s="1075"/>
      <c r="AN533" s="1075"/>
      <c r="AO533" s="1075"/>
      <c r="AP533" s="1075"/>
      <c r="AQ533" s="1075"/>
      <c r="AR533" s="1075"/>
      <c r="AS533" s="1075"/>
      <c r="AT533" s="1075"/>
      <c r="AU533" s="1075"/>
      <c r="AV533" s="1075"/>
    </row>
    <row r="534" spans="1:48" ht="11.25" hidden="1" customHeight="1">
      <c r="A534" s="1075"/>
      <c r="B534" s="1075"/>
      <c r="C534" s="1075"/>
      <c r="D534" s="1075"/>
      <c r="E534" s="1075"/>
      <c r="F534" s="1075"/>
      <c r="G534" s="1075"/>
      <c r="H534" s="1075"/>
      <c r="I534" s="1075"/>
      <c r="J534" s="1075"/>
      <c r="K534" s="1075"/>
      <c r="L534" s="1075"/>
      <c r="M534" s="1075"/>
      <c r="N534" s="1075"/>
      <c r="O534" s="1075"/>
      <c r="P534" s="1075"/>
      <c r="Q534" s="1075"/>
      <c r="R534" s="1075"/>
      <c r="S534" s="1075"/>
      <c r="T534" s="1075"/>
      <c r="U534" s="1075"/>
      <c r="V534" s="1075"/>
      <c r="W534" s="1075"/>
      <c r="X534" s="1075"/>
      <c r="Y534" s="1075"/>
      <c r="Z534" s="1075"/>
      <c r="AA534" s="1075"/>
      <c r="AB534" s="1075"/>
      <c r="AC534" s="1075"/>
      <c r="AD534" s="1075"/>
      <c r="AE534" s="1075"/>
      <c r="AF534" s="1075"/>
      <c r="AG534" s="1075"/>
      <c r="AH534" s="1075"/>
      <c r="AI534" s="1075"/>
      <c r="AJ534" s="1075"/>
      <c r="AK534" s="1075"/>
      <c r="AL534" s="1075"/>
      <c r="AM534" s="1075"/>
      <c r="AN534" s="1075"/>
      <c r="AO534" s="1075"/>
      <c r="AP534" s="1075"/>
      <c r="AQ534" s="1075"/>
      <c r="AR534" s="1075"/>
      <c r="AS534" s="1075"/>
      <c r="AT534" s="1075"/>
      <c r="AU534" s="1075"/>
      <c r="AV534" s="1075"/>
    </row>
    <row r="535" spans="1:48" ht="11.25" hidden="1" customHeight="1">
      <c r="A535" s="1075"/>
      <c r="B535" s="1075"/>
      <c r="C535" s="1075"/>
      <c r="D535" s="1075"/>
      <c r="E535" s="1075"/>
      <c r="F535" s="1075"/>
      <c r="G535" s="1075"/>
      <c r="H535" s="1075"/>
      <c r="I535" s="1075"/>
      <c r="J535" s="1075"/>
      <c r="K535" s="1075"/>
      <c r="L535" s="1075"/>
      <c r="M535" s="1075"/>
      <c r="N535" s="1075"/>
      <c r="O535" s="1075"/>
      <c r="P535" s="1075"/>
      <c r="Q535" s="1075"/>
      <c r="R535" s="1075"/>
      <c r="S535" s="1075"/>
      <c r="T535" s="1075"/>
      <c r="U535" s="1075"/>
      <c r="V535" s="1075"/>
      <c r="W535" s="1075"/>
      <c r="X535" s="1075"/>
      <c r="Y535" s="1075"/>
      <c r="Z535" s="1075"/>
      <c r="AA535" s="1075"/>
      <c r="AB535" s="1075"/>
      <c r="AC535" s="1075"/>
      <c r="AD535" s="1075"/>
      <c r="AE535" s="1075"/>
      <c r="AF535" s="1075"/>
      <c r="AG535" s="1075"/>
      <c r="AH535" s="1075"/>
      <c r="AI535" s="1075"/>
      <c r="AJ535" s="1075"/>
      <c r="AK535" s="1075"/>
      <c r="AL535" s="1075"/>
      <c r="AM535" s="1075"/>
      <c r="AN535" s="1075"/>
      <c r="AO535" s="1075"/>
      <c r="AP535" s="1075"/>
      <c r="AQ535" s="1075"/>
      <c r="AR535" s="1075"/>
      <c r="AS535" s="1075"/>
      <c r="AT535" s="1075"/>
      <c r="AU535" s="1075"/>
      <c r="AV535" s="1075"/>
    </row>
    <row r="536" spans="1:48" ht="11.25" hidden="1" customHeight="1">
      <c r="A536" s="1075"/>
      <c r="B536" s="1075"/>
      <c r="C536" s="1075"/>
      <c r="D536" s="1075"/>
      <c r="E536" s="1075"/>
      <c r="F536" s="1075"/>
      <c r="G536" s="1075"/>
      <c r="H536" s="1075"/>
      <c r="I536" s="1075"/>
      <c r="J536" s="1075"/>
      <c r="K536" s="1075"/>
      <c r="L536" s="1075"/>
      <c r="M536" s="1075"/>
      <c r="N536" s="1075"/>
      <c r="O536" s="1075"/>
      <c r="P536" s="1075"/>
      <c r="Q536" s="1075"/>
      <c r="R536" s="1075"/>
      <c r="S536" s="1075"/>
      <c r="T536" s="1075"/>
      <c r="U536" s="1075"/>
      <c r="V536" s="1075"/>
      <c r="W536" s="1075"/>
      <c r="X536" s="1075"/>
      <c r="Y536" s="1075"/>
      <c r="Z536" s="1075"/>
      <c r="AA536" s="1075"/>
      <c r="AB536" s="1075"/>
      <c r="AC536" s="1075"/>
      <c r="AD536" s="1075"/>
      <c r="AE536" s="1075"/>
      <c r="AF536" s="1075"/>
      <c r="AG536" s="1075"/>
      <c r="AH536" s="1075"/>
      <c r="AI536" s="1075"/>
      <c r="AJ536" s="1075"/>
      <c r="AK536" s="1075"/>
      <c r="AL536" s="1075"/>
      <c r="AM536" s="1075"/>
      <c r="AN536" s="1075"/>
      <c r="AO536" s="1075"/>
      <c r="AP536" s="1075"/>
      <c r="AQ536" s="1075"/>
      <c r="AR536" s="1075"/>
      <c r="AS536" s="1075"/>
      <c r="AT536" s="1075"/>
      <c r="AU536" s="1075"/>
      <c r="AV536" s="1075"/>
    </row>
    <row r="537" spans="1:48" ht="11.25" hidden="1" customHeight="1">
      <c r="A537" s="1075"/>
      <c r="B537" s="1075"/>
      <c r="C537" s="1075"/>
      <c r="D537" s="1075"/>
      <c r="E537" s="1075"/>
      <c r="F537" s="1075"/>
      <c r="G537" s="1075"/>
      <c r="H537" s="1075"/>
      <c r="I537" s="1075"/>
      <c r="J537" s="1075"/>
      <c r="K537" s="1075"/>
      <c r="L537" s="1075"/>
      <c r="M537" s="1075"/>
      <c r="N537" s="1075"/>
      <c r="O537" s="1075"/>
      <c r="P537" s="1075"/>
      <c r="Q537" s="1075"/>
      <c r="R537" s="1075"/>
      <c r="S537" s="1075"/>
      <c r="T537" s="1075"/>
      <c r="U537" s="1075"/>
      <c r="V537" s="1075"/>
      <c r="W537" s="1075"/>
      <c r="X537" s="1075"/>
      <c r="Y537" s="1075"/>
      <c r="Z537" s="1075"/>
      <c r="AA537" s="1075"/>
      <c r="AB537" s="1075"/>
      <c r="AC537" s="1075"/>
      <c r="AD537" s="1075"/>
      <c r="AE537" s="1075"/>
      <c r="AF537" s="1075"/>
      <c r="AG537" s="1075"/>
      <c r="AH537" s="1075"/>
      <c r="AI537" s="1075"/>
      <c r="AJ537" s="1075"/>
      <c r="AK537" s="1075"/>
      <c r="AL537" s="1075"/>
      <c r="AM537" s="1075"/>
      <c r="AN537" s="1075"/>
      <c r="AO537" s="1075"/>
      <c r="AP537" s="1075"/>
      <c r="AQ537" s="1075"/>
      <c r="AR537" s="1075"/>
      <c r="AS537" s="1075"/>
      <c r="AT537" s="1075"/>
      <c r="AU537" s="1075"/>
      <c r="AV537" s="1075"/>
    </row>
    <row r="538" spans="1:48" ht="11.25" hidden="1" customHeight="1">
      <c r="A538" s="1075"/>
      <c r="B538" s="1075"/>
      <c r="C538" s="1075"/>
      <c r="D538" s="1075"/>
      <c r="E538" s="1075"/>
      <c r="F538" s="1075"/>
      <c r="G538" s="1075"/>
      <c r="H538" s="1075"/>
      <c r="I538" s="1075"/>
      <c r="J538" s="1075"/>
      <c r="K538" s="1075"/>
      <c r="L538" s="1075"/>
      <c r="M538" s="1075"/>
      <c r="N538" s="1075"/>
      <c r="O538" s="1075"/>
      <c r="P538" s="1075"/>
      <c r="Q538" s="1075"/>
      <c r="R538" s="1075"/>
      <c r="S538" s="1075"/>
      <c r="T538" s="1075"/>
      <c r="U538" s="1075"/>
      <c r="V538" s="1075"/>
      <c r="W538" s="1075"/>
      <c r="X538" s="1075"/>
      <c r="Y538" s="1075"/>
      <c r="Z538" s="1075"/>
      <c r="AA538" s="1075"/>
      <c r="AB538" s="1075"/>
      <c r="AC538" s="1075"/>
      <c r="AD538" s="1075"/>
      <c r="AE538" s="1075"/>
      <c r="AF538" s="1075"/>
      <c r="AG538" s="1075"/>
      <c r="AH538" s="1075"/>
      <c r="AI538" s="1075"/>
      <c r="AJ538" s="1075"/>
      <c r="AK538" s="1075"/>
      <c r="AL538" s="1075"/>
      <c r="AM538" s="1075"/>
      <c r="AN538" s="1075"/>
      <c r="AO538" s="1075"/>
      <c r="AP538" s="1075"/>
      <c r="AQ538" s="1075"/>
      <c r="AR538" s="1075"/>
      <c r="AS538" s="1075"/>
      <c r="AT538" s="1075"/>
      <c r="AU538" s="1075"/>
      <c r="AV538" s="1075"/>
    </row>
    <row r="539" spans="1:48" ht="11.25" hidden="1" customHeight="1">
      <c r="A539" s="1075"/>
      <c r="B539" s="1075"/>
      <c r="C539" s="1075"/>
      <c r="D539" s="1075"/>
      <c r="E539" s="1075"/>
      <c r="F539" s="1075"/>
      <c r="G539" s="1075"/>
      <c r="H539" s="1075"/>
      <c r="I539" s="1075"/>
      <c r="J539" s="1075"/>
      <c r="K539" s="1075"/>
      <c r="L539" s="1075"/>
      <c r="M539" s="1075"/>
      <c r="N539" s="1075"/>
      <c r="O539" s="1075"/>
      <c r="P539" s="1075"/>
      <c r="Q539" s="1075"/>
      <c r="R539" s="1075"/>
      <c r="S539" s="1075"/>
      <c r="T539" s="1075"/>
      <c r="U539" s="1075"/>
      <c r="V539" s="1075"/>
      <c r="W539" s="1075"/>
      <c r="X539" s="1075"/>
      <c r="Y539" s="1075"/>
      <c r="Z539" s="1075"/>
      <c r="AA539" s="1075"/>
      <c r="AB539" s="1075"/>
      <c r="AC539" s="1075"/>
      <c r="AD539" s="1075"/>
      <c r="AE539" s="1075"/>
      <c r="AF539" s="1075"/>
      <c r="AG539" s="1075"/>
      <c r="AH539" s="1075"/>
      <c r="AI539" s="1075"/>
      <c r="AJ539" s="1075"/>
      <c r="AK539" s="1075"/>
      <c r="AL539" s="1075"/>
      <c r="AM539" s="1075"/>
      <c r="AN539" s="1075"/>
      <c r="AO539" s="1075"/>
      <c r="AP539" s="1075"/>
      <c r="AQ539" s="1075"/>
      <c r="AR539" s="1075"/>
      <c r="AS539" s="1075"/>
      <c r="AT539" s="1075"/>
      <c r="AU539" s="1075"/>
      <c r="AV539" s="1075"/>
    </row>
    <row r="540" spans="1:48" ht="11.25" hidden="1" customHeight="1">
      <c r="A540" s="1075"/>
      <c r="B540" s="1075"/>
      <c r="C540" s="1075"/>
      <c r="D540" s="1075"/>
      <c r="E540" s="1075"/>
      <c r="F540" s="1075"/>
      <c r="G540" s="1075"/>
      <c r="H540" s="1075"/>
      <c r="I540" s="1075"/>
      <c r="J540" s="1075"/>
      <c r="K540" s="1075"/>
      <c r="L540" s="1075"/>
      <c r="M540" s="1075"/>
      <c r="N540" s="1075"/>
      <c r="O540" s="1075"/>
      <c r="P540" s="1075"/>
      <c r="Q540" s="1075"/>
      <c r="R540" s="1075"/>
      <c r="S540" s="1075"/>
      <c r="T540" s="1075"/>
      <c r="U540" s="1075"/>
      <c r="V540" s="1075"/>
      <c r="W540" s="1075"/>
      <c r="X540" s="1075"/>
      <c r="Y540" s="1075"/>
      <c r="Z540" s="1075"/>
      <c r="AA540" s="1075"/>
      <c r="AB540" s="1075"/>
      <c r="AC540" s="1075"/>
      <c r="AD540" s="1075"/>
      <c r="AE540" s="1075"/>
      <c r="AF540" s="1075"/>
      <c r="AG540" s="1075"/>
      <c r="AH540" s="1075"/>
      <c r="AI540" s="1075"/>
      <c r="AJ540" s="1075"/>
      <c r="AK540" s="1075"/>
      <c r="AL540" s="1075"/>
      <c r="AM540" s="1075"/>
      <c r="AN540" s="1075"/>
      <c r="AO540" s="1075"/>
      <c r="AP540" s="1075"/>
      <c r="AQ540" s="1075"/>
      <c r="AR540" s="1075"/>
      <c r="AS540" s="1075"/>
      <c r="AT540" s="1075"/>
      <c r="AU540" s="1075"/>
      <c r="AV540" s="1075"/>
    </row>
    <row r="541" spans="1:48" ht="11.25" hidden="1" customHeight="1">
      <c r="A541" s="1075"/>
      <c r="B541" s="1075"/>
      <c r="C541" s="1075"/>
      <c r="D541" s="1075"/>
      <c r="E541" s="1075"/>
      <c r="F541" s="1075"/>
      <c r="G541" s="1075"/>
      <c r="H541" s="1075"/>
      <c r="I541" s="1075"/>
      <c r="J541" s="1075"/>
      <c r="K541" s="1075"/>
      <c r="L541" s="1075"/>
      <c r="M541" s="1075"/>
      <c r="N541" s="1075"/>
      <c r="O541" s="1075"/>
      <c r="P541" s="1075"/>
      <c r="Q541" s="1075"/>
      <c r="R541" s="1075"/>
      <c r="S541" s="1075"/>
      <c r="T541" s="1075"/>
      <c r="U541" s="1075"/>
      <c r="V541" s="1075"/>
      <c r="W541" s="1075"/>
      <c r="X541" s="1075"/>
      <c r="Y541" s="1075"/>
      <c r="Z541" s="1075"/>
      <c r="AA541" s="1075"/>
      <c r="AB541" s="1075"/>
      <c r="AC541" s="1075"/>
      <c r="AD541" s="1075"/>
      <c r="AE541" s="1075"/>
      <c r="AF541" s="1075"/>
      <c r="AG541" s="1075"/>
      <c r="AH541" s="1075"/>
      <c r="AI541" s="1075"/>
      <c r="AJ541" s="1075"/>
      <c r="AK541" s="1075"/>
      <c r="AL541" s="1075"/>
      <c r="AM541" s="1075"/>
      <c r="AN541" s="1075"/>
      <c r="AO541" s="1075"/>
      <c r="AP541" s="1075"/>
      <c r="AQ541" s="1075"/>
      <c r="AR541" s="1075"/>
      <c r="AS541" s="1075"/>
      <c r="AT541" s="1075"/>
      <c r="AU541" s="1075"/>
      <c r="AV541" s="1075"/>
    </row>
    <row r="542" spans="1:48" ht="11.25" hidden="1" customHeight="1">
      <c r="A542" s="1075"/>
      <c r="B542" s="1075"/>
      <c r="C542" s="1075"/>
      <c r="D542" s="1075"/>
      <c r="E542" s="1075"/>
      <c r="F542" s="1075"/>
      <c r="G542" s="1075"/>
      <c r="H542" s="1075"/>
      <c r="I542" s="1075"/>
      <c r="J542" s="1075"/>
      <c r="K542" s="1075"/>
      <c r="L542" s="1075"/>
      <c r="M542" s="1075"/>
      <c r="N542" s="1075"/>
      <c r="O542" s="1075"/>
      <c r="P542" s="1075"/>
      <c r="Q542" s="1075"/>
      <c r="R542" s="1075"/>
      <c r="S542" s="1075"/>
      <c r="T542" s="1075"/>
      <c r="U542" s="1075"/>
      <c r="V542" s="1075"/>
      <c r="W542" s="1075"/>
      <c r="X542" s="1075"/>
      <c r="Y542" s="1075"/>
      <c r="Z542" s="1075"/>
      <c r="AA542" s="1075"/>
      <c r="AB542" s="1075"/>
      <c r="AC542" s="1075"/>
      <c r="AD542" s="1075"/>
      <c r="AE542" s="1075"/>
      <c r="AF542" s="1075"/>
      <c r="AG542" s="1075"/>
      <c r="AH542" s="1075"/>
      <c r="AI542" s="1075"/>
      <c r="AJ542" s="1075"/>
      <c r="AK542" s="1075"/>
      <c r="AL542" s="1075"/>
      <c r="AM542" s="1075"/>
      <c r="AN542" s="1075"/>
      <c r="AO542" s="1075"/>
      <c r="AP542" s="1075"/>
      <c r="AQ542" s="1075"/>
      <c r="AR542" s="1075"/>
      <c r="AS542" s="1075"/>
      <c r="AT542" s="1075"/>
      <c r="AU542" s="1075"/>
      <c r="AV542" s="1075"/>
    </row>
    <row r="543" spans="1:48" ht="11.25" hidden="1" customHeight="1">
      <c r="A543" s="1075"/>
      <c r="B543" s="1075"/>
      <c r="C543" s="1075"/>
      <c r="D543" s="1075"/>
      <c r="E543" s="1075"/>
      <c r="F543" s="1075"/>
      <c r="G543" s="1075"/>
      <c r="H543" s="1075"/>
      <c r="I543" s="1075"/>
      <c r="J543" s="1075"/>
      <c r="K543" s="1075"/>
      <c r="L543" s="1075"/>
      <c r="M543" s="1075"/>
      <c r="N543" s="1075"/>
      <c r="O543" s="1075"/>
      <c r="P543" s="1075"/>
      <c r="Q543" s="1075"/>
      <c r="R543" s="1075"/>
      <c r="S543" s="1075"/>
      <c r="T543" s="1075"/>
      <c r="U543" s="1075"/>
      <c r="V543" s="1075"/>
      <c r="W543" s="1075"/>
      <c r="X543" s="1075"/>
      <c r="Y543" s="1075"/>
      <c r="Z543" s="1075"/>
      <c r="AA543" s="1075"/>
      <c r="AB543" s="1075"/>
      <c r="AC543" s="1075"/>
      <c r="AD543" s="1075"/>
      <c r="AE543" s="1075"/>
      <c r="AF543" s="1075"/>
      <c r="AG543" s="1075"/>
      <c r="AH543" s="1075"/>
      <c r="AI543" s="1075"/>
      <c r="AJ543" s="1075"/>
      <c r="AK543" s="1075"/>
      <c r="AL543" s="1075"/>
      <c r="AM543" s="1075"/>
      <c r="AN543" s="1075"/>
      <c r="AO543" s="1075"/>
      <c r="AP543" s="1075"/>
      <c r="AQ543" s="1075"/>
      <c r="AR543" s="1075"/>
      <c r="AS543" s="1075"/>
      <c r="AT543" s="1075"/>
      <c r="AU543" s="1075"/>
      <c r="AV543" s="1075"/>
    </row>
    <row r="544" spans="1:48" ht="11.25" hidden="1" customHeight="1">
      <c r="A544" s="1075"/>
      <c r="B544" s="1075"/>
      <c r="C544" s="1075"/>
      <c r="D544" s="1075"/>
      <c r="E544" s="1075"/>
      <c r="F544" s="1075"/>
      <c r="G544" s="1075"/>
      <c r="H544" s="1075"/>
      <c r="I544" s="1075"/>
      <c r="J544" s="1075"/>
      <c r="K544" s="1075"/>
      <c r="L544" s="1075"/>
      <c r="M544" s="1075"/>
      <c r="N544" s="1075"/>
      <c r="O544" s="1075"/>
      <c r="P544" s="1075"/>
      <c r="Q544" s="1075"/>
      <c r="R544" s="1075"/>
      <c r="S544" s="1075"/>
      <c r="T544" s="1075"/>
      <c r="U544" s="1075"/>
      <c r="V544" s="1075"/>
      <c r="W544" s="1075"/>
      <c r="X544" s="1075"/>
      <c r="Y544" s="1075"/>
      <c r="Z544" s="1075"/>
      <c r="AA544" s="1075"/>
      <c r="AB544" s="1075"/>
      <c r="AC544" s="1075"/>
      <c r="AD544" s="1075"/>
      <c r="AE544" s="1075"/>
      <c r="AF544" s="1075"/>
      <c r="AG544" s="1075"/>
      <c r="AH544" s="1075"/>
      <c r="AI544" s="1075"/>
      <c r="AJ544" s="1075"/>
      <c r="AK544" s="1075"/>
      <c r="AL544" s="1075"/>
      <c r="AM544" s="1075"/>
      <c r="AN544" s="1075"/>
      <c r="AO544" s="1075"/>
      <c r="AP544" s="1075"/>
      <c r="AQ544" s="1075"/>
      <c r="AR544" s="1075"/>
      <c r="AS544" s="1075"/>
      <c r="AT544" s="1075"/>
      <c r="AU544" s="1075"/>
      <c r="AV544" s="1075"/>
    </row>
    <row r="545" spans="1:48" ht="11.25" hidden="1" customHeight="1">
      <c r="A545" s="1075"/>
      <c r="B545" s="1075"/>
      <c r="C545" s="1075"/>
      <c r="D545" s="1075"/>
      <c r="E545" s="1075"/>
      <c r="F545" s="1075"/>
      <c r="G545" s="1075"/>
      <c r="H545" s="1075"/>
      <c r="I545" s="1075"/>
      <c r="J545" s="1075"/>
      <c r="K545" s="1075"/>
      <c r="L545" s="1075"/>
      <c r="M545" s="1075"/>
      <c r="N545" s="1075"/>
      <c r="O545" s="1075"/>
      <c r="P545" s="1075"/>
      <c r="Q545" s="1075"/>
      <c r="R545" s="1075"/>
      <c r="S545" s="1075"/>
      <c r="T545" s="1075"/>
      <c r="U545" s="1075"/>
      <c r="V545" s="1075"/>
      <c r="W545" s="1075"/>
      <c r="X545" s="1075"/>
      <c r="Y545" s="1075"/>
      <c r="Z545" s="1075"/>
      <c r="AA545" s="1075"/>
      <c r="AB545" s="1075"/>
      <c r="AC545" s="1075"/>
      <c r="AD545" s="1075"/>
      <c r="AE545" s="1075"/>
      <c r="AF545" s="1075"/>
      <c r="AG545" s="1075"/>
      <c r="AH545" s="1075"/>
      <c r="AI545" s="1075"/>
      <c r="AJ545" s="1075"/>
      <c r="AK545" s="1075"/>
      <c r="AL545" s="1075"/>
      <c r="AM545" s="1075"/>
      <c r="AN545" s="1075"/>
      <c r="AO545" s="1075"/>
      <c r="AP545" s="1075"/>
      <c r="AQ545" s="1075"/>
      <c r="AR545" s="1075"/>
      <c r="AS545" s="1075"/>
      <c r="AT545" s="1075"/>
      <c r="AU545" s="1075"/>
      <c r="AV545" s="1075"/>
    </row>
    <row r="546" spans="1:48" ht="11.25" hidden="1" customHeight="1">
      <c r="A546" s="1075"/>
      <c r="B546" s="1075"/>
      <c r="C546" s="1075"/>
      <c r="D546" s="1075"/>
      <c r="E546" s="1075"/>
      <c r="F546" s="1075"/>
      <c r="G546" s="1075"/>
      <c r="H546" s="1075"/>
      <c r="I546" s="1075"/>
      <c r="J546" s="1075"/>
      <c r="K546" s="1075"/>
      <c r="L546" s="1075"/>
      <c r="M546" s="1075"/>
      <c r="N546" s="1075"/>
      <c r="O546" s="1075"/>
      <c r="P546" s="1075"/>
      <c r="Q546" s="1075"/>
      <c r="R546" s="1075"/>
      <c r="S546" s="1075"/>
      <c r="T546" s="1075"/>
      <c r="U546" s="1075"/>
      <c r="V546" s="1075"/>
      <c r="W546" s="1075"/>
      <c r="X546" s="1075"/>
      <c r="Y546" s="1075"/>
      <c r="Z546" s="1075"/>
      <c r="AA546" s="1075"/>
      <c r="AB546" s="1075"/>
      <c r="AC546" s="1075"/>
      <c r="AD546" s="1075"/>
      <c r="AE546" s="1075"/>
      <c r="AF546" s="1075"/>
      <c r="AG546" s="1075"/>
      <c r="AH546" s="1075"/>
      <c r="AI546" s="1075"/>
      <c r="AJ546" s="1075"/>
      <c r="AK546" s="1075"/>
      <c r="AL546" s="1075"/>
      <c r="AM546" s="1075"/>
      <c r="AN546" s="1075"/>
      <c r="AO546" s="1075"/>
      <c r="AP546" s="1075"/>
      <c r="AQ546" s="1075"/>
      <c r="AR546" s="1075"/>
      <c r="AS546" s="1075"/>
      <c r="AT546" s="1075"/>
      <c r="AU546" s="1075"/>
      <c r="AV546" s="1075"/>
    </row>
    <row r="547" spans="1:48" ht="11.25" hidden="1" customHeight="1">
      <c r="A547" s="1075"/>
      <c r="B547" s="1075"/>
      <c r="C547" s="1075"/>
      <c r="D547" s="1075"/>
      <c r="E547" s="1075"/>
      <c r="F547" s="1075"/>
      <c r="G547" s="1075"/>
      <c r="H547" s="1075"/>
      <c r="I547" s="1075"/>
      <c r="J547" s="1075"/>
      <c r="K547" s="1075"/>
      <c r="L547" s="1075"/>
      <c r="M547" s="1075"/>
      <c r="N547" s="1075"/>
      <c r="O547" s="1075"/>
      <c r="P547" s="1075"/>
      <c r="Q547" s="1075"/>
      <c r="R547" s="1075"/>
      <c r="S547" s="1075"/>
      <c r="T547" s="1075"/>
      <c r="U547" s="1075"/>
      <c r="V547" s="1075"/>
      <c r="W547" s="1075"/>
      <c r="X547" s="1075"/>
      <c r="Y547" s="1075"/>
      <c r="Z547" s="1075"/>
      <c r="AA547" s="1075"/>
      <c r="AB547" s="1075"/>
      <c r="AC547" s="1075"/>
      <c r="AD547" s="1075"/>
      <c r="AE547" s="1075"/>
      <c r="AF547" s="1075"/>
      <c r="AG547" s="1075"/>
      <c r="AH547" s="1075"/>
      <c r="AI547" s="1075"/>
      <c r="AJ547" s="1075"/>
      <c r="AK547" s="1075"/>
      <c r="AL547" s="1075"/>
      <c r="AM547" s="1075"/>
      <c r="AN547" s="1075"/>
      <c r="AO547" s="1075"/>
      <c r="AP547" s="1075"/>
      <c r="AQ547" s="1075"/>
      <c r="AR547" s="1075"/>
      <c r="AS547" s="1075"/>
      <c r="AT547" s="1075"/>
      <c r="AU547" s="1075"/>
      <c r="AV547" s="1075"/>
    </row>
    <row r="548" spans="1:48" ht="11.25" hidden="1" customHeight="1">
      <c r="A548" s="1075"/>
      <c r="B548" s="1075"/>
      <c r="C548" s="1075"/>
      <c r="D548" s="1075"/>
      <c r="E548" s="1075"/>
      <c r="F548" s="1075"/>
      <c r="G548" s="1075"/>
      <c r="H548" s="1075"/>
      <c r="I548" s="1075"/>
      <c r="J548" s="1075"/>
      <c r="K548" s="1075"/>
      <c r="L548" s="1075"/>
      <c r="M548" s="1075"/>
      <c r="N548" s="1075"/>
      <c r="O548" s="1075"/>
      <c r="P548" s="1075"/>
      <c r="Q548" s="1075"/>
      <c r="R548" s="1075"/>
      <c r="S548" s="1075"/>
      <c r="T548" s="1075"/>
      <c r="U548" s="1075"/>
      <c r="V548" s="1075"/>
      <c r="W548" s="1075"/>
      <c r="X548" s="1075"/>
      <c r="Y548" s="1075"/>
      <c r="Z548" s="1075"/>
      <c r="AA548" s="1075"/>
      <c r="AB548" s="1075"/>
      <c r="AC548" s="1075"/>
      <c r="AD548" s="1075"/>
      <c r="AE548" s="1075"/>
      <c r="AF548" s="1075"/>
      <c r="AG548" s="1075"/>
      <c r="AH548" s="1075"/>
      <c r="AI548" s="1075"/>
      <c r="AJ548" s="1075"/>
      <c r="AK548" s="1075"/>
      <c r="AL548" s="1075"/>
      <c r="AM548" s="1075"/>
      <c r="AN548" s="1075"/>
      <c r="AO548" s="1075"/>
      <c r="AP548" s="1075"/>
      <c r="AQ548" s="1075"/>
      <c r="AR548" s="1075"/>
      <c r="AS548" s="1075"/>
      <c r="AT548" s="1075"/>
      <c r="AU548" s="1075"/>
      <c r="AV548" s="1075"/>
    </row>
    <row r="549" spans="1:48" ht="11.25" hidden="1" customHeight="1">
      <c r="A549" s="1075"/>
      <c r="B549" s="1075"/>
      <c r="C549" s="1075"/>
      <c r="D549" s="1075"/>
      <c r="E549" s="1075"/>
      <c r="F549" s="1075"/>
      <c r="G549" s="1075"/>
      <c r="H549" s="1075"/>
      <c r="I549" s="1075"/>
      <c r="J549" s="1075"/>
      <c r="K549" s="1075"/>
      <c r="L549" s="1075"/>
      <c r="M549" s="1075"/>
      <c r="N549" s="1075"/>
      <c r="O549" s="1075"/>
      <c r="P549" s="1075"/>
      <c r="Q549" s="1075"/>
      <c r="R549" s="1075"/>
      <c r="S549" s="1075"/>
      <c r="T549" s="1075"/>
      <c r="U549" s="1075"/>
      <c r="V549" s="1075"/>
      <c r="W549" s="1075"/>
      <c r="X549" s="1075"/>
      <c r="Y549" s="1075"/>
      <c r="Z549" s="1075"/>
      <c r="AA549" s="1075"/>
      <c r="AB549" s="1075"/>
      <c r="AC549" s="1075"/>
      <c r="AD549" s="1075"/>
      <c r="AE549" s="1075"/>
      <c r="AF549" s="1075"/>
      <c r="AG549" s="1075"/>
      <c r="AH549" s="1075"/>
      <c r="AI549" s="1075"/>
      <c r="AJ549" s="1075"/>
      <c r="AK549" s="1075"/>
      <c r="AL549" s="1075"/>
      <c r="AM549" s="1075"/>
      <c r="AN549" s="1075"/>
      <c r="AO549" s="1075"/>
      <c r="AP549" s="1075"/>
      <c r="AQ549" s="1075"/>
      <c r="AR549" s="1075"/>
      <c r="AS549" s="1075"/>
      <c r="AT549" s="1075"/>
      <c r="AU549" s="1075"/>
      <c r="AV549" s="1075"/>
    </row>
    <row r="550" spans="1:48" ht="11.25" hidden="1" customHeight="1">
      <c r="A550" s="1075"/>
      <c r="B550" s="1075"/>
      <c r="C550" s="1075"/>
      <c r="D550" s="1075"/>
      <c r="E550" s="1075"/>
      <c r="F550" s="1075"/>
      <c r="G550" s="1075"/>
      <c r="H550" s="1075"/>
      <c r="I550" s="1075"/>
      <c r="J550" s="1075"/>
      <c r="K550" s="1075"/>
      <c r="L550" s="1075"/>
      <c r="M550" s="1075"/>
      <c r="N550" s="1075"/>
      <c r="O550" s="1075"/>
      <c r="P550" s="1075"/>
      <c r="Q550" s="1075"/>
      <c r="R550" s="1075"/>
      <c r="S550" s="1075"/>
      <c r="T550" s="1075"/>
      <c r="U550" s="1075"/>
      <c r="V550" s="1075"/>
      <c r="W550" s="1075"/>
      <c r="X550" s="1075"/>
      <c r="Y550" s="1075"/>
      <c r="Z550" s="1075"/>
      <c r="AA550" s="1075"/>
      <c r="AB550" s="1075"/>
      <c r="AC550" s="1075"/>
      <c r="AD550" s="1075"/>
      <c r="AE550" s="1075"/>
      <c r="AF550" s="1075"/>
      <c r="AG550" s="1075"/>
      <c r="AH550" s="1075"/>
      <c r="AI550" s="1075"/>
      <c r="AJ550" s="1075"/>
      <c r="AK550" s="1075"/>
      <c r="AL550" s="1075"/>
      <c r="AM550" s="1075"/>
      <c r="AN550" s="1075"/>
      <c r="AO550" s="1075"/>
      <c r="AP550" s="1075"/>
      <c r="AQ550" s="1075"/>
      <c r="AR550" s="1075"/>
      <c r="AS550" s="1075"/>
      <c r="AT550" s="1075"/>
      <c r="AU550" s="1075"/>
      <c r="AV550" s="1075"/>
    </row>
    <row r="551" spans="1:48" ht="11.25" hidden="1" customHeight="1">
      <c r="A551" s="1075"/>
      <c r="B551" s="1075"/>
      <c r="C551" s="1075"/>
      <c r="D551" s="1075"/>
      <c r="E551" s="1075"/>
      <c r="F551" s="1075"/>
      <c r="G551" s="1075"/>
      <c r="H551" s="1075"/>
      <c r="I551" s="1075"/>
      <c r="J551" s="1075"/>
      <c r="K551" s="1075"/>
      <c r="L551" s="1075"/>
      <c r="M551" s="1075"/>
      <c r="N551" s="1075"/>
      <c r="O551" s="1075"/>
      <c r="P551" s="1075"/>
      <c r="Q551" s="1075"/>
      <c r="R551" s="1075"/>
      <c r="S551" s="1075"/>
      <c r="T551" s="1075"/>
      <c r="U551" s="1075"/>
      <c r="V551" s="1075"/>
      <c r="W551" s="1075"/>
      <c r="X551" s="1075"/>
      <c r="Y551" s="1075"/>
      <c r="Z551" s="1075"/>
      <c r="AA551" s="1075"/>
      <c r="AB551" s="1075"/>
      <c r="AC551" s="1075"/>
      <c r="AD551" s="1075"/>
      <c r="AE551" s="1075"/>
      <c r="AF551" s="1075"/>
      <c r="AG551" s="1075"/>
      <c r="AH551" s="1075"/>
      <c r="AI551" s="1075"/>
      <c r="AJ551" s="1075"/>
      <c r="AK551" s="1075"/>
      <c r="AL551" s="1075"/>
      <c r="AM551" s="1075"/>
      <c r="AN551" s="1075"/>
      <c r="AO551" s="1075"/>
      <c r="AP551" s="1075"/>
      <c r="AQ551" s="1075"/>
      <c r="AR551" s="1075"/>
      <c r="AS551" s="1075"/>
      <c r="AT551" s="1075"/>
      <c r="AU551" s="1075"/>
      <c r="AV551" s="1075"/>
    </row>
    <row r="552" spans="1:48" ht="11.25" hidden="1" customHeight="1">
      <c r="A552" s="1075"/>
      <c r="B552" s="1075"/>
      <c r="C552" s="1075"/>
      <c r="D552" s="1075"/>
      <c r="E552" s="1075"/>
      <c r="F552" s="1075"/>
      <c r="G552" s="1075"/>
      <c r="H552" s="1075"/>
      <c r="I552" s="1075"/>
      <c r="J552" s="1075"/>
      <c r="K552" s="1075"/>
      <c r="L552" s="1075"/>
      <c r="M552" s="1075"/>
      <c r="N552" s="1075"/>
      <c r="O552" s="1075"/>
      <c r="P552" s="1075"/>
      <c r="Q552" s="1075"/>
      <c r="R552" s="1075"/>
      <c r="S552" s="1075"/>
      <c r="T552" s="1075"/>
      <c r="U552" s="1075"/>
      <c r="V552" s="1075"/>
      <c r="W552" s="1075"/>
      <c r="X552" s="1075"/>
      <c r="Y552" s="1075"/>
      <c r="Z552" s="1075"/>
      <c r="AA552" s="1075"/>
      <c r="AB552" s="1075"/>
      <c r="AC552" s="1075"/>
      <c r="AD552" s="1075"/>
      <c r="AE552" s="1075"/>
      <c r="AF552" s="1075"/>
      <c r="AG552" s="1075"/>
      <c r="AH552" s="1075"/>
      <c r="AI552" s="1075"/>
      <c r="AJ552" s="1075"/>
      <c r="AK552" s="1075"/>
      <c r="AL552" s="1075"/>
      <c r="AM552" s="1075"/>
      <c r="AN552" s="1075"/>
      <c r="AO552" s="1075"/>
      <c r="AP552" s="1075"/>
      <c r="AQ552" s="1075"/>
      <c r="AR552" s="1075"/>
      <c r="AS552" s="1075"/>
      <c r="AT552" s="1075"/>
      <c r="AU552" s="1075"/>
      <c r="AV552" s="1075"/>
    </row>
    <row r="553" spans="1:48" ht="11.25" hidden="1" customHeight="1">
      <c r="A553" s="1075"/>
      <c r="B553" s="1075"/>
      <c r="C553" s="1075"/>
      <c r="D553" s="1075"/>
      <c r="E553" s="1075"/>
      <c r="F553" s="1075"/>
      <c r="G553" s="1075"/>
      <c r="H553" s="1075"/>
      <c r="I553" s="1075"/>
      <c r="J553" s="1075"/>
      <c r="K553" s="1075"/>
      <c r="L553" s="1075"/>
      <c r="M553" s="1075"/>
      <c r="N553" s="1075"/>
      <c r="O553" s="1075"/>
      <c r="P553" s="1075"/>
      <c r="Q553" s="1075"/>
      <c r="R553" s="1075"/>
      <c r="S553" s="1075"/>
      <c r="T553" s="1075"/>
      <c r="U553" s="1075"/>
      <c r="V553" s="1075"/>
      <c r="W553" s="1075"/>
      <c r="X553" s="1075"/>
      <c r="Y553" s="1075"/>
      <c r="Z553" s="1075"/>
      <c r="AA553" s="1075"/>
      <c r="AB553" s="1075"/>
      <c r="AC553" s="1075"/>
      <c r="AD553" s="1075"/>
      <c r="AE553" s="1075"/>
      <c r="AF553" s="1075"/>
      <c r="AG553" s="1075"/>
      <c r="AH553" s="1075"/>
      <c r="AI553" s="1075"/>
      <c r="AJ553" s="1075"/>
      <c r="AK553" s="1075"/>
      <c r="AL553" s="1075"/>
      <c r="AM553" s="1075"/>
      <c r="AN553" s="1075"/>
      <c r="AO553" s="1075"/>
      <c r="AP553" s="1075"/>
      <c r="AQ553" s="1075"/>
      <c r="AR553" s="1075"/>
      <c r="AS553" s="1075"/>
      <c r="AT553" s="1075"/>
      <c r="AU553" s="1075"/>
      <c r="AV553" s="1075"/>
    </row>
    <row r="554" spans="1:48" ht="11.25" hidden="1" customHeight="1">
      <c r="A554" s="1075"/>
      <c r="B554" s="1075"/>
      <c r="C554" s="1075"/>
      <c r="D554" s="1075"/>
      <c r="E554" s="1075"/>
      <c r="F554" s="1075"/>
      <c r="G554" s="1075"/>
      <c r="H554" s="1075"/>
      <c r="I554" s="1075"/>
      <c r="J554" s="1075"/>
      <c r="K554" s="1075"/>
      <c r="L554" s="1075"/>
      <c r="M554" s="1075"/>
      <c r="N554" s="1075"/>
      <c r="O554" s="1075"/>
      <c r="P554" s="1075"/>
      <c r="Q554" s="1075"/>
      <c r="R554" s="1075"/>
      <c r="S554" s="1075"/>
      <c r="T554" s="1075"/>
      <c r="U554" s="1075"/>
      <c r="V554" s="1075"/>
      <c r="W554" s="1075"/>
      <c r="X554" s="1075"/>
      <c r="Y554" s="1075"/>
      <c r="Z554" s="1075"/>
      <c r="AA554" s="1075"/>
      <c r="AB554" s="1075"/>
      <c r="AC554" s="1075"/>
      <c r="AD554" s="1075"/>
      <c r="AE554" s="1075"/>
      <c r="AF554" s="1075"/>
      <c r="AG554" s="1075"/>
      <c r="AH554" s="1075"/>
      <c r="AI554" s="1075"/>
      <c r="AJ554" s="1075"/>
      <c r="AK554" s="1075"/>
      <c r="AL554" s="1075"/>
      <c r="AM554" s="1075"/>
      <c r="AN554" s="1075"/>
      <c r="AO554" s="1075"/>
      <c r="AP554" s="1075"/>
      <c r="AQ554" s="1075"/>
      <c r="AR554" s="1075"/>
      <c r="AS554" s="1075"/>
      <c r="AT554" s="1075"/>
      <c r="AU554" s="1075"/>
      <c r="AV554" s="1075"/>
    </row>
    <row r="555" spans="1:48" ht="11.25" hidden="1" customHeight="1">
      <c r="A555" s="1075"/>
      <c r="B555" s="1075"/>
      <c r="C555" s="1075"/>
      <c r="D555" s="1075"/>
      <c r="E555" s="1075"/>
      <c r="F555" s="1075"/>
      <c r="G555" s="1075"/>
      <c r="H555" s="1075"/>
      <c r="I555" s="1075"/>
      <c r="J555" s="1075"/>
      <c r="K555" s="1075"/>
      <c r="L555" s="1075"/>
      <c r="M555" s="1075"/>
      <c r="N555" s="1075"/>
      <c r="O555" s="1075"/>
      <c r="P555" s="1075"/>
      <c r="Q555" s="1075"/>
      <c r="R555" s="1075"/>
      <c r="S555" s="1075"/>
      <c r="T555" s="1075"/>
      <c r="U555" s="1075"/>
      <c r="V555" s="1075"/>
      <c r="W555" s="1075"/>
      <c r="X555" s="1075"/>
      <c r="Y555" s="1075"/>
      <c r="Z555" s="1075"/>
      <c r="AA555" s="1075"/>
      <c r="AB555" s="1075"/>
      <c r="AC555" s="1075"/>
      <c r="AD555" s="1075"/>
      <c r="AE555" s="1075"/>
      <c r="AF555" s="1075"/>
      <c r="AG555" s="1075"/>
      <c r="AH555" s="1075"/>
      <c r="AI555" s="1075"/>
      <c r="AJ555" s="1075"/>
      <c r="AK555" s="1075"/>
      <c r="AL555" s="1075"/>
      <c r="AM555" s="1075"/>
      <c r="AN555" s="1075"/>
      <c r="AO555" s="1075"/>
      <c r="AP555" s="1075"/>
      <c r="AQ555" s="1075"/>
      <c r="AR555" s="1075"/>
      <c r="AS555" s="1075"/>
      <c r="AT555" s="1075"/>
      <c r="AU555" s="1075"/>
      <c r="AV555" s="1075"/>
    </row>
    <row r="556" spans="1:48" ht="11.25" hidden="1" customHeight="1">
      <c r="A556" s="1075"/>
      <c r="B556" s="1075"/>
      <c r="C556" s="1075"/>
      <c r="D556" s="1075"/>
      <c r="E556" s="1075"/>
      <c r="F556" s="1075"/>
      <c r="G556" s="1075"/>
      <c r="H556" s="1075"/>
      <c r="I556" s="1075"/>
      <c r="J556" s="1075"/>
      <c r="K556" s="1075"/>
      <c r="L556" s="1075"/>
      <c r="M556" s="1075"/>
      <c r="N556" s="1075"/>
      <c r="O556" s="1075"/>
      <c r="P556" s="1075"/>
      <c r="Q556" s="1075"/>
      <c r="R556" s="1075"/>
      <c r="S556" s="1075"/>
      <c r="T556" s="1075"/>
      <c r="U556" s="1075"/>
      <c r="V556" s="1075"/>
      <c r="W556" s="1075"/>
      <c r="X556" s="1075"/>
      <c r="Y556" s="1075"/>
      <c r="Z556" s="1075"/>
      <c r="AA556" s="1075"/>
      <c r="AB556" s="1075"/>
      <c r="AC556" s="1075"/>
      <c r="AD556" s="1075"/>
      <c r="AE556" s="1075"/>
      <c r="AF556" s="1075"/>
      <c r="AG556" s="1075"/>
      <c r="AH556" s="1075"/>
      <c r="AI556" s="1075"/>
      <c r="AJ556" s="1075"/>
      <c r="AK556" s="1075"/>
      <c r="AL556" s="1075"/>
      <c r="AM556" s="1075"/>
      <c r="AN556" s="1075"/>
      <c r="AO556" s="1075"/>
      <c r="AP556" s="1075"/>
      <c r="AQ556" s="1075"/>
      <c r="AR556" s="1075"/>
      <c r="AS556" s="1075"/>
      <c r="AT556" s="1075"/>
      <c r="AU556" s="1075"/>
      <c r="AV556" s="1075"/>
    </row>
    <row r="557" spans="1:48" ht="11.25" hidden="1" customHeight="1">
      <c r="A557" s="1075"/>
      <c r="B557" s="1075"/>
      <c r="C557" s="1075"/>
      <c r="D557" s="1075"/>
      <c r="E557" s="1075"/>
      <c r="F557" s="1075"/>
      <c r="G557" s="1075"/>
      <c r="H557" s="1075"/>
      <c r="I557" s="1075"/>
      <c r="J557" s="1075"/>
      <c r="K557" s="1075"/>
      <c r="L557" s="1075"/>
      <c r="M557" s="1075"/>
      <c r="N557" s="1075"/>
      <c r="O557" s="1075"/>
      <c r="P557" s="1075"/>
      <c r="Q557" s="1075"/>
      <c r="R557" s="1075"/>
      <c r="S557" s="1075"/>
      <c r="T557" s="1075"/>
      <c r="U557" s="1075"/>
      <c r="V557" s="1075"/>
      <c r="W557" s="1075"/>
      <c r="X557" s="1075"/>
      <c r="Y557" s="1075"/>
      <c r="Z557" s="1075"/>
      <c r="AA557" s="1075"/>
      <c r="AB557" s="1075"/>
      <c r="AC557" s="1075"/>
      <c r="AD557" s="1075"/>
      <c r="AE557" s="1075"/>
      <c r="AF557" s="1075"/>
      <c r="AG557" s="1075"/>
      <c r="AH557" s="1075"/>
      <c r="AI557" s="1075"/>
      <c r="AJ557" s="1075"/>
      <c r="AK557" s="1075"/>
      <c r="AL557" s="1075"/>
      <c r="AM557" s="1075"/>
      <c r="AN557" s="1075"/>
      <c r="AO557" s="1075"/>
      <c r="AP557" s="1075"/>
      <c r="AQ557" s="1075"/>
      <c r="AR557" s="1075"/>
      <c r="AS557" s="1075"/>
      <c r="AT557" s="1075"/>
      <c r="AU557" s="1075"/>
      <c r="AV557" s="1075"/>
    </row>
    <row r="558" spans="1:48" ht="11.25" hidden="1" customHeight="1">
      <c r="A558" s="1075"/>
      <c r="B558" s="1075"/>
      <c r="C558" s="1075"/>
      <c r="D558" s="1075"/>
      <c r="E558" s="1075"/>
      <c r="F558" s="1075"/>
      <c r="G558" s="1075"/>
      <c r="H558" s="1075"/>
      <c r="I558" s="1075"/>
      <c r="J558" s="1075"/>
      <c r="K558" s="1075"/>
      <c r="L558" s="1075"/>
      <c r="M558" s="1075"/>
      <c r="N558" s="1075"/>
      <c r="O558" s="1075"/>
      <c r="P558" s="1075"/>
      <c r="Q558" s="1075"/>
      <c r="R558" s="1075"/>
      <c r="S558" s="1075"/>
      <c r="T558" s="1075"/>
      <c r="U558" s="1075"/>
      <c r="V558" s="1075"/>
      <c r="W558" s="1075"/>
      <c r="X558" s="1075"/>
      <c r="Y558" s="1075"/>
      <c r="Z558" s="1075"/>
      <c r="AA558" s="1075"/>
      <c r="AB558" s="1075"/>
      <c r="AC558" s="1075"/>
      <c r="AD558" s="1075"/>
      <c r="AE558" s="1075"/>
      <c r="AF558" s="1075"/>
      <c r="AG558" s="1075"/>
      <c r="AH558" s="1075"/>
      <c r="AI558" s="1075"/>
      <c r="AJ558" s="1075"/>
      <c r="AK558" s="1075"/>
      <c r="AL558" s="1075"/>
      <c r="AM558" s="1075"/>
      <c r="AN558" s="1075"/>
      <c r="AO558" s="1075"/>
      <c r="AP558" s="1075"/>
      <c r="AQ558" s="1075"/>
      <c r="AR558" s="1075"/>
      <c r="AS558" s="1075"/>
      <c r="AT558" s="1075"/>
      <c r="AU558" s="1075"/>
      <c r="AV558" s="1075"/>
    </row>
    <row r="559" spans="1:48" ht="11.25" hidden="1" customHeight="1">
      <c r="A559" s="1075"/>
      <c r="B559" s="1075"/>
      <c r="C559" s="1075"/>
      <c r="D559" s="1075"/>
      <c r="E559" s="1075"/>
      <c r="F559" s="1075"/>
      <c r="G559" s="1075"/>
      <c r="H559" s="1075"/>
      <c r="I559" s="1075"/>
      <c r="J559" s="1075"/>
      <c r="K559" s="1075"/>
      <c r="L559" s="1075"/>
      <c r="M559" s="1075"/>
      <c r="N559" s="1075"/>
      <c r="O559" s="1075"/>
      <c r="P559" s="1075"/>
      <c r="Q559" s="1075"/>
      <c r="R559" s="1075"/>
      <c r="S559" s="1075"/>
      <c r="T559" s="1075"/>
      <c r="U559" s="1075"/>
      <c r="V559" s="1075"/>
      <c r="W559" s="1075"/>
      <c r="X559" s="1075"/>
      <c r="Y559" s="1075"/>
      <c r="Z559" s="1075"/>
      <c r="AA559" s="1075"/>
      <c r="AB559" s="1075"/>
      <c r="AC559" s="1075"/>
      <c r="AD559" s="1075"/>
      <c r="AE559" s="1075"/>
      <c r="AF559" s="1075"/>
      <c r="AG559" s="1075"/>
      <c r="AH559" s="1075"/>
      <c r="AI559" s="1075"/>
      <c r="AJ559" s="1075"/>
      <c r="AK559" s="1075"/>
      <c r="AL559" s="1075"/>
      <c r="AM559" s="1075"/>
      <c r="AN559" s="1075"/>
      <c r="AO559" s="1075"/>
      <c r="AP559" s="1075"/>
      <c r="AQ559" s="1075"/>
      <c r="AR559" s="1075"/>
      <c r="AS559" s="1075"/>
      <c r="AT559" s="1075"/>
      <c r="AU559" s="1075"/>
      <c r="AV559" s="1075"/>
    </row>
    <row r="560" spans="1:48" ht="11.25" hidden="1" customHeight="1">
      <c r="A560" s="1075"/>
      <c r="B560" s="1075"/>
      <c r="C560" s="1075"/>
      <c r="D560" s="1075"/>
      <c r="E560" s="1075"/>
      <c r="F560" s="1075"/>
      <c r="G560" s="1075"/>
      <c r="H560" s="1075"/>
      <c r="I560" s="1075"/>
      <c r="J560" s="1075"/>
      <c r="K560" s="1075"/>
      <c r="L560" s="1075"/>
      <c r="M560" s="1075"/>
      <c r="N560" s="1075"/>
      <c r="O560" s="1075"/>
      <c r="P560" s="1075"/>
      <c r="Q560" s="1075"/>
      <c r="R560" s="1075"/>
      <c r="S560" s="1075"/>
      <c r="T560" s="1075"/>
      <c r="U560" s="1075"/>
      <c r="V560" s="1075"/>
      <c r="W560" s="1075"/>
      <c r="X560" s="1075"/>
      <c r="Y560" s="1075"/>
      <c r="Z560" s="1075"/>
      <c r="AA560" s="1075"/>
      <c r="AB560" s="1075"/>
      <c r="AC560" s="1075"/>
      <c r="AD560" s="1075"/>
      <c r="AE560" s="1075"/>
      <c r="AF560" s="1075"/>
      <c r="AG560" s="1075"/>
      <c r="AH560" s="1075"/>
      <c r="AI560" s="1075"/>
      <c r="AJ560" s="1075"/>
      <c r="AK560" s="1075"/>
      <c r="AL560" s="1075"/>
      <c r="AM560" s="1075"/>
      <c r="AN560" s="1075"/>
      <c r="AO560" s="1075"/>
      <c r="AP560" s="1075"/>
      <c r="AQ560" s="1075"/>
      <c r="AR560" s="1075"/>
      <c r="AS560" s="1075"/>
      <c r="AT560" s="1075"/>
      <c r="AU560" s="1075"/>
      <c r="AV560" s="1075"/>
    </row>
    <row r="561" spans="1:48" ht="11.25" hidden="1" customHeight="1">
      <c r="A561" s="1075"/>
      <c r="B561" s="1075"/>
      <c r="C561" s="1075"/>
      <c r="D561" s="1075"/>
      <c r="E561" s="1075"/>
      <c r="F561" s="1075"/>
      <c r="G561" s="1075"/>
      <c r="H561" s="1075"/>
      <c r="I561" s="1075"/>
      <c r="J561" s="1075"/>
      <c r="K561" s="1075"/>
      <c r="L561" s="1075"/>
      <c r="M561" s="1075"/>
      <c r="N561" s="1075"/>
      <c r="O561" s="1075"/>
      <c r="P561" s="1075"/>
      <c r="Q561" s="1075"/>
      <c r="R561" s="1075"/>
      <c r="S561" s="1075"/>
      <c r="T561" s="1075"/>
      <c r="U561" s="1075"/>
      <c r="V561" s="1075"/>
      <c r="W561" s="1075"/>
      <c r="X561" s="1075"/>
      <c r="Y561" s="1075"/>
      <c r="Z561" s="1075"/>
      <c r="AA561" s="1075"/>
      <c r="AB561" s="1075"/>
      <c r="AC561" s="1075"/>
      <c r="AD561" s="1075"/>
      <c r="AE561" s="1075"/>
      <c r="AF561" s="1075"/>
      <c r="AG561" s="1075"/>
      <c r="AH561" s="1075"/>
      <c r="AI561" s="1075"/>
      <c r="AJ561" s="1075"/>
      <c r="AK561" s="1075"/>
      <c r="AL561" s="1075"/>
      <c r="AM561" s="1075"/>
      <c r="AN561" s="1075"/>
      <c r="AO561" s="1075"/>
      <c r="AP561" s="1075"/>
      <c r="AQ561" s="1075"/>
      <c r="AR561" s="1075"/>
      <c r="AS561" s="1075"/>
      <c r="AT561" s="1075"/>
      <c r="AU561" s="1075"/>
      <c r="AV561" s="1075"/>
    </row>
    <row r="562" spans="1:48" ht="11.25" hidden="1" customHeight="1">
      <c r="A562" s="1075"/>
      <c r="B562" s="1075"/>
      <c r="C562" s="1075"/>
      <c r="D562" s="1075"/>
      <c r="E562" s="1075"/>
      <c r="F562" s="1075"/>
      <c r="G562" s="1075"/>
      <c r="H562" s="1075"/>
      <c r="I562" s="1075"/>
      <c r="J562" s="1075"/>
      <c r="K562" s="1075"/>
      <c r="L562" s="1075"/>
      <c r="M562" s="1075"/>
      <c r="N562" s="1075"/>
      <c r="O562" s="1075"/>
      <c r="P562" s="1075"/>
      <c r="Q562" s="1075"/>
      <c r="R562" s="1075"/>
      <c r="S562" s="1075"/>
      <c r="T562" s="1075"/>
      <c r="U562" s="1075"/>
      <c r="V562" s="1075"/>
      <c r="W562" s="1075"/>
      <c r="X562" s="1075"/>
      <c r="Y562" s="1075"/>
      <c r="Z562" s="1075"/>
      <c r="AA562" s="1075"/>
      <c r="AB562" s="1075"/>
      <c r="AC562" s="1075"/>
      <c r="AD562" s="1075"/>
      <c r="AE562" s="1075"/>
      <c r="AF562" s="1075"/>
      <c r="AG562" s="1075"/>
      <c r="AH562" s="1075"/>
      <c r="AI562" s="1075"/>
      <c r="AJ562" s="1075"/>
      <c r="AK562" s="1075"/>
      <c r="AL562" s="1075"/>
      <c r="AM562" s="1075"/>
      <c r="AN562" s="1075"/>
      <c r="AO562" s="1075"/>
      <c r="AP562" s="1075"/>
      <c r="AQ562" s="1075"/>
      <c r="AR562" s="1075"/>
      <c r="AS562" s="1075"/>
      <c r="AT562" s="1075"/>
      <c r="AU562" s="1075"/>
      <c r="AV562" s="1075"/>
    </row>
    <row r="563" spans="1:48" ht="11.25" hidden="1" customHeight="1">
      <c r="A563" s="1075"/>
      <c r="B563" s="1075"/>
      <c r="C563" s="1075"/>
      <c r="D563" s="1075"/>
      <c r="E563" s="1075"/>
      <c r="F563" s="1075"/>
      <c r="G563" s="1075"/>
      <c r="H563" s="1075"/>
      <c r="I563" s="1075"/>
      <c r="J563" s="1075"/>
      <c r="K563" s="1075"/>
      <c r="L563" s="1075"/>
      <c r="M563" s="1075"/>
      <c r="N563" s="1075"/>
      <c r="O563" s="1075"/>
      <c r="P563" s="1075"/>
      <c r="Q563" s="1075"/>
      <c r="R563" s="1075"/>
      <c r="S563" s="1075"/>
      <c r="T563" s="1075"/>
      <c r="U563" s="1075"/>
      <c r="V563" s="1075"/>
      <c r="W563" s="1075"/>
      <c r="X563" s="1075"/>
      <c r="Y563" s="1075"/>
      <c r="Z563" s="1075"/>
      <c r="AA563" s="1075"/>
      <c r="AB563" s="1075"/>
      <c r="AC563" s="1075"/>
      <c r="AD563" s="1075"/>
      <c r="AE563" s="1075"/>
      <c r="AF563" s="1075"/>
      <c r="AG563" s="1075"/>
      <c r="AH563" s="1075"/>
      <c r="AI563" s="1075"/>
      <c r="AJ563" s="1075"/>
      <c r="AK563" s="1075"/>
      <c r="AL563" s="1075"/>
      <c r="AM563" s="1075"/>
      <c r="AN563" s="1075"/>
      <c r="AO563" s="1075"/>
      <c r="AP563" s="1075"/>
      <c r="AQ563" s="1075"/>
      <c r="AR563" s="1075"/>
      <c r="AS563" s="1075"/>
      <c r="AT563" s="1075"/>
      <c r="AU563" s="1075"/>
      <c r="AV563" s="1075"/>
    </row>
    <row r="564" spans="1:48" ht="11.25" hidden="1" customHeight="1">
      <c r="A564" s="1075"/>
      <c r="B564" s="1075"/>
      <c r="C564" s="1075"/>
      <c r="D564" s="1075"/>
      <c r="E564" s="1075"/>
      <c r="F564" s="1075"/>
      <c r="G564" s="1075"/>
      <c r="H564" s="1075"/>
      <c r="I564" s="1075"/>
      <c r="J564" s="1075"/>
      <c r="K564" s="1075"/>
      <c r="L564" s="1075"/>
      <c r="M564" s="1075"/>
      <c r="N564" s="1075"/>
      <c r="O564" s="1075"/>
      <c r="P564" s="1075"/>
      <c r="Q564" s="1075"/>
      <c r="R564" s="1075"/>
      <c r="S564" s="1075"/>
      <c r="T564" s="1075"/>
      <c r="U564" s="1075"/>
      <c r="V564" s="1075"/>
      <c r="W564" s="1075"/>
      <c r="X564" s="1075"/>
      <c r="Y564" s="1075"/>
      <c r="Z564" s="1075"/>
      <c r="AA564" s="1075"/>
      <c r="AB564" s="1075"/>
      <c r="AC564" s="1075"/>
      <c r="AD564" s="1075"/>
      <c r="AE564" s="1075"/>
      <c r="AF564" s="1075"/>
      <c r="AG564" s="1075"/>
      <c r="AH564" s="1075"/>
      <c r="AI564" s="1075"/>
      <c r="AJ564" s="1075"/>
      <c r="AK564" s="1075"/>
      <c r="AL564" s="1075"/>
      <c r="AM564" s="1075"/>
      <c r="AN564" s="1075"/>
      <c r="AO564" s="1075"/>
      <c r="AP564" s="1075"/>
      <c r="AQ564" s="1075"/>
      <c r="AR564" s="1075"/>
      <c r="AS564" s="1075"/>
      <c r="AT564" s="1075"/>
      <c r="AU564" s="1075"/>
      <c r="AV564" s="1075"/>
    </row>
    <row r="565" spans="1:48" ht="11.25" hidden="1" customHeight="1">
      <c r="A565" s="1075"/>
      <c r="B565" s="1075"/>
      <c r="C565" s="1075"/>
      <c r="D565" s="1075"/>
      <c r="E565" s="1075"/>
      <c r="F565" s="1075"/>
      <c r="G565" s="1075"/>
      <c r="H565" s="1075"/>
      <c r="I565" s="1075"/>
      <c r="J565" s="1075"/>
      <c r="K565" s="1075"/>
      <c r="L565" s="1075"/>
      <c r="M565" s="1075"/>
      <c r="N565" s="1075"/>
      <c r="O565" s="1075"/>
      <c r="P565" s="1075"/>
      <c r="Q565" s="1075"/>
      <c r="R565" s="1075"/>
      <c r="S565" s="1075"/>
      <c r="T565" s="1075"/>
      <c r="U565" s="1075"/>
      <c r="V565" s="1075"/>
      <c r="W565" s="1075"/>
      <c r="X565" s="1075"/>
      <c r="Y565" s="1075"/>
      <c r="Z565" s="1075"/>
      <c r="AA565" s="1075"/>
      <c r="AB565" s="1075"/>
      <c r="AC565" s="1075"/>
      <c r="AD565" s="1075"/>
      <c r="AE565" s="1075"/>
      <c r="AF565" s="1075"/>
      <c r="AG565" s="1075"/>
      <c r="AH565" s="1075"/>
      <c r="AI565" s="1075"/>
      <c r="AJ565" s="1075"/>
      <c r="AK565" s="1075"/>
      <c r="AL565" s="1075"/>
      <c r="AM565" s="1075"/>
      <c r="AN565" s="1075"/>
      <c r="AO565" s="1075"/>
      <c r="AP565" s="1075"/>
      <c r="AQ565" s="1075"/>
      <c r="AR565" s="1075"/>
      <c r="AS565" s="1075"/>
      <c r="AT565" s="1075"/>
      <c r="AU565" s="1075"/>
      <c r="AV565" s="1075"/>
    </row>
    <row r="566" spans="1:48" ht="11.25" hidden="1" customHeight="1">
      <c r="A566" s="1075"/>
      <c r="B566" s="1075"/>
      <c r="C566" s="1075"/>
      <c r="D566" s="1075"/>
      <c r="E566" s="1075"/>
      <c r="F566" s="1075"/>
      <c r="G566" s="1075"/>
      <c r="H566" s="1075"/>
      <c r="I566" s="1075"/>
      <c r="J566" s="1075"/>
      <c r="K566" s="1075"/>
      <c r="L566" s="1075"/>
      <c r="M566" s="1075"/>
      <c r="N566" s="1075"/>
      <c r="O566" s="1075"/>
      <c r="P566" s="1075"/>
      <c r="Q566" s="1075"/>
      <c r="R566" s="1075"/>
      <c r="S566" s="1075"/>
      <c r="T566" s="1075"/>
      <c r="U566" s="1075"/>
      <c r="V566" s="1075"/>
      <c r="W566" s="1075"/>
      <c r="X566" s="1075"/>
      <c r="Y566" s="1075"/>
      <c r="Z566" s="1075"/>
      <c r="AA566" s="1075"/>
      <c r="AB566" s="1075"/>
      <c r="AC566" s="1075"/>
      <c r="AD566" s="1075"/>
      <c r="AE566" s="1075"/>
      <c r="AF566" s="1075"/>
      <c r="AG566" s="1075"/>
      <c r="AH566" s="1075"/>
      <c r="AI566" s="1075"/>
      <c r="AJ566" s="1075"/>
      <c r="AK566" s="1075"/>
      <c r="AL566" s="1075"/>
      <c r="AM566" s="1075"/>
      <c r="AN566" s="1075"/>
      <c r="AO566" s="1075"/>
      <c r="AP566" s="1075"/>
      <c r="AQ566" s="1075"/>
      <c r="AR566" s="1075"/>
      <c r="AS566" s="1075"/>
      <c r="AT566" s="1075"/>
      <c r="AU566" s="1075"/>
      <c r="AV566" s="1075"/>
    </row>
    <row r="567" spans="1:48" ht="11.25" hidden="1" customHeight="1">
      <c r="A567" s="1075"/>
      <c r="B567" s="1075"/>
      <c r="C567" s="1075"/>
      <c r="D567" s="1075"/>
      <c r="E567" s="1075"/>
      <c r="F567" s="1075"/>
      <c r="G567" s="1075"/>
      <c r="H567" s="1075"/>
      <c r="I567" s="1075"/>
      <c r="J567" s="1075"/>
      <c r="K567" s="1075"/>
      <c r="L567" s="1075"/>
      <c r="M567" s="1075"/>
      <c r="N567" s="1075"/>
      <c r="O567" s="1075"/>
      <c r="P567" s="1075"/>
      <c r="Q567" s="1075"/>
      <c r="R567" s="1075"/>
      <c r="S567" s="1075"/>
      <c r="T567" s="1075"/>
      <c r="U567" s="1075"/>
      <c r="V567" s="1075"/>
      <c r="W567" s="1075"/>
      <c r="X567" s="1075"/>
      <c r="Y567" s="1075"/>
      <c r="Z567" s="1075"/>
      <c r="AA567" s="1075"/>
      <c r="AB567" s="1075"/>
      <c r="AC567" s="1075"/>
      <c r="AD567" s="1075"/>
      <c r="AE567" s="1075"/>
      <c r="AF567" s="1075"/>
      <c r="AG567" s="1075"/>
      <c r="AH567" s="1075"/>
      <c r="AI567" s="1075"/>
      <c r="AJ567" s="1075"/>
      <c r="AK567" s="1075"/>
      <c r="AL567" s="1075"/>
      <c r="AM567" s="1075"/>
      <c r="AN567" s="1075"/>
      <c r="AO567" s="1075"/>
      <c r="AP567" s="1075"/>
      <c r="AQ567" s="1075"/>
      <c r="AR567" s="1075"/>
      <c r="AS567" s="1075"/>
      <c r="AT567" s="1075"/>
      <c r="AU567" s="1075"/>
      <c r="AV567" s="1075"/>
    </row>
    <row r="568" spans="1:48" ht="11.25" hidden="1" customHeight="1">
      <c r="A568" s="1075"/>
      <c r="B568" s="1075"/>
      <c r="C568" s="1075"/>
      <c r="D568" s="1075"/>
      <c r="E568" s="1075"/>
      <c r="F568" s="1075"/>
      <c r="G568" s="1075"/>
      <c r="H568" s="1075"/>
      <c r="I568" s="1075"/>
      <c r="J568" s="1075"/>
      <c r="K568" s="1075"/>
      <c r="L568" s="1075"/>
      <c r="M568" s="1075"/>
      <c r="N568" s="1075"/>
      <c r="O568" s="1075"/>
      <c r="P568" s="1075"/>
      <c r="Q568" s="1075"/>
      <c r="R568" s="1075"/>
      <c r="S568" s="1075"/>
      <c r="T568" s="1075"/>
      <c r="U568" s="1075"/>
      <c r="V568" s="1075"/>
      <c r="W568" s="1075"/>
      <c r="X568" s="1075"/>
      <c r="Y568" s="1075"/>
      <c r="Z568" s="1075"/>
      <c r="AA568" s="1075"/>
      <c r="AB568" s="1075"/>
      <c r="AC568" s="1075"/>
      <c r="AD568" s="1075"/>
      <c r="AE568" s="1075"/>
      <c r="AF568" s="1075"/>
      <c r="AG568" s="1075"/>
      <c r="AH568" s="1075"/>
      <c r="AI568" s="1075"/>
      <c r="AJ568" s="1075"/>
      <c r="AK568" s="1075"/>
      <c r="AL568" s="1075"/>
      <c r="AM568" s="1075"/>
      <c r="AN568" s="1075"/>
      <c r="AO568" s="1075"/>
      <c r="AP568" s="1075"/>
      <c r="AQ568" s="1075"/>
      <c r="AR568" s="1075"/>
      <c r="AS568" s="1075"/>
      <c r="AT568" s="1075"/>
      <c r="AU568" s="1075"/>
      <c r="AV568" s="1075"/>
    </row>
    <row r="569" spans="1:48" ht="11.25" hidden="1" customHeight="1">
      <c r="A569" s="1075"/>
      <c r="B569" s="1075"/>
      <c r="C569" s="1075"/>
      <c r="D569" s="1075"/>
      <c r="E569" s="1075"/>
      <c r="F569" s="1075"/>
      <c r="G569" s="1075"/>
      <c r="H569" s="1075"/>
      <c r="I569" s="1075"/>
      <c r="J569" s="1075"/>
      <c r="K569" s="1075"/>
      <c r="L569" s="1075"/>
      <c r="M569" s="1075"/>
      <c r="N569" s="1075"/>
      <c r="O569" s="1075"/>
      <c r="P569" s="1075"/>
      <c r="Q569" s="1075"/>
      <c r="R569" s="1075"/>
      <c r="S569" s="1075"/>
      <c r="T569" s="1075"/>
      <c r="U569" s="1075"/>
      <c r="V569" s="1075"/>
      <c r="W569" s="1075"/>
      <c r="X569" s="1075"/>
      <c r="Y569" s="1075"/>
      <c r="Z569" s="1075"/>
      <c r="AA569" s="1075"/>
      <c r="AB569" s="1075"/>
      <c r="AC569" s="1075"/>
      <c r="AD569" s="1075"/>
      <c r="AE569" s="1075"/>
      <c r="AF569" s="1075"/>
      <c r="AG569" s="1075"/>
      <c r="AH569" s="1075"/>
      <c r="AI569" s="1075"/>
      <c r="AJ569" s="1075"/>
      <c r="AK569" s="1075"/>
      <c r="AL569" s="1075"/>
      <c r="AM569" s="1075"/>
      <c r="AN569" s="1075"/>
      <c r="AO569" s="1075"/>
      <c r="AP569" s="1075"/>
      <c r="AQ569" s="1075"/>
      <c r="AR569" s="1075"/>
      <c r="AS569" s="1075"/>
      <c r="AT569" s="1075"/>
      <c r="AU569" s="1075"/>
      <c r="AV569" s="1075"/>
    </row>
    <row r="570" spans="1:48" ht="11.25" hidden="1" customHeight="1">
      <c r="A570" s="1075"/>
      <c r="B570" s="1075"/>
      <c r="C570" s="1075"/>
      <c r="D570" s="1075"/>
      <c r="E570" s="1075"/>
      <c r="F570" s="1075"/>
      <c r="G570" s="1075"/>
      <c r="H570" s="1075"/>
      <c r="I570" s="1075"/>
      <c r="J570" s="1075"/>
      <c r="K570" s="1075"/>
      <c r="L570" s="1075"/>
      <c r="M570" s="1075"/>
      <c r="N570" s="1075"/>
      <c r="O570" s="1075"/>
      <c r="P570" s="1075"/>
      <c r="Q570" s="1075"/>
      <c r="R570" s="1075"/>
      <c r="S570" s="1075"/>
      <c r="T570" s="1075"/>
      <c r="U570" s="1075"/>
      <c r="V570" s="1075"/>
      <c r="W570" s="1075"/>
      <c r="X570" s="1075"/>
      <c r="Y570" s="1075"/>
      <c r="Z570" s="1075"/>
      <c r="AA570" s="1075"/>
      <c r="AB570" s="1075"/>
      <c r="AC570" s="1075"/>
      <c r="AD570" s="1075"/>
      <c r="AE570" s="1075"/>
      <c r="AF570" s="1075"/>
      <c r="AG570" s="1075"/>
      <c r="AH570" s="1075"/>
      <c r="AI570" s="1075"/>
      <c r="AJ570" s="1075"/>
      <c r="AK570" s="1075"/>
      <c r="AL570" s="1075"/>
      <c r="AM570" s="1075"/>
      <c r="AN570" s="1075"/>
      <c r="AO570" s="1075"/>
      <c r="AP570" s="1075"/>
      <c r="AQ570" s="1075"/>
      <c r="AR570" s="1075"/>
      <c r="AS570" s="1075"/>
      <c r="AT570" s="1075"/>
      <c r="AU570" s="1075"/>
      <c r="AV570" s="1075"/>
    </row>
    <row r="571" spans="1:48" ht="11.25" hidden="1" customHeight="1">
      <c r="A571" s="1075"/>
      <c r="B571" s="1075"/>
      <c r="C571" s="1075"/>
      <c r="D571" s="1075"/>
      <c r="E571" s="1075"/>
      <c r="F571" s="1075"/>
      <c r="G571" s="1075"/>
      <c r="H571" s="1075"/>
      <c r="I571" s="1075"/>
      <c r="J571" s="1075"/>
      <c r="K571" s="1075"/>
      <c r="L571" s="1075"/>
      <c r="M571" s="1075"/>
      <c r="N571" s="1075"/>
      <c r="O571" s="1075"/>
      <c r="P571" s="1075"/>
      <c r="Q571" s="1075"/>
      <c r="R571" s="1075"/>
      <c r="S571" s="1075"/>
      <c r="T571" s="1075"/>
      <c r="U571" s="1075"/>
      <c r="V571" s="1075"/>
      <c r="W571" s="1075"/>
      <c r="X571" s="1075"/>
      <c r="Y571" s="1075"/>
      <c r="Z571" s="1075"/>
      <c r="AA571" s="1075"/>
      <c r="AB571" s="1075"/>
      <c r="AC571" s="1075"/>
      <c r="AD571" s="1075"/>
      <c r="AE571" s="1075"/>
      <c r="AF571" s="1075"/>
      <c r="AG571" s="1075"/>
      <c r="AH571" s="1075"/>
      <c r="AI571" s="1075"/>
      <c r="AJ571" s="1075"/>
      <c r="AK571" s="1075"/>
      <c r="AL571" s="1075"/>
      <c r="AM571" s="1075"/>
      <c r="AN571" s="1075"/>
      <c r="AO571" s="1075"/>
      <c r="AP571" s="1075"/>
      <c r="AQ571" s="1075"/>
      <c r="AR571" s="1075"/>
      <c r="AS571" s="1075"/>
      <c r="AT571" s="1075"/>
      <c r="AU571" s="1075"/>
      <c r="AV571" s="1075"/>
    </row>
    <row r="572" spans="1:48" ht="11.25" hidden="1" customHeight="1">
      <c r="A572" s="1075"/>
      <c r="B572" s="1075"/>
      <c r="C572" s="1075"/>
      <c r="D572" s="1075"/>
      <c r="E572" s="1075"/>
      <c r="F572" s="1075"/>
      <c r="G572" s="1075"/>
      <c r="H572" s="1075"/>
      <c r="I572" s="1075"/>
      <c r="J572" s="1075"/>
      <c r="K572" s="1075"/>
      <c r="L572" s="1075"/>
      <c r="M572" s="1075"/>
      <c r="N572" s="1075"/>
      <c r="O572" s="1075"/>
      <c r="P572" s="1075"/>
      <c r="Q572" s="1075"/>
      <c r="R572" s="1075"/>
      <c r="S572" s="1075"/>
      <c r="T572" s="1075"/>
      <c r="U572" s="1075"/>
      <c r="V572" s="1075"/>
      <c r="W572" s="1075"/>
      <c r="X572" s="1075"/>
      <c r="Y572" s="1075"/>
      <c r="Z572" s="1075"/>
      <c r="AA572" s="1075"/>
      <c r="AB572" s="1075"/>
      <c r="AC572" s="1075"/>
      <c r="AD572" s="1075"/>
      <c r="AE572" s="1075"/>
      <c r="AF572" s="1075"/>
      <c r="AG572" s="1075"/>
      <c r="AH572" s="1075"/>
      <c r="AI572" s="1075"/>
      <c r="AJ572" s="1075"/>
      <c r="AK572" s="1075"/>
      <c r="AL572" s="1075"/>
      <c r="AM572" s="1075"/>
      <c r="AN572" s="1075"/>
      <c r="AO572" s="1075"/>
      <c r="AP572" s="1075"/>
      <c r="AQ572" s="1075"/>
      <c r="AR572" s="1075"/>
      <c r="AS572" s="1075"/>
      <c r="AT572" s="1075"/>
      <c r="AU572" s="1075"/>
      <c r="AV572" s="1075"/>
    </row>
    <row r="573" spans="1:48" ht="11.25" hidden="1" customHeight="1">
      <c r="A573" s="1075"/>
      <c r="B573" s="1075"/>
      <c r="C573" s="1075"/>
      <c r="D573" s="1075"/>
      <c r="E573" s="1075"/>
      <c r="F573" s="1075"/>
      <c r="G573" s="1075"/>
      <c r="H573" s="1075"/>
      <c r="I573" s="1075"/>
      <c r="J573" s="1075"/>
      <c r="K573" s="1075"/>
      <c r="L573" s="1075"/>
      <c r="M573" s="1075"/>
      <c r="N573" s="1075"/>
      <c r="O573" s="1075"/>
      <c r="P573" s="1075"/>
      <c r="Q573" s="1075"/>
      <c r="R573" s="1075"/>
      <c r="S573" s="1075"/>
      <c r="T573" s="1075"/>
      <c r="U573" s="1075"/>
      <c r="V573" s="1075"/>
      <c r="W573" s="1075"/>
      <c r="X573" s="1075"/>
      <c r="Y573" s="1075"/>
      <c r="Z573" s="1075"/>
      <c r="AA573" s="1075"/>
      <c r="AB573" s="1075"/>
      <c r="AC573" s="1075"/>
      <c r="AD573" s="1075"/>
      <c r="AE573" s="1075"/>
      <c r="AF573" s="1075"/>
      <c r="AG573" s="1075"/>
      <c r="AH573" s="1075"/>
      <c r="AI573" s="1075"/>
      <c r="AJ573" s="1075"/>
      <c r="AK573" s="1075"/>
      <c r="AL573" s="1075"/>
      <c r="AM573" s="1075"/>
      <c r="AN573" s="1075"/>
      <c r="AO573" s="1075"/>
      <c r="AP573" s="1075"/>
      <c r="AQ573" s="1075"/>
      <c r="AR573" s="1075"/>
      <c r="AS573" s="1075"/>
      <c r="AT573" s="1075"/>
      <c r="AU573" s="1075"/>
      <c r="AV573" s="1075"/>
    </row>
    <row r="574" spans="1:48" ht="11.25" hidden="1" customHeight="1">
      <c r="A574" s="1075"/>
      <c r="B574" s="1075"/>
      <c r="C574" s="1075"/>
      <c r="D574" s="1075"/>
      <c r="E574" s="1075"/>
      <c r="F574" s="1075"/>
      <c r="G574" s="1075"/>
      <c r="H574" s="1075"/>
      <c r="I574" s="1075"/>
      <c r="J574" s="1075"/>
      <c r="K574" s="1075"/>
      <c r="L574" s="1075"/>
      <c r="M574" s="1075"/>
      <c r="N574" s="1075"/>
      <c r="O574" s="1075"/>
      <c r="P574" s="1075"/>
      <c r="Q574" s="1075"/>
      <c r="R574" s="1075"/>
      <c r="S574" s="1075"/>
      <c r="T574" s="1075"/>
      <c r="U574" s="1075"/>
      <c r="V574" s="1075"/>
      <c r="W574" s="1075"/>
      <c r="X574" s="1075"/>
      <c r="Y574" s="1075"/>
      <c r="Z574" s="1075"/>
      <c r="AA574" s="1075"/>
      <c r="AB574" s="1075"/>
      <c r="AC574" s="1075"/>
      <c r="AD574" s="1075"/>
      <c r="AE574" s="1075"/>
      <c r="AF574" s="1075"/>
      <c r="AG574" s="1075"/>
      <c r="AH574" s="1075"/>
      <c r="AI574" s="1075"/>
      <c r="AJ574" s="1075"/>
      <c r="AK574" s="1075"/>
      <c r="AL574" s="1075"/>
      <c r="AM574" s="1075"/>
      <c r="AN574" s="1075"/>
      <c r="AO574" s="1075"/>
      <c r="AP574" s="1075"/>
      <c r="AQ574" s="1075"/>
      <c r="AR574" s="1075"/>
      <c r="AS574" s="1075"/>
      <c r="AT574" s="1075"/>
      <c r="AU574" s="1075"/>
      <c r="AV574" s="1075"/>
    </row>
    <row r="575" spans="1:48" ht="11.25" hidden="1" customHeight="1">
      <c r="A575" s="1075"/>
      <c r="B575" s="1075"/>
      <c r="C575" s="1075"/>
      <c r="D575" s="1075"/>
      <c r="E575" s="1075"/>
      <c r="F575" s="1075"/>
      <c r="G575" s="1075"/>
      <c r="H575" s="1075"/>
      <c r="I575" s="1075"/>
      <c r="J575" s="1075"/>
      <c r="K575" s="1075"/>
      <c r="L575" s="1075"/>
      <c r="M575" s="1075"/>
      <c r="N575" s="1075"/>
      <c r="O575" s="1075"/>
      <c r="P575" s="1075"/>
      <c r="Q575" s="1075"/>
      <c r="R575" s="1075"/>
      <c r="S575" s="1075"/>
      <c r="T575" s="1075"/>
      <c r="U575" s="1075"/>
      <c r="V575" s="1075"/>
      <c r="W575" s="1075"/>
      <c r="X575" s="1075"/>
      <c r="Y575" s="1075"/>
      <c r="Z575" s="1075"/>
      <c r="AA575" s="1075"/>
      <c r="AB575" s="1075"/>
      <c r="AC575" s="1075"/>
      <c r="AD575" s="1075"/>
      <c r="AE575" s="1075"/>
      <c r="AF575" s="1075"/>
      <c r="AG575" s="1075"/>
      <c r="AH575" s="1075"/>
      <c r="AI575" s="1075"/>
      <c r="AJ575" s="1075"/>
      <c r="AK575" s="1075"/>
      <c r="AL575" s="1075"/>
      <c r="AM575" s="1075"/>
      <c r="AN575" s="1075"/>
      <c r="AO575" s="1075"/>
      <c r="AP575" s="1075"/>
      <c r="AQ575" s="1075"/>
      <c r="AR575" s="1075"/>
      <c r="AS575" s="1075"/>
      <c r="AT575" s="1075"/>
      <c r="AU575" s="1075"/>
      <c r="AV575" s="1075"/>
    </row>
    <row r="576" spans="1:48" ht="11.25" hidden="1" customHeight="1">
      <c r="A576" s="1075"/>
      <c r="B576" s="1075"/>
      <c r="C576" s="1075"/>
      <c r="D576" s="1075"/>
      <c r="E576" s="1075"/>
      <c r="F576" s="1075"/>
      <c r="G576" s="1075"/>
      <c r="H576" s="1075"/>
      <c r="I576" s="1075"/>
      <c r="J576" s="1075"/>
      <c r="K576" s="1075"/>
      <c r="L576" s="1075"/>
      <c r="M576" s="1075"/>
      <c r="N576" s="1075"/>
      <c r="O576" s="1075"/>
      <c r="P576" s="1075"/>
      <c r="Q576" s="1075"/>
      <c r="R576" s="1075"/>
      <c r="S576" s="1075"/>
      <c r="T576" s="1075"/>
      <c r="U576" s="1075"/>
      <c r="V576" s="1075"/>
      <c r="W576" s="1075"/>
      <c r="X576" s="1075"/>
      <c r="Y576" s="1075"/>
      <c r="Z576" s="1075"/>
      <c r="AA576" s="1075"/>
      <c r="AB576" s="1075"/>
      <c r="AC576" s="1075"/>
      <c r="AD576" s="1075"/>
      <c r="AE576" s="1075"/>
      <c r="AF576" s="1075"/>
      <c r="AG576" s="1075"/>
      <c r="AH576" s="1075"/>
      <c r="AI576" s="1075"/>
      <c r="AJ576" s="1075"/>
      <c r="AK576" s="1075"/>
      <c r="AL576" s="1075"/>
      <c r="AM576" s="1075"/>
      <c r="AN576" s="1075"/>
      <c r="AO576" s="1075"/>
      <c r="AP576" s="1075"/>
      <c r="AQ576" s="1075"/>
      <c r="AR576" s="1075"/>
      <c r="AS576" s="1075"/>
      <c r="AT576" s="1075"/>
      <c r="AU576" s="1075"/>
      <c r="AV576" s="1075"/>
    </row>
    <row r="577" spans="1:48" ht="11.25" hidden="1" customHeight="1">
      <c r="A577" s="1075"/>
      <c r="B577" s="1075"/>
      <c r="C577" s="1075"/>
      <c r="D577" s="1075"/>
      <c r="E577" s="1075"/>
      <c r="F577" s="1075"/>
      <c r="G577" s="1075"/>
      <c r="H577" s="1075"/>
      <c r="I577" s="1075"/>
      <c r="J577" s="1075"/>
      <c r="K577" s="1075"/>
      <c r="L577" s="1075"/>
      <c r="M577" s="1075"/>
      <c r="N577" s="1075"/>
      <c r="O577" s="1075"/>
      <c r="P577" s="1075"/>
      <c r="Q577" s="1075"/>
      <c r="R577" s="1075"/>
      <c r="S577" s="1075"/>
      <c r="T577" s="1075"/>
      <c r="U577" s="1075"/>
      <c r="V577" s="1075"/>
      <c r="W577" s="1075"/>
      <c r="X577" s="1075"/>
      <c r="Y577" s="1075"/>
      <c r="Z577" s="1075"/>
      <c r="AA577" s="1075"/>
      <c r="AB577" s="1075"/>
      <c r="AC577" s="1075"/>
      <c r="AD577" s="1075"/>
      <c r="AE577" s="1075"/>
      <c r="AF577" s="1075"/>
      <c r="AG577" s="1075"/>
      <c r="AH577" s="1075"/>
      <c r="AI577" s="1075"/>
      <c r="AJ577" s="1075"/>
      <c r="AK577" s="1075"/>
      <c r="AL577" s="1075"/>
      <c r="AM577" s="1075"/>
      <c r="AN577" s="1075"/>
      <c r="AO577" s="1075"/>
      <c r="AP577" s="1075"/>
      <c r="AQ577" s="1075"/>
      <c r="AR577" s="1075"/>
      <c r="AS577" s="1075"/>
      <c r="AT577" s="1075"/>
      <c r="AU577" s="1075"/>
      <c r="AV577" s="1075"/>
    </row>
    <row r="578" spans="1:48" ht="11.25" hidden="1" customHeight="1">
      <c r="A578" s="1075"/>
      <c r="B578" s="1075"/>
      <c r="C578" s="1075"/>
      <c r="D578" s="1075"/>
      <c r="E578" s="1075"/>
      <c r="F578" s="1075"/>
      <c r="G578" s="1075"/>
      <c r="H578" s="1075"/>
      <c r="I578" s="1075"/>
      <c r="J578" s="1075"/>
      <c r="K578" s="1075"/>
      <c r="L578" s="1075"/>
      <c r="M578" s="1075"/>
      <c r="N578" s="1075"/>
      <c r="O578" s="1075"/>
      <c r="P578" s="1075"/>
      <c r="Q578" s="1075"/>
      <c r="R578" s="1075"/>
      <c r="S578" s="1075"/>
      <c r="T578" s="1075"/>
      <c r="U578" s="1075"/>
      <c r="V578" s="1075"/>
      <c r="W578" s="1075"/>
      <c r="X578" s="1075"/>
      <c r="Y578" s="1075"/>
      <c r="Z578" s="1075"/>
      <c r="AA578" s="1075"/>
      <c r="AB578" s="1075"/>
      <c r="AC578" s="1075"/>
      <c r="AD578" s="1075"/>
      <c r="AE578" s="1075"/>
      <c r="AF578" s="1075"/>
      <c r="AG578" s="1075"/>
      <c r="AH578" s="1075"/>
      <c r="AI578" s="1075"/>
      <c r="AJ578" s="1075"/>
      <c r="AK578" s="1075"/>
      <c r="AL578" s="1075"/>
      <c r="AM578" s="1075"/>
      <c r="AN578" s="1075"/>
      <c r="AO578" s="1075"/>
      <c r="AP578" s="1075"/>
      <c r="AQ578" s="1075"/>
      <c r="AR578" s="1075"/>
      <c r="AS578" s="1075"/>
      <c r="AT578" s="1075"/>
      <c r="AU578" s="1075"/>
      <c r="AV578" s="1075"/>
    </row>
    <row r="579" spans="1:48" ht="11.25" hidden="1" customHeight="1">
      <c r="A579" s="1075"/>
      <c r="B579" s="1075"/>
      <c r="C579" s="1075"/>
      <c r="D579" s="1075"/>
      <c r="E579" s="1075"/>
      <c r="F579" s="1075"/>
      <c r="G579" s="1075"/>
      <c r="H579" s="1075"/>
      <c r="I579" s="1075"/>
      <c r="J579" s="1075"/>
      <c r="K579" s="1075"/>
      <c r="L579" s="1075"/>
      <c r="M579" s="1075"/>
      <c r="N579" s="1075"/>
      <c r="O579" s="1075"/>
      <c r="P579" s="1075"/>
      <c r="Q579" s="1075"/>
      <c r="R579" s="1075"/>
      <c r="S579" s="1075"/>
      <c r="T579" s="1075"/>
      <c r="U579" s="1075"/>
      <c r="V579" s="1075"/>
      <c r="W579" s="1075"/>
      <c r="X579" s="1075"/>
      <c r="Y579" s="1075"/>
      <c r="Z579" s="1075"/>
      <c r="AA579" s="1075"/>
      <c r="AB579" s="1075"/>
      <c r="AC579" s="1075"/>
      <c r="AD579" s="1075"/>
      <c r="AE579" s="1075"/>
      <c r="AF579" s="1075"/>
      <c r="AG579" s="1075"/>
      <c r="AH579" s="1075"/>
      <c r="AI579" s="1075"/>
      <c r="AJ579" s="1075"/>
      <c r="AK579" s="1075"/>
      <c r="AL579" s="1075"/>
      <c r="AM579" s="1075"/>
      <c r="AN579" s="1075"/>
      <c r="AO579" s="1075"/>
      <c r="AP579" s="1075"/>
      <c r="AQ579" s="1075"/>
      <c r="AR579" s="1075"/>
      <c r="AS579" s="1075"/>
      <c r="AT579" s="1075"/>
      <c r="AU579" s="1075"/>
      <c r="AV579" s="1075"/>
    </row>
    <row r="580" spans="1:48" ht="11.25" hidden="1" customHeight="1">
      <c r="A580" s="1075"/>
      <c r="B580" s="1075"/>
      <c r="C580" s="1075"/>
      <c r="D580" s="1075"/>
      <c r="E580" s="1075"/>
      <c r="F580" s="1075"/>
      <c r="G580" s="1075"/>
      <c r="H580" s="1075"/>
      <c r="I580" s="1075"/>
      <c r="J580" s="1075"/>
      <c r="K580" s="1075"/>
      <c r="L580" s="1075"/>
      <c r="M580" s="1075"/>
      <c r="N580" s="1075"/>
      <c r="O580" s="1075"/>
      <c r="P580" s="1075"/>
      <c r="Q580" s="1075"/>
      <c r="R580" s="1075"/>
      <c r="S580" s="1075"/>
      <c r="T580" s="1075"/>
      <c r="U580" s="1075"/>
      <c r="V580" s="1075"/>
      <c r="W580" s="1075"/>
      <c r="X580" s="1075"/>
      <c r="Y580" s="1075"/>
      <c r="Z580" s="1075"/>
      <c r="AA580" s="1075"/>
      <c r="AB580" s="1075"/>
      <c r="AC580" s="1075"/>
      <c r="AD580" s="1075"/>
      <c r="AE580" s="1075"/>
      <c r="AF580" s="1075"/>
      <c r="AG580" s="1075"/>
      <c r="AH580" s="1075"/>
      <c r="AI580" s="1075"/>
      <c r="AJ580" s="1075"/>
      <c r="AK580" s="1075"/>
      <c r="AL580" s="1075"/>
      <c r="AM580" s="1075"/>
      <c r="AN580" s="1075"/>
      <c r="AO580" s="1075"/>
      <c r="AP580" s="1075"/>
      <c r="AQ580" s="1075"/>
      <c r="AR580" s="1075"/>
      <c r="AS580" s="1075"/>
      <c r="AT580" s="1075"/>
      <c r="AU580" s="1075"/>
      <c r="AV580" s="1075"/>
    </row>
    <row r="581" spans="1:48" ht="11.25" hidden="1" customHeight="1">
      <c r="A581" s="1075"/>
      <c r="B581" s="1075"/>
      <c r="C581" s="1075"/>
      <c r="D581" s="1075"/>
      <c r="E581" s="1075"/>
      <c r="F581" s="1075"/>
      <c r="G581" s="1075"/>
      <c r="H581" s="1075"/>
      <c r="I581" s="1075"/>
      <c r="J581" s="1075"/>
      <c r="K581" s="1075"/>
      <c r="L581" s="1075"/>
      <c r="M581" s="1075"/>
      <c r="N581" s="1075"/>
      <c r="O581" s="1075"/>
      <c r="P581" s="1075"/>
      <c r="Q581" s="1075"/>
      <c r="R581" s="1075"/>
      <c r="S581" s="1075"/>
      <c r="T581" s="1075"/>
      <c r="U581" s="1075"/>
      <c r="V581" s="1075"/>
      <c r="W581" s="1075"/>
      <c r="X581" s="1075"/>
      <c r="Y581" s="1075"/>
      <c r="Z581" s="1075"/>
      <c r="AA581" s="1075"/>
      <c r="AB581" s="1075"/>
      <c r="AC581" s="1075"/>
      <c r="AD581" s="1075"/>
      <c r="AE581" s="1075"/>
      <c r="AF581" s="1075"/>
      <c r="AG581" s="1075"/>
      <c r="AH581" s="1075"/>
      <c r="AI581" s="1075"/>
      <c r="AJ581" s="1075"/>
      <c r="AK581" s="1075"/>
      <c r="AL581" s="1075"/>
      <c r="AM581" s="1075"/>
      <c r="AN581" s="1075"/>
      <c r="AO581" s="1075"/>
      <c r="AP581" s="1075"/>
      <c r="AQ581" s="1075"/>
      <c r="AR581" s="1075"/>
      <c r="AS581" s="1075"/>
      <c r="AT581" s="1075"/>
      <c r="AU581" s="1075"/>
      <c r="AV581" s="1075"/>
    </row>
    <row r="582" spans="1:48" ht="11.25" hidden="1" customHeight="1">
      <c r="A582" s="1075"/>
      <c r="B582" s="1075"/>
      <c r="C582" s="1075"/>
      <c r="D582" s="1075"/>
      <c r="E582" s="1075"/>
      <c r="F582" s="1075"/>
      <c r="G582" s="1075"/>
      <c r="H582" s="1075"/>
      <c r="I582" s="1075"/>
      <c r="J582" s="1075"/>
      <c r="K582" s="1075"/>
      <c r="L582" s="1075"/>
      <c r="M582" s="1075"/>
      <c r="N582" s="1075"/>
      <c r="O582" s="1075"/>
      <c r="P582" s="1075"/>
      <c r="Q582" s="1075"/>
      <c r="R582" s="1075"/>
      <c r="S582" s="1075"/>
      <c r="T582" s="1075"/>
      <c r="U582" s="1075"/>
      <c r="V582" s="1075"/>
      <c r="W582" s="1075"/>
      <c r="X582" s="1075"/>
      <c r="Y582" s="1075"/>
      <c r="Z582" s="1075"/>
      <c r="AA582" s="1075"/>
      <c r="AB582" s="1075"/>
      <c r="AC582" s="1075"/>
      <c r="AD582" s="1075"/>
      <c r="AE582" s="1075"/>
      <c r="AF582" s="1075"/>
      <c r="AG582" s="1075"/>
      <c r="AH582" s="1075"/>
      <c r="AI582" s="1075"/>
      <c r="AJ582" s="1075"/>
      <c r="AK582" s="1075"/>
      <c r="AL582" s="1075"/>
      <c r="AM582" s="1075"/>
      <c r="AN582" s="1075"/>
      <c r="AO582" s="1075"/>
      <c r="AP582" s="1075"/>
      <c r="AQ582" s="1075"/>
      <c r="AR582" s="1075"/>
      <c r="AS582" s="1075"/>
      <c r="AT582" s="1075"/>
      <c r="AU582" s="1075"/>
      <c r="AV582" s="1075"/>
    </row>
    <row r="583" spans="1:48" ht="11.25" hidden="1" customHeight="1">
      <c r="A583" s="1075"/>
      <c r="B583" s="1075"/>
      <c r="C583" s="1075"/>
      <c r="D583" s="1075"/>
      <c r="E583" s="1075"/>
      <c r="F583" s="1075"/>
      <c r="G583" s="1075"/>
      <c r="H583" s="1075"/>
      <c r="I583" s="1075"/>
      <c r="J583" s="1075"/>
      <c r="K583" s="1075"/>
      <c r="L583" s="1075"/>
      <c r="M583" s="1075"/>
      <c r="N583" s="1075"/>
      <c r="O583" s="1075"/>
      <c r="P583" s="1075"/>
      <c r="Q583" s="1075"/>
      <c r="R583" s="1075"/>
      <c r="S583" s="1075"/>
      <c r="T583" s="1075"/>
      <c r="U583" s="1075"/>
      <c r="V583" s="1075"/>
      <c r="W583" s="1075"/>
      <c r="X583" s="1075"/>
      <c r="Y583" s="1075"/>
      <c r="Z583" s="1075"/>
      <c r="AA583" s="1075"/>
      <c r="AB583" s="1075"/>
      <c r="AC583" s="1075"/>
      <c r="AD583" s="1075"/>
      <c r="AE583" s="1075"/>
      <c r="AF583" s="1075"/>
      <c r="AG583" s="1075"/>
      <c r="AH583" s="1075"/>
      <c r="AI583" s="1075"/>
      <c r="AJ583" s="1075"/>
      <c r="AK583" s="1075"/>
      <c r="AL583" s="1075"/>
      <c r="AM583" s="1075"/>
      <c r="AN583" s="1075"/>
      <c r="AO583" s="1075"/>
      <c r="AP583" s="1075"/>
      <c r="AQ583" s="1075"/>
      <c r="AR583" s="1075"/>
      <c r="AS583" s="1075"/>
      <c r="AT583" s="1075"/>
      <c r="AU583" s="1075"/>
      <c r="AV583" s="1075"/>
    </row>
    <row r="584" spans="1:48" ht="11.25" hidden="1" customHeight="1">
      <c r="A584" s="1075"/>
      <c r="B584" s="1075"/>
      <c r="C584" s="1075"/>
      <c r="D584" s="1075"/>
      <c r="E584" s="1075"/>
      <c r="F584" s="1075"/>
      <c r="G584" s="1075"/>
      <c r="H584" s="1075"/>
      <c r="I584" s="1075"/>
      <c r="J584" s="1075"/>
      <c r="K584" s="1075"/>
      <c r="L584" s="1075"/>
      <c r="M584" s="1075"/>
      <c r="N584" s="1075"/>
      <c r="O584" s="1075"/>
      <c r="P584" s="1075"/>
      <c r="Q584" s="1075"/>
      <c r="R584" s="1075"/>
      <c r="S584" s="1075"/>
      <c r="T584" s="1075"/>
      <c r="U584" s="1075"/>
      <c r="V584" s="1075"/>
      <c r="W584" s="1075"/>
      <c r="X584" s="1075"/>
      <c r="Y584" s="1075"/>
      <c r="Z584" s="1075"/>
      <c r="AA584" s="1075"/>
      <c r="AB584" s="1075"/>
      <c r="AC584" s="1075"/>
      <c r="AD584" s="1075"/>
      <c r="AE584" s="1075"/>
      <c r="AF584" s="1075"/>
      <c r="AG584" s="1075"/>
      <c r="AH584" s="1075"/>
      <c r="AI584" s="1075"/>
      <c r="AJ584" s="1075"/>
      <c r="AK584" s="1075"/>
      <c r="AL584" s="1075"/>
      <c r="AM584" s="1075"/>
      <c r="AN584" s="1075"/>
      <c r="AO584" s="1075"/>
      <c r="AP584" s="1075"/>
      <c r="AQ584" s="1075"/>
      <c r="AR584" s="1075"/>
      <c r="AS584" s="1075"/>
      <c r="AT584" s="1075"/>
      <c r="AU584" s="1075"/>
      <c r="AV584" s="1075"/>
    </row>
    <row r="585" spans="1:48" ht="11.25" hidden="1" customHeight="1">
      <c r="A585" s="1075"/>
      <c r="B585" s="1075"/>
      <c r="C585" s="1075"/>
      <c r="D585" s="1075"/>
      <c r="E585" s="1075"/>
      <c r="F585" s="1075"/>
      <c r="G585" s="1075"/>
      <c r="H585" s="1075"/>
      <c r="I585" s="1075"/>
      <c r="J585" s="1075"/>
      <c r="K585" s="1075"/>
      <c r="L585" s="1075"/>
      <c r="M585" s="1075"/>
      <c r="N585" s="1075"/>
      <c r="O585" s="1075"/>
      <c r="P585" s="1075"/>
      <c r="Q585" s="1075"/>
      <c r="R585" s="1075"/>
      <c r="S585" s="1075"/>
      <c r="T585" s="1075"/>
      <c r="U585" s="1075"/>
      <c r="V585" s="1075"/>
      <c r="W585" s="1075"/>
      <c r="X585" s="1075"/>
      <c r="Y585" s="1075"/>
      <c r="Z585" s="1075"/>
      <c r="AA585" s="1075"/>
      <c r="AB585" s="1075"/>
      <c r="AC585" s="1075"/>
      <c r="AD585" s="1075"/>
      <c r="AE585" s="1075"/>
      <c r="AF585" s="1075"/>
      <c r="AG585" s="1075"/>
      <c r="AH585" s="1075"/>
      <c r="AI585" s="1075"/>
      <c r="AJ585" s="1075"/>
      <c r="AK585" s="1075"/>
      <c r="AL585" s="1075"/>
      <c r="AM585" s="1075"/>
      <c r="AN585" s="1075"/>
      <c r="AO585" s="1075"/>
      <c r="AP585" s="1075"/>
      <c r="AQ585" s="1075"/>
      <c r="AR585" s="1075"/>
      <c r="AS585" s="1075"/>
      <c r="AT585" s="1075"/>
      <c r="AU585" s="1075"/>
      <c r="AV585" s="1075"/>
    </row>
    <row r="586" spans="1:48" ht="11.25" hidden="1" customHeight="1">
      <c r="A586" s="1075"/>
      <c r="B586" s="1075"/>
      <c r="C586" s="1075"/>
      <c r="D586" s="1075"/>
      <c r="E586" s="1075"/>
      <c r="F586" s="1075"/>
      <c r="G586" s="1075"/>
      <c r="H586" s="1075"/>
      <c r="I586" s="1075"/>
      <c r="J586" s="1075"/>
      <c r="K586" s="1075"/>
      <c r="L586" s="1075"/>
      <c r="M586" s="1075"/>
      <c r="N586" s="1075"/>
      <c r="O586" s="1075"/>
      <c r="P586" s="1075"/>
      <c r="Q586" s="1075"/>
      <c r="R586" s="1075"/>
      <c r="S586" s="1075"/>
      <c r="T586" s="1075"/>
      <c r="U586" s="1075"/>
      <c r="V586" s="1075"/>
      <c r="W586" s="1075"/>
      <c r="X586" s="1075"/>
      <c r="Y586" s="1075"/>
      <c r="Z586" s="1075"/>
      <c r="AA586" s="1075"/>
      <c r="AB586" s="1075"/>
      <c r="AC586" s="1075"/>
      <c r="AD586" s="1075"/>
      <c r="AE586" s="1075"/>
      <c r="AF586" s="1075"/>
      <c r="AG586" s="1075"/>
      <c r="AH586" s="1075"/>
      <c r="AI586" s="1075"/>
      <c r="AJ586" s="1075"/>
      <c r="AK586" s="1075"/>
      <c r="AL586" s="1075"/>
      <c r="AM586" s="1075"/>
      <c r="AN586" s="1075"/>
      <c r="AO586" s="1075"/>
      <c r="AP586" s="1075"/>
      <c r="AQ586" s="1075"/>
      <c r="AR586" s="1075"/>
      <c r="AS586" s="1075"/>
      <c r="AT586" s="1075"/>
      <c r="AU586" s="1075"/>
      <c r="AV586" s="1075"/>
    </row>
    <row r="587" spans="1:48" ht="11.25" hidden="1" customHeight="1">
      <c r="A587" s="1075"/>
      <c r="B587" s="1075"/>
      <c r="C587" s="1075"/>
      <c r="D587" s="1075"/>
      <c r="E587" s="1075"/>
      <c r="F587" s="1075"/>
      <c r="G587" s="1075"/>
      <c r="H587" s="1075"/>
      <c r="I587" s="1075"/>
      <c r="J587" s="1075"/>
      <c r="K587" s="1075"/>
      <c r="L587" s="1075"/>
      <c r="M587" s="1075"/>
      <c r="N587" s="1075"/>
      <c r="O587" s="1075"/>
      <c r="P587" s="1075"/>
      <c r="Q587" s="1075"/>
      <c r="R587" s="1075"/>
      <c r="S587" s="1075"/>
      <c r="T587" s="1075"/>
      <c r="U587" s="1075"/>
      <c r="V587" s="1075"/>
      <c r="W587" s="1075"/>
      <c r="X587" s="1075"/>
      <c r="Y587" s="1075"/>
      <c r="Z587" s="1075"/>
      <c r="AA587" s="1075"/>
      <c r="AB587" s="1075"/>
      <c r="AC587" s="1075"/>
      <c r="AD587" s="1075"/>
      <c r="AE587" s="1075"/>
      <c r="AF587" s="1075"/>
      <c r="AG587" s="1075"/>
      <c r="AH587" s="1075"/>
      <c r="AI587" s="1075"/>
      <c r="AJ587" s="1075"/>
      <c r="AK587" s="1075"/>
      <c r="AL587" s="1075"/>
      <c r="AM587" s="1075"/>
      <c r="AN587" s="1075"/>
      <c r="AO587" s="1075"/>
      <c r="AP587" s="1075"/>
      <c r="AQ587" s="1075"/>
      <c r="AR587" s="1075"/>
      <c r="AS587" s="1075"/>
      <c r="AT587" s="1075"/>
      <c r="AU587" s="1075"/>
      <c r="AV587" s="1075"/>
    </row>
    <row r="588" spans="1:48" ht="11.25" hidden="1" customHeight="1">
      <c r="A588" s="1075"/>
      <c r="B588" s="1075"/>
      <c r="C588" s="1075"/>
      <c r="D588" s="1075"/>
      <c r="E588" s="1075"/>
      <c r="F588" s="1075"/>
      <c r="G588" s="1075"/>
      <c r="H588" s="1075"/>
      <c r="I588" s="1075"/>
      <c r="J588" s="1075"/>
      <c r="K588" s="1075"/>
      <c r="L588" s="1075"/>
      <c r="M588" s="1075"/>
      <c r="N588" s="1075"/>
      <c r="O588" s="1075"/>
      <c r="P588" s="1075"/>
      <c r="Q588" s="1075"/>
      <c r="R588" s="1075"/>
      <c r="S588" s="1075"/>
      <c r="T588" s="1075"/>
      <c r="U588" s="1075"/>
      <c r="V588" s="1075"/>
      <c r="W588" s="1075"/>
      <c r="X588" s="1075"/>
      <c r="Y588" s="1075"/>
      <c r="Z588" s="1075"/>
      <c r="AA588" s="1075"/>
      <c r="AB588" s="1075"/>
      <c r="AC588" s="1075"/>
      <c r="AD588" s="1075"/>
      <c r="AE588" s="1075"/>
      <c r="AF588" s="1075"/>
      <c r="AG588" s="1075"/>
      <c r="AH588" s="1075"/>
      <c r="AI588" s="1075"/>
      <c r="AJ588" s="1075"/>
      <c r="AK588" s="1075"/>
      <c r="AL588" s="1075"/>
      <c r="AM588" s="1075"/>
      <c r="AN588" s="1075"/>
      <c r="AO588" s="1075"/>
      <c r="AP588" s="1075"/>
      <c r="AQ588" s="1075"/>
      <c r="AR588" s="1075"/>
      <c r="AS588" s="1075"/>
      <c r="AT588" s="1075"/>
      <c r="AU588" s="1075"/>
      <c r="AV588" s="1075"/>
    </row>
    <row r="589" spans="1:48" ht="11.25" hidden="1" customHeight="1">
      <c r="A589" s="1075"/>
      <c r="B589" s="1075"/>
      <c r="C589" s="1075"/>
      <c r="D589" s="1075"/>
      <c r="E589" s="1075"/>
      <c r="F589" s="1075"/>
      <c r="G589" s="1075"/>
      <c r="H589" s="1075"/>
      <c r="I589" s="1075"/>
      <c r="J589" s="1075"/>
      <c r="K589" s="1075"/>
      <c r="L589" s="1075"/>
      <c r="M589" s="1075"/>
      <c r="N589" s="1075"/>
      <c r="O589" s="1075"/>
      <c r="P589" s="1075"/>
      <c r="Q589" s="1075"/>
      <c r="R589" s="1075"/>
      <c r="S589" s="1075"/>
      <c r="T589" s="1075"/>
      <c r="U589" s="1075"/>
      <c r="V589" s="1075"/>
      <c r="W589" s="1075"/>
      <c r="X589" s="1075"/>
      <c r="Y589" s="1075"/>
      <c r="Z589" s="1075"/>
      <c r="AA589" s="1075"/>
      <c r="AB589" s="1075"/>
      <c r="AC589" s="1075"/>
      <c r="AD589" s="1075"/>
      <c r="AE589" s="1075"/>
      <c r="AF589" s="1075"/>
      <c r="AG589" s="1075"/>
      <c r="AH589" s="1075"/>
      <c r="AI589" s="1075"/>
      <c r="AJ589" s="1075"/>
      <c r="AK589" s="1075"/>
      <c r="AL589" s="1075"/>
      <c r="AM589" s="1075"/>
      <c r="AN589" s="1075"/>
      <c r="AO589" s="1075"/>
      <c r="AP589" s="1075"/>
      <c r="AQ589" s="1075"/>
      <c r="AR589" s="1075"/>
      <c r="AS589" s="1075"/>
      <c r="AT589" s="1075"/>
      <c r="AU589" s="1075"/>
      <c r="AV589" s="1075"/>
    </row>
    <row r="590" spans="1:48" ht="11.25" hidden="1" customHeight="1">
      <c r="A590" s="1075"/>
      <c r="B590" s="1075"/>
      <c r="C590" s="1075"/>
      <c r="D590" s="1075"/>
      <c r="E590" s="1075"/>
      <c r="F590" s="1075"/>
      <c r="G590" s="1075"/>
      <c r="H590" s="1075"/>
      <c r="I590" s="1075"/>
      <c r="J590" s="1075"/>
      <c r="K590" s="1075"/>
      <c r="L590" s="1075"/>
      <c r="M590" s="1075"/>
      <c r="N590" s="1075"/>
      <c r="O590" s="1075"/>
      <c r="P590" s="1075"/>
      <c r="Q590" s="1075"/>
      <c r="R590" s="1075"/>
      <c r="S590" s="1075"/>
      <c r="T590" s="1075"/>
      <c r="U590" s="1075"/>
      <c r="V590" s="1075"/>
      <c r="W590" s="1075"/>
      <c r="X590" s="1075"/>
      <c r="Y590" s="1075"/>
      <c r="Z590" s="1075"/>
      <c r="AA590" s="1075"/>
      <c r="AB590" s="1075"/>
      <c r="AC590" s="1075"/>
      <c r="AD590" s="1075"/>
      <c r="AE590" s="1075"/>
      <c r="AF590" s="1075"/>
      <c r="AG590" s="1075"/>
      <c r="AH590" s="1075"/>
      <c r="AI590" s="1075"/>
      <c r="AJ590" s="1075"/>
      <c r="AK590" s="1075"/>
      <c r="AL590" s="1075"/>
      <c r="AM590" s="1075"/>
      <c r="AN590" s="1075"/>
      <c r="AO590" s="1075"/>
      <c r="AP590" s="1075"/>
      <c r="AQ590" s="1075"/>
      <c r="AR590" s="1075"/>
      <c r="AS590" s="1075"/>
      <c r="AT590" s="1075"/>
      <c r="AU590" s="1075"/>
      <c r="AV590" s="1075"/>
    </row>
    <row r="591" spans="1:48" ht="11.25" hidden="1" customHeight="1">
      <c r="A591" s="1075"/>
      <c r="B591" s="1075"/>
      <c r="C591" s="1075"/>
      <c r="D591" s="1075"/>
      <c r="E591" s="1075"/>
      <c r="F591" s="1075"/>
      <c r="G591" s="1075"/>
      <c r="H591" s="1075"/>
      <c r="I591" s="1075"/>
      <c r="J591" s="1075"/>
      <c r="K591" s="1075"/>
      <c r="L591" s="1075"/>
      <c r="M591" s="1075"/>
      <c r="N591" s="1075"/>
      <c r="O591" s="1075"/>
      <c r="P591" s="1075"/>
      <c r="Q591" s="1075"/>
      <c r="R591" s="1075"/>
      <c r="S591" s="1075"/>
      <c r="T591" s="1075"/>
      <c r="U591" s="1075"/>
      <c r="V591" s="1075"/>
      <c r="W591" s="1075"/>
      <c r="X591" s="1075"/>
      <c r="Y591" s="1075"/>
      <c r="Z591" s="1075"/>
      <c r="AA591" s="1075"/>
      <c r="AB591" s="1075"/>
      <c r="AC591" s="1075"/>
      <c r="AD591" s="1075"/>
      <c r="AE591" s="1075"/>
      <c r="AF591" s="1075"/>
      <c r="AG591" s="1075"/>
      <c r="AH591" s="1075"/>
      <c r="AI591" s="1075"/>
      <c r="AJ591" s="1075"/>
      <c r="AK591" s="1075"/>
      <c r="AL591" s="1075"/>
      <c r="AM591" s="1075"/>
      <c r="AN591" s="1075"/>
      <c r="AO591" s="1075"/>
      <c r="AP591" s="1075"/>
      <c r="AQ591" s="1075"/>
      <c r="AR591" s="1075"/>
      <c r="AS591" s="1075"/>
      <c r="AT591" s="1075"/>
      <c r="AU591" s="1075"/>
      <c r="AV591" s="1075"/>
    </row>
    <row r="592" spans="1:48" ht="11.25" hidden="1" customHeight="1">
      <c r="A592" s="1075"/>
      <c r="B592" s="1075"/>
      <c r="C592" s="1075"/>
      <c r="D592" s="1075"/>
      <c r="E592" s="1075"/>
      <c r="F592" s="1075"/>
      <c r="G592" s="1075"/>
      <c r="H592" s="1075"/>
      <c r="I592" s="1075"/>
      <c r="J592" s="1075"/>
      <c r="K592" s="1075"/>
      <c r="L592" s="1075"/>
      <c r="M592" s="1075"/>
      <c r="N592" s="1075"/>
      <c r="O592" s="1075"/>
      <c r="P592" s="1075"/>
      <c r="Q592" s="1075"/>
      <c r="R592" s="1075"/>
      <c r="S592" s="1075"/>
      <c r="T592" s="1075"/>
      <c r="U592" s="1075"/>
      <c r="V592" s="1075"/>
      <c r="W592" s="1075"/>
      <c r="X592" s="1075"/>
      <c r="Y592" s="1075"/>
      <c r="Z592" s="1075"/>
      <c r="AA592" s="1075"/>
      <c r="AB592" s="1075"/>
      <c r="AC592" s="1075"/>
      <c r="AD592" s="1075"/>
      <c r="AE592" s="1075"/>
      <c r="AF592" s="1075"/>
      <c r="AG592" s="1075"/>
      <c r="AH592" s="1075"/>
      <c r="AI592" s="1075"/>
      <c r="AJ592" s="1075"/>
      <c r="AK592" s="1075"/>
      <c r="AL592" s="1075"/>
      <c r="AM592" s="1075"/>
      <c r="AN592" s="1075"/>
      <c r="AO592" s="1075"/>
      <c r="AP592" s="1075"/>
      <c r="AQ592" s="1075"/>
      <c r="AR592" s="1075"/>
      <c r="AS592" s="1075"/>
      <c r="AT592" s="1075"/>
      <c r="AU592" s="1075"/>
      <c r="AV592" s="1075"/>
    </row>
    <row r="593" spans="1:48" ht="11.25" hidden="1" customHeight="1">
      <c r="A593" s="1075"/>
      <c r="B593" s="1075"/>
      <c r="C593" s="1075"/>
      <c r="D593" s="1075"/>
      <c r="E593" s="1075"/>
      <c r="F593" s="1075"/>
      <c r="G593" s="1075"/>
      <c r="H593" s="1075"/>
      <c r="I593" s="1075"/>
      <c r="J593" s="1075"/>
      <c r="K593" s="1075"/>
      <c r="L593" s="1075"/>
      <c r="M593" s="1075"/>
      <c r="N593" s="1075"/>
      <c r="O593" s="1075"/>
      <c r="P593" s="1075"/>
      <c r="Q593" s="1075"/>
      <c r="R593" s="1075"/>
      <c r="S593" s="1075"/>
      <c r="T593" s="1075"/>
      <c r="U593" s="1075"/>
      <c r="V593" s="1075"/>
      <c r="W593" s="1075"/>
      <c r="X593" s="1075"/>
      <c r="Y593" s="1075"/>
      <c r="Z593" s="1075"/>
      <c r="AA593" s="1075"/>
      <c r="AB593" s="1075"/>
      <c r="AC593" s="1075"/>
      <c r="AD593" s="1075"/>
      <c r="AE593" s="1075"/>
      <c r="AF593" s="1075"/>
      <c r="AG593" s="1075"/>
      <c r="AH593" s="1075"/>
      <c r="AI593" s="1075"/>
      <c r="AJ593" s="1075"/>
      <c r="AK593" s="1075"/>
      <c r="AL593" s="1075"/>
      <c r="AM593" s="1075"/>
      <c r="AN593" s="1075"/>
      <c r="AO593" s="1075"/>
      <c r="AP593" s="1075"/>
      <c r="AQ593" s="1075"/>
      <c r="AR593" s="1075"/>
      <c r="AS593" s="1075"/>
      <c r="AT593" s="1075"/>
      <c r="AU593" s="1075"/>
      <c r="AV593" s="1075"/>
    </row>
    <row r="594" spans="1:48" ht="11.25" hidden="1" customHeight="1">
      <c r="A594" s="1075"/>
      <c r="B594" s="1075"/>
      <c r="C594" s="1075"/>
      <c r="D594" s="1075"/>
      <c r="E594" s="1075"/>
      <c r="F594" s="1075"/>
      <c r="G594" s="1075"/>
      <c r="H594" s="1075"/>
      <c r="I594" s="1075"/>
      <c r="J594" s="1075"/>
      <c r="K594" s="1075"/>
      <c r="L594" s="1075"/>
      <c r="M594" s="1075"/>
      <c r="N594" s="1075"/>
      <c r="O594" s="1075"/>
      <c r="P594" s="1075"/>
      <c r="Q594" s="1075"/>
      <c r="R594" s="1075"/>
      <c r="S594" s="1075"/>
      <c r="T594" s="1075"/>
      <c r="U594" s="1075"/>
      <c r="V594" s="1075"/>
      <c r="W594" s="1075"/>
      <c r="X594" s="1075"/>
      <c r="Y594" s="1075"/>
      <c r="Z594" s="1075"/>
      <c r="AA594" s="1075"/>
      <c r="AB594" s="1075"/>
      <c r="AC594" s="1075"/>
      <c r="AD594" s="1075"/>
      <c r="AE594" s="1075"/>
      <c r="AF594" s="1075"/>
      <c r="AG594" s="1075"/>
      <c r="AH594" s="1075"/>
      <c r="AI594" s="1075"/>
      <c r="AJ594" s="1075"/>
      <c r="AK594" s="1075"/>
      <c r="AL594" s="1075"/>
      <c r="AM594" s="1075"/>
      <c r="AN594" s="1075"/>
      <c r="AO594" s="1075"/>
      <c r="AP594" s="1075"/>
      <c r="AQ594" s="1075"/>
      <c r="AR594" s="1075"/>
      <c r="AS594" s="1075"/>
      <c r="AT594" s="1075"/>
      <c r="AU594" s="1075"/>
      <c r="AV594" s="1075"/>
    </row>
    <row r="595" spans="1:48" ht="11.25" hidden="1" customHeight="1">
      <c r="A595" s="1075"/>
      <c r="B595" s="1075"/>
      <c r="C595" s="1075"/>
      <c r="D595" s="1075"/>
      <c r="E595" s="1075"/>
      <c r="F595" s="1075"/>
      <c r="G595" s="1075"/>
      <c r="H595" s="1075"/>
      <c r="I595" s="1075"/>
      <c r="J595" s="1075"/>
      <c r="K595" s="1075"/>
      <c r="L595" s="1075"/>
      <c r="M595" s="1075"/>
      <c r="N595" s="1075"/>
      <c r="O595" s="1075"/>
      <c r="P595" s="1075"/>
      <c r="Q595" s="1075"/>
      <c r="R595" s="1075"/>
      <c r="S595" s="1075"/>
      <c r="T595" s="1075"/>
      <c r="U595" s="1075"/>
      <c r="V595" s="1075"/>
      <c r="W595" s="1075"/>
      <c r="X595" s="1075"/>
      <c r="Y595" s="1075"/>
      <c r="Z595" s="1075"/>
      <c r="AA595" s="1075"/>
      <c r="AB595" s="1075"/>
      <c r="AC595" s="1075"/>
      <c r="AD595" s="1075"/>
      <c r="AE595" s="1075"/>
      <c r="AF595" s="1075"/>
      <c r="AG595" s="1075"/>
      <c r="AH595" s="1075"/>
      <c r="AI595" s="1075"/>
      <c r="AJ595" s="1075"/>
      <c r="AK595" s="1075"/>
      <c r="AL595" s="1075"/>
      <c r="AM595" s="1075"/>
      <c r="AN595" s="1075"/>
      <c r="AO595" s="1075"/>
      <c r="AP595" s="1075"/>
      <c r="AQ595" s="1075"/>
      <c r="AR595" s="1075"/>
      <c r="AS595" s="1075"/>
      <c r="AT595" s="1075"/>
      <c r="AU595" s="1075"/>
      <c r="AV595" s="1075"/>
    </row>
    <row r="596" spans="1:48" ht="11.25" hidden="1" customHeight="1">
      <c r="A596" s="1075"/>
      <c r="B596" s="1075"/>
      <c r="C596" s="1075"/>
      <c r="D596" s="1075"/>
      <c r="E596" s="1075"/>
      <c r="F596" s="1075"/>
      <c r="G596" s="1075"/>
      <c r="H596" s="1075"/>
      <c r="I596" s="1075"/>
      <c r="J596" s="1075"/>
      <c r="K596" s="1075"/>
      <c r="L596" s="1075"/>
      <c r="M596" s="1075"/>
      <c r="N596" s="1075"/>
      <c r="O596" s="1075"/>
      <c r="P596" s="1075"/>
      <c r="Q596" s="1075"/>
      <c r="R596" s="1075"/>
      <c r="S596" s="1075"/>
      <c r="T596" s="1075"/>
      <c r="U596" s="1075"/>
      <c r="V596" s="1075"/>
      <c r="W596" s="1075"/>
      <c r="X596" s="1075"/>
      <c r="Y596" s="1075"/>
      <c r="Z596" s="1075"/>
      <c r="AA596" s="1075"/>
      <c r="AB596" s="1075"/>
      <c r="AC596" s="1075"/>
      <c r="AD596" s="1075"/>
      <c r="AE596" s="1075"/>
      <c r="AF596" s="1075"/>
      <c r="AG596" s="1075"/>
      <c r="AH596" s="1075"/>
      <c r="AI596" s="1075"/>
      <c r="AJ596" s="1075"/>
      <c r="AK596" s="1075"/>
      <c r="AL596" s="1075"/>
      <c r="AM596" s="1075"/>
      <c r="AN596" s="1075"/>
      <c r="AO596" s="1075"/>
      <c r="AP596" s="1075"/>
      <c r="AQ596" s="1075"/>
      <c r="AR596" s="1075"/>
      <c r="AS596" s="1075"/>
      <c r="AT596" s="1075"/>
      <c r="AU596" s="1075"/>
      <c r="AV596" s="1075"/>
    </row>
    <row r="597" spans="1:48" ht="11.25" hidden="1" customHeight="1">
      <c r="A597" s="1075"/>
      <c r="B597" s="1075"/>
      <c r="C597" s="1075"/>
      <c r="D597" s="1075"/>
      <c r="E597" s="1075"/>
      <c r="F597" s="1075"/>
      <c r="G597" s="1075"/>
      <c r="H597" s="1075"/>
      <c r="I597" s="1075"/>
      <c r="J597" s="1075"/>
      <c r="K597" s="1075"/>
      <c r="L597" s="1075"/>
      <c r="M597" s="1075"/>
      <c r="N597" s="1075"/>
      <c r="O597" s="1075"/>
      <c r="P597" s="1075"/>
      <c r="Q597" s="1075"/>
      <c r="R597" s="1075"/>
      <c r="S597" s="1075"/>
      <c r="T597" s="1075"/>
      <c r="U597" s="1075"/>
      <c r="V597" s="1075"/>
      <c r="W597" s="1075"/>
      <c r="X597" s="1075"/>
      <c r="Y597" s="1075"/>
      <c r="Z597" s="1075"/>
      <c r="AA597" s="1075"/>
      <c r="AB597" s="1075"/>
      <c r="AC597" s="1075"/>
      <c r="AD597" s="1075"/>
      <c r="AE597" s="1075"/>
      <c r="AF597" s="1075"/>
      <c r="AG597" s="1075"/>
      <c r="AH597" s="1075"/>
      <c r="AI597" s="1075"/>
      <c r="AJ597" s="1075"/>
      <c r="AK597" s="1075"/>
      <c r="AL597" s="1075"/>
      <c r="AM597" s="1075"/>
      <c r="AN597" s="1075"/>
      <c r="AO597" s="1075"/>
      <c r="AP597" s="1075"/>
      <c r="AQ597" s="1075"/>
      <c r="AR597" s="1075"/>
      <c r="AS597" s="1075"/>
      <c r="AT597" s="1075"/>
      <c r="AU597" s="1075"/>
      <c r="AV597" s="1075"/>
    </row>
    <row r="598" spans="1:48" ht="11.25" hidden="1" customHeight="1">
      <c r="A598" s="1075"/>
      <c r="B598" s="1075"/>
      <c r="C598" s="1075"/>
      <c r="D598" s="1075"/>
      <c r="E598" s="1075"/>
      <c r="F598" s="1075"/>
      <c r="G598" s="1075"/>
      <c r="H598" s="1075"/>
      <c r="I598" s="1075"/>
      <c r="J598" s="1075"/>
      <c r="K598" s="1075"/>
      <c r="L598" s="1075"/>
      <c r="M598" s="1075"/>
      <c r="N598" s="1075"/>
      <c r="O598" s="1075"/>
      <c r="P598" s="1075"/>
      <c r="Q598" s="1075"/>
      <c r="R598" s="1075"/>
      <c r="S598" s="1075"/>
      <c r="T598" s="1075"/>
      <c r="U598" s="1075"/>
      <c r="V598" s="1075"/>
      <c r="W598" s="1075"/>
      <c r="X598" s="1075"/>
      <c r="Y598" s="1075"/>
      <c r="Z598" s="1075"/>
      <c r="AA598" s="1075"/>
      <c r="AB598" s="1075"/>
      <c r="AC598" s="1075"/>
      <c r="AD598" s="1075"/>
      <c r="AE598" s="1075"/>
      <c r="AF598" s="1075"/>
      <c r="AG598" s="1075"/>
      <c r="AH598" s="1075"/>
      <c r="AI598" s="1075"/>
      <c r="AJ598" s="1075"/>
      <c r="AK598" s="1075"/>
      <c r="AL598" s="1075"/>
      <c r="AM598" s="1075"/>
      <c r="AN598" s="1075"/>
      <c r="AO598" s="1075"/>
      <c r="AP598" s="1075"/>
      <c r="AQ598" s="1075"/>
      <c r="AR598" s="1075"/>
      <c r="AS598" s="1075"/>
      <c r="AT598" s="1075"/>
      <c r="AU598" s="1075"/>
      <c r="AV598" s="1075"/>
    </row>
    <row r="599" spans="1:48" ht="11.25" hidden="1" customHeight="1">
      <c r="A599" s="1075"/>
      <c r="B599" s="1075"/>
      <c r="C599" s="1075"/>
      <c r="D599" s="1075"/>
      <c r="E599" s="1075"/>
      <c r="F599" s="1075"/>
      <c r="G599" s="1075"/>
      <c r="H599" s="1075"/>
      <c r="I599" s="1075"/>
      <c r="J599" s="1075"/>
      <c r="K599" s="1075"/>
      <c r="L599" s="1075"/>
      <c r="M599" s="1075"/>
      <c r="N599" s="1075"/>
      <c r="O599" s="1075"/>
      <c r="P599" s="1075"/>
      <c r="Q599" s="1075"/>
      <c r="R599" s="1075"/>
      <c r="S599" s="1075"/>
      <c r="T599" s="1075"/>
      <c r="U599" s="1075"/>
      <c r="V599" s="1075"/>
      <c r="W599" s="1075"/>
      <c r="X599" s="1075"/>
      <c r="Y599" s="1075"/>
      <c r="Z599" s="1075"/>
      <c r="AA599" s="1075"/>
      <c r="AB599" s="1075"/>
      <c r="AC599" s="1075"/>
      <c r="AD599" s="1075"/>
      <c r="AE599" s="1075"/>
      <c r="AF599" s="1075"/>
      <c r="AG599" s="1075"/>
      <c r="AH599" s="1075"/>
      <c r="AI599" s="1075"/>
      <c r="AJ599" s="1075"/>
      <c r="AK599" s="1075"/>
      <c r="AL599" s="1075"/>
      <c r="AM599" s="1075"/>
      <c r="AN599" s="1075"/>
      <c r="AO599" s="1075"/>
      <c r="AP599" s="1075"/>
      <c r="AQ599" s="1075"/>
      <c r="AR599" s="1075"/>
      <c r="AS599" s="1075"/>
      <c r="AT599" s="1075"/>
      <c r="AU599" s="1075"/>
      <c r="AV599" s="1075"/>
    </row>
    <row r="600" spans="1:48" ht="11.25" hidden="1" customHeight="1">
      <c r="A600" s="1075"/>
      <c r="B600" s="1075"/>
      <c r="C600" s="1075"/>
      <c r="D600" s="1075"/>
      <c r="E600" s="1075"/>
      <c r="F600" s="1075"/>
      <c r="G600" s="1075"/>
      <c r="H600" s="1075"/>
      <c r="I600" s="1075"/>
      <c r="J600" s="1075"/>
      <c r="K600" s="1075"/>
      <c r="L600" s="1075"/>
      <c r="M600" s="1075"/>
      <c r="N600" s="1075"/>
      <c r="O600" s="1075"/>
      <c r="P600" s="1075"/>
      <c r="Q600" s="1075"/>
      <c r="R600" s="1075"/>
      <c r="S600" s="1075"/>
      <c r="T600" s="1075"/>
      <c r="U600" s="1075"/>
      <c r="V600" s="1075"/>
      <c r="W600" s="1075"/>
      <c r="X600" s="1075"/>
      <c r="Y600" s="1075"/>
      <c r="Z600" s="1075"/>
      <c r="AA600" s="1075"/>
      <c r="AB600" s="1075"/>
      <c r="AC600" s="1075"/>
      <c r="AD600" s="1075"/>
      <c r="AE600" s="1075"/>
      <c r="AF600" s="1075"/>
      <c r="AG600" s="1075"/>
      <c r="AH600" s="1075"/>
      <c r="AI600" s="1075"/>
      <c r="AJ600" s="1075"/>
      <c r="AK600" s="1075"/>
      <c r="AL600" s="1075"/>
      <c r="AM600" s="1075"/>
      <c r="AN600" s="1075"/>
      <c r="AO600" s="1075"/>
      <c r="AP600" s="1075"/>
      <c r="AQ600" s="1075"/>
      <c r="AR600" s="1075"/>
      <c r="AS600" s="1075"/>
      <c r="AT600" s="1075"/>
      <c r="AU600" s="1075"/>
      <c r="AV600" s="1075"/>
    </row>
    <row r="601" spans="1:48" ht="11.25" hidden="1" customHeight="1">
      <c r="A601" s="1075"/>
      <c r="B601" s="1075"/>
      <c r="C601" s="1075"/>
      <c r="D601" s="1075"/>
      <c r="E601" s="1075"/>
      <c r="F601" s="1075"/>
      <c r="G601" s="1075"/>
      <c r="H601" s="1075"/>
      <c r="I601" s="1075"/>
      <c r="J601" s="1075"/>
      <c r="K601" s="1075"/>
      <c r="L601" s="1075"/>
      <c r="M601" s="1075"/>
      <c r="N601" s="1075"/>
      <c r="O601" s="1075"/>
      <c r="P601" s="1075"/>
      <c r="Q601" s="1075"/>
      <c r="R601" s="1075"/>
      <c r="S601" s="1075"/>
      <c r="T601" s="1075"/>
      <c r="U601" s="1075"/>
      <c r="V601" s="1075"/>
      <c r="W601" s="1075"/>
      <c r="X601" s="1075"/>
      <c r="Y601" s="1075"/>
      <c r="Z601" s="1075"/>
      <c r="AA601" s="1075"/>
      <c r="AB601" s="1075"/>
      <c r="AC601" s="1075"/>
      <c r="AD601" s="1075"/>
      <c r="AE601" s="1075"/>
      <c r="AF601" s="1075"/>
      <c r="AG601" s="1075"/>
      <c r="AH601" s="1075"/>
      <c r="AI601" s="1075"/>
      <c r="AJ601" s="1075"/>
      <c r="AK601" s="1075"/>
      <c r="AL601" s="1075"/>
      <c r="AM601" s="1075"/>
      <c r="AN601" s="1075"/>
      <c r="AO601" s="1075"/>
      <c r="AP601" s="1075"/>
      <c r="AQ601" s="1075"/>
      <c r="AR601" s="1075"/>
      <c r="AS601" s="1075"/>
      <c r="AT601" s="1075"/>
      <c r="AU601" s="1075"/>
      <c r="AV601" s="1075"/>
    </row>
    <row r="602" spans="1:48" ht="11.25" hidden="1" customHeight="1">
      <c r="A602" s="1075"/>
      <c r="B602" s="1075"/>
      <c r="C602" s="1075"/>
      <c r="D602" s="1075"/>
      <c r="E602" s="1075"/>
      <c r="F602" s="1075"/>
      <c r="G602" s="1075"/>
      <c r="H602" s="1075"/>
      <c r="I602" s="1075"/>
      <c r="J602" s="1075"/>
      <c r="K602" s="1075"/>
      <c r="L602" s="1075"/>
      <c r="M602" s="1075"/>
      <c r="N602" s="1075"/>
      <c r="O602" s="1075"/>
      <c r="P602" s="1075"/>
      <c r="Q602" s="1075"/>
      <c r="R602" s="1075"/>
      <c r="S602" s="1075"/>
      <c r="T602" s="1075"/>
      <c r="U602" s="1075"/>
      <c r="V602" s="1075"/>
      <c r="W602" s="1075"/>
      <c r="X602" s="1075"/>
      <c r="Y602" s="1075"/>
      <c r="Z602" s="1075"/>
      <c r="AA602" s="1075"/>
      <c r="AB602" s="1075"/>
      <c r="AC602" s="1075"/>
      <c r="AD602" s="1075"/>
      <c r="AE602" s="1075"/>
      <c r="AF602" s="1075"/>
      <c r="AG602" s="1075"/>
      <c r="AH602" s="1075"/>
      <c r="AI602" s="1075"/>
      <c r="AJ602" s="1075"/>
      <c r="AK602" s="1075"/>
      <c r="AL602" s="1075"/>
      <c r="AM602" s="1075"/>
      <c r="AN602" s="1075"/>
      <c r="AO602" s="1075"/>
      <c r="AP602" s="1075"/>
      <c r="AQ602" s="1075"/>
      <c r="AR602" s="1075"/>
      <c r="AS602" s="1075"/>
      <c r="AT602" s="1075"/>
      <c r="AU602" s="1075"/>
      <c r="AV602" s="1075"/>
    </row>
    <row r="603" spans="1:48" ht="11.25" hidden="1" customHeight="1">
      <c r="A603" s="1075"/>
      <c r="B603" s="1075"/>
      <c r="C603" s="1075"/>
      <c r="D603" s="1075"/>
      <c r="E603" s="1075"/>
      <c r="F603" s="1075"/>
      <c r="G603" s="1075"/>
      <c r="H603" s="1075"/>
      <c r="I603" s="1075"/>
      <c r="J603" s="1075"/>
      <c r="K603" s="1075"/>
      <c r="L603" s="1075"/>
      <c r="M603" s="1075"/>
      <c r="N603" s="1075"/>
      <c r="O603" s="1075"/>
      <c r="P603" s="1075"/>
      <c r="Q603" s="1075"/>
      <c r="R603" s="1075"/>
      <c r="S603" s="1075"/>
      <c r="T603" s="1075"/>
      <c r="U603" s="1075"/>
      <c r="V603" s="1075"/>
      <c r="W603" s="1075"/>
      <c r="X603" s="1075"/>
      <c r="Y603" s="1075"/>
      <c r="Z603" s="1075"/>
      <c r="AA603" s="1075"/>
      <c r="AB603" s="1075"/>
      <c r="AC603" s="1075"/>
      <c r="AD603" s="1075"/>
      <c r="AE603" s="1075"/>
      <c r="AF603" s="1075"/>
      <c r="AG603" s="1075"/>
      <c r="AH603" s="1075"/>
      <c r="AI603" s="1075"/>
      <c r="AJ603" s="1075"/>
      <c r="AK603" s="1075"/>
      <c r="AL603" s="1075"/>
      <c r="AM603" s="1075"/>
      <c r="AN603" s="1075"/>
      <c r="AO603" s="1075"/>
      <c r="AP603" s="1075"/>
      <c r="AQ603" s="1075"/>
      <c r="AR603" s="1075"/>
      <c r="AS603" s="1075"/>
      <c r="AT603" s="1075"/>
      <c r="AU603" s="1075"/>
      <c r="AV603" s="1075"/>
    </row>
    <row r="604" spans="1:48" ht="11.25" hidden="1" customHeight="1">
      <c r="A604" s="1075"/>
      <c r="B604" s="1075"/>
      <c r="C604" s="1075"/>
      <c r="D604" s="1075"/>
      <c r="E604" s="1075"/>
      <c r="F604" s="1075"/>
      <c r="G604" s="1075"/>
      <c r="H604" s="1075"/>
      <c r="I604" s="1075"/>
      <c r="J604" s="1075"/>
      <c r="K604" s="1075"/>
      <c r="L604" s="1075"/>
      <c r="M604" s="1075"/>
      <c r="N604" s="1075"/>
      <c r="O604" s="1075"/>
      <c r="P604" s="1075"/>
      <c r="Q604" s="1075"/>
      <c r="R604" s="1075"/>
      <c r="S604" s="1075"/>
      <c r="T604" s="1075"/>
      <c r="U604" s="1075"/>
      <c r="V604" s="1075"/>
      <c r="W604" s="1075"/>
      <c r="X604" s="1075"/>
      <c r="Y604" s="1075"/>
      <c r="Z604" s="1075"/>
      <c r="AA604" s="1075"/>
      <c r="AB604" s="1075"/>
      <c r="AC604" s="1075"/>
      <c r="AD604" s="1075"/>
      <c r="AE604" s="1075"/>
      <c r="AF604" s="1075"/>
      <c r="AG604" s="1075"/>
      <c r="AH604" s="1075"/>
      <c r="AI604" s="1075"/>
      <c r="AJ604" s="1075"/>
      <c r="AK604" s="1075"/>
      <c r="AL604" s="1075"/>
      <c r="AM604" s="1075"/>
      <c r="AN604" s="1075"/>
      <c r="AO604" s="1075"/>
      <c r="AP604" s="1075"/>
      <c r="AQ604" s="1075"/>
      <c r="AR604" s="1075"/>
      <c r="AS604" s="1075"/>
      <c r="AT604" s="1075"/>
      <c r="AU604" s="1075"/>
      <c r="AV604" s="1075"/>
    </row>
    <row r="605" spans="1:48" ht="11.25" hidden="1" customHeight="1">
      <c r="A605" s="1075"/>
      <c r="B605" s="1075"/>
      <c r="C605" s="1075"/>
      <c r="D605" s="1075"/>
      <c r="E605" s="1075"/>
      <c r="F605" s="1075"/>
      <c r="G605" s="1075"/>
      <c r="H605" s="1075"/>
      <c r="I605" s="1075"/>
      <c r="J605" s="1075"/>
      <c r="K605" s="1075"/>
      <c r="L605" s="1075"/>
      <c r="M605" s="1075"/>
      <c r="N605" s="1075"/>
      <c r="O605" s="1075"/>
      <c r="P605" s="1075"/>
      <c r="Q605" s="1075"/>
      <c r="R605" s="1075"/>
      <c r="S605" s="1075"/>
      <c r="T605" s="1075"/>
      <c r="U605" s="1075"/>
      <c r="V605" s="1075"/>
      <c r="W605" s="1075"/>
      <c r="X605" s="1075"/>
      <c r="Y605" s="1075"/>
      <c r="Z605" s="1075"/>
      <c r="AA605" s="1075"/>
      <c r="AB605" s="1075"/>
      <c r="AC605" s="1075"/>
      <c r="AD605" s="1075"/>
      <c r="AE605" s="1075"/>
      <c r="AF605" s="1075"/>
      <c r="AG605" s="1075"/>
      <c r="AH605" s="1075"/>
      <c r="AI605" s="1075"/>
      <c r="AJ605" s="1075"/>
      <c r="AK605" s="1075"/>
      <c r="AL605" s="1075"/>
      <c r="AM605" s="1075"/>
      <c r="AN605" s="1075"/>
      <c r="AO605" s="1075"/>
      <c r="AP605" s="1075"/>
      <c r="AQ605" s="1075"/>
      <c r="AR605" s="1075"/>
      <c r="AS605" s="1075"/>
      <c r="AT605" s="1075"/>
      <c r="AU605" s="1075"/>
      <c r="AV605" s="1075"/>
    </row>
    <row r="606" spans="1:48" ht="11.25" hidden="1" customHeight="1">
      <c r="A606" s="1075"/>
      <c r="B606" s="1075"/>
      <c r="C606" s="1075"/>
      <c r="D606" s="1075"/>
      <c r="E606" s="1075"/>
      <c r="F606" s="1075"/>
      <c r="G606" s="1075"/>
      <c r="H606" s="1075"/>
      <c r="I606" s="1075"/>
      <c r="J606" s="1075"/>
      <c r="K606" s="1075"/>
      <c r="L606" s="1075"/>
      <c r="M606" s="1075"/>
      <c r="N606" s="1075"/>
      <c r="O606" s="1075"/>
      <c r="P606" s="1075"/>
      <c r="Q606" s="1075"/>
      <c r="R606" s="1075"/>
      <c r="S606" s="1075"/>
      <c r="T606" s="1075"/>
      <c r="U606" s="1075"/>
      <c r="V606" s="1075"/>
      <c r="W606" s="1075"/>
      <c r="X606" s="1075"/>
      <c r="Y606" s="1075"/>
      <c r="Z606" s="1075"/>
      <c r="AA606" s="1075"/>
      <c r="AB606" s="1075"/>
      <c r="AC606" s="1075"/>
      <c r="AD606" s="1075"/>
      <c r="AE606" s="1075"/>
      <c r="AF606" s="1075"/>
      <c r="AG606" s="1075"/>
      <c r="AH606" s="1075"/>
      <c r="AI606" s="1075"/>
      <c r="AJ606" s="1075"/>
      <c r="AK606" s="1075"/>
      <c r="AL606" s="1075"/>
      <c r="AM606" s="1075"/>
      <c r="AN606" s="1075"/>
      <c r="AO606" s="1075"/>
      <c r="AP606" s="1075"/>
      <c r="AQ606" s="1075"/>
      <c r="AR606" s="1075"/>
      <c r="AS606" s="1075"/>
      <c r="AT606" s="1075"/>
      <c r="AU606" s="1075"/>
      <c r="AV606" s="1075"/>
    </row>
    <row r="607" spans="1:48" ht="11.25" hidden="1" customHeight="1">
      <c r="A607" s="1075"/>
      <c r="B607" s="1075"/>
      <c r="C607" s="1075"/>
      <c r="D607" s="1075"/>
      <c r="E607" s="1075"/>
      <c r="F607" s="1075"/>
      <c r="G607" s="1075"/>
      <c r="H607" s="1075"/>
      <c r="I607" s="1075"/>
      <c r="J607" s="1075"/>
      <c r="K607" s="1075"/>
      <c r="L607" s="1075"/>
      <c r="M607" s="1075"/>
      <c r="N607" s="1075"/>
      <c r="O607" s="1075"/>
      <c r="P607" s="1075"/>
      <c r="Q607" s="1075"/>
      <c r="R607" s="1075"/>
      <c r="S607" s="1075"/>
      <c r="T607" s="1075"/>
      <c r="U607" s="1075"/>
      <c r="V607" s="1075"/>
      <c r="W607" s="1075"/>
      <c r="X607" s="1075"/>
      <c r="Y607" s="1075"/>
      <c r="Z607" s="1075"/>
      <c r="AA607" s="1075"/>
      <c r="AB607" s="1075"/>
      <c r="AC607" s="1075"/>
      <c r="AD607" s="1075"/>
      <c r="AE607" s="1075"/>
      <c r="AF607" s="1075"/>
      <c r="AG607" s="1075"/>
      <c r="AH607" s="1075"/>
      <c r="AI607" s="1075"/>
      <c r="AJ607" s="1075"/>
      <c r="AK607" s="1075"/>
      <c r="AL607" s="1075"/>
      <c r="AM607" s="1075"/>
      <c r="AN607" s="1075"/>
      <c r="AO607" s="1075"/>
      <c r="AP607" s="1075"/>
      <c r="AQ607" s="1075"/>
      <c r="AR607" s="1075"/>
      <c r="AS607" s="1075"/>
      <c r="AT607" s="1075"/>
      <c r="AU607" s="1075"/>
      <c r="AV607" s="1075"/>
    </row>
    <row r="608" spans="1:48" ht="11.25" hidden="1" customHeight="1">
      <c r="A608" s="1075"/>
      <c r="B608" s="1075"/>
      <c r="C608" s="1075"/>
      <c r="D608" s="1075"/>
      <c r="E608" s="1075"/>
      <c r="F608" s="1075"/>
      <c r="G608" s="1075"/>
      <c r="H608" s="1075"/>
      <c r="I608" s="1075"/>
      <c r="J608" s="1075"/>
      <c r="K608" s="1075"/>
      <c r="L608" s="1075"/>
      <c r="M608" s="1075"/>
      <c r="N608" s="1075"/>
      <c r="O608" s="1075"/>
      <c r="P608" s="1075"/>
      <c r="Q608" s="1075"/>
      <c r="R608" s="1075"/>
      <c r="S608" s="1075"/>
      <c r="T608" s="1075"/>
      <c r="U608" s="1075"/>
      <c r="V608" s="1075"/>
      <c r="W608" s="1075"/>
      <c r="X608" s="1075"/>
      <c r="Y608" s="1075"/>
      <c r="Z608" s="1075"/>
      <c r="AA608" s="1075"/>
      <c r="AB608" s="1075"/>
      <c r="AC608" s="1075"/>
      <c r="AD608" s="1075"/>
      <c r="AE608" s="1075"/>
      <c r="AF608" s="1075"/>
      <c r="AG608" s="1075"/>
      <c r="AH608" s="1075"/>
      <c r="AI608" s="1075"/>
      <c r="AJ608" s="1075"/>
      <c r="AK608" s="1075"/>
      <c r="AL608" s="1075"/>
      <c r="AM608" s="1075"/>
      <c r="AN608" s="1075"/>
      <c r="AO608" s="1075"/>
      <c r="AP608" s="1075"/>
      <c r="AQ608" s="1075"/>
      <c r="AR608" s="1075"/>
      <c r="AS608" s="1075"/>
      <c r="AT608" s="1075"/>
      <c r="AU608" s="1075"/>
      <c r="AV608" s="1075"/>
    </row>
    <row r="609" spans="1:48" ht="11.25" hidden="1" customHeight="1">
      <c r="A609" s="1075"/>
      <c r="B609" s="1075"/>
      <c r="C609" s="1075"/>
      <c r="D609" s="1075"/>
      <c r="E609" s="1075"/>
      <c r="F609" s="1075"/>
      <c r="G609" s="1075"/>
      <c r="H609" s="1075"/>
      <c r="I609" s="1075"/>
      <c r="J609" s="1075"/>
      <c r="K609" s="1075"/>
      <c r="L609" s="1075"/>
      <c r="M609" s="1075"/>
      <c r="N609" s="1075"/>
      <c r="O609" s="1075"/>
      <c r="P609" s="1075"/>
      <c r="Q609" s="1075"/>
      <c r="R609" s="1075"/>
      <c r="S609" s="1075"/>
      <c r="T609" s="1075"/>
      <c r="U609" s="1075"/>
      <c r="V609" s="1075"/>
      <c r="W609" s="1075"/>
      <c r="X609" s="1075"/>
      <c r="Y609" s="1075"/>
      <c r="Z609" s="1075"/>
      <c r="AA609" s="1075"/>
      <c r="AB609" s="1075"/>
      <c r="AC609" s="1075"/>
      <c r="AD609" s="1075"/>
      <c r="AE609" s="1075"/>
      <c r="AF609" s="1075"/>
      <c r="AG609" s="1075"/>
      <c r="AH609" s="1075"/>
      <c r="AI609" s="1075"/>
      <c r="AJ609" s="1075"/>
      <c r="AK609" s="1075"/>
      <c r="AL609" s="1075"/>
      <c r="AM609" s="1075"/>
      <c r="AN609" s="1075"/>
      <c r="AO609" s="1075"/>
      <c r="AP609" s="1075"/>
      <c r="AQ609" s="1075"/>
      <c r="AR609" s="1075"/>
      <c r="AS609" s="1075"/>
      <c r="AT609" s="1075"/>
      <c r="AU609" s="1075"/>
      <c r="AV609" s="1075"/>
    </row>
    <row r="610" spans="1:48" ht="11.25" hidden="1" customHeight="1">
      <c r="A610" s="1075"/>
      <c r="B610" s="1075"/>
      <c r="C610" s="1075"/>
      <c r="D610" s="1075"/>
      <c r="E610" s="1075"/>
      <c r="F610" s="1075"/>
      <c r="G610" s="1075"/>
      <c r="H610" s="1075"/>
      <c r="I610" s="1075"/>
      <c r="J610" s="1075"/>
      <c r="K610" s="1075"/>
      <c r="L610" s="1075"/>
      <c r="M610" s="1075"/>
      <c r="N610" s="1075"/>
      <c r="O610" s="1075"/>
      <c r="P610" s="1075"/>
      <c r="Q610" s="1075"/>
      <c r="R610" s="1075"/>
      <c r="S610" s="1075"/>
      <c r="T610" s="1075"/>
      <c r="U610" s="1075"/>
      <c r="V610" s="1075"/>
      <c r="W610" s="1075"/>
      <c r="X610" s="1075"/>
      <c r="Y610" s="1075"/>
      <c r="Z610" s="1075"/>
      <c r="AA610" s="1075"/>
      <c r="AB610" s="1075"/>
      <c r="AC610" s="1075"/>
      <c r="AD610" s="1075"/>
      <c r="AE610" s="1075"/>
      <c r="AF610" s="1075"/>
      <c r="AG610" s="1075"/>
      <c r="AH610" s="1075"/>
      <c r="AI610" s="1075"/>
      <c r="AJ610" s="1075"/>
      <c r="AK610" s="1075"/>
      <c r="AL610" s="1075"/>
      <c r="AM610" s="1075"/>
      <c r="AN610" s="1075"/>
      <c r="AO610" s="1075"/>
      <c r="AP610" s="1075"/>
      <c r="AQ610" s="1075"/>
      <c r="AR610" s="1075"/>
      <c r="AS610" s="1075"/>
      <c r="AT610" s="1075"/>
      <c r="AU610" s="1075"/>
      <c r="AV610" s="1075"/>
    </row>
    <row r="611" spans="1:48" ht="11.25" hidden="1" customHeight="1">
      <c r="A611" s="1075"/>
      <c r="B611" s="1075"/>
      <c r="C611" s="1075"/>
      <c r="D611" s="1075"/>
      <c r="E611" s="1075"/>
      <c r="F611" s="1075"/>
      <c r="G611" s="1075"/>
      <c r="H611" s="1075"/>
      <c r="I611" s="1075"/>
      <c r="J611" s="1075"/>
      <c r="K611" s="1075"/>
      <c r="L611" s="1075"/>
      <c r="M611" s="1075"/>
      <c r="N611" s="1075"/>
      <c r="O611" s="1075"/>
      <c r="P611" s="1075"/>
      <c r="Q611" s="1075"/>
      <c r="R611" s="1075"/>
      <c r="S611" s="1075"/>
      <c r="T611" s="1075"/>
      <c r="U611" s="1075"/>
      <c r="V611" s="1075"/>
      <c r="W611" s="1075"/>
      <c r="X611" s="1075"/>
      <c r="Y611" s="1075"/>
      <c r="Z611" s="1075"/>
      <c r="AA611" s="1075"/>
      <c r="AB611" s="1075"/>
      <c r="AC611" s="1075"/>
      <c r="AD611" s="1075"/>
      <c r="AE611" s="1075"/>
      <c r="AF611" s="1075"/>
      <c r="AG611" s="1075"/>
      <c r="AH611" s="1075"/>
      <c r="AI611" s="1075"/>
      <c r="AJ611" s="1075"/>
      <c r="AK611" s="1075"/>
      <c r="AL611" s="1075"/>
      <c r="AM611" s="1075"/>
      <c r="AN611" s="1075"/>
      <c r="AO611" s="1075"/>
      <c r="AP611" s="1075"/>
      <c r="AQ611" s="1075"/>
      <c r="AR611" s="1075"/>
      <c r="AS611" s="1075"/>
      <c r="AT611" s="1075"/>
      <c r="AU611" s="1075"/>
      <c r="AV611" s="1075"/>
    </row>
    <row r="612" spans="1:48" ht="11.25" hidden="1" customHeight="1">
      <c r="A612" s="1075"/>
      <c r="B612" s="1075"/>
      <c r="C612" s="1075"/>
      <c r="D612" s="1075"/>
      <c r="E612" s="1075"/>
      <c r="F612" s="1075"/>
      <c r="G612" s="1075"/>
      <c r="H612" s="1075"/>
      <c r="I612" s="1075"/>
      <c r="J612" s="1075"/>
      <c r="K612" s="1075"/>
      <c r="L612" s="1075"/>
      <c r="M612" s="1075"/>
      <c r="N612" s="1075"/>
      <c r="O612" s="1075"/>
      <c r="P612" s="1075"/>
      <c r="Q612" s="1075"/>
      <c r="R612" s="1075"/>
      <c r="S612" s="1075"/>
      <c r="T612" s="1075"/>
      <c r="U612" s="1075"/>
      <c r="V612" s="1075"/>
      <c r="W612" s="1075"/>
      <c r="X612" s="1075"/>
      <c r="Y612" s="1075"/>
      <c r="Z612" s="1075"/>
      <c r="AA612" s="1075"/>
      <c r="AB612" s="1075"/>
      <c r="AC612" s="1075"/>
      <c r="AD612" s="1075"/>
      <c r="AE612" s="1075"/>
      <c r="AF612" s="1075"/>
      <c r="AG612" s="1075"/>
      <c r="AH612" s="1075"/>
      <c r="AI612" s="1075"/>
      <c r="AJ612" s="1075"/>
      <c r="AK612" s="1075"/>
      <c r="AL612" s="1075"/>
      <c r="AM612" s="1075"/>
      <c r="AN612" s="1075"/>
      <c r="AO612" s="1075"/>
      <c r="AP612" s="1075"/>
      <c r="AQ612" s="1075"/>
      <c r="AR612" s="1075"/>
      <c r="AS612" s="1075"/>
      <c r="AT612" s="1075"/>
      <c r="AU612" s="1075"/>
      <c r="AV612" s="1075"/>
    </row>
    <row r="613" spans="1:48" ht="11.25" hidden="1" customHeight="1">
      <c r="A613" s="1075"/>
      <c r="B613" s="1075"/>
      <c r="C613" s="1075"/>
      <c r="D613" s="1075"/>
      <c r="E613" s="1075"/>
      <c r="F613" s="1075"/>
      <c r="G613" s="1075"/>
      <c r="H613" s="1075"/>
      <c r="I613" s="1075"/>
      <c r="J613" s="1075"/>
      <c r="K613" s="1075"/>
      <c r="L613" s="1075"/>
      <c r="M613" s="1075"/>
      <c r="N613" s="1075"/>
      <c r="O613" s="1075"/>
      <c r="P613" s="1075"/>
      <c r="Q613" s="1075"/>
      <c r="R613" s="1075"/>
      <c r="S613" s="1075"/>
      <c r="T613" s="1075"/>
      <c r="U613" s="1075"/>
      <c r="V613" s="1075"/>
      <c r="W613" s="1075"/>
      <c r="X613" s="1075"/>
      <c r="Y613" s="1075"/>
      <c r="Z613" s="1075"/>
      <c r="AA613" s="1075"/>
      <c r="AB613" s="1075"/>
      <c r="AC613" s="1075"/>
      <c r="AD613" s="1075"/>
      <c r="AE613" s="1075"/>
      <c r="AF613" s="1075"/>
      <c r="AG613" s="1075"/>
      <c r="AH613" s="1075"/>
      <c r="AI613" s="1075"/>
      <c r="AJ613" s="1075"/>
      <c r="AK613" s="1075"/>
      <c r="AL613" s="1075"/>
      <c r="AM613" s="1075"/>
      <c r="AN613" s="1075"/>
      <c r="AO613" s="1075"/>
      <c r="AP613" s="1075"/>
      <c r="AQ613" s="1075"/>
      <c r="AR613" s="1075"/>
      <c r="AS613" s="1075"/>
      <c r="AT613" s="1075"/>
      <c r="AU613" s="1075"/>
      <c r="AV613" s="1075"/>
    </row>
    <row r="614" spans="1:48" ht="11.25" hidden="1" customHeight="1">
      <c r="A614" s="1075"/>
      <c r="B614" s="1075"/>
      <c r="C614" s="1075"/>
      <c r="D614" s="1075"/>
      <c r="E614" s="1075"/>
      <c r="F614" s="1075"/>
      <c r="G614" s="1075"/>
      <c r="H614" s="1075"/>
      <c r="I614" s="1075"/>
      <c r="J614" s="1075"/>
      <c r="K614" s="1075"/>
      <c r="L614" s="1075"/>
      <c r="M614" s="1075"/>
      <c r="N614" s="1075"/>
      <c r="O614" s="1075"/>
      <c r="P614" s="1075"/>
      <c r="Q614" s="1075"/>
      <c r="R614" s="1075"/>
      <c r="S614" s="1075"/>
      <c r="T614" s="1075"/>
      <c r="U614" s="1075"/>
      <c r="V614" s="1075"/>
      <c r="W614" s="1075"/>
      <c r="X614" s="1075"/>
      <c r="Y614" s="1075"/>
      <c r="Z614" s="1075"/>
      <c r="AA614" s="1075"/>
      <c r="AB614" s="1075"/>
      <c r="AC614" s="1075"/>
      <c r="AD614" s="1075"/>
      <c r="AE614" s="1075"/>
      <c r="AF614" s="1075"/>
      <c r="AG614" s="1075"/>
      <c r="AH614" s="1075"/>
      <c r="AI614" s="1075"/>
      <c r="AJ614" s="1075"/>
      <c r="AK614" s="1075"/>
      <c r="AL614" s="1075"/>
      <c r="AM614" s="1075"/>
      <c r="AN614" s="1075"/>
      <c r="AO614" s="1075"/>
      <c r="AP614" s="1075"/>
      <c r="AQ614" s="1075"/>
      <c r="AR614" s="1075"/>
      <c r="AS614" s="1075"/>
      <c r="AT614" s="1075"/>
      <c r="AU614" s="1075"/>
      <c r="AV614" s="1075"/>
    </row>
    <row r="615" spans="1:48" ht="11.25" hidden="1" customHeight="1">
      <c r="A615" s="1075"/>
      <c r="B615" s="1075"/>
      <c r="C615" s="1075"/>
      <c r="D615" s="1075"/>
      <c r="E615" s="1075"/>
      <c r="F615" s="1075"/>
      <c r="G615" s="1075"/>
      <c r="H615" s="1075"/>
      <c r="I615" s="1075"/>
      <c r="J615" s="1075"/>
      <c r="K615" s="1075"/>
      <c r="L615" s="1075"/>
      <c r="M615" s="1075"/>
      <c r="N615" s="1075"/>
      <c r="O615" s="1075"/>
      <c r="P615" s="1075"/>
      <c r="Q615" s="1075"/>
      <c r="R615" s="1075"/>
      <c r="S615" s="1075"/>
      <c r="T615" s="1075"/>
      <c r="U615" s="1075"/>
      <c r="V615" s="1075"/>
      <c r="W615" s="1075"/>
      <c r="X615" s="1075"/>
      <c r="Y615" s="1075"/>
      <c r="Z615" s="1075"/>
      <c r="AA615" s="1075"/>
      <c r="AB615" s="1075"/>
      <c r="AC615" s="1075"/>
      <c r="AD615" s="1075"/>
      <c r="AE615" s="1075"/>
      <c r="AF615" s="1075"/>
      <c r="AG615" s="1075"/>
      <c r="AH615" s="1075"/>
      <c r="AI615" s="1075"/>
      <c r="AJ615" s="1075"/>
      <c r="AK615" s="1075"/>
      <c r="AL615" s="1075"/>
      <c r="AM615" s="1075"/>
      <c r="AN615" s="1075"/>
      <c r="AO615" s="1075"/>
      <c r="AP615" s="1075"/>
      <c r="AQ615" s="1075"/>
      <c r="AR615" s="1075"/>
      <c r="AS615" s="1075"/>
      <c r="AT615" s="1075"/>
      <c r="AU615" s="1075"/>
      <c r="AV615" s="1075"/>
    </row>
    <row r="616" spans="1:48" ht="11.25" hidden="1" customHeight="1">
      <c r="A616" s="1075"/>
      <c r="B616" s="1075"/>
      <c r="C616" s="1075"/>
      <c r="D616" s="1075"/>
      <c r="E616" s="1075"/>
      <c r="F616" s="1075"/>
      <c r="G616" s="1075"/>
      <c r="H616" s="1075"/>
      <c r="I616" s="1075"/>
      <c r="J616" s="1075"/>
      <c r="K616" s="1075"/>
      <c r="L616" s="1075"/>
      <c r="M616" s="1075"/>
      <c r="N616" s="1075"/>
      <c r="O616" s="1075"/>
      <c r="P616" s="1075"/>
      <c r="Q616" s="1075"/>
      <c r="R616" s="1075"/>
      <c r="S616" s="1075"/>
      <c r="T616" s="1075"/>
      <c r="U616" s="1075"/>
      <c r="V616" s="1075"/>
      <c r="W616" s="1075"/>
      <c r="X616" s="1075"/>
      <c r="Y616" s="1075"/>
      <c r="Z616" s="1075"/>
      <c r="AA616" s="1075"/>
      <c r="AB616" s="1075"/>
      <c r="AC616" s="1075"/>
      <c r="AD616" s="1075"/>
      <c r="AE616" s="1075"/>
      <c r="AF616" s="1075"/>
      <c r="AG616" s="1075"/>
      <c r="AH616" s="1075"/>
      <c r="AI616" s="1075"/>
      <c r="AJ616" s="1075"/>
      <c r="AK616" s="1075"/>
      <c r="AL616" s="1075"/>
      <c r="AM616" s="1075"/>
      <c r="AN616" s="1075"/>
      <c r="AO616" s="1075"/>
      <c r="AP616" s="1075"/>
      <c r="AQ616" s="1075"/>
      <c r="AR616" s="1075"/>
      <c r="AS616" s="1075"/>
      <c r="AT616" s="1075"/>
      <c r="AU616" s="1075"/>
      <c r="AV616" s="1075"/>
    </row>
    <row r="617" spans="1:48" ht="11.25" hidden="1" customHeight="1">
      <c r="A617" s="1075"/>
      <c r="B617" s="1075"/>
      <c r="C617" s="1075"/>
      <c r="D617" s="1075"/>
      <c r="E617" s="1075"/>
      <c r="F617" s="1075"/>
      <c r="G617" s="1075"/>
      <c r="H617" s="1075"/>
      <c r="I617" s="1075"/>
      <c r="J617" s="1075"/>
      <c r="K617" s="1075"/>
      <c r="L617" s="1075"/>
      <c r="M617" s="1075"/>
      <c r="N617" s="1075"/>
      <c r="O617" s="1075"/>
      <c r="P617" s="1075"/>
      <c r="Q617" s="1075"/>
      <c r="R617" s="1075"/>
      <c r="S617" s="1075"/>
      <c r="T617" s="1075"/>
      <c r="U617" s="1075"/>
      <c r="V617" s="1075"/>
      <c r="W617" s="1075"/>
      <c r="X617" s="1075"/>
      <c r="Y617" s="1075"/>
      <c r="Z617" s="1075"/>
      <c r="AA617" s="1075"/>
      <c r="AB617" s="1075"/>
      <c r="AC617" s="1075"/>
      <c r="AD617" s="1075"/>
      <c r="AE617" s="1075"/>
      <c r="AF617" s="1075"/>
      <c r="AG617" s="1075"/>
      <c r="AH617" s="1075"/>
      <c r="AI617" s="1075"/>
      <c r="AJ617" s="1075"/>
      <c r="AK617" s="1075"/>
      <c r="AL617" s="1075"/>
      <c r="AM617" s="1075"/>
      <c r="AN617" s="1075"/>
      <c r="AO617" s="1075"/>
      <c r="AP617" s="1075"/>
      <c r="AQ617" s="1075"/>
      <c r="AR617" s="1075"/>
      <c r="AS617" s="1075"/>
      <c r="AT617" s="1075"/>
      <c r="AU617" s="1075"/>
      <c r="AV617" s="1075"/>
    </row>
    <row r="618" spans="1:48" ht="11.25" hidden="1" customHeight="1">
      <c r="A618" s="1075"/>
      <c r="B618" s="1075"/>
      <c r="C618" s="1075"/>
      <c r="D618" s="1075"/>
      <c r="E618" s="1075"/>
      <c r="F618" s="1075"/>
      <c r="G618" s="1075"/>
      <c r="H618" s="1075"/>
      <c r="I618" s="1075"/>
      <c r="J618" s="1075"/>
      <c r="K618" s="1075"/>
      <c r="L618" s="1075"/>
      <c r="M618" s="1075"/>
      <c r="N618" s="1075"/>
      <c r="O618" s="1075"/>
      <c r="P618" s="1075"/>
      <c r="Q618" s="1075"/>
      <c r="R618" s="1075"/>
      <c r="S618" s="1075"/>
      <c r="T618" s="1075"/>
      <c r="U618" s="1075"/>
      <c r="V618" s="1075"/>
      <c r="W618" s="1075"/>
      <c r="X618" s="1075"/>
      <c r="Y618" s="1075"/>
      <c r="Z618" s="1075"/>
      <c r="AA618" s="1075"/>
      <c r="AB618" s="1075"/>
      <c r="AC618" s="1075"/>
      <c r="AD618" s="1075"/>
      <c r="AE618" s="1075"/>
      <c r="AF618" s="1075"/>
      <c r="AG618" s="1075"/>
      <c r="AH618" s="1075"/>
      <c r="AI618" s="1075"/>
      <c r="AJ618" s="1075"/>
      <c r="AK618" s="1075"/>
      <c r="AL618" s="1075"/>
      <c r="AM618" s="1075"/>
      <c r="AN618" s="1075"/>
      <c r="AO618" s="1075"/>
      <c r="AP618" s="1075"/>
      <c r="AQ618" s="1075"/>
      <c r="AR618" s="1075"/>
      <c r="AS618" s="1075"/>
      <c r="AT618" s="1075"/>
      <c r="AU618" s="1075"/>
      <c r="AV618" s="1075"/>
    </row>
    <row r="619" spans="1:48" ht="11.25" hidden="1" customHeight="1">
      <c r="A619" s="1075"/>
      <c r="B619" s="1075"/>
      <c r="C619" s="1075"/>
      <c r="D619" s="1075"/>
      <c r="E619" s="1075"/>
      <c r="F619" s="1075"/>
      <c r="G619" s="1075"/>
      <c r="H619" s="1075"/>
      <c r="I619" s="1075"/>
      <c r="J619" s="1075"/>
      <c r="K619" s="1075"/>
      <c r="L619" s="1075"/>
      <c r="M619" s="1075"/>
      <c r="N619" s="1075"/>
      <c r="O619" s="1075"/>
      <c r="P619" s="1075"/>
      <c r="Q619" s="1075"/>
      <c r="R619" s="1075"/>
      <c r="S619" s="1075"/>
      <c r="T619" s="1075"/>
      <c r="U619" s="1075"/>
      <c r="V619" s="1075"/>
      <c r="W619" s="1075"/>
      <c r="X619" s="1075"/>
      <c r="Y619" s="1075"/>
      <c r="Z619" s="1075"/>
      <c r="AA619" s="1075"/>
      <c r="AB619" s="1075"/>
      <c r="AC619" s="1075"/>
      <c r="AD619" s="1075"/>
      <c r="AE619" s="1075"/>
      <c r="AF619" s="1075"/>
      <c r="AG619" s="1075"/>
      <c r="AH619" s="1075"/>
      <c r="AI619" s="1075"/>
      <c r="AJ619" s="1075"/>
      <c r="AK619" s="1075"/>
      <c r="AL619" s="1075"/>
      <c r="AM619" s="1075"/>
      <c r="AN619" s="1075"/>
      <c r="AO619" s="1075"/>
      <c r="AP619" s="1075"/>
      <c r="AQ619" s="1075"/>
      <c r="AR619" s="1075"/>
      <c r="AS619" s="1075"/>
      <c r="AT619" s="1075"/>
      <c r="AU619" s="1075"/>
      <c r="AV619" s="1075"/>
    </row>
    <row r="620" spans="1:48" ht="11.25" hidden="1" customHeight="1">
      <c r="A620" s="1075"/>
      <c r="B620" s="1075"/>
      <c r="C620" s="1075"/>
      <c r="D620" s="1075"/>
      <c r="E620" s="1075"/>
      <c r="F620" s="1075"/>
      <c r="G620" s="1075"/>
      <c r="H620" s="1075"/>
      <c r="I620" s="1075"/>
      <c r="J620" s="1075"/>
      <c r="K620" s="1075"/>
      <c r="L620" s="1075"/>
      <c r="M620" s="1075"/>
      <c r="N620" s="1075"/>
      <c r="O620" s="1075"/>
      <c r="P620" s="1075"/>
      <c r="Q620" s="1075"/>
      <c r="R620" s="1075"/>
      <c r="S620" s="1075"/>
      <c r="T620" s="1075"/>
      <c r="U620" s="1075"/>
      <c r="V620" s="1075"/>
      <c r="W620" s="1075"/>
      <c r="X620" s="1075"/>
      <c r="Y620" s="1075"/>
      <c r="Z620" s="1075"/>
      <c r="AA620" s="1075"/>
      <c r="AB620" s="1075"/>
      <c r="AC620" s="1075"/>
      <c r="AD620" s="1075"/>
      <c r="AE620" s="1075"/>
      <c r="AF620" s="1075"/>
      <c r="AG620" s="1075"/>
      <c r="AH620" s="1075"/>
      <c r="AI620" s="1075"/>
      <c r="AJ620" s="1075"/>
      <c r="AK620" s="1075"/>
      <c r="AL620" s="1075"/>
      <c r="AM620" s="1075"/>
      <c r="AN620" s="1075"/>
      <c r="AO620" s="1075"/>
      <c r="AP620" s="1075"/>
      <c r="AQ620" s="1075"/>
      <c r="AR620" s="1075"/>
      <c r="AS620" s="1075"/>
      <c r="AT620" s="1075"/>
      <c r="AU620" s="1075"/>
      <c r="AV620" s="1075"/>
    </row>
    <row r="621" spans="1:48" ht="11.25" hidden="1" customHeight="1">
      <c r="A621" s="1075"/>
      <c r="B621" s="1075"/>
      <c r="C621" s="1075"/>
      <c r="D621" s="1075"/>
      <c r="E621" s="1075"/>
      <c r="F621" s="1075"/>
      <c r="G621" s="1075"/>
      <c r="H621" s="1075"/>
      <c r="I621" s="1075"/>
      <c r="J621" s="1075"/>
      <c r="K621" s="1075"/>
      <c r="L621" s="1075"/>
      <c r="M621" s="1075"/>
      <c r="N621" s="1075"/>
      <c r="O621" s="1075"/>
      <c r="P621" s="1075"/>
      <c r="Q621" s="1075"/>
      <c r="R621" s="1075"/>
      <c r="S621" s="1075"/>
      <c r="T621" s="1075"/>
      <c r="U621" s="1075"/>
      <c r="V621" s="1075"/>
      <c r="W621" s="1075"/>
      <c r="X621" s="1075"/>
      <c r="Y621" s="1075"/>
      <c r="Z621" s="1075"/>
      <c r="AA621" s="1075"/>
      <c r="AB621" s="1075"/>
      <c r="AC621" s="1075"/>
      <c r="AD621" s="1075"/>
      <c r="AE621" s="1075"/>
      <c r="AF621" s="1075"/>
      <c r="AG621" s="1075"/>
      <c r="AH621" s="1075"/>
      <c r="AI621" s="1075"/>
      <c r="AJ621" s="1075"/>
      <c r="AK621" s="1075"/>
      <c r="AL621" s="1075"/>
      <c r="AM621" s="1075"/>
      <c r="AN621" s="1075"/>
      <c r="AO621" s="1075"/>
      <c r="AP621" s="1075"/>
      <c r="AQ621" s="1075"/>
      <c r="AR621" s="1075"/>
      <c r="AS621" s="1075"/>
      <c r="AT621" s="1075"/>
      <c r="AU621" s="1075"/>
      <c r="AV621" s="1075"/>
    </row>
    <row r="622" spans="1:48" ht="11.25" hidden="1" customHeight="1">
      <c r="A622" s="1075"/>
      <c r="B622" s="1075"/>
      <c r="C622" s="1075"/>
      <c r="D622" s="1075"/>
      <c r="E622" s="1075"/>
      <c r="F622" s="1075"/>
      <c r="G622" s="1075"/>
      <c r="H622" s="1075"/>
      <c r="I622" s="1075"/>
      <c r="J622" s="1075"/>
      <c r="K622" s="1075"/>
      <c r="L622" s="1075"/>
      <c r="M622" s="1075"/>
      <c r="N622" s="1075"/>
      <c r="O622" s="1075"/>
      <c r="P622" s="1075"/>
      <c r="Q622" s="1075"/>
      <c r="R622" s="1075"/>
      <c r="S622" s="1075"/>
      <c r="T622" s="1075"/>
      <c r="U622" s="1075"/>
      <c r="V622" s="1075"/>
      <c r="W622" s="1075"/>
      <c r="X622" s="1075"/>
      <c r="Y622" s="1075"/>
      <c r="Z622" s="1075"/>
      <c r="AA622" s="1075"/>
      <c r="AB622" s="1075"/>
      <c r="AC622" s="1075"/>
      <c r="AD622" s="1075"/>
      <c r="AE622" s="1075"/>
      <c r="AF622" s="1075"/>
      <c r="AG622" s="1075"/>
      <c r="AH622" s="1075"/>
      <c r="AI622" s="1075"/>
      <c r="AJ622" s="1075"/>
      <c r="AK622" s="1075"/>
      <c r="AL622" s="1075"/>
      <c r="AM622" s="1075"/>
      <c r="AN622" s="1075"/>
      <c r="AO622" s="1075"/>
      <c r="AP622" s="1075"/>
      <c r="AQ622" s="1075"/>
      <c r="AR622" s="1075"/>
      <c r="AS622" s="1075"/>
      <c r="AT622" s="1075"/>
      <c r="AU622" s="1075"/>
      <c r="AV622" s="1075"/>
    </row>
    <row r="623" spans="1:48" ht="11.25" hidden="1" customHeight="1">
      <c r="A623" s="1075"/>
      <c r="B623" s="1075"/>
      <c r="C623" s="1075"/>
      <c r="D623" s="1075"/>
      <c r="E623" s="1075"/>
      <c r="F623" s="1075"/>
      <c r="G623" s="1075"/>
      <c r="H623" s="1075"/>
      <c r="I623" s="1075"/>
      <c r="J623" s="1075"/>
      <c r="K623" s="1075"/>
      <c r="L623" s="1075"/>
      <c r="M623" s="1075"/>
      <c r="N623" s="1075"/>
      <c r="O623" s="1075"/>
      <c r="P623" s="1075"/>
      <c r="Q623" s="1075"/>
      <c r="R623" s="1075"/>
      <c r="S623" s="1075"/>
      <c r="T623" s="1075"/>
      <c r="U623" s="1075"/>
      <c r="V623" s="1075"/>
      <c r="W623" s="1075"/>
      <c r="X623" s="1075"/>
      <c r="Y623" s="1075"/>
      <c r="Z623" s="1075"/>
      <c r="AA623" s="1075"/>
      <c r="AB623" s="1075"/>
      <c r="AC623" s="1075"/>
      <c r="AD623" s="1075"/>
      <c r="AE623" s="1075"/>
      <c r="AF623" s="1075"/>
      <c r="AG623" s="1075"/>
      <c r="AH623" s="1075"/>
      <c r="AI623" s="1075"/>
      <c r="AJ623" s="1075"/>
      <c r="AK623" s="1075"/>
      <c r="AL623" s="1075"/>
      <c r="AM623" s="1075"/>
      <c r="AN623" s="1075"/>
      <c r="AO623" s="1075"/>
      <c r="AP623" s="1075"/>
      <c r="AQ623" s="1075"/>
      <c r="AR623" s="1075"/>
      <c r="AS623" s="1075"/>
      <c r="AT623" s="1075"/>
      <c r="AU623" s="1075"/>
      <c r="AV623" s="1075"/>
    </row>
    <row r="624" spans="1:48" ht="11.25" hidden="1" customHeight="1">
      <c r="A624" s="1075"/>
      <c r="B624" s="1075"/>
      <c r="C624" s="1075"/>
      <c r="D624" s="1075"/>
      <c r="E624" s="1075"/>
      <c r="F624" s="1075"/>
      <c r="G624" s="1075"/>
      <c r="H624" s="1075"/>
      <c r="I624" s="1075"/>
      <c r="J624" s="1075"/>
      <c r="K624" s="1075"/>
      <c r="L624" s="1075"/>
      <c r="M624" s="1075"/>
      <c r="N624" s="1075"/>
      <c r="O624" s="1075"/>
      <c r="P624" s="1075"/>
      <c r="Q624" s="1075"/>
      <c r="R624" s="1075"/>
      <c r="S624" s="1075"/>
      <c r="T624" s="1075"/>
      <c r="U624" s="1075"/>
      <c r="V624" s="1075"/>
      <c r="W624" s="1075"/>
      <c r="X624" s="1075"/>
      <c r="Y624" s="1075"/>
      <c r="Z624" s="1075"/>
      <c r="AA624" s="1075"/>
      <c r="AB624" s="1075"/>
      <c r="AC624" s="1075"/>
      <c r="AD624" s="1075"/>
      <c r="AE624" s="1075"/>
      <c r="AF624" s="1075"/>
      <c r="AG624" s="1075"/>
      <c r="AH624" s="1075"/>
      <c r="AI624" s="1075"/>
      <c r="AJ624" s="1075"/>
      <c r="AK624" s="1075"/>
      <c r="AL624" s="1075"/>
      <c r="AM624" s="1075"/>
      <c r="AN624" s="1075"/>
      <c r="AO624" s="1075"/>
      <c r="AP624" s="1075"/>
      <c r="AQ624" s="1075"/>
      <c r="AR624" s="1075"/>
      <c r="AS624" s="1075"/>
      <c r="AT624" s="1075"/>
      <c r="AU624" s="1075"/>
      <c r="AV624" s="1075"/>
    </row>
    <row r="625" spans="1:48" ht="11.25" hidden="1" customHeight="1">
      <c r="A625" s="1075"/>
      <c r="B625" s="1075"/>
      <c r="C625" s="1075"/>
      <c r="D625" s="1075"/>
      <c r="E625" s="1075"/>
      <c r="F625" s="1075"/>
      <c r="G625" s="1075"/>
      <c r="H625" s="1075"/>
      <c r="I625" s="1075"/>
      <c r="J625" s="1075"/>
      <c r="K625" s="1075"/>
      <c r="L625" s="1075"/>
      <c r="M625" s="1075"/>
      <c r="N625" s="1075"/>
      <c r="O625" s="1075"/>
      <c r="P625" s="1075"/>
      <c r="Q625" s="1075"/>
      <c r="R625" s="1075"/>
      <c r="S625" s="1075"/>
      <c r="T625" s="1075"/>
      <c r="U625" s="1075"/>
      <c r="V625" s="1075"/>
      <c r="W625" s="1075"/>
      <c r="X625" s="1075"/>
      <c r="Y625" s="1075"/>
      <c r="Z625" s="1075"/>
      <c r="AA625" s="1075"/>
      <c r="AB625" s="1075"/>
      <c r="AC625" s="1075"/>
      <c r="AD625" s="1075"/>
      <c r="AE625" s="1075"/>
      <c r="AF625" s="1075"/>
      <c r="AG625" s="1075"/>
      <c r="AH625" s="1075"/>
      <c r="AI625" s="1075"/>
      <c r="AJ625" s="1075"/>
      <c r="AK625" s="1075"/>
      <c r="AL625" s="1075"/>
      <c r="AM625" s="1075"/>
      <c r="AN625" s="1075"/>
      <c r="AO625" s="1075"/>
      <c r="AP625" s="1075"/>
      <c r="AQ625" s="1075"/>
      <c r="AR625" s="1075"/>
      <c r="AS625" s="1075"/>
      <c r="AT625" s="1075"/>
      <c r="AU625" s="1075"/>
      <c r="AV625" s="1075"/>
    </row>
    <row r="626" spans="1:48" ht="11.25" hidden="1" customHeight="1">
      <c r="A626" s="1075"/>
      <c r="B626" s="1075"/>
      <c r="C626" s="1075"/>
      <c r="D626" s="1075"/>
      <c r="E626" s="1075"/>
      <c r="F626" s="1075"/>
      <c r="G626" s="1075"/>
      <c r="H626" s="1075"/>
      <c r="I626" s="1075"/>
      <c r="J626" s="1075"/>
      <c r="K626" s="1075"/>
      <c r="L626" s="1075"/>
      <c r="M626" s="1075"/>
      <c r="N626" s="1075"/>
      <c r="O626" s="1075"/>
      <c r="P626" s="1075"/>
      <c r="Q626" s="1075"/>
      <c r="R626" s="1075"/>
      <c r="S626" s="1075"/>
      <c r="T626" s="1075"/>
      <c r="U626" s="1075"/>
      <c r="V626" s="1075"/>
      <c r="W626" s="1075"/>
      <c r="X626" s="1075"/>
      <c r="Y626" s="1075"/>
      <c r="Z626" s="1075"/>
      <c r="AA626" s="1075"/>
      <c r="AB626" s="1075"/>
      <c r="AC626" s="1075"/>
      <c r="AD626" s="1075"/>
      <c r="AE626" s="1075"/>
      <c r="AF626" s="1075"/>
      <c r="AG626" s="1075"/>
      <c r="AH626" s="1075"/>
      <c r="AI626" s="1075"/>
      <c r="AJ626" s="1075"/>
      <c r="AK626" s="1075"/>
      <c r="AL626" s="1075"/>
      <c r="AM626" s="1075"/>
      <c r="AN626" s="1075"/>
      <c r="AO626" s="1075"/>
      <c r="AP626" s="1075"/>
      <c r="AQ626" s="1075"/>
      <c r="AR626" s="1075"/>
      <c r="AS626" s="1075"/>
      <c r="AT626" s="1075"/>
      <c r="AU626" s="1075"/>
      <c r="AV626" s="1075"/>
    </row>
    <row r="627" spans="1:48" ht="11.25" hidden="1" customHeight="1">
      <c r="A627" s="1075"/>
      <c r="B627" s="1075"/>
      <c r="C627" s="1075"/>
      <c r="D627" s="1075"/>
      <c r="E627" s="1075"/>
      <c r="F627" s="1075"/>
      <c r="G627" s="1075"/>
      <c r="H627" s="1075"/>
      <c r="I627" s="1075"/>
      <c r="J627" s="1075"/>
      <c r="K627" s="1075"/>
      <c r="L627" s="1075"/>
      <c r="M627" s="1075"/>
      <c r="N627" s="1075"/>
      <c r="O627" s="1075"/>
      <c r="P627" s="1075"/>
      <c r="Q627" s="1075"/>
      <c r="R627" s="1075"/>
      <c r="S627" s="1075"/>
      <c r="T627" s="1075"/>
      <c r="U627" s="1075"/>
      <c r="V627" s="1075"/>
      <c r="W627" s="1075"/>
      <c r="X627" s="1075"/>
      <c r="Y627" s="1075"/>
      <c r="Z627" s="1075"/>
      <c r="AA627" s="1075"/>
      <c r="AB627" s="1075"/>
      <c r="AC627" s="1075"/>
      <c r="AD627" s="1075"/>
      <c r="AE627" s="1075"/>
      <c r="AF627" s="1075"/>
      <c r="AG627" s="1075"/>
      <c r="AH627" s="1075"/>
      <c r="AI627" s="1075"/>
      <c r="AJ627" s="1075"/>
      <c r="AK627" s="1075"/>
      <c r="AL627" s="1075"/>
      <c r="AM627" s="1075"/>
      <c r="AN627" s="1075"/>
      <c r="AO627" s="1075"/>
      <c r="AP627" s="1075"/>
      <c r="AQ627" s="1075"/>
      <c r="AR627" s="1075"/>
      <c r="AS627" s="1075"/>
      <c r="AT627" s="1075"/>
      <c r="AU627" s="1075"/>
      <c r="AV627" s="1075"/>
    </row>
    <row r="628" spans="1:48" ht="11.25" hidden="1" customHeight="1">
      <c r="A628" s="1075"/>
      <c r="B628" s="1075"/>
      <c r="C628" s="1075"/>
      <c r="D628" s="1075"/>
      <c r="E628" s="1075"/>
      <c r="F628" s="1075"/>
      <c r="G628" s="1075"/>
      <c r="H628" s="1075"/>
      <c r="I628" s="1075"/>
      <c r="J628" s="1075"/>
      <c r="K628" s="1075"/>
      <c r="L628" s="1075"/>
      <c r="M628" s="1075"/>
      <c r="N628" s="1075"/>
      <c r="O628" s="1075"/>
      <c r="P628" s="1075"/>
      <c r="Q628" s="1075"/>
      <c r="R628" s="1075"/>
      <c r="S628" s="1075"/>
      <c r="T628" s="1075"/>
      <c r="U628" s="1075"/>
      <c r="V628" s="1075"/>
      <c r="W628" s="1075"/>
      <c r="X628" s="1075"/>
      <c r="Y628" s="1075"/>
      <c r="Z628" s="1075"/>
      <c r="AA628" s="1075"/>
      <c r="AB628" s="1075"/>
      <c r="AC628" s="1075"/>
      <c r="AD628" s="1075"/>
      <c r="AE628" s="1075"/>
      <c r="AF628" s="1075"/>
      <c r="AG628" s="1075"/>
      <c r="AH628" s="1075"/>
      <c r="AI628" s="1075"/>
      <c r="AJ628" s="1075"/>
      <c r="AK628" s="1075"/>
      <c r="AL628" s="1075"/>
      <c r="AM628" s="1075"/>
      <c r="AN628" s="1075"/>
      <c r="AO628" s="1075"/>
      <c r="AP628" s="1075"/>
      <c r="AQ628" s="1075"/>
      <c r="AR628" s="1075"/>
      <c r="AS628" s="1075"/>
      <c r="AT628" s="1075"/>
      <c r="AU628" s="1075"/>
      <c r="AV628" s="1075"/>
    </row>
    <row r="629" spans="1:48" ht="11.25" hidden="1" customHeight="1">
      <c r="A629" s="1075"/>
      <c r="B629" s="1075"/>
      <c r="C629" s="1075"/>
      <c r="D629" s="1075"/>
      <c r="E629" s="1075"/>
      <c r="F629" s="1075"/>
      <c r="G629" s="1075"/>
      <c r="H629" s="1075"/>
      <c r="I629" s="1075"/>
      <c r="J629" s="1075"/>
      <c r="K629" s="1075"/>
      <c r="L629" s="1075"/>
      <c r="M629" s="1075"/>
      <c r="N629" s="1075"/>
      <c r="O629" s="1075"/>
      <c r="P629" s="1075"/>
      <c r="Q629" s="1075"/>
      <c r="R629" s="1075"/>
      <c r="S629" s="1075"/>
      <c r="T629" s="1075"/>
      <c r="U629" s="1075"/>
      <c r="V629" s="1075"/>
      <c r="W629" s="1075"/>
      <c r="X629" s="1075"/>
      <c r="Y629" s="1075"/>
      <c r="Z629" s="1075"/>
      <c r="AA629" s="1075"/>
      <c r="AB629" s="1075"/>
      <c r="AC629" s="1075"/>
      <c r="AD629" s="1075"/>
      <c r="AE629" s="1075"/>
      <c r="AF629" s="1075"/>
      <c r="AG629" s="1075"/>
      <c r="AH629" s="1075"/>
      <c r="AI629" s="1075"/>
      <c r="AJ629" s="1075"/>
      <c r="AK629" s="1075"/>
      <c r="AL629" s="1075"/>
      <c r="AM629" s="1075"/>
      <c r="AN629" s="1075"/>
      <c r="AO629" s="1075"/>
      <c r="AP629" s="1075"/>
      <c r="AQ629" s="1075"/>
      <c r="AR629" s="1075"/>
      <c r="AS629" s="1075"/>
      <c r="AT629" s="1075"/>
      <c r="AU629" s="1075"/>
      <c r="AV629" s="1075"/>
    </row>
    <row r="630" spans="1:48" ht="11.25" hidden="1" customHeight="1">
      <c r="A630" s="1075"/>
      <c r="B630" s="1075"/>
      <c r="C630" s="1075"/>
      <c r="D630" s="1075"/>
      <c r="E630" s="1075"/>
      <c r="F630" s="1075"/>
      <c r="G630" s="1075"/>
      <c r="H630" s="1075"/>
      <c r="I630" s="1075"/>
      <c r="J630" s="1075"/>
      <c r="K630" s="1075"/>
      <c r="L630" s="1075"/>
      <c r="M630" s="1075"/>
      <c r="N630" s="1075"/>
      <c r="O630" s="1075"/>
      <c r="P630" s="1075"/>
      <c r="Q630" s="1075"/>
      <c r="R630" s="1075"/>
      <c r="S630" s="1075"/>
      <c r="T630" s="1075"/>
      <c r="U630" s="1075"/>
      <c r="V630" s="1075"/>
      <c r="W630" s="1075"/>
      <c r="X630" s="1075"/>
      <c r="Y630" s="1075"/>
      <c r="Z630" s="1075"/>
      <c r="AA630" s="1075"/>
      <c r="AB630" s="1075"/>
      <c r="AC630" s="1075"/>
      <c r="AD630" s="1075"/>
      <c r="AE630" s="1075"/>
      <c r="AF630" s="1075"/>
      <c r="AG630" s="1075"/>
      <c r="AH630" s="1075"/>
      <c r="AI630" s="1075"/>
      <c r="AJ630" s="1075"/>
      <c r="AK630" s="1075"/>
      <c r="AL630" s="1075"/>
      <c r="AM630" s="1075"/>
      <c r="AN630" s="1075"/>
      <c r="AO630" s="1075"/>
      <c r="AP630" s="1075"/>
      <c r="AQ630" s="1075"/>
      <c r="AR630" s="1075"/>
      <c r="AS630" s="1075"/>
      <c r="AT630" s="1075"/>
      <c r="AU630" s="1075"/>
      <c r="AV630" s="1075"/>
    </row>
    <row r="631" spans="1:48" ht="11.25" hidden="1" customHeight="1">
      <c r="A631" s="1075"/>
      <c r="B631" s="1075"/>
      <c r="C631" s="1075"/>
      <c r="D631" s="1075"/>
      <c r="E631" s="1075"/>
      <c r="F631" s="1075"/>
      <c r="G631" s="1075"/>
      <c r="H631" s="1075"/>
      <c r="I631" s="1075"/>
      <c r="J631" s="1075"/>
      <c r="K631" s="1075"/>
      <c r="L631" s="1075"/>
      <c r="M631" s="1075"/>
      <c r="N631" s="1075"/>
      <c r="O631" s="1075"/>
      <c r="P631" s="1075"/>
      <c r="Q631" s="1075"/>
      <c r="R631" s="1075"/>
      <c r="S631" s="1075"/>
      <c r="T631" s="1075"/>
      <c r="U631" s="1075"/>
      <c r="V631" s="1075"/>
      <c r="W631" s="1075"/>
      <c r="X631" s="1075"/>
      <c r="Y631" s="1075"/>
      <c r="Z631" s="1075"/>
      <c r="AA631" s="1075"/>
      <c r="AB631" s="1075"/>
      <c r="AC631" s="1075"/>
      <c r="AD631" s="1075"/>
      <c r="AE631" s="1075"/>
      <c r="AF631" s="1075"/>
      <c r="AG631" s="1075"/>
      <c r="AH631" s="1075"/>
      <c r="AI631" s="1075"/>
      <c r="AJ631" s="1075"/>
      <c r="AK631" s="1075"/>
      <c r="AL631" s="1075"/>
      <c r="AM631" s="1075"/>
      <c r="AN631" s="1075"/>
      <c r="AO631" s="1075"/>
      <c r="AP631" s="1075"/>
      <c r="AQ631" s="1075"/>
      <c r="AR631" s="1075"/>
      <c r="AS631" s="1075"/>
      <c r="AT631" s="1075"/>
      <c r="AU631" s="1075"/>
      <c r="AV631" s="1075"/>
    </row>
    <row r="632" spans="1:48" ht="11.25" hidden="1" customHeight="1">
      <c r="A632" s="1075"/>
      <c r="B632" s="1075"/>
      <c r="C632" s="1075"/>
      <c r="D632" s="1075"/>
      <c r="E632" s="1075"/>
      <c r="F632" s="1075"/>
      <c r="G632" s="1075"/>
      <c r="H632" s="1075"/>
      <c r="I632" s="1075"/>
      <c r="J632" s="1075"/>
      <c r="K632" s="1075"/>
      <c r="L632" s="1075"/>
      <c r="M632" s="1075"/>
      <c r="N632" s="1075"/>
      <c r="O632" s="1075"/>
      <c r="P632" s="1075"/>
      <c r="Q632" s="1075"/>
      <c r="R632" s="1075"/>
      <c r="S632" s="1075"/>
      <c r="T632" s="1075"/>
      <c r="U632" s="1075"/>
      <c r="V632" s="1075"/>
      <c r="W632" s="1075"/>
      <c r="X632" s="1075"/>
      <c r="Y632" s="1075"/>
      <c r="Z632" s="1075"/>
      <c r="AA632" s="1075"/>
      <c r="AB632" s="1075"/>
      <c r="AC632" s="1075"/>
      <c r="AD632" s="1075"/>
      <c r="AE632" s="1075"/>
      <c r="AF632" s="1075"/>
      <c r="AG632" s="1075"/>
      <c r="AH632" s="1075"/>
      <c r="AI632" s="1075"/>
      <c r="AJ632" s="1075"/>
      <c r="AK632" s="1075"/>
      <c r="AL632" s="1075"/>
      <c r="AM632" s="1075"/>
      <c r="AN632" s="1075"/>
      <c r="AO632" s="1075"/>
      <c r="AP632" s="1075"/>
      <c r="AQ632" s="1075"/>
      <c r="AR632" s="1075"/>
      <c r="AS632" s="1075"/>
      <c r="AT632" s="1075"/>
      <c r="AU632" s="1075"/>
      <c r="AV632" s="1075"/>
    </row>
    <row r="633" spans="1:48" ht="11.25" hidden="1" customHeight="1">
      <c r="A633" s="1075"/>
      <c r="B633" s="1075"/>
      <c r="C633" s="1075"/>
      <c r="D633" s="1075"/>
      <c r="E633" s="1075"/>
      <c r="F633" s="1075"/>
      <c r="G633" s="1075"/>
      <c r="H633" s="1075"/>
      <c r="I633" s="1075"/>
      <c r="J633" s="1075"/>
      <c r="K633" s="1075"/>
      <c r="L633" s="1075"/>
      <c r="M633" s="1075"/>
      <c r="N633" s="1075"/>
      <c r="O633" s="1075"/>
      <c r="P633" s="1075"/>
      <c r="Q633" s="1075"/>
      <c r="R633" s="1075"/>
      <c r="S633" s="1075"/>
      <c r="T633" s="1075"/>
      <c r="U633" s="1075"/>
      <c r="V633" s="1075"/>
      <c r="W633" s="1075"/>
      <c r="X633" s="1075"/>
      <c r="Y633" s="1075"/>
      <c r="Z633" s="1075"/>
      <c r="AA633" s="1075"/>
      <c r="AB633" s="1075"/>
      <c r="AC633" s="1075"/>
      <c r="AD633" s="1075"/>
      <c r="AE633" s="1075"/>
      <c r="AF633" s="1075"/>
      <c r="AG633" s="1075"/>
      <c r="AH633" s="1075"/>
      <c r="AI633" s="1075"/>
      <c r="AJ633" s="1075"/>
      <c r="AK633" s="1075"/>
      <c r="AL633" s="1075"/>
      <c r="AM633" s="1075"/>
      <c r="AN633" s="1075"/>
      <c r="AO633" s="1075"/>
      <c r="AP633" s="1075"/>
      <c r="AQ633" s="1075"/>
      <c r="AR633" s="1075"/>
      <c r="AS633" s="1075"/>
      <c r="AT633" s="1075"/>
      <c r="AU633" s="1075"/>
      <c r="AV633" s="1075"/>
    </row>
    <row r="634" spans="1:48" ht="11.25" hidden="1" customHeight="1">
      <c r="A634" s="1075"/>
      <c r="B634" s="1075"/>
      <c r="C634" s="1075"/>
      <c r="D634" s="1075"/>
      <c r="E634" s="1075"/>
      <c r="F634" s="1075"/>
      <c r="G634" s="1075"/>
      <c r="H634" s="1075"/>
      <c r="I634" s="1075"/>
      <c r="J634" s="1075"/>
      <c r="K634" s="1075"/>
      <c r="L634" s="1075"/>
      <c r="M634" s="1075"/>
      <c r="N634" s="1075"/>
      <c r="O634" s="1075"/>
      <c r="P634" s="1075"/>
      <c r="Q634" s="1075"/>
      <c r="R634" s="1075"/>
      <c r="S634" s="1075"/>
      <c r="T634" s="1075"/>
      <c r="U634" s="1075"/>
      <c r="V634" s="1075"/>
      <c r="W634" s="1075"/>
      <c r="X634" s="1075"/>
      <c r="Y634" s="1075"/>
      <c r="Z634" s="1075"/>
      <c r="AA634" s="1075"/>
      <c r="AB634" s="1075"/>
      <c r="AC634" s="1075"/>
      <c r="AD634" s="1075"/>
      <c r="AE634" s="1075"/>
      <c r="AF634" s="1075"/>
      <c r="AG634" s="1075"/>
      <c r="AH634" s="1075"/>
      <c r="AI634" s="1075"/>
      <c r="AJ634" s="1075"/>
      <c r="AK634" s="1075"/>
      <c r="AL634" s="1075"/>
      <c r="AM634" s="1075"/>
      <c r="AN634" s="1075"/>
      <c r="AO634" s="1075"/>
      <c r="AP634" s="1075"/>
      <c r="AQ634" s="1075"/>
      <c r="AR634" s="1075"/>
      <c r="AS634" s="1075"/>
      <c r="AT634" s="1075"/>
      <c r="AU634" s="1075"/>
      <c r="AV634" s="1075"/>
    </row>
    <row r="635" spans="1:48" ht="11.25" hidden="1" customHeight="1">
      <c r="A635" s="1075"/>
      <c r="B635" s="1075"/>
      <c r="C635" s="1075"/>
      <c r="D635" s="1075"/>
      <c r="E635" s="1075"/>
      <c r="F635" s="1075"/>
      <c r="G635" s="1075"/>
      <c r="H635" s="1075"/>
      <c r="I635" s="1075"/>
      <c r="J635" s="1075"/>
      <c r="K635" s="1075"/>
      <c r="L635" s="1075"/>
      <c r="M635" s="1075"/>
      <c r="N635" s="1075"/>
      <c r="O635" s="1075"/>
      <c r="P635" s="1075"/>
      <c r="Q635" s="1075"/>
      <c r="R635" s="1075"/>
      <c r="S635" s="1075"/>
      <c r="T635" s="1075"/>
      <c r="U635" s="1075"/>
      <c r="V635" s="1075"/>
      <c r="W635" s="1075"/>
      <c r="X635" s="1075"/>
      <c r="Y635" s="1075"/>
      <c r="Z635" s="1075"/>
      <c r="AA635" s="1075"/>
      <c r="AB635" s="1075"/>
      <c r="AC635" s="1075"/>
      <c r="AD635" s="1075"/>
      <c r="AE635" s="1075"/>
      <c r="AF635" s="1075"/>
      <c r="AG635" s="1075"/>
      <c r="AH635" s="1075"/>
      <c r="AI635" s="1075"/>
      <c r="AJ635" s="1075"/>
      <c r="AK635" s="1075"/>
      <c r="AL635" s="1075"/>
      <c r="AM635" s="1075"/>
      <c r="AN635" s="1075"/>
      <c r="AO635" s="1075"/>
      <c r="AP635" s="1075"/>
      <c r="AQ635" s="1075"/>
      <c r="AR635" s="1075"/>
      <c r="AS635" s="1075"/>
      <c r="AT635" s="1075"/>
      <c r="AU635" s="1075"/>
      <c r="AV635" s="1075"/>
    </row>
    <row r="636" spans="1:48" ht="11.25" hidden="1" customHeight="1">
      <c r="A636" s="1075"/>
      <c r="B636" s="1075"/>
      <c r="C636" s="1075"/>
      <c r="D636" s="1075"/>
      <c r="E636" s="1075"/>
      <c r="F636" s="1075"/>
      <c r="G636" s="1075"/>
      <c r="H636" s="1075"/>
      <c r="I636" s="1075"/>
      <c r="J636" s="1075"/>
      <c r="K636" s="1075"/>
      <c r="L636" s="1075"/>
      <c r="M636" s="1075"/>
      <c r="N636" s="1075"/>
      <c r="O636" s="1075"/>
      <c r="P636" s="1075"/>
      <c r="Q636" s="1075"/>
      <c r="R636" s="1075"/>
      <c r="S636" s="1075"/>
      <c r="T636" s="1075"/>
      <c r="U636" s="1075"/>
      <c r="V636" s="1075"/>
      <c r="W636" s="1075"/>
      <c r="X636" s="1075"/>
      <c r="Y636" s="1075"/>
      <c r="Z636" s="1075"/>
      <c r="AA636" s="1075"/>
      <c r="AB636" s="1075"/>
      <c r="AC636" s="1075"/>
      <c r="AD636" s="1075"/>
      <c r="AE636" s="1075"/>
      <c r="AF636" s="1075"/>
      <c r="AG636" s="1075"/>
      <c r="AH636" s="1075"/>
      <c r="AI636" s="1075"/>
      <c r="AJ636" s="1075"/>
      <c r="AK636" s="1075"/>
      <c r="AL636" s="1075"/>
      <c r="AM636" s="1075"/>
      <c r="AN636" s="1075"/>
      <c r="AO636" s="1075"/>
      <c r="AP636" s="1075"/>
      <c r="AQ636" s="1075"/>
      <c r="AR636" s="1075"/>
      <c r="AS636" s="1075"/>
      <c r="AT636" s="1075"/>
      <c r="AU636" s="1075"/>
      <c r="AV636" s="1075"/>
    </row>
    <row r="637" spans="1:48" ht="11.25" hidden="1" customHeight="1">
      <c r="A637" s="1075"/>
      <c r="B637" s="1075"/>
      <c r="C637" s="1075"/>
      <c r="D637" s="1075"/>
      <c r="E637" s="1075"/>
      <c r="F637" s="1075"/>
      <c r="G637" s="1075"/>
      <c r="H637" s="1075"/>
      <c r="I637" s="1075"/>
      <c r="J637" s="1075"/>
      <c r="K637" s="1075"/>
      <c r="L637" s="1075"/>
      <c r="M637" s="1075"/>
      <c r="N637" s="1075"/>
      <c r="O637" s="1075"/>
      <c r="P637" s="1075"/>
      <c r="Q637" s="1075"/>
      <c r="R637" s="1075"/>
      <c r="S637" s="1075"/>
      <c r="T637" s="1075"/>
      <c r="U637" s="1075"/>
      <c r="V637" s="1075"/>
      <c r="W637" s="1075"/>
      <c r="X637" s="1075"/>
      <c r="Y637" s="1075"/>
      <c r="Z637" s="1075"/>
      <c r="AA637" s="1075"/>
      <c r="AB637" s="1075"/>
      <c r="AC637" s="1075"/>
      <c r="AD637" s="1075"/>
      <c r="AE637" s="1075"/>
      <c r="AF637" s="1075"/>
      <c r="AG637" s="1075"/>
      <c r="AH637" s="1075"/>
      <c r="AI637" s="1075"/>
      <c r="AJ637" s="1075"/>
      <c r="AK637" s="1075"/>
      <c r="AL637" s="1075"/>
      <c r="AM637" s="1075"/>
      <c r="AN637" s="1075"/>
      <c r="AO637" s="1075"/>
      <c r="AP637" s="1075"/>
      <c r="AQ637" s="1075"/>
      <c r="AR637" s="1075"/>
      <c r="AS637" s="1075"/>
      <c r="AT637" s="1075"/>
      <c r="AU637" s="1075"/>
      <c r="AV637" s="1075"/>
    </row>
    <row r="638" spans="1:48" ht="11.25" hidden="1" customHeight="1">
      <c r="A638" s="1075"/>
      <c r="B638" s="1075"/>
      <c r="C638" s="1075"/>
      <c r="D638" s="1075"/>
      <c r="E638" s="1075"/>
      <c r="F638" s="1075"/>
      <c r="G638" s="1075"/>
      <c r="H638" s="1075"/>
      <c r="I638" s="1075"/>
      <c r="J638" s="1075"/>
      <c r="K638" s="1075"/>
      <c r="L638" s="1075"/>
      <c r="M638" s="1075"/>
      <c r="N638" s="1075"/>
      <c r="O638" s="1075"/>
      <c r="P638" s="1075"/>
      <c r="Q638" s="1075"/>
      <c r="R638" s="1075"/>
      <c r="S638" s="1075"/>
      <c r="T638" s="1075"/>
      <c r="U638" s="1075"/>
      <c r="V638" s="1075"/>
      <c r="W638" s="1075"/>
      <c r="X638" s="1075"/>
      <c r="Y638" s="1075"/>
      <c r="Z638" s="1075"/>
      <c r="AA638" s="1075"/>
      <c r="AB638" s="1075"/>
      <c r="AC638" s="1075"/>
      <c r="AD638" s="1075"/>
      <c r="AE638" s="1075"/>
      <c r="AF638" s="1075"/>
      <c r="AG638" s="1075"/>
      <c r="AH638" s="1075"/>
      <c r="AI638" s="1075"/>
      <c r="AJ638" s="1075"/>
      <c r="AK638" s="1075"/>
      <c r="AL638" s="1075"/>
      <c r="AM638" s="1075"/>
      <c r="AN638" s="1075"/>
      <c r="AO638" s="1075"/>
      <c r="AP638" s="1075"/>
      <c r="AQ638" s="1075"/>
      <c r="AR638" s="1075"/>
      <c r="AS638" s="1075"/>
      <c r="AT638" s="1075"/>
      <c r="AU638" s="1075"/>
      <c r="AV638" s="1075"/>
    </row>
    <row r="639" spans="1:48" ht="11.25" hidden="1" customHeight="1">
      <c r="A639" s="1075"/>
      <c r="B639" s="1075"/>
      <c r="C639" s="1075"/>
      <c r="D639" s="1075"/>
      <c r="E639" s="1075"/>
      <c r="F639" s="1075"/>
      <c r="G639" s="1075"/>
      <c r="H639" s="1075"/>
      <c r="I639" s="1075"/>
      <c r="J639" s="1075"/>
      <c r="K639" s="1075"/>
      <c r="L639" s="1075"/>
      <c r="M639" s="1075"/>
      <c r="N639" s="1075"/>
      <c r="O639" s="1075"/>
      <c r="P639" s="1075"/>
      <c r="Q639" s="1075"/>
      <c r="R639" s="1075"/>
      <c r="S639" s="1075"/>
      <c r="T639" s="1075"/>
      <c r="U639" s="1075"/>
      <c r="V639" s="1075"/>
      <c r="W639" s="1075"/>
      <c r="X639" s="1075"/>
      <c r="Y639" s="1075"/>
      <c r="Z639" s="1075"/>
      <c r="AA639" s="1075"/>
      <c r="AB639" s="1075"/>
      <c r="AC639" s="1075"/>
      <c r="AD639" s="1075"/>
      <c r="AE639" s="1075"/>
      <c r="AF639" s="1075"/>
      <c r="AG639" s="1075"/>
      <c r="AH639" s="1075"/>
      <c r="AI639" s="1075"/>
      <c r="AJ639" s="1075"/>
      <c r="AK639" s="1075"/>
      <c r="AL639" s="1075"/>
      <c r="AM639" s="1075"/>
      <c r="AN639" s="1075"/>
      <c r="AO639" s="1075"/>
      <c r="AP639" s="1075"/>
      <c r="AQ639" s="1075"/>
      <c r="AR639" s="1075"/>
      <c r="AS639" s="1075"/>
      <c r="AT639" s="1075"/>
      <c r="AU639" s="1075"/>
      <c r="AV639" s="1075"/>
    </row>
    <row r="640" spans="1:48" ht="11.25" hidden="1" customHeight="1">
      <c r="A640" s="1075"/>
      <c r="B640" s="1075"/>
      <c r="C640" s="1075"/>
      <c r="D640" s="1075"/>
      <c r="E640" s="1075"/>
      <c r="F640" s="1075"/>
      <c r="G640" s="1075"/>
      <c r="H640" s="1075"/>
      <c r="I640" s="1075"/>
      <c r="J640" s="1075"/>
      <c r="K640" s="1075"/>
      <c r="L640" s="1075"/>
      <c r="M640" s="1075"/>
      <c r="N640" s="1075"/>
      <c r="O640" s="1075"/>
      <c r="P640" s="1075"/>
      <c r="Q640" s="1075"/>
      <c r="R640" s="1075"/>
      <c r="S640" s="1075"/>
      <c r="T640" s="1075"/>
      <c r="U640" s="1075"/>
      <c r="V640" s="1075"/>
      <c r="W640" s="1075"/>
      <c r="X640" s="1075"/>
      <c r="Y640" s="1075"/>
      <c r="Z640" s="1075"/>
      <c r="AA640" s="1075"/>
      <c r="AB640" s="1075"/>
      <c r="AC640" s="1075"/>
      <c r="AD640" s="1075"/>
      <c r="AE640" s="1075"/>
      <c r="AF640" s="1075"/>
      <c r="AG640" s="1075"/>
      <c r="AH640" s="1075"/>
      <c r="AI640" s="1075"/>
      <c r="AJ640" s="1075"/>
      <c r="AK640" s="1075"/>
      <c r="AL640" s="1075"/>
      <c r="AM640" s="1075"/>
      <c r="AN640" s="1075"/>
      <c r="AO640" s="1075"/>
      <c r="AP640" s="1075"/>
      <c r="AQ640" s="1075"/>
      <c r="AR640" s="1075"/>
      <c r="AS640" s="1075"/>
      <c r="AT640" s="1075"/>
      <c r="AU640" s="1075"/>
      <c r="AV640" s="1075"/>
    </row>
    <row r="641" spans="1:48" ht="11.25" hidden="1" customHeight="1">
      <c r="A641" s="1075"/>
      <c r="B641" s="1075"/>
      <c r="C641" s="1075"/>
      <c r="D641" s="1075"/>
      <c r="E641" s="1075"/>
      <c r="F641" s="1075"/>
      <c r="G641" s="1075"/>
      <c r="H641" s="1075"/>
      <c r="I641" s="1075"/>
      <c r="J641" s="1075"/>
      <c r="K641" s="1075"/>
      <c r="L641" s="1075"/>
      <c r="M641" s="1075"/>
      <c r="N641" s="1075"/>
      <c r="O641" s="1075"/>
      <c r="P641" s="1075"/>
      <c r="Q641" s="1075"/>
      <c r="R641" s="1075"/>
      <c r="S641" s="1075"/>
      <c r="T641" s="1075"/>
      <c r="U641" s="1075"/>
      <c r="V641" s="1075"/>
      <c r="W641" s="1075"/>
      <c r="X641" s="1075"/>
      <c r="Y641" s="1075"/>
      <c r="Z641" s="1075"/>
      <c r="AA641" s="1075"/>
      <c r="AB641" s="1075"/>
      <c r="AC641" s="1075"/>
      <c r="AD641" s="1075"/>
      <c r="AE641" s="1075"/>
      <c r="AF641" s="1075"/>
      <c r="AG641" s="1075"/>
      <c r="AH641" s="1075"/>
      <c r="AI641" s="1075"/>
      <c r="AJ641" s="1075"/>
      <c r="AK641" s="1075"/>
      <c r="AL641" s="1075"/>
      <c r="AM641" s="1075"/>
      <c r="AN641" s="1075"/>
      <c r="AO641" s="1075"/>
      <c r="AP641" s="1075"/>
      <c r="AQ641" s="1075"/>
      <c r="AR641" s="1075"/>
      <c r="AS641" s="1075"/>
      <c r="AT641" s="1075"/>
      <c r="AU641" s="1075"/>
      <c r="AV641" s="1075"/>
    </row>
    <row r="642" spans="1:48" ht="11.25" hidden="1" customHeight="1">
      <c r="A642" s="1075"/>
      <c r="B642" s="1075"/>
      <c r="C642" s="1075"/>
      <c r="D642" s="1075"/>
      <c r="E642" s="1075"/>
      <c r="F642" s="1075"/>
      <c r="G642" s="1075"/>
      <c r="H642" s="1075"/>
      <c r="I642" s="1075"/>
      <c r="J642" s="1075"/>
      <c r="K642" s="1075"/>
      <c r="L642" s="1075"/>
      <c r="M642" s="1075"/>
      <c r="N642" s="1075"/>
      <c r="O642" s="1075"/>
      <c r="P642" s="1075"/>
      <c r="Q642" s="1075"/>
      <c r="R642" s="1075"/>
      <c r="S642" s="1075"/>
      <c r="T642" s="1075"/>
      <c r="U642" s="1075"/>
      <c r="V642" s="1075"/>
      <c r="W642" s="1075"/>
      <c r="X642" s="1075"/>
      <c r="Y642" s="1075"/>
      <c r="Z642" s="1075"/>
      <c r="AA642" s="1075"/>
      <c r="AB642" s="1075"/>
      <c r="AC642" s="1075"/>
      <c r="AD642" s="1075"/>
      <c r="AE642" s="1075"/>
      <c r="AF642" s="1075"/>
      <c r="AG642" s="1075"/>
      <c r="AH642" s="1075"/>
      <c r="AI642" s="1075"/>
      <c r="AJ642" s="1075"/>
      <c r="AK642" s="1075"/>
      <c r="AL642" s="1075"/>
      <c r="AM642" s="1075"/>
      <c r="AN642" s="1075"/>
      <c r="AO642" s="1075"/>
      <c r="AP642" s="1075"/>
      <c r="AQ642" s="1075"/>
      <c r="AR642" s="1075"/>
      <c r="AS642" s="1075"/>
      <c r="AT642" s="1075"/>
      <c r="AU642" s="1075"/>
      <c r="AV642" s="1075"/>
    </row>
    <row r="643" spans="1:48" ht="11.25" hidden="1" customHeight="1">
      <c r="A643" s="1075"/>
      <c r="B643" s="1075"/>
      <c r="C643" s="1075"/>
      <c r="D643" s="1075"/>
      <c r="E643" s="1075"/>
      <c r="F643" s="1075"/>
      <c r="G643" s="1075"/>
      <c r="H643" s="1075"/>
      <c r="I643" s="1075"/>
      <c r="J643" s="1075"/>
      <c r="K643" s="1075"/>
      <c r="L643" s="1075"/>
      <c r="M643" s="1075"/>
      <c r="N643" s="1075"/>
      <c r="O643" s="1075"/>
      <c r="P643" s="1075"/>
      <c r="Q643" s="1075"/>
      <c r="R643" s="1075"/>
      <c r="S643" s="1075"/>
      <c r="T643" s="1075"/>
      <c r="U643" s="1075"/>
      <c r="V643" s="1075"/>
      <c r="W643" s="1075"/>
      <c r="X643" s="1075"/>
      <c r="Y643" s="1075"/>
      <c r="Z643" s="1075"/>
      <c r="AA643" s="1075"/>
      <c r="AB643" s="1075"/>
      <c r="AC643" s="1075"/>
      <c r="AD643" s="1075"/>
      <c r="AE643" s="1075"/>
      <c r="AF643" s="1075"/>
      <c r="AG643" s="1075"/>
      <c r="AH643" s="1075"/>
      <c r="AI643" s="1075"/>
      <c r="AJ643" s="1075"/>
      <c r="AK643" s="1075"/>
      <c r="AL643" s="1075"/>
      <c r="AM643" s="1075"/>
      <c r="AN643" s="1075"/>
      <c r="AO643" s="1075"/>
      <c r="AP643" s="1075"/>
      <c r="AQ643" s="1075"/>
      <c r="AR643" s="1075"/>
      <c r="AS643" s="1075"/>
      <c r="AT643" s="1075"/>
      <c r="AU643" s="1075"/>
      <c r="AV643" s="1075"/>
    </row>
    <row r="644" spans="1:48" ht="11.25" hidden="1" customHeight="1">
      <c r="A644" s="1075"/>
      <c r="B644" s="1075"/>
      <c r="C644" s="1075"/>
      <c r="D644" s="1075"/>
      <c r="E644" s="1075"/>
      <c r="F644" s="1075"/>
      <c r="G644" s="1075"/>
      <c r="H644" s="1075"/>
      <c r="I644" s="1075"/>
      <c r="J644" s="1075"/>
      <c r="K644" s="1075"/>
      <c r="L644" s="1075"/>
      <c r="M644" s="1075"/>
      <c r="N644" s="1075"/>
      <c r="O644" s="1075"/>
      <c r="P644" s="1075"/>
      <c r="Q644" s="1075"/>
      <c r="R644" s="1075"/>
      <c r="S644" s="1075"/>
      <c r="T644" s="1075"/>
      <c r="U644" s="1075"/>
      <c r="V644" s="1075"/>
      <c r="W644" s="1075"/>
      <c r="X644" s="1075"/>
      <c r="Y644" s="1075"/>
      <c r="Z644" s="1075"/>
      <c r="AA644" s="1075"/>
      <c r="AB644" s="1075"/>
      <c r="AC644" s="1075"/>
      <c r="AD644" s="1075"/>
      <c r="AE644" s="1075"/>
      <c r="AF644" s="1075"/>
      <c r="AG644" s="1075"/>
      <c r="AH644" s="1075"/>
      <c r="AI644" s="1075"/>
      <c r="AJ644" s="1075"/>
      <c r="AK644" s="1075"/>
      <c r="AL644" s="1075"/>
      <c r="AM644" s="1075"/>
      <c r="AN644" s="1075"/>
      <c r="AO644" s="1075"/>
      <c r="AP644" s="1075"/>
      <c r="AQ644" s="1075"/>
      <c r="AR644" s="1075"/>
      <c r="AS644" s="1075"/>
      <c r="AT644" s="1075"/>
      <c r="AU644" s="1075"/>
      <c r="AV644" s="1075"/>
    </row>
    <row r="645" spans="1:48" ht="11.25" hidden="1" customHeight="1">
      <c r="A645" s="1075"/>
      <c r="B645" s="1075"/>
      <c r="C645" s="1075"/>
      <c r="D645" s="1075"/>
      <c r="E645" s="1075"/>
      <c r="F645" s="1075"/>
      <c r="G645" s="1075"/>
      <c r="H645" s="1075"/>
      <c r="I645" s="1075"/>
      <c r="J645" s="1075"/>
      <c r="K645" s="1075"/>
      <c r="L645" s="1075"/>
      <c r="M645" s="1075"/>
      <c r="N645" s="1075"/>
      <c r="O645" s="1075"/>
      <c r="P645" s="1075"/>
      <c r="Q645" s="1075"/>
      <c r="R645" s="1075"/>
      <c r="S645" s="1075"/>
      <c r="T645" s="1075"/>
      <c r="U645" s="1075"/>
      <c r="V645" s="1075"/>
      <c r="W645" s="1075"/>
      <c r="X645" s="1075"/>
      <c r="Y645" s="1075"/>
      <c r="Z645" s="1075"/>
      <c r="AA645" s="1075"/>
      <c r="AB645" s="1075"/>
      <c r="AC645" s="1075"/>
      <c r="AD645" s="1075"/>
      <c r="AE645" s="1075"/>
      <c r="AF645" s="1075"/>
      <c r="AG645" s="1075"/>
      <c r="AH645" s="1075"/>
      <c r="AI645" s="1075"/>
      <c r="AJ645" s="1075"/>
      <c r="AK645" s="1075"/>
      <c r="AL645" s="1075"/>
      <c r="AM645" s="1075"/>
      <c r="AN645" s="1075"/>
      <c r="AO645" s="1075"/>
      <c r="AP645" s="1075"/>
      <c r="AQ645" s="1075"/>
      <c r="AR645" s="1075"/>
      <c r="AS645" s="1075"/>
      <c r="AT645" s="1075"/>
      <c r="AU645" s="1075"/>
      <c r="AV645" s="1075"/>
    </row>
    <row r="646" spans="1:48" ht="11.25" hidden="1" customHeight="1">
      <c r="A646" s="1075"/>
      <c r="B646" s="1075"/>
      <c r="C646" s="1075"/>
      <c r="D646" s="1075"/>
      <c r="E646" s="1075"/>
      <c r="F646" s="1075"/>
      <c r="G646" s="1075"/>
      <c r="H646" s="1075"/>
      <c r="I646" s="1075"/>
      <c r="J646" s="1075"/>
      <c r="K646" s="1075"/>
      <c r="L646" s="1075"/>
      <c r="M646" s="1075"/>
      <c r="N646" s="1075"/>
      <c r="O646" s="1075"/>
      <c r="P646" s="1075"/>
      <c r="Q646" s="1075"/>
      <c r="R646" s="1075"/>
      <c r="S646" s="1075"/>
      <c r="T646" s="1075"/>
      <c r="U646" s="1075"/>
      <c r="V646" s="1075"/>
      <c r="W646" s="1075"/>
      <c r="X646" s="1075"/>
      <c r="Y646" s="1075"/>
      <c r="Z646" s="1075"/>
      <c r="AA646" s="1075"/>
      <c r="AB646" s="1075"/>
      <c r="AC646" s="1075"/>
      <c r="AD646" s="1075"/>
      <c r="AE646" s="1075"/>
      <c r="AF646" s="1075"/>
      <c r="AG646" s="1075"/>
      <c r="AH646" s="1075"/>
      <c r="AI646" s="1075"/>
      <c r="AJ646" s="1075"/>
      <c r="AK646" s="1075"/>
      <c r="AL646" s="1075"/>
      <c r="AM646" s="1075"/>
      <c r="AN646" s="1075"/>
      <c r="AO646" s="1075"/>
      <c r="AP646" s="1075"/>
      <c r="AQ646" s="1075"/>
      <c r="AR646" s="1075"/>
      <c r="AS646" s="1075"/>
      <c r="AT646" s="1075"/>
      <c r="AU646" s="1075"/>
      <c r="AV646" s="1075"/>
    </row>
    <row r="647" spans="1:48" ht="11.25" hidden="1" customHeight="1">
      <c r="A647" s="1075"/>
      <c r="B647" s="1075"/>
      <c r="C647" s="1075"/>
      <c r="D647" s="1075"/>
      <c r="E647" s="1075"/>
      <c r="F647" s="1075"/>
      <c r="G647" s="1075"/>
      <c r="H647" s="1075"/>
      <c r="I647" s="1075"/>
      <c r="J647" s="1075"/>
      <c r="K647" s="1075"/>
      <c r="L647" s="1075"/>
      <c r="M647" s="1075"/>
      <c r="N647" s="1075"/>
      <c r="O647" s="1075"/>
      <c r="P647" s="1075"/>
      <c r="Q647" s="1075"/>
      <c r="R647" s="1075"/>
      <c r="S647" s="1075"/>
      <c r="T647" s="1075"/>
      <c r="U647" s="1075"/>
      <c r="V647" s="1075"/>
      <c r="W647" s="1075"/>
      <c r="X647" s="1075"/>
      <c r="Y647" s="1075"/>
      <c r="Z647" s="1075"/>
      <c r="AA647" s="1075"/>
      <c r="AB647" s="1075"/>
      <c r="AC647" s="1075"/>
      <c r="AD647" s="1075"/>
      <c r="AE647" s="1075"/>
      <c r="AF647" s="1075"/>
      <c r="AG647" s="1075"/>
      <c r="AH647" s="1075"/>
      <c r="AI647" s="1075"/>
      <c r="AJ647" s="1075"/>
      <c r="AK647" s="1075"/>
      <c r="AL647" s="1075"/>
      <c r="AM647" s="1075"/>
      <c r="AN647" s="1075"/>
      <c r="AO647" s="1075"/>
      <c r="AP647" s="1075"/>
      <c r="AQ647" s="1075"/>
      <c r="AR647" s="1075"/>
      <c r="AS647" s="1075"/>
      <c r="AT647" s="1075"/>
      <c r="AU647" s="1075"/>
      <c r="AV647" s="1075"/>
    </row>
    <row r="648" spans="1:48" ht="11.25" hidden="1" customHeight="1">
      <c r="A648" s="1075"/>
      <c r="B648" s="1075"/>
      <c r="C648" s="1075"/>
      <c r="D648" s="1075"/>
      <c r="E648" s="1075"/>
      <c r="F648" s="1075"/>
      <c r="G648" s="1075"/>
      <c r="H648" s="1075"/>
      <c r="I648" s="1075"/>
      <c r="J648" s="1075"/>
      <c r="K648" s="1075"/>
      <c r="L648" s="1075"/>
      <c r="M648" s="1075"/>
      <c r="N648" s="1075"/>
      <c r="O648" s="1075"/>
      <c r="P648" s="1075"/>
      <c r="Q648" s="1075"/>
      <c r="R648" s="1075"/>
      <c r="S648" s="1075"/>
      <c r="T648" s="1075"/>
      <c r="U648" s="1075"/>
      <c r="V648" s="1075"/>
      <c r="W648" s="1075"/>
      <c r="X648" s="1075"/>
      <c r="Y648" s="1075"/>
      <c r="Z648" s="1075"/>
      <c r="AA648" s="1075"/>
      <c r="AB648" s="1075"/>
      <c r="AC648" s="1075"/>
      <c r="AD648" s="1075"/>
      <c r="AE648" s="1075"/>
      <c r="AF648" s="1075"/>
      <c r="AG648" s="1075"/>
      <c r="AH648" s="1075"/>
      <c r="AI648" s="1075"/>
      <c r="AJ648" s="1075"/>
      <c r="AK648" s="1075"/>
      <c r="AL648" s="1075"/>
      <c r="AM648" s="1075"/>
      <c r="AN648" s="1075"/>
      <c r="AO648" s="1075"/>
      <c r="AP648" s="1075"/>
      <c r="AQ648" s="1075"/>
      <c r="AR648" s="1075"/>
      <c r="AS648" s="1075"/>
      <c r="AT648" s="1075"/>
      <c r="AU648" s="1075"/>
      <c r="AV648" s="1075"/>
    </row>
    <row r="649" spans="1:48" ht="11.25" hidden="1" customHeight="1">
      <c r="A649" s="1075"/>
      <c r="B649" s="1075"/>
      <c r="C649" s="1075"/>
      <c r="D649" s="1075"/>
      <c r="E649" s="1075"/>
      <c r="F649" s="1075"/>
      <c r="G649" s="1075"/>
      <c r="H649" s="1075"/>
      <c r="I649" s="1075"/>
      <c r="J649" s="1075"/>
      <c r="K649" s="1075"/>
      <c r="L649" s="1075"/>
      <c r="M649" s="1075"/>
      <c r="N649" s="1075"/>
      <c r="O649" s="1075"/>
      <c r="P649" s="1075"/>
      <c r="Q649" s="1075"/>
      <c r="R649" s="1075"/>
      <c r="S649" s="1075"/>
      <c r="T649" s="1075"/>
      <c r="U649" s="1075"/>
      <c r="V649" s="1075"/>
      <c r="W649" s="1075"/>
      <c r="X649" s="1075"/>
      <c r="Y649" s="1075"/>
      <c r="Z649" s="1075"/>
      <c r="AA649" s="1075"/>
      <c r="AB649" s="1075"/>
      <c r="AC649" s="1075"/>
      <c r="AD649" s="1075"/>
      <c r="AE649" s="1075"/>
      <c r="AF649" s="1075"/>
      <c r="AG649" s="1075"/>
      <c r="AH649" s="1075"/>
      <c r="AI649" s="1075"/>
      <c r="AJ649" s="1075"/>
      <c r="AK649" s="1075"/>
      <c r="AL649" s="1075"/>
      <c r="AM649" s="1075"/>
      <c r="AN649" s="1075"/>
      <c r="AO649" s="1075"/>
      <c r="AP649" s="1075"/>
      <c r="AQ649" s="1075"/>
      <c r="AR649" s="1075"/>
      <c r="AS649" s="1075"/>
      <c r="AT649" s="1075"/>
      <c r="AU649" s="1075"/>
      <c r="AV649" s="1075"/>
    </row>
    <row r="650" spans="1:48" ht="11.25" hidden="1" customHeight="1">
      <c r="A650" s="1075"/>
      <c r="B650" s="1075"/>
      <c r="C650" s="1075"/>
      <c r="D650" s="1075"/>
      <c r="E650" s="1075"/>
      <c r="F650" s="1075"/>
      <c r="G650" s="1075"/>
      <c r="H650" s="1075"/>
      <c r="I650" s="1075"/>
      <c r="J650" s="1075"/>
      <c r="K650" s="1075"/>
      <c r="L650" s="1075"/>
      <c r="M650" s="1075"/>
      <c r="N650" s="1075"/>
      <c r="O650" s="1075"/>
      <c r="P650" s="1075"/>
      <c r="Q650" s="1075"/>
      <c r="R650" s="1075"/>
      <c r="S650" s="1075"/>
      <c r="T650" s="1075"/>
      <c r="U650" s="1075"/>
      <c r="V650" s="1075"/>
      <c r="W650" s="1075"/>
      <c r="X650" s="1075"/>
      <c r="Y650" s="1075"/>
      <c r="Z650" s="1075"/>
      <c r="AA650" s="1075"/>
      <c r="AB650" s="1075"/>
      <c r="AC650" s="1075"/>
      <c r="AD650" s="1075"/>
      <c r="AE650" s="1075"/>
      <c r="AF650" s="1075"/>
      <c r="AG650" s="1075"/>
      <c r="AH650" s="1075"/>
      <c r="AI650" s="1075"/>
      <c r="AJ650" s="1075"/>
      <c r="AK650" s="1075"/>
      <c r="AL650" s="1075"/>
      <c r="AM650" s="1075"/>
      <c r="AN650" s="1075"/>
      <c r="AO650" s="1075"/>
      <c r="AP650" s="1075"/>
      <c r="AQ650" s="1075"/>
      <c r="AR650" s="1075"/>
      <c r="AS650" s="1075"/>
      <c r="AT650" s="1075"/>
      <c r="AU650" s="1075"/>
      <c r="AV650" s="1075"/>
    </row>
    <row r="651" spans="1:48" ht="11.25" hidden="1" customHeight="1">
      <c r="A651" s="1075"/>
      <c r="B651" s="1075"/>
      <c r="C651" s="1075"/>
      <c r="D651" s="1075"/>
      <c r="E651" s="1075"/>
      <c r="F651" s="1075"/>
      <c r="G651" s="1075"/>
      <c r="H651" s="1075"/>
      <c r="I651" s="1075"/>
      <c r="J651" s="1075"/>
      <c r="K651" s="1075"/>
      <c r="L651" s="1075"/>
      <c r="M651" s="1075"/>
      <c r="N651" s="1075"/>
      <c r="O651" s="1075"/>
      <c r="P651" s="1075"/>
      <c r="Q651" s="1075"/>
      <c r="R651" s="1075"/>
      <c r="S651" s="1075"/>
      <c r="T651" s="1075"/>
      <c r="U651" s="1075"/>
      <c r="V651" s="1075"/>
      <c r="W651" s="1075"/>
      <c r="X651" s="1075"/>
      <c r="Y651" s="1075"/>
      <c r="Z651" s="1075"/>
      <c r="AA651" s="1075"/>
      <c r="AB651" s="1075"/>
      <c r="AC651" s="1075"/>
      <c r="AD651" s="1075"/>
      <c r="AE651" s="1075"/>
      <c r="AF651" s="1075"/>
      <c r="AG651" s="1075"/>
      <c r="AH651" s="1075"/>
      <c r="AI651" s="1075"/>
      <c r="AJ651" s="1075"/>
      <c r="AK651" s="1075"/>
      <c r="AL651" s="1075"/>
      <c r="AM651" s="1075"/>
      <c r="AN651" s="1075"/>
      <c r="AO651" s="1075"/>
      <c r="AP651" s="1075"/>
      <c r="AQ651" s="1075"/>
      <c r="AR651" s="1075"/>
      <c r="AS651" s="1075"/>
      <c r="AT651" s="1075"/>
      <c r="AU651" s="1075"/>
      <c r="AV651" s="1075"/>
    </row>
    <row r="652" spans="1:48" ht="11.25" hidden="1" customHeight="1">
      <c r="A652" s="1075"/>
      <c r="B652" s="1075"/>
      <c r="C652" s="1075"/>
      <c r="D652" s="1075"/>
      <c r="E652" s="1075"/>
      <c r="F652" s="1075"/>
      <c r="G652" s="1075"/>
      <c r="H652" s="1075"/>
      <c r="I652" s="1075"/>
      <c r="J652" s="1075"/>
      <c r="K652" s="1075"/>
      <c r="L652" s="1075"/>
      <c r="M652" s="1075"/>
      <c r="N652" s="1075"/>
      <c r="O652" s="1075"/>
      <c r="P652" s="1075"/>
      <c r="Q652" s="1075"/>
      <c r="R652" s="1075"/>
      <c r="S652" s="1075"/>
      <c r="T652" s="1075"/>
      <c r="U652" s="1075"/>
      <c r="V652" s="1075"/>
      <c r="W652" s="1075"/>
      <c r="X652" s="1075"/>
      <c r="Y652" s="1075"/>
      <c r="Z652" s="1075"/>
      <c r="AA652" s="1075"/>
      <c r="AB652" s="1075"/>
      <c r="AC652" s="1075"/>
      <c r="AD652" s="1075"/>
      <c r="AE652" s="1075"/>
      <c r="AF652" s="1075"/>
      <c r="AG652" s="1075"/>
      <c r="AH652" s="1075"/>
      <c r="AI652" s="1075"/>
      <c r="AJ652" s="1075"/>
      <c r="AK652" s="1075"/>
      <c r="AL652" s="1075"/>
      <c r="AM652" s="1075"/>
      <c r="AN652" s="1075"/>
      <c r="AO652" s="1075"/>
      <c r="AP652" s="1075"/>
      <c r="AQ652" s="1075"/>
      <c r="AR652" s="1075"/>
      <c r="AS652" s="1075"/>
      <c r="AT652" s="1075"/>
      <c r="AU652" s="1075"/>
      <c r="AV652" s="1075"/>
    </row>
    <row r="653" spans="1:48" ht="11.25" hidden="1" customHeight="1">
      <c r="A653" s="1075"/>
      <c r="B653" s="1075"/>
      <c r="C653" s="1075"/>
      <c r="D653" s="1075"/>
      <c r="E653" s="1075"/>
      <c r="F653" s="1075"/>
      <c r="G653" s="1075"/>
      <c r="H653" s="1075"/>
      <c r="I653" s="1075"/>
      <c r="J653" s="1075"/>
      <c r="K653" s="1075"/>
      <c r="L653" s="1075"/>
      <c r="M653" s="1075"/>
      <c r="N653" s="1075"/>
      <c r="O653" s="1075"/>
      <c r="P653" s="1075"/>
      <c r="Q653" s="1075"/>
      <c r="R653" s="1075"/>
      <c r="S653" s="1075"/>
      <c r="T653" s="1075"/>
      <c r="U653" s="1075"/>
      <c r="V653" s="1075"/>
      <c r="W653" s="1075"/>
      <c r="X653" s="1075"/>
      <c r="Y653" s="1075"/>
      <c r="Z653" s="1075"/>
      <c r="AA653" s="1075"/>
      <c r="AB653" s="1075"/>
      <c r="AC653" s="1075"/>
      <c r="AD653" s="1075"/>
      <c r="AE653" s="1075"/>
      <c r="AF653" s="1075"/>
      <c r="AG653" s="1075"/>
      <c r="AH653" s="1075"/>
      <c r="AI653" s="1075"/>
      <c r="AJ653" s="1075"/>
      <c r="AK653" s="1075"/>
      <c r="AL653" s="1075"/>
      <c r="AM653" s="1075"/>
      <c r="AN653" s="1075"/>
      <c r="AO653" s="1075"/>
      <c r="AP653" s="1075"/>
      <c r="AQ653" s="1075"/>
      <c r="AR653" s="1075"/>
      <c r="AS653" s="1075"/>
      <c r="AT653" s="1075"/>
      <c r="AU653" s="1075"/>
      <c r="AV653" s="1075"/>
    </row>
    <row r="654" spans="1:48" ht="11.25" hidden="1" customHeight="1">
      <c r="A654" s="1075"/>
      <c r="B654" s="1075"/>
      <c r="C654" s="1075"/>
      <c r="D654" s="1075"/>
      <c r="E654" s="1075"/>
      <c r="F654" s="1075"/>
      <c r="G654" s="1075"/>
      <c r="H654" s="1075"/>
      <c r="I654" s="1075"/>
      <c r="J654" s="1075"/>
      <c r="K654" s="1075"/>
      <c r="L654" s="1075"/>
      <c r="M654" s="1075"/>
      <c r="N654" s="1075"/>
      <c r="O654" s="1075"/>
      <c r="P654" s="1075"/>
      <c r="Q654" s="1075"/>
      <c r="R654" s="1075"/>
      <c r="S654" s="1075"/>
      <c r="T654" s="1075"/>
      <c r="U654" s="1075"/>
      <c r="V654" s="1075"/>
      <c r="W654" s="1075"/>
      <c r="X654" s="1075"/>
      <c r="Y654" s="1075"/>
      <c r="Z654" s="1075"/>
      <c r="AA654" s="1075"/>
      <c r="AB654" s="1075"/>
      <c r="AC654" s="1075"/>
      <c r="AD654" s="1075"/>
      <c r="AE654" s="1075"/>
      <c r="AF654" s="1075"/>
      <c r="AG654" s="1075"/>
      <c r="AH654" s="1075"/>
      <c r="AI654" s="1075"/>
      <c r="AJ654" s="1075"/>
      <c r="AK654" s="1075"/>
      <c r="AL654" s="1075"/>
      <c r="AM654" s="1075"/>
      <c r="AN654" s="1075"/>
      <c r="AO654" s="1075"/>
      <c r="AP654" s="1075"/>
      <c r="AQ654" s="1075"/>
      <c r="AR654" s="1075"/>
      <c r="AS654" s="1075"/>
      <c r="AT654" s="1075"/>
      <c r="AU654" s="1075"/>
      <c r="AV654" s="1075"/>
    </row>
    <row r="655" spans="1:48" ht="11.25" hidden="1" customHeight="1">
      <c r="A655" s="1075"/>
      <c r="B655" s="1075"/>
      <c r="C655" s="1075"/>
      <c r="D655" s="1075"/>
      <c r="E655" s="1075"/>
      <c r="F655" s="1075"/>
      <c r="G655" s="1075"/>
      <c r="H655" s="1075"/>
      <c r="I655" s="1075"/>
      <c r="J655" s="1075"/>
      <c r="K655" s="1075"/>
      <c r="L655" s="1075"/>
      <c r="M655" s="1075"/>
      <c r="N655" s="1075"/>
      <c r="O655" s="1075"/>
      <c r="P655" s="1075"/>
      <c r="Q655" s="1075"/>
      <c r="R655" s="1075"/>
      <c r="S655" s="1075"/>
      <c r="T655" s="1075"/>
      <c r="U655" s="1075"/>
      <c r="V655" s="1075"/>
      <c r="W655" s="1075"/>
      <c r="X655" s="1075"/>
      <c r="Y655" s="1075"/>
      <c r="Z655" s="1075"/>
      <c r="AA655" s="1075"/>
      <c r="AB655" s="1075"/>
      <c r="AC655" s="1075"/>
      <c r="AD655" s="1075"/>
      <c r="AE655" s="1075"/>
      <c r="AF655" s="1075"/>
      <c r="AG655" s="1075"/>
      <c r="AH655" s="1075"/>
      <c r="AI655" s="1075"/>
      <c r="AJ655" s="1075"/>
      <c r="AK655" s="1075"/>
      <c r="AL655" s="1075"/>
      <c r="AM655" s="1075"/>
      <c r="AN655" s="1075"/>
      <c r="AO655" s="1075"/>
      <c r="AP655" s="1075"/>
      <c r="AQ655" s="1075"/>
      <c r="AR655" s="1075"/>
      <c r="AS655" s="1075"/>
      <c r="AT655" s="1075"/>
      <c r="AU655" s="1075"/>
      <c r="AV655" s="1075"/>
    </row>
    <row r="656" spans="1:48" ht="11.25" hidden="1" customHeight="1">
      <c r="A656" s="1075"/>
      <c r="B656" s="1075"/>
      <c r="C656" s="1075"/>
      <c r="D656" s="1075"/>
      <c r="E656" s="1075"/>
      <c r="F656" s="1075"/>
      <c r="G656" s="1075"/>
      <c r="H656" s="1075"/>
      <c r="I656" s="1075"/>
      <c r="J656" s="1075"/>
      <c r="K656" s="1075"/>
      <c r="L656" s="1075"/>
      <c r="M656" s="1075"/>
      <c r="N656" s="1075"/>
      <c r="O656" s="1075"/>
      <c r="P656" s="1075"/>
      <c r="Q656" s="1075"/>
      <c r="R656" s="1075"/>
      <c r="S656" s="1075"/>
      <c r="T656" s="1075"/>
      <c r="U656" s="1075"/>
      <c r="V656" s="1075"/>
      <c r="W656" s="1075"/>
      <c r="X656" s="1075"/>
      <c r="Y656" s="1075"/>
      <c r="Z656" s="1075"/>
      <c r="AA656" s="1075"/>
      <c r="AB656" s="1075"/>
      <c r="AC656" s="1075"/>
      <c r="AD656" s="1075"/>
      <c r="AE656" s="1075"/>
      <c r="AF656" s="1075"/>
      <c r="AG656" s="1075"/>
      <c r="AH656" s="1075"/>
      <c r="AI656" s="1075"/>
      <c r="AJ656" s="1075"/>
      <c r="AK656" s="1075"/>
      <c r="AL656" s="1075"/>
      <c r="AM656" s="1075"/>
      <c r="AN656" s="1075"/>
      <c r="AO656" s="1075"/>
      <c r="AP656" s="1075"/>
      <c r="AQ656" s="1075"/>
      <c r="AR656" s="1075"/>
      <c r="AS656" s="1075"/>
      <c r="AT656" s="1075"/>
      <c r="AU656" s="1075"/>
      <c r="AV656" s="1075"/>
    </row>
    <row r="657" spans="1:48" ht="11.25" hidden="1" customHeight="1">
      <c r="A657" s="1075"/>
      <c r="B657" s="1075"/>
      <c r="C657" s="1075"/>
      <c r="D657" s="1075"/>
      <c r="E657" s="1075"/>
      <c r="F657" s="1075"/>
      <c r="G657" s="1075"/>
      <c r="H657" s="1075"/>
      <c r="I657" s="1075"/>
      <c r="J657" s="1075"/>
      <c r="K657" s="1075"/>
      <c r="L657" s="1075"/>
      <c r="M657" s="1075"/>
      <c r="N657" s="1075"/>
      <c r="O657" s="1075"/>
      <c r="P657" s="1075"/>
      <c r="Q657" s="1075"/>
      <c r="R657" s="1075"/>
      <c r="S657" s="1075"/>
      <c r="T657" s="1075"/>
      <c r="U657" s="1075"/>
      <c r="V657" s="1075"/>
      <c r="W657" s="1075"/>
      <c r="X657" s="1075"/>
      <c r="Y657" s="1075"/>
      <c r="Z657" s="1075"/>
      <c r="AA657" s="1075"/>
      <c r="AB657" s="1075"/>
      <c r="AC657" s="1075"/>
      <c r="AD657" s="1075"/>
      <c r="AE657" s="1075"/>
      <c r="AF657" s="1075"/>
      <c r="AG657" s="1075"/>
      <c r="AH657" s="1075"/>
      <c r="AI657" s="1075"/>
      <c r="AJ657" s="1075"/>
      <c r="AK657" s="1075"/>
      <c r="AL657" s="1075"/>
      <c r="AM657" s="1075"/>
      <c r="AN657" s="1075"/>
      <c r="AO657" s="1075"/>
      <c r="AP657" s="1075"/>
      <c r="AQ657" s="1075"/>
      <c r="AR657" s="1075"/>
      <c r="AS657" s="1075"/>
      <c r="AT657" s="1075"/>
      <c r="AU657" s="1075"/>
      <c r="AV657" s="1075"/>
    </row>
    <row r="658" spans="1:48" ht="11.25" hidden="1" customHeight="1">
      <c r="A658" s="1075"/>
      <c r="B658" s="1075"/>
      <c r="C658" s="1075"/>
      <c r="D658" s="1075"/>
      <c r="E658" s="1075"/>
      <c r="F658" s="1075"/>
      <c r="G658" s="1075"/>
      <c r="H658" s="1075"/>
      <c r="I658" s="1075"/>
      <c r="J658" s="1075"/>
      <c r="K658" s="1075"/>
      <c r="L658" s="1075"/>
      <c r="M658" s="1075"/>
      <c r="N658" s="1075"/>
      <c r="O658" s="1075"/>
      <c r="P658" s="1075"/>
      <c r="Q658" s="1075"/>
      <c r="R658" s="1075"/>
      <c r="S658" s="1075"/>
      <c r="T658" s="1075"/>
      <c r="U658" s="1075"/>
      <c r="V658" s="1075"/>
      <c r="W658" s="1075"/>
      <c r="X658" s="1075"/>
      <c r="Y658" s="1075"/>
      <c r="Z658" s="1075"/>
      <c r="AA658" s="1075"/>
      <c r="AB658" s="1075"/>
      <c r="AC658" s="1075"/>
      <c r="AD658" s="1075"/>
      <c r="AE658" s="1075"/>
      <c r="AF658" s="1075"/>
      <c r="AG658" s="1075"/>
      <c r="AH658" s="1075"/>
      <c r="AI658" s="1075"/>
      <c r="AJ658" s="1075"/>
      <c r="AK658" s="1075"/>
      <c r="AL658" s="1075"/>
      <c r="AM658" s="1075"/>
      <c r="AN658" s="1075"/>
      <c r="AO658" s="1075"/>
      <c r="AP658" s="1075"/>
      <c r="AQ658" s="1075"/>
      <c r="AR658" s="1075"/>
      <c r="AS658" s="1075"/>
      <c r="AT658" s="1075"/>
      <c r="AU658" s="1075"/>
      <c r="AV658" s="1075"/>
    </row>
    <row r="659" spans="1:48" ht="11.25" hidden="1" customHeight="1">
      <c r="A659" s="1075"/>
      <c r="B659" s="1075"/>
      <c r="C659" s="1075"/>
      <c r="D659" s="1075"/>
      <c r="E659" s="1075"/>
      <c r="F659" s="1075"/>
      <c r="G659" s="1075"/>
      <c r="H659" s="1075"/>
      <c r="I659" s="1075"/>
      <c r="J659" s="1075"/>
      <c r="K659" s="1075"/>
      <c r="L659" s="1075"/>
      <c r="M659" s="1075"/>
      <c r="N659" s="1075"/>
      <c r="O659" s="1075"/>
      <c r="P659" s="1075"/>
      <c r="Q659" s="1075"/>
      <c r="R659" s="1075"/>
      <c r="S659" s="1075"/>
      <c r="T659" s="1075"/>
      <c r="U659" s="1075"/>
      <c r="V659" s="1075"/>
      <c r="W659" s="1075"/>
      <c r="X659" s="1075"/>
      <c r="Y659" s="1075"/>
      <c r="Z659" s="1075"/>
      <c r="AA659" s="1075"/>
      <c r="AB659" s="1075"/>
      <c r="AC659" s="1075"/>
      <c r="AD659" s="1075"/>
      <c r="AE659" s="1075"/>
      <c r="AF659" s="1075"/>
      <c r="AG659" s="1075"/>
      <c r="AH659" s="1075"/>
      <c r="AI659" s="1075"/>
      <c r="AJ659" s="1075"/>
      <c r="AK659" s="1075"/>
      <c r="AL659" s="1075"/>
      <c r="AM659" s="1075"/>
      <c r="AN659" s="1075"/>
      <c r="AO659" s="1075"/>
      <c r="AP659" s="1075"/>
      <c r="AQ659" s="1075"/>
      <c r="AR659" s="1075"/>
      <c r="AS659" s="1075"/>
      <c r="AT659" s="1075"/>
      <c r="AU659" s="1075"/>
      <c r="AV659" s="1075"/>
    </row>
    <row r="660" spans="1:48" ht="11.25" hidden="1" customHeight="1">
      <c r="A660" s="1075"/>
      <c r="B660" s="1075"/>
      <c r="C660" s="1075"/>
      <c r="D660" s="1075"/>
      <c r="E660" s="1075"/>
      <c r="F660" s="1075"/>
      <c r="G660" s="1075"/>
      <c r="H660" s="1075"/>
      <c r="I660" s="1075"/>
      <c r="J660" s="1075"/>
      <c r="K660" s="1075"/>
      <c r="L660" s="1075"/>
      <c r="M660" s="1075"/>
      <c r="N660" s="1075"/>
      <c r="O660" s="1075"/>
      <c r="P660" s="1075"/>
      <c r="Q660" s="1075"/>
      <c r="R660" s="1075"/>
      <c r="S660" s="1075"/>
      <c r="T660" s="1075"/>
      <c r="U660" s="1075"/>
      <c r="V660" s="1075"/>
      <c r="W660" s="1075"/>
      <c r="X660" s="1075"/>
      <c r="Y660" s="1075"/>
      <c r="Z660" s="1075"/>
      <c r="AA660" s="1075"/>
      <c r="AB660" s="1075"/>
      <c r="AC660" s="1075"/>
      <c r="AD660" s="1075"/>
      <c r="AE660" s="1075"/>
      <c r="AF660" s="1075"/>
      <c r="AG660" s="1075"/>
      <c r="AH660" s="1075"/>
      <c r="AI660" s="1075"/>
      <c r="AJ660" s="1075"/>
      <c r="AK660" s="1075"/>
      <c r="AL660" s="1075"/>
      <c r="AM660" s="1075"/>
      <c r="AN660" s="1075"/>
      <c r="AO660" s="1075"/>
      <c r="AP660" s="1075"/>
      <c r="AQ660" s="1075"/>
      <c r="AR660" s="1075"/>
      <c r="AS660" s="1075"/>
      <c r="AT660" s="1075"/>
      <c r="AU660" s="1075"/>
      <c r="AV660" s="1075"/>
    </row>
    <row r="661" spans="1:48" ht="11.25" hidden="1" customHeight="1">
      <c r="A661" s="1075"/>
      <c r="B661" s="1075"/>
      <c r="C661" s="1075"/>
      <c r="D661" s="1075"/>
      <c r="E661" s="1075"/>
      <c r="F661" s="1075"/>
      <c r="G661" s="1075"/>
      <c r="H661" s="1075"/>
      <c r="I661" s="1075"/>
      <c r="J661" s="1075"/>
      <c r="K661" s="1075"/>
      <c r="L661" s="1075"/>
      <c r="M661" s="1075"/>
      <c r="N661" s="1075"/>
      <c r="O661" s="1075"/>
      <c r="P661" s="1075"/>
      <c r="Q661" s="1075"/>
      <c r="R661" s="1075"/>
      <c r="S661" s="1075"/>
      <c r="T661" s="1075"/>
      <c r="U661" s="1075"/>
      <c r="V661" s="1075"/>
      <c r="W661" s="1075"/>
      <c r="X661" s="1075"/>
      <c r="Y661" s="1075"/>
      <c r="Z661" s="1075"/>
      <c r="AA661" s="1075"/>
      <c r="AB661" s="1075"/>
      <c r="AC661" s="1075"/>
      <c r="AD661" s="1075"/>
      <c r="AE661" s="1075"/>
      <c r="AF661" s="1075"/>
      <c r="AG661" s="1075"/>
      <c r="AH661" s="1075"/>
      <c r="AI661" s="1075"/>
      <c r="AJ661" s="1075"/>
      <c r="AK661" s="1075"/>
      <c r="AL661" s="1075"/>
      <c r="AM661" s="1075"/>
      <c r="AN661" s="1075"/>
      <c r="AO661" s="1075"/>
      <c r="AP661" s="1075"/>
      <c r="AQ661" s="1075"/>
      <c r="AR661" s="1075"/>
      <c r="AS661" s="1075"/>
      <c r="AT661" s="1075"/>
      <c r="AU661" s="1075"/>
      <c r="AV661" s="1075"/>
    </row>
    <row r="662" spans="1:48" ht="11.25" hidden="1" customHeight="1">
      <c r="A662" s="1075"/>
      <c r="B662" s="1075"/>
      <c r="C662" s="1075"/>
      <c r="D662" s="1075"/>
      <c r="E662" s="1075"/>
      <c r="F662" s="1075"/>
      <c r="G662" s="1075"/>
      <c r="H662" s="1075"/>
      <c r="I662" s="1075"/>
      <c r="J662" s="1075"/>
      <c r="K662" s="1075"/>
      <c r="L662" s="1075"/>
      <c r="M662" s="1075"/>
      <c r="N662" s="1075"/>
      <c r="O662" s="1075"/>
      <c r="P662" s="1075"/>
      <c r="Q662" s="1075"/>
      <c r="R662" s="1075"/>
      <c r="S662" s="1075"/>
      <c r="T662" s="1075"/>
      <c r="U662" s="1075"/>
      <c r="V662" s="1075"/>
      <c r="W662" s="1075"/>
      <c r="X662" s="1075"/>
      <c r="Y662" s="1075"/>
      <c r="Z662" s="1075"/>
      <c r="AA662" s="1075"/>
      <c r="AB662" s="1075"/>
      <c r="AC662" s="1075"/>
      <c r="AD662" s="1075"/>
      <c r="AE662" s="1075"/>
      <c r="AF662" s="1075"/>
      <c r="AG662" s="1075"/>
      <c r="AH662" s="1075"/>
      <c r="AI662" s="1075"/>
      <c r="AJ662" s="1075"/>
      <c r="AK662" s="1075"/>
      <c r="AL662" s="1075"/>
      <c r="AM662" s="1075"/>
      <c r="AN662" s="1075"/>
      <c r="AO662" s="1075"/>
      <c r="AP662" s="1075"/>
      <c r="AQ662" s="1075"/>
      <c r="AR662" s="1075"/>
      <c r="AS662" s="1075"/>
      <c r="AT662" s="1075"/>
      <c r="AU662" s="1075"/>
      <c r="AV662" s="1075"/>
    </row>
    <row r="663" spans="1:48" ht="11.25" hidden="1" customHeight="1">
      <c r="A663" s="1075"/>
      <c r="B663" s="1075"/>
      <c r="C663" s="1075"/>
      <c r="D663" s="1075"/>
      <c r="E663" s="1075"/>
      <c r="F663" s="1075"/>
      <c r="G663" s="1075"/>
      <c r="H663" s="1075"/>
      <c r="I663" s="1075"/>
      <c r="J663" s="1075"/>
      <c r="K663" s="1075"/>
      <c r="L663" s="1075"/>
      <c r="M663" s="1075"/>
      <c r="N663" s="1075"/>
      <c r="O663" s="1075"/>
      <c r="P663" s="1075"/>
      <c r="Q663" s="1075"/>
      <c r="R663" s="1075"/>
      <c r="S663" s="1075"/>
      <c r="T663" s="1075"/>
      <c r="U663" s="1075"/>
      <c r="V663" s="1075"/>
      <c r="W663" s="1075"/>
      <c r="X663" s="1075"/>
      <c r="Y663" s="1075"/>
      <c r="Z663" s="1075"/>
      <c r="AA663" s="1075"/>
      <c r="AB663" s="1075"/>
      <c r="AC663" s="1075"/>
      <c r="AD663" s="1075"/>
      <c r="AE663" s="1075"/>
      <c r="AF663" s="1075"/>
      <c r="AG663" s="1075"/>
      <c r="AH663" s="1075"/>
      <c r="AI663" s="1075"/>
      <c r="AJ663" s="1075"/>
      <c r="AK663" s="1075"/>
      <c r="AL663" s="1075"/>
      <c r="AM663" s="1075"/>
      <c r="AN663" s="1075"/>
      <c r="AO663" s="1075"/>
      <c r="AP663" s="1075"/>
      <c r="AQ663" s="1075"/>
      <c r="AR663" s="1075"/>
      <c r="AS663" s="1075"/>
      <c r="AT663" s="1075"/>
      <c r="AU663" s="1075"/>
      <c r="AV663" s="1075"/>
    </row>
    <row r="664" spans="1:48" ht="11.25" hidden="1" customHeight="1">
      <c r="A664" s="1075"/>
      <c r="B664" s="1075"/>
      <c r="C664" s="1075"/>
      <c r="D664" s="1075"/>
      <c r="E664" s="1075"/>
      <c r="F664" s="1075"/>
      <c r="G664" s="1075"/>
      <c r="H664" s="1075"/>
      <c r="I664" s="1075"/>
      <c r="J664" s="1075"/>
      <c r="K664" s="1075"/>
      <c r="L664" s="1075"/>
      <c r="M664" s="1075"/>
      <c r="N664" s="1075"/>
      <c r="O664" s="1075"/>
      <c r="P664" s="1075"/>
      <c r="Q664" s="1075"/>
      <c r="R664" s="1075"/>
      <c r="S664" s="1075"/>
      <c r="T664" s="1075"/>
      <c r="U664" s="1075"/>
      <c r="V664" s="1075"/>
      <c r="W664" s="1075"/>
      <c r="X664" s="1075"/>
      <c r="Y664" s="1075"/>
      <c r="Z664" s="1075"/>
      <c r="AA664" s="1075"/>
      <c r="AB664" s="1075"/>
      <c r="AC664" s="1075"/>
      <c r="AD664" s="1075"/>
      <c r="AE664" s="1075"/>
      <c r="AF664" s="1075"/>
      <c r="AG664" s="1075"/>
      <c r="AH664" s="1075"/>
      <c r="AI664" s="1075"/>
      <c r="AJ664" s="1075"/>
      <c r="AK664" s="1075"/>
      <c r="AL664" s="1075"/>
      <c r="AM664" s="1075"/>
      <c r="AN664" s="1075"/>
      <c r="AO664" s="1075"/>
      <c r="AP664" s="1075"/>
      <c r="AQ664" s="1075"/>
      <c r="AR664" s="1075"/>
      <c r="AS664" s="1075"/>
      <c r="AT664" s="1075"/>
      <c r="AU664" s="1075"/>
      <c r="AV664" s="1075"/>
    </row>
    <row r="665" spans="1:48" ht="11.25" hidden="1" customHeight="1">
      <c r="A665" s="1075"/>
      <c r="B665" s="1075"/>
      <c r="C665" s="1075"/>
      <c r="D665" s="1075"/>
      <c r="E665" s="1075"/>
      <c r="F665" s="1075"/>
      <c r="G665" s="1075"/>
      <c r="H665" s="1075"/>
      <c r="I665" s="1075"/>
      <c r="J665" s="1075"/>
      <c r="K665" s="1075"/>
      <c r="L665" s="1075"/>
      <c r="M665" s="1075"/>
      <c r="N665" s="1075"/>
      <c r="O665" s="1075"/>
      <c r="P665" s="1075"/>
      <c r="Q665" s="1075"/>
      <c r="R665" s="1075"/>
      <c r="S665" s="1075"/>
      <c r="T665" s="1075"/>
      <c r="U665" s="1075"/>
      <c r="V665" s="1075"/>
      <c r="W665" s="1075"/>
      <c r="X665" s="1075"/>
      <c r="Y665" s="1075"/>
      <c r="Z665" s="1075"/>
      <c r="AA665" s="1075"/>
      <c r="AB665" s="1075"/>
      <c r="AC665" s="1075"/>
      <c r="AD665" s="1075"/>
      <c r="AE665" s="1075"/>
      <c r="AF665" s="1075"/>
      <c r="AG665" s="1075"/>
      <c r="AH665" s="1075"/>
      <c r="AI665" s="1075"/>
      <c r="AJ665" s="1075"/>
      <c r="AK665" s="1075"/>
      <c r="AL665" s="1075"/>
      <c r="AM665" s="1075"/>
      <c r="AN665" s="1075"/>
      <c r="AO665" s="1075"/>
      <c r="AP665" s="1075"/>
      <c r="AQ665" s="1075"/>
      <c r="AR665" s="1075"/>
      <c r="AS665" s="1075"/>
      <c r="AT665" s="1075"/>
      <c r="AU665" s="1075"/>
      <c r="AV665" s="1075"/>
    </row>
    <row r="666" spans="1:48" ht="11.25" hidden="1" customHeight="1">
      <c r="A666" s="1075"/>
      <c r="B666" s="1075"/>
      <c r="C666" s="1075"/>
      <c r="D666" s="1075"/>
      <c r="E666" s="1075"/>
      <c r="F666" s="1075"/>
      <c r="G666" s="1075"/>
      <c r="H666" s="1075"/>
      <c r="I666" s="1075"/>
      <c r="J666" s="1075"/>
      <c r="K666" s="1075"/>
      <c r="L666" s="1075"/>
      <c r="M666" s="1075"/>
      <c r="N666" s="1075"/>
      <c r="O666" s="1075"/>
      <c r="P666" s="1075"/>
      <c r="Q666" s="1075"/>
      <c r="R666" s="1075"/>
      <c r="S666" s="1075"/>
      <c r="T666" s="1075"/>
      <c r="U666" s="1075"/>
      <c r="V666" s="1075"/>
      <c r="W666" s="1075"/>
      <c r="X666" s="1075"/>
      <c r="Y666" s="1075"/>
      <c r="Z666" s="1075"/>
      <c r="AA666" s="1075"/>
      <c r="AB666" s="1075"/>
      <c r="AC666" s="1075"/>
      <c r="AD666" s="1075"/>
      <c r="AE666" s="1075"/>
      <c r="AF666" s="1075"/>
      <c r="AG666" s="1075"/>
      <c r="AH666" s="1075"/>
      <c r="AI666" s="1075"/>
      <c r="AJ666" s="1075"/>
      <c r="AK666" s="1075"/>
      <c r="AL666" s="1075"/>
      <c r="AM666" s="1075"/>
      <c r="AN666" s="1075"/>
      <c r="AO666" s="1075"/>
      <c r="AP666" s="1075"/>
      <c r="AQ666" s="1075"/>
      <c r="AR666" s="1075"/>
      <c r="AS666" s="1075"/>
      <c r="AT666" s="1075"/>
      <c r="AU666" s="1075"/>
      <c r="AV666" s="1075"/>
    </row>
    <row r="667" spans="1:48" ht="11.25" hidden="1" customHeight="1">
      <c r="A667" s="1075"/>
      <c r="B667" s="1075"/>
      <c r="C667" s="1075"/>
      <c r="D667" s="1075"/>
      <c r="E667" s="1075"/>
      <c r="F667" s="1075"/>
      <c r="G667" s="1075"/>
      <c r="H667" s="1075"/>
      <c r="I667" s="1075"/>
      <c r="J667" s="1075"/>
      <c r="K667" s="1075"/>
      <c r="L667" s="1075"/>
      <c r="M667" s="1075"/>
      <c r="N667" s="1075"/>
      <c r="O667" s="1075"/>
      <c r="P667" s="1075"/>
      <c r="Q667" s="1075"/>
      <c r="R667" s="1075"/>
      <c r="S667" s="1075"/>
      <c r="T667" s="1075"/>
      <c r="U667" s="1075"/>
      <c r="V667" s="1075"/>
      <c r="W667" s="1075"/>
      <c r="X667" s="1075"/>
      <c r="Y667" s="1075"/>
      <c r="Z667" s="1075"/>
      <c r="AA667" s="1075"/>
      <c r="AB667" s="1075"/>
      <c r="AC667" s="1075"/>
      <c r="AD667" s="1075"/>
      <c r="AE667" s="1075"/>
      <c r="AF667" s="1075"/>
      <c r="AG667" s="1075"/>
      <c r="AH667" s="1075"/>
      <c r="AI667" s="1075"/>
      <c r="AJ667" s="1075"/>
      <c r="AK667" s="1075"/>
      <c r="AL667" s="1075"/>
      <c r="AM667" s="1075"/>
      <c r="AN667" s="1075"/>
      <c r="AO667" s="1075"/>
      <c r="AP667" s="1075"/>
      <c r="AQ667" s="1075"/>
      <c r="AR667" s="1075"/>
      <c r="AS667" s="1075"/>
      <c r="AT667" s="1075"/>
      <c r="AU667" s="1075"/>
      <c r="AV667" s="1075"/>
    </row>
    <row r="668" spans="1:48" ht="11.25" hidden="1" customHeight="1">
      <c r="A668" s="1075"/>
      <c r="B668" s="1075"/>
      <c r="C668" s="1075"/>
      <c r="D668" s="1075"/>
      <c r="E668" s="1075"/>
      <c r="F668" s="1075"/>
      <c r="G668" s="1075"/>
      <c r="H668" s="1075"/>
      <c r="I668" s="1075"/>
      <c r="J668" s="1075"/>
      <c r="K668" s="1075"/>
      <c r="L668" s="1075"/>
      <c r="M668" s="1075"/>
      <c r="N668" s="1075"/>
      <c r="O668" s="1075"/>
      <c r="P668" s="1075"/>
      <c r="Q668" s="1075"/>
      <c r="R668" s="1075"/>
      <c r="S668" s="1075"/>
      <c r="T668" s="1075"/>
      <c r="U668" s="1075"/>
      <c r="V668" s="1075"/>
      <c r="W668" s="1075"/>
      <c r="X668" s="1075"/>
      <c r="Y668" s="1075"/>
      <c r="Z668" s="1075"/>
      <c r="AA668" s="1075"/>
      <c r="AB668" s="1075"/>
      <c r="AC668" s="1075"/>
      <c r="AD668" s="1075"/>
      <c r="AE668" s="1075"/>
      <c r="AF668" s="1075"/>
      <c r="AG668" s="1075"/>
      <c r="AH668" s="1075"/>
      <c r="AI668" s="1075"/>
      <c r="AJ668" s="1075"/>
      <c r="AK668" s="1075"/>
      <c r="AL668" s="1075"/>
      <c r="AM668" s="1075"/>
      <c r="AN668" s="1075"/>
      <c r="AO668" s="1075"/>
      <c r="AP668" s="1075"/>
      <c r="AQ668" s="1075"/>
      <c r="AR668" s="1075"/>
      <c r="AS668" s="1075"/>
      <c r="AT668" s="1075"/>
      <c r="AU668" s="1075"/>
      <c r="AV668" s="1075"/>
    </row>
    <row r="669" spans="1:48" ht="11.25" hidden="1" customHeight="1">
      <c r="A669" s="1075"/>
      <c r="B669" s="1075"/>
      <c r="C669" s="1075"/>
      <c r="D669" s="1075"/>
      <c r="E669" s="1075"/>
      <c r="F669" s="1075"/>
      <c r="G669" s="1075"/>
      <c r="H669" s="1075"/>
      <c r="I669" s="1075"/>
      <c r="J669" s="1075"/>
      <c r="K669" s="1075"/>
      <c r="L669" s="1075"/>
      <c r="M669" s="1075"/>
      <c r="N669" s="1075"/>
      <c r="O669" s="1075"/>
      <c r="P669" s="1075"/>
      <c r="Q669" s="1075"/>
      <c r="R669" s="1075"/>
      <c r="S669" s="1075"/>
      <c r="T669" s="1075"/>
      <c r="U669" s="1075"/>
      <c r="V669" s="1075"/>
      <c r="W669" s="1075"/>
      <c r="X669" s="1075"/>
      <c r="Y669" s="1075"/>
      <c r="Z669" s="1075"/>
      <c r="AA669" s="1075"/>
      <c r="AB669" s="1075"/>
      <c r="AC669" s="1075"/>
      <c r="AD669" s="1075"/>
      <c r="AE669" s="1075"/>
      <c r="AF669" s="1075"/>
      <c r="AG669" s="1075"/>
      <c r="AH669" s="1075"/>
      <c r="AI669" s="1075"/>
      <c r="AJ669" s="1075"/>
      <c r="AK669" s="1075"/>
      <c r="AL669" s="1075"/>
      <c r="AM669" s="1075"/>
      <c r="AN669" s="1075"/>
      <c r="AO669" s="1075"/>
      <c r="AP669" s="1075"/>
      <c r="AQ669" s="1075"/>
      <c r="AR669" s="1075"/>
      <c r="AS669" s="1075"/>
      <c r="AT669" s="1075"/>
      <c r="AU669" s="1075"/>
      <c r="AV669" s="1075"/>
    </row>
    <row r="670" spans="1:48" ht="11.25" hidden="1" customHeight="1">
      <c r="A670" s="1075"/>
      <c r="B670" s="1075"/>
      <c r="C670" s="1075"/>
      <c r="D670" s="1075"/>
      <c r="E670" s="1075"/>
      <c r="F670" s="1075"/>
      <c r="G670" s="1075"/>
      <c r="H670" s="1075"/>
      <c r="I670" s="1075"/>
      <c r="J670" s="1075"/>
      <c r="K670" s="1075"/>
      <c r="L670" s="1075"/>
      <c r="M670" s="1075"/>
      <c r="N670" s="1075"/>
      <c r="O670" s="1075"/>
      <c r="P670" s="1075"/>
      <c r="Q670" s="1075"/>
      <c r="R670" s="1075"/>
      <c r="S670" s="1075"/>
      <c r="T670" s="1075"/>
      <c r="U670" s="1075"/>
      <c r="V670" s="1075"/>
      <c r="W670" s="1075"/>
      <c r="X670" s="1075"/>
      <c r="Y670" s="1075"/>
      <c r="Z670" s="1075"/>
      <c r="AA670" s="1075"/>
      <c r="AB670" s="1075"/>
      <c r="AC670" s="1075"/>
      <c r="AD670" s="1075"/>
      <c r="AE670" s="1075"/>
      <c r="AF670" s="1075"/>
      <c r="AG670" s="1075"/>
      <c r="AH670" s="1075"/>
      <c r="AI670" s="1075"/>
      <c r="AJ670" s="1075"/>
      <c r="AK670" s="1075"/>
      <c r="AL670" s="1075"/>
      <c r="AM670" s="1075"/>
      <c r="AN670" s="1075"/>
      <c r="AO670" s="1075"/>
      <c r="AP670" s="1075"/>
      <c r="AQ670" s="1075"/>
      <c r="AR670" s="1075"/>
      <c r="AS670" s="1075"/>
      <c r="AT670" s="1075"/>
      <c r="AU670" s="1075"/>
      <c r="AV670" s="1075"/>
    </row>
    <row r="671" spans="1:48" ht="11.25" hidden="1" customHeight="1">
      <c r="A671" s="1075"/>
      <c r="B671" s="1075"/>
      <c r="C671" s="1075"/>
      <c r="D671" s="1075"/>
      <c r="E671" s="1075"/>
      <c r="F671" s="1075"/>
      <c r="G671" s="1075"/>
      <c r="H671" s="1075"/>
      <c r="I671" s="1075"/>
      <c r="J671" s="1075"/>
      <c r="K671" s="1075"/>
      <c r="L671" s="1075"/>
      <c r="M671" s="1075"/>
      <c r="N671" s="1075"/>
      <c r="O671" s="1075"/>
      <c r="P671" s="1075"/>
      <c r="Q671" s="1075"/>
      <c r="R671" s="1075"/>
      <c r="S671" s="1075"/>
      <c r="T671" s="1075"/>
      <c r="U671" s="1075"/>
      <c r="V671" s="1075"/>
      <c r="W671" s="1075"/>
      <c r="X671" s="1075"/>
      <c r="Y671" s="1075"/>
      <c r="Z671" s="1075"/>
      <c r="AA671" s="1075"/>
      <c r="AB671" s="1075"/>
      <c r="AC671" s="1075"/>
      <c r="AD671" s="1075"/>
      <c r="AE671" s="1075"/>
      <c r="AF671" s="1075"/>
      <c r="AG671" s="1075"/>
      <c r="AH671" s="1075"/>
      <c r="AI671" s="1075"/>
      <c r="AJ671" s="1075"/>
      <c r="AK671" s="1075"/>
      <c r="AL671" s="1075"/>
      <c r="AM671" s="1075"/>
      <c r="AN671" s="1075"/>
      <c r="AO671" s="1075"/>
      <c r="AP671" s="1075"/>
      <c r="AQ671" s="1075"/>
      <c r="AR671" s="1075"/>
      <c r="AS671" s="1075"/>
      <c r="AT671" s="1075"/>
      <c r="AU671" s="1075"/>
      <c r="AV671" s="1075"/>
    </row>
    <row r="672" spans="1:48" ht="11.25" hidden="1" customHeight="1">
      <c r="A672" s="1075"/>
      <c r="B672" s="1075"/>
      <c r="C672" s="1075"/>
      <c r="D672" s="1075"/>
      <c r="E672" s="1075"/>
      <c r="F672" s="1075"/>
      <c r="G672" s="1075"/>
      <c r="H672" s="1075"/>
      <c r="I672" s="1075"/>
      <c r="J672" s="1075"/>
      <c r="K672" s="1075"/>
      <c r="L672" s="1075"/>
      <c r="M672" s="1075"/>
      <c r="N672" s="1075"/>
      <c r="O672" s="1075"/>
      <c r="P672" s="1075"/>
      <c r="Q672" s="1075"/>
      <c r="R672" s="1075"/>
      <c r="S672" s="1075"/>
      <c r="T672" s="1075"/>
      <c r="U672" s="1075"/>
      <c r="V672" s="1075"/>
      <c r="W672" s="1075"/>
      <c r="X672" s="1075"/>
      <c r="Y672" s="1075"/>
      <c r="Z672" s="1075"/>
      <c r="AA672" s="1075"/>
      <c r="AB672" s="1075"/>
      <c r="AC672" s="1075"/>
      <c r="AD672" s="1075"/>
      <c r="AE672" s="1075"/>
      <c r="AF672" s="1075"/>
      <c r="AG672" s="1075"/>
      <c r="AH672" s="1075"/>
      <c r="AI672" s="1075"/>
      <c r="AJ672" s="1075"/>
      <c r="AK672" s="1075"/>
      <c r="AL672" s="1075"/>
      <c r="AM672" s="1075"/>
      <c r="AN672" s="1075"/>
      <c r="AO672" s="1075"/>
      <c r="AP672" s="1075"/>
      <c r="AQ672" s="1075"/>
      <c r="AR672" s="1075"/>
      <c r="AS672" s="1075"/>
      <c r="AT672" s="1075"/>
      <c r="AU672" s="1075"/>
      <c r="AV672" s="1075"/>
    </row>
    <row r="673" spans="1:48" ht="11.25" hidden="1" customHeight="1">
      <c r="A673" s="1075"/>
      <c r="B673" s="1075"/>
      <c r="C673" s="1075"/>
      <c r="D673" s="1075"/>
      <c r="E673" s="1075"/>
      <c r="F673" s="1075"/>
      <c r="G673" s="1075"/>
      <c r="H673" s="1075"/>
      <c r="I673" s="1075"/>
      <c r="J673" s="1075"/>
      <c r="K673" s="1075"/>
      <c r="L673" s="1075"/>
      <c r="M673" s="1075"/>
      <c r="N673" s="1075"/>
      <c r="O673" s="1075"/>
      <c r="P673" s="1075"/>
      <c r="Q673" s="1075"/>
      <c r="R673" s="1075"/>
      <c r="S673" s="1075"/>
      <c r="T673" s="1075"/>
      <c r="U673" s="1075"/>
      <c r="V673" s="1075"/>
      <c r="W673" s="1075"/>
      <c r="X673" s="1075"/>
      <c r="Y673" s="1075"/>
      <c r="Z673" s="1075"/>
      <c r="AA673" s="1075"/>
      <c r="AB673" s="1075"/>
      <c r="AC673" s="1075"/>
      <c r="AD673" s="1075"/>
      <c r="AE673" s="1075"/>
      <c r="AF673" s="1075"/>
      <c r="AG673" s="1075"/>
      <c r="AH673" s="1075"/>
      <c r="AI673" s="1075"/>
      <c r="AJ673" s="1075"/>
      <c r="AK673" s="1075"/>
      <c r="AL673" s="1075"/>
      <c r="AM673" s="1075"/>
      <c r="AN673" s="1075"/>
      <c r="AO673" s="1075"/>
      <c r="AP673" s="1075"/>
      <c r="AQ673" s="1075"/>
      <c r="AR673" s="1075"/>
      <c r="AS673" s="1075"/>
      <c r="AT673" s="1075"/>
      <c r="AU673" s="1075"/>
      <c r="AV673" s="1075"/>
    </row>
    <row r="674" spans="1:48" ht="11.25" hidden="1" customHeight="1">
      <c r="A674" s="1075"/>
      <c r="B674" s="1075"/>
      <c r="C674" s="1075"/>
      <c r="D674" s="1075"/>
      <c r="E674" s="1075"/>
      <c r="F674" s="1075"/>
      <c r="G674" s="1075"/>
      <c r="H674" s="1075"/>
      <c r="I674" s="1075"/>
      <c r="J674" s="1075"/>
      <c r="K674" s="1075"/>
      <c r="L674" s="1075"/>
      <c r="M674" s="1075"/>
      <c r="N674" s="1075"/>
      <c r="O674" s="1075"/>
      <c r="P674" s="1075"/>
      <c r="Q674" s="1075"/>
      <c r="R674" s="1075"/>
      <c r="S674" s="1075"/>
      <c r="T674" s="1075"/>
      <c r="U674" s="1075"/>
      <c r="V674" s="1075"/>
      <c r="W674" s="1075"/>
      <c r="X674" s="1075"/>
      <c r="Y674" s="1075"/>
      <c r="Z674" s="1075"/>
      <c r="AA674" s="1075"/>
      <c r="AB674" s="1075"/>
      <c r="AC674" s="1075"/>
      <c r="AD674" s="1075"/>
      <c r="AE674" s="1075"/>
      <c r="AF674" s="1075"/>
      <c r="AG674" s="1075"/>
      <c r="AH674" s="1075"/>
      <c r="AI674" s="1075"/>
      <c r="AJ674" s="1075"/>
      <c r="AK674" s="1075"/>
      <c r="AL674" s="1075"/>
      <c r="AM674" s="1075"/>
      <c r="AN674" s="1075"/>
      <c r="AO674" s="1075"/>
      <c r="AP674" s="1075"/>
      <c r="AQ674" s="1075"/>
      <c r="AR674" s="1075"/>
      <c r="AS674" s="1075"/>
      <c r="AT674" s="1075"/>
      <c r="AU674" s="1075"/>
      <c r="AV674" s="1075"/>
    </row>
    <row r="675" spans="1:48" ht="11.25" hidden="1" customHeight="1">
      <c r="A675" s="1075"/>
      <c r="B675" s="1075"/>
      <c r="C675" s="1075"/>
      <c r="D675" s="1075"/>
      <c r="E675" s="1075"/>
      <c r="F675" s="1075"/>
      <c r="G675" s="1075"/>
      <c r="H675" s="1075"/>
      <c r="I675" s="1075"/>
      <c r="J675" s="1075"/>
      <c r="K675" s="1075"/>
      <c r="L675" s="1075"/>
      <c r="M675" s="1075"/>
      <c r="N675" s="1075"/>
      <c r="O675" s="1075"/>
      <c r="P675" s="1075"/>
      <c r="Q675" s="1075"/>
      <c r="R675" s="1075"/>
      <c r="S675" s="1075"/>
      <c r="T675" s="1075"/>
      <c r="U675" s="1075"/>
      <c r="V675" s="1075"/>
      <c r="W675" s="1075"/>
      <c r="X675" s="1075"/>
      <c r="Y675" s="1075"/>
      <c r="Z675" s="1075"/>
      <c r="AA675" s="1075"/>
      <c r="AB675" s="1075"/>
      <c r="AC675" s="1075"/>
      <c r="AD675" s="1075"/>
      <c r="AE675" s="1075"/>
      <c r="AF675" s="1075"/>
      <c r="AG675" s="1075"/>
      <c r="AH675" s="1075"/>
      <c r="AI675" s="1075"/>
      <c r="AJ675" s="1075"/>
      <c r="AK675" s="1075"/>
      <c r="AL675" s="1075"/>
      <c r="AM675" s="1075"/>
      <c r="AN675" s="1075"/>
      <c r="AO675" s="1075"/>
      <c r="AP675" s="1075"/>
      <c r="AQ675" s="1075"/>
      <c r="AR675" s="1075"/>
      <c r="AS675" s="1075"/>
      <c r="AT675" s="1075"/>
      <c r="AU675" s="1075"/>
      <c r="AV675" s="1075"/>
    </row>
    <row r="676" spans="1:48" ht="11.25" hidden="1" customHeight="1">
      <c r="A676" s="1075"/>
      <c r="B676" s="1075"/>
      <c r="C676" s="1075"/>
      <c r="D676" s="1075"/>
      <c r="E676" s="1075"/>
      <c r="F676" s="1075"/>
      <c r="G676" s="1075"/>
      <c r="H676" s="1075"/>
      <c r="I676" s="1075"/>
      <c r="J676" s="1075"/>
      <c r="K676" s="1075"/>
      <c r="L676" s="1075"/>
      <c r="M676" s="1075"/>
      <c r="N676" s="1075"/>
      <c r="O676" s="1075"/>
      <c r="P676" s="1075"/>
      <c r="Q676" s="1075"/>
      <c r="R676" s="1075"/>
      <c r="S676" s="1075"/>
      <c r="T676" s="1075"/>
      <c r="U676" s="1075"/>
      <c r="V676" s="1075"/>
      <c r="W676" s="1075"/>
      <c r="X676" s="1075"/>
      <c r="Y676" s="1075"/>
      <c r="Z676" s="1075"/>
      <c r="AA676" s="1075"/>
      <c r="AB676" s="1075"/>
      <c r="AC676" s="1075"/>
      <c r="AD676" s="1075"/>
      <c r="AE676" s="1075"/>
      <c r="AF676" s="1075"/>
      <c r="AG676" s="1075"/>
      <c r="AH676" s="1075"/>
      <c r="AI676" s="1075"/>
      <c r="AJ676" s="1075"/>
      <c r="AK676" s="1075"/>
      <c r="AL676" s="1075"/>
      <c r="AM676" s="1075"/>
      <c r="AN676" s="1075"/>
      <c r="AO676" s="1075"/>
      <c r="AP676" s="1075"/>
      <c r="AQ676" s="1075"/>
      <c r="AR676" s="1075"/>
      <c r="AS676" s="1075"/>
      <c r="AT676" s="1075"/>
      <c r="AU676" s="1075"/>
      <c r="AV676" s="1075"/>
    </row>
    <row r="677" spans="1:48" ht="11.25" hidden="1" customHeight="1">
      <c r="A677" s="1075"/>
      <c r="B677" s="1075"/>
      <c r="C677" s="1075"/>
      <c r="D677" s="1075"/>
      <c r="E677" s="1075"/>
      <c r="F677" s="1075"/>
      <c r="G677" s="1075"/>
      <c r="H677" s="1075"/>
      <c r="I677" s="1075"/>
      <c r="J677" s="1075"/>
      <c r="K677" s="1075"/>
      <c r="L677" s="1075"/>
      <c r="M677" s="1075"/>
      <c r="N677" s="1075"/>
      <c r="O677" s="1075"/>
      <c r="P677" s="1075"/>
      <c r="Q677" s="1075"/>
      <c r="R677" s="1075"/>
      <c r="S677" s="1075"/>
      <c r="T677" s="1075"/>
      <c r="U677" s="1075"/>
      <c r="V677" s="1075"/>
      <c r="W677" s="1075"/>
      <c r="X677" s="1075"/>
      <c r="Y677" s="1075"/>
      <c r="Z677" s="1075"/>
      <c r="AA677" s="1075"/>
      <c r="AB677" s="1075"/>
      <c r="AC677" s="1075"/>
      <c r="AD677" s="1075"/>
      <c r="AE677" s="1075"/>
      <c r="AF677" s="1075"/>
      <c r="AG677" s="1075"/>
      <c r="AH677" s="1075"/>
      <c r="AI677" s="1075"/>
      <c r="AJ677" s="1075"/>
      <c r="AK677" s="1075"/>
      <c r="AL677" s="1075"/>
      <c r="AM677" s="1075"/>
      <c r="AN677" s="1075"/>
      <c r="AO677" s="1075"/>
      <c r="AP677" s="1075"/>
      <c r="AQ677" s="1075"/>
      <c r="AR677" s="1075"/>
      <c r="AS677" s="1075"/>
      <c r="AT677" s="1075"/>
      <c r="AU677" s="1075"/>
      <c r="AV677" s="1075"/>
    </row>
    <row r="678" spans="1:48" ht="11.25" hidden="1" customHeight="1">
      <c r="A678" s="1075"/>
      <c r="B678" s="1075"/>
      <c r="C678" s="1075"/>
      <c r="D678" s="1075"/>
      <c r="E678" s="1075"/>
      <c r="F678" s="1075"/>
      <c r="G678" s="1075"/>
      <c r="H678" s="1075"/>
      <c r="I678" s="1075"/>
      <c r="J678" s="1075"/>
      <c r="K678" s="1075"/>
      <c r="L678" s="1075"/>
      <c r="M678" s="1075"/>
      <c r="N678" s="1075"/>
      <c r="O678" s="1075"/>
      <c r="P678" s="1075"/>
      <c r="Q678" s="1075"/>
      <c r="R678" s="1075"/>
      <c r="S678" s="1075"/>
      <c r="T678" s="1075"/>
      <c r="U678" s="1075"/>
      <c r="V678" s="1075"/>
      <c r="W678" s="1075"/>
      <c r="X678" s="1075"/>
      <c r="Y678" s="1075"/>
      <c r="Z678" s="1075"/>
      <c r="AA678" s="1075"/>
      <c r="AB678" s="1075"/>
      <c r="AC678" s="1075"/>
      <c r="AD678" s="1075"/>
      <c r="AE678" s="1075"/>
      <c r="AF678" s="1075"/>
      <c r="AG678" s="1075"/>
      <c r="AH678" s="1075"/>
      <c r="AI678" s="1075"/>
      <c r="AJ678" s="1075"/>
      <c r="AK678" s="1075"/>
      <c r="AL678" s="1075"/>
      <c r="AM678" s="1075"/>
      <c r="AN678" s="1075"/>
      <c r="AO678" s="1075"/>
      <c r="AP678" s="1075"/>
      <c r="AQ678" s="1075"/>
      <c r="AR678" s="1075"/>
      <c r="AS678" s="1075"/>
      <c r="AT678" s="1075"/>
      <c r="AU678" s="1075"/>
      <c r="AV678" s="1075"/>
    </row>
    <row r="679" spans="1:48" ht="11.25" hidden="1" customHeight="1">
      <c r="A679" s="1075"/>
      <c r="B679" s="1075"/>
      <c r="C679" s="1075"/>
      <c r="D679" s="1075"/>
      <c r="E679" s="1075"/>
      <c r="F679" s="1075"/>
      <c r="G679" s="1075"/>
      <c r="H679" s="1075"/>
      <c r="I679" s="1075"/>
      <c r="J679" s="1075"/>
      <c r="K679" s="1075"/>
      <c r="L679" s="1075"/>
      <c r="M679" s="1075"/>
      <c r="N679" s="1075"/>
      <c r="O679" s="1075"/>
      <c r="P679" s="1075"/>
      <c r="Q679" s="1075"/>
      <c r="R679" s="1075"/>
      <c r="S679" s="1075"/>
      <c r="T679" s="1075"/>
      <c r="U679" s="1075"/>
      <c r="V679" s="1075"/>
      <c r="W679" s="1075"/>
      <c r="X679" s="1075"/>
      <c r="Y679" s="1075"/>
      <c r="Z679" s="1075"/>
      <c r="AA679" s="1075"/>
      <c r="AB679" s="1075"/>
      <c r="AC679" s="1075"/>
      <c r="AD679" s="1075"/>
      <c r="AE679" s="1075"/>
      <c r="AF679" s="1075"/>
      <c r="AG679" s="1075"/>
      <c r="AH679" s="1075"/>
      <c r="AI679" s="1075"/>
      <c r="AJ679" s="1075"/>
      <c r="AK679" s="1075"/>
      <c r="AL679" s="1075"/>
      <c r="AM679" s="1075"/>
      <c r="AN679" s="1075"/>
      <c r="AO679" s="1075"/>
      <c r="AP679" s="1075"/>
      <c r="AQ679" s="1075"/>
      <c r="AR679" s="1075"/>
      <c r="AS679" s="1075"/>
      <c r="AT679" s="1075"/>
      <c r="AU679" s="1075"/>
      <c r="AV679" s="1075"/>
    </row>
    <row r="680" spans="1:48" ht="11.25" hidden="1" customHeight="1">
      <c r="A680" s="1075"/>
      <c r="B680" s="1075"/>
      <c r="C680" s="1075"/>
      <c r="D680" s="1075"/>
      <c r="E680" s="1075"/>
      <c r="F680" s="1075"/>
      <c r="G680" s="1075"/>
      <c r="H680" s="1075"/>
      <c r="I680" s="1075"/>
      <c r="J680" s="1075"/>
      <c r="K680" s="1075"/>
      <c r="L680" s="1075"/>
      <c r="M680" s="1075"/>
      <c r="N680" s="1075"/>
      <c r="O680" s="1075"/>
      <c r="P680" s="1075"/>
      <c r="Q680" s="1075"/>
      <c r="R680" s="1075"/>
      <c r="S680" s="1075"/>
      <c r="T680" s="1075"/>
      <c r="U680" s="1075"/>
      <c r="V680" s="1075"/>
      <c r="W680" s="1075"/>
      <c r="X680" s="1075"/>
      <c r="Y680" s="1075"/>
      <c r="Z680" s="1075"/>
      <c r="AA680" s="1075"/>
      <c r="AB680" s="1075"/>
      <c r="AC680" s="1075"/>
      <c r="AD680" s="1075"/>
      <c r="AE680" s="1075"/>
      <c r="AF680" s="1075"/>
      <c r="AG680" s="1075"/>
      <c r="AH680" s="1075"/>
      <c r="AI680" s="1075"/>
      <c r="AJ680" s="1075"/>
      <c r="AK680" s="1075"/>
      <c r="AL680" s="1075"/>
      <c r="AM680" s="1075"/>
      <c r="AN680" s="1075"/>
      <c r="AO680" s="1075"/>
      <c r="AP680" s="1075"/>
      <c r="AQ680" s="1075"/>
      <c r="AR680" s="1075"/>
      <c r="AS680" s="1075"/>
      <c r="AT680" s="1075"/>
      <c r="AU680" s="1075"/>
      <c r="AV680" s="1075"/>
    </row>
    <row r="681" spans="1:48" ht="11.25" hidden="1" customHeight="1">
      <c r="A681" s="1075"/>
      <c r="B681" s="1075"/>
      <c r="C681" s="1075"/>
      <c r="D681" s="1075"/>
      <c r="E681" s="1075"/>
      <c r="F681" s="1075"/>
      <c r="G681" s="1075"/>
      <c r="H681" s="1075"/>
      <c r="I681" s="1075"/>
      <c r="J681" s="1075"/>
      <c r="K681" s="1075"/>
      <c r="L681" s="1075"/>
      <c r="M681" s="1075"/>
      <c r="N681" s="1075"/>
      <c r="O681" s="1075"/>
      <c r="P681" s="1075"/>
      <c r="Q681" s="1075"/>
      <c r="R681" s="1075"/>
      <c r="S681" s="1075"/>
      <c r="T681" s="1075"/>
      <c r="U681" s="1075"/>
      <c r="V681" s="1075"/>
      <c r="W681" s="1075"/>
      <c r="X681" s="1075"/>
      <c r="Y681" s="1075"/>
      <c r="Z681" s="1075"/>
      <c r="AA681" s="1075"/>
      <c r="AB681" s="1075"/>
      <c r="AC681" s="1075"/>
      <c r="AD681" s="1075"/>
      <c r="AE681" s="1075"/>
      <c r="AF681" s="1075"/>
      <c r="AG681" s="1075"/>
      <c r="AH681" s="1075"/>
      <c r="AI681" s="1075"/>
      <c r="AJ681" s="1075"/>
      <c r="AK681" s="1075"/>
      <c r="AL681" s="1075"/>
      <c r="AM681" s="1075"/>
      <c r="AN681" s="1075"/>
      <c r="AO681" s="1075"/>
      <c r="AP681" s="1075"/>
      <c r="AQ681" s="1075"/>
      <c r="AR681" s="1075"/>
      <c r="AS681" s="1075"/>
      <c r="AT681" s="1075"/>
      <c r="AU681" s="1075"/>
      <c r="AV681" s="1075"/>
    </row>
    <row r="682" spans="1:48" ht="11.25" hidden="1" customHeight="1">
      <c r="A682" s="1075"/>
      <c r="B682" s="1075"/>
      <c r="C682" s="1075"/>
      <c r="D682" s="1075"/>
      <c r="E682" s="1075"/>
      <c r="F682" s="1075"/>
      <c r="G682" s="1075"/>
      <c r="H682" s="1075"/>
      <c r="I682" s="1075"/>
      <c r="J682" s="1075"/>
      <c r="K682" s="1075"/>
      <c r="L682" s="1075"/>
      <c r="M682" s="1075"/>
      <c r="N682" s="1075"/>
      <c r="O682" s="1075"/>
      <c r="P682" s="1075"/>
      <c r="Q682" s="1075"/>
      <c r="R682" s="1075"/>
      <c r="S682" s="1075"/>
      <c r="T682" s="1075"/>
      <c r="U682" s="1075"/>
      <c r="V682" s="1075"/>
      <c r="W682" s="1075"/>
      <c r="X682" s="1075"/>
      <c r="Y682" s="1075"/>
      <c r="Z682" s="1075"/>
      <c r="AA682" s="1075"/>
      <c r="AB682" s="1075"/>
      <c r="AC682" s="1075"/>
      <c r="AD682" s="1075"/>
      <c r="AE682" s="1075"/>
      <c r="AF682" s="1075"/>
      <c r="AG682" s="1075"/>
      <c r="AH682" s="1075"/>
      <c r="AI682" s="1075"/>
      <c r="AJ682" s="1075"/>
      <c r="AK682" s="1075"/>
      <c r="AL682" s="1075"/>
      <c r="AM682" s="1075"/>
      <c r="AN682" s="1075"/>
      <c r="AO682" s="1075"/>
      <c r="AP682" s="1075"/>
      <c r="AQ682" s="1075"/>
      <c r="AR682" s="1075"/>
      <c r="AS682" s="1075"/>
      <c r="AT682" s="1075"/>
      <c r="AU682" s="1075"/>
      <c r="AV682" s="1075"/>
    </row>
    <row r="683" spans="1:48" ht="11.25" hidden="1" customHeight="1">
      <c r="A683" s="1075"/>
      <c r="B683" s="1075"/>
      <c r="C683" s="1075"/>
      <c r="D683" s="1075"/>
      <c r="E683" s="1075"/>
      <c r="F683" s="1075"/>
      <c r="G683" s="1075"/>
      <c r="H683" s="1075"/>
      <c r="I683" s="1075"/>
      <c r="J683" s="1075"/>
      <c r="K683" s="1075"/>
      <c r="L683" s="1075"/>
      <c r="M683" s="1075"/>
      <c r="N683" s="1075"/>
      <c r="O683" s="1075"/>
      <c r="P683" s="1075"/>
      <c r="Q683" s="1075"/>
      <c r="R683" s="1075"/>
      <c r="S683" s="1075"/>
      <c r="T683" s="1075"/>
      <c r="U683" s="1075"/>
      <c r="V683" s="1075"/>
      <c r="W683" s="1075"/>
      <c r="X683" s="1075"/>
      <c r="Y683" s="1075"/>
      <c r="Z683" s="1075"/>
      <c r="AA683" s="1075"/>
      <c r="AB683" s="1075"/>
      <c r="AC683" s="1075"/>
      <c r="AD683" s="1075"/>
      <c r="AE683" s="1075"/>
      <c r="AF683" s="1075"/>
      <c r="AG683" s="1075"/>
      <c r="AH683" s="1075"/>
      <c r="AI683" s="1075"/>
      <c r="AJ683" s="1075"/>
      <c r="AK683" s="1075"/>
      <c r="AL683" s="1075"/>
      <c r="AM683" s="1075"/>
      <c r="AN683" s="1075"/>
      <c r="AO683" s="1075"/>
      <c r="AP683" s="1075"/>
      <c r="AQ683" s="1075"/>
      <c r="AR683" s="1075"/>
      <c r="AS683" s="1075"/>
      <c r="AT683" s="1075"/>
      <c r="AU683" s="1075"/>
      <c r="AV683" s="1075"/>
    </row>
    <row r="684" spans="1:48" ht="11.25" hidden="1" customHeight="1">
      <c r="A684" s="1075"/>
      <c r="B684" s="1075"/>
      <c r="C684" s="1075"/>
      <c r="D684" s="1075"/>
      <c r="E684" s="1075"/>
      <c r="F684" s="1075"/>
      <c r="G684" s="1075"/>
      <c r="H684" s="1075"/>
      <c r="I684" s="1075"/>
      <c r="J684" s="1075"/>
      <c r="K684" s="1075"/>
      <c r="L684" s="1075"/>
      <c r="M684" s="1075"/>
      <c r="N684" s="1075"/>
      <c r="O684" s="1075"/>
      <c r="P684" s="1075"/>
      <c r="Q684" s="1075"/>
      <c r="R684" s="1075"/>
      <c r="S684" s="1075"/>
      <c r="T684" s="1075"/>
      <c r="U684" s="1075"/>
      <c r="V684" s="1075"/>
      <c r="W684" s="1075"/>
      <c r="X684" s="1075"/>
      <c r="Y684" s="1075"/>
      <c r="Z684" s="1075"/>
      <c r="AA684" s="1075"/>
      <c r="AB684" s="1075"/>
      <c r="AC684" s="1075"/>
      <c r="AD684" s="1075"/>
      <c r="AE684" s="1075"/>
      <c r="AF684" s="1075"/>
      <c r="AG684" s="1075"/>
      <c r="AH684" s="1075"/>
      <c r="AI684" s="1075"/>
      <c r="AJ684" s="1075"/>
      <c r="AK684" s="1075"/>
      <c r="AL684" s="1075"/>
      <c r="AM684" s="1075"/>
      <c r="AN684" s="1075"/>
      <c r="AO684" s="1075"/>
      <c r="AP684" s="1075"/>
      <c r="AQ684" s="1075"/>
      <c r="AR684" s="1075"/>
      <c r="AS684" s="1075"/>
      <c r="AT684" s="1075"/>
      <c r="AU684" s="1075"/>
      <c r="AV684" s="1075"/>
    </row>
    <row r="685" spans="1:48" ht="11.25" hidden="1" customHeight="1">
      <c r="A685" s="1075"/>
      <c r="B685" s="1075"/>
      <c r="C685" s="1075"/>
      <c r="D685" s="1075"/>
      <c r="E685" s="1075"/>
      <c r="F685" s="1075"/>
      <c r="G685" s="1075"/>
      <c r="H685" s="1075"/>
      <c r="I685" s="1075"/>
      <c r="J685" s="1075"/>
      <c r="K685" s="1075"/>
      <c r="L685" s="1075"/>
      <c r="M685" s="1075"/>
      <c r="N685" s="1075"/>
      <c r="O685" s="1075"/>
      <c r="P685" s="1075"/>
      <c r="Q685" s="1075"/>
      <c r="R685" s="1075"/>
      <c r="S685" s="1075"/>
      <c r="T685" s="1075"/>
      <c r="U685" s="1075"/>
      <c r="V685" s="1075"/>
      <c r="W685" s="1075"/>
      <c r="X685" s="1075"/>
      <c r="Y685" s="1075"/>
      <c r="Z685" s="1075"/>
      <c r="AA685" s="1075"/>
      <c r="AB685" s="1075"/>
      <c r="AC685" s="1075"/>
      <c r="AD685" s="1075"/>
      <c r="AE685" s="1075"/>
      <c r="AF685" s="1075"/>
      <c r="AG685" s="1075"/>
      <c r="AH685" s="1075"/>
      <c r="AI685" s="1075"/>
      <c r="AJ685" s="1075"/>
      <c r="AK685" s="1075"/>
      <c r="AL685" s="1075"/>
      <c r="AM685" s="1075"/>
      <c r="AN685" s="1075"/>
      <c r="AO685" s="1075"/>
      <c r="AP685" s="1075"/>
      <c r="AQ685" s="1075"/>
      <c r="AR685" s="1075"/>
      <c r="AS685" s="1075"/>
      <c r="AT685" s="1075"/>
      <c r="AU685" s="1075"/>
      <c r="AV685" s="1075"/>
    </row>
    <row r="686" spans="1:48" ht="11.25" hidden="1" customHeight="1">
      <c r="A686" s="1075"/>
      <c r="B686" s="1075"/>
      <c r="C686" s="1075"/>
      <c r="D686" s="1075"/>
      <c r="E686" s="1075"/>
      <c r="F686" s="1075"/>
      <c r="G686" s="1075"/>
      <c r="H686" s="1075"/>
      <c r="I686" s="1075"/>
      <c r="J686" s="1075"/>
      <c r="K686" s="1075"/>
      <c r="L686" s="1075"/>
      <c r="M686" s="1075"/>
      <c r="N686" s="1075"/>
      <c r="O686" s="1075"/>
      <c r="P686" s="1075"/>
      <c r="Q686" s="1075"/>
      <c r="R686" s="1075"/>
      <c r="S686" s="1075"/>
      <c r="T686" s="1075"/>
      <c r="U686" s="1075"/>
      <c r="V686" s="1075"/>
      <c r="W686" s="1075"/>
      <c r="X686" s="1075"/>
      <c r="Y686" s="1075"/>
      <c r="Z686" s="1075"/>
      <c r="AA686" s="1075"/>
      <c r="AB686" s="1075"/>
      <c r="AC686" s="1075"/>
      <c r="AD686" s="1075"/>
      <c r="AE686" s="1075"/>
      <c r="AF686" s="1075"/>
      <c r="AG686" s="1075"/>
      <c r="AH686" s="1075"/>
      <c r="AI686" s="1075"/>
      <c r="AJ686" s="1075"/>
      <c r="AK686" s="1075"/>
      <c r="AL686" s="1075"/>
      <c r="AM686" s="1075"/>
      <c r="AN686" s="1075"/>
      <c r="AO686" s="1075"/>
      <c r="AP686" s="1075"/>
      <c r="AQ686" s="1075"/>
      <c r="AR686" s="1075"/>
      <c r="AS686" s="1075"/>
      <c r="AT686" s="1075"/>
      <c r="AU686" s="1075"/>
      <c r="AV686" s="1075"/>
    </row>
    <row r="687" spans="1:48" ht="11.25" hidden="1" customHeight="1">
      <c r="A687" s="1075"/>
      <c r="B687" s="1075"/>
      <c r="C687" s="1075"/>
      <c r="D687" s="1075"/>
      <c r="E687" s="1075"/>
      <c r="F687" s="1075"/>
      <c r="G687" s="1075"/>
      <c r="H687" s="1075"/>
      <c r="I687" s="1075"/>
      <c r="J687" s="1075"/>
      <c r="K687" s="1075"/>
      <c r="L687" s="1075"/>
      <c r="M687" s="1075"/>
      <c r="N687" s="1075"/>
      <c r="O687" s="1075"/>
      <c r="P687" s="1075"/>
      <c r="Q687" s="1075"/>
      <c r="R687" s="1075"/>
      <c r="S687" s="1075"/>
      <c r="T687" s="1075"/>
      <c r="U687" s="1075"/>
      <c r="V687" s="1075"/>
      <c r="W687" s="1075"/>
      <c r="X687" s="1075"/>
      <c r="Y687" s="1075"/>
      <c r="Z687" s="1075"/>
      <c r="AA687" s="1075"/>
      <c r="AB687" s="1075"/>
      <c r="AC687" s="1075"/>
      <c r="AD687" s="1075"/>
      <c r="AE687" s="1075"/>
      <c r="AF687" s="1075"/>
      <c r="AG687" s="1075"/>
      <c r="AH687" s="1075"/>
      <c r="AI687" s="1075"/>
      <c r="AJ687" s="1075"/>
      <c r="AK687" s="1075"/>
      <c r="AL687" s="1075"/>
      <c r="AM687" s="1075"/>
      <c r="AN687" s="1075"/>
      <c r="AO687" s="1075"/>
      <c r="AP687" s="1075"/>
      <c r="AQ687" s="1075"/>
      <c r="AR687" s="1075"/>
      <c r="AS687" s="1075"/>
      <c r="AT687" s="1075"/>
      <c r="AU687" s="1075"/>
      <c r="AV687" s="1075"/>
    </row>
    <row r="688" spans="1:48" ht="11.25" hidden="1" customHeight="1">
      <c r="A688" s="1075"/>
      <c r="B688" s="1075"/>
      <c r="C688" s="1075"/>
      <c r="D688" s="1075"/>
      <c r="E688" s="1075"/>
      <c r="F688" s="1075"/>
      <c r="G688" s="1075"/>
      <c r="H688" s="1075"/>
      <c r="I688" s="1075"/>
      <c r="J688" s="1075"/>
      <c r="K688" s="1075"/>
      <c r="L688" s="1075"/>
      <c r="M688" s="1075"/>
      <c r="N688" s="1075"/>
      <c r="O688" s="1075"/>
      <c r="P688" s="1075"/>
      <c r="Q688" s="1075"/>
      <c r="R688" s="1075"/>
      <c r="S688" s="1075"/>
      <c r="T688" s="1075"/>
      <c r="U688" s="1075"/>
      <c r="V688" s="1075"/>
      <c r="W688" s="1075"/>
      <c r="X688" s="1075"/>
      <c r="Y688" s="1075"/>
      <c r="Z688" s="1075"/>
      <c r="AA688" s="1075"/>
      <c r="AB688" s="1075"/>
      <c r="AC688" s="1075"/>
      <c r="AD688" s="1075"/>
      <c r="AE688" s="1075"/>
      <c r="AF688" s="1075"/>
      <c r="AG688" s="1075"/>
      <c r="AH688" s="1075"/>
      <c r="AI688" s="1075"/>
      <c r="AJ688" s="1075"/>
      <c r="AK688" s="1075"/>
      <c r="AL688" s="1075"/>
      <c r="AM688" s="1075"/>
      <c r="AN688" s="1075"/>
      <c r="AO688" s="1075"/>
      <c r="AP688" s="1075"/>
      <c r="AQ688" s="1075"/>
      <c r="AR688" s="1075"/>
      <c r="AS688" s="1075"/>
      <c r="AT688" s="1075"/>
      <c r="AU688" s="1075"/>
      <c r="AV688" s="1075"/>
    </row>
    <row r="689" spans="1:48" ht="11.25" hidden="1" customHeight="1">
      <c r="A689" s="1075"/>
      <c r="B689" s="1075"/>
      <c r="C689" s="1075"/>
      <c r="D689" s="1075"/>
      <c r="E689" s="1075"/>
      <c r="F689" s="1075"/>
      <c r="G689" s="1075"/>
      <c r="H689" s="1075"/>
      <c r="I689" s="1075"/>
      <c r="J689" s="1075"/>
      <c r="K689" s="1075"/>
      <c r="L689" s="1075"/>
      <c r="M689" s="1075"/>
      <c r="N689" s="1075"/>
      <c r="O689" s="1075"/>
      <c r="P689" s="1075"/>
      <c r="Q689" s="1075"/>
      <c r="R689" s="1075"/>
      <c r="S689" s="1075"/>
      <c r="T689" s="1075"/>
      <c r="U689" s="1075"/>
      <c r="V689" s="1075"/>
      <c r="W689" s="1075"/>
      <c r="X689" s="1075"/>
      <c r="Y689" s="1075"/>
      <c r="Z689" s="1075"/>
      <c r="AA689" s="1075"/>
      <c r="AB689" s="1075"/>
      <c r="AC689" s="1075"/>
      <c r="AD689" s="1075"/>
      <c r="AE689" s="1075"/>
      <c r="AF689" s="1075"/>
      <c r="AG689" s="1075"/>
      <c r="AH689" s="1075"/>
      <c r="AI689" s="1075"/>
      <c r="AJ689" s="1075"/>
      <c r="AK689" s="1075"/>
      <c r="AL689" s="1075"/>
      <c r="AM689" s="1075"/>
      <c r="AN689" s="1075"/>
      <c r="AO689" s="1075"/>
      <c r="AP689" s="1075"/>
      <c r="AQ689" s="1075"/>
      <c r="AR689" s="1075"/>
      <c r="AS689" s="1075"/>
      <c r="AT689" s="1075"/>
      <c r="AU689" s="1075"/>
      <c r="AV689" s="1075"/>
    </row>
    <row r="690" spans="1:48" ht="11.25" hidden="1" customHeight="1">
      <c r="A690" s="1075"/>
      <c r="B690" s="1075"/>
      <c r="C690" s="1075"/>
      <c r="D690" s="1075"/>
      <c r="E690" s="1075"/>
      <c r="F690" s="1075"/>
      <c r="G690" s="1075"/>
      <c r="H690" s="1075"/>
      <c r="I690" s="1075"/>
      <c r="J690" s="1075"/>
      <c r="K690" s="1075"/>
      <c r="L690" s="1075"/>
      <c r="M690" s="1075"/>
      <c r="N690" s="1075"/>
      <c r="O690" s="1075"/>
      <c r="P690" s="1075"/>
      <c r="Q690" s="1075"/>
      <c r="R690" s="1075"/>
      <c r="S690" s="1075"/>
      <c r="T690" s="1075"/>
      <c r="U690" s="1075"/>
      <c r="V690" s="1075"/>
      <c r="W690" s="1075"/>
      <c r="X690" s="1075"/>
      <c r="Y690" s="1075"/>
      <c r="Z690" s="1075"/>
      <c r="AA690" s="1075"/>
      <c r="AB690" s="1075"/>
      <c r="AC690" s="1075"/>
      <c r="AD690" s="1075"/>
      <c r="AE690" s="1075"/>
      <c r="AF690" s="1075"/>
      <c r="AG690" s="1075"/>
      <c r="AH690" s="1075"/>
      <c r="AI690" s="1075"/>
      <c r="AJ690" s="1075"/>
      <c r="AK690" s="1075"/>
      <c r="AL690" s="1075"/>
      <c r="AM690" s="1075"/>
      <c r="AN690" s="1075"/>
      <c r="AO690" s="1075"/>
      <c r="AP690" s="1075"/>
      <c r="AQ690" s="1075"/>
      <c r="AR690" s="1075"/>
      <c r="AS690" s="1075"/>
      <c r="AT690" s="1075"/>
      <c r="AU690" s="1075"/>
      <c r="AV690" s="1075"/>
    </row>
    <row r="691" spans="1:48" ht="11.25" hidden="1" customHeight="1">
      <c r="A691" s="1075"/>
      <c r="B691" s="1075"/>
      <c r="C691" s="1075"/>
      <c r="D691" s="1075"/>
      <c r="E691" s="1075"/>
      <c r="F691" s="1075"/>
      <c r="G691" s="1075"/>
      <c r="H691" s="1075"/>
      <c r="I691" s="1075"/>
      <c r="J691" s="1075"/>
      <c r="K691" s="1075"/>
      <c r="L691" s="1075"/>
      <c r="M691" s="1075"/>
      <c r="N691" s="1075"/>
      <c r="O691" s="1075"/>
      <c r="P691" s="1075"/>
      <c r="Q691" s="1075"/>
      <c r="R691" s="1075"/>
      <c r="S691" s="1075"/>
      <c r="T691" s="1075"/>
      <c r="U691" s="1075"/>
      <c r="V691" s="1075"/>
      <c r="W691" s="1075"/>
      <c r="X691" s="1075"/>
      <c r="Y691" s="1075"/>
      <c r="Z691" s="1075"/>
      <c r="AA691" s="1075"/>
      <c r="AB691" s="1075"/>
      <c r="AC691" s="1075"/>
      <c r="AD691" s="1075"/>
      <c r="AE691" s="1075"/>
      <c r="AF691" s="1075"/>
      <c r="AG691" s="1075"/>
      <c r="AH691" s="1075"/>
      <c r="AI691" s="1075"/>
      <c r="AJ691" s="1075"/>
      <c r="AK691" s="1075"/>
      <c r="AL691" s="1075"/>
      <c r="AM691" s="1075"/>
      <c r="AN691" s="1075"/>
      <c r="AO691" s="1075"/>
      <c r="AP691" s="1075"/>
      <c r="AQ691" s="1075"/>
      <c r="AR691" s="1075"/>
      <c r="AS691" s="1075"/>
      <c r="AT691" s="1075"/>
      <c r="AU691" s="1075"/>
      <c r="AV691" s="1075"/>
    </row>
    <row r="692" spans="1:48" ht="11.25" hidden="1" customHeight="1">
      <c r="A692" s="1075"/>
      <c r="B692" s="1075"/>
      <c r="C692" s="1075"/>
      <c r="D692" s="1075"/>
      <c r="E692" s="1075"/>
      <c r="F692" s="1075"/>
      <c r="G692" s="1075"/>
      <c r="H692" s="1075"/>
      <c r="I692" s="1075"/>
      <c r="J692" s="1075"/>
      <c r="K692" s="1075"/>
      <c r="L692" s="1075"/>
      <c r="M692" s="1075"/>
      <c r="N692" s="1075"/>
      <c r="O692" s="1075"/>
      <c r="P692" s="1075"/>
      <c r="Q692" s="1075"/>
      <c r="R692" s="1075"/>
      <c r="S692" s="1075"/>
      <c r="T692" s="1075"/>
      <c r="U692" s="1075"/>
      <c r="V692" s="1075"/>
      <c r="W692" s="1075"/>
      <c r="X692" s="1075"/>
      <c r="Y692" s="1075"/>
      <c r="Z692" s="1075"/>
      <c r="AA692" s="1075"/>
      <c r="AB692" s="1075"/>
      <c r="AC692" s="1075"/>
      <c r="AD692" s="1075"/>
      <c r="AE692" s="1075"/>
      <c r="AF692" s="1075"/>
      <c r="AG692" s="1075"/>
      <c r="AH692" s="1075"/>
      <c r="AI692" s="1075"/>
      <c r="AJ692" s="1075"/>
      <c r="AK692" s="1075"/>
      <c r="AL692" s="1075"/>
      <c r="AM692" s="1075"/>
      <c r="AN692" s="1075"/>
      <c r="AO692" s="1075"/>
      <c r="AP692" s="1075"/>
      <c r="AQ692" s="1075"/>
      <c r="AR692" s="1075"/>
      <c r="AS692" s="1075"/>
      <c r="AT692" s="1075"/>
      <c r="AU692" s="1075"/>
      <c r="AV692" s="1075"/>
    </row>
    <row r="693" spans="1:48" ht="11.25" hidden="1" customHeight="1">
      <c r="A693" s="1075"/>
      <c r="B693" s="1075"/>
      <c r="C693" s="1075"/>
      <c r="D693" s="1075"/>
      <c r="E693" s="1075"/>
      <c r="F693" s="1075"/>
      <c r="G693" s="1075"/>
      <c r="H693" s="1075"/>
      <c r="I693" s="1075"/>
      <c r="J693" s="1075"/>
      <c r="K693" s="1075"/>
      <c r="L693" s="1075"/>
      <c r="M693" s="1075"/>
      <c r="N693" s="1075"/>
      <c r="O693" s="1075"/>
      <c r="P693" s="1075"/>
      <c r="Q693" s="1075"/>
      <c r="R693" s="1075"/>
      <c r="S693" s="1075"/>
      <c r="T693" s="1075"/>
      <c r="U693" s="1075"/>
      <c r="V693" s="1075"/>
      <c r="W693" s="1075"/>
      <c r="X693" s="1075"/>
      <c r="Y693" s="1075"/>
      <c r="Z693" s="1075"/>
      <c r="AA693" s="1075"/>
      <c r="AB693" s="1075"/>
      <c r="AC693" s="1075"/>
      <c r="AD693" s="1075"/>
      <c r="AE693" s="1075"/>
      <c r="AF693" s="1075"/>
      <c r="AG693" s="1075"/>
      <c r="AH693" s="1075"/>
      <c r="AI693" s="1075"/>
      <c r="AJ693" s="1075"/>
      <c r="AK693" s="1075"/>
      <c r="AL693" s="1075"/>
      <c r="AM693" s="1075"/>
      <c r="AN693" s="1075"/>
      <c r="AO693" s="1075"/>
      <c r="AP693" s="1075"/>
      <c r="AQ693" s="1075"/>
      <c r="AR693" s="1075"/>
      <c r="AS693" s="1075"/>
      <c r="AT693" s="1075"/>
      <c r="AU693" s="1075"/>
      <c r="AV693" s="1075"/>
    </row>
    <row r="694" spans="1:48" ht="11.25" hidden="1" customHeight="1">
      <c r="A694" s="1075"/>
      <c r="B694" s="1075"/>
      <c r="C694" s="1075"/>
      <c r="D694" s="1075"/>
      <c r="E694" s="1075"/>
      <c r="F694" s="1075"/>
      <c r="G694" s="1075"/>
      <c r="H694" s="1075"/>
      <c r="I694" s="1075"/>
      <c r="J694" s="1075"/>
      <c r="K694" s="1075"/>
      <c r="L694" s="1075"/>
      <c r="M694" s="1075"/>
      <c r="N694" s="1075"/>
      <c r="O694" s="1075"/>
      <c r="P694" s="1075"/>
      <c r="Q694" s="1075"/>
      <c r="R694" s="1075"/>
      <c r="S694" s="1075"/>
      <c r="T694" s="1075"/>
      <c r="U694" s="1075"/>
      <c r="V694" s="1075"/>
      <c r="W694" s="1075"/>
      <c r="X694" s="1075"/>
      <c r="Y694" s="1075"/>
      <c r="Z694" s="1075"/>
      <c r="AA694" s="1075"/>
      <c r="AB694" s="1075"/>
      <c r="AC694" s="1075"/>
      <c r="AD694" s="1075"/>
      <c r="AE694" s="1075"/>
      <c r="AF694" s="1075"/>
      <c r="AG694" s="1075"/>
      <c r="AH694" s="1075"/>
      <c r="AI694" s="1075"/>
      <c r="AJ694" s="1075"/>
      <c r="AK694" s="1075"/>
      <c r="AL694" s="1075"/>
      <c r="AM694" s="1075"/>
      <c r="AN694" s="1075"/>
      <c r="AO694" s="1075"/>
      <c r="AP694" s="1075"/>
      <c r="AQ694" s="1075"/>
      <c r="AR694" s="1075"/>
      <c r="AS694" s="1075"/>
      <c r="AT694" s="1075"/>
      <c r="AU694" s="1075"/>
      <c r="AV694" s="1075"/>
    </row>
    <row r="695" spans="1:48" ht="11.25" hidden="1" customHeight="1">
      <c r="A695" s="1075"/>
      <c r="B695" s="1075"/>
      <c r="C695" s="1075"/>
      <c r="D695" s="1075"/>
      <c r="E695" s="1075"/>
      <c r="F695" s="1075"/>
      <c r="G695" s="1075"/>
      <c r="H695" s="1075"/>
      <c r="I695" s="1075"/>
      <c r="J695" s="1075"/>
      <c r="K695" s="1075"/>
      <c r="L695" s="1075"/>
      <c r="M695" s="1075"/>
      <c r="N695" s="1075"/>
      <c r="O695" s="1075"/>
      <c r="P695" s="1075"/>
      <c r="Q695" s="1075"/>
      <c r="R695" s="1075"/>
      <c r="S695" s="1075"/>
      <c r="T695" s="1075"/>
      <c r="U695" s="1075"/>
      <c r="V695" s="1075"/>
      <c r="W695" s="1075"/>
      <c r="X695" s="1075"/>
      <c r="Y695" s="1075"/>
      <c r="Z695" s="1075"/>
      <c r="AA695" s="1075"/>
      <c r="AB695" s="1075"/>
      <c r="AC695" s="1075"/>
      <c r="AD695" s="1075"/>
      <c r="AE695" s="1075"/>
      <c r="AF695" s="1075"/>
      <c r="AG695" s="1075"/>
      <c r="AH695" s="1075"/>
      <c r="AI695" s="1075"/>
      <c r="AJ695" s="1075"/>
      <c r="AK695" s="1075"/>
      <c r="AL695" s="1075"/>
      <c r="AM695" s="1075"/>
      <c r="AN695" s="1075"/>
      <c r="AO695" s="1075"/>
      <c r="AP695" s="1075"/>
      <c r="AQ695" s="1075"/>
      <c r="AR695" s="1075"/>
      <c r="AS695" s="1075"/>
      <c r="AT695" s="1075"/>
      <c r="AU695" s="1075"/>
      <c r="AV695" s="1075"/>
    </row>
    <row r="696" spans="1:48" ht="11.25" hidden="1" customHeight="1">
      <c r="A696" s="1075"/>
      <c r="B696" s="1075"/>
      <c r="C696" s="1075"/>
      <c r="D696" s="1075"/>
      <c r="E696" s="1075"/>
      <c r="F696" s="1075"/>
      <c r="G696" s="1075"/>
      <c r="H696" s="1075"/>
      <c r="I696" s="1075"/>
      <c r="J696" s="1075"/>
      <c r="K696" s="1075"/>
      <c r="L696" s="1075"/>
      <c r="M696" s="1075"/>
      <c r="N696" s="1075"/>
      <c r="O696" s="1075"/>
      <c r="P696" s="1075"/>
      <c r="Q696" s="1075"/>
      <c r="R696" s="1075"/>
      <c r="S696" s="1075"/>
      <c r="T696" s="1075"/>
      <c r="U696" s="1075"/>
      <c r="V696" s="1075"/>
      <c r="W696" s="1075"/>
      <c r="X696" s="1075"/>
      <c r="Y696" s="1075"/>
      <c r="Z696" s="1075"/>
      <c r="AA696" s="1075"/>
      <c r="AB696" s="1075"/>
      <c r="AC696" s="1075"/>
      <c r="AD696" s="1075"/>
      <c r="AE696" s="1075"/>
      <c r="AF696" s="1075"/>
      <c r="AG696" s="1075"/>
      <c r="AH696" s="1075"/>
      <c r="AI696" s="1075"/>
      <c r="AJ696" s="1075"/>
      <c r="AK696" s="1075"/>
      <c r="AL696" s="1075"/>
      <c r="AM696" s="1075"/>
      <c r="AN696" s="1075"/>
      <c r="AO696" s="1075"/>
      <c r="AP696" s="1075"/>
      <c r="AQ696" s="1075"/>
      <c r="AR696" s="1075"/>
      <c r="AS696" s="1075"/>
      <c r="AT696" s="1075"/>
      <c r="AU696" s="1075"/>
      <c r="AV696" s="1075"/>
    </row>
    <row r="697" spans="1:48" ht="11.25" hidden="1" customHeight="1">
      <c r="A697" s="1075"/>
      <c r="B697" s="1075"/>
      <c r="C697" s="1075"/>
      <c r="D697" s="1075"/>
      <c r="E697" s="1075"/>
      <c r="F697" s="1075"/>
      <c r="G697" s="1075"/>
      <c r="H697" s="1075"/>
      <c r="I697" s="1075"/>
      <c r="J697" s="1075"/>
      <c r="K697" s="1075"/>
      <c r="L697" s="1075"/>
      <c r="M697" s="1075"/>
      <c r="N697" s="1075"/>
      <c r="O697" s="1075"/>
      <c r="P697" s="1075"/>
      <c r="Q697" s="1075"/>
      <c r="R697" s="1075"/>
      <c r="S697" s="1075"/>
      <c r="T697" s="1075"/>
      <c r="U697" s="1075"/>
      <c r="V697" s="1075"/>
      <c r="W697" s="1075"/>
      <c r="X697" s="1075"/>
      <c r="Y697" s="1075"/>
      <c r="Z697" s="1075"/>
      <c r="AA697" s="1075"/>
      <c r="AB697" s="1075"/>
      <c r="AC697" s="1075"/>
      <c r="AD697" s="1075"/>
      <c r="AE697" s="1075"/>
      <c r="AF697" s="1075"/>
      <c r="AG697" s="1075"/>
      <c r="AH697" s="1075"/>
      <c r="AI697" s="1075"/>
      <c r="AJ697" s="1075"/>
      <c r="AK697" s="1075"/>
      <c r="AL697" s="1075"/>
      <c r="AM697" s="1075"/>
      <c r="AN697" s="1075"/>
      <c r="AO697" s="1075"/>
      <c r="AP697" s="1075"/>
      <c r="AQ697" s="1075"/>
      <c r="AR697" s="1075"/>
      <c r="AS697" s="1075"/>
      <c r="AT697" s="1075"/>
      <c r="AU697" s="1075"/>
      <c r="AV697" s="1075"/>
    </row>
    <row r="698" spans="1:48" ht="11.25" hidden="1" customHeight="1">
      <c r="A698" s="1075"/>
      <c r="B698" s="1075"/>
      <c r="C698" s="1075"/>
      <c r="D698" s="1075"/>
      <c r="E698" s="1075"/>
      <c r="F698" s="1075"/>
      <c r="G698" s="1075"/>
      <c r="H698" s="1075"/>
      <c r="I698" s="1075"/>
      <c r="J698" s="1075"/>
      <c r="K698" s="1075"/>
      <c r="L698" s="1075"/>
      <c r="M698" s="1075"/>
      <c r="N698" s="1075"/>
      <c r="O698" s="1075"/>
      <c r="P698" s="1075"/>
      <c r="Q698" s="1075"/>
      <c r="R698" s="1075"/>
      <c r="S698" s="1075"/>
      <c r="T698" s="1075"/>
      <c r="U698" s="1075"/>
      <c r="V698" s="1075"/>
      <c r="W698" s="1075"/>
      <c r="X698" s="1075"/>
      <c r="Y698" s="1075"/>
      <c r="Z698" s="1075"/>
      <c r="AA698" s="1075"/>
      <c r="AB698" s="1075"/>
      <c r="AC698" s="1075"/>
      <c r="AD698" s="1075"/>
      <c r="AE698" s="1075"/>
      <c r="AF698" s="1075"/>
      <c r="AG698" s="1075"/>
      <c r="AH698" s="1075"/>
      <c r="AI698" s="1075"/>
      <c r="AJ698" s="1075"/>
      <c r="AK698" s="1075"/>
      <c r="AL698" s="1075"/>
      <c r="AM698" s="1075"/>
      <c r="AN698" s="1075"/>
      <c r="AO698" s="1075"/>
      <c r="AP698" s="1075"/>
      <c r="AQ698" s="1075"/>
      <c r="AR698" s="1075"/>
      <c r="AS698" s="1075"/>
      <c r="AT698" s="1075"/>
      <c r="AU698" s="1075"/>
      <c r="AV698" s="1075"/>
    </row>
    <row r="699" spans="1:48" ht="11.25" hidden="1" customHeight="1">
      <c r="A699" s="1075"/>
      <c r="B699" s="1075"/>
      <c r="C699" s="1075"/>
      <c r="D699" s="1075"/>
      <c r="E699" s="1075"/>
      <c r="F699" s="1075"/>
      <c r="G699" s="1075"/>
      <c r="H699" s="1075"/>
      <c r="I699" s="1075"/>
      <c r="J699" s="1075"/>
      <c r="K699" s="1075"/>
      <c r="L699" s="1075"/>
      <c r="M699" s="1075"/>
      <c r="N699" s="1075"/>
      <c r="O699" s="1075"/>
      <c r="P699" s="1075"/>
      <c r="Q699" s="1075"/>
      <c r="R699" s="1075"/>
      <c r="S699" s="1075"/>
      <c r="T699" s="1075"/>
      <c r="U699" s="1075"/>
      <c r="V699" s="1075"/>
      <c r="W699" s="1075"/>
      <c r="X699" s="1075"/>
      <c r="Y699" s="1075"/>
      <c r="Z699" s="1075"/>
      <c r="AA699" s="1075"/>
      <c r="AB699" s="1075"/>
      <c r="AC699" s="1075"/>
      <c r="AD699" s="1075"/>
      <c r="AE699" s="1075"/>
      <c r="AF699" s="1075"/>
      <c r="AG699" s="1075"/>
      <c r="AH699" s="1075"/>
      <c r="AI699" s="1075"/>
      <c r="AJ699" s="1075"/>
      <c r="AK699" s="1075"/>
      <c r="AL699" s="1075"/>
      <c r="AM699" s="1075"/>
      <c r="AN699" s="1075"/>
      <c r="AO699" s="1075"/>
      <c r="AP699" s="1075"/>
      <c r="AQ699" s="1075"/>
      <c r="AR699" s="1075"/>
      <c r="AS699" s="1075"/>
      <c r="AT699" s="1075"/>
      <c r="AU699" s="1075"/>
      <c r="AV699" s="1075"/>
    </row>
    <row r="700" spans="1:48" ht="11.25" hidden="1" customHeight="1">
      <c r="A700" s="1075"/>
      <c r="B700" s="1075"/>
      <c r="C700" s="1075"/>
      <c r="D700" s="1075"/>
      <c r="E700" s="1075"/>
      <c r="F700" s="1075"/>
      <c r="G700" s="1075"/>
      <c r="H700" s="1075"/>
      <c r="I700" s="1075"/>
      <c r="J700" s="1075"/>
      <c r="K700" s="1075"/>
      <c r="L700" s="1075"/>
      <c r="M700" s="1075"/>
      <c r="N700" s="1075"/>
      <c r="O700" s="1075"/>
      <c r="P700" s="1075"/>
      <c r="Q700" s="1075"/>
      <c r="R700" s="1075"/>
      <c r="S700" s="1075"/>
      <c r="T700" s="1075"/>
      <c r="U700" s="1075"/>
      <c r="V700" s="1075"/>
      <c r="W700" s="1075"/>
      <c r="X700" s="1075"/>
      <c r="Y700" s="1075"/>
      <c r="Z700" s="1075"/>
      <c r="AA700" s="1075"/>
      <c r="AB700" s="1075"/>
      <c r="AC700" s="1075"/>
      <c r="AD700" s="1075"/>
      <c r="AE700" s="1075"/>
      <c r="AF700" s="1075"/>
      <c r="AG700" s="1075"/>
      <c r="AH700" s="1075"/>
      <c r="AI700" s="1075"/>
      <c r="AJ700" s="1075"/>
      <c r="AK700" s="1075"/>
      <c r="AL700" s="1075"/>
      <c r="AM700" s="1075"/>
      <c r="AN700" s="1075"/>
      <c r="AO700" s="1075"/>
      <c r="AP700" s="1075"/>
      <c r="AQ700" s="1075"/>
      <c r="AR700" s="1075"/>
      <c r="AS700" s="1075"/>
      <c r="AT700" s="1075"/>
      <c r="AU700" s="1075"/>
      <c r="AV700" s="1075"/>
    </row>
    <row r="701" spans="1:48" ht="11.25" hidden="1" customHeight="1">
      <c r="A701" s="1075"/>
      <c r="B701" s="1075"/>
      <c r="C701" s="1075"/>
      <c r="D701" s="1075"/>
      <c r="E701" s="1075"/>
      <c r="F701" s="1075"/>
      <c r="G701" s="1075"/>
      <c r="H701" s="1075"/>
      <c r="I701" s="1075"/>
      <c r="J701" s="1075"/>
      <c r="K701" s="1075"/>
      <c r="L701" s="1075"/>
      <c r="M701" s="1075"/>
      <c r="N701" s="1075"/>
      <c r="O701" s="1075"/>
      <c r="P701" s="1075"/>
      <c r="Q701" s="1075"/>
      <c r="R701" s="1075"/>
      <c r="S701" s="1075"/>
      <c r="T701" s="1075"/>
      <c r="U701" s="1075"/>
      <c r="V701" s="1075"/>
      <c r="W701" s="1075"/>
      <c r="X701" s="1075"/>
      <c r="Y701" s="1075"/>
      <c r="Z701" s="1075"/>
      <c r="AA701" s="1075"/>
      <c r="AB701" s="1075"/>
      <c r="AC701" s="1075"/>
      <c r="AD701" s="1075"/>
      <c r="AE701" s="1075"/>
      <c r="AF701" s="1075"/>
      <c r="AG701" s="1075"/>
      <c r="AH701" s="1075"/>
      <c r="AI701" s="1075"/>
      <c r="AJ701" s="1075"/>
      <c r="AK701" s="1075"/>
      <c r="AL701" s="1075"/>
      <c r="AM701" s="1075"/>
      <c r="AN701" s="1075"/>
      <c r="AO701" s="1075"/>
      <c r="AP701" s="1075"/>
      <c r="AQ701" s="1075"/>
      <c r="AR701" s="1075"/>
      <c r="AS701" s="1075"/>
      <c r="AT701" s="1075"/>
      <c r="AU701" s="1075"/>
      <c r="AV701" s="1075"/>
    </row>
    <row r="702" spans="1:48" ht="11.25" hidden="1" customHeight="1">
      <c r="A702" s="1075"/>
      <c r="B702" s="1075"/>
      <c r="C702" s="1075"/>
      <c r="D702" s="1075"/>
      <c r="E702" s="1075"/>
      <c r="F702" s="1075"/>
      <c r="G702" s="1075"/>
      <c r="H702" s="1075"/>
      <c r="I702" s="1075"/>
      <c r="J702" s="1075"/>
      <c r="K702" s="1075"/>
      <c r="L702" s="1075"/>
      <c r="M702" s="1075"/>
      <c r="N702" s="1075"/>
      <c r="O702" s="1075"/>
      <c r="P702" s="1075"/>
      <c r="Q702" s="1075"/>
      <c r="R702" s="1075"/>
      <c r="S702" s="1075"/>
      <c r="T702" s="1075"/>
      <c r="U702" s="1075"/>
      <c r="V702" s="1075"/>
      <c r="W702" s="1075"/>
      <c r="X702" s="1075"/>
      <c r="Y702" s="1075"/>
      <c r="Z702" s="1075"/>
      <c r="AA702" s="1075"/>
      <c r="AB702" s="1075"/>
      <c r="AC702" s="1075"/>
      <c r="AD702" s="1075"/>
      <c r="AE702" s="1075"/>
      <c r="AF702" s="1075"/>
      <c r="AG702" s="1075"/>
      <c r="AH702" s="1075"/>
      <c r="AI702" s="1075"/>
      <c r="AJ702" s="1075"/>
      <c r="AK702" s="1075"/>
      <c r="AL702" s="1075"/>
      <c r="AM702" s="1075"/>
      <c r="AN702" s="1075"/>
      <c r="AO702" s="1075"/>
      <c r="AP702" s="1075"/>
      <c r="AQ702" s="1075"/>
      <c r="AR702" s="1075"/>
      <c r="AS702" s="1075"/>
      <c r="AT702" s="1075"/>
      <c r="AU702" s="1075"/>
      <c r="AV702" s="1075"/>
    </row>
    <row r="703" spans="1:48" ht="11.25" hidden="1" customHeight="1">
      <c r="A703" s="1075"/>
      <c r="B703" s="1075"/>
      <c r="C703" s="1075"/>
      <c r="D703" s="1075"/>
      <c r="E703" s="1075"/>
      <c r="F703" s="1075"/>
      <c r="G703" s="1075"/>
      <c r="H703" s="1075"/>
      <c r="I703" s="1075"/>
      <c r="J703" s="1075"/>
      <c r="K703" s="1075"/>
      <c r="L703" s="1075"/>
      <c r="M703" s="1075"/>
      <c r="N703" s="1075"/>
      <c r="O703" s="1075"/>
      <c r="P703" s="1075"/>
      <c r="Q703" s="1075"/>
      <c r="R703" s="1075"/>
      <c r="S703" s="1075"/>
      <c r="T703" s="1075"/>
      <c r="U703" s="1075"/>
      <c r="V703" s="1075"/>
      <c r="W703" s="1075"/>
      <c r="X703" s="1075"/>
      <c r="Y703" s="1075"/>
      <c r="Z703" s="1075"/>
      <c r="AA703" s="1075"/>
      <c r="AB703" s="1075"/>
      <c r="AC703" s="1075"/>
      <c r="AD703" s="1075"/>
      <c r="AE703" s="1075"/>
      <c r="AF703" s="1075"/>
      <c r="AG703" s="1075"/>
      <c r="AH703" s="1075"/>
      <c r="AI703" s="1075"/>
      <c r="AJ703" s="1075"/>
      <c r="AK703" s="1075"/>
      <c r="AL703" s="1075"/>
      <c r="AM703" s="1075"/>
      <c r="AN703" s="1075"/>
      <c r="AO703" s="1075"/>
      <c r="AP703" s="1075"/>
      <c r="AQ703" s="1075"/>
      <c r="AR703" s="1075"/>
      <c r="AS703" s="1075"/>
      <c r="AT703" s="1075"/>
      <c r="AU703" s="1075"/>
      <c r="AV703" s="1075"/>
    </row>
    <row r="704" spans="1:48" ht="11.25" hidden="1" customHeight="1">
      <c r="A704" s="1075"/>
      <c r="B704" s="1075"/>
      <c r="C704" s="1075"/>
      <c r="D704" s="1075"/>
      <c r="E704" s="1075"/>
      <c r="F704" s="1075"/>
      <c r="G704" s="1075"/>
      <c r="H704" s="1075"/>
      <c r="I704" s="1075"/>
      <c r="J704" s="1075"/>
      <c r="K704" s="1075"/>
      <c r="L704" s="1075"/>
      <c r="M704" s="1075"/>
      <c r="N704" s="1075"/>
      <c r="O704" s="1075"/>
      <c r="P704" s="1075"/>
      <c r="Q704" s="1075"/>
      <c r="R704" s="1075"/>
      <c r="S704" s="1075"/>
      <c r="T704" s="1075"/>
      <c r="U704" s="1075"/>
      <c r="V704" s="1075"/>
      <c r="W704" s="1075"/>
      <c r="X704" s="1075"/>
      <c r="Y704" s="1075"/>
      <c r="Z704" s="1075"/>
      <c r="AA704" s="1075"/>
      <c r="AB704" s="1075"/>
      <c r="AC704" s="1075"/>
      <c r="AD704" s="1075"/>
      <c r="AE704" s="1075"/>
      <c r="AF704" s="1075"/>
      <c r="AG704" s="1075"/>
      <c r="AH704" s="1075"/>
      <c r="AI704" s="1075"/>
      <c r="AJ704" s="1075"/>
      <c r="AK704" s="1075"/>
      <c r="AL704" s="1075"/>
      <c r="AM704" s="1075"/>
      <c r="AN704" s="1075"/>
      <c r="AO704" s="1075"/>
      <c r="AP704" s="1075"/>
      <c r="AQ704" s="1075"/>
      <c r="AR704" s="1075"/>
      <c r="AS704" s="1075"/>
      <c r="AT704" s="1075"/>
      <c r="AU704" s="1075"/>
      <c r="AV704" s="1075"/>
    </row>
    <row r="705" spans="1:48" ht="11.25" hidden="1" customHeight="1">
      <c r="A705" s="1075"/>
      <c r="B705" s="1075"/>
      <c r="C705" s="1075"/>
      <c r="D705" s="1075"/>
      <c r="E705" s="1075"/>
      <c r="F705" s="1075"/>
      <c r="G705" s="1075"/>
      <c r="H705" s="1075"/>
      <c r="I705" s="1075"/>
      <c r="J705" s="1075"/>
      <c r="K705" s="1075"/>
      <c r="L705" s="1075"/>
      <c r="M705" s="1075"/>
      <c r="N705" s="1075"/>
      <c r="O705" s="1075"/>
      <c r="P705" s="1075"/>
      <c r="Q705" s="1075"/>
      <c r="R705" s="1075"/>
      <c r="S705" s="1075"/>
      <c r="T705" s="1075"/>
      <c r="U705" s="1075"/>
      <c r="V705" s="1075"/>
      <c r="W705" s="1075"/>
      <c r="X705" s="1075"/>
      <c r="Y705" s="1075"/>
      <c r="Z705" s="1075"/>
      <c r="AA705" s="1075"/>
      <c r="AB705" s="1075"/>
      <c r="AC705" s="1075"/>
      <c r="AD705" s="1075"/>
      <c r="AE705" s="1075"/>
      <c r="AF705" s="1075"/>
      <c r="AG705" s="1075"/>
      <c r="AH705" s="1075"/>
      <c r="AI705" s="1075"/>
      <c r="AJ705" s="1075"/>
      <c r="AK705" s="1075"/>
      <c r="AL705" s="1075"/>
      <c r="AM705" s="1075"/>
      <c r="AN705" s="1075"/>
      <c r="AO705" s="1075"/>
      <c r="AP705" s="1075"/>
      <c r="AQ705" s="1075"/>
      <c r="AR705" s="1075"/>
      <c r="AS705" s="1075"/>
      <c r="AT705" s="1075"/>
      <c r="AU705" s="1075"/>
      <c r="AV705" s="1075"/>
    </row>
    <row r="706" spans="1:48" ht="11.25" hidden="1" customHeight="1">
      <c r="A706" s="1075"/>
      <c r="B706" s="1075"/>
      <c r="C706" s="1075"/>
      <c r="D706" s="1075"/>
      <c r="E706" s="1075"/>
      <c r="F706" s="1075"/>
      <c r="G706" s="1075"/>
      <c r="H706" s="1075"/>
      <c r="I706" s="1075"/>
      <c r="J706" s="1075"/>
      <c r="K706" s="1075"/>
      <c r="L706" s="1075"/>
      <c r="M706" s="1075"/>
      <c r="N706" s="1075"/>
      <c r="O706" s="1075"/>
      <c r="P706" s="1075"/>
      <c r="Q706" s="1075"/>
      <c r="R706" s="1075"/>
      <c r="S706" s="1075"/>
      <c r="T706" s="1075"/>
      <c r="U706" s="1075"/>
      <c r="V706" s="1075"/>
      <c r="W706" s="1075"/>
      <c r="X706" s="1075"/>
      <c r="Y706" s="1075"/>
      <c r="Z706" s="1075"/>
      <c r="AA706" s="1075"/>
      <c r="AB706" s="1075"/>
      <c r="AC706" s="1075"/>
      <c r="AD706" s="1075"/>
      <c r="AE706" s="1075"/>
      <c r="AF706" s="1075"/>
      <c r="AG706" s="1075"/>
      <c r="AH706" s="1075"/>
      <c r="AI706" s="1075"/>
      <c r="AJ706" s="1075"/>
      <c r="AK706" s="1075"/>
      <c r="AL706" s="1075"/>
      <c r="AM706" s="1075"/>
      <c r="AN706" s="1075"/>
      <c r="AO706" s="1075"/>
      <c r="AP706" s="1075"/>
      <c r="AQ706" s="1075"/>
      <c r="AR706" s="1075"/>
      <c r="AS706" s="1075"/>
      <c r="AT706" s="1075"/>
      <c r="AU706" s="1075"/>
      <c r="AV706" s="1075"/>
    </row>
    <row r="707" spans="1:48" ht="11.25" hidden="1" customHeight="1">
      <c r="A707" s="1075"/>
      <c r="B707" s="1075"/>
      <c r="C707" s="1075"/>
      <c r="D707" s="1075"/>
      <c r="E707" s="1075"/>
      <c r="F707" s="1075"/>
      <c r="G707" s="1075"/>
      <c r="H707" s="1075"/>
      <c r="I707" s="1075"/>
      <c r="J707" s="1075"/>
      <c r="K707" s="1075"/>
      <c r="L707" s="1075"/>
      <c r="M707" s="1075"/>
      <c r="N707" s="1075"/>
      <c r="O707" s="1075"/>
      <c r="P707" s="1075"/>
      <c r="Q707" s="1075"/>
      <c r="R707" s="1075"/>
      <c r="S707" s="1075"/>
      <c r="T707" s="1075"/>
      <c r="U707" s="1075"/>
      <c r="V707" s="1075"/>
      <c r="W707" s="1075"/>
      <c r="X707" s="1075"/>
      <c r="Y707" s="1075"/>
      <c r="Z707" s="1075"/>
      <c r="AA707" s="1075"/>
      <c r="AB707" s="1075"/>
      <c r="AC707" s="1075"/>
      <c r="AD707" s="1075"/>
      <c r="AE707" s="1075"/>
      <c r="AF707" s="1075"/>
      <c r="AG707" s="1075"/>
      <c r="AH707" s="1075"/>
      <c r="AI707" s="1075"/>
      <c r="AJ707" s="1075"/>
      <c r="AK707" s="1075"/>
      <c r="AL707" s="1075"/>
      <c r="AM707" s="1075"/>
      <c r="AN707" s="1075"/>
      <c r="AO707" s="1075"/>
      <c r="AP707" s="1075"/>
      <c r="AQ707" s="1075"/>
      <c r="AR707" s="1075"/>
      <c r="AS707" s="1075"/>
      <c r="AT707" s="1075"/>
      <c r="AU707" s="1075"/>
      <c r="AV707" s="1075"/>
    </row>
    <row r="708" spans="1:48" ht="11.25" hidden="1" customHeight="1">
      <c r="A708" s="1075"/>
      <c r="B708" s="1075"/>
      <c r="C708" s="1075"/>
      <c r="D708" s="1075"/>
      <c r="E708" s="1075"/>
      <c r="F708" s="1075"/>
      <c r="G708" s="1075"/>
      <c r="H708" s="1075"/>
      <c r="I708" s="1075"/>
      <c r="J708" s="1075"/>
      <c r="K708" s="1075"/>
      <c r="L708" s="1075"/>
      <c r="M708" s="1075"/>
      <c r="N708" s="1075"/>
      <c r="O708" s="1075"/>
      <c r="P708" s="1075"/>
      <c r="Q708" s="1075"/>
      <c r="R708" s="1075"/>
      <c r="S708" s="1075"/>
      <c r="T708" s="1075"/>
      <c r="U708" s="1075"/>
      <c r="V708" s="1075"/>
      <c r="W708" s="1075"/>
      <c r="X708" s="1075"/>
      <c r="Y708" s="1075"/>
      <c r="Z708" s="1075"/>
      <c r="AA708" s="1075"/>
      <c r="AB708" s="1075"/>
      <c r="AC708" s="1075"/>
      <c r="AD708" s="1075"/>
      <c r="AE708" s="1075"/>
      <c r="AF708" s="1075"/>
      <c r="AG708" s="1075"/>
      <c r="AH708" s="1075"/>
      <c r="AI708" s="1075"/>
      <c r="AJ708" s="1075"/>
      <c r="AK708" s="1075"/>
      <c r="AL708" s="1075"/>
      <c r="AM708" s="1075"/>
      <c r="AN708" s="1075"/>
      <c r="AO708" s="1075"/>
      <c r="AP708" s="1075"/>
      <c r="AQ708" s="1075"/>
      <c r="AR708" s="1075"/>
      <c r="AS708" s="1075"/>
      <c r="AT708" s="1075"/>
      <c r="AU708" s="1075"/>
      <c r="AV708" s="1075"/>
    </row>
    <row r="709" spans="1:48" ht="11.25" hidden="1" customHeight="1">
      <c r="A709" s="1075"/>
      <c r="B709" s="1075"/>
      <c r="C709" s="1075"/>
      <c r="D709" s="1075"/>
      <c r="E709" s="1075"/>
      <c r="F709" s="1075"/>
      <c r="G709" s="1075"/>
      <c r="H709" s="1075"/>
      <c r="I709" s="1075"/>
      <c r="J709" s="1075"/>
      <c r="K709" s="1075"/>
      <c r="L709" s="1075"/>
      <c r="M709" s="1075"/>
      <c r="N709" s="1075"/>
      <c r="O709" s="1075"/>
      <c r="P709" s="1075"/>
      <c r="Q709" s="1075"/>
      <c r="R709" s="1075"/>
      <c r="S709" s="1075"/>
      <c r="T709" s="1075"/>
      <c r="U709" s="1075"/>
      <c r="V709" s="1075"/>
      <c r="W709" s="1075"/>
      <c r="X709" s="1075"/>
      <c r="Y709" s="1075"/>
      <c r="Z709" s="1075"/>
      <c r="AA709" s="1075"/>
      <c r="AB709" s="1075"/>
      <c r="AC709" s="1075"/>
      <c r="AD709" s="1075"/>
      <c r="AE709" s="1075"/>
      <c r="AF709" s="1075"/>
      <c r="AG709" s="1075"/>
      <c r="AH709" s="1075"/>
      <c r="AI709" s="1075"/>
      <c r="AJ709" s="1075"/>
      <c r="AK709" s="1075"/>
      <c r="AL709" s="1075"/>
      <c r="AM709" s="1075"/>
      <c r="AN709" s="1075"/>
      <c r="AO709" s="1075"/>
      <c r="AP709" s="1075"/>
      <c r="AQ709" s="1075"/>
      <c r="AR709" s="1075"/>
      <c r="AS709" s="1075"/>
      <c r="AT709" s="1075"/>
      <c r="AU709" s="1075"/>
      <c r="AV709" s="1075"/>
    </row>
    <row r="710" spans="1:48" ht="11.25" hidden="1" customHeight="1">
      <c r="A710" s="1075"/>
      <c r="B710" s="1075"/>
      <c r="C710" s="1075"/>
      <c r="D710" s="1075"/>
      <c r="E710" s="1075"/>
      <c r="F710" s="1075"/>
      <c r="G710" s="1075"/>
      <c r="H710" s="1075"/>
      <c r="I710" s="1075"/>
      <c r="J710" s="1075"/>
      <c r="K710" s="1075"/>
      <c r="L710" s="1075"/>
      <c r="M710" s="1075"/>
      <c r="N710" s="1075"/>
      <c r="O710" s="1075"/>
      <c r="P710" s="1075"/>
      <c r="Q710" s="1075"/>
      <c r="R710" s="1075"/>
      <c r="S710" s="1075"/>
      <c r="T710" s="1075"/>
      <c r="U710" s="1075"/>
      <c r="V710" s="1075"/>
      <c r="W710" s="1075"/>
      <c r="X710" s="1075"/>
      <c r="Y710" s="1075"/>
      <c r="Z710" s="1075"/>
      <c r="AA710" s="1075"/>
      <c r="AB710" s="1075"/>
      <c r="AC710" s="1075"/>
      <c r="AD710" s="1075"/>
      <c r="AE710" s="1075"/>
      <c r="AF710" s="1075"/>
      <c r="AG710" s="1075"/>
      <c r="AH710" s="1075"/>
      <c r="AI710" s="1075"/>
      <c r="AJ710" s="1075"/>
      <c r="AK710" s="1075"/>
      <c r="AL710" s="1075"/>
      <c r="AM710" s="1075"/>
      <c r="AN710" s="1075"/>
      <c r="AO710" s="1075"/>
      <c r="AP710" s="1075"/>
      <c r="AQ710" s="1075"/>
      <c r="AR710" s="1075"/>
      <c r="AS710" s="1075"/>
      <c r="AT710" s="1075"/>
      <c r="AU710" s="1075"/>
      <c r="AV710" s="1075"/>
    </row>
    <row r="711" spans="1:48" ht="11.25" hidden="1" customHeight="1">
      <c r="A711" s="1075"/>
      <c r="B711" s="1075"/>
      <c r="C711" s="1075"/>
      <c r="D711" s="1075"/>
      <c r="E711" s="1075"/>
      <c r="F711" s="1075"/>
      <c r="G711" s="1075"/>
      <c r="H711" s="1075"/>
      <c r="I711" s="1075"/>
      <c r="J711" s="1075"/>
      <c r="K711" s="1075"/>
      <c r="L711" s="1075"/>
      <c r="M711" s="1075"/>
      <c r="N711" s="1075"/>
      <c r="O711" s="1075"/>
      <c r="P711" s="1075"/>
      <c r="Q711" s="1075"/>
      <c r="R711" s="1075"/>
      <c r="S711" s="1075"/>
      <c r="T711" s="1075"/>
      <c r="U711" s="1075"/>
      <c r="V711" s="1075"/>
      <c r="W711" s="1075"/>
      <c r="X711" s="1075"/>
      <c r="Y711" s="1075"/>
      <c r="Z711" s="1075"/>
      <c r="AA711" s="1075"/>
      <c r="AB711" s="1075"/>
      <c r="AC711" s="1075"/>
      <c r="AD711" s="1075"/>
      <c r="AE711" s="1075"/>
      <c r="AF711" s="1075"/>
      <c r="AG711" s="1075"/>
      <c r="AH711" s="1075"/>
      <c r="AI711" s="1075"/>
      <c r="AJ711" s="1075"/>
      <c r="AK711" s="1075"/>
      <c r="AL711" s="1075"/>
      <c r="AM711" s="1075"/>
      <c r="AN711" s="1075"/>
      <c r="AO711" s="1075"/>
      <c r="AP711" s="1075"/>
      <c r="AQ711" s="1075"/>
      <c r="AR711" s="1075"/>
      <c r="AS711" s="1075"/>
      <c r="AT711" s="1075"/>
      <c r="AU711" s="1075"/>
      <c r="AV711" s="1075"/>
    </row>
    <row r="712" spans="1:48" ht="11.25" hidden="1" customHeight="1">
      <c r="A712" s="1075"/>
      <c r="B712" s="1075"/>
      <c r="C712" s="1075"/>
      <c r="D712" s="1075"/>
      <c r="E712" s="1075"/>
      <c r="F712" s="1075"/>
      <c r="G712" s="1075"/>
      <c r="H712" s="1075"/>
      <c r="I712" s="1075"/>
      <c r="J712" s="1075"/>
      <c r="K712" s="1075"/>
      <c r="L712" s="1075"/>
      <c r="M712" s="1075"/>
      <c r="N712" s="1075"/>
      <c r="O712" s="1075"/>
      <c r="P712" s="1075"/>
      <c r="Q712" s="1075"/>
      <c r="R712" s="1075"/>
      <c r="S712" s="1075"/>
      <c r="T712" s="1075"/>
      <c r="U712" s="1075"/>
      <c r="V712" s="1075"/>
      <c r="W712" s="1075"/>
      <c r="X712" s="1075"/>
      <c r="Y712" s="1075"/>
      <c r="Z712" s="1075"/>
      <c r="AA712" s="1075"/>
      <c r="AB712" s="1075"/>
      <c r="AC712" s="1075"/>
      <c r="AD712" s="1075"/>
      <c r="AE712" s="1075"/>
      <c r="AF712" s="1075"/>
      <c r="AG712" s="1075"/>
      <c r="AH712" s="1075"/>
      <c r="AI712" s="1075"/>
      <c r="AJ712" s="1075"/>
      <c r="AK712" s="1075"/>
      <c r="AL712" s="1075"/>
      <c r="AM712" s="1075"/>
      <c r="AN712" s="1075"/>
      <c r="AO712" s="1075"/>
      <c r="AP712" s="1075"/>
      <c r="AQ712" s="1075"/>
      <c r="AR712" s="1075"/>
      <c r="AS712" s="1075"/>
      <c r="AT712" s="1075"/>
      <c r="AU712" s="1075"/>
      <c r="AV712" s="1075"/>
    </row>
    <row r="713" spans="1:48" ht="11.25" hidden="1" customHeight="1">
      <c r="A713" s="1075"/>
      <c r="B713" s="1075"/>
      <c r="C713" s="1075"/>
      <c r="D713" s="1075"/>
      <c r="E713" s="1075"/>
      <c r="F713" s="1075"/>
      <c r="G713" s="1075"/>
      <c r="H713" s="1075"/>
      <c r="I713" s="1075"/>
      <c r="J713" s="1075"/>
      <c r="K713" s="1075"/>
      <c r="L713" s="1075"/>
      <c r="M713" s="1075"/>
      <c r="N713" s="1075"/>
      <c r="O713" s="1075"/>
      <c r="P713" s="1075"/>
      <c r="Q713" s="1075"/>
      <c r="R713" s="1075"/>
      <c r="S713" s="1075"/>
      <c r="T713" s="1075"/>
      <c r="U713" s="1075"/>
      <c r="V713" s="1075"/>
      <c r="W713" s="1075"/>
      <c r="X713" s="1075"/>
      <c r="Y713" s="1075"/>
      <c r="Z713" s="1075"/>
      <c r="AA713" s="1075"/>
      <c r="AB713" s="1075"/>
      <c r="AC713" s="1075"/>
      <c r="AD713" s="1075"/>
      <c r="AE713" s="1075"/>
      <c r="AF713" s="1075"/>
      <c r="AG713" s="1075"/>
      <c r="AH713" s="1075"/>
      <c r="AI713" s="1075"/>
      <c r="AJ713" s="1075"/>
      <c r="AK713" s="1075"/>
      <c r="AL713" s="1075"/>
      <c r="AM713" s="1075"/>
      <c r="AN713" s="1075"/>
      <c r="AO713" s="1075"/>
      <c r="AP713" s="1075"/>
      <c r="AQ713" s="1075"/>
      <c r="AR713" s="1075"/>
      <c r="AS713" s="1075"/>
      <c r="AT713" s="1075"/>
      <c r="AU713" s="1075"/>
      <c r="AV713" s="1075"/>
    </row>
    <row r="714" spans="1:48" ht="11.25" hidden="1" customHeight="1">
      <c r="A714" s="1075"/>
      <c r="B714" s="1075"/>
      <c r="C714" s="1075"/>
      <c r="D714" s="1075"/>
      <c r="E714" s="1075"/>
      <c r="F714" s="1075"/>
      <c r="G714" s="1075"/>
      <c r="H714" s="1075"/>
      <c r="I714" s="1075"/>
      <c r="J714" s="1075"/>
      <c r="K714" s="1075"/>
      <c r="L714" s="1075"/>
      <c r="M714" s="1075"/>
      <c r="N714" s="1075"/>
      <c r="O714" s="1075"/>
      <c r="P714" s="1075"/>
      <c r="Q714" s="1075"/>
      <c r="R714" s="1075"/>
      <c r="S714" s="1075"/>
      <c r="T714" s="1075"/>
      <c r="U714" s="1075"/>
      <c r="V714" s="1075"/>
      <c r="W714" s="1075"/>
      <c r="X714" s="1075"/>
      <c r="Y714" s="1075"/>
      <c r="Z714" s="1075"/>
      <c r="AA714" s="1075"/>
      <c r="AB714" s="1075"/>
      <c r="AC714" s="1075"/>
      <c r="AD714" s="1075"/>
      <c r="AE714" s="1075"/>
      <c r="AF714" s="1075"/>
      <c r="AG714" s="1075"/>
      <c r="AH714" s="1075"/>
      <c r="AI714" s="1075"/>
      <c r="AJ714" s="1075"/>
      <c r="AK714" s="1075"/>
      <c r="AL714" s="1075"/>
      <c r="AM714" s="1075"/>
      <c r="AN714" s="1075"/>
      <c r="AO714" s="1075"/>
      <c r="AP714" s="1075"/>
      <c r="AQ714" s="1075"/>
      <c r="AR714" s="1075"/>
      <c r="AS714" s="1075"/>
      <c r="AT714" s="1075"/>
      <c r="AU714" s="1075"/>
      <c r="AV714" s="1075"/>
    </row>
    <row r="715" spans="1:48" ht="11.25" hidden="1" customHeight="1">
      <c r="A715" s="1075"/>
      <c r="B715" s="1075"/>
      <c r="C715" s="1075"/>
      <c r="D715" s="1075"/>
      <c r="E715" s="1075"/>
      <c r="F715" s="1075"/>
      <c r="G715" s="1075"/>
      <c r="H715" s="1075"/>
      <c r="I715" s="1075"/>
      <c r="J715" s="1075"/>
      <c r="K715" s="1075"/>
      <c r="L715" s="1075"/>
      <c r="M715" s="1075"/>
      <c r="N715" s="1075"/>
      <c r="O715" s="1075"/>
      <c r="P715" s="1075"/>
      <c r="Q715" s="1075"/>
      <c r="R715" s="1075"/>
      <c r="S715" s="1075"/>
      <c r="T715" s="1075"/>
      <c r="U715" s="1075"/>
      <c r="V715" s="1075"/>
      <c r="W715" s="1075"/>
      <c r="X715" s="1075"/>
      <c r="Y715" s="1075"/>
      <c r="Z715" s="1075"/>
      <c r="AA715" s="1075"/>
      <c r="AB715" s="1075"/>
      <c r="AC715" s="1075"/>
      <c r="AD715" s="1075"/>
      <c r="AE715" s="1075"/>
      <c r="AF715" s="1075"/>
      <c r="AG715" s="1075"/>
      <c r="AH715" s="1075"/>
      <c r="AI715" s="1075"/>
      <c r="AJ715" s="1075"/>
      <c r="AK715" s="1075"/>
      <c r="AL715" s="1075"/>
      <c r="AM715" s="1075"/>
      <c r="AN715" s="1075"/>
      <c r="AO715" s="1075"/>
      <c r="AP715" s="1075"/>
      <c r="AQ715" s="1075"/>
      <c r="AR715" s="1075"/>
      <c r="AS715" s="1075"/>
      <c r="AT715" s="1075"/>
      <c r="AU715" s="1075"/>
      <c r="AV715" s="1075"/>
    </row>
    <row r="716" spans="1:48" ht="11.25" hidden="1" customHeight="1">
      <c r="A716" s="1075"/>
      <c r="B716" s="1075"/>
      <c r="C716" s="1075"/>
      <c r="D716" s="1075"/>
      <c r="E716" s="1075"/>
      <c r="F716" s="1075"/>
      <c r="G716" s="1075"/>
      <c r="H716" s="1075"/>
      <c r="I716" s="1075"/>
      <c r="J716" s="1075"/>
      <c r="K716" s="1075"/>
      <c r="L716" s="1075"/>
      <c r="M716" s="1075"/>
      <c r="N716" s="1075"/>
      <c r="O716" s="1075"/>
      <c r="P716" s="1075"/>
      <c r="Q716" s="1075"/>
      <c r="R716" s="1075"/>
      <c r="S716" s="1075"/>
      <c r="T716" s="1075"/>
      <c r="U716" s="1075"/>
      <c r="V716" s="1075"/>
      <c r="W716" s="1075"/>
      <c r="X716" s="1075"/>
      <c r="Y716" s="1075"/>
      <c r="Z716" s="1075"/>
      <c r="AA716" s="1075"/>
      <c r="AB716" s="1075"/>
      <c r="AC716" s="1075"/>
      <c r="AD716" s="1075"/>
      <c r="AE716" s="1075"/>
      <c r="AF716" s="1075"/>
      <c r="AG716" s="1075"/>
      <c r="AH716" s="1075"/>
      <c r="AI716" s="1075"/>
      <c r="AJ716" s="1075"/>
      <c r="AK716" s="1075"/>
      <c r="AL716" s="1075"/>
      <c r="AM716" s="1075"/>
      <c r="AN716" s="1075"/>
      <c r="AO716" s="1075"/>
      <c r="AP716" s="1075"/>
      <c r="AQ716" s="1075"/>
      <c r="AR716" s="1075"/>
      <c r="AS716" s="1075"/>
      <c r="AT716" s="1075"/>
      <c r="AU716" s="1075"/>
      <c r="AV716" s="1075"/>
    </row>
    <row r="717" spans="1:48" ht="11.25" hidden="1" customHeight="1">
      <c r="A717" s="1075"/>
      <c r="B717" s="1075"/>
      <c r="C717" s="1075"/>
      <c r="D717" s="1075"/>
      <c r="E717" s="1075"/>
      <c r="F717" s="1075"/>
      <c r="G717" s="1075"/>
      <c r="H717" s="1075"/>
      <c r="I717" s="1075"/>
      <c r="J717" s="1075"/>
      <c r="K717" s="1075"/>
      <c r="L717" s="1075"/>
      <c r="M717" s="1075"/>
      <c r="N717" s="1075"/>
      <c r="O717" s="1075"/>
      <c r="P717" s="1075"/>
      <c r="Q717" s="1075"/>
      <c r="R717" s="1075"/>
      <c r="S717" s="1075"/>
      <c r="T717" s="1075"/>
      <c r="U717" s="1075"/>
      <c r="V717" s="1075"/>
      <c r="W717" s="1075"/>
      <c r="X717" s="1075"/>
      <c r="Y717" s="1075"/>
      <c r="Z717" s="1075"/>
      <c r="AA717" s="1075"/>
      <c r="AB717" s="1075"/>
      <c r="AC717" s="1075"/>
      <c r="AD717" s="1075"/>
      <c r="AE717" s="1075"/>
      <c r="AF717" s="1075"/>
      <c r="AG717" s="1075"/>
      <c r="AH717" s="1075"/>
      <c r="AI717" s="1075"/>
      <c r="AJ717" s="1075"/>
      <c r="AK717" s="1075"/>
      <c r="AL717" s="1075"/>
      <c r="AM717" s="1075"/>
      <c r="AN717" s="1075"/>
      <c r="AO717" s="1075"/>
      <c r="AP717" s="1075"/>
      <c r="AQ717" s="1075"/>
      <c r="AR717" s="1075"/>
      <c r="AS717" s="1075"/>
      <c r="AT717" s="1075"/>
      <c r="AU717" s="1075"/>
      <c r="AV717" s="1075"/>
    </row>
    <row r="718" spans="1:48" ht="11.25" hidden="1" customHeight="1">
      <c r="A718" s="1075"/>
      <c r="B718" s="1075"/>
      <c r="C718" s="1075"/>
      <c r="D718" s="1075"/>
      <c r="E718" s="1075"/>
      <c r="F718" s="1075"/>
      <c r="G718" s="1075"/>
      <c r="H718" s="1075"/>
      <c r="I718" s="1075"/>
      <c r="J718" s="1075"/>
      <c r="K718" s="1075"/>
      <c r="L718" s="1075"/>
      <c r="M718" s="1075"/>
      <c r="N718" s="1075"/>
      <c r="O718" s="1075"/>
      <c r="P718" s="1075"/>
      <c r="Q718" s="1075"/>
      <c r="R718" s="1075"/>
      <c r="S718" s="1075"/>
      <c r="T718" s="1075"/>
      <c r="U718" s="1075"/>
      <c r="V718" s="1075"/>
      <c r="W718" s="1075"/>
      <c r="X718" s="1075"/>
      <c r="Y718" s="1075"/>
      <c r="Z718" s="1075"/>
      <c r="AA718" s="1075"/>
      <c r="AB718" s="1075"/>
      <c r="AC718" s="1075"/>
      <c r="AD718" s="1075"/>
      <c r="AE718" s="1075"/>
      <c r="AF718" s="1075"/>
      <c r="AG718" s="1075"/>
      <c r="AH718" s="1075"/>
      <c r="AI718" s="1075"/>
      <c r="AJ718" s="1075"/>
      <c r="AK718" s="1075"/>
      <c r="AL718" s="1075"/>
      <c r="AM718" s="1075"/>
      <c r="AN718" s="1075"/>
      <c r="AO718" s="1075"/>
      <c r="AP718" s="1075"/>
      <c r="AQ718" s="1075"/>
      <c r="AR718" s="1075"/>
      <c r="AS718" s="1075"/>
      <c r="AT718" s="1075"/>
      <c r="AU718" s="1075"/>
      <c r="AV718" s="1075"/>
    </row>
    <row r="719" spans="1:48" ht="11.25" hidden="1" customHeight="1">
      <c r="A719" s="1075"/>
      <c r="B719" s="1075"/>
      <c r="C719" s="1075"/>
      <c r="D719" s="1075"/>
      <c r="E719" s="1075"/>
      <c r="F719" s="1075"/>
      <c r="G719" s="1075"/>
      <c r="H719" s="1075"/>
      <c r="I719" s="1075"/>
      <c r="J719" s="1075"/>
      <c r="K719" s="1075"/>
      <c r="L719" s="1075"/>
      <c r="M719" s="1075"/>
      <c r="N719" s="1075"/>
      <c r="O719" s="1075"/>
      <c r="P719" s="1075"/>
      <c r="Q719" s="1075"/>
      <c r="R719" s="1075"/>
      <c r="S719" s="1075"/>
      <c r="T719" s="1075"/>
      <c r="U719" s="1075"/>
      <c r="V719" s="1075"/>
      <c r="W719" s="1075"/>
      <c r="X719" s="1075"/>
      <c r="Y719" s="1075"/>
      <c r="Z719" s="1075"/>
      <c r="AA719" s="1075"/>
      <c r="AB719" s="1075"/>
      <c r="AC719" s="1075"/>
      <c r="AD719" s="1075"/>
      <c r="AE719" s="1075"/>
      <c r="AF719" s="1075"/>
      <c r="AG719" s="1075"/>
      <c r="AH719" s="1075"/>
      <c r="AI719" s="1075"/>
      <c r="AJ719" s="1075"/>
      <c r="AK719" s="1075"/>
      <c r="AL719" s="1075"/>
      <c r="AM719" s="1075"/>
      <c r="AN719" s="1075"/>
      <c r="AO719" s="1075"/>
      <c r="AP719" s="1075"/>
      <c r="AQ719" s="1075"/>
      <c r="AR719" s="1075"/>
      <c r="AS719" s="1075"/>
      <c r="AT719" s="1075"/>
      <c r="AU719" s="1075"/>
      <c r="AV719" s="1075"/>
    </row>
    <row r="720" spans="1:48" ht="11.25" hidden="1" customHeight="1">
      <c r="A720" s="1075"/>
      <c r="B720" s="1075"/>
      <c r="C720" s="1075"/>
      <c r="D720" s="1075"/>
      <c r="E720" s="1075"/>
      <c r="F720" s="1075"/>
      <c r="G720" s="1075"/>
      <c r="H720" s="1075"/>
      <c r="I720" s="1075"/>
      <c r="J720" s="1075"/>
      <c r="K720" s="1075"/>
      <c r="L720" s="1075"/>
      <c r="M720" s="1075"/>
      <c r="N720" s="1075"/>
      <c r="O720" s="1075"/>
      <c r="P720" s="1075"/>
      <c r="Q720" s="1075"/>
      <c r="R720" s="1075"/>
      <c r="S720" s="1075"/>
      <c r="T720" s="1075"/>
      <c r="U720" s="1075"/>
      <c r="V720" s="1075"/>
      <c r="W720" s="1075"/>
      <c r="X720" s="1075"/>
      <c r="Y720" s="1075"/>
      <c r="Z720" s="1075"/>
      <c r="AA720" s="1075"/>
      <c r="AB720" s="1075"/>
      <c r="AC720" s="1075"/>
      <c r="AD720" s="1075"/>
      <c r="AE720" s="1075"/>
      <c r="AF720" s="1075"/>
      <c r="AG720" s="1075"/>
      <c r="AH720" s="1075"/>
      <c r="AI720" s="1075"/>
      <c r="AJ720" s="1075"/>
      <c r="AK720" s="1075"/>
      <c r="AL720" s="1075"/>
      <c r="AM720" s="1075"/>
      <c r="AN720" s="1075"/>
      <c r="AO720" s="1075"/>
      <c r="AP720" s="1075"/>
      <c r="AQ720" s="1075"/>
      <c r="AR720" s="1075"/>
      <c r="AS720" s="1075"/>
      <c r="AT720" s="1075"/>
      <c r="AU720" s="1075"/>
      <c r="AV720" s="1075"/>
    </row>
    <row r="721" spans="1:48" ht="11.25" hidden="1" customHeight="1">
      <c r="A721" s="1075"/>
      <c r="B721" s="1075"/>
      <c r="C721" s="1075"/>
      <c r="D721" s="1075"/>
      <c r="E721" s="1075"/>
      <c r="F721" s="1075"/>
      <c r="G721" s="1075"/>
      <c r="H721" s="1075"/>
      <c r="I721" s="1075"/>
      <c r="J721" s="1075"/>
      <c r="K721" s="1075"/>
      <c r="L721" s="1075"/>
      <c r="M721" s="1075"/>
      <c r="N721" s="1075"/>
      <c r="O721" s="1075"/>
      <c r="P721" s="1075"/>
      <c r="Q721" s="1075"/>
      <c r="R721" s="1075"/>
      <c r="S721" s="1075"/>
      <c r="T721" s="1075"/>
      <c r="U721" s="1075"/>
      <c r="V721" s="1075"/>
      <c r="W721" s="1075"/>
      <c r="X721" s="1075"/>
      <c r="Y721" s="1075"/>
      <c r="Z721" s="1075"/>
      <c r="AA721" s="1075"/>
      <c r="AB721" s="1075"/>
      <c r="AC721" s="1075"/>
      <c r="AD721" s="1075"/>
      <c r="AE721" s="1075"/>
      <c r="AF721" s="1075"/>
      <c r="AG721" s="1075"/>
      <c r="AH721" s="1075"/>
      <c r="AI721" s="1075"/>
      <c r="AJ721" s="1075"/>
      <c r="AK721" s="1075"/>
      <c r="AL721" s="1075"/>
      <c r="AM721" s="1075"/>
      <c r="AN721" s="1075"/>
      <c r="AO721" s="1075"/>
      <c r="AP721" s="1075"/>
      <c r="AQ721" s="1075"/>
      <c r="AR721" s="1075"/>
      <c r="AS721" s="1075"/>
      <c r="AT721" s="1075"/>
      <c r="AU721" s="1075"/>
      <c r="AV721" s="1075"/>
    </row>
    <row r="722" spans="1:48" ht="11.25" hidden="1" customHeight="1">
      <c r="A722" s="1075"/>
      <c r="B722" s="1075"/>
      <c r="C722" s="1075"/>
      <c r="D722" s="1075"/>
      <c r="E722" s="1075"/>
      <c r="F722" s="1075"/>
      <c r="G722" s="1075"/>
      <c r="H722" s="1075"/>
      <c r="I722" s="1075"/>
      <c r="J722" s="1075"/>
      <c r="K722" s="1075"/>
      <c r="L722" s="1075"/>
      <c r="M722" s="1075"/>
      <c r="N722" s="1075"/>
      <c r="O722" s="1075"/>
      <c r="P722" s="1075"/>
      <c r="Q722" s="1075"/>
      <c r="R722" s="1075"/>
      <c r="S722" s="1075"/>
      <c r="T722" s="1075"/>
      <c r="U722" s="1075"/>
      <c r="V722" s="1075"/>
      <c r="W722" s="1075"/>
      <c r="X722" s="1075"/>
      <c r="Y722" s="1075"/>
      <c r="Z722" s="1075"/>
      <c r="AA722" s="1075"/>
      <c r="AB722" s="1075"/>
      <c r="AC722" s="1075"/>
      <c r="AD722" s="1075"/>
      <c r="AE722" s="1075"/>
      <c r="AF722" s="1075"/>
      <c r="AG722" s="1075"/>
      <c r="AH722" s="1075"/>
      <c r="AI722" s="1075"/>
      <c r="AJ722" s="1075"/>
      <c r="AK722" s="1075"/>
      <c r="AL722" s="1075"/>
      <c r="AM722" s="1075"/>
      <c r="AN722" s="1075"/>
      <c r="AO722" s="1075"/>
      <c r="AP722" s="1075"/>
      <c r="AQ722" s="1075"/>
      <c r="AR722" s="1075"/>
      <c r="AS722" s="1075"/>
      <c r="AT722" s="1075"/>
      <c r="AU722" s="1075"/>
      <c r="AV722" s="1075"/>
    </row>
    <row r="723" spans="1:48" ht="11.25" hidden="1" customHeight="1">
      <c r="A723" s="1075"/>
      <c r="B723" s="1075"/>
      <c r="C723" s="1075"/>
      <c r="D723" s="1075"/>
      <c r="E723" s="1075"/>
      <c r="F723" s="1075"/>
      <c r="G723" s="1075"/>
      <c r="H723" s="1075"/>
      <c r="I723" s="1075"/>
      <c r="J723" s="1075"/>
      <c r="K723" s="1075"/>
      <c r="L723" s="1075"/>
      <c r="M723" s="1075"/>
      <c r="N723" s="1075"/>
      <c r="O723" s="1075"/>
      <c r="P723" s="1075"/>
      <c r="Q723" s="1075"/>
      <c r="R723" s="1075"/>
      <c r="S723" s="1075"/>
      <c r="T723" s="1075"/>
      <c r="U723" s="1075"/>
      <c r="V723" s="1075"/>
      <c r="W723" s="1075"/>
      <c r="X723" s="1075"/>
      <c r="Y723" s="1075"/>
      <c r="Z723" s="1075"/>
      <c r="AA723" s="1075"/>
      <c r="AB723" s="1075"/>
      <c r="AC723" s="1075"/>
      <c r="AD723" s="1075"/>
      <c r="AE723" s="1075"/>
      <c r="AF723" s="1075"/>
      <c r="AG723" s="1075"/>
      <c r="AH723" s="1075"/>
      <c r="AI723" s="1075"/>
      <c r="AJ723" s="1075"/>
      <c r="AK723" s="1075"/>
      <c r="AL723" s="1075"/>
      <c r="AM723" s="1075"/>
      <c r="AN723" s="1075"/>
      <c r="AO723" s="1075"/>
      <c r="AP723" s="1075"/>
      <c r="AQ723" s="1075"/>
      <c r="AR723" s="1075"/>
      <c r="AS723" s="1075"/>
      <c r="AT723" s="1075"/>
      <c r="AU723" s="1075"/>
      <c r="AV723" s="1075"/>
    </row>
    <row r="724" spans="1:48" ht="11.25" hidden="1" customHeight="1">
      <c r="A724" s="1075"/>
      <c r="B724" s="1075"/>
      <c r="C724" s="1075"/>
      <c r="D724" s="1075"/>
      <c r="E724" s="1075"/>
      <c r="F724" s="1075"/>
      <c r="G724" s="1075"/>
      <c r="H724" s="1075"/>
      <c r="I724" s="1075"/>
      <c r="J724" s="1075"/>
      <c r="K724" s="1075"/>
      <c r="L724" s="1075"/>
      <c r="M724" s="1075"/>
      <c r="N724" s="1075"/>
      <c r="O724" s="1075"/>
      <c r="P724" s="1075"/>
      <c r="Q724" s="1075"/>
      <c r="R724" s="1075"/>
      <c r="S724" s="1075"/>
      <c r="T724" s="1075"/>
      <c r="U724" s="1075"/>
      <c r="V724" s="1075"/>
      <c r="W724" s="1075"/>
      <c r="X724" s="1075"/>
      <c r="Y724" s="1075"/>
      <c r="Z724" s="1075"/>
      <c r="AA724" s="1075"/>
      <c r="AB724" s="1075"/>
      <c r="AC724" s="1075"/>
      <c r="AD724" s="1075"/>
      <c r="AE724" s="1075"/>
      <c r="AF724" s="1075"/>
      <c r="AG724" s="1075"/>
      <c r="AH724" s="1075"/>
      <c r="AI724" s="1075"/>
      <c r="AJ724" s="1075"/>
      <c r="AK724" s="1075"/>
      <c r="AL724" s="1075"/>
      <c r="AM724" s="1075"/>
      <c r="AN724" s="1075"/>
      <c r="AO724" s="1075"/>
      <c r="AP724" s="1075"/>
      <c r="AQ724" s="1075"/>
      <c r="AR724" s="1075"/>
      <c r="AS724" s="1075"/>
      <c r="AT724" s="1075"/>
      <c r="AU724" s="1075"/>
      <c r="AV724" s="1075"/>
    </row>
    <row r="725" spans="1:48" ht="11.25" hidden="1" customHeight="1">
      <c r="A725" s="1075"/>
      <c r="B725" s="1075"/>
      <c r="C725" s="1075"/>
      <c r="D725" s="1075"/>
      <c r="E725" s="1075"/>
      <c r="F725" s="1075"/>
      <c r="G725" s="1075"/>
      <c r="H725" s="1075"/>
      <c r="I725" s="1075"/>
      <c r="J725" s="1075"/>
      <c r="K725" s="1075"/>
      <c r="L725" s="1075"/>
      <c r="M725" s="1075"/>
      <c r="N725" s="1075"/>
      <c r="O725" s="1075"/>
      <c r="P725" s="1075"/>
      <c r="Q725" s="1075"/>
      <c r="R725" s="1075"/>
      <c r="S725" s="1075"/>
      <c r="T725" s="1075"/>
      <c r="U725" s="1075"/>
      <c r="V725" s="1075"/>
      <c r="W725" s="1075"/>
      <c r="X725" s="1075"/>
      <c r="Y725" s="1075"/>
      <c r="Z725" s="1075"/>
      <c r="AA725" s="1075"/>
      <c r="AB725" s="1075"/>
      <c r="AC725" s="1075"/>
      <c r="AD725" s="1075"/>
      <c r="AE725" s="1075"/>
      <c r="AF725" s="1075"/>
      <c r="AG725" s="1075"/>
      <c r="AH725" s="1075"/>
      <c r="AI725" s="1075"/>
      <c r="AJ725" s="1075"/>
      <c r="AK725" s="1075"/>
      <c r="AL725" s="1075"/>
      <c r="AM725" s="1075"/>
      <c r="AN725" s="1075"/>
      <c r="AO725" s="1075"/>
      <c r="AP725" s="1075"/>
      <c r="AQ725" s="1075"/>
      <c r="AR725" s="1075"/>
      <c r="AS725" s="1075"/>
      <c r="AT725" s="1075"/>
      <c r="AU725" s="1075"/>
      <c r="AV725" s="1075"/>
    </row>
    <row r="726" spans="1:48" ht="11.25" hidden="1" customHeight="1">
      <c r="A726" s="1075"/>
      <c r="B726" s="1075"/>
      <c r="C726" s="1075"/>
      <c r="D726" s="1075"/>
      <c r="E726" s="1075"/>
      <c r="F726" s="1075"/>
      <c r="G726" s="1075"/>
      <c r="H726" s="1075"/>
      <c r="I726" s="1075"/>
      <c r="J726" s="1075"/>
      <c r="K726" s="1075"/>
      <c r="L726" s="1075"/>
      <c r="M726" s="1075"/>
      <c r="N726" s="1075"/>
      <c r="O726" s="1075"/>
      <c r="P726" s="1075"/>
      <c r="Q726" s="1075"/>
      <c r="R726" s="1075"/>
      <c r="S726" s="1075"/>
      <c r="T726" s="1075"/>
      <c r="U726" s="1075"/>
      <c r="V726" s="1075"/>
      <c r="W726" s="1075"/>
      <c r="X726" s="1075"/>
      <c r="Y726" s="1075"/>
      <c r="Z726" s="1075"/>
      <c r="AA726" s="1075"/>
      <c r="AB726" s="1075"/>
      <c r="AC726" s="1075"/>
      <c r="AD726" s="1075"/>
      <c r="AE726" s="1075"/>
      <c r="AF726" s="1075"/>
      <c r="AG726" s="1075"/>
      <c r="AH726" s="1075"/>
      <c r="AI726" s="1075"/>
      <c r="AJ726" s="1075"/>
      <c r="AK726" s="1075"/>
      <c r="AL726" s="1075"/>
      <c r="AM726" s="1075"/>
      <c r="AN726" s="1075"/>
      <c r="AO726" s="1075"/>
      <c r="AP726" s="1075"/>
      <c r="AQ726" s="1075"/>
      <c r="AR726" s="1075"/>
      <c r="AS726" s="1075"/>
      <c r="AT726" s="1075"/>
      <c r="AU726" s="1075"/>
      <c r="AV726" s="1075"/>
    </row>
    <row r="727" spans="1:48" ht="11.25" hidden="1" customHeight="1">
      <c r="A727" s="1075"/>
      <c r="B727" s="1075"/>
      <c r="C727" s="1075"/>
      <c r="D727" s="1075"/>
      <c r="E727" s="1075"/>
      <c r="F727" s="1075"/>
      <c r="G727" s="1075"/>
      <c r="H727" s="1075"/>
      <c r="I727" s="1075"/>
      <c r="J727" s="1075"/>
      <c r="K727" s="1075"/>
      <c r="L727" s="1075"/>
      <c r="M727" s="1075"/>
      <c r="N727" s="1075"/>
      <c r="O727" s="1075"/>
      <c r="P727" s="1075"/>
      <c r="Q727" s="1075"/>
      <c r="R727" s="1075"/>
      <c r="S727" s="1075"/>
      <c r="T727" s="1075"/>
      <c r="U727" s="1075"/>
      <c r="V727" s="1075"/>
      <c r="W727" s="1075"/>
      <c r="X727" s="1075"/>
      <c r="Y727" s="1075"/>
      <c r="Z727" s="1075"/>
      <c r="AA727" s="1075"/>
      <c r="AB727" s="1075"/>
      <c r="AC727" s="1075"/>
      <c r="AD727" s="1075"/>
      <c r="AE727" s="1075"/>
      <c r="AF727" s="1075"/>
      <c r="AG727" s="1075"/>
      <c r="AH727" s="1075"/>
      <c r="AI727" s="1075"/>
      <c r="AJ727" s="1075"/>
      <c r="AK727" s="1075"/>
      <c r="AL727" s="1075"/>
      <c r="AM727" s="1075"/>
      <c r="AN727" s="1075"/>
      <c r="AO727" s="1075"/>
      <c r="AP727" s="1075"/>
      <c r="AQ727" s="1075"/>
      <c r="AR727" s="1075"/>
      <c r="AS727" s="1075"/>
      <c r="AT727" s="1075"/>
      <c r="AU727" s="1075"/>
      <c r="AV727" s="1075"/>
    </row>
    <row r="728" spans="1:48" ht="11.25" hidden="1" customHeight="1">
      <c r="A728" s="1075"/>
      <c r="B728" s="1075"/>
      <c r="C728" s="1075"/>
      <c r="D728" s="1075"/>
      <c r="E728" s="1075"/>
      <c r="F728" s="1075"/>
      <c r="G728" s="1075"/>
      <c r="H728" s="1075"/>
      <c r="I728" s="1075"/>
      <c r="J728" s="1075"/>
      <c r="K728" s="1075"/>
      <c r="L728" s="1075"/>
      <c r="M728" s="1075"/>
      <c r="N728" s="1075"/>
      <c r="O728" s="1075"/>
      <c r="P728" s="1075"/>
      <c r="Q728" s="1075"/>
      <c r="R728" s="1075"/>
      <c r="S728" s="1075"/>
      <c r="T728" s="1075"/>
      <c r="U728" s="1075"/>
      <c r="V728" s="1075"/>
      <c r="W728" s="1075"/>
      <c r="X728" s="1075"/>
      <c r="Y728" s="1075"/>
      <c r="Z728" s="1075"/>
      <c r="AA728" s="1075"/>
      <c r="AB728" s="1075"/>
      <c r="AC728" s="1075"/>
      <c r="AD728" s="1075"/>
      <c r="AE728" s="1075"/>
      <c r="AF728" s="1075"/>
      <c r="AG728" s="1075"/>
      <c r="AH728" s="1075"/>
      <c r="AI728" s="1075"/>
      <c r="AJ728" s="1075"/>
      <c r="AK728" s="1075"/>
      <c r="AL728" s="1075"/>
      <c r="AM728" s="1075"/>
      <c r="AN728" s="1075"/>
      <c r="AO728" s="1075"/>
      <c r="AP728" s="1075"/>
      <c r="AQ728" s="1075"/>
      <c r="AR728" s="1075"/>
      <c r="AS728" s="1075"/>
      <c r="AT728" s="1075"/>
      <c r="AU728" s="1075"/>
      <c r="AV728" s="1075"/>
    </row>
    <row r="729" spans="1:48" ht="11.25" hidden="1" customHeight="1">
      <c r="A729" s="1075"/>
      <c r="B729" s="1075"/>
      <c r="C729" s="1075"/>
      <c r="D729" s="1075"/>
      <c r="E729" s="1075"/>
      <c r="F729" s="1075"/>
      <c r="G729" s="1075"/>
      <c r="H729" s="1075"/>
      <c r="I729" s="1075"/>
      <c r="J729" s="1075"/>
      <c r="K729" s="1075"/>
      <c r="L729" s="1075"/>
      <c r="M729" s="1075"/>
      <c r="N729" s="1075"/>
      <c r="O729" s="1075"/>
      <c r="P729" s="1075"/>
      <c r="Q729" s="1075"/>
      <c r="R729" s="1075"/>
      <c r="S729" s="1075"/>
      <c r="T729" s="1075"/>
      <c r="U729" s="1075"/>
      <c r="V729" s="1075"/>
      <c r="W729" s="1075"/>
      <c r="X729" s="1075"/>
      <c r="Y729" s="1075"/>
      <c r="Z729" s="1075"/>
      <c r="AA729" s="1075"/>
      <c r="AB729" s="1075"/>
      <c r="AC729" s="1075"/>
      <c r="AD729" s="1075"/>
      <c r="AE729" s="1075"/>
      <c r="AF729" s="1075"/>
      <c r="AG729" s="1075"/>
      <c r="AH729" s="1075"/>
      <c r="AI729" s="1075"/>
      <c r="AJ729" s="1075"/>
      <c r="AK729" s="1075"/>
      <c r="AL729" s="1075"/>
      <c r="AM729" s="1075"/>
      <c r="AN729" s="1075"/>
      <c r="AO729" s="1075"/>
      <c r="AP729" s="1075"/>
      <c r="AQ729" s="1075"/>
      <c r="AR729" s="1075"/>
      <c r="AS729" s="1075"/>
      <c r="AT729" s="1075"/>
      <c r="AU729" s="1075"/>
      <c r="AV729" s="1075"/>
    </row>
    <row r="730" spans="1:48" ht="11.25" hidden="1" customHeight="1">
      <c r="A730" s="1075"/>
      <c r="B730" s="1075"/>
      <c r="C730" s="1075"/>
      <c r="D730" s="1075"/>
      <c r="E730" s="1075"/>
      <c r="F730" s="1075"/>
      <c r="G730" s="1075"/>
      <c r="H730" s="1075"/>
      <c r="I730" s="1075"/>
      <c r="J730" s="1075"/>
      <c r="K730" s="1075"/>
      <c r="L730" s="1075"/>
      <c r="M730" s="1075"/>
      <c r="N730" s="1075"/>
      <c r="O730" s="1075"/>
      <c r="P730" s="1075"/>
      <c r="Q730" s="1075"/>
      <c r="R730" s="1075"/>
      <c r="S730" s="1075"/>
      <c r="T730" s="1075"/>
      <c r="U730" s="1075"/>
      <c r="V730" s="1075"/>
      <c r="W730" s="1075"/>
      <c r="X730" s="1075"/>
      <c r="Y730" s="1075"/>
      <c r="Z730" s="1075"/>
      <c r="AA730" s="1075"/>
      <c r="AB730" s="1075"/>
      <c r="AC730" s="1075"/>
      <c r="AD730" s="1075"/>
      <c r="AE730" s="1075"/>
      <c r="AF730" s="1075"/>
      <c r="AG730" s="1075"/>
      <c r="AH730" s="1075"/>
      <c r="AI730" s="1075"/>
      <c r="AJ730" s="1075"/>
      <c r="AK730" s="1075"/>
      <c r="AL730" s="1075"/>
      <c r="AM730" s="1075"/>
      <c r="AN730" s="1075"/>
      <c r="AO730" s="1075"/>
      <c r="AP730" s="1075"/>
      <c r="AQ730" s="1075"/>
      <c r="AR730" s="1075"/>
      <c r="AS730" s="1075"/>
      <c r="AT730" s="1075"/>
      <c r="AU730" s="1075"/>
      <c r="AV730" s="1075"/>
    </row>
    <row r="731" spans="1:48" ht="11.25" hidden="1" customHeight="1">
      <c r="A731" s="1075"/>
      <c r="B731" s="1075"/>
      <c r="C731" s="1075"/>
      <c r="D731" s="1075"/>
      <c r="E731" s="1075"/>
      <c r="F731" s="1075"/>
      <c r="G731" s="1075"/>
      <c r="H731" s="1075"/>
      <c r="I731" s="1075"/>
      <c r="J731" s="1075"/>
      <c r="K731" s="1075"/>
      <c r="L731" s="1075"/>
      <c r="M731" s="1075"/>
      <c r="N731" s="1075"/>
      <c r="O731" s="1075"/>
      <c r="P731" s="1075"/>
      <c r="Q731" s="1075"/>
      <c r="R731" s="1075"/>
      <c r="S731" s="1075"/>
      <c r="T731" s="1075"/>
      <c r="U731" s="1075"/>
      <c r="V731" s="1075"/>
      <c r="W731" s="1075"/>
      <c r="X731" s="1075"/>
      <c r="Y731" s="1075"/>
      <c r="Z731" s="1075"/>
      <c r="AA731" s="1075"/>
      <c r="AB731" s="1075"/>
      <c r="AC731" s="1075"/>
      <c r="AD731" s="1075"/>
      <c r="AE731" s="1075"/>
      <c r="AF731" s="1075"/>
      <c r="AG731" s="1075"/>
      <c r="AH731" s="1075"/>
      <c r="AI731" s="1075"/>
      <c r="AJ731" s="1075"/>
      <c r="AK731" s="1075"/>
      <c r="AL731" s="1075"/>
      <c r="AM731" s="1075"/>
      <c r="AN731" s="1075"/>
      <c r="AO731" s="1075"/>
      <c r="AP731" s="1075"/>
      <c r="AQ731" s="1075"/>
      <c r="AR731" s="1075"/>
      <c r="AS731" s="1075"/>
      <c r="AT731" s="1075"/>
      <c r="AU731" s="1075"/>
      <c r="AV731" s="1075"/>
    </row>
    <row r="732" spans="1:48" ht="11.25" hidden="1" customHeight="1">
      <c r="A732" s="1075"/>
      <c r="B732" s="1075"/>
      <c r="C732" s="1075"/>
      <c r="D732" s="1075"/>
      <c r="E732" s="1075"/>
      <c r="F732" s="1075"/>
      <c r="G732" s="1075"/>
      <c r="H732" s="1075"/>
      <c r="I732" s="1075"/>
      <c r="J732" s="1075"/>
      <c r="K732" s="1075"/>
      <c r="L732" s="1075"/>
      <c r="M732" s="1075"/>
      <c r="N732" s="1075"/>
      <c r="O732" s="1075"/>
      <c r="P732" s="1075"/>
      <c r="Q732" s="1075"/>
      <c r="R732" s="1075"/>
      <c r="S732" s="1075"/>
      <c r="T732" s="1075"/>
      <c r="U732" s="1075"/>
      <c r="V732" s="1075"/>
      <c r="W732" s="1075"/>
      <c r="X732" s="1075"/>
      <c r="Y732" s="1075"/>
      <c r="Z732" s="1075"/>
      <c r="AA732" s="1075"/>
      <c r="AB732" s="1075"/>
      <c r="AC732" s="1075"/>
      <c r="AD732" s="1075"/>
      <c r="AE732" s="1075"/>
      <c r="AF732" s="1075"/>
      <c r="AG732" s="1075"/>
      <c r="AH732" s="1075"/>
      <c r="AI732" s="1075"/>
      <c r="AJ732" s="1075"/>
      <c r="AK732" s="1075"/>
      <c r="AL732" s="1075"/>
      <c r="AM732" s="1075"/>
      <c r="AN732" s="1075"/>
      <c r="AO732" s="1075"/>
      <c r="AP732" s="1075"/>
      <c r="AQ732" s="1075"/>
      <c r="AR732" s="1075"/>
      <c r="AS732" s="1075"/>
      <c r="AT732" s="1075"/>
      <c r="AU732" s="1075"/>
      <c r="AV732" s="1075"/>
    </row>
    <row r="733" spans="1:48" ht="11.25" hidden="1" customHeight="1">
      <c r="A733" s="1075"/>
      <c r="B733" s="1075"/>
      <c r="C733" s="1075"/>
      <c r="D733" s="1075"/>
      <c r="E733" s="1075"/>
      <c r="F733" s="1075"/>
      <c r="G733" s="1075"/>
      <c r="H733" s="1075"/>
      <c r="I733" s="1075"/>
      <c r="J733" s="1075"/>
      <c r="K733" s="1075"/>
      <c r="L733" s="1075"/>
      <c r="M733" s="1075"/>
      <c r="N733" s="1075"/>
      <c r="O733" s="1075"/>
      <c r="P733" s="1075"/>
      <c r="Q733" s="1075"/>
      <c r="R733" s="1075"/>
      <c r="S733" s="1075"/>
      <c r="T733" s="1075"/>
      <c r="U733" s="1075"/>
      <c r="V733" s="1075"/>
      <c r="W733" s="1075"/>
      <c r="X733" s="1075"/>
      <c r="Y733" s="1075"/>
      <c r="Z733" s="1075"/>
      <c r="AA733" s="1075"/>
      <c r="AB733" s="1075"/>
      <c r="AC733" s="1075"/>
      <c r="AD733" s="1075"/>
      <c r="AE733" s="1075"/>
      <c r="AF733" s="1075"/>
      <c r="AG733" s="1075"/>
      <c r="AH733" s="1075"/>
      <c r="AI733" s="1075"/>
      <c r="AJ733" s="1075"/>
      <c r="AK733" s="1075"/>
      <c r="AL733" s="1075"/>
      <c r="AM733" s="1075"/>
      <c r="AN733" s="1075"/>
      <c r="AO733" s="1075"/>
      <c r="AP733" s="1075"/>
      <c r="AQ733" s="1075"/>
      <c r="AR733" s="1075"/>
      <c r="AS733" s="1075"/>
      <c r="AT733" s="1075"/>
      <c r="AU733" s="1075"/>
      <c r="AV733" s="1075"/>
    </row>
    <row r="734" spans="1:48" ht="11.25" hidden="1" customHeight="1">
      <c r="A734" s="1075"/>
      <c r="B734" s="1075"/>
      <c r="C734" s="1075"/>
      <c r="D734" s="1075"/>
      <c r="E734" s="1075"/>
      <c r="F734" s="1075"/>
      <c r="G734" s="1075"/>
      <c r="H734" s="1075"/>
      <c r="I734" s="1075"/>
      <c r="J734" s="1075"/>
      <c r="K734" s="1075"/>
      <c r="L734" s="1075"/>
      <c r="M734" s="1075"/>
      <c r="N734" s="1075"/>
      <c r="O734" s="1075"/>
      <c r="P734" s="1075"/>
      <c r="Q734" s="1075"/>
      <c r="R734" s="1075"/>
      <c r="S734" s="1075"/>
      <c r="T734" s="1075"/>
      <c r="U734" s="1075"/>
      <c r="V734" s="1075"/>
      <c r="W734" s="1075"/>
      <c r="X734" s="1075"/>
      <c r="Y734" s="1075"/>
      <c r="Z734" s="1075"/>
      <c r="AA734" s="1075"/>
      <c r="AB734" s="1075"/>
      <c r="AC734" s="1075"/>
      <c r="AD734" s="1075"/>
      <c r="AE734" s="1075"/>
      <c r="AF734" s="1075"/>
      <c r="AG734" s="1075"/>
      <c r="AH734" s="1075"/>
      <c r="AI734" s="1075"/>
      <c r="AJ734" s="1075"/>
      <c r="AK734" s="1075"/>
      <c r="AL734" s="1075"/>
      <c r="AM734" s="1075"/>
      <c r="AN734" s="1075"/>
      <c r="AO734" s="1075"/>
      <c r="AP734" s="1075"/>
      <c r="AQ734" s="1075"/>
      <c r="AR734" s="1075"/>
      <c r="AS734" s="1075"/>
      <c r="AT734" s="1075"/>
      <c r="AU734" s="1075"/>
      <c r="AV734" s="1075"/>
    </row>
    <row r="735" spans="1:48" ht="11.25" hidden="1" customHeight="1">
      <c r="A735" s="1075"/>
      <c r="B735" s="1075"/>
      <c r="C735" s="1075"/>
      <c r="D735" s="1075"/>
      <c r="E735" s="1075"/>
      <c r="F735" s="1075"/>
      <c r="G735" s="1075"/>
      <c r="H735" s="1075"/>
      <c r="I735" s="1075"/>
      <c r="J735" s="1075"/>
      <c r="K735" s="1075"/>
      <c r="L735" s="1075"/>
      <c r="M735" s="1075"/>
      <c r="N735" s="1075"/>
      <c r="O735" s="1075"/>
      <c r="P735" s="1075"/>
      <c r="Q735" s="1075"/>
      <c r="R735" s="1075"/>
      <c r="S735" s="1075"/>
      <c r="T735" s="1075"/>
      <c r="U735" s="1075"/>
      <c r="V735" s="1075"/>
      <c r="W735" s="1075"/>
      <c r="X735" s="1075"/>
      <c r="Y735" s="1075"/>
      <c r="Z735" s="1075"/>
      <c r="AA735" s="1075"/>
      <c r="AB735" s="1075"/>
      <c r="AC735" s="1075"/>
      <c r="AD735" s="1075"/>
      <c r="AE735" s="1075"/>
      <c r="AF735" s="1075"/>
      <c r="AG735" s="1075"/>
      <c r="AH735" s="1075"/>
      <c r="AI735" s="1075"/>
      <c r="AJ735" s="1075"/>
      <c r="AK735" s="1075"/>
      <c r="AL735" s="1075"/>
      <c r="AM735" s="1075"/>
      <c r="AN735" s="1075"/>
      <c r="AO735" s="1075"/>
      <c r="AP735" s="1075"/>
      <c r="AQ735" s="1075"/>
      <c r="AR735" s="1075"/>
      <c r="AS735" s="1075"/>
      <c r="AT735" s="1075"/>
      <c r="AU735" s="1075"/>
      <c r="AV735" s="1075"/>
    </row>
    <row r="736" spans="1:48" ht="11.25" hidden="1" customHeight="1">
      <c r="A736" s="1075"/>
      <c r="B736" s="1075"/>
      <c r="C736" s="1075"/>
      <c r="D736" s="1075"/>
      <c r="E736" s="1075"/>
      <c r="F736" s="1075"/>
      <c r="G736" s="1075"/>
      <c r="H736" s="1075"/>
      <c r="I736" s="1075"/>
      <c r="J736" s="1075"/>
      <c r="K736" s="1075"/>
      <c r="L736" s="1075"/>
      <c r="M736" s="1075"/>
      <c r="N736" s="1075"/>
      <c r="O736" s="1075"/>
      <c r="P736" s="1075"/>
      <c r="Q736" s="1075"/>
      <c r="R736" s="1075"/>
      <c r="S736" s="1075"/>
      <c r="T736" s="1075"/>
      <c r="U736" s="1075"/>
      <c r="V736" s="1075"/>
      <c r="W736" s="1075"/>
      <c r="X736" s="1075"/>
      <c r="Y736" s="1075"/>
      <c r="Z736" s="1075"/>
      <c r="AA736" s="1075"/>
      <c r="AB736" s="1075"/>
      <c r="AC736" s="1075"/>
      <c r="AD736" s="1075"/>
      <c r="AE736" s="1075"/>
      <c r="AF736" s="1075"/>
      <c r="AG736" s="1075"/>
      <c r="AH736" s="1075"/>
      <c r="AI736" s="1075"/>
      <c r="AJ736" s="1075"/>
      <c r="AK736" s="1075"/>
      <c r="AL736" s="1075"/>
      <c r="AM736" s="1075"/>
      <c r="AN736" s="1075"/>
      <c r="AO736" s="1075"/>
      <c r="AP736" s="1075"/>
      <c r="AQ736" s="1075"/>
      <c r="AR736" s="1075"/>
      <c r="AS736" s="1075"/>
      <c r="AT736" s="1075"/>
      <c r="AU736" s="1075"/>
      <c r="AV736" s="1075"/>
    </row>
    <row r="737" spans="1:48" ht="11.25" hidden="1" customHeight="1">
      <c r="A737" s="1075"/>
      <c r="B737" s="1075"/>
      <c r="C737" s="1075"/>
      <c r="D737" s="1075"/>
      <c r="E737" s="1075"/>
      <c r="F737" s="1075"/>
      <c r="G737" s="1075"/>
      <c r="H737" s="1075"/>
      <c r="I737" s="1075"/>
      <c r="J737" s="1075"/>
      <c r="K737" s="1075"/>
      <c r="L737" s="1075"/>
      <c r="M737" s="1075"/>
      <c r="N737" s="1075"/>
      <c r="O737" s="1075"/>
      <c r="P737" s="1075"/>
      <c r="Q737" s="1075"/>
      <c r="R737" s="1075"/>
      <c r="S737" s="1075"/>
      <c r="T737" s="1075"/>
      <c r="U737" s="1075"/>
      <c r="V737" s="1075"/>
      <c r="W737" s="1075"/>
      <c r="X737" s="1075"/>
      <c r="Y737" s="1075"/>
      <c r="Z737" s="1075"/>
      <c r="AA737" s="1075"/>
      <c r="AB737" s="1075"/>
      <c r="AC737" s="1075"/>
      <c r="AD737" s="1075"/>
      <c r="AE737" s="1075"/>
      <c r="AF737" s="1075"/>
      <c r="AG737" s="1075"/>
      <c r="AH737" s="1075"/>
      <c r="AI737" s="1075"/>
      <c r="AJ737" s="1075"/>
      <c r="AK737" s="1075"/>
      <c r="AL737" s="1075"/>
      <c r="AM737" s="1075"/>
      <c r="AN737" s="1075"/>
      <c r="AO737" s="1075"/>
      <c r="AP737" s="1075"/>
      <c r="AQ737" s="1075"/>
      <c r="AR737" s="1075"/>
      <c r="AS737" s="1075"/>
      <c r="AT737" s="1075"/>
      <c r="AU737" s="1075"/>
      <c r="AV737" s="1075"/>
    </row>
    <row r="738" spans="1:48" ht="11.25" hidden="1" customHeight="1">
      <c r="A738" s="1075"/>
      <c r="B738" s="1075"/>
      <c r="C738" s="1075"/>
      <c r="D738" s="1075"/>
      <c r="E738" s="1075"/>
      <c r="F738" s="1075"/>
      <c r="G738" s="1075"/>
      <c r="H738" s="1075"/>
      <c r="I738" s="1075"/>
      <c r="J738" s="1075"/>
      <c r="K738" s="1075"/>
      <c r="L738" s="1075"/>
      <c r="M738" s="1075"/>
      <c r="N738" s="1075"/>
      <c r="O738" s="1075"/>
      <c r="P738" s="1075"/>
      <c r="Q738" s="1075"/>
      <c r="R738" s="1075"/>
      <c r="S738" s="1075"/>
      <c r="T738" s="1075"/>
      <c r="U738" s="1075"/>
      <c r="V738" s="1075"/>
      <c r="W738" s="1075"/>
      <c r="X738" s="1075"/>
      <c r="Y738" s="1075"/>
      <c r="Z738" s="1075"/>
      <c r="AA738" s="1075"/>
      <c r="AB738" s="1075"/>
      <c r="AC738" s="1075"/>
      <c r="AD738" s="1075"/>
      <c r="AE738" s="1075"/>
      <c r="AF738" s="1075"/>
      <c r="AG738" s="1075"/>
      <c r="AH738" s="1075"/>
      <c r="AI738" s="1075"/>
      <c r="AJ738" s="1075"/>
      <c r="AK738" s="1075"/>
      <c r="AL738" s="1075"/>
      <c r="AM738" s="1075"/>
      <c r="AN738" s="1075"/>
      <c r="AO738" s="1075"/>
      <c r="AP738" s="1075"/>
      <c r="AQ738" s="1075"/>
      <c r="AR738" s="1075"/>
      <c r="AS738" s="1075"/>
      <c r="AT738" s="1075"/>
      <c r="AU738" s="1075"/>
      <c r="AV738" s="1075"/>
    </row>
    <row r="739" spans="1:48" ht="11.25" hidden="1" customHeight="1">
      <c r="A739" s="1075"/>
      <c r="B739" s="1075"/>
      <c r="C739" s="1075"/>
      <c r="D739" s="1075"/>
      <c r="E739" s="1075"/>
      <c r="F739" s="1075"/>
      <c r="G739" s="1075"/>
      <c r="H739" s="1075"/>
      <c r="I739" s="1075"/>
      <c r="J739" s="1075"/>
      <c r="K739" s="1075"/>
      <c r="L739" s="1075"/>
      <c r="M739" s="1075"/>
      <c r="N739" s="1075"/>
      <c r="O739" s="1075"/>
      <c r="P739" s="1075"/>
      <c r="Q739" s="1075"/>
      <c r="R739" s="1075"/>
      <c r="S739" s="1075"/>
      <c r="T739" s="1075"/>
      <c r="U739" s="1075"/>
      <c r="V739" s="1075"/>
      <c r="W739" s="1075"/>
      <c r="X739" s="1075"/>
      <c r="Y739" s="1075"/>
      <c r="Z739" s="1075"/>
      <c r="AA739" s="1075"/>
      <c r="AB739" s="1075"/>
      <c r="AC739" s="1075"/>
      <c r="AD739" s="1075"/>
      <c r="AE739" s="1075"/>
      <c r="AF739" s="1075"/>
      <c r="AG739" s="1075"/>
      <c r="AH739" s="1075"/>
      <c r="AI739" s="1075"/>
      <c r="AJ739" s="1075"/>
      <c r="AK739" s="1075"/>
      <c r="AL739" s="1075"/>
      <c r="AM739" s="1075"/>
      <c r="AN739" s="1075"/>
      <c r="AO739" s="1075"/>
      <c r="AP739" s="1075"/>
      <c r="AQ739" s="1075"/>
      <c r="AR739" s="1075"/>
      <c r="AS739" s="1075"/>
      <c r="AT739" s="1075"/>
      <c r="AU739" s="1075"/>
      <c r="AV739" s="1075"/>
    </row>
    <row r="740" spans="1:48" ht="11.25" hidden="1" customHeight="1">
      <c r="A740" s="1075"/>
      <c r="B740" s="1075"/>
      <c r="C740" s="1075"/>
      <c r="D740" s="1075"/>
      <c r="E740" s="1075"/>
      <c r="F740" s="1075"/>
      <c r="G740" s="1075"/>
      <c r="H740" s="1075"/>
      <c r="I740" s="1075"/>
      <c r="J740" s="1075"/>
      <c r="K740" s="1075"/>
      <c r="L740" s="1075"/>
      <c r="M740" s="1075"/>
      <c r="N740" s="1075"/>
      <c r="O740" s="1075"/>
      <c r="P740" s="1075"/>
      <c r="Q740" s="1075"/>
      <c r="R740" s="1075"/>
      <c r="S740" s="1075"/>
      <c r="T740" s="1075"/>
      <c r="U740" s="1075"/>
      <c r="V740" s="1075"/>
      <c r="W740" s="1075"/>
      <c r="X740" s="1075"/>
      <c r="Y740" s="1075"/>
      <c r="Z740" s="1075"/>
      <c r="AA740" s="1075"/>
      <c r="AB740" s="1075"/>
      <c r="AC740" s="1075"/>
      <c r="AD740" s="1075"/>
      <c r="AE740" s="1075"/>
      <c r="AF740" s="1075"/>
      <c r="AG740" s="1075"/>
      <c r="AH740" s="1075"/>
      <c r="AI740" s="1075"/>
      <c r="AJ740" s="1075"/>
      <c r="AK740" s="1075"/>
      <c r="AL740" s="1075"/>
      <c r="AM740" s="1075"/>
      <c r="AN740" s="1075"/>
      <c r="AO740" s="1075"/>
      <c r="AP740" s="1075"/>
      <c r="AQ740" s="1075"/>
      <c r="AR740" s="1075"/>
      <c r="AS740" s="1075"/>
      <c r="AT740" s="1075"/>
      <c r="AU740" s="1075"/>
      <c r="AV740" s="1075"/>
    </row>
    <row r="741" spans="1:48" ht="11.25" hidden="1" customHeight="1">
      <c r="A741" s="1075"/>
      <c r="B741" s="1075"/>
      <c r="C741" s="1075"/>
      <c r="D741" s="1075"/>
      <c r="E741" s="1075"/>
      <c r="F741" s="1075"/>
      <c r="G741" s="1075"/>
      <c r="H741" s="1075"/>
      <c r="I741" s="1075"/>
      <c r="J741" s="1075"/>
      <c r="K741" s="1075"/>
      <c r="L741" s="1075"/>
      <c r="M741" s="1075"/>
      <c r="N741" s="1075"/>
      <c r="O741" s="1075"/>
      <c r="P741" s="1075"/>
      <c r="Q741" s="1075"/>
      <c r="R741" s="1075"/>
      <c r="S741" s="1075"/>
      <c r="T741" s="1075"/>
      <c r="U741" s="1075"/>
      <c r="V741" s="1075"/>
      <c r="W741" s="1075"/>
      <c r="X741" s="1075"/>
      <c r="Y741" s="1075"/>
      <c r="Z741" s="1075"/>
      <c r="AA741" s="1075"/>
      <c r="AB741" s="1075"/>
      <c r="AC741" s="1075"/>
      <c r="AD741" s="1075"/>
      <c r="AE741" s="1075"/>
      <c r="AF741" s="1075"/>
      <c r="AG741" s="1075"/>
      <c r="AH741" s="1075"/>
      <c r="AI741" s="1075"/>
      <c r="AJ741" s="1075"/>
      <c r="AK741" s="1075"/>
      <c r="AL741" s="1075"/>
      <c r="AM741" s="1075"/>
      <c r="AN741" s="1075"/>
      <c r="AO741" s="1075"/>
      <c r="AP741" s="1075"/>
      <c r="AQ741" s="1075"/>
      <c r="AR741" s="1075"/>
      <c r="AS741" s="1075"/>
      <c r="AT741" s="1075"/>
      <c r="AU741" s="1075"/>
      <c r="AV741" s="1075"/>
    </row>
    <row r="742" spans="1:48" ht="11.25" hidden="1" customHeight="1">
      <c r="A742" s="1075"/>
      <c r="B742" s="1075"/>
      <c r="C742" s="1075"/>
      <c r="D742" s="1075"/>
      <c r="E742" s="1075"/>
      <c r="F742" s="1075"/>
      <c r="G742" s="1075"/>
      <c r="H742" s="1075"/>
      <c r="I742" s="1075"/>
      <c r="J742" s="1075"/>
      <c r="K742" s="1075"/>
      <c r="L742" s="1075"/>
      <c r="M742" s="1075"/>
      <c r="N742" s="1075"/>
      <c r="O742" s="1075"/>
      <c r="P742" s="1075"/>
      <c r="Q742" s="1075"/>
      <c r="R742" s="1075"/>
      <c r="S742" s="1075"/>
      <c r="T742" s="1075"/>
      <c r="U742" s="1075"/>
      <c r="V742" s="1075"/>
      <c r="W742" s="1075"/>
      <c r="X742" s="1075"/>
      <c r="Y742" s="1075"/>
      <c r="Z742" s="1075"/>
      <c r="AA742" s="1075"/>
      <c r="AB742" s="1075"/>
      <c r="AC742" s="1075"/>
      <c r="AD742" s="1075"/>
      <c r="AE742" s="1075"/>
      <c r="AF742" s="1075"/>
      <c r="AG742" s="1075"/>
      <c r="AH742" s="1075"/>
      <c r="AI742" s="1075"/>
      <c r="AJ742" s="1075"/>
      <c r="AK742" s="1075"/>
      <c r="AL742" s="1075"/>
      <c r="AM742" s="1075"/>
      <c r="AN742" s="1075"/>
      <c r="AO742" s="1075"/>
      <c r="AP742" s="1075"/>
      <c r="AQ742" s="1075"/>
      <c r="AR742" s="1075"/>
      <c r="AS742" s="1075"/>
      <c r="AT742" s="1075"/>
      <c r="AU742" s="1075"/>
      <c r="AV742" s="1075"/>
    </row>
    <row r="743" spans="1:48" ht="11.25" hidden="1" customHeight="1">
      <c r="A743" s="1075"/>
      <c r="B743" s="1075"/>
      <c r="C743" s="1075"/>
      <c r="D743" s="1075"/>
      <c r="E743" s="1075"/>
      <c r="F743" s="1075"/>
      <c r="G743" s="1075"/>
      <c r="H743" s="1075"/>
      <c r="I743" s="1075"/>
      <c r="J743" s="1075"/>
      <c r="K743" s="1075"/>
      <c r="L743" s="1075"/>
      <c r="M743" s="1075"/>
      <c r="N743" s="1075"/>
      <c r="O743" s="1075"/>
      <c r="P743" s="1075"/>
      <c r="Q743" s="1075"/>
      <c r="R743" s="1075"/>
      <c r="S743" s="1075"/>
      <c r="T743" s="1075"/>
      <c r="U743" s="1075"/>
      <c r="V743" s="1075"/>
      <c r="W743" s="1075"/>
      <c r="X743" s="1075"/>
      <c r="Y743" s="1075"/>
      <c r="Z743" s="1075"/>
      <c r="AA743" s="1075"/>
      <c r="AB743" s="1075"/>
      <c r="AC743" s="1075"/>
      <c r="AD743" s="1075"/>
      <c r="AE743" s="1075"/>
      <c r="AF743" s="1075"/>
      <c r="AG743" s="1075"/>
      <c r="AH743" s="1075"/>
      <c r="AI743" s="1075"/>
      <c r="AJ743" s="1075"/>
      <c r="AK743" s="1075"/>
      <c r="AL743" s="1075"/>
      <c r="AM743" s="1075"/>
      <c r="AN743" s="1075"/>
      <c r="AO743" s="1075"/>
      <c r="AP743" s="1075"/>
      <c r="AQ743" s="1075"/>
      <c r="AR743" s="1075"/>
      <c r="AS743" s="1075"/>
      <c r="AT743" s="1075"/>
      <c r="AU743" s="1075"/>
      <c r="AV743" s="1075"/>
    </row>
    <row r="744" spans="1:48" ht="11.25" hidden="1" customHeight="1">
      <c r="A744" s="1075"/>
      <c r="B744" s="1075"/>
      <c r="C744" s="1075"/>
      <c r="D744" s="1075"/>
      <c r="E744" s="1075"/>
      <c r="F744" s="1075"/>
      <c r="G744" s="1075"/>
      <c r="H744" s="1075"/>
      <c r="I744" s="1075"/>
      <c r="J744" s="1075"/>
      <c r="K744" s="1075"/>
      <c r="L744" s="1075"/>
      <c r="M744" s="1075"/>
      <c r="N744" s="1075"/>
      <c r="O744" s="1075"/>
      <c r="P744" s="1075"/>
      <c r="Q744" s="1075"/>
      <c r="R744" s="1075"/>
      <c r="S744" s="1075"/>
      <c r="T744" s="1075"/>
      <c r="U744" s="1075"/>
      <c r="V744" s="1075"/>
      <c r="W744" s="1075"/>
      <c r="X744" s="1075"/>
      <c r="Y744" s="1075"/>
      <c r="Z744" s="1075"/>
      <c r="AA744" s="1075"/>
      <c r="AB744" s="1075"/>
      <c r="AC744" s="1075"/>
      <c r="AD744" s="1075"/>
      <c r="AE744" s="1075"/>
      <c r="AF744" s="1075"/>
      <c r="AG744" s="1075"/>
      <c r="AH744" s="1075"/>
      <c r="AI744" s="1075"/>
      <c r="AJ744" s="1075"/>
      <c r="AK744" s="1075"/>
      <c r="AL744" s="1075"/>
      <c r="AM744" s="1075"/>
      <c r="AN744" s="1075"/>
      <c r="AO744" s="1075"/>
      <c r="AP744" s="1075"/>
      <c r="AQ744" s="1075"/>
      <c r="AR744" s="1075"/>
      <c r="AS744" s="1075"/>
      <c r="AT744" s="1075"/>
      <c r="AU744" s="1075"/>
      <c r="AV744" s="1075"/>
    </row>
    <row r="745" spans="1:48" ht="11.25" hidden="1" customHeight="1">
      <c r="A745" s="1075"/>
      <c r="B745" s="1075"/>
      <c r="C745" s="1075"/>
      <c r="D745" s="1075"/>
      <c r="E745" s="1075"/>
      <c r="F745" s="1075"/>
      <c r="G745" s="1075"/>
      <c r="H745" s="1075"/>
      <c r="I745" s="1075"/>
      <c r="J745" s="1075"/>
      <c r="K745" s="1075"/>
      <c r="L745" s="1075"/>
      <c r="M745" s="1075"/>
      <c r="N745" s="1075"/>
      <c r="O745" s="1075"/>
      <c r="P745" s="1075"/>
      <c r="Q745" s="1075"/>
      <c r="R745" s="1075"/>
      <c r="S745" s="1075"/>
      <c r="T745" s="1075"/>
      <c r="U745" s="1075"/>
      <c r="V745" s="1075"/>
      <c r="W745" s="1075"/>
      <c r="X745" s="1075"/>
      <c r="Y745" s="1075"/>
      <c r="Z745" s="1075"/>
      <c r="AA745" s="1075"/>
      <c r="AB745" s="1075"/>
      <c r="AC745" s="1075"/>
      <c r="AD745" s="1075"/>
      <c r="AE745" s="1075"/>
      <c r="AF745" s="1075"/>
      <c r="AG745" s="1075"/>
      <c r="AH745" s="1075"/>
      <c r="AI745" s="1075"/>
      <c r="AJ745" s="1075"/>
      <c r="AK745" s="1075"/>
      <c r="AL745" s="1075"/>
      <c r="AM745" s="1075"/>
      <c r="AN745" s="1075"/>
      <c r="AO745" s="1075"/>
      <c r="AP745" s="1075"/>
      <c r="AQ745" s="1075"/>
      <c r="AR745" s="1075"/>
      <c r="AS745" s="1075"/>
      <c r="AT745" s="1075"/>
      <c r="AU745" s="1075"/>
      <c r="AV745" s="1075"/>
    </row>
    <row r="746" spans="1:48" ht="11.25" hidden="1" customHeight="1">
      <c r="A746" s="1075"/>
      <c r="B746" s="1075"/>
      <c r="C746" s="1075"/>
      <c r="D746" s="1075"/>
      <c r="E746" s="1075"/>
      <c r="F746" s="1075"/>
      <c r="G746" s="1075"/>
      <c r="H746" s="1075"/>
      <c r="I746" s="1075"/>
      <c r="J746" s="1075"/>
      <c r="K746" s="1075"/>
      <c r="L746" s="1075"/>
      <c r="M746" s="1075"/>
      <c r="N746" s="1075"/>
      <c r="O746" s="1075"/>
      <c r="P746" s="1075"/>
      <c r="Q746" s="1075"/>
      <c r="R746" s="1075"/>
      <c r="S746" s="1075"/>
      <c r="T746" s="1075"/>
      <c r="U746" s="1075"/>
      <c r="V746" s="1075"/>
      <c r="W746" s="1075"/>
      <c r="X746" s="1075"/>
      <c r="Y746" s="1075"/>
      <c r="Z746" s="1075"/>
      <c r="AA746" s="1075"/>
      <c r="AB746" s="1075"/>
      <c r="AC746" s="1075"/>
      <c r="AD746" s="1075"/>
      <c r="AE746" s="1075"/>
      <c r="AF746" s="1075"/>
      <c r="AG746" s="1075"/>
      <c r="AH746" s="1075"/>
      <c r="AI746" s="1075"/>
      <c r="AJ746" s="1075"/>
      <c r="AK746" s="1075"/>
      <c r="AL746" s="1075"/>
      <c r="AM746" s="1075"/>
      <c r="AN746" s="1075"/>
      <c r="AO746" s="1075"/>
      <c r="AP746" s="1075"/>
      <c r="AQ746" s="1075"/>
      <c r="AR746" s="1075"/>
      <c r="AS746" s="1075"/>
      <c r="AT746" s="1075"/>
      <c r="AU746" s="1075"/>
      <c r="AV746" s="1075"/>
    </row>
    <row r="747" spans="1:48" ht="11.25" hidden="1" customHeight="1">
      <c r="A747" s="1075"/>
      <c r="B747" s="1075"/>
      <c r="C747" s="1075"/>
      <c r="D747" s="1075"/>
      <c r="E747" s="1075"/>
      <c r="F747" s="1075"/>
      <c r="G747" s="1075"/>
      <c r="H747" s="1075"/>
      <c r="I747" s="1075"/>
      <c r="J747" s="1075"/>
      <c r="K747" s="1075"/>
      <c r="L747" s="1075"/>
      <c r="M747" s="1075"/>
      <c r="N747" s="1075"/>
      <c r="O747" s="1075"/>
      <c r="P747" s="1075"/>
      <c r="Q747" s="1075"/>
      <c r="R747" s="1075"/>
      <c r="S747" s="1075"/>
      <c r="T747" s="1075"/>
      <c r="U747" s="1075"/>
      <c r="V747" s="1075"/>
      <c r="W747" s="1075"/>
      <c r="X747" s="1075"/>
      <c r="Y747" s="1075"/>
      <c r="Z747" s="1075"/>
      <c r="AA747" s="1075"/>
      <c r="AB747" s="1075"/>
      <c r="AC747" s="1075"/>
      <c r="AD747" s="1075"/>
      <c r="AE747" s="1075"/>
      <c r="AF747" s="1075"/>
      <c r="AG747" s="1075"/>
      <c r="AH747" s="1075"/>
      <c r="AI747" s="1075"/>
      <c r="AJ747" s="1075"/>
      <c r="AK747" s="1075"/>
      <c r="AL747" s="1075"/>
      <c r="AM747" s="1075"/>
      <c r="AN747" s="1075"/>
      <c r="AO747" s="1075"/>
      <c r="AP747" s="1075"/>
      <c r="AQ747" s="1075"/>
      <c r="AR747" s="1075"/>
      <c r="AS747" s="1075"/>
      <c r="AT747" s="1075"/>
      <c r="AU747" s="1075"/>
      <c r="AV747" s="1075"/>
    </row>
    <row r="748" spans="1:48" ht="11.25" hidden="1" customHeight="1">
      <c r="A748" s="1075"/>
      <c r="B748" s="1075"/>
      <c r="C748" s="1075"/>
      <c r="D748" s="1075"/>
      <c r="E748" s="1075"/>
      <c r="F748" s="1075"/>
      <c r="G748" s="1075"/>
      <c r="H748" s="1075"/>
      <c r="I748" s="1075"/>
      <c r="J748" s="1075"/>
      <c r="K748" s="1075"/>
      <c r="L748" s="1075"/>
      <c r="M748" s="1075"/>
      <c r="N748" s="1075"/>
      <c r="O748" s="1075"/>
      <c r="P748" s="1075"/>
      <c r="Q748" s="1075"/>
      <c r="R748" s="1075"/>
      <c r="S748" s="1075"/>
      <c r="T748" s="1075"/>
      <c r="U748" s="1075"/>
      <c r="V748" s="1075"/>
      <c r="W748" s="1075"/>
      <c r="X748" s="1075"/>
      <c r="Y748" s="1075"/>
      <c r="Z748" s="1075"/>
      <c r="AA748" s="1075"/>
      <c r="AB748" s="1075"/>
      <c r="AC748" s="1075"/>
      <c r="AD748" s="1075"/>
      <c r="AE748" s="1075"/>
      <c r="AF748" s="1075"/>
      <c r="AG748" s="1075"/>
      <c r="AH748" s="1075"/>
      <c r="AI748" s="1075"/>
      <c r="AJ748" s="1075"/>
      <c r="AK748" s="1075"/>
      <c r="AL748" s="1075"/>
      <c r="AM748" s="1075"/>
      <c r="AN748" s="1075"/>
      <c r="AO748" s="1075"/>
      <c r="AP748" s="1075"/>
      <c r="AQ748" s="1075"/>
      <c r="AR748" s="1075"/>
      <c r="AS748" s="1075"/>
      <c r="AT748" s="1075"/>
      <c r="AU748" s="1075"/>
      <c r="AV748" s="1075"/>
    </row>
    <row r="749" spans="1:48" ht="11.25" hidden="1" customHeight="1">
      <c r="A749" s="1075"/>
      <c r="B749" s="1075"/>
      <c r="C749" s="1075"/>
      <c r="D749" s="1075"/>
      <c r="E749" s="1075"/>
      <c r="F749" s="1075"/>
      <c r="G749" s="1075"/>
      <c r="H749" s="1075"/>
      <c r="I749" s="1075"/>
      <c r="J749" s="1075"/>
      <c r="K749" s="1075"/>
      <c r="L749" s="1075"/>
      <c r="M749" s="1075"/>
      <c r="N749" s="1075"/>
      <c r="O749" s="1075"/>
      <c r="P749" s="1075"/>
      <c r="Q749" s="1075"/>
      <c r="R749" s="1075"/>
      <c r="S749" s="1075"/>
      <c r="T749" s="1075"/>
      <c r="U749" s="1075"/>
      <c r="V749" s="1075"/>
      <c r="W749" s="1075"/>
      <c r="X749" s="1075"/>
      <c r="Y749" s="1075"/>
      <c r="Z749" s="1075"/>
      <c r="AA749" s="1075"/>
      <c r="AB749" s="1075"/>
      <c r="AC749" s="1075"/>
      <c r="AD749" s="1075"/>
      <c r="AE749" s="1075"/>
      <c r="AF749" s="1075"/>
      <c r="AG749" s="1075"/>
      <c r="AH749" s="1075"/>
      <c r="AI749" s="1075"/>
      <c r="AJ749" s="1075"/>
      <c r="AK749" s="1075"/>
      <c r="AL749" s="1075"/>
      <c r="AM749" s="1075"/>
      <c r="AN749" s="1075"/>
      <c r="AO749" s="1075"/>
      <c r="AP749" s="1075"/>
      <c r="AQ749" s="1075"/>
      <c r="AR749" s="1075"/>
      <c r="AS749" s="1075"/>
      <c r="AT749" s="1075"/>
      <c r="AU749" s="1075"/>
      <c r="AV749" s="1075"/>
    </row>
    <row r="750" spans="1:48" ht="11.25" hidden="1" customHeight="1">
      <c r="A750" s="1075"/>
      <c r="B750" s="1075"/>
      <c r="C750" s="1075"/>
      <c r="D750" s="1075"/>
      <c r="E750" s="1075"/>
      <c r="F750" s="1075"/>
      <c r="G750" s="1075"/>
      <c r="H750" s="1075"/>
      <c r="I750" s="1075"/>
      <c r="J750" s="1075"/>
      <c r="K750" s="1075"/>
      <c r="L750" s="1075"/>
      <c r="M750" s="1075"/>
      <c r="N750" s="1075"/>
      <c r="O750" s="1075"/>
      <c r="P750" s="1075"/>
      <c r="Q750" s="1075"/>
      <c r="R750" s="1075"/>
      <c r="S750" s="1075"/>
      <c r="T750" s="1075"/>
      <c r="U750" s="1075"/>
      <c r="V750" s="1075"/>
      <c r="W750" s="1075"/>
      <c r="X750" s="1075"/>
      <c r="Y750" s="1075"/>
      <c r="Z750" s="1075"/>
      <c r="AA750" s="1075"/>
      <c r="AB750" s="1075"/>
      <c r="AC750" s="1075"/>
      <c r="AD750" s="1075"/>
      <c r="AE750" s="1075"/>
      <c r="AF750" s="1075"/>
      <c r="AG750" s="1075"/>
      <c r="AH750" s="1075"/>
      <c r="AI750" s="1075"/>
      <c r="AJ750" s="1075"/>
      <c r="AK750" s="1075"/>
      <c r="AL750" s="1075"/>
      <c r="AM750" s="1075"/>
      <c r="AN750" s="1075"/>
      <c r="AO750" s="1075"/>
      <c r="AP750" s="1075"/>
      <c r="AQ750" s="1075"/>
      <c r="AR750" s="1075"/>
      <c r="AS750" s="1075"/>
      <c r="AT750" s="1075"/>
      <c r="AU750" s="1075"/>
      <c r="AV750" s="1075"/>
    </row>
    <row r="751" spans="1:48" ht="11.25" hidden="1" customHeight="1">
      <c r="A751" s="1075"/>
      <c r="B751" s="1075"/>
      <c r="C751" s="1075"/>
      <c r="D751" s="1075"/>
      <c r="E751" s="1075"/>
      <c r="F751" s="1075"/>
      <c r="G751" s="1075"/>
      <c r="H751" s="1075"/>
      <c r="I751" s="1075"/>
      <c r="J751" s="1075"/>
      <c r="K751" s="1075"/>
      <c r="L751" s="1075"/>
      <c r="M751" s="1075"/>
      <c r="N751" s="1075"/>
      <c r="O751" s="1075"/>
      <c r="P751" s="1075"/>
      <c r="Q751" s="1075"/>
      <c r="R751" s="1075"/>
      <c r="S751" s="1075"/>
      <c r="T751" s="1075"/>
      <c r="U751" s="1075"/>
      <c r="V751" s="1075"/>
      <c r="W751" s="1075"/>
      <c r="X751" s="1075"/>
      <c r="Y751" s="1075"/>
      <c r="Z751" s="1075"/>
      <c r="AA751" s="1075"/>
      <c r="AB751" s="1075"/>
      <c r="AC751" s="1075"/>
      <c r="AD751" s="1075"/>
      <c r="AE751" s="1075"/>
      <c r="AF751" s="1075"/>
      <c r="AG751" s="1075"/>
      <c r="AH751" s="1075"/>
      <c r="AI751" s="1075"/>
      <c r="AJ751" s="1075"/>
      <c r="AK751" s="1075"/>
      <c r="AL751" s="1075"/>
      <c r="AM751" s="1075"/>
      <c r="AN751" s="1075"/>
      <c r="AO751" s="1075"/>
      <c r="AP751" s="1075"/>
      <c r="AQ751" s="1075"/>
      <c r="AR751" s="1075"/>
      <c r="AS751" s="1075"/>
      <c r="AT751" s="1075"/>
      <c r="AU751" s="1075"/>
      <c r="AV751" s="1075"/>
    </row>
    <row r="752" spans="1:48" ht="11.25" hidden="1" customHeight="1">
      <c r="A752" s="1075"/>
      <c r="B752" s="1075"/>
      <c r="C752" s="1075"/>
      <c r="D752" s="1075"/>
      <c r="E752" s="1075"/>
      <c r="F752" s="1075"/>
      <c r="G752" s="1075"/>
      <c r="H752" s="1075"/>
      <c r="I752" s="1075"/>
      <c r="J752" s="1075"/>
      <c r="K752" s="1075"/>
      <c r="L752" s="1075"/>
      <c r="M752" s="1075"/>
      <c r="N752" s="1075"/>
      <c r="O752" s="1075"/>
      <c r="P752" s="1075"/>
      <c r="Q752" s="1075"/>
      <c r="R752" s="1075"/>
      <c r="S752" s="1075"/>
      <c r="T752" s="1075"/>
      <c r="U752" s="1075"/>
      <c r="V752" s="1075"/>
      <c r="W752" s="1075"/>
      <c r="X752" s="1075"/>
      <c r="Y752" s="1075"/>
      <c r="Z752" s="1075"/>
      <c r="AA752" s="1075"/>
      <c r="AB752" s="1075"/>
      <c r="AC752" s="1075"/>
      <c r="AD752" s="1075"/>
      <c r="AE752" s="1075"/>
      <c r="AF752" s="1075"/>
      <c r="AG752" s="1075"/>
      <c r="AH752" s="1075"/>
      <c r="AI752" s="1075"/>
      <c r="AJ752" s="1075"/>
      <c r="AK752" s="1075"/>
      <c r="AL752" s="1075"/>
      <c r="AM752" s="1075"/>
      <c r="AN752" s="1075"/>
      <c r="AO752" s="1075"/>
      <c r="AP752" s="1075"/>
      <c r="AQ752" s="1075"/>
      <c r="AR752" s="1075"/>
      <c r="AS752" s="1075"/>
      <c r="AT752" s="1075"/>
      <c r="AU752" s="1075"/>
      <c r="AV752" s="1075"/>
    </row>
    <row r="753" spans="1:48" ht="11.25" hidden="1" customHeight="1">
      <c r="A753" s="1075"/>
      <c r="B753" s="1075"/>
      <c r="C753" s="1075"/>
      <c r="D753" s="1075"/>
      <c r="E753" s="1075"/>
      <c r="F753" s="1075"/>
      <c r="G753" s="1075"/>
      <c r="H753" s="1075"/>
      <c r="I753" s="1075"/>
      <c r="J753" s="1075"/>
      <c r="K753" s="1075"/>
      <c r="L753" s="1075"/>
      <c r="M753" s="1075"/>
      <c r="N753" s="1075"/>
      <c r="O753" s="1075"/>
      <c r="P753" s="1075"/>
      <c r="Q753" s="1075"/>
      <c r="R753" s="1075"/>
      <c r="S753" s="1075"/>
      <c r="T753" s="1075"/>
      <c r="U753" s="1075"/>
      <c r="V753" s="1075"/>
      <c r="W753" s="1075"/>
      <c r="X753" s="1075"/>
      <c r="Y753" s="1075"/>
      <c r="Z753" s="1075"/>
      <c r="AA753" s="1075"/>
      <c r="AB753" s="1075"/>
      <c r="AC753" s="1075"/>
      <c r="AD753" s="1075"/>
      <c r="AE753" s="1075"/>
      <c r="AF753" s="1075"/>
      <c r="AG753" s="1075"/>
      <c r="AH753" s="1075"/>
      <c r="AI753" s="1075"/>
      <c r="AJ753" s="1075"/>
      <c r="AK753" s="1075"/>
      <c r="AL753" s="1075"/>
      <c r="AM753" s="1075"/>
      <c r="AN753" s="1075"/>
      <c r="AO753" s="1075"/>
      <c r="AP753" s="1075"/>
      <c r="AQ753" s="1075"/>
      <c r="AR753" s="1075"/>
      <c r="AS753" s="1075"/>
      <c r="AT753" s="1075"/>
      <c r="AU753" s="1075"/>
      <c r="AV753" s="1075"/>
    </row>
    <row r="754" spans="1:48" ht="11.25" hidden="1" customHeight="1">
      <c r="A754" s="1075"/>
      <c r="B754" s="1075"/>
      <c r="C754" s="1075"/>
      <c r="D754" s="1075"/>
      <c r="E754" s="1075"/>
      <c r="F754" s="1075"/>
      <c r="G754" s="1075"/>
      <c r="H754" s="1075"/>
      <c r="I754" s="1075"/>
      <c r="J754" s="1075"/>
      <c r="K754" s="1075"/>
      <c r="L754" s="1075"/>
      <c r="M754" s="1075"/>
      <c r="N754" s="1075"/>
      <c r="O754" s="1075"/>
      <c r="P754" s="1075"/>
      <c r="Q754" s="1075"/>
      <c r="R754" s="1075"/>
      <c r="S754" s="1075"/>
      <c r="T754" s="1075"/>
      <c r="U754" s="1075"/>
      <c r="V754" s="1075"/>
      <c r="W754" s="1075"/>
      <c r="X754" s="1075"/>
      <c r="Y754" s="1075"/>
      <c r="Z754" s="1075"/>
      <c r="AA754" s="1075"/>
      <c r="AB754" s="1075"/>
      <c r="AC754" s="1075"/>
      <c r="AD754" s="1075"/>
      <c r="AE754" s="1075"/>
      <c r="AF754" s="1075"/>
      <c r="AG754" s="1075"/>
      <c r="AH754" s="1075"/>
      <c r="AI754" s="1075"/>
      <c r="AJ754" s="1075"/>
      <c r="AK754" s="1075"/>
      <c r="AL754" s="1075"/>
      <c r="AM754" s="1075"/>
      <c r="AN754" s="1075"/>
      <c r="AO754" s="1075"/>
      <c r="AP754" s="1075"/>
      <c r="AQ754" s="1075"/>
      <c r="AR754" s="1075"/>
      <c r="AS754" s="1075"/>
      <c r="AT754" s="1075"/>
      <c r="AU754" s="1075"/>
      <c r="AV754" s="1075"/>
    </row>
    <row r="755" spans="1:48" ht="11.25" hidden="1" customHeight="1">
      <c r="A755" s="1075"/>
      <c r="B755" s="1075"/>
      <c r="C755" s="1075"/>
      <c r="D755" s="1075"/>
      <c r="E755" s="1075"/>
      <c r="F755" s="1075"/>
      <c r="G755" s="1075"/>
      <c r="H755" s="1075"/>
      <c r="I755" s="1075"/>
      <c r="J755" s="1075"/>
      <c r="K755" s="1075"/>
      <c r="L755" s="1075"/>
      <c r="M755" s="1075"/>
      <c r="N755" s="1075"/>
      <c r="O755" s="1075"/>
      <c r="P755" s="1075"/>
      <c r="Q755" s="1075"/>
      <c r="R755" s="1075"/>
      <c r="S755" s="1075"/>
      <c r="T755" s="1075"/>
      <c r="U755" s="1075"/>
      <c r="V755" s="1075"/>
      <c r="W755" s="1075"/>
      <c r="X755" s="1075"/>
      <c r="Y755" s="1075"/>
      <c r="Z755" s="1075"/>
      <c r="AA755" s="1075"/>
      <c r="AB755" s="1075"/>
      <c r="AC755" s="1075"/>
      <c r="AD755" s="1075"/>
      <c r="AE755" s="1075"/>
      <c r="AF755" s="1075"/>
      <c r="AG755" s="1075"/>
      <c r="AH755" s="1075"/>
      <c r="AI755" s="1075"/>
      <c r="AJ755" s="1075"/>
      <c r="AK755" s="1075"/>
      <c r="AL755" s="1075"/>
      <c r="AM755" s="1075"/>
      <c r="AN755" s="1075"/>
      <c r="AO755" s="1075"/>
      <c r="AP755" s="1075"/>
      <c r="AQ755" s="1075"/>
      <c r="AR755" s="1075"/>
      <c r="AS755" s="1075"/>
      <c r="AT755" s="1075"/>
      <c r="AU755" s="1075"/>
      <c r="AV755" s="1075"/>
    </row>
    <row r="756" spans="1:48" ht="11.25" hidden="1" customHeight="1">
      <c r="A756" s="1075"/>
      <c r="B756" s="1075"/>
      <c r="C756" s="1075"/>
      <c r="D756" s="1075"/>
      <c r="E756" s="1075"/>
      <c r="F756" s="1075"/>
      <c r="G756" s="1075"/>
      <c r="H756" s="1075"/>
      <c r="I756" s="1075"/>
      <c r="J756" s="1075"/>
      <c r="K756" s="1075"/>
      <c r="L756" s="1075"/>
      <c r="M756" s="1075"/>
      <c r="N756" s="1075"/>
      <c r="O756" s="1075"/>
      <c r="P756" s="1075"/>
      <c r="Q756" s="1075"/>
      <c r="R756" s="1075"/>
      <c r="S756" s="1075"/>
      <c r="T756" s="1075"/>
      <c r="U756" s="1075"/>
      <c r="V756" s="1075"/>
      <c r="W756" s="1075"/>
      <c r="X756" s="1075"/>
      <c r="Y756" s="1075"/>
      <c r="Z756" s="1075"/>
      <c r="AA756" s="1075"/>
      <c r="AB756" s="1075"/>
      <c r="AC756" s="1075"/>
      <c r="AD756" s="1075"/>
      <c r="AE756" s="1075"/>
      <c r="AF756" s="1075"/>
      <c r="AG756" s="1075"/>
      <c r="AH756" s="1075"/>
      <c r="AI756" s="1075"/>
      <c r="AJ756" s="1075"/>
      <c r="AK756" s="1075"/>
      <c r="AL756" s="1075"/>
      <c r="AM756" s="1075"/>
      <c r="AN756" s="1075"/>
      <c r="AO756" s="1075"/>
      <c r="AP756" s="1075"/>
      <c r="AQ756" s="1075"/>
      <c r="AR756" s="1075"/>
      <c r="AS756" s="1075"/>
      <c r="AT756" s="1075"/>
      <c r="AU756" s="1075"/>
      <c r="AV756" s="1075"/>
    </row>
    <row r="757" spans="1:48" ht="11.25" hidden="1" customHeight="1">
      <c r="A757" s="1075"/>
      <c r="B757" s="1075"/>
      <c r="C757" s="1075"/>
      <c r="D757" s="1075"/>
      <c r="E757" s="1075"/>
      <c r="F757" s="1075"/>
      <c r="G757" s="1075"/>
      <c r="H757" s="1075"/>
      <c r="I757" s="1075"/>
      <c r="J757" s="1075"/>
      <c r="K757" s="1075"/>
      <c r="L757" s="1075"/>
      <c r="M757" s="1075"/>
      <c r="N757" s="1075"/>
      <c r="O757" s="1075"/>
      <c r="P757" s="1075"/>
      <c r="Q757" s="1075"/>
      <c r="R757" s="1075"/>
      <c r="S757" s="1075"/>
      <c r="T757" s="1075"/>
      <c r="U757" s="1075"/>
      <c r="V757" s="1075"/>
      <c r="W757" s="1075"/>
      <c r="X757" s="1075"/>
      <c r="Y757" s="1075"/>
      <c r="Z757" s="1075"/>
      <c r="AA757" s="1075"/>
      <c r="AB757" s="1075"/>
      <c r="AC757" s="1075"/>
      <c r="AD757" s="1075"/>
      <c r="AE757" s="1075"/>
      <c r="AF757" s="1075"/>
      <c r="AG757" s="1075"/>
      <c r="AH757" s="1075"/>
      <c r="AI757" s="1075"/>
      <c r="AJ757" s="1075"/>
      <c r="AK757" s="1075"/>
      <c r="AL757" s="1075"/>
      <c r="AM757" s="1075"/>
      <c r="AN757" s="1075"/>
      <c r="AO757" s="1075"/>
      <c r="AP757" s="1075"/>
      <c r="AQ757" s="1075"/>
      <c r="AR757" s="1075"/>
      <c r="AS757" s="1075"/>
      <c r="AT757" s="1075"/>
      <c r="AU757" s="1075"/>
      <c r="AV757" s="1075"/>
    </row>
    <row r="758" spans="1:48" ht="11.25" hidden="1" customHeight="1">
      <c r="A758" s="1075"/>
      <c r="B758" s="1075"/>
      <c r="C758" s="1075"/>
      <c r="D758" s="1075"/>
      <c r="E758" s="1075"/>
      <c r="F758" s="1075"/>
      <c r="G758" s="1075"/>
      <c r="H758" s="1075"/>
      <c r="I758" s="1075"/>
      <c r="J758" s="1075"/>
      <c r="K758" s="1075"/>
      <c r="L758" s="1075"/>
      <c r="M758" s="1075"/>
      <c r="N758" s="1075"/>
      <c r="O758" s="1075"/>
      <c r="P758" s="1075"/>
      <c r="Q758" s="1075"/>
      <c r="R758" s="1075"/>
      <c r="S758" s="1075"/>
      <c r="T758" s="1075"/>
      <c r="U758" s="1075"/>
      <c r="V758" s="1075"/>
      <c r="W758" s="1075"/>
      <c r="X758" s="1075"/>
      <c r="Y758" s="1075"/>
      <c r="Z758" s="1075"/>
      <c r="AA758" s="1075"/>
      <c r="AB758" s="1075"/>
      <c r="AC758" s="1075"/>
      <c r="AD758" s="1075"/>
      <c r="AE758" s="1075"/>
      <c r="AF758" s="1075"/>
      <c r="AG758" s="1075"/>
      <c r="AH758" s="1075"/>
      <c r="AI758" s="1075"/>
      <c r="AJ758" s="1075"/>
      <c r="AK758" s="1075"/>
      <c r="AL758" s="1075"/>
      <c r="AM758" s="1075"/>
      <c r="AN758" s="1075"/>
      <c r="AO758" s="1075"/>
      <c r="AP758" s="1075"/>
      <c r="AQ758" s="1075"/>
      <c r="AR758" s="1075"/>
      <c r="AS758" s="1075"/>
      <c r="AT758" s="1075"/>
      <c r="AU758" s="1075"/>
      <c r="AV758" s="1075"/>
    </row>
    <row r="759" spans="1:48" ht="11.25" hidden="1" customHeight="1">
      <c r="A759" s="1075"/>
      <c r="B759" s="1075"/>
      <c r="C759" s="1075"/>
      <c r="D759" s="1075"/>
      <c r="E759" s="1075"/>
      <c r="F759" s="1075"/>
      <c r="G759" s="1075"/>
      <c r="H759" s="1075"/>
      <c r="I759" s="1075"/>
      <c r="J759" s="1075"/>
      <c r="K759" s="1075"/>
      <c r="L759" s="1075"/>
      <c r="M759" s="1075"/>
      <c r="N759" s="1075"/>
      <c r="O759" s="1075"/>
      <c r="P759" s="1075"/>
      <c r="Q759" s="1075"/>
      <c r="R759" s="1075"/>
      <c r="S759" s="1075"/>
      <c r="T759" s="1075"/>
      <c r="U759" s="1075"/>
      <c r="V759" s="1075"/>
      <c r="W759" s="1075"/>
      <c r="X759" s="1075"/>
      <c r="Y759" s="1075"/>
      <c r="Z759" s="1075"/>
      <c r="AA759" s="1075"/>
      <c r="AB759" s="1075"/>
      <c r="AC759" s="1075"/>
      <c r="AD759" s="1075"/>
      <c r="AE759" s="1075"/>
      <c r="AF759" s="1075"/>
      <c r="AG759" s="1075"/>
      <c r="AH759" s="1075"/>
      <c r="AI759" s="1075"/>
      <c r="AJ759" s="1075"/>
      <c r="AK759" s="1075"/>
      <c r="AL759" s="1075"/>
      <c r="AM759" s="1075"/>
      <c r="AN759" s="1075"/>
      <c r="AO759" s="1075"/>
      <c r="AP759" s="1075"/>
      <c r="AQ759" s="1075"/>
      <c r="AR759" s="1075"/>
      <c r="AS759" s="1075"/>
      <c r="AT759" s="1075"/>
      <c r="AU759" s="1075"/>
      <c r="AV759" s="1075"/>
    </row>
    <row r="760" spans="1:48" ht="11.25" hidden="1" customHeight="1">
      <c r="A760" s="1075"/>
      <c r="B760" s="1075"/>
      <c r="C760" s="1075"/>
      <c r="D760" s="1075"/>
      <c r="E760" s="1075"/>
      <c r="F760" s="1075"/>
      <c r="G760" s="1075"/>
      <c r="H760" s="1075"/>
      <c r="I760" s="1075"/>
      <c r="J760" s="1075"/>
      <c r="K760" s="1075"/>
      <c r="L760" s="1075"/>
      <c r="M760" s="1075"/>
      <c r="N760" s="1075"/>
      <c r="O760" s="1075"/>
      <c r="P760" s="1075"/>
      <c r="Q760" s="1075"/>
      <c r="R760" s="1075"/>
      <c r="S760" s="1075"/>
      <c r="T760" s="1075"/>
      <c r="U760" s="1075"/>
      <c r="V760" s="1075"/>
      <c r="W760" s="1075"/>
      <c r="X760" s="1075"/>
      <c r="Y760" s="1075"/>
      <c r="Z760" s="1075"/>
      <c r="AA760" s="1075"/>
      <c r="AB760" s="1075"/>
      <c r="AC760" s="1075"/>
      <c r="AD760" s="1075"/>
      <c r="AE760" s="1075"/>
      <c r="AF760" s="1075"/>
      <c r="AG760" s="1075"/>
      <c r="AH760" s="1075"/>
      <c r="AI760" s="1075"/>
      <c r="AJ760" s="1075"/>
      <c r="AK760" s="1075"/>
      <c r="AL760" s="1075"/>
      <c r="AM760" s="1075"/>
      <c r="AN760" s="1075"/>
      <c r="AO760" s="1075"/>
      <c r="AP760" s="1075"/>
      <c r="AQ760" s="1075"/>
      <c r="AR760" s="1075"/>
      <c r="AS760" s="1075"/>
      <c r="AT760" s="1075"/>
      <c r="AU760" s="1075"/>
      <c r="AV760" s="1075"/>
    </row>
    <row r="761" spans="1:48" ht="11.25" hidden="1" customHeight="1">
      <c r="A761" s="1075"/>
      <c r="B761" s="1075"/>
      <c r="C761" s="1075"/>
      <c r="D761" s="1075"/>
      <c r="E761" s="1075"/>
      <c r="F761" s="1075"/>
      <c r="G761" s="1075"/>
      <c r="H761" s="1075"/>
      <c r="I761" s="1075"/>
      <c r="J761" s="1075"/>
      <c r="K761" s="1075"/>
      <c r="L761" s="1075"/>
      <c r="M761" s="1075"/>
      <c r="N761" s="1075"/>
      <c r="O761" s="1075"/>
      <c r="P761" s="1075"/>
      <c r="Q761" s="1075"/>
      <c r="R761" s="1075"/>
      <c r="S761" s="1075"/>
      <c r="T761" s="1075"/>
      <c r="U761" s="1075"/>
      <c r="V761" s="1075"/>
      <c r="W761" s="1075"/>
      <c r="X761" s="1075"/>
      <c r="Y761" s="1075"/>
      <c r="Z761" s="1075"/>
      <c r="AA761" s="1075"/>
      <c r="AB761" s="1075"/>
      <c r="AC761" s="1075"/>
      <c r="AD761" s="1075"/>
      <c r="AE761" s="1075"/>
      <c r="AF761" s="1075"/>
      <c r="AG761" s="1075"/>
      <c r="AH761" s="1075"/>
      <c r="AI761" s="1075"/>
      <c r="AJ761" s="1075"/>
      <c r="AK761" s="1075"/>
      <c r="AL761" s="1075"/>
      <c r="AM761" s="1075"/>
      <c r="AN761" s="1075"/>
      <c r="AO761" s="1075"/>
      <c r="AP761" s="1075"/>
      <c r="AQ761" s="1075"/>
      <c r="AR761" s="1075"/>
      <c r="AS761" s="1075"/>
      <c r="AT761" s="1075"/>
      <c r="AU761" s="1075"/>
      <c r="AV761" s="1075"/>
    </row>
    <row r="762" spans="1:48" ht="11.25" hidden="1" customHeight="1">
      <c r="A762" s="1075"/>
      <c r="B762" s="1075"/>
      <c r="C762" s="1075"/>
      <c r="D762" s="1075"/>
      <c r="E762" s="1075"/>
      <c r="F762" s="1075"/>
      <c r="G762" s="1075"/>
      <c r="H762" s="1075"/>
      <c r="I762" s="1075"/>
      <c r="J762" s="1075"/>
      <c r="K762" s="1075"/>
      <c r="L762" s="1075"/>
      <c r="M762" s="1075"/>
      <c r="N762" s="1075"/>
      <c r="O762" s="1075"/>
      <c r="P762" s="1075"/>
      <c r="Q762" s="1075"/>
      <c r="R762" s="1075"/>
      <c r="S762" s="1075"/>
      <c r="T762" s="1075"/>
      <c r="U762" s="1075"/>
      <c r="V762" s="1075"/>
      <c r="W762" s="1075"/>
      <c r="X762" s="1075"/>
      <c r="Y762" s="1075"/>
      <c r="Z762" s="1075"/>
      <c r="AA762" s="1075"/>
      <c r="AB762" s="1075"/>
      <c r="AC762" s="1075"/>
      <c r="AD762" s="1075"/>
      <c r="AE762" s="1075"/>
      <c r="AF762" s="1075"/>
      <c r="AG762" s="1075"/>
      <c r="AH762" s="1075"/>
      <c r="AI762" s="1075"/>
      <c r="AJ762" s="1075"/>
      <c r="AK762" s="1075"/>
      <c r="AL762" s="1075"/>
      <c r="AM762" s="1075"/>
      <c r="AN762" s="1075"/>
      <c r="AO762" s="1075"/>
      <c r="AP762" s="1075"/>
      <c r="AQ762" s="1075"/>
      <c r="AR762" s="1075"/>
      <c r="AS762" s="1075"/>
      <c r="AT762" s="1075"/>
      <c r="AU762" s="1075"/>
      <c r="AV762" s="1075"/>
    </row>
    <row r="763" spans="1:48" ht="11.25" hidden="1" customHeight="1">
      <c r="A763" s="1075"/>
      <c r="B763" s="1075"/>
      <c r="C763" s="1075"/>
      <c r="D763" s="1075"/>
      <c r="E763" s="1075"/>
      <c r="F763" s="1075"/>
      <c r="G763" s="1075"/>
      <c r="H763" s="1075"/>
      <c r="I763" s="1075"/>
      <c r="J763" s="1075"/>
      <c r="K763" s="1075"/>
      <c r="L763" s="1075"/>
      <c r="M763" s="1075"/>
      <c r="N763" s="1075"/>
      <c r="O763" s="1075"/>
      <c r="P763" s="1075"/>
      <c r="Q763" s="1075"/>
      <c r="R763" s="1075"/>
      <c r="S763" s="1075"/>
      <c r="T763" s="1075"/>
      <c r="U763" s="1075"/>
      <c r="V763" s="1075"/>
      <c r="W763" s="1075"/>
      <c r="X763" s="1075"/>
      <c r="Y763" s="1075"/>
      <c r="Z763" s="1075"/>
      <c r="AA763" s="1075"/>
      <c r="AB763" s="1075"/>
      <c r="AC763" s="1075"/>
      <c r="AD763" s="1075"/>
      <c r="AE763" s="1075"/>
      <c r="AF763" s="1075"/>
      <c r="AG763" s="1075"/>
      <c r="AH763" s="1075"/>
      <c r="AI763" s="1075"/>
      <c r="AJ763" s="1075"/>
      <c r="AK763" s="1075"/>
      <c r="AL763" s="1075"/>
      <c r="AM763" s="1075"/>
      <c r="AN763" s="1075"/>
      <c r="AO763" s="1075"/>
      <c r="AP763" s="1075"/>
      <c r="AQ763" s="1075"/>
      <c r="AR763" s="1075"/>
      <c r="AS763" s="1075"/>
      <c r="AT763" s="1075"/>
      <c r="AU763" s="1075"/>
      <c r="AV763" s="1075"/>
    </row>
    <row r="764" spans="1:48" ht="11.25" hidden="1" customHeight="1">
      <c r="A764" s="1075"/>
      <c r="B764" s="1075"/>
      <c r="C764" s="1075"/>
      <c r="D764" s="1075"/>
      <c r="E764" s="1075"/>
      <c r="F764" s="1075"/>
      <c r="G764" s="1075"/>
      <c r="H764" s="1075"/>
      <c r="I764" s="1075"/>
      <c r="J764" s="1075"/>
      <c r="K764" s="1075"/>
      <c r="L764" s="1075"/>
      <c r="M764" s="1075"/>
      <c r="N764" s="1075"/>
      <c r="O764" s="1075"/>
      <c r="P764" s="1075"/>
      <c r="Q764" s="1075"/>
      <c r="R764" s="1075"/>
      <c r="S764" s="1075"/>
      <c r="T764" s="1075"/>
      <c r="U764" s="1075"/>
      <c r="V764" s="1075"/>
      <c r="W764" s="1075"/>
      <c r="X764" s="1075"/>
      <c r="Y764" s="1075"/>
      <c r="Z764" s="1075"/>
      <c r="AA764" s="1075"/>
      <c r="AB764" s="1075"/>
      <c r="AC764" s="1075"/>
      <c r="AD764" s="1075"/>
      <c r="AE764" s="1075"/>
      <c r="AF764" s="1075"/>
      <c r="AG764" s="1075"/>
      <c r="AH764" s="1075"/>
      <c r="AI764" s="1075"/>
      <c r="AJ764" s="1075"/>
      <c r="AK764" s="1075"/>
      <c r="AL764" s="1075"/>
      <c r="AM764" s="1075"/>
      <c r="AN764" s="1075"/>
      <c r="AO764" s="1075"/>
      <c r="AP764" s="1075"/>
      <c r="AQ764" s="1075"/>
      <c r="AR764" s="1075"/>
      <c r="AS764" s="1075"/>
      <c r="AT764" s="1075"/>
      <c r="AU764" s="1075"/>
      <c r="AV764" s="1075"/>
    </row>
    <row r="765" spans="1:48" ht="11.25" hidden="1" customHeight="1">
      <c r="A765" s="1075"/>
      <c r="B765" s="1075"/>
      <c r="C765" s="1075"/>
      <c r="D765" s="1075"/>
      <c r="E765" s="1075"/>
      <c r="F765" s="1075"/>
      <c r="G765" s="1075"/>
      <c r="H765" s="1075"/>
      <c r="I765" s="1075"/>
      <c r="J765" s="1075"/>
      <c r="K765" s="1075"/>
      <c r="L765" s="1075"/>
      <c r="M765" s="1075"/>
      <c r="N765" s="1075"/>
      <c r="O765" s="1075"/>
      <c r="P765" s="1075"/>
      <c r="Q765" s="1075"/>
      <c r="R765" s="1075"/>
      <c r="S765" s="1075"/>
      <c r="T765" s="1075"/>
      <c r="U765" s="1075"/>
      <c r="V765" s="1075"/>
      <c r="W765" s="1075"/>
      <c r="X765" s="1075"/>
      <c r="Y765" s="1075"/>
      <c r="Z765" s="1075"/>
      <c r="AA765" s="1075"/>
      <c r="AB765" s="1075"/>
      <c r="AC765" s="1075"/>
      <c r="AD765" s="1075"/>
      <c r="AE765" s="1075"/>
      <c r="AF765" s="1075"/>
      <c r="AG765" s="1075"/>
      <c r="AH765" s="1075"/>
      <c r="AI765" s="1075"/>
      <c r="AJ765" s="1075"/>
      <c r="AK765" s="1075"/>
      <c r="AL765" s="1075"/>
      <c r="AM765" s="1075"/>
      <c r="AN765" s="1075"/>
      <c r="AO765" s="1075"/>
      <c r="AP765" s="1075"/>
      <c r="AQ765" s="1075"/>
      <c r="AR765" s="1075"/>
      <c r="AS765" s="1075"/>
      <c r="AT765" s="1075"/>
      <c r="AU765" s="1075"/>
      <c r="AV765" s="1075"/>
    </row>
    <row r="766" spans="1:48" ht="11.25" hidden="1" customHeight="1">
      <c r="A766" s="1075"/>
      <c r="B766" s="1075"/>
      <c r="C766" s="1075"/>
      <c r="D766" s="1075"/>
      <c r="E766" s="1075"/>
      <c r="F766" s="1075"/>
      <c r="G766" s="1075"/>
      <c r="H766" s="1075"/>
      <c r="I766" s="1075"/>
      <c r="J766" s="1075"/>
      <c r="K766" s="1075"/>
      <c r="L766" s="1075"/>
      <c r="M766" s="1075"/>
      <c r="N766" s="1075"/>
      <c r="O766" s="1075"/>
      <c r="P766" s="1075"/>
      <c r="Q766" s="1075"/>
      <c r="R766" s="1075"/>
      <c r="S766" s="1075"/>
      <c r="T766" s="1075"/>
      <c r="U766" s="1075"/>
      <c r="V766" s="1075"/>
      <c r="W766" s="1075"/>
      <c r="X766" s="1075"/>
      <c r="Y766" s="1075"/>
      <c r="Z766" s="1075"/>
      <c r="AA766" s="1075"/>
      <c r="AB766" s="1075"/>
      <c r="AC766" s="1075"/>
      <c r="AD766" s="1075"/>
      <c r="AE766" s="1075"/>
      <c r="AF766" s="1075"/>
      <c r="AG766" s="1075"/>
      <c r="AH766" s="1075"/>
      <c r="AI766" s="1075"/>
      <c r="AJ766" s="1075"/>
      <c r="AK766" s="1075"/>
      <c r="AL766" s="1075"/>
      <c r="AM766" s="1075"/>
      <c r="AN766" s="1075"/>
      <c r="AO766" s="1075"/>
      <c r="AP766" s="1075"/>
      <c r="AQ766" s="1075"/>
      <c r="AR766" s="1075"/>
      <c r="AS766" s="1075"/>
      <c r="AT766" s="1075"/>
      <c r="AU766" s="1075"/>
      <c r="AV766" s="1075"/>
    </row>
    <row r="767" spans="1:48" ht="11.25" hidden="1" customHeight="1">
      <c r="A767" s="1075"/>
      <c r="B767" s="1075"/>
      <c r="C767" s="1075"/>
      <c r="D767" s="1075"/>
      <c r="E767" s="1075"/>
      <c r="F767" s="1075"/>
      <c r="G767" s="1075"/>
      <c r="H767" s="1075"/>
      <c r="I767" s="1075"/>
      <c r="J767" s="1075"/>
      <c r="K767" s="1075"/>
      <c r="L767" s="1075"/>
      <c r="M767" s="1075"/>
      <c r="N767" s="1075"/>
      <c r="O767" s="1075"/>
      <c r="P767" s="1075"/>
      <c r="Q767" s="1075"/>
      <c r="R767" s="1075"/>
      <c r="S767" s="1075"/>
      <c r="T767" s="1075"/>
      <c r="U767" s="1075"/>
      <c r="V767" s="1075"/>
      <c r="W767" s="1075"/>
      <c r="X767" s="1075"/>
      <c r="Y767" s="1075"/>
      <c r="Z767" s="1075"/>
      <c r="AA767" s="1075"/>
      <c r="AB767" s="1075"/>
      <c r="AC767" s="1075"/>
      <c r="AD767" s="1075"/>
      <c r="AE767" s="1075"/>
      <c r="AF767" s="1075"/>
      <c r="AG767" s="1075"/>
      <c r="AH767" s="1075"/>
      <c r="AI767" s="1075"/>
      <c r="AJ767" s="1075"/>
      <c r="AK767" s="1075"/>
      <c r="AL767" s="1075"/>
      <c r="AM767" s="1075"/>
      <c r="AN767" s="1075"/>
      <c r="AO767" s="1075"/>
      <c r="AP767" s="1075"/>
      <c r="AQ767" s="1075"/>
      <c r="AR767" s="1075"/>
      <c r="AS767" s="1075"/>
      <c r="AT767" s="1075"/>
      <c r="AU767" s="1075"/>
      <c r="AV767" s="1075"/>
    </row>
    <row r="768" spans="1:48" ht="11.25" hidden="1" customHeight="1">
      <c r="A768" s="1075"/>
      <c r="B768" s="1075"/>
      <c r="C768" s="1075"/>
      <c r="D768" s="1075"/>
      <c r="E768" s="1075"/>
      <c r="F768" s="1075"/>
      <c r="G768" s="1075"/>
      <c r="H768" s="1075"/>
      <c r="I768" s="1075"/>
      <c r="J768" s="1075"/>
      <c r="K768" s="1075"/>
      <c r="L768" s="1075"/>
      <c r="M768" s="1075"/>
      <c r="N768" s="1075"/>
      <c r="O768" s="1075"/>
      <c r="P768" s="1075"/>
      <c r="Q768" s="1075"/>
      <c r="R768" s="1075"/>
      <c r="S768" s="1075"/>
      <c r="T768" s="1075"/>
      <c r="U768" s="1075"/>
      <c r="V768" s="1075"/>
      <c r="W768" s="1075"/>
      <c r="X768" s="1075"/>
      <c r="Y768" s="1075"/>
      <c r="Z768" s="1075"/>
      <c r="AA768" s="1075"/>
      <c r="AB768" s="1075"/>
      <c r="AC768" s="1075"/>
      <c r="AD768" s="1075"/>
      <c r="AE768" s="1075"/>
      <c r="AF768" s="1075"/>
      <c r="AG768" s="1075"/>
      <c r="AH768" s="1075"/>
      <c r="AI768" s="1075"/>
      <c r="AJ768" s="1075"/>
      <c r="AK768" s="1075"/>
      <c r="AL768" s="1075"/>
      <c r="AM768" s="1075"/>
      <c r="AN768" s="1075"/>
      <c r="AO768" s="1075"/>
      <c r="AP768" s="1075"/>
      <c r="AQ768" s="1075"/>
      <c r="AR768" s="1075"/>
      <c r="AS768" s="1075"/>
      <c r="AT768" s="1075"/>
      <c r="AU768" s="1075"/>
      <c r="AV768" s="1075"/>
    </row>
    <row r="769" spans="1:48" ht="11.25" hidden="1" customHeight="1">
      <c r="A769" s="1075"/>
      <c r="B769" s="1075"/>
      <c r="C769" s="1075"/>
      <c r="D769" s="1075"/>
      <c r="E769" s="1075"/>
      <c r="F769" s="1075"/>
      <c r="G769" s="1075"/>
      <c r="H769" s="1075"/>
      <c r="I769" s="1075"/>
      <c r="J769" s="1075"/>
      <c r="K769" s="1075"/>
      <c r="L769" s="1075"/>
      <c r="M769" s="1075"/>
      <c r="N769" s="1075"/>
      <c r="O769" s="1075"/>
      <c r="P769" s="1075"/>
      <c r="Q769" s="1075"/>
      <c r="R769" s="1075"/>
      <c r="S769" s="1075"/>
      <c r="T769" s="1075"/>
      <c r="U769" s="1075"/>
      <c r="V769" s="1075"/>
      <c r="W769" s="1075"/>
      <c r="X769" s="1075"/>
      <c r="Y769" s="1075"/>
      <c r="Z769" s="1075"/>
      <c r="AA769" s="1075"/>
      <c r="AB769" s="1075"/>
      <c r="AC769" s="1075"/>
      <c r="AD769" s="1075"/>
      <c r="AE769" s="1075"/>
      <c r="AF769" s="1075"/>
      <c r="AG769" s="1075"/>
      <c r="AH769" s="1075"/>
      <c r="AI769" s="1075"/>
      <c r="AJ769" s="1075"/>
      <c r="AK769" s="1075"/>
      <c r="AL769" s="1075"/>
      <c r="AM769" s="1075"/>
      <c r="AN769" s="1075"/>
      <c r="AO769" s="1075"/>
      <c r="AP769" s="1075"/>
      <c r="AQ769" s="1075"/>
      <c r="AR769" s="1075"/>
      <c r="AS769" s="1075"/>
      <c r="AT769" s="1075"/>
      <c r="AU769" s="1075"/>
      <c r="AV769" s="1075"/>
    </row>
    <row r="770" spans="1:48" ht="11.25" hidden="1" customHeight="1">
      <c r="A770" s="1075"/>
      <c r="B770" s="1075"/>
      <c r="C770" s="1075"/>
      <c r="D770" s="1075"/>
      <c r="E770" s="1075"/>
      <c r="F770" s="1075"/>
      <c r="G770" s="1075"/>
      <c r="H770" s="1075"/>
      <c r="I770" s="1075"/>
      <c r="J770" s="1075"/>
      <c r="K770" s="1075"/>
      <c r="L770" s="1075"/>
      <c r="M770" s="1075"/>
      <c r="N770" s="1075"/>
      <c r="O770" s="1075"/>
      <c r="P770" s="1075"/>
      <c r="Q770" s="1075"/>
      <c r="R770" s="1075"/>
      <c r="S770" s="1075"/>
      <c r="T770" s="1075"/>
      <c r="U770" s="1075"/>
      <c r="V770" s="1075"/>
      <c r="W770" s="1075"/>
      <c r="X770" s="1075"/>
      <c r="Y770" s="1075"/>
      <c r="Z770" s="1075"/>
      <c r="AA770" s="1075"/>
      <c r="AB770" s="1075"/>
      <c r="AC770" s="1075"/>
      <c r="AD770" s="1075"/>
      <c r="AE770" s="1075"/>
      <c r="AF770" s="1075"/>
      <c r="AG770" s="1075"/>
      <c r="AH770" s="1075"/>
      <c r="AI770" s="1075"/>
      <c r="AJ770" s="1075"/>
      <c r="AK770" s="1075"/>
      <c r="AL770" s="1075"/>
      <c r="AM770" s="1075"/>
      <c r="AN770" s="1075"/>
      <c r="AO770" s="1075"/>
      <c r="AP770" s="1075"/>
      <c r="AQ770" s="1075"/>
      <c r="AR770" s="1075"/>
      <c r="AS770" s="1075"/>
      <c r="AT770" s="1075"/>
      <c r="AU770" s="1075"/>
      <c r="AV770" s="1075"/>
    </row>
    <row r="771" spans="1:48" ht="11.25" hidden="1" customHeight="1">
      <c r="A771" s="1075"/>
      <c r="B771" s="1075"/>
      <c r="C771" s="1075"/>
      <c r="D771" s="1075"/>
      <c r="E771" s="1075"/>
      <c r="F771" s="1075"/>
      <c r="G771" s="1075"/>
      <c r="H771" s="1075"/>
      <c r="I771" s="1075"/>
      <c r="J771" s="1075"/>
      <c r="K771" s="1075"/>
      <c r="L771" s="1075"/>
      <c r="M771" s="1075"/>
      <c r="N771" s="1075"/>
      <c r="O771" s="1075"/>
      <c r="P771" s="1075"/>
      <c r="Q771" s="1075"/>
      <c r="R771" s="1075"/>
      <c r="S771" s="1075"/>
      <c r="T771" s="1075"/>
      <c r="U771" s="1075"/>
      <c r="V771" s="1075"/>
      <c r="W771" s="1075"/>
      <c r="X771" s="1075"/>
      <c r="Y771" s="1075"/>
      <c r="Z771" s="1075"/>
      <c r="AA771" s="1075"/>
      <c r="AB771" s="1075"/>
      <c r="AC771" s="1075"/>
      <c r="AD771" s="1075"/>
      <c r="AE771" s="1075"/>
      <c r="AF771" s="1075"/>
      <c r="AG771" s="1075"/>
      <c r="AH771" s="1075"/>
      <c r="AI771" s="1075"/>
      <c r="AJ771" s="1075"/>
      <c r="AK771" s="1075"/>
      <c r="AL771" s="1075"/>
      <c r="AM771" s="1075"/>
      <c r="AN771" s="1075"/>
      <c r="AO771" s="1075"/>
      <c r="AP771" s="1075"/>
      <c r="AQ771" s="1075"/>
      <c r="AR771" s="1075"/>
      <c r="AS771" s="1075"/>
      <c r="AT771" s="1075"/>
      <c r="AU771" s="1075"/>
      <c r="AV771" s="1075"/>
    </row>
    <row r="772" spans="1:48" ht="11.25" hidden="1" customHeight="1">
      <c r="A772" s="1075"/>
      <c r="B772" s="1075"/>
      <c r="C772" s="1075"/>
      <c r="D772" s="1075"/>
      <c r="E772" s="1075"/>
      <c r="F772" s="1075"/>
      <c r="G772" s="1075"/>
      <c r="H772" s="1075"/>
      <c r="I772" s="1075"/>
      <c r="J772" s="1075"/>
      <c r="K772" s="1075"/>
      <c r="L772" s="1075"/>
      <c r="M772" s="1075"/>
      <c r="N772" s="1075"/>
      <c r="O772" s="1075"/>
      <c r="P772" s="1075"/>
      <c r="Q772" s="1075"/>
      <c r="R772" s="1075"/>
      <c r="S772" s="1075"/>
      <c r="T772" s="1075"/>
      <c r="U772" s="1075"/>
      <c r="V772" s="1075"/>
      <c r="W772" s="1075"/>
      <c r="X772" s="1075"/>
      <c r="Y772" s="1075"/>
      <c r="Z772" s="1075"/>
      <c r="AA772" s="1075"/>
      <c r="AB772" s="1075"/>
      <c r="AC772" s="1075"/>
      <c r="AD772" s="1075"/>
      <c r="AE772" s="1075"/>
      <c r="AF772" s="1075"/>
      <c r="AG772" s="1075"/>
      <c r="AH772" s="1075"/>
      <c r="AI772" s="1075"/>
      <c r="AJ772" s="1075"/>
      <c r="AK772" s="1075"/>
      <c r="AL772" s="1075"/>
      <c r="AM772" s="1075"/>
      <c r="AN772" s="1075"/>
      <c r="AO772" s="1075"/>
      <c r="AP772" s="1075"/>
      <c r="AQ772" s="1075"/>
      <c r="AR772" s="1075"/>
      <c r="AS772" s="1075"/>
      <c r="AT772" s="1075"/>
      <c r="AU772" s="1075"/>
      <c r="AV772" s="1075"/>
    </row>
    <row r="773" spans="1:48" ht="11.25" hidden="1" customHeight="1">
      <c r="A773" s="1075"/>
      <c r="B773" s="1075"/>
      <c r="C773" s="1075"/>
      <c r="D773" s="1075"/>
      <c r="E773" s="1075"/>
      <c r="F773" s="1075"/>
      <c r="G773" s="1075"/>
      <c r="H773" s="1075"/>
      <c r="I773" s="1075"/>
      <c r="J773" s="1075"/>
      <c r="K773" s="1075"/>
      <c r="L773" s="1075"/>
      <c r="M773" s="1075"/>
      <c r="N773" s="1075"/>
      <c r="O773" s="1075"/>
      <c r="P773" s="1075"/>
      <c r="Q773" s="1075"/>
      <c r="R773" s="1075"/>
      <c r="S773" s="1075"/>
      <c r="T773" s="1075"/>
      <c r="U773" s="1075"/>
      <c r="V773" s="1075"/>
      <c r="W773" s="1075"/>
      <c r="X773" s="1075"/>
      <c r="Y773" s="1075"/>
      <c r="Z773" s="1075"/>
      <c r="AA773" s="1075"/>
      <c r="AB773" s="1075"/>
      <c r="AC773" s="1075"/>
      <c r="AD773" s="1075"/>
      <c r="AE773" s="1075"/>
      <c r="AF773" s="1075"/>
      <c r="AG773" s="1075"/>
      <c r="AH773" s="1075"/>
      <c r="AI773" s="1075"/>
      <c r="AJ773" s="1075"/>
      <c r="AK773" s="1075"/>
      <c r="AL773" s="1075"/>
      <c r="AM773" s="1075"/>
      <c r="AN773" s="1075"/>
      <c r="AO773" s="1075"/>
      <c r="AP773" s="1075"/>
      <c r="AQ773" s="1075"/>
      <c r="AR773" s="1075"/>
      <c r="AS773" s="1075"/>
      <c r="AT773" s="1075"/>
      <c r="AU773" s="1075"/>
      <c r="AV773" s="1075"/>
    </row>
    <row r="774" spans="1:48" ht="11.25" hidden="1" customHeight="1">
      <c r="A774" s="1075"/>
      <c r="B774" s="1075"/>
      <c r="C774" s="1075"/>
      <c r="D774" s="1075"/>
      <c r="E774" s="1075"/>
      <c r="F774" s="1075"/>
      <c r="G774" s="1075"/>
      <c r="H774" s="1075"/>
      <c r="I774" s="1075"/>
      <c r="J774" s="1075"/>
      <c r="K774" s="1075"/>
      <c r="L774" s="1075"/>
      <c r="M774" s="1075"/>
      <c r="N774" s="1075"/>
      <c r="O774" s="1075"/>
      <c r="P774" s="1075"/>
      <c r="Q774" s="1075"/>
      <c r="R774" s="1075"/>
      <c r="S774" s="1075"/>
      <c r="T774" s="1075"/>
      <c r="U774" s="1075"/>
      <c r="V774" s="1075"/>
      <c r="W774" s="1075"/>
      <c r="X774" s="1075"/>
      <c r="Y774" s="1075"/>
      <c r="Z774" s="1075"/>
      <c r="AA774" s="1075"/>
      <c r="AB774" s="1075"/>
      <c r="AC774" s="1075"/>
      <c r="AD774" s="1075"/>
      <c r="AE774" s="1075"/>
      <c r="AF774" s="1075"/>
      <c r="AG774" s="1075"/>
      <c r="AH774" s="1075"/>
      <c r="AI774" s="1075"/>
      <c r="AJ774" s="1075"/>
      <c r="AK774" s="1075"/>
      <c r="AL774" s="1075"/>
      <c r="AM774" s="1075"/>
      <c r="AN774" s="1075"/>
      <c r="AO774" s="1075"/>
      <c r="AP774" s="1075"/>
      <c r="AQ774" s="1075"/>
      <c r="AR774" s="1075"/>
      <c r="AS774" s="1075"/>
      <c r="AT774" s="1075"/>
      <c r="AU774" s="1075"/>
      <c r="AV774" s="1075"/>
    </row>
    <row r="775" spans="1:48" ht="11.25" hidden="1" customHeight="1">
      <c r="A775" s="1075"/>
      <c r="B775" s="1075"/>
      <c r="C775" s="1075"/>
      <c r="D775" s="1075"/>
      <c r="E775" s="1075"/>
      <c r="F775" s="1075"/>
      <c r="G775" s="1075"/>
      <c r="H775" s="1075"/>
      <c r="I775" s="1075"/>
      <c r="J775" s="1075"/>
      <c r="K775" s="1075"/>
      <c r="L775" s="1075"/>
      <c r="M775" s="1075"/>
      <c r="N775" s="1075"/>
      <c r="O775" s="1075"/>
      <c r="P775" s="1075"/>
      <c r="Q775" s="1075"/>
      <c r="R775" s="1075"/>
      <c r="S775" s="1075"/>
      <c r="T775" s="1075"/>
      <c r="U775" s="1075"/>
      <c r="V775" s="1075"/>
      <c r="W775" s="1075"/>
      <c r="X775" s="1075"/>
      <c r="Y775" s="1075"/>
      <c r="Z775" s="1075"/>
      <c r="AA775" s="1075"/>
      <c r="AB775" s="1075"/>
      <c r="AC775" s="1075"/>
      <c r="AD775" s="1075"/>
      <c r="AE775" s="1075"/>
      <c r="AF775" s="1075"/>
      <c r="AG775" s="1075"/>
      <c r="AH775" s="1075"/>
      <c r="AI775" s="1075"/>
      <c r="AJ775" s="1075"/>
      <c r="AK775" s="1075"/>
      <c r="AL775" s="1075"/>
      <c r="AM775" s="1075"/>
      <c r="AN775" s="1075"/>
      <c r="AO775" s="1075"/>
      <c r="AP775" s="1075"/>
      <c r="AQ775" s="1075"/>
      <c r="AR775" s="1075"/>
      <c r="AS775" s="1075"/>
      <c r="AT775" s="1075"/>
      <c r="AU775" s="1075"/>
      <c r="AV775" s="1075"/>
    </row>
    <row r="776" spans="1:48" ht="11.25" hidden="1" customHeight="1">
      <c r="A776" s="1075"/>
      <c r="B776" s="1075"/>
      <c r="C776" s="1075"/>
      <c r="D776" s="1075"/>
      <c r="E776" s="1075"/>
      <c r="F776" s="1075"/>
      <c r="G776" s="1075"/>
      <c r="H776" s="1075"/>
      <c r="I776" s="1075"/>
      <c r="J776" s="1075"/>
      <c r="K776" s="1075"/>
      <c r="L776" s="1075"/>
      <c r="M776" s="1075"/>
      <c r="N776" s="1075"/>
      <c r="O776" s="1075"/>
      <c r="P776" s="1075"/>
      <c r="Q776" s="1075"/>
      <c r="R776" s="1075"/>
      <c r="S776" s="1075"/>
      <c r="T776" s="1075"/>
      <c r="U776" s="1075"/>
      <c r="V776" s="1075"/>
      <c r="W776" s="1075"/>
      <c r="X776" s="1075"/>
      <c r="Y776" s="1075"/>
      <c r="Z776" s="1075"/>
      <c r="AA776" s="1075"/>
      <c r="AB776" s="1075"/>
      <c r="AC776" s="1075"/>
      <c r="AD776" s="1075"/>
      <c r="AE776" s="1075"/>
      <c r="AF776" s="1075"/>
      <c r="AG776" s="1075"/>
      <c r="AH776" s="1075"/>
      <c r="AI776" s="1075"/>
      <c r="AJ776" s="1075"/>
      <c r="AK776" s="1075"/>
      <c r="AL776" s="1075"/>
      <c r="AM776" s="1075"/>
      <c r="AN776" s="1075"/>
      <c r="AO776" s="1075"/>
      <c r="AP776" s="1075"/>
      <c r="AQ776" s="1075"/>
      <c r="AR776" s="1075"/>
      <c r="AS776" s="1075"/>
      <c r="AT776" s="1075"/>
      <c r="AU776" s="1075"/>
      <c r="AV776" s="1075"/>
    </row>
    <row r="777" spans="1:48" ht="11.25" hidden="1" customHeight="1">
      <c r="A777" s="1075"/>
      <c r="B777" s="1075"/>
      <c r="C777" s="1075"/>
      <c r="D777" s="1075"/>
      <c r="E777" s="1075"/>
      <c r="F777" s="1075"/>
      <c r="G777" s="1075"/>
      <c r="H777" s="1075"/>
      <c r="I777" s="1075"/>
      <c r="J777" s="1075"/>
      <c r="K777" s="1075"/>
      <c r="L777" s="1075"/>
      <c r="M777" s="1075"/>
      <c r="N777" s="1075"/>
      <c r="O777" s="1075"/>
      <c r="P777" s="1075"/>
      <c r="Q777" s="1075"/>
      <c r="R777" s="1075"/>
      <c r="S777" s="1075"/>
      <c r="T777" s="1075"/>
      <c r="U777" s="1075"/>
      <c r="V777" s="1075"/>
      <c r="W777" s="1075"/>
      <c r="X777" s="1075"/>
      <c r="Y777" s="1075"/>
      <c r="Z777" s="1075"/>
      <c r="AA777" s="1075"/>
      <c r="AB777" s="1075"/>
      <c r="AC777" s="1075"/>
      <c r="AD777" s="1075"/>
      <c r="AE777" s="1075"/>
      <c r="AF777" s="1075"/>
      <c r="AG777" s="1075"/>
      <c r="AH777" s="1075"/>
      <c r="AI777" s="1075"/>
      <c r="AJ777" s="1075"/>
      <c r="AK777" s="1075"/>
      <c r="AL777" s="1075"/>
      <c r="AM777" s="1075"/>
      <c r="AN777" s="1075"/>
      <c r="AO777" s="1075"/>
      <c r="AP777" s="1075"/>
      <c r="AQ777" s="1075"/>
      <c r="AR777" s="1075"/>
      <c r="AS777" s="1075"/>
      <c r="AT777" s="1075"/>
      <c r="AU777" s="1075"/>
      <c r="AV777" s="1075"/>
    </row>
    <row r="778" spans="1:48" ht="11.25" hidden="1" customHeight="1">
      <c r="A778" s="1075"/>
      <c r="B778" s="1075"/>
      <c r="C778" s="1075"/>
      <c r="D778" s="1075"/>
      <c r="E778" s="1075"/>
      <c r="F778" s="1075"/>
      <c r="G778" s="1075"/>
      <c r="H778" s="1075"/>
      <c r="I778" s="1075"/>
      <c r="J778" s="1075"/>
      <c r="K778" s="1075"/>
      <c r="L778" s="1075"/>
      <c r="M778" s="1075"/>
      <c r="N778" s="1075"/>
      <c r="O778" s="1075"/>
      <c r="P778" s="1075"/>
      <c r="Q778" s="1075"/>
      <c r="R778" s="1075"/>
      <c r="S778" s="1075"/>
      <c r="T778" s="1075"/>
      <c r="U778" s="1075"/>
      <c r="V778" s="1075"/>
      <c r="W778" s="1075"/>
      <c r="X778" s="1075"/>
      <c r="Y778" s="1075"/>
      <c r="Z778" s="1075"/>
      <c r="AA778" s="1075"/>
      <c r="AB778" s="1075"/>
      <c r="AC778" s="1075"/>
      <c r="AD778" s="1075"/>
      <c r="AE778" s="1075"/>
      <c r="AF778" s="1075"/>
      <c r="AG778" s="1075"/>
      <c r="AH778" s="1075"/>
      <c r="AI778" s="1075"/>
      <c r="AJ778" s="1075"/>
      <c r="AK778" s="1075"/>
      <c r="AL778" s="1075"/>
      <c r="AM778" s="1075"/>
      <c r="AN778" s="1075"/>
      <c r="AO778" s="1075"/>
      <c r="AP778" s="1075"/>
      <c r="AQ778" s="1075"/>
      <c r="AR778" s="1075"/>
      <c r="AS778" s="1075"/>
      <c r="AT778" s="1075"/>
      <c r="AU778" s="1075"/>
      <c r="AV778" s="1075"/>
    </row>
    <row r="779" spans="1:48" ht="11.25" hidden="1" customHeight="1">
      <c r="A779" s="1075"/>
      <c r="B779" s="1075"/>
      <c r="C779" s="1075"/>
      <c r="D779" s="1075"/>
      <c r="E779" s="1075"/>
      <c r="F779" s="1075"/>
      <c r="G779" s="1075"/>
      <c r="H779" s="1075"/>
      <c r="I779" s="1075"/>
      <c r="J779" s="1075"/>
      <c r="K779" s="1075"/>
      <c r="L779" s="1075"/>
      <c r="M779" s="1075"/>
      <c r="N779" s="1075"/>
      <c r="O779" s="1075"/>
      <c r="P779" s="1075"/>
      <c r="Q779" s="1075"/>
      <c r="R779" s="1075"/>
      <c r="S779" s="1075"/>
      <c r="T779" s="1075"/>
      <c r="U779" s="1075"/>
      <c r="V779" s="1075"/>
      <c r="W779" s="1075"/>
      <c r="X779" s="1075"/>
      <c r="Y779" s="1075"/>
      <c r="Z779" s="1075"/>
      <c r="AA779" s="1075"/>
      <c r="AB779" s="1075"/>
      <c r="AC779" s="1075"/>
      <c r="AD779" s="1075"/>
      <c r="AE779" s="1075"/>
      <c r="AF779" s="1075"/>
      <c r="AG779" s="1075"/>
      <c r="AH779" s="1075"/>
      <c r="AI779" s="1075"/>
      <c r="AJ779" s="1075"/>
      <c r="AK779" s="1075"/>
      <c r="AL779" s="1075"/>
      <c r="AM779" s="1075"/>
      <c r="AN779" s="1075"/>
      <c r="AO779" s="1075"/>
      <c r="AP779" s="1075"/>
      <c r="AQ779" s="1075"/>
      <c r="AR779" s="1075"/>
      <c r="AS779" s="1075"/>
      <c r="AT779" s="1075"/>
      <c r="AU779" s="1075"/>
      <c r="AV779" s="1075"/>
    </row>
    <row r="780" spans="1:48" ht="11.25" hidden="1" customHeight="1">
      <c r="A780" s="1075"/>
      <c r="B780" s="1075"/>
      <c r="C780" s="1075"/>
      <c r="D780" s="1075"/>
      <c r="E780" s="1075"/>
      <c r="F780" s="1075"/>
      <c r="G780" s="1075"/>
      <c r="H780" s="1075"/>
      <c r="I780" s="1075"/>
      <c r="J780" s="1075"/>
      <c r="K780" s="1075"/>
      <c r="L780" s="1075"/>
      <c r="M780" s="1075"/>
      <c r="N780" s="1075"/>
      <c r="O780" s="1075"/>
      <c r="P780" s="1075"/>
      <c r="Q780" s="1075"/>
      <c r="R780" s="1075"/>
      <c r="S780" s="1075"/>
      <c r="T780" s="1075"/>
      <c r="U780" s="1075"/>
      <c r="V780" s="1075"/>
      <c r="W780" s="1075"/>
      <c r="X780" s="1075"/>
      <c r="Y780" s="1075"/>
      <c r="Z780" s="1075"/>
      <c r="AA780" s="1075"/>
      <c r="AB780" s="1075"/>
      <c r="AC780" s="1075"/>
      <c r="AD780" s="1075"/>
      <c r="AE780" s="1075"/>
      <c r="AF780" s="1075"/>
      <c r="AG780" s="1075"/>
      <c r="AH780" s="1075"/>
      <c r="AI780" s="1075"/>
      <c r="AJ780" s="1075"/>
      <c r="AK780" s="1075"/>
      <c r="AL780" s="1075"/>
      <c r="AM780" s="1075"/>
      <c r="AN780" s="1075"/>
      <c r="AO780" s="1075"/>
      <c r="AP780" s="1075"/>
      <c r="AQ780" s="1075"/>
      <c r="AR780" s="1075"/>
      <c r="AS780" s="1075"/>
      <c r="AT780" s="1075"/>
      <c r="AU780" s="1075"/>
      <c r="AV780" s="1075"/>
    </row>
    <row r="781" spans="1:48" ht="11.25" hidden="1" customHeight="1">
      <c r="A781" s="1075"/>
      <c r="B781" s="1075"/>
      <c r="C781" s="1075"/>
      <c r="D781" s="1075"/>
      <c r="E781" s="1075"/>
      <c r="F781" s="1075"/>
      <c r="G781" s="1075"/>
      <c r="H781" s="1075"/>
      <c r="I781" s="1075"/>
      <c r="J781" s="1075"/>
      <c r="K781" s="1075"/>
      <c r="L781" s="1075"/>
      <c r="M781" s="1075"/>
      <c r="N781" s="1075"/>
      <c r="O781" s="1075"/>
      <c r="P781" s="1075"/>
      <c r="Q781" s="1075"/>
      <c r="R781" s="1075"/>
      <c r="S781" s="1075"/>
      <c r="T781" s="1075"/>
      <c r="U781" s="1075"/>
      <c r="V781" s="1075"/>
      <c r="W781" s="1075"/>
      <c r="X781" s="1075"/>
      <c r="Y781" s="1075"/>
      <c r="Z781" s="1075"/>
      <c r="AA781" s="1075"/>
      <c r="AB781" s="1075"/>
      <c r="AC781" s="1075"/>
      <c r="AD781" s="1075"/>
      <c r="AE781" s="1075"/>
      <c r="AF781" s="1075"/>
      <c r="AG781" s="1075"/>
      <c r="AH781" s="1075"/>
      <c r="AI781" s="1075"/>
      <c r="AJ781" s="1075"/>
      <c r="AK781" s="1075"/>
      <c r="AL781" s="1075"/>
      <c r="AM781" s="1075"/>
      <c r="AN781" s="1075"/>
      <c r="AO781" s="1075"/>
      <c r="AP781" s="1075"/>
      <c r="AQ781" s="1075"/>
      <c r="AR781" s="1075"/>
      <c r="AS781" s="1075"/>
      <c r="AT781" s="1075"/>
      <c r="AU781" s="1075"/>
      <c r="AV781" s="1075"/>
    </row>
    <row r="782" spans="1:48" ht="11.25" hidden="1" customHeight="1">
      <c r="A782" s="1075"/>
      <c r="B782" s="1075"/>
      <c r="C782" s="1075"/>
      <c r="D782" s="1075"/>
      <c r="E782" s="1075"/>
      <c r="F782" s="1075"/>
      <c r="G782" s="1075"/>
      <c r="H782" s="1075"/>
      <c r="I782" s="1075"/>
      <c r="J782" s="1075"/>
      <c r="K782" s="1075"/>
      <c r="L782" s="1075"/>
      <c r="M782" s="1075"/>
      <c r="N782" s="1075"/>
      <c r="O782" s="1075"/>
      <c r="P782" s="1075"/>
      <c r="Q782" s="1075"/>
      <c r="R782" s="1075"/>
      <c r="S782" s="1075"/>
      <c r="T782" s="1075"/>
      <c r="U782" s="1075"/>
      <c r="V782" s="1075"/>
      <c r="W782" s="1075"/>
      <c r="X782" s="1075"/>
      <c r="Y782" s="1075"/>
      <c r="Z782" s="1075"/>
      <c r="AA782" s="1075"/>
      <c r="AB782" s="1075"/>
      <c r="AC782" s="1075"/>
      <c r="AD782" s="1075"/>
      <c r="AE782" s="1075"/>
      <c r="AF782" s="1075"/>
      <c r="AG782" s="1075"/>
      <c r="AH782" s="1075"/>
      <c r="AI782" s="1075"/>
      <c r="AJ782" s="1075"/>
      <c r="AK782" s="1075"/>
      <c r="AL782" s="1075"/>
      <c r="AM782" s="1075"/>
      <c r="AN782" s="1075"/>
      <c r="AO782" s="1075"/>
      <c r="AP782" s="1075"/>
      <c r="AQ782" s="1075"/>
      <c r="AR782" s="1075"/>
      <c r="AS782" s="1075"/>
      <c r="AT782" s="1075"/>
      <c r="AU782" s="1075"/>
      <c r="AV782" s="1075"/>
    </row>
    <row r="783" spans="1:48" ht="11.25" hidden="1" customHeight="1">
      <c r="A783" s="1075"/>
      <c r="B783" s="1075"/>
      <c r="C783" s="1075"/>
      <c r="D783" s="1075"/>
      <c r="E783" s="1075"/>
      <c r="F783" s="1075"/>
      <c r="G783" s="1075"/>
      <c r="H783" s="1075"/>
      <c r="I783" s="1075"/>
      <c r="J783" s="1075"/>
      <c r="K783" s="1075"/>
      <c r="L783" s="1075"/>
      <c r="M783" s="1075"/>
      <c r="N783" s="1075"/>
      <c r="O783" s="1075"/>
      <c r="P783" s="1075"/>
      <c r="Q783" s="1075"/>
      <c r="R783" s="1075"/>
      <c r="S783" s="1075"/>
      <c r="T783" s="1075"/>
      <c r="U783" s="1075"/>
      <c r="V783" s="1075"/>
      <c r="W783" s="1075"/>
      <c r="X783" s="1075"/>
      <c r="Y783" s="1075"/>
      <c r="Z783" s="1075"/>
      <c r="AA783" s="1075"/>
      <c r="AB783" s="1075"/>
      <c r="AC783" s="1075"/>
      <c r="AD783" s="1075"/>
      <c r="AE783" s="1075"/>
      <c r="AF783" s="1075"/>
      <c r="AG783" s="1075"/>
      <c r="AH783" s="1075"/>
      <c r="AI783" s="1075"/>
      <c r="AJ783" s="1075"/>
      <c r="AK783" s="1075"/>
      <c r="AL783" s="1075"/>
      <c r="AM783" s="1075"/>
      <c r="AN783" s="1075"/>
      <c r="AO783" s="1075"/>
      <c r="AP783" s="1075"/>
      <c r="AQ783" s="1075"/>
      <c r="AR783" s="1075"/>
      <c r="AS783" s="1075"/>
      <c r="AT783" s="1075"/>
      <c r="AU783" s="1075"/>
      <c r="AV783" s="1075"/>
    </row>
    <row r="784" spans="1:48" ht="11.25" hidden="1" customHeight="1">
      <c r="A784" s="1075"/>
      <c r="B784" s="1075"/>
      <c r="C784" s="1075"/>
      <c r="D784" s="1075"/>
      <c r="E784" s="1075"/>
      <c r="F784" s="1075"/>
      <c r="G784" s="1075"/>
      <c r="H784" s="1075"/>
      <c r="I784" s="1075"/>
      <c r="J784" s="1075"/>
      <c r="K784" s="1075"/>
      <c r="L784" s="1075"/>
      <c r="M784" s="1075"/>
      <c r="N784" s="1075"/>
      <c r="O784" s="1075"/>
      <c r="P784" s="1075"/>
      <c r="Q784" s="1075"/>
      <c r="R784" s="1075"/>
      <c r="S784" s="1075"/>
      <c r="T784" s="1075"/>
      <c r="U784" s="1075"/>
      <c r="V784" s="1075"/>
      <c r="W784" s="1075"/>
      <c r="X784" s="1075"/>
      <c r="Y784" s="1075"/>
      <c r="Z784" s="1075"/>
      <c r="AA784" s="1075"/>
      <c r="AB784" s="1075"/>
      <c r="AC784" s="1075"/>
      <c r="AD784" s="1075"/>
      <c r="AE784" s="1075"/>
      <c r="AF784" s="1075"/>
      <c r="AG784" s="1075"/>
      <c r="AH784" s="1075"/>
      <c r="AI784" s="1075"/>
      <c r="AJ784" s="1075"/>
      <c r="AK784" s="1075"/>
      <c r="AL784" s="1075"/>
      <c r="AM784" s="1075"/>
      <c r="AN784" s="1075"/>
      <c r="AO784" s="1075"/>
      <c r="AP784" s="1075"/>
      <c r="AQ784" s="1075"/>
      <c r="AR784" s="1075"/>
      <c r="AS784" s="1075"/>
      <c r="AT784" s="1075"/>
      <c r="AU784" s="1075"/>
      <c r="AV784" s="1075"/>
    </row>
    <row r="785" spans="1:48" ht="11.25" hidden="1" customHeight="1">
      <c r="A785" s="1075"/>
      <c r="B785" s="1075"/>
      <c r="C785" s="1075"/>
      <c r="D785" s="1075"/>
      <c r="E785" s="1075"/>
      <c r="F785" s="1075"/>
      <c r="G785" s="1075"/>
      <c r="H785" s="1075"/>
      <c r="I785" s="1075"/>
      <c r="J785" s="1075"/>
      <c r="K785" s="1075"/>
      <c r="L785" s="1075"/>
      <c r="M785" s="1075"/>
      <c r="N785" s="1075"/>
      <c r="O785" s="1075"/>
      <c r="P785" s="1075"/>
      <c r="Q785" s="1075"/>
      <c r="R785" s="1075"/>
      <c r="S785" s="1075"/>
      <c r="T785" s="1075"/>
      <c r="U785" s="1075"/>
      <c r="V785" s="1075"/>
      <c r="W785" s="1075"/>
      <c r="X785" s="1075"/>
      <c r="Y785" s="1075"/>
      <c r="Z785" s="1075"/>
      <c r="AA785" s="1075"/>
      <c r="AB785" s="1075"/>
      <c r="AC785" s="1075"/>
      <c r="AD785" s="1075"/>
      <c r="AE785" s="1075"/>
      <c r="AF785" s="1075"/>
      <c r="AG785" s="1075"/>
      <c r="AH785" s="1075"/>
      <c r="AI785" s="1075"/>
      <c r="AJ785" s="1075"/>
      <c r="AK785" s="1075"/>
      <c r="AL785" s="1075"/>
      <c r="AM785" s="1075"/>
      <c r="AN785" s="1075"/>
      <c r="AO785" s="1075"/>
      <c r="AP785" s="1075"/>
      <c r="AQ785" s="1075"/>
      <c r="AR785" s="1075"/>
      <c r="AS785" s="1075"/>
      <c r="AT785" s="1075"/>
      <c r="AU785" s="1075"/>
      <c r="AV785" s="1075"/>
    </row>
    <row r="786" spans="1:48" ht="11.25" hidden="1" customHeight="1">
      <c r="A786" s="1075"/>
      <c r="B786" s="1075"/>
      <c r="C786" s="1075"/>
      <c r="D786" s="1075"/>
      <c r="E786" s="1075"/>
      <c r="F786" s="1075"/>
      <c r="G786" s="1075"/>
      <c r="H786" s="1075"/>
      <c r="I786" s="1075"/>
      <c r="J786" s="1075"/>
      <c r="K786" s="1075"/>
      <c r="L786" s="1075"/>
      <c r="M786" s="1075"/>
      <c r="N786" s="1075"/>
      <c r="O786" s="1075"/>
      <c r="P786" s="1075"/>
      <c r="Q786" s="1075"/>
      <c r="R786" s="1075"/>
      <c r="S786" s="1075"/>
      <c r="T786" s="1075"/>
      <c r="U786" s="1075"/>
      <c r="V786" s="1075"/>
      <c r="W786" s="1075"/>
      <c r="X786" s="1075"/>
      <c r="Y786" s="1075"/>
      <c r="Z786" s="1075"/>
      <c r="AA786" s="1075"/>
      <c r="AB786" s="1075"/>
      <c r="AC786" s="1075"/>
      <c r="AD786" s="1075"/>
      <c r="AE786" s="1075"/>
      <c r="AF786" s="1075"/>
      <c r="AG786" s="1075"/>
      <c r="AH786" s="1075"/>
      <c r="AI786" s="1075"/>
      <c r="AJ786" s="1075"/>
      <c r="AK786" s="1075"/>
      <c r="AL786" s="1075"/>
      <c r="AM786" s="1075"/>
      <c r="AN786" s="1075"/>
      <c r="AO786" s="1075"/>
      <c r="AP786" s="1075"/>
      <c r="AQ786" s="1075"/>
      <c r="AR786" s="1075"/>
      <c r="AS786" s="1075"/>
      <c r="AT786" s="1075"/>
      <c r="AU786" s="1075"/>
      <c r="AV786" s="1075"/>
    </row>
    <row r="787" spans="1:48" ht="11.25" hidden="1" customHeight="1">
      <c r="A787" s="1075"/>
      <c r="B787" s="1075"/>
      <c r="C787" s="1075"/>
      <c r="D787" s="1075"/>
      <c r="E787" s="1075"/>
      <c r="F787" s="1075"/>
      <c r="G787" s="1075"/>
      <c r="H787" s="1075"/>
      <c r="I787" s="1075"/>
      <c r="J787" s="1075"/>
      <c r="K787" s="1075"/>
      <c r="L787" s="1075"/>
      <c r="M787" s="1075"/>
      <c r="N787" s="1075"/>
      <c r="O787" s="1075"/>
      <c r="P787" s="1075"/>
      <c r="Q787" s="1075"/>
      <c r="R787" s="1075"/>
      <c r="S787" s="1075"/>
      <c r="T787" s="1075"/>
      <c r="U787" s="1075"/>
      <c r="V787" s="1075"/>
      <c r="W787" s="1075"/>
      <c r="X787" s="1075"/>
      <c r="Y787" s="1075"/>
      <c r="Z787" s="1075"/>
      <c r="AA787" s="1075"/>
      <c r="AB787" s="1075"/>
      <c r="AC787" s="1075"/>
      <c r="AD787" s="1075"/>
      <c r="AE787" s="1075"/>
      <c r="AF787" s="1075"/>
      <c r="AG787" s="1075"/>
      <c r="AH787" s="1075"/>
      <c r="AI787" s="1075"/>
      <c r="AJ787" s="1075"/>
      <c r="AK787" s="1075"/>
      <c r="AL787" s="1075"/>
      <c r="AM787" s="1075"/>
      <c r="AN787" s="1075"/>
      <c r="AO787" s="1075"/>
      <c r="AP787" s="1075"/>
      <c r="AQ787" s="1075"/>
      <c r="AR787" s="1075"/>
      <c r="AS787" s="1075"/>
      <c r="AT787" s="1075"/>
      <c r="AU787" s="1075"/>
      <c r="AV787" s="1075"/>
    </row>
    <row r="788" spans="1:48" ht="11.25" hidden="1" customHeight="1">
      <c r="A788" s="1075"/>
      <c r="B788" s="1075"/>
      <c r="C788" s="1075"/>
      <c r="D788" s="1075"/>
      <c r="E788" s="1075"/>
      <c r="F788" s="1075"/>
      <c r="G788" s="1075"/>
      <c r="H788" s="1075"/>
      <c r="I788" s="1075"/>
      <c r="J788" s="1075"/>
      <c r="K788" s="1075"/>
      <c r="L788" s="1075"/>
      <c r="M788" s="1075"/>
      <c r="N788" s="1075"/>
      <c r="O788" s="1075"/>
      <c r="P788" s="1075"/>
      <c r="Q788" s="1075"/>
      <c r="R788" s="1075"/>
      <c r="S788" s="1075"/>
      <c r="T788" s="1075"/>
      <c r="U788" s="1075"/>
      <c r="V788" s="1075"/>
      <c r="W788" s="1075"/>
      <c r="X788" s="1075"/>
      <c r="Y788" s="1075"/>
      <c r="Z788" s="1075"/>
      <c r="AA788" s="1075"/>
      <c r="AB788" s="1075"/>
      <c r="AC788" s="1075"/>
      <c r="AD788" s="1075"/>
      <c r="AE788" s="1075"/>
      <c r="AF788" s="1075"/>
      <c r="AG788" s="1075"/>
      <c r="AH788" s="1075"/>
      <c r="AI788" s="1075"/>
      <c r="AJ788" s="1075"/>
      <c r="AK788" s="1075"/>
      <c r="AL788" s="1075"/>
      <c r="AM788" s="1075"/>
      <c r="AN788" s="1075"/>
      <c r="AO788" s="1075"/>
      <c r="AP788" s="1075"/>
      <c r="AQ788" s="1075"/>
      <c r="AR788" s="1075"/>
      <c r="AS788" s="1075"/>
      <c r="AT788" s="1075"/>
      <c r="AU788" s="1075"/>
      <c r="AV788" s="1075"/>
    </row>
    <row r="789" spans="1:48" ht="11.25" hidden="1" customHeight="1">
      <c r="A789" s="1075"/>
      <c r="B789" s="1075"/>
      <c r="C789" s="1075"/>
      <c r="D789" s="1075"/>
      <c r="E789" s="1075"/>
      <c r="F789" s="1075"/>
      <c r="G789" s="1075"/>
      <c r="H789" s="1075"/>
      <c r="I789" s="1075"/>
      <c r="J789" s="1075"/>
      <c r="K789" s="1075"/>
      <c r="L789" s="1075"/>
      <c r="M789" s="1075"/>
      <c r="N789" s="1075"/>
      <c r="O789" s="1075"/>
      <c r="P789" s="1075"/>
      <c r="Q789" s="1075"/>
      <c r="R789" s="1075"/>
      <c r="S789" s="1075"/>
      <c r="T789" s="1075"/>
      <c r="U789" s="1075"/>
      <c r="V789" s="1075"/>
      <c r="W789" s="1075"/>
      <c r="X789" s="1075"/>
      <c r="Y789" s="1075"/>
      <c r="Z789" s="1075"/>
      <c r="AA789" s="1075"/>
      <c r="AB789" s="1075"/>
      <c r="AC789" s="1075"/>
      <c r="AD789" s="1075"/>
      <c r="AE789" s="1075"/>
      <c r="AF789" s="1075"/>
      <c r="AG789" s="1075"/>
      <c r="AH789" s="1075"/>
      <c r="AI789" s="1075"/>
      <c r="AJ789" s="1075"/>
      <c r="AK789" s="1075"/>
      <c r="AL789" s="1075"/>
      <c r="AM789" s="1075"/>
      <c r="AN789" s="1075"/>
      <c r="AO789" s="1075"/>
      <c r="AP789" s="1075"/>
      <c r="AQ789" s="1075"/>
      <c r="AR789" s="1075"/>
      <c r="AS789" s="1075"/>
      <c r="AT789" s="1075"/>
      <c r="AU789" s="1075"/>
      <c r="AV789" s="1075"/>
    </row>
    <row r="790" spans="1:48" ht="11.25" hidden="1" customHeight="1">
      <c r="A790" s="1075"/>
      <c r="B790" s="1075"/>
      <c r="C790" s="1075"/>
      <c r="D790" s="1075"/>
      <c r="E790" s="1075"/>
      <c r="F790" s="1075"/>
      <c r="G790" s="1075"/>
      <c r="H790" s="1075"/>
      <c r="I790" s="1075"/>
      <c r="J790" s="1075"/>
      <c r="K790" s="1075"/>
      <c r="L790" s="1075"/>
      <c r="M790" s="1075"/>
      <c r="N790" s="1075"/>
      <c r="O790" s="1075"/>
      <c r="P790" s="1075"/>
      <c r="Q790" s="1075"/>
      <c r="R790" s="1075"/>
      <c r="S790" s="1075"/>
      <c r="T790" s="1075"/>
      <c r="U790" s="1075"/>
      <c r="V790" s="1075"/>
      <c r="W790" s="1075"/>
      <c r="X790" s="1075"/>
      <c r="Y790" s="1075"/>
      <c r="Z790" s="1075"/>
      <c r="AA790" s="1075"/>
      <c r="AB790" s="1075"/>
      <c r="AC790" s="1075"/>
      <c r="AD790" s="1075"/>
      <c r="AE790" s="1075"/>
      <c r="AF790" s="1075"/>
      <c r="AG790" s="1075"/>
      <c r="AH790" s="1075"/>
      <c r="AI790" s="1075"/>
      <c r="AJ790" s="1075"/>
      <c r="AK790" s="1075"/>
      <c r="AL790" s="1075"/>
      <c r="AM790" s="1075"/>
      <c r="AN790" s="1075"/>
      <c r="AO790" s="1075"/>
      <c r="AP790" s="1075"/>
      <c r="AQ790" s="1075"/>
      <c r="AR790" s="1075"/>
      <c r="AS790" s="1075"/>
      <c r="AT790" s="1075"/>
      <c r="AU790" s="1075"/>
      <c r="AV790" s="1075"/>
    </row>
    <row r="791" spans="1:48" ht="11.25" hidden="1" customHeight="1">
      <c r="A791" s="1075"/>
      <c r="B791" s="1075"/>
      <c r="C791" s="1075"/>
      <c r="D791" s="1075"/>
      <c r="E791" s="1075"/>
      <c r="F791" s="1075"/>
      <c r="G791" s="1075"/>
      <c r="H791" s="1075"/>
      <c r="I791" s="1075"/>
      <c r="J791" s="1075"/>
      <c r="K791" s="1075"/>
      <c r="L791" s="1075"/>
      <c r="M791" s="1075"/>
      <c r="N791" s="1075"/>
      <c r="O791" s="1075"/>
      <c r="P791" s="1075"/>
      <c r="Q791" s="1075"/>
      <c r="R791" s="1075"/>
      <c r="S791" s="1075"/>
      <c r="T791" s="1075"/>
      <c r="U791" s="1075"/>
      <c r="V791" s="1075"/>
      <c r="W791" s="1075"/>
      <c r="X791" s="1075"/>
      <c r="Y791" s="1075"/>
      <c r="Z791" s="1075"/>
      <c r="AA791" s="1075"/>
      <c r="AB791" s="1075"/>
      <c r="AC791" s="1075"/>
      <c r="AD791" s="1075"/>
      <c r="AE791" s="1075"/>
      <c r="AF791" s="1075"/>
      <c r="AG791" s="1075"/>
      <c r="AH791" s="1075"/>
      <c r="AI791" s="1075"/>
      <c r="AJ791" s="1075"/>
      <c r="AK791" s="1075"/>
      <c r="AL791" s="1075"/>
      <c r="AM791" s="1075"/>
      <c r="AN791" s="1075"/>
      <c r="AO791" s="1075"/>
      <c r="AP791" s="1075"/>
      <c r="AQ791" s="1075"/>
      <c r="AR791" s="1075"/>
      <c r="AS791" s="1075"/>
      <c r="AT791" s="1075"/>
      <c r="AU791" s="1075"/>
      <c r="AV791" s="1075"/>
    </row>
    <row r="792" spans="1:48" ht="11.25" hidden="1" customHeight="1">
      <c r="A792" s="1075"/>
      <c r="B792" s="1075"/>
      <c r="C792" s="1075"/>
      <c r="D792" s="1075"/>
      <c r="E792" s="1075"/>
      <c r="F792" s="1075"/>
      <c r="G792" s="1075"/>
      <c r="H792" s="1075"/>
      <c r="I792" s="1075"/>
      <c r="J792" s="1075"/>
      <c r="K792" s="1075"/>
      <c r="L792" s="1075"/>
      <c r="M792" s="1075"/>
      <c r="N792" s="1075"/>
      <c r="O792" s="1075"/>
      <c r="P792" s="1075"/>
      <c r="Q792" s="1075"/>
      <c r="R792" s="1075"/>
      <c r="S792" s="1075"/>
      <c r="T792" s="1075"/>
      <c r="U792" s="1075"/>
      <c r="V792" s="1075"/>
      <c r="W792" s="1075"/>
      <c r="X792" s="1075"/>
      <c r="Y792" s="1075"/>
      <c r="Z792" s="1075"/>
      <c r="AA792" s="1075"/>
      <c r="AB792" s="1075"/>
      <c r="AC792" s="1075"/>
      <c r="AD792" s="1075"/>
      <c r="AE792" s="1075"/>
      <c r="AF792" s="1075"/>
      <c r="AG792" s="1075"/>
      <c r="AH792" s="1075"/>
      <c r="AI792" s="1075"/>
      <c r="AJ792" s="1075"/>
      <c r="AK792" s="1075"/>
      <c r="AL792" s="1075"/>
      <c r="AM792" s="1075"/>
      <c r="AN792" s="1075"/>
      <c r="AO792" s="1075"/>
      <c r="AP792" s="1075"/>
      <c r="AQ792" s="1075"/>
      <c r="AR792" s="1075"/>
      <c r="AS792" s="1075"/>
      <c r="AT792" s="1075"/>
      <c r="AU792" s="1075"/>
      <c r="AV792" s="1075"/>
    </row>
    <row r="793" spans="1:48" ht="11.25" hidden="1" customHeight="1">
      <c r="A793" s="1075"/>
      <c r="B793" s="1075"/>
      <c r="C793" s="1075"/>
      <c r="D793" s="1075"/>
      <c r="E793" s="1075"/>
      <c r="F793" s="1075"/>
      <c r="G793" s="1075"/>
      <c r="H793" s="1075"/>
      <c r="I793" s="1075"/>
      <c r="J793" s="1075"/>
      <c r="K793" s="1075"/>
      <c r="L793" s="1075"/>
      <c r="M793" s="1075"/>
      <c r="N793" s="1075"/>
      <c r="O793" s="1075"/>
      <c r="P793" s="1075"/>
      <c r="Q793" s="1075"/>
      <c r="R793" s="1075"/>
      <c r="S793" s="1075"/>
      <c r="T793" s="1075"/>
      <c r="U793" s="1075"/>
      <c r="V793" s="1075"/>
      <c r="W793" s="1075"/>
      <c r="X793" s="1075"/>
      <c r="Y793" s="1075"/>
      <c r="Z793" s="1075"/>
      <c r="AA793" s="1075"/>
      <c r="AB793" s="1075"/>
      <c r="AC793" s="1075"/>
      <c r="AD793" s="1075"/>
      <c r="AE793" s="1075"/>
      <c r="AF793" s="1075"/>
      <c r="AG793" s="1075"/>
      <c r="AH793" s="1075"/>
      <c r="AI793" s="1075"/>
      <c r="AJ793" s="1075"/>
      <c r="AK793" s="1075"/>
      <c r="AL793" s="1075"/>
      <c r="AM793" s="1075"/>
      <c r="AN793" s="1075"/>
      <c r="AO793" s="1075"/>
      <c r="AP793" s="1075"/>
      <c r="AQ793" s="1075"/>
      <c r="AR793" s="1075"/>
      <c r="AS793" s="1075"/>
      <c r="AT793" s="1075"/>
      <c r="AU793" s="1075"/>
      <c r="AV793" s="1075"/>
    </row>
    <row r="794" spans="1:48" ht="11.25" hidden="1" customHeight="1">
      <c r="A794" s="1075"/>
      <c r="B794" s="1075"/>
      <c r="C794" s="1075"/>
      <c r="D794" s="1075"/>
      <c r="E794" s="1075"/>
      <c r="F794" s="1075"/>
      <c r="G794" s="1075"/>
      <c r="H794" s="1075"/>
      <c r="I794" s="1075"/>
      <c r="J794" s="1075"/>
      <c r="K794" s="1075"/>
      <c r="L794" s="1075"/>
      <c r="M794" s="1075"/>
      <c r="N794" s="1075"/>
      <c r="O794" s="1075"/>
      <c r="P794" s="1075"/>
      <c r="Q794" s="1075"/>
      <c r="R794" s="1075"/>
      <c r="S794" s="1075"/>
      <c r="T794" s="1075"/>
      <c r="U794" s="1075"/>
      <c r="V794" s="1075"/>
      <c r="W794" s="1075"/>
      <c r="X794" s="1075"/>
      <c r="Y794" s="1075"/>
      <c r="Z794" s="1075"/>
      <c r="AA794" s="1075"/>
      <c r="AB794" s="1075"/>
      <c r="AC794" s="1075"/>
      <c r="AD794" s="1075"/>
      <c r="AE794" s="1075"/>
      <c r="AF794" s="1075"/>
      <c r="AG794" s="1075"/>
      <c r="AH794" s="1075"/>
      <c r="AI794" s="1075"/>
      <c r="AJ794" s="1075"/>
      <c r="AK794" s="1075"/>
      <c r="AL794" s="1075"/>
      <c r="AM794" s="1075"/>
      <c r="AN794" s="1075"/>
      <c r="AO794" s="1075"/>
      <c r="AP794" s="1075"/>
      <c r="AQ794" s="1075"/>
      <c r="AR794" s="1075"/>
      <c r="AS794" s="1075"/>
      <c r="AT794" s="1075"/>
      <c r="AU794" s="1075"/>
      <c r="AV794" s="1075"/>
    </row>
    <row r="795" spans="1:48" ht="11.25" hidden="1" customHeight="1">
      <c r="A795" s="1075"/>
      <c r="B795" s="1075"/>
      <c r="C795" s="1075"/>
      <c r="D795" s="1075"/>
      <c r="E795" s="1075"/>
      <c r="F795" s="1075"/>
      <c r="G795" s="1075"/>
      <c r="H795" s="1075"/>
      <c r="I795" s="1075"/>
      <c r="J795" s="1075"/>
      <c r="K795" s="1075"/>
      <c r="L795" s="1075"/>
      <c r="M795" s="1075"/>
      <c r="N795" s="1075"/>
      <c r="O795" s="1075"/>
      <c r="P795" s="1075"/>
      <c r="Q795" s="1075"/>
      <c r="R795" s="1075"/>
      <c r="S795" s="1075"/>
      <c r="T795" s="1075"/>
      <c r="U795" s="1075"/>
      <c r="V795" s="1075"/>
      <c r="W795" s="1075"/>
      <c r="X795" s="1075"/>
      <c r="Y795" s="1075"/>
      <c r="Z795" s="1075"/>
      <c r="AA795" s="1075"/>
      <c r="AB795" s="1075"/>
      <c r="AC795" s="1075"/>
      <c r="AD795" s="1075"/>
      <c r="AE795" s="1075"/>
      <c r="AF795" s="1075"/>
      <c r="AG795" s="1075"/>
      <c r="AH795" s="1075"/>
      <c r="AI795" s="1075"/>
      <c r="AJ795" s="1075"/>
      <c r="AK795" s="1075"/>
      <c r="AL795" s="1075"/>
      <c r="AM795" s="1075"/>
      <c r="AN795" s="1075"/>
      <c r="AO795" s="1075"/>
      <c r="AP795" s="1075"/>
      <c r="AQ795" s="1075"/>
      <c r="AR795" s="1075"/>
      <c r="AS795" s="1075"/>
      <c r="AT795" s="1075"/>
      <c r="AU795" s="1075"/>
      <c r="AV795" s="1075"/>
    </row>
    <row r="796" spans="1:48" ht="11.25" hidden="1" customHeight="1">
      <c r="A796" s="1075"/>
      <c r="B796" s="1075"/>
      <c r="C796" s="1075"/>
      <c r="D796" s="1075"/>
      <c r="E796" s="1075"/>
      <c r="F796" s="1075"/>
      <c r="G796" s="1075"/>
      <c r="H796" s="1075"/>
      <c r="I796" s="1075"/>
      <c r="J796" s="1075"/>
      <c r="K796" s="1075"/>
      <c r="L796" s="1075"/>
      <c r="M796" s="1075"/>
      <c r="N796" s="1075"/>
      <c r="O796" s="1075"/>
      <c r="P796" s="1075"/>
      <c r="Q796" s="1075"/>
      <c r="R796" s="1075"/>
      <c r="S796" s="1075"/>
      <c r="T796" s="1075"/>
      <c r="U796" s="1075"/>
      <c r="V796" s="1075"/>
      <c r="W796" s="1075"/>
      <c r="X796" s="1075"/>
      <c r="Y796" s="1075"/>
      <c r="Z796" s="1075"/>
      <c r="AA796" s="1075"/>
      <c r="AB796" s="1075"/>
      <c r="AC796" s="1075"/>
      <c r="AD796" s="1075"/>
      <c r="AE796" s="1075"/>
      <c r="AF796" s="1075"/>
      <c r="AG796" s="1075"/>
      <c r="AH796" s="1075"/>
      <c r="AI796" s="1075"/>
      <c r="AJ796" s="1075"/>
      <c r="AK796" s="1075"/>
      <c r="AL796" s="1075"/>
      <c r="AM796" s="1075"/>
      <c r="AN796" s="1075"/>
      <c r="AO796" s="1075"/>
      <c r="AP796" s="1075"/>
      <c r="AQ796" s="1075"/>
      <c r="AR796" s="1075"/>
      <c r="AS796" s="1075"/>
      <c r="AT796" s="1075"/>
      <c r="AU796" s="1075"/>
      <c r="AV796" s="1075"/>
    </row>
    <row r="797" spans="1:48" ht="11.25" hidden="1" customHeight="1">
      <c r="A797" s="1075"/>
      <c r="B797" s="1075"/>
      <c r="C797" s="1075"/>
      <c r="D797" s="1075"/>
      <c r="E797" s="1075"/>
      <c r="F797" s="1075"/>
      <c r="G797" s="1075"/>
      <c r="H797" s="1075"/>
      <c r="I797" s="1075"/>
      <c r="J797" s="1075"/>
      <c r="K797" s="1075"/>
      <c r="L797" s="1075"/>
      <c r="M797" s="1075"/>
      <c r="N797" s="1075"/>
      <c r="O797" s="1075"/>
      <c r="P797" s="1075"/>
      <c r="Q797" s="1075"/>
      <c r="R797" s="1075"/>
      <c r="S797" s="1075"/>
      <c r="T797" s="1075"/>
      <c r="U797" s="1075"/>
      <c r="V797" s="1075"/>
      <c r="W797" s="1075"/>
      <c r="X797" s="1075"/>
      <c r="Y797" s="1075"/>
      <c r="Z797" s="1075"/>
      <c r="AA797" s="1075"/>
      <c r="AB797" s="1075"/>
      <c r="AC797" s="1075"/>
      <c r="AD797" s="1075"/>
      <c r="AE797" s="1075"/>
      <c r="AF797" s="1075"/>
      <c r="AG797" s="1075"/>
      <c r="AH797" s="1075"/>
      <c r="AI797" s="1075"/>
      <c r="AJ797" s="1075"/>
      <c r="AK797" s="1075"/>
      <c r="AL797" s="1075"/>
      <c r="AM797" s="1075"/>
      <c r="AN797" s="1075"/>
      <c r="AO797" s="1075"/>
      <c r="AP797" s="1075"/>
      <c r="AQ797" s="1075"/>
      <c r="AR797" s="1075"/>
      <c r="AS797" s="1075"/>
      <c r="AT797" s="1075"/>
      <c r="AU797" s="1075"/>
      <c r="AV797" s="1075"/>
    </row>
    <row r="798" spans="1:48" ht="11.25" hidden="1" customHeight="1">
      <c r="A798" s="1075"/>
      <c r="B798" s="1075"/>
      <c r="C798" s="1075"/>
      <c r="D798" s="1075"/>
      <c r="E798" s="1075"/>
      <c r="F798" s="1075"/>
      <c r="G798" s="1075"/>
      <c r="H798" s="1075"/>
      <c r="I798" s="1075"/>
      <c r="J798" s="1075"/>
      <c r="K798" s="1075"/>
      <c r="L798" s="1075"/>
      <c r="M798" s="1075"/>
      <c r="N798" s="1075"/>
      <c r="O798" s="1075"/>
      <c r="P798" s="1075"/>
      <c r="Q798" s="1075"/>
      <c r="R798" s="1075"/>
      <c r="S798" s="1075"/>
      <c r="T798" s="1075"/>
      <c r="U798" s="1075"/>
      <c r="V798" s="1075"/>
      <c r="W798" s="1075"/>
      <c r="X798" s="1075"/>
      <c r="Y798" s="1075"/>
      <c r="Z798" s="1075"/>
      <c r="AA798" s="1075"/>
      <c r="AB798" s="1075"/>
      <c r="AC798" s="1075"/>
      <c r="AD798" s="1075"/>
      <c r="AE798" s="1075"/>
      <c r="AF798" s="1075"/>
      <c r="AG798" s="1075"/>
      <c r="AH798" s="1075"/>
      <c r="AI798" s="1075"/>
      <c r="AJ798" s="1075"/>
      <c r="AK798" s="1075"/>
      <c r="AL798" s="1075"/>
      <c r="AM798" s="1075"/>
      <c r="AN798" s="1075"/>
      <c r="AO798" s="1075"/>
      <c r="AP798" s="1075"/>
      <c r="AQ798" s="1075"/>
      <c r="AR798" s="1075"/>
      <c r="AS798" s="1075"/>
      <c r="AT798" s="1075"/>
      <c r="AU798" s="1075"/>
      <c r="AV798" s="1075"/>
    </row>
    <row r="799" spans="1:48" ht="11.25" hidden="1" customHeight="1">
      <c r="A799" s="1075"/>
      <c r="B799" s="1075"/>
      <c r="C799" s="1075"/>
      <c r="D799" s="1075"/>
      <c r="E799" s="1075"/>
      <c r="F799" s="1075"/>
      <c r="G799" s="1075"/>
      <c r="H799" s="1075"/>
      <c r="I799" s="1075"/>
      <c r="J799" s="1075"/>
      <c r="K799" s="1075"/>
      <c r="L799" s="1075"/>
      <c r="M799" s="1075"/>
      <c r="N799" s="1075"/>
      <c r="O799" s="1075"/>
      <c r="P799" s="1075"/>
      <c r="Q799" s="1075"/>
      <c r="R799" s="1075"/>
      <c r="S799" s="1075"/>
      <c r="T799" s="1075"/>
      <c r="U799" s="1075"/>
      <c r="V799" s="1075"/>
      <c r="W799" s="1075"/>
      <c r="X799" s="1075"/>
      <c r="Y799" s="1075"/>
      <c r="Z799" s="1075"/>
      <c r="AA799" s="1075"/>
      <c r="AB799" s="1075"/>
      <c r="AC799" s="1075"/>
      <c r="AD799" s="1075"/>
      <c r="AE799" s="1075"/>
      <c r="AF799" s="1075"/>
      <c r="AG799" s="1075"/>
      <c r="AH799" s="1075"/>
      <c r="AI799" s="1075"/>
      <c r="AJ799" s="1075"/>
      <c r="AK799" s="1075"/>
      <c r="AL799" s="1075"/>
      <c r="AM799" s="1075"/>
      <c r="AN799" s="1075"/>
      <c r="AO799" s="1075"/>
      <c r="AP799" s="1075"/>
      <c r="AQ799" s="1075"/>
      <c r="AR799" s="1075"/>
      <c r="AS799" s="1075"/>
      <c r="AT799" s="1075"/>
      <c r="AU799" s="1075"/>
      <c r="AV799" s="1075"/>
    </row>
    <row r="800" spans="1:48" ht="11.25" hidden="1" customHeight="1">
      <c r="A800" s="1075"/>
      <c r="B800" s="1075"/>
      <c r="C800" s="1075"/>
      <c r="D800" s="1075"/>
      <c r="E800" s="1075"/>
      <c r="F800" s="1075"/>
      <c r="G800" s="1075"/>
      <c r="H800" s="1075"/>
      <c r="I800" s="1075"/>
      <c r="J800" s="1075"/>
      <c r="K800" s="1075"/>
      <c r="L800" s="1075"/>
      <c r="M800" s="1075"/>
      <c r="N800" s="1075"/>
      <c r="O800" s="1075"/>
      <c r="P800" s="1075"/>
      <c r="Q800" s="1075"/>
      <c r="R800" s="1075"/>
      <c r="S800" s="1075"/>
      <c r="T800" s="1075"/>
      <c r="U800" s="1075"/>
      <c r="V800" s="1075"/>
      <c r="W800" s="1075"/>
      <c r="X800" s="1075"/>
      <c r="Y800" s="1075"/>
      <c r="Z800" s="1075"/>
      <c r="AA800" s="1075"/>
      <c r="AB800" s="1075"/>
      <c r="AC800" s="1075"/>
      <c r="AD800" s="1075"/>
      <c r="AE800" s="1075"/>
      <c r="AF800" s="1075"/>
      <c r="AG800" s="1075"/>
      <c r="AH800" s="1075"/>
      <c r="AI800" s="1075"/>
      <c r="AJ800" s="1075"/>
      <c r="AK800" s="1075"/>
      <c r="AL800" s="1075"/>
      <c r="AM800" s="1075"/>
      <c r="AN800" s="1075"/>
      <c r="AO800" s="1075"/>
      <c r="AP800" s="1075"/>
      <c r="AQ800" s="1075"/>
      <c r="AR800" s="1075"/>
      <c r="AS800" s="1075"/>
      <c r="AT800" s="1075"/>
      <c r="AU800" s="1075"/>
      <c r="AV800" s="1075"/>
    </row>
    <row r="801" spans="1:48" ht="11.25" hidden="1" customHeight="1">
      <c r="A801" s="1075"/>
      <c r="B801" s="1075"/>
      <c r="C801" s="1075"/>
      <c r="D801" s="1075"/>
      <c r="E801" s="1075"/>
      <c r="F801" s="1075"/>
      <c r="G801" s="1075"/>
      <c r="H801" s="1075"/>
      <c r="I801" s="1075"/>
      <c r="J801" s="1075"/>
      <c r="K801" s="1075"/>
      <c r="L801" s="1075"/>
      <c r="M801" s="1075"/>
      <c r="N801" s="1075"/>
      <c r="O801" s="1075"/>
      <c r="P801" s="1075"/>
      <c r="Q801" s="1075"/>
      <c r="R801" s="1075"/>
      <c r="S801" s="1075"/>
      <c r="T801" s="1075"/>
      <c r="U801" s="1075"/>
      <c r="V801" s="1075"/>
      <c r="W801" s="1075"/>
      <c r="X801" s="1075"/>
      <c r="Y801" s="1075"/>
      <c r="Z801" s="1075"/>
      <c r="AA801" s="1075"/>
      <c r="AB801" s="1075"/>
      <c r="AC801" s="1075"/>
      <c r="AD801" s="1075"/>
      <c r="AE801" s="1075"/>
      <c r="AF801" s="1075"/>
      <c r="AG801" s="1075"/>
      <c r="AH801" s="1075"/>
      <c r="AI801" s="1075"/>
      <c r="AJ801" s="1075"/>
      <c r="AK801" s="1075"/>
      <c r="AL801" s="1075"/>
      <c r="AM801" s="1075"/>
      <c r="AN801" s="1075"/>
      <c r="AO801" s="1075"/>
      <c r="AP801" s="1075"/>
      <c r="AQ801" s="1075"/>
      <c r="AR801" s="1075"/>
      <c r="AS801" s="1075"/>
      <c r="AT801" s="1075"/>
      <c r="AU801" s="1075"/>
      <c r="AV801" s="1075"/>
    </row>
    <row r="802" spans="1:48" ht="11.25" hidden="1" customHeight="1">
      <c r="A802" s="1075"/>
      <c r="B802" s="1075"/>
      <c r="C802" s="1075"/>
      <c r="D802" s="1075"/>
      <c r="E802" s="1075"/>
      <c r="F802" s="1075"/>
      <c r="G802" s="1075"/>
      <c r="H802" s="1075"/>
      <c r="I802" s="1075"/>
      <c r="J802" s="1075"/>
      <c r="K802" s="1075"/>
      <c r="L802" s="1075"/>
      <c r="M802" s="1075"/>
      <c r="N802" s="1075"/>
      <c r="O802" s="1075"/>
      <c r="P802" s="1075"/>
      <c r="Q802" s="1075"/>
      <c r="R802" s="1075"/>
      <c r="S802" s="1075"/>
      <c r="T802" s="1075"/>
      <c r="U802" s="1075"/>
      <c r="V802" s="1075"/>
      <c r="W802" s="1075"/>
      <c r="X802" s="1075"/>
      <c r="Y802" s="1075"/>
      <c r="Z802" s="1075"/>
      <c r="AA802" s="1075"/>
      <c r="AB802" s="1075"/>
      <c r="AC802" s="1075"/>
      <c r="AD802" s="1075"/>
      <c r="AE802" s="1075"/>
      <c r="AF802" s="1075"/>
      <c r="AG802" s="1075"/>
      <c r="AH802" s="1075"/>
      <c r="AI802" s="1075"/>
      <c r="AJ802" s="1075"/>
      <c r="AK802" s="1075"/>
      <c r="AL802" s="1075"/>
      <c r="AM802" s="1075"/>
      <c r="AN802" s="1075"/>
      <c r="AO802" s="1075"/>
      <c r="AP802" s="1075"/>
      <c r="AQ802" s="1075"/>
      <c r="AR802" s="1075"/>
      <c r="AS802" s="1075"/>
      <c r="AT802" s="1075"/>
      <c r="AU802" s="1075"/>
      <c r="AV802" s="1075"/>
    </row>
    <row r="803" spans="1:48" ht="11.25" hidden="1" customHeight="1">
      <c r="A803" s="1075"/>
      <c r="B803" s="1075"/>
      <c r="C803" s="1075"/>
      <c r="D803" s="1075"/>
      <c r="E803" s="1075"/>
      <c r="F803" s="1075"/>
      <c r="G803" s="1075"/>
      <c r="H803" s="1075"/>
      <c r="I803" s="1075"/>
      <c r="J803" s="1075"/>
      <c r="K803" s="1075"/>
      <c r="L803" s="1075"/>
      <c r="M803" s="1075"/>
      <c r="N803" s="1075"/>
      <c r="O803" s="1075"/>
      <c r="P803" s="1075"/>
      <c r="Q803" s="1075"/>
      <c r="R803" s="1075"/>
      <c r="S803" s="1075"/>
      <c r="T803" s="1075"/>
      <c r="U803" s="1075"/>
      <c r="V803" s="1075"/>
      <c r="W803" s="1075"/>
      <c r="X803" s="1075"/>
      <c r="Y803" s="1075"/>
      <c r="Z803" s="1075"/>
      <c r="AA803" s="1075"/>
      <c r="AB803" s="1075"/>
      <c r="AC803" s="1075"/>
      <c r="AD803" s="1075"/>
      <c r="AE803" s="1075"/>
      <c r="AF803" s="1075"/>
      <c r="AG803" s="1075"/>
      <c r="AH803" s="1075"/>
      <c r="AI803" s="1075"/>
      <c r="AJ803" s="1075"/>
      <c r="AK803" s="1075"/>
      <c r="AL803" s="1075"/>
      <c r="AM803" s="1075"/>
      <c r="AN803" s="1075"/>
      <c r="AO803" s="1075"/>
      <c r="AP803" s="1075"/>
      <c r="AQ803" s="1075"/>
      <c r="AR803" s="1075"/>
      <c r="AS803" s="1075"/>
      <c r="AT803" s="1075"/>
      <c r="AU803" s="1075"/>
      <c r="AV803" s="1075"/>
    </row>
    <row r="804" spans="1:48" ht="11.25" hidden="1" customHeight="1">
      <c r="A804" s="1075"/>
      <c r="B804" s="1075"/>
      <c r="C804" s="1075"/>
      <c r="D804" s="1075"/>
      <c r="E804" s="1075"/>
      <c r="F804" s="1075"/>
      <c r="G804" s="1075"/>
      <c r="H804" s="1075"/>
      <c r="I804" s="1075"/>
      <c r="J804" s="1075"/>
      <c r="K804" s="1075"/>
      <c r="L804" s="1075"/>
      <c r="M804" s="1075"/>
      <c r="N804" s="1075"/>
      <c r="O804" s="1075"/>
      <c r="P804" s="1075"/>
      <c r="Q804" s="1075"/>
      <c r="R804" s="1075"/>
      <c r="S804" s="1075"/>
      <c r="T804" s="1075"/>
      <c r="U804" s="1075"/>
      <c r="V804" s="1075"/>
      <c r="W804" s="1075"/>
      <c r="X804" s="1075"/>
      <c r="Y804" s="1075"/>
      <c r="Z804" s="1075"/>
      <c r="AA804" s="1075"/>
      <c r="AB804" s="1075"/>
      <c r="AC804" s="1075"/>
      <c r="AD804" s="1075"/>
      <c r="AE804" s="1075"/>
      <c r="AF804" s="1075"/>
      <c r="AG804" s="1075"/>
      <c r="AH804" s="1075"/>
      <c r="AI804" s="1075"/>
      <c r="AJ804" s="1075"/>
      <c r="AK804" s="1075"/>
      <c r="AL804" s="1075"/>
      <c r="AM804" s="1075"/>
      <c r="AN804" s="1075"/>
      <c r="AO804" s="1075"/>
      <c r="AP804" s="1075"/>
      <c r="AQ804" s="1075"/>
      <c r="AR804" s="1075"/>
      <c r="AS804" s="1075"/>
      <c r="AT804" s="1075"/>
      <c r="AU804" s="1075"/>
      <c r="AV804" s="1075"/>
    </row>
    <row r="805" spans="1:48" ht="11.25" hidden="1" customHeight="1">
      <c r="A805" s="1075"/>
      <c r="B805" s="1075"/>
      <c r="C805" s="1075"/>
      <c r="D805" s="1075"/>
      <c r="E805" s="1075"/>
      <c r="F805" s="1075"/>
      <c r="G805" s="1075"/>
      <c r="H805" s="1075"/>
      <c r="I805" s="1075"/>
      <c r="J805" s="1075"/>
      <c r="K805" s="1075"/>
      <c r="L805" s="1075"/>
      <c r="M805" s="1075"/>
      <c r="N805" s="1075"/>
      <c r="O805" s="1075"/>
      <c r="P805" s="1075"/>
      <c r="Q805" s="1075"/>
      <c r="R805" s="1075"/>
      <c r="S805" s="1075"/>
      <c r="T805" s="1075"/>
      <c r="U805" s="1075"/>
      <c r="V805" s="1075"/>
      <c r="W805" s="1075"/>
      <c r="X805" s="1075"/>
      <c r="Y805" s="1075"/>
      <c r="Z805" s="1075"/>
      <c r="AA805" s="1075"/>
      <c r="AB805" s="1075"/>
      <c r="AC805" s="1075"/>
      <c r="AD805" s="1075"/>
      <c r="AE805" s="1075"/>
      <c r="AF805" s="1075"/>
      <c r="AG805" s="1075"/>
      <c r="AH805" s="1075"/>
      <c r="AI805" s="1075"/>
      <c r="AJ805" s="1075"/>
      <c r="AK805" s="1075"/>
      <c r="AL805" s="1075"/>
      <c r="AM805" s="1075"/>
      <c r="AN805" s="1075"/>
      <c r="AO805" s="1075"/>
      <c r="AP805" s="1075"/>
      <c r="AQ805" s="1075"/>
      <c r="AR805" s="1075"/>
      <c r="AS805" s="1075"/>
      <c r="AT805" s="1075"/>
      <c r="AU805" s="1075"/>
      <c r="AV805" s="1075"/>
    </row>
    <row r="806" spans="1:48" ht="11.25" hidden="1" customHeight="1">
      <c r="A806" s="1075"/>
      <c r="B806" s="1075"/>
      <c r="C806" s="1075"/>
      <c r="D806" s="1075"/>
      <c r="E806" s="1075"/>
      <c r="F806" s="1075"/>
      <c r="G806" s="1075"/>
      <c r="H806" s="1075"/>
      <c r="I806" s="1075"/>
      <c r="J806" s="1075"/>
      <c r="K806" s="1075"/>
      <c r="L806" s="1075"/>
      <c r="M806" s="1075"/>
      <c r="N806" s="1075"/>
      <c r="O806" s="1075"/>
      <c r="P806" s="1075"/>
      <c r="Q806" s="1075"/>
      <c r="R806" s="1075"/>
      <c r="S806" s="1075"/>
      <c r="T806" s="1075"/>
      <c r="U806" s="1075"/>
      <c r="V806" s="1075"/>
      <c r="W806" s="1075"/>
      <c r="X806" s="1075"/>
      <c r="Y806" s="1075"/>
      <c r="Z806" s="1075"/>
      <c r="AA806" s="1075"/>
      <c r="AB806" s="1075"/>
      <c r="AC806" s="1075"/>
      <c r="AD806" s="1075"/>
      <c r="AE806" s="1075"/>
      <c r="AF806" s="1075"/>
      <c r="AG806" s="1075"/>
      <c r="AH806" s="1075"/>
      <c r="AI806" s="1075"/>
      <c r="AJ806" s="1075"/>
      <c r="AK806" s="1075"/>
      <c r="AL806" s="1075"/>
      <c r="AM806" s="1075"/>
      <c r="AN806" s="1075"/>
      <c r="AO806" s="1075"/>
      <c r="AP806" s="1075"/>
      <c r="AQ806" s="1075"/>
      <c r="AR806" s="1075"/>
      <c r="AS806" s="1075"/>
      <c r="AT806" s="1075"/>
      <c r="AU806" s="1075"/>
      <c r="AV806" s="1075"/>
    </row>
    <row r="807" spans="1:48" ht="11.25" hidden="1" customHeight="1">
      <c r="A807" s="1075"/>
      <c r="B807" s="1075"/>
      <c r="C807" s="1075"/>
      <c r="D807" s="1075"/>
      <c r="E807" s="1075"/>
      <c r="F807" s="1075"/>
      <c r="G807" s="1075"/>
      <c r="H807" s="1075"/>
      <c r="I807" s="1075"/>
      <c r="J807" s="1075"/>
      <c r="K807" s="1075"/>
      <c r="L807" s="1075"/>
      <c r="M807" s="1075"/>
      <c r="N807" s="1075"/>
      <c r="O807" s="1075"/>
      <c r="P807" s="1075"/>
      <c r="Q807" s="1075"/>
      <c r="R807" s="1075"/>
      <c r="S807" s="1075"/>
      <c r="T807" s="1075"/>
      <c r="U807" s="1075"/>
      <c r="V807" s="1075"/>
      <c r="W807" s="1075"/>
      <c r="X807" s="1075"/>
      <c r="Y807" s="1075"/>
      <c r="Z807" s="1075"/>
      <c r="AA807" s="1075"/>
      <c r="AB807" s="1075"/>
      <c r="AC807" s="1075"/>
      <c r="AD807" s="1075"/>
      <c r="AE807" s="1075"/>
      <c r="AF807" s="1075"/>
      <c r="AG807" s="1075"/>
      <c r="AH807" s="1075"/>
      <c r="AI807" s="1075"/>
      <c r="AJ807" s="1075"/>
      <c r="AK807" s="1075"/>
      <c r="AL807" s="1075"/>
      <c r="AM807" s="1075"/>
      <c r="AN807" s="1075"/>
      <c r="AO807" s="1075"/>
      <c r="AP807" s="1075"/>
      <c r="AQ807" s="1075"/>
      <c r="AR807" s="1075"/>
      <c r="AS807" s="1075"/>
      <c r="AT807" s="1075"/>
      <c r="AU807" s="1075"/>
      <c r="AV807" s="1075"/>
    </row>
    <row r="808" spans="1:48" ht="11.25" hidden="1" customHeight="1">
      <c r="A808" s="1075"/>
      <c r="B808" s="1075"/>
      <c r="C808" s="1075"/>
      <c r="D808" s="1075"/>
      <c r="E808" s="1075"/>
      <c r="F808" s="1075"/>
      <c r="G808" s="1075"/>
      <c r="H808" s="1075"/>
      <c r="I808" s="1075"/>
      <c r="J808" s="1075"/>
      <c r="K808" s="1075"/>
      <c r="L808" s="1075"/>
      <c r="M808" s="1075"/>
      <c r="N808" s="1075"/>
      <c r="O808" s="1075"/>
      <c r="P808" s="1075"/>
      <c r="Q808" s="1075"/>
      <c r="R808" s="1075"/>
      <c r="S808" s="1075"/>
      <c r="T808" s="1075"/>
      <c r="U808" s="1075"/>
      <c r="V808" s="1075"/>
      <c r="W808" s="1075"/>
      <c r="X808" s="1075"/>
      <c r="Y808" s="1075"/>
      <c r="Z808" s="1075"/>
      <c r="AA808" s="1075"/>
      <c r="AB808" s="1075"/>
      <c r="AC808" s="1075"/>
      <c r="AD808" s="1075"/>
      <c r="AE808" s="1075"/>
      <c r="AF808" s="1075"/>
      <c r="AG808" s="1075"/>
      <c r="AH808" s="1075"/>
      <c r="AI808" s="1075"/>
      <c r="AJ808" s="1075"/>
      <c r="AK808" s="1075"/>
      <c r="AL808" s="1075"/>
      <c r="AM808" s="1075"/>
      <c r="AN808" s="1075"/>
      <c r="AO808" s="1075"/>
      <c r="AP808" s="1075"/>
      <c r="AQ808" s="1075"/>
      <c r="AR808" s="1075"/>
      <c r="AS808" s="1075"/>
      <c r="AT808" s="1075"/>
      <c r="AU808" s="1075"/>
      <c r="AV808" s="1075"/>
    </row>
    <row r="809" spans="1:48" ht="11.25" hidden="1" customHeight="1">
      <c r="A809" s="1075"/>
      <c r="B809" s="1075"/>
      <c r="C809" s="1075"/>
      <c r="D809" s="1075"/>
      <c r="E809" s="1075"/>
      <c r="F809" s="1075"/>
      <c r="G809" s="1075"/>
      <c r="H809" s="1075"/>
      <c r="I809" s="1075"/>
      <c r="J809" s="1075"/>
      <c r="K809" s="1075"/>
      <c r="L809" s="1075"/>
      <c r="M809" s="1075"/>
      <c r="N809" s="1075"/>
      <c r="O809" s="1075"/>
      <c r="P809" s="1075"/>
      <c r="Q809" s="1075"/>
      <c r="R809" s="1075"/>
      <c r="S809" s="1075"/>
      <c r="T809" s="1075"/>
      <c r="U809" s="1075"/>
      <c r="V809" s="1075"/>
      <c r="W809" s="1075"/>
      <c r="X809" s="1075"/>
      <c r="Y809" s="1075"/>
      <c r="Z809" s="1075"/>
      <c r="AA809" s="1075"/>
      <c r="AB809" s="1075"/>
      <c r="AC809" s="1075"/>
      <c r="AD809" s="1075"/>
      <c r="AE809" s="1075"/>
      <c r="AF809" s="1075"/>
      <c r="AG809" s="1075"/>
      <c r="AH809" s="1075"/>
      <c r="AI809" s="1075"/>
      <c r="AJ809" s="1075"/>
      <c r="AK809" s="1075"/>
      <c r="AL809" s="1075"/>
      <c r="AM809" s="1075"/>
      <c r="AN809" s="1075"/>
      <c r="AO809" s="1075"/>
      <c r="AP809" s="1075"/>
      <c r="AQ809" s="1075"/>
      <c r="AR809" s="1075"/>
      <c r="AS809" s="1075"/>
      <c r="AT809" s="1075"/>
      <c r="AU809" s="1075"/>
      <c r="AV809" s="1075"/>
    </row>
    <row r="810" spans="1:48" ht="11.25" hidden="1" customHeight="1">
      <c r="A810" s="1075"/>
      <c r="B810" s="1075"/>
      <c r="C810" s="1075"/>
      <c r="D810" s="1075"/>
      <c r="E810" s="1075"/>
      <c r="F810" s="1075"/>
      <c r="G810" s="1075"/>
      <c r="H810" s="1075"/>
      <c r="I810" s="1075"/>
      <c r="J810" s="1075"/>
      <c r="K810" s="1075"/>
      <c r="L810" s="1075"/>
      <c r="M810" s="1075"/>
      <c r="N810" s="1075"/>
      <c r="O810" s="1075"/>
      <c r="P810" s="1075"/>
      <c r="Q810" s="1075"/>
      <c r="R810" s="1075"/>
      <c r="S810" s="1075"/>
      <c r="T810" s="1075"/>
      <c r="U810" s="1075"/>
      <c r="V810" s="1075"/>
      <c r="W810" s="1075"/>
      <c r="X810" s="1075"/>
      <c r="Y810" s="1075"/>
      <c r="Z810" s="1075"/>
      <c r="AA810" s="1075"/>
      <c r="AB810" s="1075"/>
      <c r="AC810" s="1075"/>
      <c r="AD810" s="1075"/>
      <c r="AE810" s="1075"/>
      <c r="AF810" s="1075"/>
      <c r="AG810" s="1075"/>
      <c r="AH810" s="1075"/>
      <c r="AI810" s="1075"/>
      <c r="AJ810" s="1075"/>
      <c r="AK810" s="1075"/>
      <c r="AL810" s="1075"/>
      <c r="AM810" s="1075"/>
      <c r="AN810" s="1075"/>
      <c r="AO810" s="1075"/>
      <c r="AP810" s="1075"/>
      <c r="AQ810" s="1075"/>
      <c r="AR810" s="1075"/>
      <c r="AS810" s="1075"/>
      <c r="AT810" s="1075"/>
      <c r="AU810" s="1075"/>
      <c r="AV810" s="1075"/>
    </row>
    <row r="811" spans="1:48" ht="11.25" hidden="1" customHeight="1">
      <c r="A811" s="1075"/>
      <c r="B811" s="1075"/>
      <c r="C811" s="1075"/>
      <c r="D811" s="1075"/>
      <c r="E811" s="1075"/>
      <c r="F811" s="1075"/>
      <c r="G811" s="1075"/>
      <c r="H811" s="1075"/>
      <c r="I811" s="1075"/>
      <c r="J811" s="1075"/>
      <c r="K811" s="1075"/>
      <c r="L811" s="1075"/>
      <c r="M811" s="1075"/>
      <c r="N811" s="1075"/>
      <c r="O811" s="1075"/>
      <c r="P811" s="1075"/>
      <c r="Q811" s="1075"/>
      <c r="R811" s="1075"/>
      <c r="S811" s="1075"/>
      <c r="T811" s="1075"/>
      <c r="U811" s="1075"/>
      <c r="V811" s="1075"/>
      <c r="W811" s="1075"/>
      <c r="X811" s="1075"/>
      <c r="Y811" s="1075"/>
      <c r="Z811" s="1075"/>
      <c r="AA811" s="1075"/>
      <c r="AB811" s="1075"/>
      <c r="AC811" s="1075"/>
      <c r="AD811" s="1075"/>
      <c r="AE811" s="1075"/>
      <c r="AF811" s="1075"/>
      <c r="AG811" s="1075"/>
      <c r="AH811" s="1075"/>
      <c r="AI811" s="1075"/>
      <c r="AJ811" s="1075"/>
      <c r="AK811" s="1075"/>
      <c r="AL811" s="1075"/>
      <c r="AM811" s="1075"/>
      <c r="AN811" s="1075"/>
      <c r="AO811" s="1075"/>
      <c r="AP811" s="1075"/>
      <c r="AQ811" s="1075"/>
      <c r="AR811" s="1075"/>
      <c r="AS811" s="1075"/>
      <c r="AT811" s="1075"/>
      <c r="AU811" s="1075"/>
      <c r="AV811" s="1075"/>
    </row>
    <row r="812" spans="1:48" ht="11.25" hidden="1" customHeight="1">
      <c r="A812" s="1075"/>
      <c r="B812" s="1075"/>
      <c r="C812" s="1075"/>
      <c r="D812" s="1075"/>
      <c r="E812" s="1075"/>
      <c r="F812" s="1075"/>
      <c r="G812" s="1075"/>
      <c r="H812" s="1075"/>
      <c r="I812" s="1075"/>
      <c r="J812" s="1075"/>
      <c r="K812" s="1075"/>
      <c r="L812" s="1075"/>
      <c r="M812" s="1075"/>
      <c r="N812" s="1075"/>
      <c r="O812" s="1075"/>
      <c r="P812" s="1075"/>
      <c r="Q812" s="1075"/>
      <c r="R812" s="1075"/>
      <c r="S812" s="1075"/>
      <c r="T812" s="1075"/>
      <c r="U812" s="1075"/>
      <c r="V812" s="1075"/>
      <c r="W812" s="1075"/>
      <c r="X812" s="1075"/>
      <c r="Y812" s="1075"/>
      <c r="Z812" s="1075"/>
      <c r="AA812" s="1075"/>
      <c r="AB812" s="1075"/>
      <c r="AC812" s="1075"/>
      <c r="AD812" s="1075"/>
      <c r="AE812" s="1075"/>
      <c r="AF812" s="1075"/>
      <c r="AG812" s="1075"/>
      <c r="AH812" s="1075"/>
      <c r="AI812" s="1075"/>
      <c r="AJ812" s="1075"/>
      <c r="AK812" s="1075"/>
      <c r="AL812" s="1075"/>
      <c r="AM812" s="1075"/>
      <c r="AN812" s="1075"/>
      <c r="AO812" s="1075"/>
      <c r="AP812" s="1075"/>
      <c r="AQ812" s="1075"/>
      <c r="AR812" s="1075"/>
      <c r="AS812" s="1075"/>
      <c r="AT812" s="1075"/>
      <c r="AU812" s="1075"/>
      <c r="AV812" s="1075"/>
    </row>
    <row r="813" spans="1:48" ht="11.25" hidden="1" customHeight="1">
      <c r="A813" s="1075"/>
      <c r="B813" s="1075"/>
      <c r="C813" s="1075"/>
      <c r="D813" s="1075"/>
      <c r="E813" s="1075"/>
      <c r="F813" s="1075"/>
      <c r="G813" s="1075"/>
      <c r="H813" s="1075"/>
      <c r="I813" s="1075"/>
      <c r="J813" s="1075"/>
      <c r="K813" s="1075"/>
      <c r="L813" s="1075"/>
      <c r="M813" s="1075"/>
      <c r="N813" s="1075"/>
      <c r="O813" s="1075"/>
      <c r="P813" s="1075"/>
      <c r="Q813" s="1075"/>
      <c r="R813" s="1075"/>
      <c r="S813" s="1075"/>
      <c r="T813" s="1075"/>
      <c r="U813" s="1075"/>
      <c r="V813" s="1075"/>
      <c r="W813" s="1075"/>
      <c r="X813" s="1075"/>
      <c r="Y813" s="1075"/>
      <c r="Z813" s="1075"/>
      <c r="AA813" s="1075"/>
      <c r="AB813" s="1075"/>
      <c r="AC813" s="1075"/>
      <c r="AD813" s="1075"/>
      <c r="AE813" s="1075"/>
      <c r="AF813" s="1075"/>
      <c r="AG813" s="1075"/>
      <c r="AH813" s="1075"/>
      <c r="AI813" s="1075"/>
      <c r="AJ813" s="1075"/>
      <c r="AK813" s="1075"/>
      <c r="AL813" s="1075"/>
      <c r="AM813" s="1075"/>
      <c r="AN813" s="1075"/>
      <c r="AO813" s="1075"/>
      <c r="AP813" s="1075"/>
      <c r="AQ813" s="1075"/>
      <c r="AR813" s="1075"/>
      <c r="AS813" s="1075"/>
      <c r="AT813" s="1075"/>
      <c r="AU813" s="1075"/>
      <c r="AV813" s="1075"/>
    </row>
    <row r="814" spans="1:48" ht="11.25" hidden="1" customHeight="1">
      <c r="A814" s="1075"/>
      <c r="B814" s="1075"/>
      <c r="C814" s="1075"/>
      <c r="D814" s="1075"/>
      <c r="E814" s="1075"/>
      <c r="F814" s="1075"/>
      <c r="G814" s="1075"/>
      <c r="H814" s="1075"/>
      <c r="I814" s="1075"/>
      <c r="J814" s="1075"/>
      <c r="K814" s="1075"/>
      <c r="L814" s="1075"/>
      <c r="M814" s="1075"/>
      <c r="N814" s="1075"/>
      <c r="O814" s="1075"/>
      <c r="P814" s="1075"/>
      <c r="Q814" s="1075"/>
      <c r="R814" s="1075"/>
      <c r="S814" s="1075"/>
      <c r="T814" s="1075"/>
      <c r="U814" s="1075"/>
      <c r="V814" s="1075"/>
      <c r="W814" s="1075"/>
      <c r="X814" s="1075"/>
      <c r="Y814" s="1075"/>
      <c r="Z814" s="1075"/>
      <c r="AA814" s="1075"/>
      <c r="AB814" s="1075"/>
      <c r="AC814" s="1075"/>
      <c r="AD814" s="1075"/>
      <c r="AE814" s="1075"/>
      <c r="AF814" s="1075"/>
      <c r="AG814" s="1075"/>
      <c r="AH814" s="1075"/>
      <c r="AI814" s="1075"/>
      <c r="AJ814" s="1075"/>
      <c r="AK814" s="1075"/>
      <c r="AL814" s="1075"/>
      <c r="AM814" s="1075"/>
      <c r="AN814" s="1075"/>
      <c r="AO814" s="1075"/>
      <c r="AP814" s="1075"/>
      <c r="AQ814" s="1075"/>
      <c r="AR814" s="1075"/>
      <c r="AS814" s="1075"/>
      <c r="AT814" s="1075"/>
      <c r="AU814" s="1075"/>
      <c r="AV814" s="1075"/>
    </row>
    <row r="815" spans="1:48" ht="11.25" hidden="1" customHeight="1">
      <c r="A815" s="1075"/>
      <c r="B815" s="1075"/>
      <c r="C815" s="1075"/>
      <c r="D815" s="1075"/>
      <c r="E815" s="1075"/>
      <c r="F815" s="1075"/>
      <c r="G815" s="1075"/>
      <c r="H815" s="1075"/>
      <c r="I815" s="1075"/>
      <c r="J815" s="1075"/>
      <c r="K815" s="1075"/>
      <c r="L815" s="1075"/>
      <c r="M815" s="1075"/>
      <c r="N815" s="1075"/>
      <c r="O815" s="1075"/>
      <c r="P815" s="1075"/>
      <c r="Q815" s="1075"/>
      <c r="R815" s="1075"/>
      <c r="S815" s="1075"/>
      <c r="T815" s="1075"/>
      <c r="U815" s="1075"/>
      <c r="V815" s="1075"/>
      <c r="W815" s="1075"/>
      <c r="X815" s="1075"/>
      <c r="Y815" s="1075"/>
      <c r="Z815" s="1075"/>
      <c r="AA815" s="1075"/>
      <c r="AB815" s="1075"/>
      <c r="AC815" s="1075"/>
      <c r="AD815" s="1075"/>
      <c r="AE815" s="1075"/>
      <c r="AF815" s="1075"/>
      <c r="AG815" s="1075"/>
      <c r="AH815" s="1075"/>
      <c r="AI815" s="1075"/>
      <c r="AJ815" s="1075"/>
      <c r="AK815" s="1075"/>
      <c r="AL815" s="1075"/>
      <c r="AM815" s="1075"/>
      <c r="AN815" s="1075"/>
      <c r="AO815" s="1075"/>
      <c r="AP815" s="1075"/>
      <c r="AQ815" s="1075"/>
      <c r="AR815" s="1075"/>
      <c r="AS815" s="1075"/>
      <c r="AT815" s="1075"/>
      <c r="AU815" s="1075"/>
      <c r="AV815" s="1075"/>
    </row>
    <row r="816" spans="1:48" ht="11.25" hidden="1" customHeight="1">
      <c r="A816" s="1075"/>
      <c r="B816" s="1075"/>
      <c r="C816" s="1075"/>
      <c r="D816" s="1075"/>
      <c r="E816" s="1075"/>
      <c r="F816" s="1075"/>
      <c r="G816" s="1075"/>
      <c r="H816" s="1075"/>
      <c r="I816" s="1075"/>
      <c r="J816" s="1075"/>
      <c r="K816" s="1075"/>
      <c r="L816" s="1075"/>
      <c r="M816" s="1075"/>
      <c r="N816" s="1075"/>
      <c r="O816" s="1075"/>
      <c r="P816" s="1075"/>
      <c r="Q816" s="1075"/>
      <c r="R816" s="1075"/>
      <c r="S816" s="1075"/>
      <c r="T816" s="1075"/>
      <c r="U816" s="1075"/>
      <c r="V816" s="1075"/>
      <c r="W816" s="1075"/>
      <c r="X816" s="1075"/>
      <c r="Y816" s="1075"/>
      <c r="Z816" s="1075"/>
      <c r="AA816" s="1075"/>
      <c r="AB816" s="1075"/>
      <c r="AC816" s="1075"/>
      <c r="AD816" s="1075"/>
      <c r="AE816" s="1075"/>
      <c r="AF816" s="1075"/>
      <c r="AG816" s="1075"/>
      <c r="AH816" s="1075"/>
      <c r="AI816" s="1075"/>
      <c r="AJ816" s="1075"/>
      <c r="AK816" s="1075"/>
      <c r="AL816" s="1075"/>
      <c r="AM816" s="1075"/>
      <c r="AN816" s="1075"/>
      <c r="AO816" s="1075"/>
      <c r="AP816" s="1075"/>
      <c r="AQ816" s="1075"/>
      <c r="AR816" s="1075"/>
      <c r="AS816" s="1075"/>
      <c r="AT816" s="1075"/>
      <c r="AU816" s="1075"/>
      <c r="AV816" s="1075"/>
    </row>
    <row r="817" spans="1:48" ht="11.25" hidden="1" customHeight="1">
      <c r="A817" s="1075"/>
      <c r="B817" s="1075"/>
      <c r="C817" s="1075"/>
      <c r="D817" s="1075"/>
      <c r="E817" s="1075"/>
      <c r="F817" s="1075"/>
      <c r="G817" s="1075"/>
      <c r="H817" s="1075"/>
      <c r="I817" s="1075"/>
      <c r="J817" s="1075"/>
      <c r="K817" s="1075"/>
      <c r="L817" s="1075"/>
      <c r="M817" s="1075"/>
      <c r="N817" s="1075"/>
      <c r="O817" s="1075"/>
      <c r="P817" s="1075"/>
      <c r="Q817" s="1075"/>
      <c r="R817" s="1075"/>
      <c r="S817" s="1075"/>
      <c r="T817" s="1075"/>
      <c r="U817" s="1075"/>
      <c r="V817" s="1075"/>
      <c r="W817" s="1075"/>
      <c r="X817" s="1075"/>
      <c r="Y817" s="1075"/>
      <c r="Z817" s="1075"/>
      <c r="AA817" s="1075"/>
      <c r="AB817" s="1075"/>
      <c r="AC817" s="1075"/>
      <c r="AD817" s="1075"/>
      <c r="AE817" s="1075"/>
      <c r="AF817" s="1075"/>
      <c r="AG817" s="1075"/>
      <c r="AH817" s="1075"/>
      <c r="AI817" s="1075"/>
      <c r="AJ817" s="1075"/>
      <c r="AK817" s="1075"/>
      <c r="AL817" s="1075"/>
      <c r="AM817" s="1075"/>
      <c r="AN817" s="1075"/>
      <c r="AO817" s="1075"/>
      <c r="AP817" s="1075"/>
      <c r="AQ817" s="1075"/>
      <c r="AR817" s="1075"/>
      <c r="AS817" s="1075"/>
      <c r="AT817" s="1075"/>
      <c r="AU817" s="1075"/>
      <c r="AV817" s="1075"/>
    </row>
    <row r="818" spans="1:48" ht="11.25" hidden="1" customHeight="1">
      <c r="A818" s="1075"/>
      <c r="B818" s="1075"/>
      <c r="C818" s="1075"/>
      <c r="D818" s="1075"/>
      <c r="E818" s="1075"/>
      <c r="F818" s="1075"/>
      <c r="G818" s="1075"/>
      <c r="H818" s="1075"/>
      <c r="I818" s="1075"/>
      <c r="J818" s="1075"/>
      <c r="K818" s="1075"/>
      <c r="L818" s="1075"/>
      <c r="M818" s="1075"/>
      <c r="N818" s="1075"/>
      <c r="O818" s="1075"/>
      <c r="P818" s="1075"/>
      <c r="Q818" s="1075"/>
      <c r="R818" s="1075"/>
      <c r="S818" s="1075"/>
      <c r="T818" s="1075"/>
      <c r="U818" s="1075"/>
      <c r="V818" s="1075"/>
      <c r="W818" s="1075"/>
      <c r="X818" s="1075"/>
      <c r="Y818" s="1075"/>
      <c r="Z818" s="1075"/>
      <c r="AA818" s="1075"/>
      <c r="AB818" s="1075"/>
      <c r="AC818" s="1075"/>
      <c r="AD818" s="1075"/>
      <c r="AE818" s="1075"/>
      <c r="AF818" s="1075"/>
      <c r="AG818" s="1075"/>
      <c r="AH818" s="1075"/>
      <c r="AI818" s="1075"/>
      <c r="AJ818" s="1075"/>
      <c r="AK818" s="1075"/>
      <c r="AL818" s="1075"/>
      <c r="AM818" s="1075"/>
      <c r="AN818" s="1075"/>
      <c r="AO818" s="1075"/>
      <c r="AP818" s="1075"/>
      <c r="AQ818" s="1075"/>
      <c r="AR818" s="1075"/>
      <c r="AS818" s="1075"/>
      <c r="AT818" s="1075"/>
      <c r="AU818" s="1075"/>
      <c r="AV818" s="1075"/>
    </row>
    <row r="819" spans="1:48" ht="11.25" hidden="1" customHeight="1">
      <c r="A819" s="1075"/>
      <c r="B819" s="1075"/>
      <c r="C819" s="1075"/>
      <c r="D819" s="1075"/>
      <c r="E819" s="1075"/>
      <c r="F819" s="1075"/>
      <c r="G819" s="1075"/>
      <c r="H819" s="1075"/>
      <c r="I819" s="1075"/>
      <c r="J819" s="1075"/>
      <c r="K819" s="1075"/>
      <c r="L819" s="1075"/>
      <c r="M819" s="1075"/>
      <c r="N819" s="1075"/>
      <c r="O819" s="1075"/>
      <c r="P819" s="1075"/>
      <c r="Q819" s="1075"/>
      <c r="R819" s="1075"/>
      <c r="S819" s="1075"/>
      <c r="T819" s="1075"/>
      <c r="U819" s="1075"/>
      <c r="V819" s="1075"/>
      <c r="W819" s="1075"/>
      <c r="X819" s="1075"/>
      <c r="Y819" s="1075"/>
      <c r="Z819" s="1075"/>
      <c r="AA819" s="1075"/>
      <c r="AB819" s="1075"/>
      <c r="AC819" s="1075"/>
      <c r="AD819" s="1075"/>
      <c r="AE819" s="1075"/>
      <c r="AF819" s="1075"/>
      <c r="AG819" s="1075"/>
      <c r="AH819" s="1075"/>
      <c r="AI819" s="1075"/>
      <c r="AJ819" s="1075"/>
      <c r="AK819" s="1075"/>
      <c r="AL819" s="1075"/>
      <c r="AM819" s="1075"/>
      <c r="AN819" s="1075"/>
      <c r="AO819" s="1075"/>
      <c r="AP819" s="1075"/>
      <c r="AQ819" s="1075"/>
      <c r="AR819" s="1075"/>
      <c r="AS819" s="1075"/>
      <c r="AT819" s="1075"/>
      <c r="AU819" s="1075"/>
      <c r="AV819" s="1075"/>
    </row>
    <row r="820" spans="1:48" ht="11.25" hidden="1" customHeight="1">
      <c r="A820" s="1075"/>
      <c r="B820" s="1075"/>
      <c r="C820" s="1075"/>
      <c r="D820" s="1075"/>
      <c r="E820" s="1075"/>
      <c r="F820" s="1075"/>
      <c r="G820" s="1075"/>
      <c r="H820" s="1075"/>
      <c r="I820" s="1075"/>
      <c r="J820" s="1075"/>
      <c r="K820" s="1075"/>
      <c r="L820" s="1075"/>
      <c r="M820" s="1075"/>
      <c r="N820" s="1075"/>
      <c r="O820" s="1075"/>
      <c r="P820" s="1075"/>
      <c r="Q820" s="1075"/>
      <c r="R820" s="1075"/>
      <c r="S820" s="1075"/>
      <c r="T820" s="1075"/>
      <c r="U820" s="1075"/>
      <c r="V820" s="1075"/>
      <c r="W820" s="1075"/>
      <c r="X820" s="1075"/>
      <c r="Y820" s="1075"/>
      <c r="Z820" s="1075"/>
      <c r="AA820" s="1075"/>
      <c r="AB820" s="1075"/>
      <c r="AC820" s="1075"/>
      <c r="AD820" s="1075"/>
      <c r="AE820" s="1075"/>
      <c r="AF820" s="1075"/>
      <c r="AG820" s="1075"/>
      <c r="AH820" s="1075"/>
      <c r="AI820" s="1075"/>
      <c r="AJ820" s="1075"/>
      <c r="AK820" s="1075"/>
      <c r="AL820" s="1075"/>
      <c r="AM820" s="1075"/>
      <c r="AN820" s="1075"/>
      <c r="AO820" s="1075"/>
      <c r="AP820" s="1075"/>
      <c r="AQ820" s="1075"/>
      <c r="AR820" s="1075"/>
      <c r="AS820" s="1075"/>
      <c r="AT820" s="1075"/>
      <c r="AU820" s="1075"/>
      <c r="AV820" s="1075"/>
    </row>
    <row r="821" spans="1:48" ht="11.25" hidden="1" customHeight="1">
      <c r="A821" s="1075"/>
      <c r="B821" s="1075"/>
      <c r="C821" s="1075"/>
      <c r="D821" s="1075"/>
      <c r="E821" s="1075"/>
      <c r="F821" s="1075"/>
      <c r="G821" s="1075"/>
      <c r="H821" s="1075"/>
      <c r="I821" s="1075"/>
      <c r="J821" s="1075"/>
      <c r="K821" s="1075"/>
      <c r="L821" s="1075"/>
      <c r="M821" s="1075"/>
      <c r="N821" s="1075"/>
      <c r="O821" s="1075"/>
      <c r="P821" s="1075"/>
      <c r="Q821" s="1075"/>
      <c r="R821" s="1075"/>
      <c r="S821" s="1075"/>
      <c r="T821" s="1075"/>
      <c r="U821" s="1075"/>
      <c r="V821" s="1075"/>
      <c r="W821" s="1075"/>
      <c r="X821" s="1075"/>
      <c r="Y821" s="1075"/>
      <c r="Z821" s="1075"/>
      <c r="AA821" s="1075"/>
      <c r="AB821" s="1075"/>
      <c r="AC821" s="1075"/>
      <c r="AD821" s="1075"/>
      <c r="AE821" s="1075"/>
      <c r="AF821" s="1075"/>
      <c r="AG821" s="1075"/>
      <c r="AH821" s="1075"/>
      <c r="AI821" s="1075"/>
      <c r="AJ821" s="1075"/>
      <c r="AK821" s="1075"/>
      <c r="AL821" s="1075"/>
      <c r="AM821" s="1075"/>
      <c r="AN821" s="1075"/>
      <c r="AO821" s="1075"/>
      <c r="AP821" s="1075"/>
      <c r="AQ821" s="1075"/>
      <c r="AR821" s="1075"/>
      <c r="AS821" s="1075"/>
      <c r="AT821" s="1075"/>
      <c r="AU821" s="1075"/>
      <c r="AV821" s="1075"/>
    </row>
    <row r="822" spans="1:48" ht="11.25" hidden="1" customHeight="1">
      <c r="A822" s="1075"/>
      <c r="B822" s="1075"/>
      <c r="C822" s="1075"/>
      <c r="D822" s="1075"/>
      <c r="E822" s="1075"/>
      <c r="F822" s="1075"/>
      <c r="G822" s="1075"/>
      <c r="H822" s="1075"/>
      <c r="I822" s="1075"/>
      <c r="J822" s="1075"/>
      <c r="K822" s="1075"/>
      <c r="L822" s="1075"/>
      <c r="M822" s="1075"/>
      <c r="N822" s="1075"/>
      <c r="O822" s="1075"/>
      <c r="P822" s="1075"/>
      <c r="Q822" s="1075"/>
      <c r="R822" s="1075"/>
      <c r="S822" s="1075"/>
      <c r="T822" s="1075"/>
      <c r="U822" s="1075"/>
      <c r="V822" s="1075"/>
      <c r="W822" s="1075"/>
      <c r="X822" s="1075"/>
      <c r="Y822" s="1075"/>
      <c r="Z822" s="1075"/>
      <c r="AA822" s="1075"/>
      <c r="AB822" s="1075"/>
      <c r="AC822" s="1075"/>
      <c r="AD822" s="1075"/>
      <c r="AE822" s="1075"/>
      <c r="AF822" s="1075"/>
      <c r="AG822" s="1075"/>
      <c r="AH822" s="1075"/>
      <c r="AI822" s="1075"/>
      <c r="AJ822" s="1075"/>
      <c r="AK822" s="1075"/>
      <c r="AL822" s="1075"/>
      <c r="AM822" s="1075"/>
      <c r="AN822" s="1075"/>
      <c r="AO822" s="1075"/>
      <c r="AP822" s="1075"/>
      <c r="AQ822" s="1075"/>
      <c r="AR822" s="1075"/>
      <c r="AS822" s="1075"/>
      <c r="AT822" s="1075"/>
      <c r="AU822" s="1075"/>
      <c r="AV822" s="1075"/>
    </row>
    <row r="823" spans="1:48" ht="11.25" hidden="1" customHeight="1">
      <c r="A823" s="1075"/>
      <c r="B823" s="1075"/>
      <c r="C823" s="1075"/>
      <c r="D823" s="1075"/>
      <c r="E823" s="1075"/>
      <c r="F823" s="1075"/>
      <c r="G823" s="1075"/>
      <c r="H823" s="1075"/>
      <c r="I823" s="1075"/>
      <c r="J823" s="1075"/>
      <c r="K823" s="1075"/>
      <c r="L823" s="1075"/>
      <c r="M823" s="1075"/>
      <c r="N823" s="1075"/>
      <c r="O823" s="1075"/>
      <c r="P823" s="1075"/>
      <c r="Q823" s="1075"/>
      <c r="R823" s="1075"/>
      <c r="S823" s="1075"/>
      <c r="T823" s="1075"/>
      <c r="U823" s="1075"/>
      <c r="V823" s="1075"/>
      <c r="W823" s="1075"/>
      <c r="X823" s="1075"/>
      <c r="Y823" s="1075"/>
      <c r="Z823" s="1075"/>
      <c r="AA823" s="1075"/>
      <c r="AB823" s="1075"/>
      <c r="AC823" s="1075"/>
      <c r="AD823" s="1075"/>
      <c r="AE823" s="1075"/>
      <c r="AF823" s="1075"/>
      <c r="AG823" s="1075"/>
      <c r="AH823" s="1075"/>
      <c r="AI823" s="1075"/>
      <c r="AJ823" s="1075"/>
      <c r="AK823" s="1075"/>
      <c r="AL823" s="1075"/>
      <c r="AM823" s="1075"/>
      <c r="AN823" s="1075"/>
      <c r="AO823" s="1075"/>
      <c r="AP823" s="1075"/>
      <c r="AQ823" s="1075"/>
      <c r="AR823" s="1075"/>
      <c r="AS823" s="1075"/>
      <c r="AT823" s="1075"/>
      <c r="AU823" s="1075"/>
      <c r="AV823" s="1075"/>
    </row>
    <row r="824" spans="1:48" ht="11.25" hidden="1" customHeight="1">
      <c r="A824" s="1075"/>
      <c r="B824" s="1075"/>
      <c r="C824" s="1075"/>
      <c r="D824" s="1075"/>
      <c r="E824" s="1075"/>
      <c r="F824" s="1075"/>
      <c r="G824" s="1075"/>
      <c r="H824" s="1075"/>
      <c r="I824" s="1075"/>
      <c r="J824" s="1075"/>
      <c r="K824" s="1075"/>
      <c r="L824" s="1075"/>
      <c r="M824" s="1075"/>
      <c r="N824" s="1075"/>
      <c r="O824" s="1075"/>
      <c r="P824" s="1075"/>
      <c r="Q824" s="1075"/>
      <c r="R824" s="1075"/>
      <c r="S824" s="1075"/>
      <c r="T824" s="1075"/>
      <c r="U824" s="1075"/>
      <c r="V824" s="1075"/>
      <c r="W824" s="1075"/>
      <c r="X824" s="1075"/>
      <c r="Y824" s="1075"/>
      <c r="Z824" s="1075"/>
      <c r="AA824" s="1075"/>
      <c r="AB824" s="1075"/>
      <c r="AC824" s="1075"/>
      <c r="AD824" s="1075"/>
      <c r="AE824" s="1075"/>
      <c r="AF824" s="1075"/>
      <c r="AG824" s="1075"/>
      <c r="AH824" s="1075"/>
      <c r="AI824" s="1075"/>
      <c r="AJ824" s="1075"/>
      <c r="AK824" s="1075"/>
      <c r="AL824" s="1075"/>
      <c r="AM824" s="1075"/>
      <c r="AN824" s="1075"/>
      <c r="AO824" s="1075"/>
      <c r="AP824" s="1075"/>
      <c r="AQ824" s="1075"/>
      <c r="AR824" s="1075"/>
      <c r="AS824" s="1075"/>
      <c r="AT824" s="1075"/>
      <c r="AU824" s="1075"/>
      <c r="AV824" s="1075"/>
    </row>
    <row r="825" spans="1:48" ht="11.25" hidden="1" customHeight="1">
      <c r="A825" s="1075"/>
      <c r="B825" s="1075"/>
      <c r="C825" s="1075"/>
      <c r="D825" s="1075"/>
      <c r="E825" s="1075"/>
      <c r="F825" s="1075"/>
      <c r="G825" s="1075"/>
      <c r="H825" s="1075"/>
      <c r="I825" s="1075"/>
      <c r="J825" s="1075"/>
      <c r="K825" s="1075"/>
      <c r="L825" s="1075"/>
      <c r="M825" s="1075"/>
      <c r="N825" s="1075"/>
      <c r="O825" s="1075"/>
      <c r="P825" s="1075"/>
      <c r="Q825" s="1075"/>
      <c r="R825" s="1075"/>
      <c r="S825" s="1075"/>
      <c r="T825" s="1075"/>
      <c r="U825" s="1075"/>
      <c r="V825" s="1075"/>
      <c r="W825" s="1075"/>
      <c r="X825" s="1075"/>
      <c r="Y825" s="1075"/>
      <c r="Z825" s="1075"/>
      <c r="AA825" s="1075"/>
      <c r="AB825" s="1075"/>
      <c r="AC825" s="1075"/>
      <c r="AD825" s="1075"/>
      <c r="AE825" s="1075"/>
      <c r="AF825" s="1075"/>
      <c r="AG825" s="1075"/>
      <c r="AH825" s="1075"/>
      <c r="AI825" s="1075"/>
      <c r="AJ825" s="1075"/>
      <c r="AK825" s="1075"/>
      <c r="AL825" s="1075"/>
      <c r="AM825" s="1075"/>
      <c r="AN825" s="1075"/>
      <c r="AO825" s="1075"/>
      <c r="AP825" s="1075"/>
      <c r="AQ825" s="1075"/>
      <c r="AR825" s="1075"/>
      <c r="AS825" s="1075"/>
      <c r="AT825" s="1075"/>
      <c r="AU825" s="1075"/>
      <c r="AV825" s="1075"/>
    </row>
    <row r="826" spans="1:48" ht="11.25" hidden="1" customHeight="1">
      <c r="A826" s="1075"/>
      <c r="B826" s="1075"/>
      <c r="C826" s="1075"/>
      <c r="D826" s="1075"/>
      <c r="E826" s="1075"/>
      <c r="F826" s="1075"/>
      <c r="G826" s="1075"/>
      <c r="H826" s="1075"/>
      <c r="I826" s="1075"/>
      <c r="J826" s="1075"/>
      <c r="K826" s="1075"/>
      <c r="L826" s="1075"/>
      <c r="M826" s="1075"/>
      <c r="N826" s="1075"/>
      <c r="O826" s="1075"/>
      <c r="P826" s="1075"/>
      <c r="Q826" s="1075"/>
      <c r="R826" s="1075"/>
      <c r="S826" s="1075"/>
      <c r="T826" s="1075"/>
      <c r="U826" s="1075"/>
      <c r="V826" s="1075"/>
      <c r="W826" s="1075"/>
      <c r="X826" s="1075"/>
      <c r="Y826" s="1075"/>
      <c r="Z826" s="1075"/>
      <c r="AA826" s="1075"/>
      <c r="AB826" s="1075"/>
      <c r="AC826" s="1075"/>
      <c r="AD826" s="1075"/>
      <c r="AE826" s="1075"/>
      <c r="AF826" s="1075"/>
      <c r="AG826" s="1075"/>
      <c r="AH826" s="1075"/>
      <c r="AI826" s="1075"/>
      <c r="AJ826" s="1075"/>
      <c r="AK826" s="1075"/>
      <c r="AL826" s="1075"/>
      <c r="AM826" s="1075"/>
      <c r="AN826" s="1075"/>
      <c r="AO826" s="1075"/>
      <c r="AP826" s="1075"/>
      <c r="AQ826" s="1075"/>
      <c r="AR826" s="1075"/>
      <c r="AS826" s="1075"/>
      <c r="AT826" s="1075"/>
      <c r="AU826" s="1075"/>
      <c r="AV826" s="1075"/>
    </row>
    <row r="827" spans="1:48" ht="11.25" hidden="1" customHeight="1">
      <c r="A827" s="1075"/>
      <c r="B827" s="1075"/>
      <c r="C827" s="1075"/>
      <c r="D827" s="1075"/>
      <c r="E827" s="1075"/>
      <c r="F827" s="1075"/>
      <c r="G827" s="1075"/>
      <c r="H827" s="1075"/>
      <c r="I827" s="1075"/>
      <c r="J827" s="1075"/>
      <c r="K827" s="1075"/>
      <c r="L827" s="1075"/>
      <c r="M827" s="1075"/>
      <c r="N827" s="1075"/>
      <c r="O827" s="1075"/>
      <c r="P827" s="1075"/>
      <c r="Q827" s="1075"/>
      <c r="R827" s="1075"/>
      <c r="S827" s="1075"/>
      <c r="T827" s="1075"/>
      <c r="U827" s="1075"/>
      <c r="V827" s="1075"/>
      <c r="W827" s="1075"/>
      <c r="X827" s="1075"/>
      <c r="Y827" s="1075"/>
      <c r="Z827" s="1075"/>
      <c r="AA827" s="1075"/>
      <c r="AB827" s="1075"/>
      <c r="AC827" s="1075"/>
      <c r="AD827" s="1075"/>
      <c r="AE827" s="1075"/>
      <c r="AF827" s="1075"/>
      <c r="AG827" s="1075"/>
      <c r="AH827" s="1075"/>
      <c r="AI827" s="1075"/>
      <c r="AJ827" s="1075"/>
      <c r="AK827" s="1075"/>
      <c r="AL827" s="1075"/>
      <c r="AM827" s="1075"/>
      <c r="AN827" s="1075"/>
      <c r="AO827" s="1075"/>
      <c r="AP827" s="1075"/>
      <c r="AQ827" s="1075"/>
      <c r="AR827" s="1075"/>
      <c r="AS827" s="1075"/>
      <c r="AT827" s="1075"/>
      <c r="AU827" s="1075"/>
      <c r="AV827" s="1075"/>
    </row>
    <row r="828" spans="1:48" ht="11.25" hidden="1" customHeight="1">
      <c r="A828" s="1075"/>
      <c r="B828" s="1075"/>
      <c r="C828" s="1075"/>
      <c r="D828" s="1075"/>
      <c r="E828" s="1075"/>
      <c r="F828" s="1075"/>
      <c r="G828" s="1075"/>
      <c r="H828" s="1075"/>
      <c r="I828" s="1075"/>
      <c r="J828" s="1075"/>
      <c r="K828" s="1075"/>
      <c r="L828" s="1075"/>
      <c r="M828" s="1075"/>
      <c r="N828" s="1075"/>
      <c r="O828" s="1075"/>
      <c r="P828" s="1075"/>
      <c r="Q828" s="1075"/>
      <c r="R828" s="1075"/>
      <c r="S828" s="1075"/>
      <c r="T828" s="1075"/>
      <c r="U828" s="1075"/>
      <c r="V828" s="1075"/>
      <c r="W828" s="1075"/>
      <c r="X828" s="1075"/>
      <c r="Y828" s="1075"/>
      <c r="Z828" s="1075"/>
      <c r="AA828" s="1075"/>
      <c r="AB828" s="1075"/>
      <c r="AC828" s="1075"/>
      <c r="AD828" s="1075"/>
      <c r="AE828" s="1075"/>
      <c r="AF828" s="1075"/>
      <c r="AG828" s="1075"/>
      <c r="AH828" s="1075"/>
      <c r="AI828" s="1075"/>
      <c r="AJ828" s="1075"/>
      <c r="AK828" s="1075"/>
      <c r="AL828" s="1075"/>
      <c r="AM828" s="1075"/>
      <c r="AN828" s="1075"/>
      <c r="AO828" s="1075"/>
      <c r="AP828" s="1075"/>
      <c r="AQ828" s="1075"/>
      <c r="AR828" s="1075"/>
      <c r="AS828" s="1075"/>
      <c r="AT828" s="1075"/>
      <c r="AU828" s="1075"/>
      <c r="AV828" s="1075"/>
    </row>
    <row r="829" spans="1:48" ht="11.25" hidden="1" customHeight="1">
      <c r="A829" s="1075"/>
      <c r="B829" s="1075"/>
      <c r="C829" s="1075"/>
      <c r="D829" s="1075"/>
      <c r="E829" s="1075"/>
      <c r="F829" s="1075"/>
      <c r="G829" s="1075"/>
      <c r="H829" s="1075"/>
      <c r="I829" s="1075"/>
      <c r="J829" s="1075"/>
      <c r="K829" s="1075"/>
      <c r="L829" s="1075"/>
      <c r="M829" s="1075"/>
      <c r="N829" s="1075"/>
      <c r="O829" s="1075"/>
      <c r="P829" s="1075"/>
      <c r="Q829" s="1075"/>
      <c r="R829" s="1075"/>
      <c r="S829" s="1075"/>
      <c r="T829" s="1075"/>
      <c r="U829" s="1075"/>
      <c r="V829" s="1075"/>
      <c r="W829" s="1075"/>
      <c r="X829" s="1075"/>
      <c r="Y829" s="1075"/>
      <c r="Z829" s="1075"/>
      <c r="AA829" s="1075"/>
      <c r="AB829" s="1075"/>
      <c r="AC829" s="1075"/>
      <c r="AD829" s="1075"/>
      <c r="AE829" s="1075"/>
      <c r="AF829" s="1075"/>
      <c r="AG829" s="1075"/>
      <c r="AH829" s="1075"/>
      <c r="AI829" s="1075"/>
      <c r="AJ829" s="1075"/>
      <c r="AK829" s="1075"/>
      <c r="AL829" s="1075"/>
      <c r="AM829" s="1075"/>
      <c r="AN829" s="1075"/>
      <c r="AO829" s="1075"/>
      <c r="AP829" s="1075"/>
      <c r="AQ829" s="1075"/>
      <c r="AR829" s="1075"/>
      <c r="AS829" s="1075"/>
      <c r="AT829" s="1075"/>
      <c r="AU829" s="1075"/>
      <c r="AV829" s="1075"/>
    </row>
    <row r="830" spans="1:48" ht="11.25" hidden="1" customHeight="1">
      <c r="A830" s="1075"/>
      <c r="B830" s="1075"/>
      <c r="C830" s="1075"/>
      <c r="D830" s="1075"/>
      <c r="E830" s="1075"/>
      <c r="F830" s="1075"/>
      <c r="G830" s="1075"/>
      <c r="H830" s="1075"/>
      <c r="I830" s="1075"/>
      <c r="J830" s="1075"/>
      <c r="K830" s="1075"/>
      <c r="L830" s="1075"/>
      <c r="M830" s="1075"/>
      <c r="N830" s="1075"/>
      <c r="O830" s="1075"/>
      <c r="P830" s="1075"/>
      <c r="Q830" s="1075"/>
      <c r="R830" s="1075"/>
      <c r="S830" s="1075"/>
      <c r="T830" s="1075"/>
      <c r="U830" s="1075"/>
      <c r="V830" s="1075"/>
      <c r="W830" s="1075"/>
      <c r="X830" s="1075"/>
      <c r="Y830" s="1075"/>
      <c r="Z830" s="1075"/>
      <c r="AA830" s="1075"/>
      <c r="AB830" s="1075"/>
      <c r="AC830" s="1075"/>
      <c r="AD830" s="1075"/>
      <c r="AE830" s="1075"/>
      <c r="AF830" s="1075"/>
      <c r="AG830" s="1075"/>
      <c r="AH830" s="1075"/>
      <c r="AI830" s="1075"/>
      <c r="AJ830" s="1075"/>
      <c r="AK830" s="1075"/>
      <c r="AL830" s="1075"/>
      <c r="AM830" s="1075"/>
      <c r="AN830" s="1075"/>
      <c r="AO830" s="1075"/>
      <c r="AP830" s="1075"/>
      <c r="AQ830" s="1075"/>
      <c r="AR830" s="1075"/>
      <c r="AS830" s="1075"/>
      <c r="AT830" s="1075"/>
      <c r="AU830" s="1075"/>
      <c r="AV830" s="1075"/>
    </row>
    <row r="831" spans="1:48" ht="11.25" hidden="1" customHeight="1">
      <c r="A831" s="1075"/>
      <c r="B831" s="1075"/>
      <c r="C831" s="1075"/>
      <c r="D831" s="1075"/>
      <c r="E831" s="1075"/>
      <c r="F831" s="1075"/>
      <c r="G831" s="1075"/>
      <c r="H831" s="1075"/>
      <c r="I831" s="1075"/>
      <c r="J831" s="1075"/>
      <c r="K831" s="1075"/>
      <c r="L831" s="1075"/>
      <c r="M831" s="1075"/>
      <c r="N831" s="1075"/>
      <c r="O831" s="1075"/>
      <c r="P831" s="1075"/>
      <c r="Q831" s="1075"/>
      <c r="R831" s="1075"/>
      <c r="S831" s="1075"/>
      <c r="T831" s="1075"/>
      <c r="U831" s="1075"/>
      <c r="V831" s="1075"/>
      <c r="W831" s="1075"/>
      <c r="X831" s="1075"/>
      <c r="Y831" s="1075"/>
      <c r="Z831" s="1075"/>
      <c r="AA831" s="1075"/>
      <c r="AB831" s="1075"/>
      <c r="AC831" s="1075"/>
      <c r="AD831" s="1075"/>
      <c r="AE831" s="1075"/>
      <c r="AF831" s="1075"/>
      <c r="AG831" s="1075"/>
      <c r="AH831" s="1075"/>
      <c r="AI831" s="1075"/>
      <c r="AJ831" s="1075"/>
      <c r="AK831" s="1075"/>
      <c r="AL831" s="1075"/>
      <c r="AM831" s="1075"/>
      <c r="AN831" s="1075"/>
      <c r="AO831" s="1075"/>
      <c r="AP831" s="1075"/>
      <c r="AQ831" s="1075"/>
      <c r="AR831" s="1075"/>
      <c r="AS831" s="1075"/>
      <c r="AT831" s="1075"/>
      <c r="AU831" s="1075"/>
      <c r="AV831" s="1075"/>
    </row>
    <row r="832" spans="1:48" ht="11.25" hidden="1" customHeight="1">
      <c r="A832" s="1075"/>
      <c r="B832" s="1075"/>
      <c r="C832" s="1075"/>
      <c r="D832" s="1075"/>
      <c r="E832" s="1075"/>
      <c r="F832" s="1075"/>
      <c r="G832" s="1075"/>
      <c r="H832" s="1075"/>
      <c r="I832" s="1075"/>
      <c r="J832" s="1075"/>
      <c r="K832" s="1075"/>
      <c r="L832" s="1075"/>
      <c r="M832" s="1075"/>
      <c r="N832" s="1075"/>
      <c r="O832" s="1075"/>
      <c r="P832" s="1075"/>
      <c r="Q832" s="1075"/>
      <c r="R832" s="1075"/>
      <c r="S832" s="1075"/>
      <c r="T832" s="1075"/>
      <c r="U832" s="1075"/>
      <c r="V832" s="1075"/>
      <c r="W832" s="1075"/>
      <c r="X832" s="1075"/>
      <c r="Y832" s="1075"/>
      <c r="Z832" s="1075"/>
      <c r="AA832" s="1075"/>
      <c r="AB832" s="1075"/>
      <c r="AC832" s="1075"/>
      <c r="AD832" s="1075"/>
      <c r="AE832" s="1075"/>
      <c r="AF832" s="1075"/>
      <c r="AG832" s="1075"/>
      <c r="AH832" s="1075"/>
      <c r="AI832" s="1075"/>
      <c r="AJ832" s="1075"/>
      <c r="AK832" s="1075"/>
      <c r="AL832" s="1075"/>
      <c r="AM832" s="1075"/>
      <c r="AN832" s="1075"/>
      <c r="AO832" s="1075"/>
      <c r="AP832" s="1075"/>
      <c r="AQ832" s="1075"/>
      <c r="AR832" s="1075"/>
      <c r="AS832" s="1075"/>
      <c r="AT832" s="1075"/>
      <c r="AU832" s="1075"/>
      <c r="AV832" s="1075"/>
    </row>
    <row r="833" spans="1:48" ht="11.25" hidden="1" customHeight="1">
      <c r="A833" s="1075"/>
      <c r="B833" s="1075"/>
      <c r="C833" s="1075"/>
      <c r="D833" s="1075"/>
      <c r="E833" s="1075"/>
      <c r="F833" s="1075"/>
      <c r="G833" s="1075"/>
      <c r="H833" s="1075"/>
      <c r="I833" s="1075"/>
      <c r="J833" s="1075"/>
      <c r="K833" s="1075"/>
      <c r="L833" s="1075"/>
      <c r="M833" s="1075"/>
      <c r="N833" s="1075"/>
      <c r="O833" s="1075"/>
      <c r="P833" s="1075"/>
      <c r="Q833" s="1075"/>
      <c r="R833" s="1075"/>
      <c r="S833" s="1075"/>
      <c r="T833" s="1075"/>
      <c r="U833" s="1075"/>
      <c r="V833" s="1075"/>
      <c r="W833" s="1075"/>
      <c r="X833" s="1075"/>
      <c r="Y833" s="1075"/>
      <c r="Z833" s="1075"/>
      <c r="AA833" s="1075"/>
      <c r="AB833" s="1075"/>
      <c r="AC833" s="1075"/>
      <c r="AD833" s="1075"/>
      <c r="AE833" s="1075"/>
      <c r="AF833" s="1075"/>
      <c r="AG833" s="1075"/>
      <c r="AH833" s="1075"/>
      <c r="AI833" s="1075"/>
      <c r="AJ833" s="1075"/>
      <c r="AK833" s="1075"/>
      <c r="AL833" s="1075"/>
      <c r="AM833" s="1075"/>
      <c r="AN833" s="1075"/>
      <c r="AO833" s="1075"/>
      <c r="AP833" s="1075"/>
      <c r="AQ833" s="1075"/>
      <c r="AR833" s="1075"/>
      <c r="AS833" s="1075"/>
      <c r="AT833" s="1075"/>
      <c r="AU833" s="1075"/>
      <c r="AV833" s="1075"/>
    </row>
    <row r="834" spans="1:48" ht="11.25" hidden="1" customHeight="1">
      <c r="A834" s="1075"/>
      <c r="B834" s="1075"/>
      <c r="C834" s="1075"/>
      <c r="D834" s="1075"/>
      <c r="E834" s="1075"/>
      <c r="F834" s="1075"/>
      <c r="G834" s="1075"/>
      <c r="H834" s="1075"/>
      <c r="I834" s="1075"/>
      <c r="J834" s="1075"/>
      <c r="K834" s="1075"/>
      <c r="L834" s="1075"/>
      <c r="M834" s="1075"/>
      <c r="N834" s="1075"/>
      <c r="O834" s="1075"/>
      <c r="P834" s="1075"/>
      <c r="Q834" s="1075"/>
      <c r="R834" s="1075"/>
      <c r="S834" s="1075"/>
      <c r="T834" s="1075"/>
      <c r="U834" s="1075"/>
      <c r="V834" s="1075"/>
      <c r="W834" s="1075"/>
      <c r="X834" s="1075"/>
      <c r="Y834" s="1075"/>
      <c r="Z834" s="1075"/>
      <c r="AA834" s="1075"/>
      <c r="AB834" s="1075"/>
      <c r="AC834" s="1075"/>
      <c r="AD834" s="1075"/>
      <c r="AE834" s="1075"/>
      <c r="AF834" s="1075"/>
      <c r="AG834" s="1075"/>
      <c r="AH834" s="1075"/>
      <c r="AI834" s="1075"/>
      <c r="AJ834" s="1075"/>
      <c r="AK834" s="1075"/>
      <c r="AL834" s="1075"/>
      <c r="AM834" s="1075"/>
      <c r="AN834" s="1075"/>
      <c r="AO834" s="1075"/>
      <c r="AP834" s="1075"/>
      <c r="AQ834" s="1075"/>
      <c r="AR834" s="1075"/>
      <c r="AS834" s="1075"/>
      <c r="AT834" s="1075"/>
      <c r="AU834" s="1075"/>
      <c r="AV834" s="1075"/>
    </row>
    <row r="835" spans="1:48" ht="11.25" hidden="1" customHeight="1">
      <c r="A835" s="1075"/>
      <c r="B835" s="1075"/>
      <c r="C835" s="1075"/>
      <c r="D835" s="1075"/>
      <c r="E835" s="1075"/>
      <c r="F835" s="1075"/>
      <c r="G835" s="1075"/>
      <c r="H835" s="1075"/>
      <c r="I835" s="1075"/>
      <c r="J835" s="1075"/>
      <c r="K835" s="1075"/>
      <c r="L835" s="1075"/>
      <c r="M835" s="1075"/>
      <c r="N835" s="1075"/>
      <c r="O835" s="1075"/>
      <c r="P835" s="1075"/>
      <c r="Q835" s="1075"/>
      <c r="R835" s="1075"/>
      <c r="S835" s="1075"/>
      <c r="T835" s="1075"/>
      <c r="U835" s="1075"/>
      <c r="V835" s="1075"/>
      <c r="W835" s="1075"/>
      <c r="X835" s="1075"/>
      <c r="Y835" s="1075"/>
      <c r="Z835" s="1075"/>
      <c r="AA835" s="1075"/>
      <c r="AB835" s="1075"/>
      <c r="AC835" s="1075"/>
      <c r="AD835" s="1075"/>
      <c r="AE835" s="1075"/>
      <c r="AF835" s="1075"/>
      <c r="AG835" s="1075"/>
      <c r="AH835" s="1075"/>
      <c r="AI835" s="1075"/>
      <c r="AJ835" s="1075"/>
      <c r="AK835" s="1075"/>
      <c r="AL835" s="1075"/>
      <c r="AM835" s="1075"/>
      <c r="AN835" s="1075"/>
      <c r="AO835" s="1075"/>
      <c r="AP835" s="1075"/>
      <c r="AQ835" s="1075"/>
      <c r="AR835" s="1075"/>
      <c r="AS835" s="1075"/>
      <c r="AT835" s="1075"/>
      <c r="AU835" s="1075"/>
      <c r="AV835" s="1075"/>
    </row>
    <row r="836" spans="1:48" ht="11.25" hidden="1" customHeight="1">
      <c r="A836" s="1075"/>
      <c r="B836" s="1075"/>
      <c r="C836" s="1075"/>
      <c r="D836" s="1075"/>
      <c r="E836" s="1075"/>
      <c r="F836" s="1075"/>
      <c r="G836" s="1075"/>
      <c r="H836" s="1075"/>
      <c r="I836" s="1075"/>
      <c r="J836" s="1075"/>
      <c r="K836" s="1075"/>
      <c r="L836" s="1075"/>
      <c r="M836" s="1075"/>
      <c r="N836" s="1075"/>
      <c r="O836" s="1075"/>
      <c r="P836" s="1075"/>
      <c r="Q836" s="1075"/>
      <c r="R836" s="1075"/>
      <c r="S836" s="1075"/>
      <c r="T836" s="1075"/>
      <c r="U836" s="1075"/>
      <c r="V836" s="1075"/>
      <c r="W836" s="1075"/>
      <c r="X836" s="1075"/>
      <c r="Y836" s="1075"/>
      <c r="Z836" s="1075"/>
      <c r="AA836" s="1075"/>
      <c r="AB836" s="1075"/>
      <c r="AC836" s="1075"/>
      <c r="AD836" s="1075"/>
      <c r="AE836" s="1075"/>
      <c r="AF836" s="1075"/>
      <c r="AG836" s="1075"/>
      <c r="AH836" s="1075"/>
      <c r="AI836" s="1075"/>
      <c r="AJ836" s="1075"/>
      <c r="AK836" s="1075"/>
      <c r="AL836" s="1075"/>
      <c r="AM836" s="1075"/>
      <c r="AN836" s="1075"/>
      <c r="AO836" s="1075"/>
      <c r="AP836" s="1075"/>
      <c r="AQ836" s="1075"/>
      <c r="AR836" s="1075"/>
      <c r="AS836" s="1075"/>
      <c r="AT836" s="1075"/>
      <c r="AU836" s="1075"/>
      <c r="AV836" s="1075"/>
    </row>
    <row r="837" spans="1:48" ht="11.25" hidden="1" customHeight="1">
      <c r="A837" s="1075"/>
      <c r="B837" s="1075"/>
      <c r="C837" s="1075"/>
      <c r="D837" s="1075"/>
      <c r="E837" s="1075"/>
      <c r="F837" s="1075"/>
      <c r="G837" s="1075"/>
      <c r="H837" s="1075"/>
      <c r="I837" s="1075"/>
      <c r="J837" s="1075"/>
      <c r="K837" s="1075"/>
      <c r="L837" s="1075"/>
      <c r="M837" s="1075"/>
      <c r="N837" s="1075"/>
      <c r="O837" s="1075"/>
      <c r="P837" s="1075"/>
      <c r="Q837" s="1075"/>
      <c r="R837" s="1075"/>
      <c r="S837" s="1075"/>
      <c r="T837" s="1075"/>
      <c r="U837" s="1075"/>
      <c r="V837" s="1075"/>
      <c r="W837" s="1075"/>
      <c r="X837" s="1075"/>
      <c r="Y837" s="1075"/>
      <c r="Z837" s="1075"/>
      <c r="AA837" s="1075"/>
      <c r="AB837" s="1075"/>
      <c r="AC837" s="1075"/>
      <c r="AD837" s="1075"/>
      <c r="AE837" s="1075"/>
      <c r="AF837" s="1075"/>
      <c r="AG837" s="1075"/>
      <c r="AH837" s="1075"/>
      <c r="AI837" s="1075"/>
      <c r="AJ837" s="1075"/>
      <c r="AK837" s="1075"/>
      <c r="AL837" s="1075"/>
      <c r="AM837" s="1075"/>
      <c r="AN837" s="1075"/>
      <c r="AO837" s="1075"/>
      <c r="AP837" s="1075"/>
      <c r="AQ837" s="1075"/>
      <c r="AR837" s="1075"/>
      <c r="AS837" s="1075"/>
      <c r="AT837" s="1075"/>
      <c r="AU837" s="1075"/>
      <c r="AV837" s="1075"/>
    </row>
    <row r="838" spans="1:48" ht="11.25" hidden="1" customHeight="1">
      <c r="A838" s="1075"/>
      <c r="B838" s="1075"/>
      <c r="C838" s="1075"/>
      <c r="D838" s="1075"/>
      <c r="E838" s="1075"/>
      <c r="F838" s="1075"/>
      <c r="G838" s="1075"/>
      <c r="H838" s="1075"/>
      <c r="I838" s="1075"/>
      <c r="J838" s="1075"/>
      <c r="K838" s="1075"/>
      <c r="L838" s="1075"/>
      <c r="M838" s="1075"/>
      <c r="N838" s="1075"/>
      <c r="O838" s="1075"/>
      <c r="P838" s="1075"/>
      <c r="Q838" s="1075"/>
      <c r="R838" s="1075"/>
      <c r="S838" s="1075"/>
      <c r="T838" s="1075"/>
      <c r="U838" s="1075"/>
      <c r="V838" s="1075"/>
      <c r="W838" s="1075"/>
      <c r="X838" s="1075"/>
      <c r="Y838" s="1075"/>
      <c r="Z838" s="1075"/>
      <c r="AA838" s="1075"/>
      <c r="AB838" s="1075"/>
      <c r="AC838" s="1075"/>
      <c r="AD838" s="1075"/>
      <c r="AE838" s="1075"/>
      <c r="AF838" s="1075"/>
      <c r="AG838" s="1075"/>
      <c r="AH838" s="1075"/>
      <c r="AI838" s="1075"/>
      <c r="AJ838" s="1075"/>
      <c r="AK838" s="1075"/>
      <c r="AL838" s="1075"/>
      <c r="AM838" s="1075"/>
      <c r="AN838" s="1075"/>
      <c r="AO838" s="1075"/>
      <c r="AP838" s="1075"/>
      <c r="AQ838" s="1075"/>
      <c r="AR838" s="1075"/>
      <c r="AS838" s="1075"/>
      <c r="AT838" s="1075"/>
      <c r="AU838" s="1075"/>
      <c r="AV838" s="1075"/>
    </row>
    <row r="839" spans="1:48" ht="11.25" hidden="1" customHeight="1">
      <c r="A839" s="1075"/>
      <c r="B839" s="1075"/>
      <c r="C839" s="1075"/>
      <c r="D839" s="1075"/>
      <c r="E839" s="1075"/>
      <c r="F839" s="1075"/>
      <c r="G839" s="1075"/>
      <c r="H839" s="1075"/>
      <c r="I839" s="1075"/>
      <c r="J839" s="1075"/>
      <c r="K839" s="1075"/>
      <c r="L839" s="1075"/>
      <c r="M839" s="1075"/>
      <c r="N839" s="1075"/>
      <c r="O839" s="1075"/>
      <c r="P839" s="1075"/>
      <c r="Q839" s="1075"/>
      <c r="R839" s="1075"/>
      <c r="S839" s="1075"/>
      <c r="T839" s="1075"/>
      <c r="U839" s="1075"/>
      <c r="V839" s="1075"/>
      <c r="W839" s="1075"/>
      <c r="X839" s="1075"/>
      <c r="Y839" s="1075"/>
      <c r="Z839" s="1075"/>
      <c r="AA839" s="1075"/>
      <c r="AB839" s="1075"/>
      <c r="AC839" s="1075"/>
      <c r="AD839" s="1075"/>
      <c r="AE839" s="1075"/>
      <c r="AF839" s="1075"/>
      <c r="AG839" s="1075"/>
      <c r="AH839" s="1075"/>
      <c r="AI839" s="1075"/>
      <c r="AJ839" s="1075"/>
      <c r="AK839" s="1075"/>
      <c r="AL839" s="1075"/>
      <c r="AM839" s="1075"/>
      <c r="AN839" s="1075"/>
      <c r="AO839" s="1075"/>
      <c r="AP839" s="1075"/>
      <c r="AQ839" s="1075"/>
      <c r="AR839" s="1075"/>
      <c r="AS839" s="1075"/>
      <c r="AT839" s="1075"/>
      <c r="AU839" s="1075"/>
      <c r="AV839" s="1075"/>
    </row>
    <row r="840" spans="1:48" ht="11.25" hidden="1" customHeight="1">
      <c r="A840" s="1075"/>
      <c r="B840" s="1075"/>
      <c r="C840" s="1075"/>
      <c r="D840" s="1075"/>
      <c r="E840" s="1075"/>
      <c r="F840" s="1075"/>
      <c r="G840" s="1075"/>
      <c r="H840" s="1075"/>
      <c r="I840" s="1075"/>
      <c r="J840" s="1075"/>
      <c r="K840" s="1075"/>
      <c r="L840" s="1075"/>
      <c r="M840" s="1075"/>
      <c r="N840" s="1075"/>
      <c r="O840" s="1075"/>
      <c r="P840" s="1075"/>
      <c r="Q840" s="1075"/>
      <c r="R840" s="1075"/>
      <c r="S840" s="1075"/>
      <c r="T840" s="1075"/>
      <c r="U840" s="1075"/>
      <c r="V840" s="1075"/>
      <c r="W840" s="1075"/>
      <c r="X840" s="1075"/>
      <c r="Y840" s="1075"/>
      <c r="Z840" s="1075"/>
      <c r="AA840" s="1075"/>
      <c r="AB840" s="1075"/>
      <c r="AC840" s="1075"/>
      <c r="AD840" s="1075"/>
      <c r="AE840" s="1075"/>
      <c r="AF840" s="1075"/>
      <c r="AG840" s="1075"/>
      <c r="AH840" s="1075"/>
      <c r="AI840" s="1075"/>
      <c r="AJ840" s="1075"/>
      <c r="AK840" s="1075"/>
      <c r="AL840" s="1075"/>
      <c r="AM840" s="1075"/>
      <c r="AN840" s="1075"/>
      <c r="AO840" s="1075"/>
      <c r="AP840" s="1075"/>
      <c r="AQ840" s="1075"/>
      <c r="AR840" s="1075"/>
      <c r="AS840" s="1075"/>
      <c r="AT840" s="1075"/>
      <c r="AU840" s="1075"/>
      <c r="AV840" s="1075"/>
    </row>
    <row r="841" spans="1:48" ht="11.25" hidden="1" customHeight="1">
      <c r="A841" s="1075"/>
      <c r="B841" s="1075"/>
      <c r="C841" s="1075"/>
      <c r="D841" s="1075"/>
      <c r="E841" s="1075"/>
      <c r="F841" s="1075"/>
      <c r="G841" s="1075"/>
      <c r="H841" s="1075"/>
      <c r="I841" s="1075"/>
      <c r="J841" s="1075"/>
      <c r="K841" s="1075"/>
      <c r="L841" s="1075"/>
      <c r="M841" s="1075"/>
      <c r="N841" s="1075"/>
      <c r="O841" s="1075"/>
      <c r="P841" s="1075"/>
      <c r="Q841" s="1075"/>
      <c r="R841" s="1075"/>
      <c r="S841" s="1075"/>
      <c r="T841" s="1075"/>
      <c r="U841" s="1075"/>
      <c r="V841" s="1075"/>
      <c r="W841" s="1075"/>
      <c r="X841" s="1075"/>
      <c r="Y841" s="1075"/>
      <c r="Z841" s="1075"/>
      <c r="AA841" s="1075"/>
      <c r="AB841" s="1075"/>
      <c r="AC841" s="1075"/>
      <c r="AD841" s="1075"/>
      <c r="AE841" s="1075"/>
      <c r="AF841" s="1075"/>
      <c r="AG841" s="1075"/>
      <c r="AH841" s="1075"/>
      <c r="AI841" s="1075"/>
      <c r="AJ841" s="1075"/>
      <c r="AK841" s="1075"/>
      <c r="AL841" s="1075"/>
      <c r="AM841" s="1075"/>
      <c r="AN841" s="1075"/>
      <c r="AO841" s="1075"/>
      <c r="AP841" s="1075"/>
      <c r="AQ841" s="1075"/>
      <c r="AR841" s="1075"/>
      <c r="AS841" s="1075"/>
      <c r="AT841" s="1075"/>
      <c r="AU841" s="1075"/>
      <c r="AV841" s="1075"/>
    </row>
    <row r="842" spans="1:48" ht="11.25" hidden="1" customHeight="1">
      <c r="A842" s="1075"/>
      <c r="B842" s="1075"/>
      <c r="C842" s="1075"/>
      <c r="D842" s="1075"/>
      <c r="E842" s="1075"/>
      <c r="F842" s="1075"/>
      <c r="G842" s="1075"/>
      <c r="H842" s="1075"/>
      <c r="I842" s="1075"/>
      <c r="J842" s="1075"/>
      <c r="K842" s="1075"/>
      <c r="L842" s="1075"/>
      <c r="M842" s="1075"/>
      <c r="N842" s="1075"/>
      <c r="O842" s="1075"/>
      <c r="P842" s="1075"/>
      <c r="Q842" s="1075"/>
      <c r="R842" s="1075"/>
      <c r="S842" s="1075"/>
      <c r="T842" s="1075"/>
      <c r="U842" s="1075"/>
      <c r="V842" s="1075"/>
      <c r="W842" s="1075"/>
      <c r="X842" s="1075"/>
      <c r="Y842" s="1075"/>
      <c r="Z842" s="1075"/>
      <c r="AA842" s="1075"/>
      <c r="AB842" s="1075"/>
      <c r="AC842" s="1075"/>
      <c r="AD842" s="1075"/>
      <c r="AE842" s="1075"/>
      <c r="AF842" s="1075"/>
      <c r="AG842" s="1075"/>
      <c r="AH842" s="1075"/>
      <c r="AI842" s="1075"/>
      <c r="AJ842" s="1075"/>
      <c r="AK842" s="1075"/>
      <c r="AL842" s="1075"/>
      <c r="AM842" s="1075"/>
      <c r="AN842" s="1075"/>
      <c r="AO842" s="1075"/>
      <c r="AP842" s="1075"/>
      <c r="AQ842" s="1075"/>
      <c r="AR842" s="1075"/>
      <c r="AS842" s="1075"/>
      <c r="AT842" s="1075"/>
      <c r="AU842" s="1075"/>
      <c r="AV842" s="1075"/>
    </row>
    <row r="843" spans="1:48" ht="11.25" hidden="1" customHeight="1">
      <c r="A843" s="1075"/>
      <c r="B843" s="1075"/>
      <c r="C843" s="1075"/>
      <c r="D843" s="1075"/>
      <c r="E843" s="1075"/>
      <c r="F843" s="1075"/>
      <c r="G843" s="1075"/>
      <c r="H843" s="1075"/>
      <c r="I843" s="1075"/>
      <c r="J843" s="1075"/>
      <c r="K843" s="1075"/>
      <c r="L843" s="1075"/>
      <c r="M843" s="1075"/>
      <c r="N843" s="1075"/>
      <c r="O843" s="1075"/>
      <c r="P843" s="1075"/>
      <c r="Q843" s="1075"/>
      <c r="R843" s="1075"/>
      <c r="S843" s="1075"/>
      <c r="T843" s="1075"/>
      <c r="U843" s="1075"/>
      <c r="V843" s="1075"/>
      <c r="W843" s="1075"/>
      <c r="X843" s="1075"/>
      <c r="Y843" s="1075"/>
      <c r="Z843" s="1075"/>
      <c r="AA843" s="1075"/>
      <c r="AB843" s="1075"/>
      <c r="AC843" s="1075"/>
      <c r="AD843" s="1075"/>
      <c r="AE843" s="1075"/>
      <c r="AF843" s="1075"/>
      <c r="AG843" s="1075"/>
      <c r="AH843" s="1075"/>
      <c r="AI843" s="1075"/>
      <c r="AJ843" s="1075"/>
      <c r="AK843" s="1075"/>
      <c r="AL843" s="1075"/>
      <c r="AM843" s="1075"/>
      <c r="AN843" s="1075"/>
      <c r="AO843" s="1075"/>
      <c r="AP843" s="1075"/>
      <c r="AQ843" s="1075"/>
      <c r="AR843" s="1075"/>
      <c r="AS843" s="1075"/>
      <c r="AT843" s="1075"/>
      <c r="AU843" s="1075"/>
      <c r="AV843" s="1075"/>
    </row>
    <row r="844" spans="1:48" ht="11.25" hidden="1" customHeight="1">
      <c r="A844" s="1075"/>
      <c r="B844" s="1075"/>
      <c r="C844" s="1075"/>
      <c r="D844" s="1075"/>
      <c r="E844" s="1075"/>
      <c r="F844" s="1075"/>
      <c r="G844" s="1075"/>
      <c r="H844" s="1075"/>
      <c r="I844" s="1075"/>
      <c r="J844" s="1075"/>
      <c r="K844" s="1075"/>
      <c r="L844" s="1075"/>
      <c r="M844" s="1075"/>
      <c r="N844" s="1075"/>
      <c r="O844" s="1075"/>
      <c r="P844" s="1075"/>
      <c r="Q844" s="1075"/>
      <c r="R844" s="1075"/>
      <c r="S844" s="1075"/>
      <c r="T844" s="1075"/>
      <c r="U844" s="1075"/>
      <c r="V844" s="1075"/>
      <c r="W844" s="1075"/>
      <c r="X844" s="1075"/>
      <c r="Y844" s="1075"/>
      <c r="Z844" s="1075"/>
      <c r="AA844" s="1075"/>
      <c r="AB844" s="1075"/>
      <c r="AC844" s="1075"/>
      <c r="AD844" s="1075"/>
      <c r="AE844" s="1075"/>
      <c r="AF844" s="1075"/>
      <c r="AG844" s="1075"/>
      <c r="AH844" s="1075"/>
      <c r="AI844" s="1075"/>
      <c r="AJ844" s="1075"/>
      <c r="AK844" s="1075"/>
      <c r="AL844" s="1075"/>
      <c r="AM844" s="1075"/>
      <c r="AN844" s="1075"/>
      <c r="AO844" s="1075"/>
      <c r="AP844" s="1075"/>
      <c r="AQ844" s="1075"/>
      <c r="AR844" s="1075"/>
      <c r="AS844" s="1075"/>
      <c r="AT844" s="1075"/>
      <c r="AU844" s="1075"/>
      <c r="AV844" s="1075"/>
    </row>
    <row r="845" spans="1:48" ht="11.25" hidden="1" customHeight="1">
      <c r="A845" s="1075"/>
      <c r="B845" s="1075"/>
      <c r="C845" s="1075"/>
      <c r="D845" s="1075"/>
      <c r="E845" s="1075"/>
      <c r="F845" s="1075"/>
      <c r="G845" s="1075"/>
      <c r="H845" s="1075"/>
      <c r="I845" s="1075"/>
      <c r="J845" s="1075"/>
      <c r="K845" s="1075"/>
      <c r="L845" s="1075"/>
      <c r="M845" s="1075"/>
      <c r="N845" s="1075"/>
      <c r="O845" s="1075"/>
      <c r="P845" s="1075"/>
      <c r="Q845" s="1075"/>
      <c r="R845" s="1075"/>
      <c r="S845" s="1075"/>
      <c r="T845" s="1075"/>
      <c r="U845" s="1075"/>
      <c r="V845" s="1075"/>
      <c r="W845" s="1075"/>
      <c r="X845" s="1075"/>
      <c r="Y845" s="1075"/>
      <c r="Z845" s="1075"/>
      <c r="AA845" s="1075"/>
      <c r="AB845" s="1075"/>
      <c r="AC845" s="1075"/>
      <c r="AD845" s="1075"/>
      <c r="AE845" s="1075"/>
      <c r="AF845" s="1075"/>
      <c r="AG845" s="1075"/>
      <c r="AH845" s="1075"/>
      <c r="AI845" s="1075"/>
      <c r="AJ845" s="1075"/>
      <c r="AK845" s="1075"/>
      <c r="AL845" s="1075"/>
      <c r="AM845" s="1075"/>
      <c r="AN845" s="1075"/>
      <c r="AO845" s="1075"/>
      <c r="AP845" s="1075"/>
      <c r="AQ845" s="1075"/>
      <c r="AR845" s="1075"/>
      <c r="AS845" s="1075"/>
      <c r="AT845" s="1075"/>
      <c r="AU845" s="1075"/>
      <c r="AV845" s="1075"/>
    </row>
    <row r="846" spans="1:48" ht="11.25" hidden="1" customHeight="1">
      <c r="A846" s="1075"/>
      <c r="B846" s="1075"/>
      <c r="C846" s="1075"/>
      <c r="D846" s="1075"/>
      <c r="E846" s="1075"/>
      <c r="F846" s="1075"/>
      <c r="G846" s="1075"/>
      <c r="H846" s="1075"/>
      <c r="I846" s="1075"/>
      <c r="J846" s="1075"/>
      <c r="K846" s="1075"/>
      <c r="L846" s="1075"/>
      <c r="M846" s="1075"/>
      <c r="N846" s="1075"/>
      <c r="O846" s="1075"/>
      <c r="P846" s="1075"/>
      <c r="Q846" s="1075"/>
      <c r="R846" s="1075"/>
      <c r="S846" s="1075"/>
      <c r="T846" s="1075"/>
      <c r="U846" s="1075"/>
      <c r="V846" s="1075"/>
      <c r="W846" s="1075"/>
      <c r="X846" s="1075"/>
      <c r="Y846" s="1075"/>
      <c r="Z846" s="1075"/>
      <c r="AA846" s="1075"/>
      <c r="AB846" s="1075"/>
      <c r="AC846" s="1075"/>
      <c r="AD846" s="1075"/>
      <c r="AE846" s="1075"/>
      <c r="AF846" s="1075"/>
      <c r="AG846" s="1075"/>
      <c r="AH846" s="1075"/>
      <c r="AI846" s="1075"/>
      <c r="AJ846" s="1075"/>
      <c r="AK846" s="1075"/>
      <c r="AL846" s="1075"/>
      <c r="AM846" s="1075"/>
      <c r="AN846" s="1075"/>
      <c r="AO846" s="1075"/>
      <c r="AP846" s="1075"/>
      <c r="AQ846" s="1075"/>
      <c r="AR846" s="1075"/>
      <c r="AS846" s="1075"/>
      <c r="AT846" s="1075"/>
      <c r="AU846" s="1075"/>
      <c r="AV846" s="1075"/>
    </row>
    <row r="847" spans="1:48" ht="11.25" hidden="1" customHeight="1">
      <c r="A847" s="1075"/>
      <c r="B847" s="1075"/>
      <c r="C847" s="1075"/>
      <c r="D847" s="1075"/>
      <c r="E847" s="1075"/>
      <c r="F847" s="1075"/>
      <c r="G847" s="1075"/>
      <c r="H847" s="1075"/>
      <c r="I847" s="1075"/>
      <c r="J847" s="1075"/>
      <c r="K847" s="1075"/>
      <c r="L847" s="1075"/>
      <c r="M847" s="1075"/>
      <c r="N847" s="1075"/>
      <c r="O847" s="1075"/>
      <c r="P847" s="1075"/>
      <c r="Q847" s="1075"/>
      <c r="R847" s="1075"/>
      <c r="S847" s="1075"/>
      <c r="T847" s="1075"/>
      <c r="U847" s="1075"/>
      <c r="V847" s="1075"/>
      <c r="W847" s="1075"/>
      <c r="X847" s="1075"/>
      <c r="Y847" s="1075"/>
      <c r="Z847" s="1075"/>
      <c r="AA847" s="1075"/>
      <c r="AB847" s="1075"/>
      <c r="AC847" s="1075"/>
      <c r="AD847" s="1075"/>
      <c r="AE847" s="1075"/>
      <c r="AF847" s="1075"/>
      <c r="AG847" s="1075"/>
      <c r="AH847" s="1075"/>
      <c r="AI847" s="1075"/>
      <c r="AJ847" s="1075"/>
      <c r="AK847" s="1075"/>
      <c r="AL847" s="1075"/>
      <c r="AM847" s="1075"/>
      <c r="AN847" s="1075"/>
      <c r="AO847" s="1075"/>
      <c r="AP847" s="1075"/>
      <c r="AQ847" s="1075"/>
      <c r="AR847" s="1075"/>
      <c r="AS847" s="1075"/>
      <c r="AT847" s="1075"/>
      <c r="AU847" s="1075"/>
      <c r="AV847" s="1075"/>
    </row>
    <row r="848" spans="1:48" ht="11.25" hidden="1" customHeight="1">
      <c r="A848" s="1075"/>
      <c r="B848" s="1075"/>
      <c r="C848" s="1075"/>
      <c r="D848" s="1075"/>
      <c r="E848" s="1075"/>
      <c r="F848" s="1075"/>
      <c r="G848" s="1075"/>
      <c r="H848" s="1075"/>
      <c r="I848" s="1075"/>
      <c r="J848" s="1075"/>
      <c r="K848" s="1075"/>
      <c r="L848" s="1075"/>
      <c r="M848" s="1075"/>
      <c r="N848" s="1075"/>
      <c r="O848" s="1075"/>
      <c r="P848" s="1075"/>
      <c r="Q848" s="1075"/>
      <c r="R848" s="1075"/>
      <c r="S848" s="1075"/>
      <c r="T848" s="1075"/>
      <c r="U848" s="1075"/>
      <c r="V848" s="1075"/>
      <c r="W848" s="1075"/>
      <c r="X848" s="1075"/>
      <c r="Y848" s="1075"/>
      <c r="Z848" s="1075"/>
      <c r="AA848" s="1075"/>
      <c r="AB848" s="1075"/>
      <c r="AC848" s="1075"/>
      <c r="AD848" s="1075"/>
      <c r="AE848" s="1075"/>
      <c r="AF848" s="1075"/>
      <c r="AG848" s="1075"/>
      <c r="AH848" s="1075"/>
      <c r="AI848" s="1075"/>
      <c r="AJ848" s="1075"/>
      <c r="AK848" s="1075"/>
      <c r="AL848" s="1075"/>
      <c r="AM848" s="1075"/>
      <c r="AN848" s="1075"/>
      <c r="AO848" s="1075"/>
      <c r="AP848" s="1075"/>
      <c r="AQ848" s="1075"/>
      <c r="AR848" s="1075"/>
      <c r="AS848" s="1075"/>
      <c r="AT848" s="1075"/>
      <c r="AU848" s="1075"/>
      <c r="AV848" s="1075"/>
    </row>
    <row r="849" spans="1:48" ht="11.25" hidden="1" customHeight="1">
      <c r="A849" s="1075"/>
      <c r="B849" s="1075"/>
      <c r="C849" s="1075"/>
      <c r="D849" s="1075"/>
      <c r="E849" s="1075"/>
      <c r="F849" s="1075"/>
      <c r="G849" s="1075"/>
      <c r="H849" s="1075"/>
      <c r="I849" s="1075"/>
      <c r="J849" s="1075"/>
      <c r="K849" s="1075"/>
      <c r="L849" s="1075"/>
      <c r="M849" s="1075"/>
      <c r="N849" s="1075"/>
      <c r="O849" s="1075"/>
      <c r="P849" s="1075"/>
      <c r="Q849" s="1075"/>
      <c r="R849" s="1075"/>
      <c r="S849" s="1075"/>
      <c r="T849" s="1075"/>
      <c r="U849" s="1075"/>
      <c r="V849" s="1075"/>
      <c r="W849" s="1075"/>
      <c r="X849" s="1075"/>
      <c r="Y849" s="1075"/>
      <c r="Z849" s="1075"/>
      <c r="AA849" s="1075"/>
      <c r="AB849" s="1075"/>
      <c r="AC849" s="1075"/>
      <c r="AD849" s="1075"/>
      <c r="AE849" s="1075"/>
      <c r="AF849" s="1075"/>
      <c r="AG849" s="1075"/>
      <c r="AH849" s="1075"/>
      <c r="AI849" s="1075"/>
      <c r="AJ849" s="1075"/>
      <c r="AK849" s="1075"/>
      <c r="AL849" s="1075"/>
      <c r="AM849" s="1075"/>
      <c r="AN849" s="1075"/>
      <c r="AO849" s="1075"/>
      <c r="AP849" s="1075"/>
      <c r="AQ849" s="1075"/>
      <c r="AR849" s="1075"/>
      <c r="AS849" s="1075"/>
      <c r="AT849" s="1075"/>
      <c r="AU849" s="1075"/>
      <c r="AV849" s="1075"/>
    </row>
    <row r="850" spans="1:48" ht="11.25" hidden="1" customHeight="1">
      <c r="A850" s="1075"/>
      <c r="B850" s="1075"/>
      <c r="C850" s="1075"/>
      <c r="D850" s="1075"/>
      <c r="E850" s="1075"/>
      <c r="F850" s="1075"/>
      <c r="G850" s="1075"/>
      <c r="H850" s="1075"/>
      <c r="I850" s="1075"/>
      <c r="J850" s="1075"/>
      <c r="K850" s="1075"/>
      <c r="L850" s="1075"/>
      <c r="M850" s="1075"/>
      <c r="N850" s="1075"/>
      <c r="O850" s="1075"/>
      <c r="P850" s="1075"/>
      <c r="Q850" s="1075"/>
      <c r="R850" s="1075"/>
      <c r="S850" s="1075"/>
      <c r="T850" s="1075"/>
      <c r="U850" s="1075"/>
      <c r="V850" s="1075"/>
      <c r="W850" s="1075"/>
      <c r="X850" s="1075"/>
      <c r="Y850" s="1075"/>
      <c r="Z850" s="1075"/>
      <c r="AA850" s="1075"/>
      <c r="AB850" s="1075"/>
      <c r="AC850" s="1075"/>
      <c r="AD850" s="1075"/>
      <c r="AE850" s="1075"/>
      <c r="AF850" s="1075"/>
      <c r="AG850" s="1075"/>
      <c r="AH850" s="1075"/>
      <c r="AI850" s="1075"/>
      <c r="AJ850" s="1075"/>
      <c r="AK850" s="1075"/>
      <c r="AL850" s="1075"/>
      <c r="AM850" s="1075"/>
      <c r="AN850" s="1075"/>
      <c r="AO850" s="1075"/>
      <c r="AP850" s="1075"/>
      <c r="AQ850" s="1075"/>
      <c r="AR850" s="1075"/>
      <c r="AS850" s="1075"/>
      <c r="AT850" s="1075"/>
      <c r="AU850" s="1075"/>
      <c r="AV850" s="1075"/>
    </row>
    <row r="851" spans="1:48" ht="11.25" hidden="1" customHeight="1">
      <c r="A851" s="1075"/>
      <c r="B851" s="1075"/>
      <c r="C851" s="1075"/>
      <c r="D851" s="1075"/>
      <c r="E851" s="1075"/>
      <c r="F851" s="1075"/>
      <c r="G851" s="1075"/>
      <c r="H851" s="1075"/>
      <c r="I851" s="1075"/>
      <c r="J851" s="1075"/>
      <c r="K851" s="1075"/>
      <c r="L851" s="1075"/>
      <c r="M851" s="1075"/>
      <c r="N851" s="1075"/>
      <c r="O851" s="1075"/>
      <c r="P851" s="1075"/>
      <c r="Q851" s="1075"/>
      <c r="R851" s="1075"/>
      <c r="S851" s="1075"/>
      <c r="T851" s="1075"/>
      <c r="U851" s="1075"/>
      <c r="V851" s="1075"/>
      <c r="W851" s="1075"/>
      <c r="X851" s="1075"/>
      <c r="Y851" s="1075"/>
      <c r="Z851" s="1075"/>
      <c r="AA851" s="1075"/>
      <c r="AB851" s="1075"/>
      <c r="AC851" s="1075"/>
      <c r="AD851" s="1075"/>
      <c r="AE851" s="1075"/>
      <c r="AF851" s="1075"/>
      <c r="AG851" s="1075"/>
      <c r="AH851" s="1075"/>
      <c r="AI851" s="1075"/>
      <c r="AJ851" s="1075"/>
      <c r="AK851" s="1075"/>
      <c r="AL851" s="1075"/>
      <c r="AM851" s="1075"/>
      <c r="AN851" s="1075"/>
      <c r="AO851" s="1075"/>
      <c r="AP851" s="1075"/>
      <c r="AQ851" s="1075"/>
      <c r="AR851" s="1075"/>
      <c r="AS851" s="1075"/>
      <c r="AT851" s="1075"/>
      <c r="AU851" s="1075"/>
      <c r="AV851" s="1075"/>
    </row>
    <row r="852" spans="1:48" ht="11.25" hidden="1" customHeight="1">
      <c r="A852" s="1075"/>
      <c r="B852" s="1075"/>
      <c r="C852" s="1075"/>
      <c r="D852" s="1075"/>
      <c r="E852" s="1075"/>
      <c r="F852" s="1075"/>
      <c r="G852" s="1075"/>
      <c r="H852" s="1075"/>
      <c r="I852" s="1075"/>
      <c r="J852" s="1075"/>
      <c r="K852" s="1075"/>
      <c r="L852" s="1075"/>
      <c r="M852" s="1075"/>
      <c r="N852" s="1075"/>
      <c r="O852" s="1075"/>
      <c r="P852" s="1075"/>
      <c r="Q852" s="1075"/>
      <c r="R852" s="1075"/>
      <c r="S852" s="1075"/>
      <c r="T852" s="1075"/>
      <c r="U852" s="1075"/>
      <c r="V852" s="1075"/>
      <c r="W852" s="1075"/>
      <c r="X852" s="1075"/>
      <c r="Y852" s="1075"/>
      <c r="Z852" s="1075"/>
      <c r="AA852" s="1075"/>
      <c r="AB852" s="1075"/>
      <c r="AC852" s="1075"/>
      <c r="AD852" s="1075"/>
      <c r="AE852" s="1075"/>
      <c r="AF852" s="1075"/>
      <c r="AG852" s="1075"/>
      <c r="AH852" s="1075"/>
      <c r="AI852" s="1075"/>
      <c r="AJ852" s="1075"/>
      <c r="AK852" s="1075"/>
      <c r="AL852" s="1075"/>
      <c r="AM852" s="1075"/>
      <c r="AN852" s="1075"/>
      <c r="AO852" s="1075"/>
      <c r="AP852" s="1075"/>
      <c r="AQ852" s="1075"/>
      <c r="AR852" s="1075"/>
      <c r="AS852" s="1075"/>
      <c r="AT852" s="1075"/>
      <c r="AU852" s="1075"/>
      <c r="AV852" s="1075"/>
    </row>
    <row r="853" spans="1:48" ht="11.25" hidden="1" customHeight="1">
      <c r="A853" s="1075"/>
      <c r="B853" s="1075"/>
      <c r="C853" s="1075"/>
      <c r="D853" s="1075"/>
      <c r="E853" s="1075"/>
      <c r="F853" s="1075"/>
      <c r="G853" s="1075"/>
      <c r="H853" s="1075"/>
      <c r="I853" s="1075"/>
      <c r="J853" s="1075"/>
      <c r="K853" s="1075"/>
      <c r="L853" s="1075"/>
      <c r="M853" s="1075"/>
      <c r="N853" s="1075"/>
      <c r="O853" s="1075"/>
      <c r="P853" s="1075"/>
      <c r="Q853" s="1075"/>
      <c r="R853" s="1075"/>
      <c r="S853" s="1075"/>
      <c r="T853" s="1075"/>
      <c r="U853" s="1075"/>
      <c r="V853" s="1075"/>
      <c r="W853" s="1075"/>
      <c r="X853" s="1075"/>
      <c r="Y853" s="1075"/>
      <c r="Z853" s="1075"/>
      <c r="AA853" s="1075"/>
      <c r="AB853" s="1075"/>
      <c r="AC853" s="1075"/>
      <c r="AD853" s="1075"/>
      <c r="AE853" s="1075"/>
      <c r="AF853" s="1075"/>
      <c r="AG853" s="1075"/>
      <c r="AH853" s="1075"/>
      <c r="AI853" s="1075"/>
      <c r="AJ853" s="1075"/>
      <c r="AK853" s="1075"/>
      <c r="AL853" s="1075"/>
      <c r="AM853" s="1075"/>
      <c r="AN853" s="1075"/>
      <c r="AO853" s="1075"/>
      <c r="AP853" s="1075"/>
      <c r="AQ853" s="1075"/>
      <c r="AR853" s="1075"/>
      <c r="AS853" s="1075"/>
      <c r="AT853" s="1075"/>
      <c r="AU853" s="1075"/>
      <c r="AV853" s="1075"/>
    </row>
    <row r="854" spans="1:48" ht="11.25" hidden="1" customHeight="1">
      <c r="A854" s="1075"/>
      <c r="B854" s="1075"/>
      <c r="C854" s="1075"/>
      <c r="D854" s="1075"/>
      <c r="E854" s="1075"/>
      <c r="F854" s="1075"/>
      <c r="G854" s="1075"/>
      <c r="H854" s="1075"/>
      <c r="I854" s="1075"/>
      <c r="J854" s="1075"/>
      <c r="K854" s="1075"/>
      <c r="L854" s="1075"/>
      <c r="M854" s="1075"/>
      <c r="N854" s="1075"/>
      <c r="O854" s="1075"/>
      <c r="P854" s="1075"/>
      <c r="Q854" s="1075"/>
      <c r="R854" s="1075"/>
      <c r="S854" s="1075"/>
      <c r="T854" s="1075"/>
      <c r="U854" s="1075"/>
      <c r="V854" s="1075"/>
      <c r="W854" s="1075"/>
      <c r="X854" s="1075"/>
      <c r="Y854" s="1075"/>
      <c r="Z854" s="1075"/>
      <c r="AA854" s="1075"/>
      <c r="AB854" s="1075"/>
      <c r="AC854" s="1075"/>
      <c r="AD854" s="1075"/>
      <c r="AE854" s="1075"/>
      <c r="AF854" s="1075"/>
      <c r="AG854" s="1075"/>
      <c r="AH854" s="1075"/>
      <c r="AI854" s="1075"/>
      <c r="AJ854" s="1075"/>
      <c r="AK854" s="1075"/>
      <c r="AL854" s="1075"/>
      <c r="AM854" s="1075"/>
      <c r="AN854" s="1075"/>
      <c r="AO854" s="1075"/>
      <c r="AP854" s="1075"/>
      <c r="AQ854" s="1075"/>
      <c r="AR854" s="1075"/>
      <c r="AS854" s="1075"/>
      <c r="AT854" s="1075"/>
      <c r="AU854" s="1075"/>
      <c r="AV854" s="1075"/>
    </row>
    <row r="855" spans="1:48" ht="11.25" hidden="1" customHeight="1">
      <c r="A855" s="1075"/>
      <c r="B855" s="1075"/>
      <c r="C855" s="1075"/>
      <c r="D855" s="1075"/>
      <c r="E855" s="1075"/>
      <c r="F855" s="1075"/>
      <c r="G855" s="1075"/>
      <c r="H855" s="1075"/>
      <c r="I855" s="1075"/>
      <c r="J855" s="1075"/>
      <c r="K855" s="1075"/>
      <c r="L855" s="1075"/>
      <c r="M855" s="1075"/>
      <c r="N855" s="1075"/>
      <c r="O855" s="1075"/>
      <c r="P855" s="1075"/>
      <c r="Q855" s="1075"/>
      <c r="R855" s="1075"/>
      <c r="S855" s="1075"/>
      <c r="T855" s="1075"/>
      <c r="U855" s="1075"/>
      <c r="V855" s="1075"/>
      <c r="W855" s="1075"/>
      <c r="X855" s="1075"/>
      <c r="Y855" s="1075"/>
      <c r="Z855" s="1075"/>
      <c r="AA855" s="1075"/>
      <c r="AB855" s="1075"/>
      <c r="AC855" s="1075"/>
      <c r="AD855" s="1075"/>
      <c r="AE855" s="1075"/>
      <c r="AF855" s="1075"/>
      <c r="AG855" s="1075"/>
      <c r="AH855" s="1075"/>
      <c r="AI855" s="1075"/>
      <c r="AJ855" s="1075"/>
      <c r="AK855" s="1075"/>
      <c r="AL855" s="1075"/>
      <c r="AM855" s="1075"/>
      <c r="AN855" s="1075"/>
      <c r="AO855" s="1075"/>
      <c r="AP855" s="1075"/>
      <c r="AQ855" s="1075"/>
      <c r="AR855" s="1075"/>
      <c r="AS855" s="1075"/>
      <c r="AT855" s="1075"/>
      <c r="AU855" s="1075"/>
      <c r="AV855" s="1075"/>
    </row>
    <row r="856" spans="1:48" ht="11.25" hidden="1" customHeight="1">
      <c r="A856" s="1075"/>
      <c r="B856" s="1075"/>
      <c r="C856" s="1075"/>
      <c r="D856" s="1075"/>
      <c r="E856" s="1075"/>
      <c r="F856" s="1075"/>
      <c r="G856" s="1075"/>
      <c r="H856" s="1075"/>
      <c r="I856" s="1075"/>
      <c r="J856" s="1075"/>
      <c r="K856" s="1075"/>
      <c r="L856" s="1075"/>
      <c r="M856" s="1075"/>
      <c r="N856" s="1075"/>
      <c r="O856" s="1075"/>
      <c r="P856" s="1075"/>
      <c r="Q856" s="1075"/>
      <c r="R856" s="1075"/>
      <c r="S856" s="1075"/>
      <c r="T856" s="1075"/>
      <c r="U856" s="1075"/>
      <c r="V856" s="1075"/>
      <c r="W856" s="1075"/>
      <c r="X856" s="1075"/>
      <c r="Y856" s="1075"/>
      <c r="Z856" s="1075"/>
      <c r="AA856" s="1075"/>
      <c r="AB856" s="1075"/>
      <c r="AC856" s="1075"/>
      <c r="AD856" s="1075"/>
      <c r="AE856" s="1075"/>
      <c r="AF856" s="1075"/>
      <c r="AG856" s="1075"/>
      <c r="AH856" s="1075"/>
      <c r="AI856" s="1075"/>
      <c r="AJ856" s="1075"/>
      <c r="AK856" s="1075"/>
      <c r="AL856" s="1075"/>
      <c r="AM856" s="1075"/>
      <c r="AN856" s="1075"/>
      <c r="AO856" s="1075"/>
      <c r="AP856" s="1075"/>
      <c r="AQ856" s="1075"/>
      <c r="AR856" s="1075"/>
      <c r="AS856" s="1075"/>
      <c r="AT856" s="1075"/>
      <c r="AU856" s="1075"/>
      <c r="AV856" s="1075"/>
    </row>
    <row r="857" spans="1:48" ht="11.25" hidden="1" customHeight="1">
      <c r="A857" s="1075"/>
      <c r="B857" s="1075"/>
      <c r="C857" s="1075"/>
      <c r="D857" s="1075"/>
      <c r="E857" s="1075"/>
      <c r="F857" s="1075"/>
      <c r="G857" s="1075"/>
      <c r="H857" s="1075"/>
      <c r="I857" s="1075"/>
      <c r="J857" s="1075"/>
      <c r="K857" s="1075"/>
      <c r="L857" s="1075"/>
      <c r="M857" s="1075"/>
      <c r="N857" s="1075"/>
      <c r="O857" s="1075"/>
      <c r="P857" s="1075"/>
      <c r="Q857" s="1075"/>
      <c r="R857" s="1075"/>
      <c r="S857" s="1075"/>
      <c r="T857" s="1075"/>
      <c r="U857" s="1075"/>
      <c r="V857" s="1075"/>
      <c r="W857" s="1075"/>
      <c r="X857" s="1075"/>
      <c r="Y857" s="1075"/>
      <c r="Z857" s="1075"/>
      <c r="AA857" s="1075"/>
      <c r="AB857" s="1075"/>
      <c r="AC857" s="1075"/>
      <c r="AD857" s="1075"/>
      <c r="AE857" s="1075"/>
      <c r="AF857" s="1075"/>
      <c r="AG857" s="1075"/>
      <c r="AH857" s="1075"/>
      <c r="AI857" s="1075"/>
      <c r="AJ857" s="1075"/>
      <c r="AK857" s="1075"/>
      <c r="AL857" s="1075"/>
      <c r="AM857" s="1075"/>
      <c r="AN857" s="1075"/>
      <c r="AO857" s="1075"/>
      <c r="AP857" s="1075"/>
      <c r="AQ857" s="1075"/>
      <c r="AR857" s="1075"/>
      <c r="AS857" s="1075"/>
      <c r="AT857" s="1075"/>
      <c r="AU857" s="1075"/>
      <c r="AV857" s="1075"/>
    </row>
    <row r="858" spans="1:48" ht="11.25" hidden="1" customHeight="1">
      <c r="A858" s="1075"/>
      <c r="B858" s="1075"/>
      <c r="C858" s="1075"/>
      <c r="D858" s="1075"/>
      <c r="E858" s="1075"/>
      <c r="F858" s="1075"/>
      <c r="G858" s="1075"/>
      <c r="H858" s="1075"/>
      <c r="I858" s="1075"/>
      <c r="J858" s="1075"/>
      <c r="K858" s="1075"/>
      <c r="L858" s="1075"/>
      <c r="M858" s="1075"/>
      <c r="N858" s="1075"/>
      <c r="O858" s="1075"/>
      <c r="P858" s="1075"/>
      <c r="Q858" s="1075"/>
      <c r="R858" s="1075"/>
      <c r="S858" s="1075"/>
      <c r="T858" s="1075"/>
      <c r="U858" s="1075"/>
      <c r="V858" s="1075"/>
      <c r="W858" s="1075"/>
      <c r="X858" s="1075"/>
      <c r="Y858" s="1075"/>
      <c r="Z858" s="1075"/>
      <c r="AA858" s="1075"/>
      <c r="AB858" s="1075"/>
      <c r="AC858" s="1075"/>
      <c r="AD858" s="1075"/>
      <c r="AE858" s="1075"/>
      <c r="AF858" s="1075"/>
      <c r="AG858" s="1075"/>
      <c r="AH858" s="1075"/>
      <c r="AI858" s="1075"/>
      <c r="AJ858" s="1075"/>
      <c r="AK858" s="1075"/>
      <c r="AL858" s="1075"/>
      <c r="AM858" s="1075"/>
      <c r="AN858" s="1075"/>
      <c r="AO858" s="1075"/>
      <c r="AP858" s="1075"/>
      <c r="AQ858" s="1075"/>
      <c r="AR858" s="1075"/>
      <c r="AS858" s="1075"/>
      <c r="AT858" s="1075"/>
      <c r="AU858" s="1075"/>
      <c r="AV858" s="1075"/>
    </row>
    <row r="859" spans="1:48" ht="11.25" hidden="1" customHeight="1">
      <c r="A859" s="1075"/>
      <c r="B859" s="1075"/>
      <c r="C859" s="1075"/>
      <c r="D859" s="1075"/>
      <c r="E859" s="1075"/>
      <c r="F859" s="1075"/>
      <c r="G859" s="1075"/>
      <c r="H859" s="1075"/>
      <c r="I859" s="1075"/>
      <c r="J859" s="1075"/>
      <c r="K859" s="1075"/>
      <c r="L859" s="1075"/>
      <c r="M859" s="1075"/>
      <c r="N859" s="1075"/>
      <c r="O859" s="1075"/>
      <c r="P859" s="1075"/>
      <c r="Q859" s="1075"/>
      <c r="R859" s="1075"/>
      <c r="S859" s="1075"/>
      <c r="T859" s="1075"/>
      <c r="U859" s="1075"/>
      <c r="V859" s="1075"/>
      <c r="W859" s="1075"/>
      <c r="X859" s="1075"/>
      <c r="Y859" s="1075"/>
      <c r="Z859" s="1075"/>
      <c r="AA859" s="1075"/>
      <c r="AB859" s="1075"/>
      <c r="AC859" s="1075"/>
      <c r="AD859" s="1075"/>
      <c r="AE859" s="1075"/>
      <c r="AF859" s="1075"/>
      <c r="AG859" s="1075"/>
      <c r="AH859" s="1075"/>
      <c r="AI859" s="1075"/>
      <c r="AJ859" s="1075"/>
      <c r="AK859" s="1075"/>
      <c r="AL859" s="1075"/>
      <c r="AM859" s="1075"/>
      <c r="AN859" s="1075"/>
      <c r="AO859" s="1075"/>
      <c r="AP859" s="1075"/>
      <c r="AQ859" s="1075"/>
      <c r="AR859" s="1075"/>
      <c r="AS859" s="1075"/>
      <c r="AT859" s="1075"/>
      <c r="AU859" s="1075"/>
      <c r="AV859" s="1075"/>
    </row>
    <row r="860" spans="1:48" ht="11.25" hidden="1" customHeight="1">
      <c r="A860" s="1075"/>
      <c r="B860" s="1075"/>
      <c r="C860" s="1075"/>
      <c r="D860" s="1075"/>
      <c r="E860" s="1075"/>
      <c r="F860" s="1075"/>
      <c r="G860" s="1075"/>
      <c r="H860" s="1075"/>
      <c r="I860" s="1075"/>
      <c r="J860" s="1075"/>
      <c r="K860" s="1075"/>
      <c r="L860" s="1075"/>
      <c r="M860" s="1075"/>
      <c r="N860" s="1075"/>
      <c r="O860" s="1075"/>
      <c r="P860" s="1075"/>
      <c r="Q860" s="1075"/>
      <c r="R860" s="1075"/>
      <c r="S860" s="1075"/>
      <c r="T860" s="1075"/>
      <c r="U860" s="1075"/>
      <c r="V860" s="1075"/>
      <c r="W860" s="1075"/>
      <c r="X860" s="1075"/>
      <c r="Y860" s="1075"/>
      <c r="Z860" s="1075"/>
      <c r="AA860" s="1075"/>
      <c r="AB860" s="1075"/>
      <c r="AC860" s="1075"/>
      <c r="AD860" s="1075"/>
      <c r="AE860" s="1075"/>
      <c r="AF860" s="1075"/>
      <c r="AG860" s="1075"/>
      <c r="AH860" s="1075"/>
      <c r="AI860" s="1075"/>
      <c r="AJ860" s="1075"/>
      <c r="AK860" s="1075"/>
      <c r="AL860" s="1075"/>
      <c r="AM860" s="1075"/>
      <c r="AN860" s="1075"/>
      <c r="AO860" s="1075"/>
      <c r="AP860" s="1075"/>
      <c r="AQ860" s="1075"/>
      <c r="AR860" s="1075"/>
      <c r="AS860" s="1075"/>
      <c r="AT860" s="1075"/>
      <c r="AU860" s="1075"/>
      <c r="AV860" s="1075"/>
    </row>
    <row r="861" spans="1:48" ht="11.25" hidden="1" customHeight="1">
      <c r="A861" s="1075"/>
      <c r="B861" s="1075"/>
      <c r="C861" s="1075"/>
      <c r="D861" s="1075"/>
      <c r="E861" s="1075"/>
      <c r="F861" s="1075"/>
      <c r="G861" s="1075"/>
      <c r="H861" s="1075"/>
      <c r="I861" s="1075"/>
      <c r="J861" s="1075"/>
      <c r="K861" s="1075"/>
      <c r="L861" s="1075"/>
      <c r="M861" s="1075"/>
      <c r="N861" s="1075"/>
      <c r="O861" s="1075"/>
      <c r="P861" s="1075"/>
      <c r="Q861" s="1075"/>
      <c r="R861" s="1075"/>
      <c r="S861" s="1075"/>
      <c r="T861" s="1075"/>
      <c r="U861" s="1075"/>
      <c r="V861" s="1075"/>
      <c r="W861" s="1075"/>
      <c r="X861" s="1075"/>
      <c r="Y861" s="1075"/>
      <c r="Z861" s="1075"/>
      <c r="AA861" s="1075"/>
      <c r="AB861" s="1075"/>
      <c r="AC861" s="1075"/>
      <c r="AD861" s="1075"/>
      <c r="AE861" s="1075"/>
      <c r="AF861" s="1075"/>
      <c r="AG861" s="1075"/>
      <c r="AH861" s="1075"/>
      <c r="AI861" s="1075"/>
      <c r="AJ861" s="1075"/>
      <c r="AK861" s="1075"/>
      <c r="AL861" s="1075"/>
      <c r="AM861" s="1075"/>
      <c r="AN861" s="1075"/>
      <c r="AO861" s="1075"/>
      <c r="AP861" s="1075"/>
      <c r="AQ861" s="1075"/>
      <c r="AR861" s="1075"/>
      <c r="AS861" s="1075"/>
      <c r="AT861" s="1075"/>
      <c r="AU861" s="1075"/>
      <c r="AV861" s="1075"/>
    </row>
    <row r="862" spans="1:48" ht="11.25" hidden="1" customHeight="1">
      <c r="A862" s="1075"/>
      <c r="B862" s="1075"/>
      <c r="C862" s="1075"/>
      <c r="D862" s="1075"/>
      <c r="E862" s="1075"/>
      <c r="F862" s="1075"/>
      <c r="G862" s="1075"/>
      <c r="H862" s="1075"/>
      <c r="I862" s="1075"/>
      <c r="J862" s="1075"/>
      <c r="K862" s="1075"/>
      <c r="L862" s="1075"/>
      <c r="M862" s="1075"/>
      <c r="N862" s="1075"/>
      <c r="O862" s="1075"/>
      <c r="P862" s="1075"/>
      <c r="Q862" s="1075"/>
      <c r="R862" s="1075"/>
      <c r="S862" s="1075"/>
      <c r="T862" s="1075"/>
      <c r="U862" s="1075"/>
      <c r="V862" s="1075"/>
      <c r="W862" s="1075"/>
      <c r="X862" s="1075"/>
      <c r="Y862" s="1075"/>
      <c r="Z862" s="1075"/>
      <c r="AA862" s="1075"/>
      <c r="AB862" s="1075"/>
      <c r="AC862" s="1075"/>
      <c r="AD862" s="1075"/>
      <c r="AE862" s="1075"/>
      <c r="AF862" s="1075"/>
      <c r="AG862" s="1075"/>
      <c r="AH862" s="1075"/>
      <c r="AI862" s="1075"/>
      <c r="AJ862" s="1075"/>
      <c r="AK862" s="1075"/>
      <c r="AL862" s="1075"/>
      <c r="AM862" s="1075"/>
      <c r="AN862" s="1075"/>
      <c r="AO862" s="1075"/>
      <c r="AP862" s="1075"/>
      <c r="AQ862" s="1075"/>
      <c r="AR862" s="1075"/>
      <c r="AS862" s="1075"/>
      <c r="AT862" s="1075"/>
      <c r="AU862" s="1075"/>
      <c r="AV862" s="1075"/>
    </row>
    <row r="863" spans="1:48" ht="11.25" hidden="1" customHeight="1">
      <c r="A863" s="1075"/>
      <c r="B863" s="1075"/>
      <c r="C863" s="1075"/>
      <c r="D863" s="1075"/>
      <c r="E863" s="1075"/>
      <c r="F863" s="1075"/>
      <c r="G863" s="1075"/>
      <c r="H863" s="1075"/>
      <c r="I863" s="1075"/>
      <c r="J863" s="1075"/>
      <c r="K863" s="1075"/>
      <c r="L863" s="1075"/>
      <c r="M863" s="1075"/>
      <c r="N863" s="1075"/>
      <c r="O863" s="1075"/>
      <c r="P863" s="1075"/>
      <c r="Q863" s="1075"/>
      <c r="R863" s="1075"/>
      <c r="S863" s="1075"/>
      <c r="T863" s="1075"/>
      <c r="U863" s="1075"/>
      <c r="V863" s="1075"/>
      <c r="W863" s="1075"/>
      <c r="X863" s="1075"/>
      <c r="Y863" s="1075"/>
      <c r="Z863" s="1075"/>
      <c r="AA863" s="1075"/>
      <c r="AB863" s="1075"/>
      <c r="AC863" s="1075"/>
      <c r="AD863" s="1075"/>
      <c r="AE863" s="1075"/>
      <c r="AF863" s="1075"/>
      <c r="AG863" s="1075"/>
      <c r="AH863" s="1075"/>
      <c r="AI863" s="1075"/>
      <c r="AJ863" s="1075"/>
      <c r="AK863" s="1075"/>
      <c r="AL863" s="1075"/>
      <c r="AM863" s="1075"/>
      <c r="AN863" s="1075"/>
      <c r="AO863" s="1075"/>
      <c r="AP863" s="1075"/>
      <c r="AQ863" s="1075"/>
      <c r="AR863" s="1075"/>
      <c r="AS863" s="1075"/>
      <c r="AT863" s="1075"/>
      <c r="AU863" s="1075"/>
      <c r="AV863" s="1075"/>
    </row>
    <row r="864" spans="1:48" ht="11.25" hidden="1" customHeight="1">
      <c r="A864" s="1075"/>
      <c r="B864" s="1075"/>
      <c r="C864" s="1075"/>
      <c r="D864" s="1075"/>
      <c r="E864" s="1075"/>
      <c r="F864" s="1075"/>
      <c r="G864" s="1075"/>
      <c r="H864" s="1075"/>
      <c r="I864" s="1075"/>
      <c r="J864" s="1075"/>
      <c r="K864" s="1075"/>
      <c r="L864" s="1075"/>
      <c r="M864" s="1075"/>
      <c r="N864" s="1075"/>
      <c r="O864" s="1075"/>
      <c r="P864" s="1075"/>
      <c r="Q864" s="1075"/>
      <c r="R864" s="1075"/>
      <c r="S864" s="1075"/>
      <c r="T864" s="1075"/>
      <c r="U864" s="1075"/>
      <c r="V864" s="1075"/>
      <c r="W864" s="1075"/>
      <c r="X864" s="1075"/>
      <c r="Y864" s="1075"/>
      <c r="Z864" s="1075"/>
      <c r="AA864" s="1075"/>
      <c r="AB864" s="1075"/>
      <c r="AC864" s="1075"/>
      <c r="AD864" s="1075"/>
      <c r="AE864" s="1075"/>
      <c r="AF864" s="1075"/>
      <c r="AG864" s="1075"/>
      <c r="AH864" s="1075"/>
      <c r="AI864" s="1075"/>
      <c r="AJ864" s="1075"/>
      <c r="AK864" s="1075"/>
      <c r="AL864" s="1075"/>
      <c r="AM864" s="1075"/>
      <c r="AN864" s="1075"/>
      <c r="AO864" s="1075"/>
      <c r="AP864" s="1075"/>
      <c r="AQ864" s="1075"/>
      <c r="AR864" s="1075"/>
      <c r="AS864" s="1075"/>
      <c r="AT864" s="1075"/>
      <c r="AU864" s="1075"/>
      <c r="AV864" s="1075"/>
    </row>
    <row r="865" spans="1:48" ht="11.25" hidden="1" customHeight="1">
      <c r="A865" s="1075"/>
      <c r="B865" s="1075"/>
      <c r="C865" s="1075"/>
      <c r="D865" s="1075"/>
      <c r="E865" s="1075"/>
      <c r="F865" s="1075"/>
      <c r="G865" s="1075"/>
      <c r="H865" s="1075"/>
      <c r="I865" s="1075"/>
      <c r="J865" s="1075"/>
      <c r="K865" s="1075"/>
      <c r="L865" s="1075"/>
      <c r="M865" s="1075"/>
      <c r="N865" s="1075"/>
      <c r="O865" s="1075"/>
      <c r="P865" s="1075"/>
      <c r="Q865" s="1075"/>
      <c r="R865" s="1075"/>
      <c r="S865" s="1075"/>
      <c r="T865" s="1075"/>
      <c r="U865" s="1075"/>
      <c r="V865" s="1075"/>
      <c r="W865" s="1075"/>
      <c r="X865" s="1075"/>
      <c r="Y865" s="1075"/>
      <c r="Z865" s="1075"/>
      <c r="AA865" s="1075"/>
      <c r="AB865" s="1075"/>
      <c r="AC865" s="1075"/>
      <c r="AD865" s="1075"/>
      <c r="AE865" s="1075"/>
      <c r="AF865" s="1075"/>
      <c r="AG865" s="1075"/>
      <c r="AH865" s="1075"/>
      <c r="AI865" s="1075"/>
      <c r="AJ865" s="1075"/>
      <c r="AK865" s="1075"/>
      <c r="AL865" s="1075"/>
      <c r="AM865" s="1075"/>
      <c r="AN865" s="1075"/>
      <c r="AO865" s="1075"/>
      <c r="AP865" s="1075"/>
      <c r="AQ865" s="1075"/>
      <c r="AR865" s="1075"/>
      <c r="AS865" s="1075"/>
      <c r="AT865" s="1075"/>
      <c r="AU865" s="1075"/>
      <c r="AV865" s="1075"/>
    </row>
    <row r="866" spans="1:48" ht="11.25" hidden="1" customHeight="1">
      <c r="A866" s="1075"/>
      <c r="B866" s="1075"/>
      <c r="C866" s="1075"/>
      <c r="D866" s="1075"/>
      <c r="E866" s="1075"/>
      <c r="F866" s="1075"/>
      <c r="G866" s="1075"/>
      <c r="H866" s="1075"/>
      <c r="I866" s="1075"/>
      <c r="J866" s="1075"/>
      <c r="K866" s="1075"/>
      <c r="L866" s="1075"/>
      <c r="M866" s="1075"/>
      <c r="N866" s="1075"/>
      <c r="O866" s="1075"/>
      <c r="P866" s="1075"/>
      <c r="Q866" s="1075"/>
      <c r="R866" s="1075"/>
      <c r="S866" s="1075"/>
      <c r="T866" s="1075"/>
      <c r="U866" s="1075"/>
      <c r="V866" s="1075"/>
      <c r="W866" s="1075"/>
      <c r="X866" s="1075"/>
      <c r="Y866" s="1075"/>
      <c r="Z866" s="1075"/>
      <c r="AA866" s="1075"/>
      <c r="AB866" s="1075"/>
      <c r="AC866" s="1075"/>
      <c r="AD866" s="1075"/>
      <c r="AE866" s="1075"/>
      <c r="AF866" s="1075"/>
      <c r="AG866" s="1075"/>
      <c r="AH866" s="1075"/>
      <c r="AI866" s="1075"/>
      <c r="AJ866" s="1075"/>
      <c r="AK866" s="1075"/>
      <c r="AL866" s="1075"/>
      <c r="AM866" s="1075"/>
      <c r="AN866" s="1075"/>
      <c r="AO866" s="1075"/>
      <c r="AP866" s="1075"/>
      <c r="AQ866" s="1075"/>
      <c r="AR866" s="1075"/>
      <c r="AS866" s="1075"/>
      <c r="AT866" s="1075"/>
      <c r="AU866" s="1075"/>
      <c r="AV866" s="1075"/>
    </row>
    <row r="867" spans="1:48" ht="11.25" hidden="1" customHeight="1">
      <c r="A867" s="1075"/>
      <c r="B867" s="1075"/>
      <c r="C867" s="1075"/>
      <c r="D867" s="1075"/>
      <c r="E867" s="1075"/>
      <c r="F867" s="1075"/>
      <c r="G867" s="1075"/>
      <c r="H867" s="1075"/>
      <c r="I867" s="1075"/>
      <c r="J867" s="1075"/>
      <c r="K867" s="1075"/>
      <c r="L867" s="1075"/>
      <c r="M867" s="1075"/>
      <c r="N867" s="1075"/>
      <c r="O867" s="1075"/>
      <c r="P867" s="1075"/>
      <c r="Q867" s="1075"/>
      <c r="R867" s="1075"/>
      <c r="S867" s="1075"/>
      <c r="T867" s="1075"/>
      <c r="U867" s="1075"/>
      <c r="V867" s="1075"/>
      <c r="W867" s="1075"/>
      <c r="X867" s="1075"/>
      <c r="Y867" s="1075"/>
      <c r="Z867" s="1075"/>
      <c r="AA867" s="1075"/>
      <c r="AB867" s="1075"/>
      <c r="AC867" s="1075"/>
      <c r="AD867" s="1075"/>
      <c r="AE867" s="1075"/>
      <c r="AF867" s="1075"/>
      <c r="AG867" s="1075"/>
      <c r="AH867" s="1075"/>
      <c r="AI867" s="1075"/>
      <c r="AJ867" s="1075"/>
      <c r="AK867" s="1075"/>
      <c r="AL867" s="1075"/>
      <c r="AM867" s="1075"/>
      <c r="AN867" s="1075"/>
      <c r="AO867" s="1075"/>
      <c r="AP867" s="1075"/>
      <c r="AQ867" s="1075"/>
      <c r="AR867" s="1075"/>
      <c r="AS867" s="1075"/>
      <c r="AT867" s="1075"/>
      <c r="AU867" s="1075"/>
      <c r="AV867" s="1075"/>
    </row>
    <row r="868" spans="1:48" ht="11.25" hidden="1" customHeight="1">
      <c r="A868" s="1075"/>
      <c r="B868" s="1075"/>
      <c r="C868" s="1075"/>
      <c r="D868" s="1075"/>
      <c r="E868" s="1075"/>
      <c r="F868" s="1075"/>
      <c r="G868" s="1075"/>
      <c r="H868" s="1075"/>
      <c r="I868" s="1075"/>
      <c r="J868" s="1075"/>
      <c r="K868" s="1075"/>
      <c r="L868" s="1075"/>
      <c r="M868" s="1075"/>
      <c r="N868" s="1075"/>
      <c r="O868" s="1075"/>
      <c r="P868" s="1075"/>
      <c r="Q868" s="1075"/>
      <c r="R868" s="1075"/>
      <c r="S868" s="1075"/>
      <c r="T868" s="1075"/>
      <c r="U868" s="1075"/>
      <c r="V868" s="1075"/>
      <c r="W868" s="1075"/>
      <c r="X868" s="1075"/>
      <c r="Y868" s="1075"/>
      <c r="Z868" s="1075"/>
      <c r="AA868" s="1075"/>
      <c r="AB868" s="1075"/>
      <c r="AC868" s="1075"/>
      <c r="AD868" s="1075"/>
      <c r="AE868" s="1075"/>
      <c r="AF868" s="1075"/>
      <c r="AG868" s="1075"/>
      <c r="AH868" s="1075"/>
      <c r="AI868" s="1075"/>
      <c r="AJ868" s="1075"/>
      <c r="AK868" s="1075"/>
      <c r="AL868" s="1075"/>
      <c r="AM868" s="1075"/>
      <c r="AN868" s="1075"/>
      <c r="AO868" s="1075"/>
      <c r="AP868" s="1075"/>
      <c r="AQ868" s="1075"/>
      <c r="AR868" s="1075"/>
      <c r="AS868" s="1075"/>
      <c r="AT868" s="1075"/>
      <c r="AU868" s="1075"/>
      <c r="AV868" s="1075"/>
    </row>
    <row r="869" spans="1:48" ht="11.25" hidden="1" customHeight="1">
      <c r="A869" s="1075"/>
      <c r="B869" s="1075"/>
      <c r="C869" s="1075"/>
      <c r="D869" s="1075"/>
      <c r="E869" s="1075"/>
      <c r="F869" s="1075"/>
      <c r="G869" s="1075"/>
      <c r="H869" s="1075"/>
      <c r="I869" s="1075"/>
      <c r="J869" s="1075"/>
      <c r="K869" s="1075"/>
      <c r="L869" s="1075"/>
      <c r="M869" s="1075"/>
      <c r="N869" s="1075"/>
      <c r="O869" s="1075"/>
      <c r="P869" s="1075"/>
      <c r="Q869" s="1075"/>
      <c r="R869" s="1075"/>
      <c r="S869" s="1075"/>
      <c r="T869" s="1075"/>
      <c r="U869" s="1075"/>
      <c r="V869" s="1075"/>
      <c r="W869" s="1075"/>
      <c r="X869" s="1075"/>
      <c r="Y869" s="1075"/>
      <c r="Z869" s="1075"/>
      <c r="AA869" s="1075"/>
      <c r="AB869" s="1075"/>
      <c r="AC869" s="1075"/>
      <c r="AD869" s="1075"/>
      <c r="AE869" s="1075"/>
      <c r="AF869" s="1075"/>
      <c r="AG869" s="1075"/>
      <c r="AH869" s="1075"/>
      <c r="AI869" s="1075"/>
      <c r="AJ869" s="1075"/>
      <c r="AK869" s="1075"/>
      <c r="AL869" s="1075"/>
      <c r="AM869" s="1075"/>
      <c r="AN869" s="1075"/>
      <c r="AO869" s="1075"/>
      <c r="AP869" s="1075"/>
      <c r="AQ869" s="1075"/>
      <c r="AR869" s="1075"/>
      <c r="AS869" s="1075"/>
      <c r="AT869" s="1075"/>
      <c r="AU869" s="1075"/>
      <c r="AV869" s="1075"/>
    </row>
    <row r="870" spans="1:48" ht="11.25" hidden="1" customHeight="1">
      <c r="A870" s="1075"/>
      <c r="B870" s="1075"/>
      <c r="C870" s="1075"/>
      <c r="D870" s="1075"/>
      <c r="E870" s="1075"/>
      <c r="F870" s="1075"/>
      <c r="G870" s="1075"/>
      <c r="H870" s="1075"/>
      <c r="I870" s="1075"/>
      <c r="J870" s="1075"/>
      <c r="K870" s="1075"/>
      <c r="L870" s="1075"/>
      <c r="M870" s="1075"/>
      <c r="N870" s="1075"/>
      <c r="O870" s="1075"/>
      <c r="P870" s="1075"/>
      <c r="Q870" s="1075"/>
      <c r="R870" s="1075"/>
      <c r="S870" s="1075"/>
      <c r="T870" s="1075"/>
      <c r="U870" s="1075"/>
      <c r="V870" s="1075"/>
      <c r="W870" s="1075"/>
      <c r="X870" s="1075"/>
      <c r="Y870" s="1075"/>
      <c r="Z870" s="1075"/>
      <c r="AA870" s="1075"/>
      <c r="AB870" s="1075"/>
      <c r="AC870" s="1075"/>
      <c r="AD870" s="1075"/>
      <c r="AE870" s="1075"/>
      <c r="AF870" s="1075"/>
      <c r="AG870" s="1075"/>
      <c r="AH870" s="1075"/>
      <c r="AI870" s="1075"/>
      <c r="AJ870" s="1075"/>
      <c r="AK870" s="1075"/>
      <c r="AL870" s="1075"/>
      <c r="AM870" s="1075"/>
      <c r="AN870" s="1075"/>
      <c r="AO870" s="1075"/>
      <c r="AP870" s="1075"/>
      <c r="AQ870" s="1075"/>
      <c r="AR870" s="1075"/>
      <c r="AS870" s="1075"/>
      <c r="AT870" s="1075"/>
      <c r="AU870" s="1075"/>
      <c r="AV870" s="1075"/>
    </row>
    <row r="871" spans="1:48" ht="11.25" hidden="1" customHeight="1">
      <c r="A871" s="1075"/>
      <c r="B871" s="1075"/>
      <c r="C871" s="1075"/>
      <c r="D871" s="1075"/>
      <c r="E871" s="1075"/>
      <c r="F871" s="1075"/>
      <c r="G871" s="1075"/>
      <c r="H871" s="1075"/>
      <c r="I871" s="1075"/>
      <c r="J871" s="1075"/>
      <c r="K871" s="1075"/>
      <c r="L871" s="1075"/>
      <c r="M871" s="1075"/>
      <c r="N871" s="1075"/>
      <c r="O871" s="1075"/>
      <c r="P871" s="1075"/>
      <c r="Q871" s="1075"/>
      <c r="R871" s="1075"/>
      <c r="S871" s="1075"/>
      <c r="T871" s="1075"/>
      <c r="U871" s="1075"/>
      <c r="V871" s="1075"/>
      <c r="W871" s="1075"/>
      <c r="X871" s="1075"/>
      <c r="Y871" s="1075"/>
      <c r="Z871" s="1075"/>
      <c r="AA871" s="1075"/>
      <c r="AB871" s="1075"/>
      <c r="AC871" s="1075"/>
      <c r="AD871" s="1075"/>
      <c r="AE871" s="1075"/>
      <c r="AF871" s="1075"/>
      <c r="AG871" s="1075"/>
      <c r="AH871" s="1075"/>
      <c r="AI871" s="1075"/>
      <c r="AJ871" s="1075"/>
      <c r="AK871" s="1075"/>
      <c r="AL871" s="1075"/>
      <c r="AM871" s="1075"/>
      <c r="AN871" s="1075"/>
      <c r="AO871" s="1075"/>
      <c r="AP871" s="1075"/>
      <c r="AQ871" s="1075"/>
      <c r="AR871" s="1075"/>
      <c r="AS871" s="1075"/>
      <c r="AT871" s="1075"/>
      <c r="AU871" s="1075"/>
      <c r="AV871" s="1075"/>
    </row>
    <row r="872" spans="1:48" ht="11.25" hidden="1" customHeight="1">
      <c r="A872" s="1075"/>
      <c r="B872" s="1075"/>
      <c r="C872" s="1075"/>
      <c r="D872" s="1075"/>
      <c r="E872" s="1075"/>
      <c r="F872" s="1075"/>
      <c r="G872" s="1075"/>
      <c r="H872" s="1075"/>
      <c r="I872" s="1075"/>
      <c r="J872" s="1075"/>
      <c r="K872" s="1075"/>
      <c r="L872" s="1075"/>
      <c r="M872" s="1075"/>
      <c r="N872" s="1075"/>
      <c r="O872" s="1075"/>
      <c r="P872" s="1075"/>
      <c r="Q872" s="1075"/>
      <c r="R872" s="1075"/>
      <c r="S872" s="1075"/>
      <c r="T872" s="1075"/>
      <c r="U872" s="1075"/>
      <c r="V872" s="1075"/>
      <c r="W872" s="1075"/>
      <c r="X872" s="1075"/>
      <c r="Y872" s="1075"/>
      <c r="Z872" s="1075"/>
      <c r="AA872" s="1075"/>
      <c r="AB872" s="1075"/>
      <c r="AC872" s="1075"/>
      <c r="AD872" s="1075"/>
      <c r="AE872" s="1075"/>
      <c r="AF872" s="1075"/>
      <c r="AG872" s="1075"/>
      <c r="AH872" s="1075"/>
      <c r="AI872" s="1075"/>
      <c r="AJ872" s="1075"/>
      <c r="AK872" s="1075"/>
      <c r="AL872" s="1075"/>
      <c r="AM872" s="1075"/>
      <c r="AN872" s="1075"/>
      <c r="AO872" s="1075"/>
      <c r="AP872" s="1075"/>
      <c r="AQ872" s="1075"/>
      <c r="AR872" s="1075"/>
      <c r="AS872" s="1075"/>
      <c r="AT872" s="1075"/>
      <c r="AU872" s="1075"/>
      <c r="AV872" s="1075"/>
    </row>
    <row r="873" spans="1:48" ht="11.25" hidden="1" customHeight="1">
      <c r="A873" s="1075"/>
      <c r="B873" s="1075"/>
      <c r="C873" s="1075"/>
      <c r="D873" s="1075"/>
      <c r="E873" s="1075"/>
      <c r="F873" s="1075"/>
      <c r="G873" s="1075"/>
      <c r="H873" s="1075"/>
      <c r="I873" s="1075"/>
      <c r="J873" s="1075"/>
      <c r="K873" s="1075"/>
      <c r="L873" s="1075"/>
      <c r="M873" s="1075"/>
      <c r="N873" s="1075"/>
      <c r="O873" s="1075"/>
      <c r="P873" s="1075"/>
      <c r="Q873" s="1075"/>
      <c r="R873" s="1075"/>
      <c r="S873" s="1075"/>
      <c r="T873" s="1075"/>
      <c r="U873" s="1075"/>
      <c r="V873" s="1075"/>
      <c r="W873" s="1075"/>
      <c r="X873" s="1075"/>
      <c r="Y873" s="1075"/>
      <c r="Z873" s="1075"/>
      <c r="AA873" s="1075"/>
      <c r="AB873" s="1075"/>
      <c r="AC873" s="1075"/>
      <c r="AD873" s="1075"/>
      <c r="AE873" s="1075"/>
      <c r="AF873" s="1075"/>
      <c r="AG873" s="1075"/>
      <c r="AH873" s="1075"/>
      <c r="AI873" s="1075"/>
      <c r="AJ873" s="1075"/>
      <c r="AK873" s="1075"/>
      <c r="AL873" s="1075"/>
      <c r="AM873" s="1075"/>
      <c r="AN873" s="1075"/>
      <c r="AO873" s="1075"/>
      <c r="AP873" s="1075"/>
      <c r="AQ873" s="1075"/>
      <c r="AR873" s="1075"/>
      <c r="AS873" s="1075"/>
      <c r="AT873" s="1075"/>
      <c r="AU873" s="1075"/>
      <c r="AV873" s="1075"/>
    </row>
    <row r="874" spans="1:48" ht="11.25" hidden="1" customHeight="1">
      <c r="A874" s="1075"/>
      <c r="B874" s="1075"/>
      <c r="C874" s="1075"/>
      <c r="D874" s="1075"/>
      <c r="E874" s="1075"/>
      <c r="F874" s="1075"/>
      <c r="G874" s="1075"/>
      <c r="H874" s="1075"/>
      <c r="I874" s="1075"/>
      <c r="J874" s="1075"/>
      <c r="K874" s="1075"/>
      <c r="L874" s="1075"/>
      <c r="M874" s="1075"/>
      <c r="N874" s="1075"/>
      <c r="O874" s="1075"/>
      <c r="P874" s="1075"/>
      <c r="Q874" s="1075"/>
      <c r="R874" s="1075"/>
      <c r="S874" s="1075"/>
      <c r="T874" s="1075"/>
      <c r="U874" s="1075"/>
      <c r="V874" s="1075"/>
      <c r="W874" s="1075"/>
      <c r="X874" s="1075"/>
      <c r="Y874" s="1075"/>
      <c r="Z874" s="1075"/>
      <c r="AA874" s="1075"/>
      <c r="AB874" s="1075"/>
      <c r="AC874" s="1075"/>
      <c r="AD874" s="1075"/>
      <c r="AE874" s="1075"/>
      <c r="AF874" s="1075"/>
      <c r="AG874" s="1075"/>
      <c r="AH874" s="1075"/>
      <c r="AI874" s="1075"/>
      <c r="AJ874" s="1075"/>
      <c r="AK874" s="1075"/>
      <c r="AL874" s="1075"/>
      <c r="AM874" s="1075"/>
      <c r="AN874" s="1075"/>
      <c r="AO874" s="1075"/>
      <c r="AP874" s="1075"/>
      <c r="AQ874" s="1075"/>
      <c r="AR874" s="1075"/>
      <c r="AS874" s="1075"/>
      <c r="AT874" s="1075"/>
      <c r="AU874" s="1075"/>
      <c r="AV874" s="1075"/>
    </row>
    <row r="875" spans="1:48" ht="11.25" hidden="1" customHeight="1">
      <c r="A875" s="1075"/>
      <c r="B875" s="1075"/>
      <c r="C875" s="1075"/>
      <c r="D875" s="1075"/>
      <c r="E875" s="1075"/>
      <c r="F875" s="1075"/>
      <c r="G875" s="1075"/>
      <c r="H875" s="1075"/>
      <c r="I875" s="1075"/>
      <c r="J875" s="1075"/>
      <c r="K875" s="1075"/>
      <c r="L875" s="1075"/>
      <c r="M875" s="1075"/>
      <c r="N875" s="1075"/>
      <c r="O875" s="1075"/>
      <c r="P875" s="1075"/>
      <c r="Q875" s="1075"/>
      <c r="R875" s="1075"/>
      <c r="S875" s="1075"/>
      <c r="T875" s="1075"/>
      <c r="U875" s="1075"/>
      <c r="V875" s="1075"/>
      <c r="W875" s="1075"/>
      <c r="X875" s="1075"/>
      <c r="Y875" s="1075"/>
      <c r="Z875" s="1075"/>
      <c r="AA875" s="1075"/>
      <c r="AB875" s="1075"/>
      <c r="AC875" s="1075"/>
      <c r="AD875" s="1075"/>
      <c r="AE875" s="1075"/>
      <c r="AF875" s="1075"/>
      <c r="AG875" s="1075"/>
      <c r="AH875" s="1075"/>
      <c r="AI875" s="1075"/>
      <c r="AJ875" s="1075"/>
      <c r="AK875" s="1075"/>
      <c r="AL875" s="1075"/>
      <c r="AM875" s="1075"/>
      <c r="AN875" s="1075"/>
      <c r="AO875" s="1075"/>
      <c r="AP875" s="1075"/>
      <c r="AQ875" s="1075"/>
      <c r="AR875" s="1075"/>
      <c r="AS875" s="1075"/>
      <c r="AT875" s="1075"/>
      <c r="AU875" s="1075"/>
      <c r="AV875" s="1075"/>
    </row>
    <row r="876" spans="1:48" ht="11.25" hidden="1" customHeight="1">
      <c r="A876" s="1075"/>
      <c r="B876" s="1075"/>
      <c r="C876" s="1075"/>
      <c r="D876" s="1075"/>
      <c r="E876" s="1075"/>
      <c r="F876" s="1075"/>
      <c r="G876" s="1075"/>
      <c r="H876" s="1075"/>
      <c r="I876" s="1075"/>
      <c r="J876" s="1075"/>
      <c r="K876" s="1075"/>
      <c r="L876" s="1075"/>
      <c r="M876" s="1075"/>
      <c r="N876" s="1075"/>
      <c r="O876" s="1075"/>
      <c r="P876" s="1075"/>
      <c r="Q876" s="1075"/>
      <c r="R876" s="1075"/>
      <c r="S876" s="1075"/>
      <c r="T876" s="1075"/>
      <c r="U876" s="1075"/>
      <c r="V876" s="1075"/>
      <c r="W876" s="1075"/>
      <c r="X876" s="1075"/>
      <c r="Y876" s="1075"/>
      <c r="Z876" s="1075"/>
      <c r="AA876" s="1075"/>
      <c r="AB876" s="1075"/>
      <c r="AC876" s="1075"/>
      <c r="AD876" s="1075"/>
      <c r="AE876" s="1075"/>
      <c r="AF876" s="1075"/>
      <c r="AG876" s="1075"/>
      <c r="AH876" s="1075"/>
      <c r="AI876" s="1075"/>
      <c r="AJ876" s="1075"/>
      <c r="AK876" s="1075"/>
      <c r="AL876" s="1075"/>
      <c r="AM876" s="1075"/>
      <c r="AN876" s="1075"/>
      <c r="AO876" s="1075"/>
      <c r="AP876" s="1075"/>
      <c r="AQ876" s="1075"/>
      <c r="AR876" s="1075"/>
      <c r="AS876" s="1075"/>
      <c r="AT876" s="1075"/>
      <c r="AU876" s="1075"/>
      <c r="AV876" s="1075"/>
    </row>
    <row r="877" spans="1:48" ht="11.25" hidden="1" customHeight="1">
      <c r="A877" s="1075"/>
      <c r="B877" s="1075"/>
      <c r="C877" s="1075"/>
      <c r="D877" s="1075"/>
      <c r="E877" s="1075"/>
      <c r="F877" s="1075"/>
      <c r="G877" s="1075"/>
      <c r="H877" s="1075"/>
      <c r="I877" s="1075"/>
      <c r="J877" s="1075"/>
      <c r="K877" s="1075"/>
      <c r="L877" s="1075"/>
      <c r="M877" s="1075"/>
      <c r="N877" s="1075"/>
      <c r="O877" s="1075"/>
      <c r="P877" s="1075"/>
      <c r="Q877" s="1075"/>
      <c r="R877" s="1075"/>
      <c r="S877" s="1075"/>
      <c r="T877" s="1075"/>
      <c r="U877" s="1075"/>
      <c r="V877" s="1075"/>
      <c r="W877" s="1075"/>
      <c r="X877" s="1075"/>
      <c r="Y877" s="1075"/>
      <c r="Z877" s="1075"/>
      <c r="AA877" s="1075"/>
      <c r="AB877" s="1075"/>
      <c r="AC877" s="1075"/>
      <c r="AD877" s="1075"/>
      <c r="AE877" s="1075"/>
      <c r="AF877" s="1075"/>
      <c r="AG877" s="1075"/>
      <c r="AH877" s="1075"/>
      <c r="AI877" s="1075"/>
      <c r="AJ877" s="1075"/>
      <c r="AK877" s="1075"/>
      <c r="AL877" s="1075"/>
      <c r="AM877" s="1075"/>
      <c r="AN877" s="1075"/>
      <c r="AO877" s="1075"/>
      <c r="AP877" s="1075"/>
      <c r="AQ877" s="1075"/>
      <c r="AR877" s="1075"/>
      <c r="AS877" s="1075"/>
      <c r="AT877" s="1075"/>
      <c r="AU877" s="1075"/>
      <c r="AV877" s="1075"/>
    </row>
    <row r="878" spans="1:48" ht="11.25" hidden="1" customHeight="1">
      <c r="A878" s="1075"/>
      <c r="B878" s="1075"/>
      <c r="C878" s="1075"/>
      <c r="D878" s="1075"/>
      <c r="E878" s="1075"/>
      <c r="F878" s="1075"/>
      <c r="G878" s="1075"/>
      <c r="H878" s="1075"/>
      <c r="I878" s="1075"/>
      <c r="J878" s="1075"/>
      <c r="K878" s="1075"/>
      <c r="L878" s="1075"/>
      <c r="M878" s="1075"/>
      <c r="N878" s="1075"/>
      <c r="O878" s="1075"/>
      <c r="P878" s="1075"/>
      <c r="Q878" s="1075"/>
      <c r="R878" s="1075"/>
      <c r="S878" s="1075"/>
      <c r="T878" s="1075"/>
      <c r="U878" s="1075"/>
      <c r="V878" s="1075"/>
      <c r="W878" s="1075"/>
      <c r="X878" s="1075"/>
      <c r="Y878" s="1075"/>
      <c r="Z878" s="1075"/>
      <c r="AA878" s="1075"/>
      <c r="AB878" s="1075"/>
      <c r="AC878" s="1075"/>
      <c r="AD878" s="1075"/>
      <c r="AE878" s="1075"/>
      <c r="AF878" s="1075"/>
      <c r="AG878" s="1075"/>
      <c r="AH878" s="1075"/>
      <c r="AI878" s="1075"/>
      <c r="AJ878" s="1075"/>
      <c r="AK878" s="1075"/>
      <c r="AL878" s="1075"/>
      <c r="AM878" s="1075"/>
      <c r="AN878" s="1075"/>
      <c r="AO878" s="1075"/>
      <c r="AP878" s="1075"/>
      <c r="AQ878" s="1075"/>
      <c r="AR878" s="1075"/>
      <c r="AS878" s="1075"/>
      <c r="AT878" s="1075"/>
      <c r="AU878" s="1075"/>
      <c r="AV878" s="1075"/>
    </row>
    <row r="879" spans="1:48" ht="11.25" hidden="1" customHeight="1">
      <c r="A879" s="1075"/>
      <c r="B879" s="1075"/>
      <c r="C879" s="1075"/>
      <c r="D879" s="1075"/>
      <c r="E879" s="1075"/>
      <c r="F879" s="1075"/>
      <c r="G879" s="1075"/>
      <c r="H879" s="1075"/>
      <c r="I879" s="1075"/>
      <c r="J879" s="1075"/>
      <c r="K879" s="1075"/>
      <c r="L879" s="1075"/>
      <c r="M879" s="1075"/>
      <c r="N879" s="1075"/>
      <c r="O879" s="1075"/>
      <c r="P879" s="1075"/>
      <c r="Q879" s="1075"/>
      <c r="R879" s="1075"/>
      <c r="S879" s="1075"/>
      <c r="T879" s="1075"/>
      <c r="U879" s="1075"/>
      <c r="V879" s="1075"/>
      <c r="W879" s="1075"/>
      <c r="X879" s="1075"/>
      <c r="Y879" s="1075"/>
      <c r="Z879" s="1075"/>
      <c r="AA879" s="1075"/>
      <c r="AB879" s="1075"/>
      <c r="AC879" s="1075"/>
      <c r="AD879" s="1075"/>
      <c r="AE879" s="1075"/>
      <c r="AF879" s="1075"/>
      <c r="AG879" s="1075"/>
      <c r="AH879" s="1075"/>
      <c r="AI879" s="1075"/>
      <c r="AJ879" s="1075"/>
      <c r="AK879" s="1075"/>
      <c r="AL879" s="1075"/>
      <c r="AM879" s="1075"/>
      <c r="AN879" s="1075"/>
      <c r="AO879" s="1075"/>
      <c r="AP879" s="1075"/>
      <c r="AQ879" s="1075"/>
      <c r="AR879" s="1075"/>
      <c r="AS879" s="1075"/>
      <c r="AT879" s="1075"/>
      <c r="AU879" s="1075"/>
      <c r="AV879" s="1075"/>
    </row>
    <row r="880" spans="1:48" ht="11.25" hidden="1" customHeight="1">
      <c r="A880" s="1075"/>
      <c r="B880" s="1075"/>
      <c r="C880" s="1075"/>
      <c r="D880" s="1075"/>
      <c r="E880" s="1075"/>
      <c r="F880" s="1075"/>
      <c r="G880" s="1075"/>
      <c r="H880" s="1075"/>
      <c r="I880" s="1075"/>
      <c r="J880" s="1075"/>
      <c r="K880" s="1075"/>
      <c r="L880" s="1075"/>
      <c r="M880" s="1075"/>
      <c r="N880" s="1075"/>
      <c r="O880" s="1075"/>
      <c r="P880" s="1075"/>
      <c r="Q880" s="1075"/>
      <c r="R880" s="1075"/>
      <c r="S880" s="1075"/>
      <c r="T880" s="1075"/>
      <c r="U880" s="1075"/>
      <c r="V880" s="1075"/>
      <c r="W880" s="1075"/>
      <c r="X880" s="1075"/>
      <c r="Y880" s="1075"/>
      <c r="Z880" s="1075"/>
      <c r="AA880" s="1075"/>
      <c r="AB880" s="1075"/>
      <c r="AC880" s="1075"/>
      <c r="AD880" s="1075"/>
      <c r="AE880" s="1075"/>
      <c r="AF880" s="1075"/>
      <c r="AG880" s="1075"/>
      <c r="AH880" s="1075"/>
      <c r="AI880" s="1075"/>
      <c r="AJ880" s="1075"/>
      <c r="AK880" s="1075"/>
      <c r="AL880" s="1075"/>
      <c r="AM880" s="1075"/>
      <c r="AN880" s="1075"/>
      <c r="AO880" s="1075"/>
      <c r="AP880" s="1075"/>
      <c r="AQ880" s="1075"/>
      <c r="AR880" s="1075"/>
      <c r="AS880" s="1075"/>
      <c r="AT880" s="1075"/>
      <c r="AU880" s="1075"/>
      <c r="AV880" s="1075"/>
    </row>
    <row r="881" spans="1:48" ht="11.25" hidden="1" customHeight="1">
      <c r="A881" s="1075"/>
      <c r="B881" s="1075"/>
      <c r="C881" s="1075"/>
      <c r="D881" s="1075"/>
      <c r="E881" s="1075"/>
      <c r="F881" s="1075"/>
      <c r="G881" s="1075"/>
      <c r="H881" s="1075"/>
      <c r="I881" s="1075"/>
      <c r="J881" s="1075"/>
      <c r="K881" s="1075"/>
      <c r="L881" s="1075"/>
      <c r="M881" s="1075"/>
      <c r="N881" s="1075"/>
      <c r="O881" s="1075"/>
      <c r="P881" s="1075"/>
      <c r="Q881" s="1075"/>
      <c r="R881" s="1075"/>
      <c r="S881" s="1075"/>
      <c r="T881" s="1075"/>
      <c r="U881" s="1075"/>
      <c r="V881" s="1075"/>
      <c r="W881" s="1075"/>
      <c r="X881" s="1075"/>
      <c r="Y881" s="1075"/>
      <c r="Z881" s="1075"/>
      <c r="AA881" s="1075"/>
      <c r="AB881" s="1075"/>
      <c r="AC881" s="1075"/>
      <c r="AD881" s="1075"/>
      <c r="AE881" s="1075"/>
      <c r="AF881" s="1075"/>
      <c r="AG881" s="1075"/>
      <c r="AH881" s="1075"/>
      <c r="AI881" s="1075"/>
      <c r="AJ881" s="1075"/>
      <c r="AK881" s="1075"/>
      <c r="AL881" s="1075"/>
      <c r="AM881" s="1075"/>
      <c r="AN881" s="1075"/>
      <c r="AO881" s="1075"/>
      <c r="AP881" s="1075"/>
      <c r="AQ881" s="1075"/>
      <c r="AR881" s="1075"/>
      <c r="AS881" s="1075"/>
      <c r="AT881" s="1075"/>
      <c r="AU881" s="1075"/>
      <c r="AV881" s="1075"/>
    </row>
    <row r="882" spans="1:48" ht="11.25" hidden="1" customHeight="1">
      <c r="A882" s="1075"/>
      <c r="B882" s="1075"/>
      <c r="C882" s="1075"/>
      <c r="D882" s="1075"/>
      <c r="E882" s="1075"/>
      <c r="F882" s="1075"/>
      <c r="G882" s="1075"/>
      <c r="H882" s="1075"/>
      <c r="I882" s="1075"/>
      <c r="J882" s="1075"/>
      <c r="K882" s="1075"/>
      <c r="L882" s="1075"/>
      <c r="M882" s="1075"/>
      <c r="N882" s="1075"/>
      <c r="O882" s="1075"/>
      <c r="P882" s="1075"/>
      <c r="Q882" s="1075"/>
      <c r="R882" s="1075"/>
      <c r="S882" s="1075"/>
      <c r="T882" s="1075"/>
      <c r="U882" s="1075"/>
      <c r="V882" s="1075"/>
      <c r="W882" s="1075"/>
      <c r="X882" s="1075"/>
      <c r="Y882" s="1075"/>
      <c r="Z882" s="1075"/>
      <c r="AA882" s="1075"/>
      <c r="AB882" s="1075"/>
      <c r="AC882" s="1075"/>
      <c r="AD882" s="1075"/>
      <c r="AE882" s="1075"/>
      <c r="AF882" s="1075"/>
      <c r="AG882" s="1075"/>
      <c r="AH882" s="1075"/>
      <c r="AI882" s="1075"/>
      <c r="AJ882" s="1075"/>
      <c r="AK882" s="1075"/>
      <c r="AL882" s="1075"/>
      <c r="AM882" s="1075"/>
      <c r="AN882" s="1075"/>
      <c r="AO882" s="1075"/>
      <c r="AP882" s="1075"/>
      <c r="AQ882" s="1075"/>
      <c r="AR882" s="1075"/>
      <c r="AS882" s="1075"/>
      <c r="AT882" s="1075"/>
      <c r="AU882" s="1075"/>
      <c r="AV882" s="1075"/>
    </row>
    <row r="883" spans="1:48" ht="11.25" hidden="1" customHeight="1">
      <c r="A883" s="1075"/>
      <c r="B883" s="1075"/>
      <c r="C883" s="1075"/>
      <c r="D883" s="1075"/>
      <c r="E883" s="1075"/>
      <c r="F883" s="1075"/>
      <c r="G883" s="1075"/>
      <c r="H883" s="1075"/>
      <c r="I883" s="1075"/>
      <c r="J883" s="1075"/>
      <c r="K883" s="1075"/>
      <c r="L883" s="1075"/>
      <c r="M883" s="1075"/>
      <c r="N883" s="1075"/>
      <c r="O883" s="1075"/>
      <c r="P883" s="1075"/>
      <c r="Q883" s="1075"/>
      <c r="R883" s="1075"/>
      <c r="S883" s="1075"/>
      <c r="T883" s="1075"/>
      <c r="U883" s="1075"/>
      <c r="V883" s="1075"/>
      <c r="W883" s="1075"/>
      <c r="X883" s="1075"/>
      <c r="Y883" s="1075"/>
      <c r="Z883" s="1075"/>
      <c r="AA883" s="1075"/>
      <c r="AB883" s="1075"/>
      <c r="AC883" s="1075"/>
      <c r="AD883" s="1075"/>
      <c r="AE883" s="1075"/>
      <c r="AF883" s="1075"/>
      <c r="AG883" s="1075"/>
      <c r="AH883" s="1075"/>
      <c r="AI883" s="1075"/>
      <c r="AJ883" s="1075"/>
      <c r="AK883" s="1075"/>
      <c r="AL883" s="1075"/>
      <c r="AM883" s="1075"/>
      <c r="AN883" s="1075"/>
      <c r="AO883" s="1075"/>
      <c r="AP883" s="1075"/>
      <c r="AQ883" s="1075"/>
      <c r="AR883" s="1075"/>
      <c r="AS883" s="1075"/>
      <c r="AT883" s="1075"/>
      <c r="AU883" s="1075"/>
      <c r="AV883" s="1075"/>
    </row>
    <row r="884" spans="1:48" ht="11.25" hidden="1" customHeight="1">
      <c r="A884" s="1075"/>
      <c r="B884" s="1075"/>
      <c r="C884" s="1075"/>
      <c r="D884" s="1075"/>
      <c r="E884" s="1075"/>
      <c r="F884" s="1075"/>
      <c r="G884" s="1075"/>
      <c r="H884" s="1075"/>
      <c r="I884" s="1075"/>
      <c r="J884" s="1075"/>
      <c r="K884" s="1075"/>
      <c r="L884" s="1075"/>
      <c r="M884" s="1075"/>
      <c r="N884" s="1075"/>
      <c r="O884" s="1075"/>
      <c r="P884" s="1075"/>
      <c r="Q884" s="1075"/>
      <c r="R884" s="1075"/>
      <c r="S884" s="1075"/>
      <c r="T884" s="1075"/>
      <c r="U884" s="1075"/>
      <c r="V884" s="1075"/>
      <c r="W884" s="1075"/>
      <c r="X884" s="1075"/>
      <c r="Y884" s="1075"/>
      <c r="Z884" s="1075"/>
      <c r="AA884" s="1075"/>
      <c r="AB884" s="1075"/>
      <c r="AC884" s="1075"/>
      <c r="AD884" s="1075"/>
      <c r="AE884" s="1075"/>
      <c r="AF884" s="1075"/>
      <c r="AG884" s="1075"/>
      <c r="AH884" s="1075"/>
      <c r="AI884" s="1075"/>
      <c r="AJ884" s="1075"/>
      <c r="AK884" s="1075"/>
      <c r="AL884" s="1075"/>
      <c r="AM884" s="1075"/>
      <c r="AN884" s="1075"/>
      <c r="AO884" s="1075"/>
      <c r="AP884" s="1075"/>
      <c r="AQ884" s="1075"/>
      <c r="AR884" s="1075"/>
      <c r="AS884" s="1075"/>
      <c r="AT884" s="1075"/>
      <c r="AU884" s="1075"/>
      <c r="AV884" s="1075"/>
    </row>
    <row r="885" spans="1:48" ht="11.25" hidden="1" customHeight="1">
      <c r="A885" s="1075"/>
      <c r="B885" s="1075"/>
      <c r="C885" s="1075"/>
      <c r="D885" s="1075"/>
      <c r="E885" s="1075"/>
      <c r="F885" s="1075"/>
      <c r="G885" s="1075"/>
      <c r="H885" s="1075"/>
      <c r="I885" s="1075"/>
      <c r="J885" s="1075"/>
      <c r="K885" s="1075"/>
      <c r="L885" s="1075"/>
      <c r="M885" s="1075"/>
      <c r="N885" s="1075"/>
      <c r="O885" s="1075"/>
      <c r="P885" s="1075"/>
      <c r="Q885" s="1075"/>
      <c r="R885" s="1075"/>
      <c r="S885" s="1075"/>
      <c r="T885" s="1075"/>
      <c r="U885" s="1075"/>
      <c r="V885" s="1075"/>
      <c r="W885" s="1075"/>
      <c r="X885" s="1075"/>
      <c r="Y885" s="1075"/>
      <c r="Z885" s="1075"/>
      <c r="AA885" s="1075"/>
      <c r="AB885" s="1075"/>
      <c r="AC885" s="1075"/>
      <c r="AD885" s="1075"/>
      <c r="AE885" s="1075"/>
      <c r="AF885" s="1075"/>
      <c r="AG885" s="1075"/>
      <c r="AH885" s="1075"/>
      <c r="AI885" s="1075"/>
      <c r="AJ885" s="1075"/>
      <c r="AK885" s="1075"/>
      <c r="AL885" s="1075"/>
      <c r="AM885" s="1075"/>
      <c r="AN885" s="1075"/>
      <c r="AO885" s="1075"/>
      <c r="AP885" s="1075"/>
      <c r="AQ885" s="1075"/>
      <c r="AR885" s="1075"/>
      <c r="AS885" s="1075"/>
      <c r="AT885" s="1075"/>
      <c r="AU885" s="1075"/>
      <c r="AV885" s="1075"/>
    </row>
    <row r="886" spans="1:48" ht="11.25" hidden="1" customHeight="1">
      <c r="A886" s="1075"/>
      <c r="B886" s="1075"/>
      <c r="C886" s="1075"/>
      <c r="D886" s="1075"/>
      <c r="E886" s="1075"/>
      <c r="F886" s="1075"/>
      <c r="G886" s="1075"/>
      <c r="H886" s="1075"/>
      <c r="I886" s="1075"/>
      <c r="J886" s="1075"/>
      <c r="K886" s="1075"/>
      <c r="L886" s="1075"/>
      <c r="M886" s="1075"/>
      <c r="N886" s="1075"/>
      <c r="O886" s="1075"/>
      <c r="P886" s="1075"/>
      <c r="Q886" s="1075"/>
      <c r="R886" s="1075"/>
      <c r="S886" s="1075"/>
      <c r="T886" s="1075"/>
      <c r="U886" s="1075"/>
      <c r="V886" s="1075"/>
      <c r="W886" s="1075"/>
      <c r="X886" s="1075"/>
      <c r="Y886" s="1075"/>
      <c r="Z886" s="1075"/>
      <c r="AA886" s="1075"/>
      <c r="AB886" s="1075"/>
      <c r="AC886" s="1075"/>
      <c r="AD886" s="1075"/>
      <c r="AE886" s="1075"/>
      <c r="AF886" s="1075"/>
      <c r="AG886" s="1075"/>
      <c r="AH886" s="1075"/>
      <c r="AI886" s="1075"/>
      <c r="AJ886" s="1075"/>
      <c r="AK886" s="1075"/>
      <c r="AL886" s="1075"/>
      <c r="AM886" s="1075"/>
      <c r="AN886" s="1075"/>
      <c r="AO886" s="1075"/>
      <c r="AP886" s="1075"/>
      <c r="AQ886" s="1075"/>
      <c r="AR886" s="1075"/>
      <c r="AS886" s="1075"/>
      <c r="AT886" s="1075"/>
      <c r="AU886" s="1075"/>
      <c r="AV886" s="1075"/>
    </row>
    <row r="887" spans="1:48" ht="11.25" hidden="1" customHeight="1">
      <c r="A887" s="1075"/>
      <c r="B887" s="1075"/>
      <c r="C887" s="1075"/>
      <c r="D887" s="1075"/>
      <c r="E887" s="1075"/>
      <c r="F887" s="1075"/>
      <c r="G887" s="1075"/>
      <c r="H887" s="1075"/>
      <c r="I887" s="1075"/>
      <c r="J887" s="1075"/>
      <c r="K887" s="1075"/>
      <c r="L887" s="1075"/>
      <c r="M887" s="1075"/>
      <c r="N887" s="1075"/>
      <c r="O887" s="1075"/>
      <c r="P887" s="1075"/>
      <c r="Q887" s="1075"/>
      <c r="R887" s="1075"/>
      <c r="S887" s="1075"/>
      <c r="T887" s="1075"/>
      <c r="U887" s="1075"/>
      <c r="V887" s="1075"/>
      <c r="W887" s="1075"/>
      <c r="X887" s="1075"/>
      <c r="Y887" s="1075"/>
      <c r="Z887" s="1075"/>
      <c r="AA887" s="1075"/>
      <c r="AB887" s="1075"/>
      <c r="AC887" s="1075"/>
      <c r="AD887" s="1075"/>
      <c r="AE887" s="1075"/>
      <c r="AF887" s="1075"/>
      <c r="AG887" s="1075"/>
      <c r="AH887" s="1075"/>
      <c r="AI887" s="1075"/>
      <c r="AJ887" s="1075"/>
      <c r="AK887" s="1075"/>
      <c r="AL887" s="1075"/>
      <c r="AM887" s="1075"/>
      <c r="AN887" s="1075"/>
      <c r="AO887" s="1075"/>
      <c r="AP887" s="1075"/>
      <c r="AQ887" s="1075"/>
      <c r="AR887" s="1075"/>
      <c r="AS887" s="1075"/>
      <c r="AT887" s="1075"/>
      <c r="AU887" s="1075"/>
      <c r="AV887" s="1075"/>
    </row>
    <row r="888" spans="1:48" ht="11.25" hidden="1" customHeight="1">
      <c r="A888" s="1075"/>
      <c r="B888" s="1075"/>
      <c r="C888" s="1075"/>
      <c r="D888" s="1075"/>
      <c r="E888" s="1075"/>
      <c r="F888" s="1075"/>
      <c r="G888" s="1075"/>
      <c r="H888" s="1075"/>
      <c r="I888" s="1075"/>
      <c r="J888" s="1075"/>
      <c r="K888" s="1075"/>
      <c r="L888" s="1075"/>
      <c r="M888" s="1075"/>
      <c r="N888" s="1075"/>
      <c r="O888" s="1075"/>
      <c r="P888" s="1075"/>
      <c r="Q888" s="1075"/>
      <c r="R888" s="1075"/>
      <c r="S888" s="1075"/>
      <c r="T888" s="1075"/>
      <c r="U888" s="1075"/>
      <c r="V888" s="1075"/>
      <c r="W888" s="1075"/>
      <c r="X888" s="1075"/>
      <c r="Y888" s="1075"/>
      <c r="Z888" s="1075"/>
      <c r="AA888" s="1075"/>
      <c r="AB888" s="1075"/>
      <c r="AC888" s="1075"/>
      <c r="AD888" s="1075"/>
      <c r="AE888" s="1075"/>
      <c r="AF888" s="1075"/>
      <c r="AG888" s="1075"/>
      <c r="AH888" s="1075"/>
      <c r="AI888" s="1075"/>
      <c r="AJ888" s="1075"/>
      <c r="AK888" s="1075"/>
      <c r="AL888" s="1075"/>
      <c r="AM888" s="1075"/>
      <c r="AN888" s="1075"/>
      <c r="AO888" s="1075"/>
      <c r="AP888" s="1075"/>
      <c r="AQ888" s="1075"/>
      <c r="AR888" s="1075"/>
      <c r="AS888" s="1075"/>
      <c r="AT888" s="1075"/>
      <c r="AU888" s="1075"/>
      <c r="AV888" s="1075"/>
    </row>
    <row r="889" spans="1:48" ht="11.25" hidden="1" customHeight="1">
      <c r="A889" s="1075"/>
      <c r="B889" s="1075"/>
      <c r="C889" s="1075"/>
      <c r="D889" s="1075"/>
      <c r="E889" s="1075"/>
      <c r="F889" s="1075"/>
      <c r="G889" s="1075"/>
      <c r="H889" s="1075"/>
      <c r="I889" s="1075"/>
      <c r="J889" s="1075"/>
      <c r="K889" s="1075"/>
      <c r="L889" s="1075"/>
      <c r="M889" s="1075"/>
      <c r="N889" s="1075"/>
      <c r="O889" s="1075"/>
      <c r="P889" s="1075"/>
      <c r="Q889" s="1075"/>
      <c r="R889" s="1075"/>
      <c r="S889" s="1075"/>
      <c r="T889" s="1075"/>
      <c r="U889" s="1075"/>
      <c r="V889" s="1075"/>
      <c r="W889" s="1075"/>
      <c r="X889" s="1075"/>
      <c r="Y889" s="1075"/>
      <c r="Z889" s="1075"/>
      <c r="AA889" s="1075"/>
      <c r="AB889" s="1075"/>
      <c r="AC889" s="1075"/>
      <c r="AD889" s="1075"/>
      <c r="AE889" s="1075"/>
      <c r="AF889" s="1075"/>
      <c r="AG889" s="1075"/>
      <c r="AH889" s="1075"/>
      <c r="AI889" s="1075"/>
      <c r="AJ889" s="1075"/>
      <c r="AK889" s="1075"/>
      <c r="AL889" s="1075"/>
      <c r="AM889" s="1075"/>
      <c r="AN889" s="1075"/>
      <c r="AO889" s="1075"/>
      <c r="AP889" s="1075"/>
      <c r="AQ889" s="1075"/>
      <c r="AR889" s="1075"/>
      <c r="AS889" s="1075"/>
      <c r="AT889" s="1075"/>
      <c r="AU889" s="1075"/>
      <c r="AV889" s="1075"/>
    </row>
    <row r="890" spans="1:48" ht="11.25" hidden="1" customHeight="1">
      <c r="A890" s="1075"/>
      <c r="B890" s="1075"/>
      <c r="C890" s="1075"/>
      <c r="D890" s="1075"/>
      <c r="E890" s="1075"/>
      <c r="F890" s="1075"/>
      <c r="G890" s="1075"/>
      <c r="H890" s="1075"/>
      <c r="I890" s="1075"/>
      <c r="J890" s="1075"/>
      <c r="K890" s="1075"/>
      <c r="L890" s="1075"/>
      <c r="M890" s="1075"/>
      <c r="N890" s="1075"/>
      <c r="O890" s="1075"/>
      <c r="P890" s="1075"/>
      <c r="Q890" s="1075"/>
      <c r="R890" s="1075"/>
      <c r="S890" s="1075"/>
      <c r="T890" s="1075"/>
      <c r="U890" s="1075"/>
      <c r="V890" s="1075"/>
      <c r="W890" s="1075"/>
      <c r="X890" s="1075"/>
      <c r="Y890" s="1075"/>
      <c r="Z890" s="1075"/>
      <c r="AA890" s="1075"/>
      <c r="AB890" s="1075"/>
      <c r="AC890" s="1075"/>
      <c r="AD890" s="1075"/>
      <c r="AE890" s="1075"/>
      <c r="AF890" s="1075"/>
      <c r="AG890" s="1075"/>
      <c r="AH890" s="1075"/>
      <c r="AI890" s="1075"/>
      <c r="AJ890" s="1075"/>
      <c r="AK890" s="1075"/>
      <c r="AL890" s="1075"/>
      <c r="AM890" s="1075"/>
      <c r="AN890" s="1075"/>
      <c r="AO890" s="1075"/>
      <c r="AP890" s="1075"/>
      <c r="AQ890" s="1075"/>
      <c r="AR890" s="1075"/>
      <c r="AS890" s="1075"/>
      <c r="AT890" s="1075"/>
      <c r="AU890" s="1075"/>
      <c r="AV890" s="1075"/>
    </row>
    <row r="891" spans="1:48" ht="11.25" hidden="1" customHeight="1">
      <c r="A891" s="1075"/>
      <c r="B891" s="1075"/>
      <c r="C891" s="1075"/>
      <c r="D891" s="1075"/>
      <c r="E891" s="1075"/>
      <c r="F891" s="1075"/>
      <c r="G891" s="1075"/>
      <c r="H891" s="1075"/>
      <c r="I891" s="1075"/>
      <c r="J891" s="1075"/>
      <c r="K891" s="1075"/>
      <c r="L891" s="1075"/>
      <c r="M891" s="1075"/>
      <c r="N891" s="1075"/>
      <c r="O891" s="1075"/>
      <c r="P891" s="1075"/>
      <c r="Q891" s="1075"/>
      <c r="R891" s="1075"/>
      <c r="S891" s="1075"/>
      <c r="T891" s="1075"/>
      <c r="U891" s="1075"/>
      <c r="V891" s="1075"/>
      <c r="W891" s="1075"/>
      <c r="X891" s="1075"/>
      <c r="Y891" s="1075"/>
      <c r="Z891" s="1075"/>
      <c r="AA891" s="1075"/>
      <c r="AB891" s="1075"/>
      <c r="AC891" s="1075"/>
      <c r="AD891" s="1075"/>
      <c r="AE891" s="1075"/>
      <c r="AF891" s="1075"/>
      <c r="AG891" s="1075"/>
      <c r="AH891" s="1075"/>
      <c r="AI891" s="1075"/>
      <c r="AJ891" s="1075"/>
      <c r="AK891" s="1075"/>
      <c r="AL891" s="1075"/>
      <c r="AM891" s="1075"/>
      <c r="AN891" s="1075"/>
      <c r="AO891" s="1075"/>
      <c r="AP891" s="1075"/>
      <c r="AQ891" s="1075"/>
      <c r="AR891" s="1075"/>
      <c r="AS891" s="1075"/>
      <c r="AT891" s="1075"/>
      <c r="AU891" s="1075"/>
      <c r="AV891" s="1075"/>
    </row>
    <row r="892" spans="1:48" ht="11.25" hidden="1" customHeight="1">
      <c r="A892" s="1075"/>
      <c r="B892" s="1075"/>
      <c r="C892" s="1075"/>
      <c r="D892" s="1075"/>
      <c r="E892" s="1075"/>
      <c r="F892" s="1075"/>
      <c r="G892" s="1075"/>
      <c r="H892" s="1075"/>
      <c r="I892" s="1075"/>
      <c r="J892" s="1075"/>
      <c r="K892" s="1075"/>
      <c r="L892" s="1075"/>
      <c r="M892" s="1075"/>
      <c r="N892" s="1075"/>
      <c r="O892" s="1075"/>
      <c r="P892" s="1075"/>
      <c r="Q892" s="1075"/>
      <c r="R892" s="1075"/>
      <c r="S892" s="1075"/>
      <c r="T892" s="1075"/>
      <c r="U892" s="1075"/>
      <c r="V892" s="1075"/>
      <c r="W892" s="1075"/>
      <c r="X892" s="1075"/>
      <c r="Y892" s="1075"/>
      <c r="Z892" s="1075"/>
      <c r="AA892" s="1075"/>
      <c r="AB892" s="1075"/>
      <c r="AC892" s="1075"/>
      <c r="AD892" s="1075"/>
      <c r="AE892" s="1075"/>
      <c r="AF892" s="1075"/>
      <c r="AG892" s="1075"/>
      <c r="AH892" s="1075"/>
      <c r="AI892" s="1075"/>
      <c r="AJ892" s="1075"/>
      <c r="AK892" s="1075"/>
      <c r="AL892" s="1075"/>
      <c r="AM892" s="1075"/>
      <c r="AN892" s="1075"/>
      <c r="AO892" s="1075"/>
      <c r="AP892" s="1075"/>
      <c r="AQ892" s="1075"/>
      <c r="AR892" s="1075"/>
      <c r="AS892" s="1075"/>
      <c r="AT892" s="1075"/>
      <c r="AU892" s="1075"/>
      <c r="AV892" s="1075"/>
    </row>
    <row r="893" spans="1:48" ht="11.25" hidden="1" customHeight="1">
      <c r="A893" s="1075"/>
      <c r="B893" s="1075"/>
      <c r="C893" s="1075"/>
      <c r="D893" s="1075"/>
      <c r="E893" s="1075"/>
      <c r="F893" s="1075"/>
      <c r="G893" s="1075"/>
      <c r="H893" s="1075"/>
      <c r="I893" s="1075"/>
      <c r="J893" s="1075"/>
      <c r="K893" s="1075"/>
      <c r="L893" s="1075"/>
      <c r="M893" s="1075"/>
      <c r="N893" s="1075"/>
      <c r="O893" s="1075"/>
      <c r="P893" s="1075"/>
      <c r="Q893" s="1075"/>
      <c r="R893" s="1075"/>
      <c r="S893" s="1075"/>
      <c r="T893" s="1075"/>
      <c r="U893" s="1075"/>
      <c r="V893" s="1075"/>
      <c r="W893" s="1075"/>
      <c r="X893" s="1075"/>
      <c r="Y893" s="1075"/>
      <c r="Z893" s="1075"/>
      <c r="AA893" s="1075"/>
      <c r="AB893" s="1075"/>
      <c r="AC893" s="1075"/>
      <c r="AD893" s="1075"/>
      <c r="AE893" s="1075"/>
      <c r="AF893" s="1075"/>
      <c r="AG893" s="1075"/>
      <c r="AH893" s="1075"/>
      <c r="AI893" s="1075"/>
      <c r="AJ893" s="1075"/>
      <c r="AK893" s="1075"/>
      <c r="AL893" s="1075"/>
      <c r="AM893" s="1075"/>
      <c r="AN893" s="1075"/>
      <c r="AO893" s="1075"/>
      <c r="AP893" s="1075"/>
      <c r="AQ893" s="1075"/>
      <c r="AR893" s="1075"/>
      <c r="AS893" s="1075"/>
      <c r="AT893" s="1075"/>
      <c r="AU893" s="1075"/>
      <c r="AV893" s="1075"/>
    </row>
    <row r="894" spans="1:48" ht="11.25" hidden="1" customHeight="1">
      <c r="A894" s="1075"/>
      <c r="B894" s="1075"/>
      <c r="C894" s="1075"/>
      <c r="D894" s="1075"/>
      <c r="E894" s="1075"/>
      <c r="F894" s="1075"/>
      <c r="G894" s="1075"/>
      <c r="H894" s="1075"/>
      <c r="I894" s="1075"/>
      <c r="J894" s="1075"/>
      <c r="K894" s="1075"/>
      <c r="L894" s="1075"/>
      <c r="M894" s="1075"/>
      <c r="N894" s="1075"/>
      <c r="O894" s="1075"/>
      <c r="P894" s="1075"/>
      <c r="Q894" s="1075"/>
      <c r="R894" s="1075"/>
      <c r="S894" s="1075"/>
      <c r="T894" s="1075"/>
      <c r="U894" s="1075"/>
      <c r="V894" s="1075"/>
      <c r="W894" s="1075"/>
      <c r="X894" s="1075"/>
      <c r="Y894" s="1075"/>
      <c r="Z894" s="1075"/>
      <c r="AA894" s="1075"/>
      <c r="AB894" s="1075"/>
      <c r="AC894" s="1075"/>
      <c r="AD894" s="1075"/>
      <c r="AE894" s="1075"/>
      <c r="AF894" s="1075"/>
      <c r="AG894" s="1075"/>
      <c r="AH894" s="1075"/>
      <c r="AI894" s="1075"/>
      <c r="AJ894" s="1075"/>
      <c r="AK894" s="1075"/>
      <c r="AL894" s="1075"/>
      <c r="AM894" s="1075"/>
      <c r="AN894" s="1075"/>
      <c r="AO894" s="1075"/>
      <c r="AP894" s="1075"/>
      <c r="AQ894" s="1075"/>
      <c r="AR894" s="1075"/>
      <c r="AS894" s="1075"/>
      <c r="AT894" s="1075"/>
      <c r="AU894" s="1075"/>
      <c r="AV894" s="1075"/>
    </row>
    <row r="895" spans="1:48" ht="11.25" hidden="1" customHeight="1">
      <c r="A895" s="1075"/>
      <c r="B895" s="1075"/>
      <c r="C895" s="1075"/>
      <c r="D895" s="1075"/>
      <c r="E895" s="1075"/>
      <c r="F895" s="1075"/>
      <c r="G895" s="1075"/>
      <c r="H895" s="1075"/>
      <c r="I895" s="1075"/>
      <c r="J895" s="1075"/>
      <c r="K895" s="1075"/>
      <c r="L895" s="1075"/>
      <c r="M895" s="1075"/>
      <c r="N895" s="1075"/>
      <c r="O895" s="1075"/>
      <c r="P895" s="1075"/>
      <c r="Q895" s="1075"/>
      <c r="R895" s="1075"/>
      <c r="S895" s="1075"/>
      <c r="T895" s="1075"/>
      <c r="U895" s="1075"/>
      <c r="V895" s="1075"/>
      <c r="W895" s="1075"/>
      <c r="X895" s="1075"/>
      <c r="Y895" s="1075"/>
      <c r="Z895" s="1075"/>
      <c r="AA895" s="1075"/>
      <c r="AB895" s="1075"/>
      <c r="AC895" s="1075"/>
      <c r="AD895" s="1075"/>
      <c r="AE895" s="1075"/>
      <c r="AF895" s="1075"/>
      <c r="AG895" s="1075"/>
      <c r="AH895" s="1075"/>
      <c r="AI895" s="1075"/>
      <c r="AJ895" s="1075"/>
      <c r="AK895" s="1075"/>
      <c r="AL895" s="1075"/>
      <c r="AM895" s="1075"/>
      <c r="AN895" s="1075"/>
      <c r="AO895" s="1075"/>
      <c r="AP895" s="1075"/>
      <c r="AQ895" s="1075"/>
      <c r="AR895" s="1075"/>
      <c r="AS895" s="1075"/>
      <c r="AT895" s="1075"/>
      <c r="AU895" s="1075"/>
      <c r="AV895" s="1075"/>
    </row>
    <row r="896" spans="1:48" ht="11.25" hidden="1" customHeight="1">
      <c r="A896" s="1075"/>
      <c r="B896" s="1075"/>
      <c r="C896" s="1075"/>
      <c r="D896" s="1075"/>
      <c r="E896" s="1075"/>
      <c r="F896" s="1075"/>
      <c r="G896" s="1075"/>
      <c r="H896" s="1075"/>
      <c r="I896" s="1075"/>
      <c r="J896" s="1075"/>
      <c r="K896" s="1075"/>
      <c r="L896" s="1075"/>
      <c r="M896" s="1075"/>
      <c r="N896" s="1075"/>
      <c r="O896" s="1075"/>
      <c r="P896" s="1075"/>
      <c r="Q896" s="1075"/>
      <c r="R896" s="1075"/>
      <c r="S896" s="1075"/>
      <c r="T896" s="1075"/>
      <c r="U896" s="1075"/>
      <c r="V896" s="1075"/>
      <c r="W896" s="1075"/>
      <c r="X896" s="1075"/>
      <c r="Y896" s="1075"/>
      <c r="Z896" s="1075"/>
      <c r="AA896" s="1075"/>
      <c r="AB896" s="1075"/>
      <c r="AC896" s="1075"/>
      <c r="AD896" s="1075"/>
      <c r="AE896" s="1075"/>
      <c r="AF896" s="1075"/>
      <c r="AG896" s="1075"/>
      <c r="AH896" s="1075"/>
      <c r="AI896" s="1075"/>
      <c r="AJ896" s="1075"/>
      <c r="AK896" s="1075"/>
      <c r="AL896" s="1075"/>
      <c r="AM896" s="1075"/>
      <c r="AN896" s="1075"/>
      <c r="AO896" s="1075"/>
      <c r="AP896" s="1075"/>
      <c r="AQ896" s="1075"/>
      <c r="AR896" s="1075"/>
      <c r="AS896" s="1075"/>
      <c r="AT896" s="1075"/>
      <c r="AU896" s="1075"/>
      <c r="AV896" s="1075"/>
    </row>
    <row r="897" spans="1:48" ht="11.25" hidden="1" customHeight="1">
      <c r="A897" s="1075"/>
      <c r="B897" s="1075"/>
      <c r="C897" s="1075"/>
      <c r="D897" s="1075"/>
      <c r="E897" s="1075"/>
      <c r="F897" s="1075"/>
      <c r="G897" s="1075"/>
      <c r="H897" s="1075"/>
      <c r="I897" s="1075"/>
      <c r="J897" s="1075"/>
      <c r="K897" s="1075"/>
      <c r="L897" s="1075"/>
      <c r="M897" s="1075"/>
      <c r="N897" s="1075"/>
      <c r="O897" s="1075"/>
      <c r="P897" s="1075"/>
      <c r="Q897" s="1075"/>
      <c r="R897" s="1075"/>
      <c r="S897" s="1075"/>
      <c r="T897" s="1075"/>
      <c r="U897" s="1075"/>
      <c r="V897" s="1075"/>
      <c r="W897" s="1075"/>
      <c r="X897" s="1075"/>
      <c r="Y897" s="1075"/>
      <c r="Z897" s="1075"/>
      <c r="AA897" s="1075"/>
      <c r="AB897" s="1075"/>
      <c r="AC897" s="1075"/>
      <c r="AD897" s="1075"/>
      <c r="AE897" s="1075"/>
      <c r="AF897" s="1075"/>
      <c r="AG897" s="1075"/>
      <c r="AH897" s="1075"/>
      <c r="AI897" s="1075"/>
      <c r="AJ897" s="1075"/>
      <c r="AK897" s="1075"/>
      <c r="AL897" s="1075"/>
      <c r="AM897" s="1075"/>
      <c r="AN897" s="1075"/>
      <c r="AO897" s="1075"/>
      <c r="AP897" s="1075"/>
      <c r="AQ897" s="1075"/>
      <c r="AR897" s="1075"/>
      <c r="AS897" s="1075"/>
      <c r="AT897" s="1075"/>
      <c r="AU897" s="1075"/>
      <c r="AV897" s="1075"/>
    </row>
    <row r="898" spans="1:48" ht="11.25" hidden="1" customHeight="1">
      <c r="A898" s="1075"/>
      <c r="B898" s="1075"/>
      <c r="C898" s="1075"/>
      <c r="D898" s="1075"/>
      <c r="E898" s="1075"/>
      <c r="F898" s="1075"/>
      <c r="G898" s="1075"/>
      <c r="H898" s="1075"/>
      <c r="I898" s="1075"/>
      <c r="J898" s="1075"/>
      <c r="K898" s="1075"/>
      <c r="L898" s="1075"/>
      <c r="M898" s="1075"/>
      <c r="N898" s="1075"/>
      <c r="O898" s="1075"/>
      <c r="P898" s="1075"/>
      <c r="Q898" s="1075"/>
      <c r="R898" s="1075"/>
      <c r="S898" s="1075"/>
      <c r="T898" s="1075"/>
      <c r="U898" s="1075"/>
      <c r="V898" s="1075"/>
      <c r="W898" s="1075"/>
      <c r="X898" s="1075"/>
      <c r="Y898" s="1075"/>
      <c r="Z898" s="1075"/>
      <c r="AA898" s="1075"/>
      <c r="AB898" s="1075"/>
      <c r="AC898" s="1075"/>
      <c r="AD898" s="1075"/>
      <c r="AE898" s="1075"/>
      <c r="AF898" s="1075"/>
      <c r="AG898" s="1075"/>
      <c r="AH898" s="1075"/>
      <c r="AI898" s="1075"/>
      <c r="AJ898" s="1075"/>
      <c r="AK898" s="1075"/>
      <c r="AL898" s="1075"/>
      <c r="AM898" s="1075"/>
      <c r="AN898" s="1075"/>
      <c r="AO898" s="1075"/>
      <c r="AP898" s="1075"/>
      <c r="AQ898" s="1075"/>
      <c r="AR898" s="1075"/>
      <c r="AS898" s="1075"/>
      <c r="AT898" s="1075"/>
      <c r="AU898" s="1075"/>
      <c r="AV898" s="1075"/>
    </row>
    <row r="899" spans="1:48" ht="11.25" hidden="1" customHeight="1">
      <c r="A899" s="1075"/>
      <c r="B899" s="1075"/>
      <c r="C899" s="1075"/>
      <c r="D899" s="1075"/>
      <c r="E899" s="1075"/>
      <c r="F899" s="1075"/>
      <c r="G899" s="1075"/>
      <c r="H899" s="1075"/>
      <c r="I899" s="1075"/>
      <c r="J899" s="1075"/>
      <c r="K899" s="1075"/>
      <c r="L899" s="1075"/>
      <c r="M899" s="1075"/>
      <c r="N899" s="1075"/>
      <c r="O899" s="1075"/>
      <c r="P899" s="1075"/>
      <c r="Q899" s="1075"/>
      <c r="R899" s="1075"/>
      <c r="S899" s="1075"/>
      <c r="T899" s="1075"/>
      <c r="U899" s="1075"/>
      <c r="V899" s="1075"/>
      <c r="W899" s="1075"/>
      <c r="X899" s="1075"/>
      <c r="Y899" s="1075"/>
      <c r="Z899" s="1075"/>
      <c r="AA899" s="1075"/>
      <c r="AB899" s="1075"/>
      <c r="AC899" s="1075"/>
      <c r="AD899" s="1075"/>
      <c r="AE899" s="1075"/>
      <c r="AF899" s="1075"/>
      <c r="AG899" s="1075"/>
      <c r="AH899" s="1075"/>
      <c r="AI899" s="1075"/>
      <c r="AJ899" s="1075"/>
      <c r="AK899" s="1075"/>
      <c r="AL899" s="1075"/>
      <c r="AM899" s="1075"/>
      <c r="AN899" s="1075"/>
      <c r="AO899" s="1075"/>
      <c r="AP899" s="1075"/>
      <c r="AQ899" s="1075"/>
      <c r="AR899" s="1075"/>
      <c r="AS899" s="1075"/>
      <c r="AT899" s="1075"/>
      <c r="AU899" s="1075"/>
      <c r="AV899" s="1075"/>
    </row>
    <row r="900" spans="1:48" ht="11.25" hidden="1" customHeight="1">
      <c r="A900" s="1075"/>
      <c r="B900" s="1075"/>
      <c r="C900" s="1075"/>
      <c r="D900" s="1075"/>
      <c r="E900" s="1075"/>
      <c r="F900" s="1075"/>
      <c r="G900" s="1075"/>
      <c r="H900" s="1075"/>
      <c r="I900" s="1075"/>
      <c r="J900" s="1075"/>
      <c r="K900" s="1075"/>
      <c r="L900" s="1075"/>
      <c r="M900" s="1075"/>
      <c r="N900" s="1075"/>
      <c r="O900" s="1075"/>
      <c r="P900" s="1075"/>
      <c r="Q900" s="1075"/>
      <c r="R900" s="1075"/>
      <c r="S900" s="1075"/>
      <c r="T900" s="1075"/>
      <c r="U900" s="1075"/>
      <c r="V900" s="1075"/>
      <c r="W900" s="1075"/>
      <c r="X900" s="1075"/>
      <c r="Y900" s="1075"/>
      <c r="Z900" s="1075"/>
      <c r="AA900" s="1075"/>
      <c r="AB900" s="1075"/>
      <c r="AC900" s="1075"/>
      <c r="AD900" s="1075"/>
      <c r="AE900" s="1075"/>
      <c r="AF900" s="1075"/>
      <c r="AG900" s="1075"/>
      <c r="AH900" s="1075"/>
      <c r="AI900" s="1075"/>
      <c r="AJ900" s="1075"/>
      <c r="AK900" s="1075"/>
      <c r="AL900" s="1075"/>
      <c r="AM900" s="1075"/>
      <c r="AN900" s="1075"/>
      <c r="AO900" s="1075"/>
      <c r="AP900" s="1075"/>
      <c r="AQ900" s="1075"/>
      <c r="AR900" s="1075"/>
      <c r="AS900" s="1075"/>
      <c r="AT900" s="1075"/>
      <c r="AU900" s="1075"/>
      <c r="AV900" s="1075"/>
    </row>
    <row r="901" spans="1:48" ht="11.25" hidden="1" customHeight="1">
      <c r="A901" s="1075"/>
      <c r="B901" s="1075"/>
      <c r="C901" s="1075"/>
      <c r="D901" s="1075"/>
      <c r="E901" s="1075"/>
      <c r="F901" s="1075"/>
      <c r="G901" s="1075"/>
      <c r="H901" s="1075"/>
      <c r="I901" s="1075"/>
      <c r="J901" s="1075"/>
      <c r="K901" s="1075"/>
      <c r="L901" s="1075"/>
      <c r="M901" s="1075"/>
      <c r="N901" s="1075"/>
      <c r="O901" s="1075"/>
      <c r="P901" s="1075"/>
      <c r="Q901" s="1075"/>
      <c r="R901" s="1075"/>
      <c r="S901" s="1075"/>
      <c r="T901" s="1075"/>
      <c r="U901" s="1075"/>
      <c r="V901" s="1075"/>
      <c r="W901" s="1075"/>
      <c r="X901" s="1075"/>
      <c r="Y901" s="1075"/>
      <c r="Z901" s="1075"/>
      <c r="AA901" s="1075"/>
      <c r="AB901" s="1075"/>
      <c r="AC901" s="1075"/>
      <c r="AD901" s="1075"/>
      <c r="AE901" s="1075"/>
      <c r="AF901" s="1075"/>
      <c r="AG901" s="1075"/>
      <c r="AH901" s="1075"/>
      <c r="AI901" s="1075"/>
      <c r="AJ901" s="1075"/>
      <c r="AK901" s="1075"/>
      <c r="AL901" s="1075"/>
      <c r="AM901" s="1075"/>
      <c r="AN901" s="1075"/>
      <c r="AO901" s="1075"/>
      <c r="AP901" s="1075"/>
      <c r="AQ901" s="1075"/>
      <c r="AR901" s="1075"/>
      <c r="AS901" s="1075"/>
      <c r="AT901" s="1075"/>
      <c r="AU901" s="1075"/>
      <c r="AV901" s="1075"/>
    </row>
    <row r="902" spans="1:48" ht="11.25" hidden="1" customHeight="1">
      <c r="A902" s="1075"/>
      <c r="B902" s="1075"/>
      <c r="C902" s="1075"/>
      <c r="D902" s="1075"/>
      <c r="E902" s="1075"/>
      <c r="F902" s="1075"/>
      <c r="G902" s="1075"/>
      <c r="H902" s="1075"/>
      <c r="I902" s="1075"/>
      <c r="J902" s="1075"/>
      <c r="K902" s="1075"/>
      <c r="L902" s="1075"/>
      <c r="M902" s="1075"/>
      <c r="N902" s="1075"/>
      <c r="O902" s="1075"/>
      <c r="P902" s="1075"/>
      <c r="Q902" s="1075"/>
      <c r="R902" s="1075"/>
      <c r="S902" s="1075"/>
      <c r="T902" s="1075"/>
      <c r="U902" s="1075"/>
      <c r="V902" s="1075"/>
      <c r="W902" s="1075"/>
      <c r="X902" s="1075"/>
      <c r="Y902" s="1075"/>
      <c r="Z902" s="1075"/>
      <c r="AA902" s="1075"/>
      <c r="AB902" s="1075"/>
      <c r="AC902" s="1075"/>
      <c r="AD902" s="1075"/>
      <c r="AE902" s="1075"/>
      <c r="AF902" s="1075"/>
      <c r="AG902" s="1075"/>
      <c r="AH902" s="1075"/>
      <c r="AI902" s="1075"/>
      <c r="AJ902" s="1075"/>
      <c r="AK902" s="1075"/>
      <c r="AL902" s="1075"/>
      <c r="AM902" s="1075"/>
      <c r="AN902" s="1075"/>
      <c r="AO902" s="1075"/>
      <c r="AP902" s="1075"/>
      <c r="AQ902" s="1075"/>
      <c r="AR902" s="1075"/>
      <c r="AS902" s="1075"/>
      <c r="AT902" s="1075"/>
      <c r="AU902" s="1075"/>
      <c r="AV902" s="1075"/>
    </row>
    <row r="903" spans="1:48" ht="11.25" hidden="1" customHeight="1">
      <c r="A903" s="1075"/>
      <c r="B903" s="1075"/>
      <c r="C903" s="1075"/>
      <c r="D903" s="1075"/>
      <c r="E903" s="1075"/>
      <c r="F903" s="1075"/>
      <c r="G903" s="1075"/>
      <c r="H903" s="1075"/>
      <c r="I903" s="1075"/>
      <c r="J903" s="1075"/>
      <c r="K903" s="1075"/>
      <c r="L903" s="1075"/>
      <c r="M903" s="1075"/>
      <c r="N903" s="1075"/>
      <c r="O903" s="1075"/>
      <c r="P903" s="1075"/>
      <c r="Q903" s="1075"/>
      <c r="R903" s="1075"/>
      <c r="S903" s="1075"/>
      <c r="T903" s="1075"/>
      <c r="U903" s="1075"/>
      <c r="V903" s="1075"/>
      <c r="W903" s="1075"/>
      <c r="X903" s="1075"/>
      <c r="Y903" s="1075"/>
      <c r="Z903" s="1075"/>
      <c r="AA903" s="1075"/>
      <c r="AB903" s="1075"/>
      <c r="AC903" s="1075"/>
      <c r="AD903" s="1075"/>
      <c r="AE903" s="1075"/>
      <c r="AF903" s="1075"/>
      <c r="AG903" s="1075"/>
      <c r="AH903" s="1075"/>
      <c r="AI903" s="1075"/>
      <c r="AJ903" s="1075"/>
      <c r="AK903" s="1075"/>
      <c r="AL903" s="1075"/>
      <c r="AM903" s="1075"/>
      <c r="AN903" s="1075"/>
      <c r="AO903" s="1075"/>
      <c r="AP903" s="1075"/>
      <c r="AQ903" s="1075"/>
      <c r="AR903" s="1075"/>
      <c r="AS903" s="1075"/>
      <c r="AT903" s="1075"/>
      <c r="AU903" s="1075"/>
      <c r="AV903" s="1075"/>
    </row>
    <row r="904" spans="1:48" ht="11.25" hidden="1" customHeight="1">
      <c r="A904" s="1075"/>
      <c r="B904" s="1075"/>
      <c r="C904" s="1075"/>
      <c r="D904" s="1075"/>
      <c r="E904" s="1075"/>
      <c r="F904" s="1075"/>
      <c r="G904" s="1075"/>
      <c r="H904" s="1075"/>
      <c r="I904" s="1075"/>
      <c r="J904" s="1075"/>
      <c r="K904" s="1075"/>
      <c r="L904" s="1075"/>
      <c r="M904" s="1075"/>
      <c r="N904" s="1075"/>
      <c r="O904" s="1075"/>
      <c r="P904" s="1075"/>
      <c r="Q904" s="1075"/>
      <c r="R904" s="1075"/>
      <c r="S904" s="1075"/>
      <c r="T904" s="1075"/>
      <c r="U904" s="1075"/>
      <c r="V904" s="1075"/>
      <c r="W904" s="1075"/>
      <c r="X904" s="1075"/>
      <c r="Y904" s="1075"/>
      <c r="Z904" s="1075"/>
      <c r="AA904" s="1075"/>
      <c r="AB904" s="1075"/>
      <c r="AC904" s="1075"/>
      <c r="AD904" s="1075"/>
      <c r="AE904" s="1075"/>
      <c r="AF904" s="1075"/>
      <c r="AG904" s="1075"/>
      <c r="AH904" s="1075"/>
      <c r="AI904" s="1075"/>
      <c r="AJ904" s="1075"/>
      <c r="AK904" s="1075"/>
      <c r="AL904" s="1075"/>
      <c r="AM904" s="1075"/>
      <c r="AN904" s="1075"/>
      <c r="AO904" s="1075"/>
      <c r="AP904" s="1075"/>
      <c r="AQ904" s="1075"/>
      <c r="AR904" s="1075"/>
      <c r="AS904" s="1075"/>
      <c r="AT904" s="1075"/>
      <c r="AU904" s="1075"/>
      <c r="AV904" s="1075"/>
    </row>
    <row r="905" spans="1:48" ht="11.25" hidden="1" customHeight="1">
      <c r="A905" s="1075"/>
      <c r="B905" s="1075"/>
      <c r="C905" s="1075"/>
      <c r="D905" s="1075"/>
      <c r="E905" s="1075"/>
      <c r="F905" s="1075"/>
      <c r="G905" s="1075"/>
      <c r="H905" s="1075"/>
      <c r="I905" s="1075"/>
      <c r="J905" s="1075"/>
      <c r="K905" s="1075"/>
      <c r="L905" s="1075"/>
      <c r="M905" s="1075"/>
      <c r="N905" s="1075"/>
      <c r="O905" s="1075"/>
      <c r="P905" s="1075"/>
      <c r="Q905" s="1075"/>
      <c r="R905" s="1075"/>
      <c r="S905" s="1075"/>
      <c r="T905" s="1075"/>
      <c r="U905" s="1075"/>
      <c r="V905" s="1075"/>
      <c r="W905" s="1075"/>
      <c r="X905" s="1075"/>
      <c r="Y905" s="1075"/>
      <c r="Z905" s="1075"/>
      <c r="AA905" s="1075"/>
      <c r="AB905" s="1075"/>
      <c r="AC905" s="1075"/>
      <c r="AD905" s="1075"/>
      <c r="AE905" s="1075"/>
      <c r="AF905" s="1075"/>
      <c r="AG905" s="1075"/>
      <c r="AH905" s="1075"/>
      <c r="AI905" s="1075"/>
      <c r="AJ905" s="1075"/>
      <c r="AK905" s="1075"/>
      <c r="AL905" s="1075"/>
      <c r="AM905" s="1075"/>
      <c r="AN905" s="1075"/>
      <c r="AO905" s="1075"/>
      <c r="AP905" s="1075"/>
      <c r="AQ905" s="1075"/>
      <c r="AR905" s="1075"/>
      <c r="AS905" s="1075"/>
      <c r="AT905" s="1075"/>
      <c r="AU905" s="1075"/>
      <c r="AV905" s="1075"/>
    </row>
    <row r="906" spans="1:48" ht="11.25" hidden="1" customHeight="1">
      <c r="A906" s="1075"/>
      <c r="B906" s="1075"/>
      <c r="C906" s="1075"/>
      <c r="D906" s="1075"/>
      <c r="E906" s="1075"/>
      <c r="F906" s="1075"/>
      <c r="G906" s="1075"/>
      <c r="H906" s="1075"/>
      <c r="I906" s="1075"/>
      <c r="J906" s="1075"/>
      <c r="K906" s="1075"/>
      <c r="L906" s="1075"/>
      <c r="M906" s="1075"/>
      <c r="N906" s="1075"/>
      <c r="O906" s="1075"/>
      <c r="P906" s="1075"/>
      <c r="Q906" s="1075"/>
      <c r="R906" s="1075"/>
      <c r="S906" s="1075"/>
      <c r="T906" s="1075"/>
      <c r="U906" s="1075"/>
      <c r="V906" s="1075"/>
      <c r="W906" s="1075"/>
      <c r="X906" s="1075"/>
      <c r="Y906" s="1075"/>
      <c r="Z906" s="1075"/>
      <c r="AA906" s="1075"/>
      <c r="AB906" s="1075"/>
      <c r="AC906" s="1075"/>
      <c r="AD906" s="1075"/>
      <c r="AE906" s="1075"/>
      <c r="AF906" s="1075"/>
      <c r="AG906" s="1075"/>
      <c r="AH906" s="1075"/>
      <c r="AI906" s="1075"/>
      <c r="AJ906" s="1075"/>
      <c r="AK906" s="1075"/>
      <c r="AL906" s="1075"/>
      <c r="AM906" s="1075"/>
      <c r="AN906" s="1075"/>
      <c r="AO906" s="1075"/>
      <c r="AP906" s="1075"/>
      <c r="AQ906" s="1075"/>
      <c r="AR906" s="1075"/>
      <c r="AS906" s="1075"/>
      <c r="AT906" s="1075"/>
      <c r="AU906" s="1075"/>
      <c r="AV906" s="1075"/>
    </row>
    <row r="907" spans="1:48" ht="11.25" hidden="1" customHeight="1">
      <c r="A907" s="1075"/>
      <c r="B907" s="1075"/>
      <c r="C907" s="1075"/>
      <c r="D907" s="1075"/>
      <c r="E907" s="1075"/>
      <c r="F907" s="1075"/>
      <c r="G907" s="1075"/>
      <c r="H907" s="1075"/>
      <c r="I907" s="1075"/>
      <c r="J907" s="1075"/>
      <c r="K907" s="1075"/>
      <c r="L907" s="1075"/>
      <c r="M907" s="1075"/>
      <c r="N907" s="1075"/>
      <c r="O907" s="1075"/>
      <c r="P907" s="1075"/>
      <c r="Q907" s="1075"/>
      <c r="R907" s="1075"/>
      <c r="S907" s="1075"/>
      <c r="T907" s="1075"/>
      <c r="U907" s="1075"/>
      <c r="V907" s="1075"/>
      <c r="W907" s="1075"/>
      <c r="X907" s="1075"/>
      <c r="Y907" s="1075"/>
      <c r="Z907" s="1075"/>
      <c r="AA907" s="1075"/>
      <c r="AB907" s="1075"/>
      <c r="AC907" s="1075"/>
      <c r="AD907" s="1075"/>
      <c r="AE907" s="1075"/>
      <c r="AF907" s="1075"/>
      <c r="AG907" s="1075"/>
      <c r="AH907" s="1075"/>
      <c r="AI907" s="1075"/>
      <c r="AJ907" s="1075"/>
      <c r="AK907" s="1075"/>
      <c r="AL907" s="1075"/>
      <c r="AM907" s="1075"/>
      <c r="AN907" s="1075"/>
      <c r="AO907" s="1075"/>
      <c r="AP907" s="1075"/>
      <c r="AQ907" s="1075"/>
      <c r="AR907" s="1075"/>
      <c r="AS907" s="1075"/>
      <c r="AT907" s="1075"/>
      <c r="AU907" s="1075"/>
      <c r="AV907" s="1075"/>
    </row>
    <row r="908" spans="1:48" ht="11.25" hidden="1" customHeight="1">
      <c r="A908" s="1075"/>
      <c r="B908" s="1075"/>
      <c r="C908" s="1075"/>
      <c r="D908" s="1075"/>
      <c r="E908" s="1075"/>
      <c r="F908" s="1075"/>
      <c r="G908" s="1075"/>
      <c r="H908" s="1075"/>
      <c r="I908" s="1075"/>
      <c r="J908" s="1075"/>
      <c r="K908" s="1075"/>
      <c r="L908" s="1075"/>
      <c r="M908" s="1075"/>
      <c r="N908" s="1075"/>
      <c r="O908" s="1075"/>
      <c r="P908" s="1075"/>
      <c r="Q908" s="1075"/>
      <c r="R908" s="1075"/>
      <c r="S908" s="1075"/>
      <c r="T908" s="1075"/>
      <c r="U908" s="1075"/>
      <c r="V908" s="1075"/>
      <c r="W908" s="1075"/>
      <c r="X908" s="1075"/>
      <c r="Y908" s="1075"/>
      <c r="Z908" s="1075"/>
      <c r="AA908" s="1075"/>
      <c r="AB908" s="1075"/>
      <c r="AC908" s="1075"/>
      <c r="AD908" s="1075"/>
      <c r="AE908" s="1075"/>
      <c r="AF908" s="1075"/>
      <c r="AG908" s="1075"/>
      <c r="AH908" s="1075"/>
      <c r="AI908" s="1075"/>
      <c r="AJ908" s="1075"/>
      <c r="AK908" s="1075"/>
      <c r="AL908" s="1075"/>
      <c r="AM908" s="1075"/>
      <c r="AN908" s="1075"/>
      <c r="AO908" s="1075"/>
      <c r="AP908" s="1075"/>
      <c r="AQ908" s="1075"/>
      <c r="AR908" s="1075"/>
      <c r="AS908" s="1075"/>
      <c r="AT908" s="1075"/>
      <c r="AU908" s="1075"/>
      <c r="AV908" s="1075"/>
    </row>
    <row r="909" spans="1:48" ht="11.25" hidden="1" customHeight="1">
      <c r="A909" s="1075"/>
      <c r="B909" s="1075"/>
      <c r="C909" s="1075"/>
      <c r="D909" s="1075"/>
      <c r="E909" s="1075"/>
      <c r="F909" s="1075"/>
      <c r="G909" s="1075"/>
      <c r="H909" s="1075"/>
      <c r="I909" s="1075"/>
      <c r="J909" s="1075"/>
      <c r="K909" s="1075"/>
      <c r="L909" s="1075"/>
      <c r="M909" s="1075"/>
      <c r="N909" s="1075"/>
      <c r="O909" s="1075"/>
      <c r="P909" s="1075"/>
      <c r="Q909" s="1075"/>
      <c r="R909" s="1075"/>
      <c r="S909" s="1075"/>
      <c r="T909" s="1075"/>
      <c r="U909" s="1075"/>
      <c r="V909" s="1075"/>
      <c r="W909" s="1075"/>
      <c r="X909" s="1075"/>
      <c r="Y909" s="1075"/>
      <c r="Z909" s="1075"/>
      <c r="AA909" s="1075"/>
      <c r="AB909" s="1075"/>
      <c r="AC909" s="1075"/>
      <c r="AD909" s="1075"/>
      <c r="AE909" s="1075"/>
      <c r="AF909" s="1075"/>
      <c r="AG909" s="1075"/>
      <c r="AH909" s="1075"/>
      <c r="AI909" s="1075"/>
      <c r="AJ909" s="1075"/>
      <c r="AK909" s="1075"/>
      <c r="AL909" s="1075"/>
      <c r="AM909" s="1075"/>
      <c r="AN909" s="1075"/>
      <c r="AO909" s="1075"/>
      <c r="AP909" s="1075"/>
      <c r="AQ909" s="1075"/>
      <c r="AR909" s="1075"/>
      <c r="AS909" s="1075"/>
      <c r="AT909" s="1075"/>
      <c r="AU909" s="1075"/>
      <c r="AV909" s="1075"/>
    </row>
    <row r="910" spans="1:48" ht="11.25" hidden="1" customHeight="1">
      <c r="A910" s="1075"/>
      <c r="B910" s="1075"/>
      <c r="C910" s="1075"/>
      <c r="D910" s="1075"/>
      <c r="E910" s="1075"/>
      <c r="F910" s="1075"/>
      <c r="G910" s="1075"/>
      <c r="H910" s="1075"/>
      <c r="I910" s="1075"/>
      <c r="J910" s="1075"/>
      <c r="K910" s="1075"/>
      <c r="L910" s="1075"/>
      <c r="M910" s="1075"/>
      <c r="N910" s="1075"/>
      <c r="O910" s="1075"/>
      <c r="P910" s="1075"/>
      <c r="Q910" s="1075"/>
      <c r="R910" s="1075"/>
      <c r="S910" s="1075"/>
      <c r="T910" s="1075"/>
      <c r="U910" s="1075"/>
      <c r="V910" s="1075"/>
      <c r="W910" s="1075"/>
      <c r="X910" s="1075"/>
      <c r="Y910" s="1075"/>
      <c r="Z910" s="1075"/>
      <c r="AA910" s="1075"/>
      <c r="AB910" s="1075"/>
      <c r="AC910" s="1075"/>
      <c r="AD910" s="1075"/>
      <c r="AE910" s="1075"/>
      <c r="AF910" s="1075"/>
      <c r="AG910" s="1075"/>
      <c r="AH910" s="1075"/>
      <c r="AI910" s="1075"/>
      <c r="AJ910" s="1075"/>
      <c r="AK910" s="1075"/>
      <c r="AL910" s="1075"/>
      <c r="AM910" s="1075"/>
      <c r="AN910" s="1075"/>
      <c r="AO910" s="1075"/>
      <c r="AP910" s="1075"/>
      <c r="AQ910" s="1075"/>
      <c r="AR910" s="1075"/>
      <c r="AS910" s="1075"/>
      <c r="AT910" s="1075"/>
      <c r="AU910" s="1075"/>
      <c r="AV910" s="1075"/>
    </row>
    <row r="911" spans="1:48" ht="11.25" hidden="1" customHeight="1">
      <c r="A911" s="1075"/>
      <c r="B911" s="1075"/>
      <c r="C911" s="1075"/>
      <c r="D911" s="1075"/>
      <c r="E911" s="1075"/>
      <c r="F911" s="1075"/>
      <c r="G911" s="1075"/>
      <c r="H911" s="1075"/>
      <c r="I911" s="1075"/>
      <c r="J911" s="1075"/>
      <c r="K911" s="1075"/>
      <c r="L911" s="1075"/>
      <c r="M911" s="1075"/>
      <c r="N911" s="1075"/>
      <c r="O911" s="1075"/>
      <c r="P911" s="1075"/>
      <c r="Q911" s="1075"/>
      <c r="R911" s="1075"/>
      <c r="S911" s="1075"/>
      <c r="T911" s="1075"/>
      <c r="U911" s="1075"/>
      <c r="V911" s="1075"/>
      <c r="W911" s="1075"/>
      <c r="X911" s="1075"/>
      <c r="Y911" s="1075"/>
      <c r="Z911" s="1075"/>
      <c r="AA911" s="1075"/>
      <c r="AB911" s="1075"/>
      <c r="AC911" s="1075"/>
      <c r="AD911" s="1075"/>
      <c r="AE911" s="1075"/>
      <c r="AF911" s="1075"/>
      <c r="AG911" s="1075"/>
      <c r="AH911" s="1075"/>
      <c r="AI911" s="1075"/>
      <c r="AJ911" s="1075"/>
      <c r="AK911" s="1075"/>
      <c r="AL911" s="1075"/>
      <c r="AM911" s="1075"/>
      <c r="AN911" s="1075"/>
      <c r="AO911" s="1075"/>
      <c r="AP911" s="1075"/>
      <c r="AQ911" s="1075"/>
      <c r="AR911" s="1075"/>
      <c r="AS911" s="1075"/>
      <c r="AT911" s="1075"/>
      <c r="AU911" s="1075"/>
      <c r="AV911" s="1075"/>
    </row>
    <row r="912" spans="1:48" ht="11.25" hidden="1" customHeight="1">
      <c r="A912" s="1075"/>
      <c r="B912" s="1075"/>
      <c r="C912" s="1075"/>
      <c r="D912" s="1075"/>
      <c r="E912" s="1075"/>
      <c r="F912" s="1075"/>
      <c r="G912" s="1075"/>
      <c r="H912" s="1075"/>
      <c r="I912" s="1075"/>
      <c r="J912" s="1075"/>
      <c r="K912" s="1075"/>
      <c r="L912" s="1075"/>
      <c r="M912" s="1075"/>
      <c r="N912" s="1075"/>
      <c r="O912" s="1075"/>
      <c r="P912" s="1075"/>
      <c r="Q912" s="1075"/>
      <c r="R912" s="1075"/>
      <c r="S912" s="1075"/>
      <c r="T912" s="1075"/>
      <c r="U912" s="1075"/>
      <c r="V912" s="1075"/>
      <c r="W912" s="1075"/>
      <c r="X912" s="1075"/>
      <c r="Y912" s="1075"/>
      <c r="Z912" s="1075"/>
      <c r="AA912" s="1075"/>
      <c r="AB912" s="1075"/>
      <c r="AC912" s="1075"/>
      <c r="AD912" s="1075"/>
      <c r="AE912" s="1075"/>
      <c r="AF912" s="1075"/>
      <c r="AG912" s="1075"/>
      <c r="AH912" s="1075"/>
      <c r="AI912" s="1075"/>
      <c r="AJ912" s="1075"/>
      <c r="AK912" s="1075"/>
      <c r="AL912" s="1075"/>
      <c r="AM912" s="1075"/>
      <c r="AN912" s="1075"/>
      <c r="AO912" s="1075"/>
      <c r="AP912" s="1075"/>
      <c r="AQ912" s="1075"/>
      <c r="AR912" s="1075"/>
      <c r="AS912" s="1075"/>
      <c r="AT912" s="1075"/>
      <c r="AU912" s="1075"/>
      <c r="AV912" s="1075"/>
    </row>
    <row r="913" spans="1:48" ht="11.25" hidden="1" customHeight="1">
      <c r="A913" s="1075"/>
      <c r="B913" s="1075"/>
      <c r="C913" s="1075"/>
      <c r="D913" s="1075"/>
      <c r="E913" s="1075"/>
      <c r="F913" s="1075"/>
      <c r="G913" s="1075"/>
      <c r="H913" s="1075"/>
      <c r="I913" s="1075"/>
      <c r="J913" s="1075"/>
      <c r="K913" s="1075"/>
      <c r="L913" s="1075"/>
      <c r="M913" s="1075"/>
      <c r="N913" s="1075"/>
      <c r="O913" s="1075"/>
      <c r="P913" s="1075"/>
      <c r="Q913" s="1075"/>
      <c r="R913" s="1075"/>
      <c r="S913" s="1075"/>
      <c r="T913" s="1075"/>
      <c r="U913" s="1075"/>
      <c r="V913" s="1075"/>
      <c r="W913" s="1075"/>
      <c r="X913" s="1075"/>
      <c r="Y913" s="1075"/>
      <c r="Z913" s="1075"/>
      <c r="AA913" s="1075"/>
      <c r="AB913" s="1075"/>
      <c r="AC913" s="1075"/>
      <c r="AD913" s="1075"/>
      <c r="AE913" s="1075"/>
      <c r="AF913" s="1075"/>
      <c r="AG913" s="1075"/>
      <c r="AH913" s="1075"/>
      <c r="AI913" s="1075"/>
      <c r="AJ913" s="1075"/>
      <c r="AK913" s="1075"/>
      <c r="AL913" s="1075"/>
      <c r="AM913" s="1075"/>
      <c r="AN913" s="1075"/>
      <c r="AO913" s="1075"/>
      <c r="AP913" s="1075"/>
      <c r="AQ913" s="1075"/>
      <c r="AR913" s="1075"/>
      <c r="AS913" s="1075"/>
      <c r="AT913" s="1075"/>
      <c r="AU913" s="1075"/>
      <c r="AV913" s="1075"/>
    </row>
    <row r="914" spans="1:48" ht="11.25" hidden="1" customHeight="1">
      <c r="A914" s="1075"/>
      <c r="B914" s="1075"/>
      <c r="C914" s="1075"/>
      <c r="D914" s="1075"/>
      <c r="E914" s="1075"/>
      <c r="F914" s="1075"/>
      <c r="G914" s="1075"/>
      <c r="H914" s="1075"/>
      <c r="I914" s="1075"/>
      <c r="J914" s="1075"/>
      <c r="K914" s="1075"/>
      <c r="L914" s="1075"/>
      <c r="M914" s="1075"/>
      <c r="N914" s="1075"/>
      <c r="O914" s="1075"/>
      <c r="P914" s="1075"/>
      <c r="Q914" s="1075"/>
      <c r="R914" s="1075"/>
      <c r="S914" s="1075"/>
      <c r="T914" s="1075"/>
      <c r="U914" s="1075"/>
      <c r="V914" s="1075"/>
      <c r="W914" s="1075"/>
      <c r="X914" s="1075"/>
      <c r="Y914" s="1075"/>
      <c r="Z914" s="1075"/>
      <c r="AA914" s="1075"/>
      <c r="AB914" s="1075"/>
      <c r="AC914" s="1075"/>
      <c r="AD914" s="1075"/>
      <c r="AE914" s="1075"/>
      <c r="AF914" s="1075"/>
      <c r="AG914" s="1075"/>
      <c r="AH914" s="1075"/>
      <c r="AI914" s="1075"/>
      <c r="AJ914" s="1075"/>
      <c r="AK914" s="1075"/>
      <c r="AL914" s="1075"/>
      <c r="AM914" s="1075"/>
      <c r="AN914" s="1075"/>
      <c r="AO914" s="1075"/>
      <c r="AP914" s="1075"/>
      <c r="AQ914" s="1075"/>
      <c r="AR914" s="1075"/>
      <c r="AS914" s="1075"/>
      <c r="AT914" s="1075"/>
      <c r="AU914" s="1075"/>
      <c r="AV914" s="1075"/>
    </row>
    <row r="915" spans="1:48" ht="11.25" hidden="1" customHeight="1">
      <c r="A915" s="1075"/>
      <c r="B915" s="1075"/>
      <c r="C915" s="1075"/>
      <c r="D915" s="1075"/>
      <c r="E915" s="1075"/>
      <c r="F915" s="1075"/>
      <c r="G915" s="1075"/>
      <c r="H915" s="1075"/>
      <c r="I915" s="1075"/>
      <c r="J915" s="1075"/>
      <c r="K915" s="1075"/>
      <c r="L915" s="1075"/>
      <c r="M915" s="1075"/>
      <c r="N915" s="1075"/>
      <c r="O915" s="1075"/>
      <c r="P915" s="1075"/>
      <c r="Q915" s="1075"/>
      <c r="R915" s="1075"/>
      <c r="S915" s="1075"/>
      <c r="T915" s="1075"/>
      <c r="U915" s="1075"/>
      <c r="V915" s="1075"/>
      <c r="W915" s="1075"/>
      <c r="X915" s="1075"/>
      <c r="Y915" s="1075"/>
      <c r="Z915" s="1075"/>
      <c r="AA915" s="1075"/>
      <c r="AB915" s="1075"/>
      <c r="AC915" s="1075"/>
      <c r="AD915" s="1075"/>
      <c r="AE915" s="1075"/>
      <c r="AF915" s="1075"/>
      <c r="AG915" s="1075"/>
      <c r="AH915" s="1075"/>
      <c r="AI915" s="1075"/>
      <c r="AJ915" s="1075"/>
      <c r="AK915" s="1075"/>
      <c r="AL915" s="1075"/>
      <c r="AM915" s="1075"/>
      <c r="AN915" s="1075"/>
      <c r="AO915" s="1075"/>
      <c r="AP915" s="1075"/>
      <c r="AQ915" s="1075"/>
      <c r="AR915" s="1075"/>
      <c r="AS915" s="1075"/>
      <c r="AT915" s="1075"/>
      <c r="AU915" s="1075"/>
      <c r="AV915" s="1075"/>
    </row>
    <row r="916" spans="1:48" ht="11.25" hidden="1" customHeight="1">
      <c r="A916" s="1075"/>
      <c r="B916" s="1075"/>
      <c r="C916" s="1075"/>
      <c r="D916" s="1075"/>
      <c r="E916" s="1075"/>
      <c r="F916" s="1075"/>
      <c r="G916" s="1075"/>
      <c r="H916" s="1075"/>
      <c r="I916" s="1075"/>
      <c r="J916" s="1075"/>
      <c r="K916" s="1075"/>
      <c r="L916" s="1075"/>
      <c r="M916" s="1075"/>
      <c r="N916" s="1075"/>
      <c r="O916" s="1075"/>
      <c r="P916" s="1075"/>
      <c r="Q916" s="1075"/>
      <c r="R916" s="1075"/>
      <c r="S916" s="1075"/>
      <c r="T916" s="1075"/>
      <c r="U916" s="1075"/>
      <c r="V916" s="1075"/>
      <c r="W916" s="1075"/>
      <c r="X916" s="1075"/>
      <c r="Y916" s="1075"/>
      <c r="Z916" s="1075"/>
      <c r="AA916" s="1075"/>
      <c r="AB916" s="1075"/>
      <c r="AC916" s="1075"/>
      <c r="AD916" s="1075"/>
      <c r="AE916" s="1075"/>
      <c r="AF916" s="1075"/>
      <c r="AG916" s="1075"/>
      <c r="AH916" s="1075"/>
      <c r="AI916" s="1075"/>
      <c r="AJ916" s="1075"/>
      <c r="AK916" s="1075"/>
      <c r="AL916" s="1075"/>
      <c r="AM916" s="1075"/>
      <c r="AN916" s="1075"/>
      <c r="AO916" s="1075"/>
      <c r="AP916" s="1075"/>
      <c r="AQ916" s="1075"/>
      <c r="AR916" s="1075"/>
      <c r="AS916" s="1075"/>
      <c r="AT916" s="1075"/>
      <c r="AU916" s="1075"/>
      <c r="AV916" s="1075"/>
    </row>
    <row r="917" spans="1:48" ht="11.25" hidden="1" customHeight="1">
      <c r="A917" s="1075"/>
      <c r="B917" s="1075"/>
      <c r="C917" s="1075"/>
      <c r="D917" s="1075"/>
      <c r="E917" s="1075"/>
      <c r="F917" s="1075"/>
      <c r="G917" s="1075"/>
      <c r="H917" s="1075"/>
      <c r="I917" s="1075"/>
      <c r="J917" s="1075"/>
      <c r="K917" s="1075"/>
      <c r="L917" s="1075"/>
      <c r="M917" s="1075"/>
      <c r="N917" s="1075"/>
      <c r="O917" s="1075"/>
      <c r="P917" s="1075"/>
      <c r="Q917" s="1075"/>
      <c r="R917" s="1075"/>
      <c r="S917" s="1075"/>
      <c r="T917" s="1075"/>
      <c r="U917" s="1075"/>
      <c r="V917" s="1075"/>
      <c r="W917" s="1075"/>
      <c r="X917" s="1075"/>
      <c r="Y917" s="1075"/>
      <c r="Z917" s="1075"/>
      <c r="AA917" s="1075"/>
      <c r="AB917" s="1075"/>
      <c r="AC917" s="1075"/>
      <c r="AD917" s="1075"/>
      <c r="AE917" s="1075"/>
      <c r="AF917" s="1075"/>
      <c r="AG917" s="1075"/>
      <c r="AH917" s="1075"/>
      <c r="AI917" s="1075"/>
      <c r="AJ917" s="1075"/>
      <c r="AK917" s="1075"/>
      <c r="AL917" s="1075"/>
      <c r="AM917" s="1075"/>
      <c r="AN917" s="1075"/>
      <c r="AO917" s="1075"/>
      <c r="AP917" s="1075"/>
      <c r="AQ917" s="1075"/>
      <c r="AR917" s="1075"/>
      <c r="AS917" s="1075"/>
      <c r="AT917" s="1075"/>
      <c r="AU917" s="1075"/>
      <c r="AV917" s="1075"/>
    </row>
    <row r="918" spans="1:48" ht="11.25" hidden="1" customHeight="1">
      <c r="A918" s="1075"/>
      <c r="B918" s="1075"/>
      <c r="C918" s="1075"/>
      <c r="D918" s="1075"/>
      <c r="E918" s="1075"/>
      <c r="F918" s="1075"/>
      <c r="G918" s="1075"/>
      <c r="H918" s="1075"/>
      <c r="I918" s="1075"/>
      <c r="J918" s="1075"/>
      <c r="K918" s="1075"/>
      <c r="L918" s="1075"/>
      <c r="M918" s="1075"/>
      <c r="N918" s="1075"/>
      <c r="O918" s="1075"/>
      <c r="P918" s="1075"/>
      <c r="Q918" s="1075"/>
      <c r="R918" s="1075"/>
      <c r="S918" s="1075"/>
      <c r="T918" s="1075"/>
      <c r="U918" s="1075"/>
      <c r="V918" s="1075"/>
      <c r="W918" s="1075"/>
      <c r="X918" s="1075"/>
      <c r="Y918" s="1075"/>
      <c r="Z918" s="1075"/>
      <c r="AA918" s="1075"/>
      <c r="AB918" s="1075"/>
      <c r="AC918" s="1075"/>
      <c r="AD918" s="1075"/>
      <c r="AE918" s="1075"/>
      <c r="AF918" s="1075"/>
      <c r="AG918" s="1075"/>
      <c r="AH918" s="1075"/>
      <c r="AI918" s="1075"/>
      <c r="AJ918" s="1075"/>
      <c r="AK918" s="1075"/>
      <c r="AL918" s="1075"/>
      <c r="AM918" s="1075"/>
      <c r="AN918" s="1075"/>
      <c r="AO918" s="1075"/>
      <c r="AP918" s="1075"/>
      <c r="AQ918" s="1075"/>
      <c r="AR918" s="1075"/>
      <c r="AS918" s="1075"/>
      <c r="AT918" s="1075"/>
      <c r="AU918" s="1075"/>
      <c r="AV918" s="1075"/>
    </row>
    <row r="919" spans="1:48" ht="11.25" hidden="1" customHeight="1">
      <c r="A919" s="1075"/>
      <c r="B919" s="1075"/>
      <c r="C919" s="1075"/>
      <c r="D919" s="1075"/>
      <c r="E919" s="1075"/>
      <c r="F919" s="1075"/>
      <c r="G919" s="1075"/>
      <c r="H919" s="1075"/>
      <c r="I919" s="1075"/>
      <c r="J919" s="1075"/>
      <c r="K919" s="1075"/>
      <c r="L919" s="1075"/>
      <c r="M919" s="1075"/>
      <c r="N919" s="1075"/>
      <c r="O919" s="1075"/>
      <c r="P919" s="1075"/>
      <c r="Q919" s="1075"/>
      <c r="R919" s="1075"/>
      <c r="S919" s="1075"/>
      <c r="T919" s="1075"/>
      <c r="U919" s="1075"/>
      <c r="V919" s="1075"/>
      <c r="W919" s="1075"/>
      <c r="X919" s="1075"/>
      <c r="Y919" s="1075"/>
      <c r="Z919" s="1075"/>
      <c r="AA919" s="1075"/>
      <c r="AB919" s="1075"/>
      <c r="AC919" s="1075"/>
      <c r="AD919" s="1075"/>
      <c r="AE919" s="1075"/>
      <c r="AF919" s="1075"/>
      <c r="AG919" s="1075"/>
      <c r="AH919" s="1075"/>
      <c r="AI919" s="1075"/>
      <c r="AJ919" s="1075"/>
      <c r="AK919" s="1075"/>
      <c r="AL919" s="1075"/>
      <c r="AM919" s="1075"/>
      <c r="AN919" s="1075"/>
      <c r="AO919" s="1075"/>
      <c r="AP919" s="1075"/>
      <c r="AQ919" s="1075"/>
      <c r="AR919" s="1075"/>
      <c r="AS919" s="1075"/>
      <c r="AT919" s="1075"/>
      <c r="AU919" s="1075"/>
      <c r="AV919" s="1075"/>
    </row>
    <row r="920" spans="1:48" ht="11.25" hidden="1" customHeight="1">
      <c r="A920" s="1075"/>
      <c r="B920" s="1075"/>
      <c r="C920" s="1075"/>
      <c r="D920" s="1075"/>
      <c r="E920" s="1075"/>
      <c r="F920" s="1075"/>
      <c r="G920" s="1075"/>
      <c r="H920" s="1075"/>
      <c r="I920" s="1075"/>
      <c r="J920" s="1075"/>
      <c r="K920" s="1075"/>
      <c r="L920" s="1075"/>
      <c r="M920" s="1075"/>
      <c r="N920" s="1075"/>
      <c r="O920" s="1075"/>
      <c r="P920" s="1075"/>
      <c r="Q920" s="1075"/>
      <c r="R920" s="1075"/>
      <c r="S920" s="1075"/>
      <c r="T920" s="1075"/>
      <c r="U920" s="1075"/>
      <c r="V920" s="1075"/>
      <c r="W920" s="1075"/>
      <c r="X920" s="1075"/>
      <c r="Y920" s="1075"/>
      <c r="Z920" s="1075"/>
      <c r="AA920" s="1075"/>
      <c r="AB920" s="1075"/>
      <c r="AC920" s="1075"/>
      <c r="AD920" s="1075"/>
      <c r="AE920" s="1075"/>
      <c r="AF920" s="1075"/>
      <c r="AG920" s="1075"/>
      <c r="AH920" s="1075"/>
      <c r="AI920" s="1075"/>
      <c r="AJ920" s="1075"/>
      <c r="AK920" s="1075"/>
      <c r="AL920" s="1075"/>
      <c r="AM920" s="1075"/>
      <c r="AN920" s="1075"/>
      <c r="AO920" s="1075"/>
      <c r="AP920" s="1075"/>
      <c r="AQ920" s="1075"/>
      <c r="AR920" s="1075"/>
      <c r="AS920" s="1075"/>
      <c r="AT920" s="1075"/>
      <c r="AU920" s="1075"/>
      <c r="AV920" s="1075"/>
    </row>
    <row r="921" spans="1:48" ht="11.25" hidden="1" customHeight="1">
      <c r="A921" s="1075"/>
      <c r="B921" s="1075"/>
      <c r="C921" s="1075"/>
      <c r="D921" s="1075"/>
      <c r="E921" s="1075"/>
      <c r="F921" s="1075"/>
      <c r="G921" s="1075"/>
      <c r="H921" s="1075"/>
      <c r="I921" s="1075"/>
      <c r="J921" s="1075"/>
      <c r="K921" s="1075"/>
      <c r="L921" s="1075"/>
      <c r="M921" s="1075"/>
      <c r="N921" s="1075"/>
      <c r="O921" s="1075"/>
      <c r="P921" s="1075"/>
      <c r="Q921" s="1075"/>
      <c r="R921" s="1075"/>
      <c r="S921" s="1075"/>
      <c r="T921" s="1075"/>
      <c r="U921" s="1075"/>
      <c r="V921" s="1075"/>
      <c r="W921" s="1075"/>
      <c r="X921" s="1075"/>
      <c r="Y921" s="1075"/>
      <c r="Z921" s="1075"/>
      <c r="AA921" s="1075"/>
      <c r="AB921" s="1075"/>
      <c r="AC921" s="1075"/>
      <c r="AD921" s="1075"/>
      <c r="AE921" s="1075"/>
      <c r="AF921" s="1075"/>
      <c r="AG921" s="1075"/>
      <c r="AH921" s="1075"/>
      <c r="AI921" s="1075"/>
      <c r="AJ921" s="1075"/>
      <c r="AK921" s="1075"/>
      <c r="AL921" s="1075"/>
      <c r="AM921" s="1075"/>
      <c r="AN921" s="1075"/>
      <c r="AO921" s="1075"/>
      <c r="AP921" s="1075"/>
      <c r="AQ921" s="1075"/>
      <c r="AR921" s="1075"/>
      <c r="AS921" s="1075"/>
      <c r="AT921" s="1075"/>
      <c r="AU921" s="1075"/>
      <c r="AV921" s="1075"/>
    </row>
    <row r="922" spans="1:48" ht="11.25" hidden="1" customHeight="1">
      <c r="A922" s="1075"/>
      <c r="B922" s="1075"/>
      <c r="C922" s="1075"/>
      <c r="D922" s="1075"/>
      <c r="E922" s="1075"/>
      <c r="F922" s="1075"/>
      <c r="G922" s="1075"/>
      <c r="H922" s="1075"/>
      <c r="I922" s="1075"/>
      <c r="J922" s="1075"/>
      <c r="K922" s="1075"/>
      <c r="L922" s="1075"/>
      <c r="M922" s="1075"/>
      <c r="N922" s="1075"/>
      <c r="O922" s="1075"/>
      <c r="P922" s="1075"/>
      <c r="Q922" s="1075"/>
      <c r="R922" s="1075"/>
      <c r="S922" s="1075"/>
      <c r="T922" s="1075"/>
      <c r="U922" s="1075"/>
      <c r="V922" s="1075"/>
      <c r="W922" s="1075"/>
      <c r="X922" s="1075"/>
      <c r="Y922" s="1075"/>
      <c r="Z922" s="1075"/>
      <c r="AA922" s="1075"/>
      <c r="AB922" s="1075"/>
      <c r="AC922" s="1075"/>
      <c r="AD922" s="1075"/>
      <c r="AE922" s="1075"/>
      <c r="AF922" s="1075"/>
      <c r="AG922" s="1075"/>
      <c r="AH922" s="1075"/>
      <c r="AI922" s="1075"/>
      <c r="AJ922" s="1075"/>
      <c r="AK922" s="1075"/>
      <c r="AL922" s="1075"/>
      <c r="AM922" s="1075"/>
      <c r="AN922" s="1075"/>
      <c r="AO922" s="1075"/>
      <c r="AP922" s="1075"/>
      <c r="AQ922" s="1075"/>
      <c r="AR922" s="1075"/>
      <c r="AS922" s="1075"/>
      <c r="AT922" s="1075"/>
      <c r="AU922" s="1075"/>
      <c r="AV922" s="1075"/>
    </row>
    <row r="923" spans="1:48" ht="11.25" hidden="1" customHeight="1">
      <c r="A923" s="1075"/>
      <c r="B923" s="1075"/>
      <c r="C923" s="1075"/>
      <c r="D923" s="1075"/>
      <c r="E923" s="1075"/>
      <c r="F923" s="1075"/>
      <c r="G923" s="1075"/>
      <c r="H923" s="1075"/>
      <c r="I923" s="1075"/>
      <c r="J923" s="1075"/>
      <c r="K923" s="1075"/>
      <c r="L923" s="1075"/>
      <c r="M923" s="1075"/>
      <c r="N923" s="1075"/>
      <c r="O923" s="1075"/>
      <c r="P923" s="1075"/>
      <c r="Q923" s="1075"/>
      <c r="R923" s="1075"/>
      <c r="S923" s="1075"/>
      <c r="T923" s="1075"/>
      <c r="U923" s="1075"/>
      <c r="V923" s="1075"/>
      <c r="W923" s="1075"/>
      <c r="X923" s="1075"/>
      <c r="Y923" s="1075"/>
      <c r="Z923" s="1075"/>
      <c r="AA923" s="1075"/>
      <c r="AB923" s="1075"/>
      <c r="AC923" s="1075"/>
      <c r="AD923" s="1075"/>
      <c r="AE923" s="1075"/>
      <c r="AF923" s="1075"/>
      <c r="AG923" s="1075"/>
      <c r="AH923" s="1075"/>
      <c r="AI923" s="1075"/>
      <c r="AJ923" s="1075"/>
      <c r="AK923" s="1075"/>
      <c r="AL923" s="1075"/>
      <c r="AM923" s="1075"/>
      <c r="AN923" s="1075"/>
      <c r="AO923" s="1075"/>
      <c r="AP923" s="1075"/>
      <c r="AQ923" s="1075"/>
      <c r="AR923" s="1075"/>
      <c r="AS923" s="1075"/>
      <c r="AT923" s="1075"/>
      <c r="AU923" s="1075"/>
      <c r="AV923" s="1075"/>
    </row>
    <row r="924" spans="1:48" ht="11.25" hidden="1" customHeight="1">
      <c r="A924" s="1075"/>
      <c r="B924" s="1075"/>
      <c r="C924" s="1075"/>
      <c r="D924" s="1075"/>
      <c r="E924" s="1075"/>
      <c r="F924" s="1075"/>
      <c r="G924" s="1075"/>
      <c r="H924" s="1075"/>
      <c r="I924" s="1075"/>
      <c r="J924" s="1075"/>
      <c r="K924" s="1075"/>
      <c r="L924" s="1075"/>
      <c r="M924" s="1075"/>
      <c r="N924" s="1075"/>
      <c r="O924" s="1075"/>
      <c r="P924" s="1075"/>
      <c r="Q924" s="1075"/>
      <c r="R924" s="1075"/>
      <c r="S924" s="1075"/>
      <c r="T924" s="1075"/>
      <c r="U924" s="1075"/>
      <c r="V924" s="1075"/>
      <c r="W924" s="1075"/>
      <c r="X924" s="1075"/>
      <c r="Y924" s="1075"/>
      <c r="Z924" s="1075"/>
      <c r="AA924" s="1075"/>
      <c r="AB924" s="1075"/>
      <c r="AC924" s="1075"/>
      <c r="AD924" s="1075"/>
      <c r="AE924" s="1075"/>
      <c r="AF924" s="1075"/>
      <c r="AG924" s="1075"/>
      <c r="AH924" s="1075"/>
      <c r="AI924" s="1075"/>
      <c r="AJ924" s="1075"/>
      <c r="AK924" s="1075"/>
      <c r="AL924" s="1075"/>
      <c r="AM924" s="1075"/>
      <c r="AN924" s="1075"/>
      <c r="AO924" s="1075"/>
      <c r="AP924" s="1075"/>
      <c r="AQ924" s="1075"/>
      <c r="AR924" s="1075"/>
      <c r="AS924" s="1075"/>
      <c r="AT924" s="1075"/>
      <c r="AU924" s="1075"/>
      <c r="AV924" s="1075"/>
    </row>
    <row r="925" spans="1:48" ht="11.25" hidden="1" customHeight="1">
      <c r="A925" s="1075"/>
      <c r="B925" s="1075"/>
      <c r="C925" s="1075"/>
      <c r="D925" s="1075"/>
      <c r="E925" s="1075"/>
      <c r="F925" s="1075"/>
      <c r="G925" s="1075"/>
      <c r="H925" s="1075"/>
      <c r="I925" s="1075"/>
      <c r="J925" s="1075"/>
      <c r="K925" s="1075"/>
      <c r="L925" s="1075"/>
      <c r="M925" s="1075"/>
      <c r="N925" s="1075"/>
      <c r="O925" s="1075"/>
      <c r="P925" s="1075"/>
      <c r="Q925" s="1075"/>
      <c r="R925" s="1075"/>
      <c r="S925" s="1075"/>
      <c r="T925" s="1075"/>
      <c r="U925" s="1075"/>
      <c r="V925" s="1075"/>
      <c r="W925" s="1075"/>
      <c r="X925" s="1075"/>
      <c r="Y925" s="1075"/>
      <c r="Z925" s="1075"/>
      <c r="AA925" s="1075"/>
      <c r="AB925" s="1075"/>
      <c r="AC925" s="1075"/>
      <c r="AD925" s="1075"/>
      <c r="AE925" s="1075"/>
      <c r="AF925" s="1075"/>
      <c r="AG925" s="1075"/>
      <c r="AH925" s="1075"/>
      <c r="AI925" s="1075"/>
      <c r="AJ925" s="1075"/>
      <c r="AK925" s="1075"/>
      <c r="AL925" s="1075"/>
      <c r="AM925" s="1075"/>
      <c r="AN925" s="1075"/>
      <c r="AO925" s="1075"/>
      <c r="AP925" s="1075"/>
      <c r="AQ925" s="1075"/>
      <c r="AR925" s="1075"/>
      <c r="AS925" s="1075"/>
      <c r="AT925" s="1075"/>
      <c r="AU925" s="1075"/>
      <c r="AV925" s="1075"/>
    </row>
    <row r="926" spans="1:48" ht="11.25" hidden="1" customHeight="1">
      <c r="A926" s="1075"/>
      <c r="B926" s="1075"/>
      <c r="C926" s="1075"/>
      <c r="D926" s="1075"/>
      <c r="E926" s="1075"/>
      <c r="F926" s="1075"/>
      <c r="G926" s="1075"/>
      <c r="H926" s="1075"/>
      <c r="I926" s="1075"/>
      <c r="J926" s="1075"/>
      <c r="K926" s="1075"/>
      <c r="L926" s="1075"/>
      <c r="M926" s="1075"/>
      <c r="N926" s="1075"/>
      <c r="O926" s="1075"/>
      <c r="P926" s="1075"/>
      <c r="Q926" s="1075"/>
      <c r="R926" s="1075"/>
      <c r="S926" s="1075"/>
      <c r="T926" s="1075"/>
      <c r="U926" s="1075"/>
      <c r="V926" s="1075"/>
      <c r="W926" s="1075"/>
      <c r="X926" s="1075"/>
      <c r="Y926" s="1075"/>
      <c r="Z926" s="1075"/>
      <c r="AA926" s="1075"/>
      <c r="AB926" s="1075"/>
      <c r="AC926" s="1075"/>
      <c r="AD926" s="1075"/>
      <c r="AE926" s="1075"/>
      <c r="AF926" s="1075"/>
      <c r="AG926" s="1075"/>
      <c r="AH926" s="1075"/>
      <c r="AI926" s="1075"/>
      <c r="AJ926" s="1075"/>
      <c r="AK926" s="1075"/>
      <c r="AL926" s="1075"/>
      <c r="AM926" s="1075"/>
      <c r="AN926" s="1075"/>
      <c r="AO926" s="1075"/>
      <c r="AP926" s="1075"/>
      <c r="AQ926" s="1075"/>
      <c r="AR926" s="1075"/>
      <c r="AS926" s="1075"/>
      <c r="AT926" s="1075"/>
      <c r="AU926" s="1075"/>
      <c r="AV926" s="1075"/>
    </row>
    <row r="927" spans="1:48" ht="11.25" hidden="1" customHeight="1">
      <c r="A927" s="1075"/>
      <c r="B927" s="1075"/>
      <c r="C927" s="1075"/>
      <c r="D927" s="1075"/>
      <c r="E927" s="1075"/>
      <c r="F927" s="1075"/>
      <c r="G927" s="1075"/>
      <c r="H927" s="1075"/>
      <c r="I927" s="1075"/>
      <c r="J927" s="1075"/>
      <c r="K927" s="1075"/>
      <c r="L927" s="1075"/>
      <c r="M927" s="1075"/>
      <c r="N927" s="1075"/>
      <c r="O927" s="1075"/>
      <c r="P927" s="1075"/>
      <c r="Q927" s="1075"/>
      <c r="R927" s="1075"/>
      <c r="S927" s="1075"/>
      <c r="T927" s="1075"/>
      <c r="U927" s="1075"/>
      <c r="V927" s="1075"/>
      <c r="W927" s="1075"/>
      <c r="X927" s="1075"/>
      <c r="Y927" s="1075"/>
      <c r="Z927" s="1075"/>
      <c r="AA927" s="1075"/>
      <c r="AB927" s="1075"/>
      <c r="AC927" s="1075"/>
      <c r="AD927" s="1075"/>
      <c r="AE927" s="1075"/>
      <c r="AF927" s="1075"/>
      <c r="AG927" s="1075"/>
      <c r="AH927" s="1075"/>
      <c r="AI927" s="1075"/>
      <c r="AJ927" s="1075"/>
      <c r="AK927" s="1075"/>
      <c r="AL927" s="1075"/>
      <c r="AM927" s="1075"/>
      <c r="AN927" s="1075"/>
      <c r="AO927" s="1075"/>
      <c r="AP927" s="1075"/>
      <c r="AQ927" s="1075"/>
      <c r="AR927" s="1075"/>
      <c r="AS927" s="1075"/>
      <c r="AT927" s="1075"/>
      <c r="AU927" s="1075"/>
      <c r="AV927" s="1075"/>
    </row>
    <row r="928" spans="1:48" ht="11.25" hidden="1" customHeight="1">
      <c r="A928" s="1075"/>
      <c r="B928" s="1075"/>
      <c r="C928" s="1075"/>
      <c r="D928" s="1075"/>
      <c r="E928" s="1075"/>
      <c r="F928" s="1075"/>
      <c r="G928" s="1075"/>
      <c r="H928" s="1075"/>
      <c r="I928" s="1075"/>
      <c r="J928" s="1075"/>
      <c r="K928" s="1075"/>
      <c r="L928" s="1075"/>
      <c r="M928" s="1075"/>
      <c r="N928" s="1075"/>
      <c r="O928" s="1075"/>
      <c r="P928" s="1075"/>
      <c r="Q928" s="1075"/>
      <c r="R928" s="1075"/>
      <c r="S928" s="1075"/>
      <c r="T928" s="1075"/>
      <c r="U928" s="1075"/>
      <c r="V928" s="1075"/>
      <c r="W928" s="1075"/>
      <c r="X928" s="1075"/>
      <c r="Y928" s="1075"/>
      <c r="Z928" s="1075"/>
      <c r="AA928" s="1075"/>
      <c r="AB928" s="1075"/>
      <c r="AC928" s="1075"/>
      <c r="AD928" s="1075"/>
      <c r="AE928" s="1075"/>
      <c r="AF928" s="1075"/>
      <c r="AG928" s="1075"/>
      <c r="AH928" s="1075"/>
      <c r="AI928" s="1075"/>
      <c r="AJ928" s="1075"/>
      <c r="AK928" s="1075"/>
      <c r="AL928" s="1075"/>
      <c r="AM928" s="1075"/>
      <c r="AN928" s="1075"/>
      <c r="AO928" s="1075"/>
      <c r="AP928" s="1075"/>
      <c r="AQ928" s="1075"/>
      <c r="AR928" s="1075"/>
      <c r="AS928" s="1075"/>
      <c r="AT928" s="1075"/>
      <c r="AU928" s="1075"/>
      <c r="AV928" s="1075"/>
    </row>
    <row r="929" spans="1:48" ht="11.25" hidden="1" customHeight="1">
      <c r="A929" s="1075"/>
      <c r="B929" s="1075"/>
      <c r="C929" s="1075"/>
      <c r="D929" s="1075"/>
      <c r="E929" s="1075"/>
      <c r="F929" s="1075"/>
      <c r="G929" s="1075"/>
      <c r="H929" s="1075"/>
      <c r="I929" s="1075"/>
      <c r="J929" s="1075"/>
      <c r="K929" s="1075"/>
      <c r="L929" s="1075"/>
      <c r="M929" s="1075"/>
      <c r="N929" s="1075"/>
      <c r="O929" s="1075"/>
      <c r="P929" s="1075"/>
      <c r="Q929" s="1075"/>
      <c r="R929" s="1075"/>
      <c r="S929" s="1075"/>
      <c r="T929" s="1075"/>
      <c r="U929" s="1075"/>
      <c r="V929" s="1075"/>
      <c r="W929" s="1075"/>
      <c r="X929" s="1075"/>
      <c r="Y929" s="1075"/>
      <c r="Z929" s="1075"/>
      <c r="AA929" s="1075"/>
      <c r="AB929" s="1075"/>
      <c r="AC929" s="1075"/>
      <c r="AD929" s="1075"/>
      <c r="AE929" s="1075"/>
      <c r="AF929" s="1075"/>
      <c r="AG929" s="1075"/>
      <c r="AH929" s="1075"/>
      <c r="AI929" s="1075"/>
      <c r="AJ929" s="1075"/>
      <c r="AK929" s="1075"/>
      <c r="AL929" s="1075"/>
      <c r="AM929" s="1075"/>
      <c r="AN929" s="1075"/>
      <c r="AO929" s="1075"/>
      <c r="AP929" s="1075"/>
      <c r="AQ929" s="1075"/>
      <c r="AR929" s="1075"/>
      <c r="AS929" s="1075"/>
      <c r="AT929" s="1075"/>
      <c r="AU929" s="1075"/>
      <c r="AV929" s="1075"/>
    </row>
    <row r="930" spans="1:48" ht="11.25" hidden="1" customHeight="1">
      <c r="A930" s="1075"/>
      <c r="B930" s="1075"/>
      <c r="C930" s="1075"/>
      <c r="D930" s="1075"/>
      <c r="E930" s="1075"/>
      <c r="F930" s="1075"/>
      <c r="G930" s="1075"/>
      <c r="H930" s="1075"/>
      <c r="I930" s="1075"/>
      <c r="J930" s="1075"/>
      <c r="K930" s="1075"/>
      <c r="L930" s="1075"/>
      <c r="M930" s="1075"/>
      <c r="N930" s="1075"/>
      <c r="O930" s="1075"/>
      <c r="P930" s="1075"/>
      <c r="Q930" s="1075"/>
      <c r="R930" s="1075"/>
      <c r="S930" s="1075"/>
      <c r="T930" s="1075"/>
      <c r="U930" s="1075"/>
      <c r="V930" s="1075"/>
      <c r="W930" s="1075"/>
      <c r="X930" s="1075"/>
      <c r="Y930" s="1075"/>
      <c r="Z930" s="1075"/>
      <c r="AA930" s="1075"/>
      <c r="AB930" s="1075"/>
      <c r="AC930" s="1075"/>
      <c r="AD930" s="1075"/>
      <c r="AE930" s="1075"/>
      <c r="AF930" s="1075"/>
      <c r="AG930" s="1075"/>
      <c r="AH930" s="1075"/>
      <c r="AI930" s="1075"/>
      <c r="AJ930" s="1075"/>
      <c r="AK930" s="1075"/>
      <c r="AL930" s="1075"/>
      <c r="AM930" s="1075"/>
      <c r="AN930" s="1075"/>
      <c r="AO930" s="1075"/>
      <c r="AP930" s="1075"/>
      <c r="AQ930" s="1075"/>
      <c r="AR930" s="1075"/>
      <c r="AS930" s="1075"/>
      <c r="AT930" s="1075"/>
      <c r="AU930" s="1075"/>
      <c r="AV930" s="1075"/>
    </row>
    <row r="931" spans="1:48" ht="11.25" hidden="1" customHeight="1">
      <c r="A931" s="1075"/>
      <c r="B931" s="1075"/>
      <c r="C931" s="1075"/>
      <c r="D931" s="1075"/>
      <c r="E931" s="1075"/>
      <c r="F931" s="1075"/>
      <c r="G931" s="1075"/>
      <c r="H931" s="1075"/>
      <c r="I931" s="1075"/>
      <c r="J931" s="1075"/>
      <c r="K931" s="1075"/>
      <c r="L931" s="1075"/>
      <c r="M931" s="1075"/>
      <c r="N931" s="1075"/>
      <c r="O931" s="1075"/>
      <c r="P931" s="1075"/>
      <c r="Q931" s="1075"/>
      <c r="R931" s="1075"/>
      <c r="S931" s="1075"/>
      <c r="T931" s="1075"/>
      <c r="U931" s="1075"/>
      <c r="V931" s="1075"/>
      <c r="W931" s="1075"/>
      <c r="X931" s="1075"/>
      <c r="Y931" s="1075"/>
      <c r="Z931" s="1075"/>
      <c r="AA931" s="1075"/>
      <c r="AB931" s="1075"/>
      <c r="AC931" s="1075"/>
      <c r="AD931" s="1075"/>
      <c r="AE931" s="1075"/>
      <c r="AF931" s="1075"/>
      <c r="AG931" s="1075"/>
      <c r="AH931" s="1075"/>
      <c r="AI931" s="1075"/>
      <c r="AJ931" s="1075"/>
      <c r="AK931" s="1075"/>
      <c r="AL931" s="1075"/>
      <c r="AM931" s="1075"/>
      <c r="AN931" s="1075"/>
      <c r="AO931" s="1075"/>
      <c r="AP931" s="1075"/>
      <c r="AQ931" s="1075"/>
      <c r="AR931" s="1075"/>
      <c r="AS931" s="1075"/>
      <c r="AT931" s="1075"/>
      <c r="AU931" s="1075"/>
      <c r="AV931" s="1075"/>
    </row>
    <row r="932" spans="1:48" ht="11.25" hidden="1" customHeight="1">
      <c r="A932" s="1075"/>
      <c r="B932" s="1075"/>
      <c r="C932" s="1075"/>
      <c r="D932" s="1075"/>
      <c r="E932" s="1075"/>
      <c r="F932" s="1075"/>
      <c r="G932" s="1075"/>
      <c r="H932" s="1075"/>
      <c r="I932" s="1075"/>
      <c r="J932" s="1075"/>
      <c r="K932" s="1075"/>
      <c r="L932" s="1075"/>
      <c r="M932" s="1075"/>
      <c r="N932" s="1075"/>
      <c r="O932" s="1075"/>
      <c r="P932" s="1075"/>
      <c r="Q932" s="1075"/>
      <c r="R932" s="1075"/>
      <c r="S932" s="1075"/>
      <c r="T932" s="1075"/>
      <c r="U932" s="1075"/>
      <c r="V932" s="1075"/>
      <c r="W932" s="1075"/>
      <c r="X932" s="1075"/>
      <c r="Y932" s="1075"/>
      <c r="Z932" s="1075"/>
      <c r="AA932" s="1075"/>
      <c r="AB932" s="1075"/>
      <c r="AC932" s="1075"/>
      <c r="AD932" s="1075"/>
      <c r="AE932" s="1075"/>
      <c r="AF932" s="1075"/>
      <c r="AG932" s="1075"/>
      <c r="AH932" s="1075"/>
      <c r="AI932" s="1075"/>
      <c r="AJ932" s="1075"/>
      <c r="AK932" s="1075"/>
      <c r="AL932" s="1075"/>
      <c r="AM932" s="1075"/>
      <c r="AN932" s="1075"/>
      <c r="AO932" s="1075"/>
      <c r="AP932" s="1075"/>
      <c r="AQ932" s="1075"/>
      <c r="AR932" s="1075"/>
      <c r="AS932" s="1075"/>
      <c r="AT932" s="1075"/>
      <c r="AU932" s="1075"/>
      <c r="AV932" s="1075"/>
    </row>
    <row r="933" spans="1:48" ht="11.25" hidden="1" customHeight="1">
      <c r="A933" s="1075"/>
      <c r="B933" s="1075"/>
      <c r="C933" s="1075"/>
      <c r="D933" s="1075"/>
      <c r="E933" s="1075"/>
      <c r="F933" s="1075"/>
      <c r="G933" s="1075"/>
      <c r="H933" s="1075"/>
      <c r="I933" s="1075"/>
      <c r="J933" s="1075"/>
      <c r="K933" s="1075"/>
      <c r="L933" s="1075"/>
      <c r="M933" s="1075"/>
      <c r="N933" s="1075"/>
      <c r="O933" s="1075"/>
      <c r="P933" s="1075"/>
      <c r="Q933" s="1075"/>
      <c r="R933" s="1075"/>
      <c r="S933" s="1075"/>
      <c r="T933" s="1075"/>
      <c r="U933" s="1075"/>
      <c r="V933" s="1075"/>
      <c r="W933" s="1075"/>
      <c r="X933" s="1075"/>
      <c r="Y933" s="1075"/>
      <c r="Z933" s="1075"/>
      <c r="AA933" s="1075"/>
      <c r="AB933" s="1075"/>
      <c r="AC933" s="1075"/>
      <c r="AD933" s="1075"/>
      <c r="AE933" s="1075"/>
      <c r="AF933" s="1075"/>
      <c r="AG933" s="1075"/>
      <c r="AH933" s="1075"/>
      <c r="AI933" s="1075"/>
      <c r="AJ933" s="1075"/>
      <c r="AK933" s="1075"/>
      <c r="AL933" s="1075"/>
      <c r="AM933" s="1075"/>
      <c r="AN933" s="1075"/>
      <c r="AO933" s="1075"/>
      <c r="AP933" s="1075"/>
      <c r="AQ933" s="1075"/>
      <c r="AR933" s="1075"/>
      <c r="AS933" s="1075"/>
      <c r="AT933" s="1075"/>
      <c r="AU933" s="1075"/>
      <c r="AV933" s="1075"/>
    </row>
    <row r="934" spans="1:48" ht="11.25" hidden="1" customHeight="1">
      <c r="A934" s="1075"/>
      <c r="B934" s="1075"/>
      <c r="C934" s="1075"/>
      <c r="D934" s="1075"/>
      <c r="E934" s="1075"/>
      <c r="F934" s="1075"/>
      <c r="G934" s="1075"/>
      <c r="H934" s="1075"/>
      <c r="I934" s="1075"/>
      <c r="J934" s="1075"/>
      <c r="K934" s="1075"/>
      <c r="L934" s="1075"/>
      <c r="M934" s="1075"/>
      <c r="N934" s="1075"/>
      <c r="O934" s="1075"/>
      <c r="P934" s="1075"/>
      <c r="Q934" s="1075"/>
      <c r="R934" s="1075"/>
      <c r="S934" s="1075"/>
      <c r="T934" s="1075"/>
      <c r="U934" s="1075"/>
      <c r="V934" s="1075"/>
      <c r="W934" s="1075"/>
      <c r="X934" s="1075"/>
      <c r="Y934" s="1075"/>
      <c r="Z934" s="1075"/>
      <c r="AA934" s="1075"/>
      <c r="AB934" s="1075"/>
      <c r="AC934" s="1075"/>
      <c r="AD934" s="1075"/>
      <c r="AE934" s="1075"/>
      <c r="AF934" s="1075"/>
      <c r="AG934" s="1075"/>
      <c r="AH934" s="1075"/>
      <c r="AI934" s="1075"/>
      <c r="AJ934" s="1075"/>
      <c r="AK934" s="1075"/>
      <c r="AL934" s="1075"/>
      <c r="AM934" s="1075"/>
      <c r="AN934" s="1075"/>
      <c r="AO934" s="1075"/>
      <c r="AP934" s="1075"/>
      <c r="AQ934" s="1075"/>
      <c r="AR934" s="1075"/>
      <c r="AS934" s="1075"/>
      <c r="AT934" s="1075"/>
      <c r="AU934" s="1075"/>
      <c r="AV934" s="1075"/>
    </row>
    <row r="935" spans="1:48" ht="11.25" hidden="1" customHeight="1">
      <c r="A935" s="1075"/>
      <c r="B935" s="1075"/>
      <c r="C935" s="1075"/>
      <c r="D935" s="1075"/>
      <c r="E935" s="1075"/>
      <c r="F935" s="1075"/>
      <c r="G935" s="1075"/>
      <c r="H935" s="1075"/>
      <c r="I935" s="1075"/>
      <c r="J935" s="1075"/>
      <c r="K935" s="1075"/>
      <c r="L935" s="1075"/>
      <c r="M935" s="1075"/>
      <c r="N935" s="1075"/>
      <c r="O935" s="1075"/>
      <c r="P935" s="1075"/>
      <c r="Q935" s="1075"/>
      <c r="R935" s="1075"/>
      <c r="S935" s="1075"/>
      <c r="T935" s="1075"/>
      <c r="U935" s="1075"/>
      <c r="V935" s="1075"/>
      <c r="W935" s="1075"/>
      <c r="X935" s="1075"/>
      <c r="Y935" s="1075"/>
      <c r="Z935" s="1075"/>
      <c r="AA935" s="1075"/>
      <c r="AB935" s="1075"/>
      <c r="AC935" s="1075"/>
      <c r="AD935" s="1075"/>
      <c r="AE935" s="1075"/>
      <c r="AF935" s="1075"/>
      <c r="AG935" s="1075"/>
      <c r="AH935" s="1075"/>
      <c r="AI935" s="1075"/>
      <c r="AJ935" s="1075"/>
      <c r="AK935" s="1075"/>
      <c r="AL935" s="1075"/>
      <c r="AM935" s="1075"/>
      <c r="AN935" s="1075"/>
      <c r="AO935" s="1075"/>
      <c r="AP935" s="1075"/>
      <c r="AQ935" s="1075"/>
      <c r="AR935" s="1075"/>
      <c r="AS935" s="1075"/>
      <c r="AT935" s="1075"/>
      <c r="AU935" s="1075"/>
      <c r="AV935" s="1075"/>
    </row>
    <row r="936" spans="1:48" ht="11.25" hidden="1" customHeight="1">
      <c r="A936" s="1075"/>
      <c r="B936" s="1075"/>
      <c r="C936" s="1075"/>
      <c r="D936" s="1075"/>
      <c r="E936" s="1075"/>
      <c r="F936" s="1075"/>
      <c r="G936" s="1075"/>
      <c r="H936" s="1075"/>
      <c r="I936" s="1075"/>
      <c r="J936" s="1075"/>
      <c r="K936" s="1075"/>
      <c r="L936" s="1075"/>
      <c r="M936" s="1075"/>
      <c r="N936" s="1075"/>
      <c r="O936" s="1075"/>
      <c r="P936" s="1075"/>
      <c r="Q936" s="1075"/>
      <c r="R936" s="1075"/>
      <c r="S936" s="1075"/>
      <c r="T936" s="1075"/>
      <c r="U936" s="1075"/>
      <c r="V936" s="1075"/>
      <c r="W936" s="1075"/>
      <c r="X936" s="1075"/>
      <c r="Y936" s="1075"/>
      <c r="Z936" s="1075"/>
      <c r="AA936" s="1075"/>
      <c r="AB936" s="1075"/>
      <c r="AC936" s="1075"/>
      <c r="AD936" s="1075"/>
      <c r="AE936" s="1075"/>
      <c r="AF936" s="1075"/>
      <c r="AG936" s="1075"/>
      <c r="AH936" s="1075"/>
      <c r="AI936" s="1075"/>
      <c r="AJ936" s="1075"/>
      <c r="AK936" s="1075"/>
      <c r="AL936" s="1075"/>
      <c r="AM936" s="1075"/>
      <c r="AN936" s="1075"/>
      <c r="AO936" s="1075"/>
      <c r="AP936" s="1075"/>
      <c r="AQ936" s="1075"/>
      <c r="AR936" s="1075"/>
      <c r="AS936" s="1075"/>
      <c r="AT936" s="1075"/>
      <c r="AU936" s="1075"/>
      <c r="AV936" s="1075"/>
    </row>
    <row r="937" spans="1:48" ht="11.25" hidden="1" customHeight="1">
      <c r="A937" s="1075"/>
      <c r="B937" s="1075"/>
      <c r="C937" s="1075"/>
      <c r="D937" s="1075"/>
      <c r="E937" s="1075"/>
      <c r="F937" s="1075"/>
      <c r="G937" s="1075"/>
      <c r="H937" s="1075"/>
      <c r="I937" s="1075"/>
      <c r="J937" s="1075"/>
      <c r="K937" s="1075"/>
      <c r="L937" s="1075"/>
      <c r="M937" s="1075"/>
      <c r="N937" s="1075"/>
      <c r="O937" s="1075"/>
      <c r="P937" s="1075"/>
      <c r="Q937" s="1075"/>
      <c r="R937" s="1075"/>
      <c r="S937" s="1075"/>
      <c r="T937" s="1075"/>
      <c r="U937" s="1075"/>
      <c r="V937" s="1075"/>
      <c r="W937" s="1075"/>
      <c r="X937" s="1075"/>
      <c r="Y937" s="1075"/>
      <c r="Z937" s="1075"/>
      <c r="AA937" s="1075"/>
      <c r="AB937" s="1075"/>
      <c r="AC937" s="1075"/>
      <c r="AD937" s="1075"/>
      <c r="AE937" s="1075"/>
      <c r="AF937" s="1075"/>
      <c r="AG937" s="1075"/>
      <c r="AH937" s="1075"/>
      <c r="AI937" s="1075"/>
      <c r="AJ937" s="1075"/>
      <c r="AK937" s="1075"/>
      <c r="AL937" s="1075"/>
      <c r="AM937" s="1075"/>
      <c r="AN937" s="1075"/>
      <c r="AO937" s="1075"/>
      <c r="AP937" s="1075"/>
      <c r="AQ937" s="1075"/>
      <c r="AR937" s="1075"/>
      <c r="AS937" s="1075"/>
      <c r="AT937" s="1075"/>
      <c r="AU937" s="1075"/>
      <c r="AV937" s="1075"/>
    </row>
    <row r="938" spans="1:48" ht="11.25" hidden="1" customHeight="1">
      <c r="A938" s="1075"/>
      <c r="B938" s="1075"/>
      <c r="C938" s="1075"/>
      <c r="D938" s="1075"/>
      <c r="E938" s="1075"/>
      <c r="F938" s="1075"/>
      <c r="G938" s="1075"/>
      <c r="H938" s="1075"/>
      <c r="I938" s="1075"/>
      <c r="J938" s="1075"/>
      <c r="K938" s="1075"/>
      <c r="L938" s="1075"/>
      <c r="M938" s="1075"/>
      <c r="N938" s="1075"/>
      <c r="O938" s="1075"/>
      <c r="P938" s="1075"/>
      <c r="Q938" s="1075"/>
      <c r="R938" s="1075"/>
      <c r="S938" s="1075"/>
      <c r="T938" s="1075"/>
      <c r="U938" s="1075"/>
      <c r="V938" s="1075"/>
      <c r="W938" s="1075"/>
      <c r="X938" s="1075"/>
      <c r="Y938" s="1075"/>
      <c r="Z938" s="1075"/>
      <c r="AA938" s="1075"/>
      <c r="AB938" s="1075"/>
      <c r="AC938" s="1075"/>
      <c r="AD938" s="1075"/>
      <c r="AE938" s="1075"/>
      <c r="AF938" s="1075"/>
      <c r="AG938" s="1075"/>
      <c r="AH938" s="1075"/>
      <c r="AI938" s="1075"/>
      <c r="AJ938" s="1075"/>
      <c r="AK938" s="1075"/>
      <c r="AL938" s="1075"/>
      <c r="AM938" s="1075"/>
      <c r="AN938" s="1075"/>
      <c r="AO938" s="1075"/>
      <c r="AP938" s="1075"/>
      <c r="AQ938" s="1075"/>
      <c r="AR938" s="1075"/>
      <c r="AS938" s="1075"/>
      <c r="AT938" s="1075"/>
      <c r="AU938" s="1075"/>
      <c r="AV938" s="1075"/>
    </row>
    <row r="939" spans="1:48" ht="11.25" hidden="1" customHeight="1">
      <c r="A939" s="1075"/>
      <c r="B939" s="1075"/>
      <c r="C939" s="1075"/>
      <c r="D939" s="1075"/>
      <c r="E939" s="1075"/>
      <c r="F939" s="1075"/>
      <c r="G939" s="1075"/>
      <c r="H939" s="1075"/>
      <c r="I939" s="1075"/>
      <c r="J939" s="1075"/>
      <c r="K939" s="1075"/>
      <c r="L939" s="1075"/>
      <c r="M939" s="1075"/>
      <c r="N939" s="1075"/>
      <c r="O939" s="1075"/>
      <c r="P939" s="1075"/>
      <c r="Q939" s="1075"/>
      <c r="R939" s="1075"/>
      <c r="S939" s="1075"/>
      <c r="T939" s="1075"/>
      <c r="U939" s="1075"/>
      <c r="V939" s="1075"/>
      <c r="W939" s="1075"/>
      <c r="X939" s="1075"/>
      <c r="Y939" s="1075"/>
      <c r="Z939" s="1075"/>
      <c r="AA939" s="1075"/>
      <c r="AB939" s="1075"/>
      <c r="AC939" s="1075"/>
      <c r="AD939" s="1075"/>
      <c r="AE939" s="1075"/>
      <c r="AF939" s="1075"/>
      <c r="AG939" s="1075"/>
      <c r="AH939" s="1075"/>
      <c r="AI939" s="1075"/>
      <c r="AJ939" s="1075"/>
      <c r="AK939" s="1075"/>
      <c r="AL939" s="1075"/>
      <c r="AM939" s="1075"/>
      <c r="AN939" s="1075"/>
      <c r="AO939" s="1075"/>
      <c r="AP939" s="1075"/>
      <c r="AQ939" s="1075"/>
      <c r="AR939" s="1075"/>
      <c r="AS939" s="1075"/>
      <c r="AT939" s="1075"/>
      <c r="AU939" s="1075"/>
      <c r="AV939" s="1075"/>
    </row>
    <row r="940" spans="1:48" ht="11.25" hidden="1" customHeight="1">
      <c r="A940" s="1075"/>
      <c r="B940" s="1075"/>
      <c r="C940" s="1075"/>
      <c r="D940" s="1075"/>
      <c r="E940" s="1075"/>
      <c r="F940" s="1075"/>
      <c r="G940" s="1075"/>
      <c r="H940" s="1075"/>
      <c r="I940" s="1075"/>
      <c r="J940" s="1075"/>
      <c r="K940" s="1075"/>
      <c r="L940" s="1075"/>
      <c r="M940" s="1075"/>
      <c r="N940" s="1075"/>
      <c r="O940" s="1075"/>
      <c r="P940" s="1075"/>
      <c r="Q940" s="1075"/>
      <c r="R940" s="1075"/>
      <c r="S940" s="1075"/>
      <c r="T940" s="1075"/>
      <c r="U940" s="1075"/>
      <c r="V940" s="1075"/>
      <c r="W940" s="1075"/>
      <c r="X940" s="1075"/>
      <c r="Y940" s="1075"/>
      <c r="Z940" s="1075"/>
      <c r="AA940" s="1075"/>
      <c r="AB940" s="1075"/>
      <c r="AC940" s="1075"/>
      <c r="AD940" s="1075"/>
      <c r="AE940" s="1075"/>
      <c r="AF940" s="1075"/>
      <c r="AG940" s="1075"/>
      <c r="AH940" s="1075"/>
      <c r="AI940" s="1075"/>
      <c r="AJ940" s="1075"/>
      <c r="AK940" s="1075"/>
      <c r="AL940" s="1075"/>
      <c r="AM940" s="1075"/>
      <c r="AN940" s="1075"/>
      <c r="AO940" s="1075"/>
      <c r="AP940" s="1075"/>
      <c r="AQ940" s="1075"/>
      <c r="AR940" s="1075"/>
      <c r="AS940" s="1075"/>
      <c r="AT940" s="1075"/>
      <c r="AU940" s="1075"/>
      <c r="AV940" s="1075"/>
    </row>
  </sheetData>
  <conditionalFormatting sqref="AH71:AH90">
    <cfRule type="cellIs" dxfId="178" priority="1" operator="between">
      <formula>2</formula>
      <formula>4</formula>
    </cfRule>
  </conditionalFormatting>
  <pageMargins left="0.7" right="0.7" top="0.75" bottom="0.75" header="0.3" footer="0.3"/>
  <pageSetup orientation="portrait" horizontalDpi="4294967293" verticalDpi="4294967293" r:id="rId1"/>
</worksheet>
</file>

<file path=xl/worksheets/sheet3.xml><?xml version="1.0" encoding="utf-8"?>
<worksheet xmlns="http://schemas.openxmlformats.org/spreadsheetml/2006/main" xmlns:r="http://schemas.openxmlformats.org/officeDocument/2006/relationships">
  <sheetPr codeName="Sheet34"/>
  <dimension ref="A1:AO998"/>
  <sheetViews>
    <sheetView showGridLines="0" showRowColHeaders="0" topLeftCell="A11" zoomScale="86" zoomScaleNormal="86" workbookViewId="0">
      <selection activeCell="S29" sqref="S29:V30"/>
    </sheetView>
  </sheetViews>
  <sheetFormatPr defaultColWidth="0" defaultRowHeight="0" customHeight="1" zeroHeight="1"/>
  <cols>
    <col min="1" max="1" width="8" style="605" customWidth="1"/>
    <col min="2" max="3" width="4.5" style="605" customWidth="1"/>
    <col min="4" max="4" width="4" style="605" customWidth="1"/>
    <col min="5" max="5" width="4.5" style="605" customWidth="1"/>
    <col min="6" max="6" width="4.375" style="605" customWidth="1"/>
    <col min="7" max="7" width="6.375" style="604" customWidth="1"/>
    <col min="8" max="8" width="6.5" style="604" customWidth="1"/>
    <col min="9" max="9" width="4.375" style="604" customWidth="1"/>
    <col min="10" max="10" width="5" style="604" customWidth="1"/>
    <col min="11" max="11" width="5.375" style="604" customWidth="1"/>
    <col min="12" max="12" width="4.5" style="604" customWidth="1"/>
    <col min="13" max="13" width="3.625" style="604" customWidth="1"/>
    <col min="14" max="14" width="6" style="604" customWidth="1"/>
    <col min="15" max="15" width="6.625" style="604" customWidth="1"/>
    <col min="16" max="16" width="6" style="604" customWidth="1"/>
    <col min="17" max="17" width="7.875" style="604" customWidth="1"/>
    <col min="18" max="18" width="4.375" style="604" customWidth="1"/>
    <col min="19" max="20" width="8" style="604" customWidth="1"/>
    <col min="21" max="21" width="3.5" style="604" customWidth="1"/>
    <col min="22" max="22" width="2.875" style="604" customWidth="1"/>
    <col min="23" max="23" width="8" style="604" customWidth="1"/>
    <col min="24" max="24" width="5.5" style="683" customWidth="1"/>
    <col min="25" max="25" width="2" style="605" hidden="1" customWidth="1"/>
    <col min="26" max="26" width="7" style="605" hidden="1" customWidth="1"/>
    <col min="27" max="27" width="6" style="605" hidden="1" customWidth="1"/>
    <col min="28" max="29" width="8" style="605" hidden="1" customWidth="1"/>
    <col min="30" max="30" width="4.125" style="605" hidden="1" customWidth="1"/>
    <col min="31" max="31" width="2.875" style="605" hidden="1" customWidth="1"/>
    <col min="32" max="32" width="8" style="605" hidden="1" customWidth="1"/>
    <col min="33" max="33" width="6.5" style="605" hidden="1" customWidth="1"/>
    <col min="34" max="34" width="5.5" style="605" hidden="1" customWidth="1"/>
    <col min="35" max="35" width="6.375" style="605" hidden="1" customWidth="1"/>
    <col min="36" max="36" width="0.125" style="605" hidden="1" customWidth="1"/>
    <col min="37" max="37" width="8" style="605" customWidth="1"/>
    <col min="38" max="41" width="8" style="604" hidden="1" customWidth="1"/>
    <col min="42" max="16384" width="15.125" style="604" hidden="1"/>
  </cols>
  <sheetData>
    <row r="1" spans="1:41" ht="48.75" hidden="1" customHeight="1">
      <c r="A1" s="614" t="s">
        <v>687</v>
      </c>
      <c r="B1" s="614" t="s">
        <v>686</v>
      </c>
      <c r="C1" s="614" t="s">
        <v>685</v>
      </c>
      <c r="D1" s="614" t="s">
        <v>684</v>
      </c>
      <c r="E1" s="614" t="s">
        <v>143</v>
      </c>
      <c r="F1" s="614" t="s">
        <v>683</v>
      </c>
      <c r="G1" s="614" t="s">
        <v>682</v>
      </c>
      <c r="H1" s="614" t="s">
        <v>681</v>
      </c>
      <c r="I1" s="614" t="s">
        <v>680</v>
      </c>
      <c r="J1" s="614" t="s">
        <v>679</v>
      </c>
      <c r="K1" s="614" t="s">
        <v>678</v>
      </c>
      <c r="L1" s="614" t="s">
        <v>677</v>
      </c>
      <c r="M1" s="614" t="s">
        <v>675</v>
      </c>
      <c r="N1" s="614" t="s">
        <v>676</v>
      </c>
      <c r="O1" s="614" t="s">
        <v>10</v>
      </c>
      <c r="P1" s="614" t="s">
        <v>9</v>
      </c>
      <c r="Q1" s="614" t="s">
        <v>563</v>
      </c>
      <c r="R1" s="614" t="s">
        <v>675</v>
      </c>
      <c r="S1" s="614" t="s">
        <v>674</v>
      </c>
      <c r="T1" s="614" t="s">
        <v>673</v>
      </c>
      <c r="U1" s="614" t="s">
        <v>672</v>
      </c>
      <c r="V1" s="614" t="s">
        <v>671</v>
      </c>
      <c r="W1" s="614" t="s">
        <v>670</v>
      </c>
      <c r="X1" s="679" t="s">
        <v>669</v>
      </c>
      <c r="Y1" s="614" t="s">
        <v>668</v>
      </c>
      <c r="Z1" s="614" t="s">
        <v>141</v>
      </c>
      <c r="AA1" s="614" t="s">
        <v>667</v>
      </c>
      <c r="AB1" s="614" t="s">
        <v>666</v>
      </c>
      <c r="AC1" s="614" t="s">
        <v>149</v>
      </c>
      <c r="AD1" s="614" t="s">
        <v>140</v>
      </c>
      <c r="AE1" s="614" t="s">
        <v>139</v>
      </c>
      <c r="AF1" s="614"/>
      <c r="AG1" s="614"/>
      <c r="AH1" s="614"/>
      <c r="AI1" s="614"/>
      <c r="AJ1" s="614"/>
      <c r="AK1" s="614"/>
      <c r="AL1" s="614"/>
      <c r="AM1" s="614"/>
      <c r="AN1" s="614"/>
      <c r="AO1" s="614"/>
    </row>
    <row r="2" spans="1:41" ht="33.75" hidden="1" customHeight="1">
      <c r="A2" s="614" t="s">
        <v>664</v>
      </c>
      <c r="B2" s="606">
        <v>1</v>
      </c>
      <c r="C2" s="606">
        <v>0</v>
      </c>
      <c r="D2" s="606">
        <v>50</v>
      </c>
      <c r="E2" s="606">
        <v>10</v>
      </c>
      <c r="F2" s="606">
        <v>20</v>
      </c>
      <c r="G2" s="606">
        <v>7.5</v>
      </c>
      <c r="H2" s="606">
        <v>5</v>
      </c>
      <c r="I2" s="606">
        <v>5</v>
      </c>
      <c r="J2" s="606">
        <v>5</v>
      </c>
      <c r="K2" s="606">
        <v>5</v>
      </c>
      <c r="L2" s="606">
        <v>3</v>
      </c>
      <c r="M2" s="606">
        <v>0</v>
      </c>
      <c r="N2" s="606">
        <v>20000</v>
      </c>
      <c r="O2" s="606">
        <v>13000</v>
      </c>
      <c r="P2" s="606">
        <v>8000</v>
      </c>
      <c r="Q2" s="606">
        <v>3000</v>
      </c>
      <c r="R2" s="606">
        <v>0</v>
      </c>
      <c r="S2" s="606">
        <f>Z2</f>
        <v>200000</v>
      </c>
      <c r="T2" s="606">
        <f>Z2</f>
        <v>200000</v>
      </c>
      <c r="U2" s="606">
        <v>1</v>
      </c>
      <c r="V2" s="606">
        <v>1</v>
      </c>
      <c r="W2" s="606">
        <f>ECAL!$B$12</f>
        <v>2</v>
      </c>
      <c r="X2" s="680">
        <f>ECAL!$C$11</f>
        <v>20000</v>
      </c>
      <c r="Y2" s="606">
        <f>ECAL!D12*ECAL!C12</f>
        <v>20000</v>
      </c>
      <c r="Z2" s="606">
        <f>Y2*10</f>
        <v>200000</v>
      </c>
      <c r="AA2" s="606">
        <f>ECAL!C11</f>
        <v>20000</v>
      </c>
      <c r="AB2" s="606">
        <f>ECAL!D30</f>
        <v>0.4</v>
      </c>
      <c r="AC2" s="606">
        <v>835</v>
      </c>
      <c r="AD2" s="606">
        <f>ECAL!B10</f>
        <v>20</v>
      </c>
      <c r="AE2" s="606">
        <f>AD2</f>
        <v>20</v>
      </c>
      <c r="AF2" s="606"/>
      <c r="AG2" s="606"/>
      <c r="AH2" s="606"/>
      <c r="AI2" s="606"/>
      <c r="AJ2" s="606"/>
      <c r="AK2" s="606"/>
      <c r="AL2" s="606"/>
      <c r="AM2" s="606"/>
      <c r="AN2" s="606"/>
      <c r="AO2" s="606"/>
    </row>
    <row r="3" spans="1:41" ht="22.5" hidden="1" customHeight="1">
      <c r="A3" s="614" t="s">
        <v>665</v>
      </c>
      <c r="B3" s="606">
        <v>2</v>
      </c>
      <c r="C3" s="606">
        <v>7</v>
      </c>
      <c r="D3" s="606">
        <v>60</v>
      </c>
      <c r="E3" s="606">
        <v>10</v>
      </c>
      <c r="F3" s="606">
        <v>20</v>
      </c>
      <c r="G3" s="606">
        <v>7.5</v>
      </c>
      <c r="H3" s="606">
        <v>5</v>
      </c>
      <c r="I3" s="606">
        <v>5</v>
      </c>
      <c r="J3" s="606">
        <v>5</v>
      </c>
      <c r="K3" s="606">
        <v>5</v>
      </c>
      <c r="L3" s="606">
        <v>3</v>
      </c>
      <c r="M3" s="606">
        <v>3.3</v>
      </c>
      <c r="N3" s="606">
        <v>20000</v>
      </c>
      <c r="O3" s="606">
        <v>0</v>
      </c>
      <c r="P3" s="606">
        <v>0</v>
      </c>
      <c r="Q3" s="606">
        <v>0</v>
      </c>
      <c r="R3" s="606">
        <v>30000</v>
      </c>
      <c r="S3" s="606">
        <f>(ECAL!B10+1)*ECAL!C12*ECAL!D12</f>
        <v>420000</v>
      </c>
      <c r="T3" s="606">
        <f>IF(ECAL!B9&lt;45,30*ECAL!C12*ECAL!D12,25*ECAL!C12*ECAL!D12)</f>
        <v>600000</v>
      </c>
      <c r="U3" s="606">
        <v>1</v>
      </c>
      <c r="V3" s="606">
        <v>1</v>
      </c>
      <c r="W3" s="606">
        <v>0</v>
      </c>
      <c r="X3" s="680">
        <v>0</v>
      </c>
      <c r="Y3" s="606">
        <v>0</v>
      </c>
      <c r="Z3" s="606">
        <v>0</v>
      </c>
      <c r="AA3" s="606">
        <v>0</v>
      </c>
      <c r="AB3" s="606">
        <v>0</v>
      </c>
      <c r="AC3" s="606">
        <v>0</v>
      </c>
      <c r="AD3" s="606">
        <v>0</v>
      </c>
      <c r="AE3" s="606">
        <v>0</v>
      </c>
      <c r="AF3" s="606"/>
      <c r="AG3" s="606"/>
      <c r="AH3" s="606"/>
      <c r="AI3" s="606"/>
      <c r="AJ3" s="606"/>
      <c r="AK3" s="606"/>
      <c r="AL3" s="606"/>
      <c r="AM3" s="606"/>
      <c r="AN3" s="606"/>
      <c r="AO3" s="606"/>
    </row>
    <row r="4" spans="1:41" ht="11.25" hidden="1" customHeight="1">
      <c r="A4" s="616" t="s">
        <v>664</v>
      </c>
      <c r="B4" s="615"/>
      <c r="C4" s="615">
        <f>LOOKUP(ECAL!$D2,EPLUS!$B2:$B3,EPLUS!C2:C3)</f>
        <v>0</v>
      </c>
      <c r="D4" s="615">
        <f>LOOKUP(ECAL!$D2,EPLUS!$B2:$B3,EPLUS!D2:D3)</f>
        <v>50</v>
      </c>
      <c r="E4" s="615">
        <f>LOOKUP(ECAL!$D2,EPLUS!$B2:$B3,EPLUS!E2:E3)</f>
        <v>10</v>
      </c>
      <c r="F4" s="615">
        <f>LOOKUP(ECAL!$D2,EPLUS!$B2:$B3,EPLUS!F2:F3)</f>
        <v>20</v>
      </c>
      <c r="G4" s="615">
        <f>LOOKUP(ECAL!$D2,EPLUS!$B2:$B3,EPLUS!G2:G3)</f>
        <v>7.5</v>
      </c>
      <c r="H4" s="615">
        <f>LOOKUP(ECAL!$D2,EPLUS!$B2:$B3,EPLUS!H2:H3)</f>
        <v>5</v>
      </c>
      <c r="I4" s="615">
        <f>LOOKUP(ECAL!$D2,EPLUS!$B2:$B3,EPLUS!I2:I3)</f>
        <v>5</v>
      </c>
      <c r="J4" s="615">
        <f>LOOKUP(ECAL!$D2,EPLUS!$B2:$B3,EPLUS!J2:J3)</f>
        <v>5</v>
      </c>
      <c r="K4" s="615">
        <f>LOOKUP(ECAL!$D2,EPLUS!$B2:$B3,EPLUS!K2:K3)</f>
        <v>5</v>
      </c>
      <c r="L4" s="615">
        <f>LOOKUP(ECAL!$D2,EPLUS!$B2:$B3,EPLUS!L2:L3)</f>
        <v>3</v>
      </c>
      <c r="M4" s="615">
        <f>LOOKUP(ECAL!$D2,EPLUS!$B2:$B3,EPLUS!M2:M3)</f>
        <v>0</v>
      </c>
      <c r="N4" s="615">
        <f>LOOKUP(ECAL!$D2,EPLUS!$B2:$B3,EPLUS!N2:N3)</f>
        <v>20000</v>
      </c>
      <c r="O4" s="615">
        <f>LOOKUP(ECAL!$D2,EPLUS!$B2:$B3,EPLUS!O2:O3)</f>
        <v>13000</v>
      </c>
      <c r="P4" s="615">
        <f>LOOKUP(ECAL!$D2,EPLUS!$B2:$B3,EPLUS!P2:P3)</f>
        <v>8000</v>
      </c>
      <c r="Q4" s="615">
        <f>LOOKUP(ECAL!$D2,EPLUS!$B2:$B3,EPLUS!Q2:Q3)</f>
        <v>3000</v>
      </c>
      <c r="R4" s="615">
        <f>LOOKUP(ECAL!$D2,EPLUS!$B2:$B3,EPLUS!R2:R3)</f>
        <v>0</v>
      </c>
      <c r="S4" s="615">
        <f>LOOKUP(ECAL!$D2,EPLUS!$B2:$B3,EPLUS!S2:S3)</f>
        <v>200000</v>
      </c>
      <c r="T4" s="615">
        <f>LOOKUP(ECAL!$D2,EPLUS!$B2:$B3,EPLUS!T2:T3)</f>
        <v>200000</v>
      </c>
      <c r="U4" s="615">
        <f>LOOKUP(ECAL!$D2,EPLUS!$B2:$B3,EPLUS!U2:U3)</f>
        <v>1</v>
      </c>
      <c r="V4" s="615">
        <f>IF(ECAL!B9&gt;=18,IF(VALUE(ECAL!D29)=1,LOOKUP(ECAL!$D2,EPLUS!$B2:$B3,EPLUS!V2:V3),0),0)</f>
        <v>0</v>
      </c>
      <c r="W4" s="615">
        <f>LOOKUP(ECAL!$D2,EPLUS!$B2:$B3,EPLUS!W2:W3)</f>
        <v>2</v>
      </c>
      <c r="X4" s="681">
        <f>LOOKUP(ECAL!$D2,EPLUS!$B2:$B3,EPLUS!X2:X3)</f>
        <v>20000</v>
      </c>
      <c r="Y4" s="615">
        <f>LOOKUP(ECAL!$D2,EPLUS!$B2:$B3,EPLUS!Y2:Y3)</f>
        <v>20000</v>
      </c>
      <c r="Z4" s="615">
        <f>LOOKUP(ECAL!$D2,EPLUS!$B2:$B3,EPLUS!Z2:Z3)</f>
        <v>200000</v>
      </c>
      <c r="AA4" s="615">
        <f>LOOKUP(ECAL!$D2,EPLUS!$B2:$B3,EPLUS!AA2:AA3)</f>
        <v>20000</v>
      </c>
      <c r="AB4" s="615">
        <f>LOOKUP(ECAL!$D2,EPLUS!$B2:$B3,EPLUS!AB2:AB3)</f>
        <v>0.4</v>
      </c>
      <c r="AC4" s="615">
        <f>LOOKUP(ECAL!$D2,EPLUS!$B2:$B3,EPLUS!AC2:AC3)</f>
        <v>835</v>
      </c>
      <c r="AD4" s="615">
        <f>LOOKUP(ECAL!$D2,EPLUS!$B2:$B3,EPLUS!AD2:AD3)</f>
        <v>20</v>
      </c>
      <c r="AE4" s="615">
        <f>LOOKUP(ECAL!$D2,EPLUS!$B2:$B3,EPLUS!AE2:AE3)</f>
        <v>20</v>
      </c>
      <c r="AF4" s="606"/>
      <c r="AG4" s="606"/>
      <c r="AH4" s="606"/>
      <c r="AI4" s="606"/>
      <c r="AJ4" s="606"/>
      <c r="AK4" s="606"/>
      <c r="AL4" s="606"/>
      <c r="AM4" s="606"/>
      <c r="AN4" s="606"/>
      <c r="AO4" s="606"/>
    </row>
    <row r="5" spans="1:41" ht="11.25" hidden="1" customHeight="1">
      <c r="A5" s="614"/>
      <c r="B5" s="606"/>
      <c r="C5" s="606"/>
      <c r="D5" s="606"/>
      <c r="E5" s="606"/>
      <c r="F5" s="606"/>
      <c r="G5" s="606"/>
      <c r="H5" s="606"/>
      <c r="I5" s="606"/>
      <c r="J5" s="606"/>
      <c r="K5" s="606"/>
      <c r="L5" s="606"/>
      <c r="M5" s="606"/>
      <c r="N5" s="606"/>
      <c r="O5" s="606"/>
      <c r="P5" s="606"/>
      <c r="Q5" s="606"/>
      <c r="R5" s="606"/>
      <c r="S5" s="606"/>
      <c r="T5" s="606"/>
      <c r="U5" s="606"/>
      <c r="V5" s="606"/>
      <c r="W5" s="606"/>
      <c r="X5" s="680"/>
      <c r="Y5" s="606"/>
      <c r="Z5" s="606"/>
      <c r="AA5" s="606"/>
      <c r="AB5" s="606"/>
      <c r="AC5" s="606"/>
      <c r="AD5" s="606"/>
      <c r="AE5" s="606"/>
      <c r="AF5" s="606"/>
      <c r="AG5" s="606"/>
      <c r="AH5" s="606"/>
      <c r="AI5" s="606"/>
      <c r="AJ5" s="606"/>
      <c r="AK5" s="606"/>
      <c r="AL5" s="606"/>
      <c r="AM5" s="606"/>
      <c r="AN5" s="606"/>
      <c r="AO5" s="606"/>
    </row>
    <row r="6" spans="1:41" ht="11.25" hidden="1" customHeight="1">
      <c r="A6" s="614"/>
      <c r="B6" s="606"/>
      <c r="C6" s="606"/>
      <c r="D6" s="606"/>
      <c r="E6" s="606"/>
      <c r="F6" s="606"/>
      <c r="G6" s="606"/>
      <c r="H6" s="606"/>
      <c r="I6" s="606"/>
      <c r="J6" s="606"/>
      <c r="K6" s="606"/>
      <c r="L6" s="606"/>
      <c r="M6" s="606"/>
      <c r="N6" s="606"/>
      <c r="O6" s="606"/>
      <c r="P6" s="606"/>
      <c r="Q6" s="606"/>
      <c r="R6" s="606"/>
      <c r="S6" s="606"/>
      <c r="T6" s="606"/>
      <c r="U6" s="606"/>
      <c r="V6" s="606"/>
      <c r="W6" s="606"/>
      <c r="X6" s="680"/>
      <c r="Y6" s="606"/>
      <c r="Z6" s="606"/>
      <c r="AA6" s="606"/>
      <c r="AB6" s="606"/>
      <c r="AC6" s="606"/>
      <c r="AD6" s="606"/>
      <c r="AE6" s="606"/>
      <c r="AF6" s="606"/>
      <c r="AG6" s="606"/>
      <c r="AH6" s="606"/>
      <c r="AI6" s="606"/>
      <c r="AJ6" s="606"/>
      <c r="AK6" s="606"/>
      <c r="AL6" s="606"/>
      <c r="AM6" s="606"/>
      <c r="AN6" s="606"/>
      <c r="AO6" s="606"/>
    </row>
    <row r="7" spans="1:41" ht="11.25" hidden="1" customHeight="1">
      <c r="A7" s="614"/>
      <c r="B7" s="606"/>
      <c r="C7" s="606"/>
      <c r="D7" s="606"/>
      <c r="E7" s="606"/>
      <c r="F7" s="606"/>
      <c r="G7" s="606"/>
      <c r="H7" s="606"/>
      <c r="I7" s="606"/>
      <c r="J7" s="606"/>
      <c r="K7" s="606"/>
      <c r="L7" s="606"/>
      <c r="M7" s="606"/>
      <c r="N7" s="606"/>
      <c r="O7" s="606"/>
      <c r="P7" s="606"/>
      <c r="Q7" s="606"/>
      <c r="R7" s="606"/>
      <c r="S7" s="606"/>
      <c r="T7" s="606"/>
      <c r="U7" s="606"/>
      <c r="V7" s="606"/>
      <c r="W7" s="606"/>
      <c r="X7" s="680"/>
      <c r="Y7" s="606"/>
      <c r="Z7" s="606"/>
      <c r="AA7" s="606"/>
      <c r="AB7" s="606"/>
      <c r="AC7" s="606"/>
      <c r="AD7" s="606"/>
      <c r="AE7" s="606"/>
      <c r="AF7" s="606"/>
      <c r="AG7" s="606"/>
      <c r="AH7" s="606"/>
      <c r="AI7" s="606"/>
      <c r="AJ7" s="606"/>
      <c r="AK7" s="606"/>
      <c r="AL7" s="606"/>
      <c r="AM7" s="606"/>
      <c r="AN7" s="606"/>
      <c r="AO7" s="606"/>
    </row>
    <row r="8" spans="1:41" ht="11.25" hidden="1" customHeight="1">
      <c r="A8" s="614"/>
      <c r="B8" s="606"/>
      <c r="C8" s="606"/>
      <c r="D8" s="606"/>
      <c r="E8" s="606"/>
      <c r="F8" s="606"/>
      <c r="G8" s="606"/>
      <c r="H8" s="606"/>
      <c r="I8" s="606"/>
      <c r="J8" s="606"/>
      <c r="K8" s="606"/>
      <c r="L8" s="606"/>
      <c r="M8" s="606"/>
      <c r="N8" s="606"/>
      <c r="O8" s="606"/>
      <c r="P8" s="606"/>
      <c r="Q8" s="606"/>
      <c r="R8" s="606"/>
      <c r="S8" s="606"/>
      <c r="T8" s="606"/>
      <c r="U8" s="606"/>
      <c r="V8" s="606"/>
      <c r="W8" s="606"/>
      <c r="X8" s="680"/>
      <c r="Y8" s="606"/>
      <c r="Z8" s="606"/>
      <c r="AA8" s="606"/>
      <c r="AB8" s="606"/>
      <c r="AC8" s="606"/>
      <c r="AD8" s="606"/>
      <c r="AE8" s="606"/>
      <c r="AF8" s="606"/>
      <c r="AG8" s="606"/>
      <c r="AH8" s="606"/>
      <c r="AI8" s="606"/>
      <c r="AJ8" s="606"/>
      <c r="AK8" s="606"/>
      <c r="AL8" s="606"/>
      <c r="AM8" s="606"/>
      <c r="AN8" s="606"/>
      <c r="AO8" s="606"/>
    </row>
    <row r="9" spans="1:41" ht="11.25" hidden="1" customHeight="1">
      <c r="A9" s="614"/>
      <c r="B9" s="606"/>
      <c r="C9" s="606"/>
      <c r="D9" s="606"/>
      <c r="E9" s="606"/>
      <c r="F9" s="606"/>
      <c r="G9" s="606"/>
      <c r="H9" s="606"/>
      <c r="I9" s="606"/>
      <c r="J9" s="606"/>
      <c r="K9" s="606"/>
      <c r="L9" s="606"/>
      <c r="M9" s="606"/>
      <c r="N9" s="606"/>
      <c r="O9" s="606"/>
      <c r="P9" s="606"/>
      <c r="Q9" s="606"/>
      <c r="R9" s="606"/>
      <c r="S9" s="606"/>
      <c r="T9" s="606"/>
      <c r="U9" s="606"/>
      <c r="V9" s="606"/>
      <c r="W9" s="606"/>
      <c r="X9" s="680"/>
      <c r="Y9" s="606"/>
      <c r="Z9" s="606"/>
      <c r="AA9" s="606"/>
      <c r="AB9" s="606"/>
      <c r="AC9" s="606"/>
      <c r="AD9" s="606"/>
      <c r="AE9" s="606"/>
      <c r="AF9" s="606"/>
      <c r="AG9" s="606"/>
      <c r="AH9" s="606"/>
      <c r="AI9" s="606"/>
      <c r="AJ9" s="606"/>
      <c r="AK9" s="606"/>
      <c r="AL9" s="606"/>
      <c r="AM9" s="606"/>
      <c r="AN9" s="606"/>
      <c r="AO9" s="606"/>
    </row>
    <row r="10" spans="1:41" ht="11.25" hidden="1" customHeight="1">
      <c r="A10" s="614"/>
      <c r="B10" s="606"/>
      <c r="C10" s="606"/>
      <c r="D10" s="606"/>
      <c r="E10" s="606"/>
      <c r="F10" s="606"/>
      <c r="G10" s="606"/>
      <c r="H10" s="606"/>
      <c r="I10" s="606"/>
      <c r="J10" s="606"/>
      <c r="K10" s="606"/>
      <c r="L10" s="606"/>
      <c r="M10" s="606"/>
      <c r="N10" s="606"/>
      <c r="O10" s="606"/>
      <c r="P10" s="606"/>
      <c r="Q10" s="606"/>
      <c r="R10" s="606"/>
      <c r="S10" s="606"/>
      <c r="T10" s="606"/>
      <c r="U10" s="606"/>
      <c r="V10" s="606"/>
      <c r="W10" s="606"/>
      <c r="X10" s="640"/>
      <c r="Y10" s="607"/>
      <c r="Z10" s="607"/>
      <c r="AA10" s="607"/>
      <c r="AB10" s="607"/>
      <c r="AC10" s="607"/>
      <c r="AD10" s="607"/>
      <c r="AE10" s="607"/>
      <c r="AF10" s="607"/>
      <c r="AG10" s="607"/>
      <c r="AH10" s="607"/>
      <c r="AI10" s="607"/>
      <c r="AJ10" s="607"/>
      <c r="AK10" s="607"/>
      <c r="AL10" s="606"/>
      <c r="AM10" s="606"/>
      <c r="AN10" s="606"/>
      <c r="AO10" s="606"/>
    </row>
    <row r="11" spans="1:41" ht="11.25" customHeight="1">
      <c r="A11" s="608"/>
      <c r="B11" s="607"/>
      <c r="C11" s="607"/>
      <c r="D11" s="607"/>
      <c r="E11" s="607"/>
      <c r="F11" s="607"/>
      <c r="G11" s="607"/>
      <c r="H11" s="607"/>
      <c r="I11" s="607"/>
      <c r="J11" s="607"/>
      <c r="K11" s="607"/>
      <c r="L11" s="607"/>
      <c r="M11" s="607"/>
      <c r="N11" s="607"/>
      <c r="O11" s="607"/>
      <c r="P11" s="607"/>
      <c r="Q11" s="607"/>
      <c r="R11" s="607"/>
      <c r="S11" s="607"/>
      <c r="T11" s="607"/>
      <c r="U11" s="607"/>
      <c r="V11" s="607"/>
      <c r="W11" s="607"/>
      <c r="X11" s="640"/>
      <c r="Y11" s="607"/>
      <c r="Z11" s="607"/>
      <c r="AA11" s="607"/>
      <c r="AB11" s="607"/>
      <c r="AC11" s="607"/>
      <c r="AD11" s="607"/>
      <c r="AE11" s="607"/>
      <c r="AF11" s="607"/>
      <c r="AG11" s="607"/>
      <c r="AH11" s="607"/>
      <c r="AI11" s="607"/>
      <c r="AJ11" s="607"/>
      <c r="AK11" s="607"/>
      <c r="AL11" s="606"/>
      <c r="AM11" s="606"/>
      <c r="AN11" s="606"/>
      <c r="AO11" s="606"/>
    </row>
    <row r="12" spans="1:41" ht="11.25" customHeight="1">
      <c r="A12" s="608"/>
      <c r="B12" s="607"/>
      <c r="C12" s="607"/>
      <c r="D12" s="607"/>
      <c r="E12" s="607"/>
      <c r="F12" s="613"/>
      <c r="G12" s="1424" t="s">
        <v>663</v>
      </c>
      <c r="H12" s="1424"/>
      <c r="I12" s="1424"/>
      <c r="J12" s="1424"/>
      <c r="K12" s="1424"/>
      <c r="L12" s="1424"/>
      <c r="M12" s="1424"/>
      <c r="N12" s="1424"/>
      <c r="O12" s="1424"/>
      <c r="P12" s="1424"/>
      <c r="Q12" s="1424"/>
      <c r="R12" s="613"/>
      <c r="S12" s="607"/>
      <c r="T12" s="607"/>
      <c r="U12" s="607"/>
      <c r="V12" s="607"/>
      <c r="W12" s="607"/>
      <c r="X12" s="640"/>
      <c r="Y12" s="607"/>
      <c r="Z12" s="607"/>
      <c r="AA12" s="607"/>
      <c r="AB12" s="607"/>
      <c r="AC12" s="607"/>
      <c r="AD12" s="607"/>
      <c r="AE12" s="607"/>
      <c r="AF12" s="607"/>
      <c r="AG12" s="607"/>
      <c r="AH12" s="607"/>
      <c r="AI12" s="607"/>
      <c r="AJ12" s="607"/>
      <c r="AK12" s="607"/>
      <c r="AL12" s="606"/>
      <c r="AM12" s="606"/>
      <c r="AN12" s="606"/>
      <c r="AO12" s="606"/>
    </row>
    <row r="13" spans="1:41" ht="11.25" customHeight="1">
      <c r="A13" s="612"/>
      <c r="B13" s="612"/>
      <c r="C13" s="612"/>
      <c r="D13" s="612"/>
      <c r="E13" s="612"/>
      <c r="F13" s="613"/>
      <c r="G13" s="1424"/>
      <c r="H13" s="1424"/>
      <c r="I13" s="1424"/>
      <c r="J13" s="1424"/>
      <c r="K13" s="1424"/>
      <c r="L13" s="1424"/>
      <c r="M13" s="1424"/>
      <c r="N13" s="1424"/>
      <c r="O13" s="1424"/>
      <c r="P13" s="1424"/>
      <c r="Q13" s="1424"/>
      <c r="R13" s="613"/>
      <c r="S13" s="612"/>
      <c r="T13" s="612"/>
      <c r="U13" s="612"/>
      <c r="V13" s="612"/>
      <c r="W13" s="612"/>
      <c r="X13" s="682"/>
      <c r="Y13" s="607"/>
      <c r="Z13" s="607"/>
      <c r="AA13" s="607"/>
      <c r="AB13" s="607"/>
      <c r="AC13" s="607"/>
      <c r="AD13" s="607"/>
      <c r="AE13" s="607"/>
      <c r="AF13" s="607"/>
      <c r="AG13" s="607"/>
      <c r="AH13" s="607"/>
      <c r="AI13" s="607"/>
      <c r="AJ13" s="607"/>
      <c r="AK13" s="607"/>
      <c r="AL13" s="606"/>
      <c r="AM13" s="606"/>
      <c r="AN13" s="606"/>
      <c r="AO13" s="606"/>
    </row>
    <row r="14" spans="1:41" ht="11.25" customHeight="1">
      <c r="A14" s="612"/>
      <c r="B14" s="612"/>
      <c r="C14" s="612"/>
      <c r="D14" s="612"/>
      <c r="E14" s="612"/>
      <c r="F14" s="613"/>
      <c r="G14" s="1424"/>
      <c r="H14" s="1424"/>
      <c r="I14" s="1424"/>
      <c r="J14" s="1424"/>
      <c r="K14" s="1424"/>
      <c r="L14" s="1424"/>
      <c r="M14" s="1424"/>
      <c r="N14" s="1424"/>
      <c r="O14" s="1424"/>
      <c r="P14" s="1424"/>
      <c r="Q14" s="1424"/>
      <c r="R14" s="613"/>
      <c r="S14" s="612"/>
      <c r="T14" s="612"/>
      <c r="U14" s="612"/>
      <c r="V14" s="612"/>
      <c r="W14" s="612"/>
      <c r="X14" s="682"/>
      <c r="Y14" s="607"/>
      <c r="Z14" s="607"/>
      <c r="AA14" s="607"/>
      <c r="AB14" s="607"/>
      <c r="AC14" s="607"/>
      <c r="AD14" s="607"/>
      <c r="AE14" s="607"/>
      <c r="AF14" s="607"/>
      <c r="AG14" s="607"/>
      <c r="AH14" s="607"/>
      <c r="AI14" s="607"/>
      <c r="AJ14" s="607"/>
      <c r="AK14" s="607"/>
      <c r="AL14" s="606"/>
      <c r="AM14" s="606"/>
      <c r="AN14" s="606"/>
      <c r="AO14" s="606"/>
    </row>
    <row r="15" spans="1:41" ht="11.25" customHeight="1">
      <c r="A15" s="612"/>
      <c r="B15" s="612"/>
      <c r="C15" s="612"/>
      <c r="D15" s="612"/>
      <c r="E15" s="612"/>
      <c r="F15" s="612"/>
      <c r="G15" s="612"/>
      <c r="H15" s="612"/>
      <c r="I15" s="612"/>
      <c r="J15" s="612"/>
      <c r="K15" s="612"/>
      <c r="L15" s="612"/>
      <c r="M15" s="612"/>
      <c r="N15" s="612"/>
      <c r="O15" s="612"/>
      <c r="P15" s="612"/>
      <c r="Q15" s="612"/>
      <c r="R15" s="612"/>
      <c r="S15" s="612"/>
      <c r="T15" s="612"/>
      <c r="U15" s="612"/>
      <c r="V15" s="612"/>
      <c r="W15" s="612"/>
      <c r="X15" s="682"/>
      <c r="Y15" s="607"/>
      <c r="Z15" s="607"/>
      <c r="AA15" s="607"/>
      <c r="AB15" s="607"/>
      <c r="AC15" s="607"/>
      <c r="AD15" s="607"/>
      <c r="AE15" s="607"/>
      <c r="AF15" s="607"/>
      <c r="AG15" s="607"/>
      <c r="AH15" s="607"/>
      <c r="AI15" s="607"/>
      <c r="AJ15" s="607"/>
      <c r="AK15" s="607"/>
      <c r="AL15" s="606"/>
      <c r="AM15" s="606"/>
      <c r="AN15" s="606"/>
      <c r="AO15" s="606"/>
    </row>
    <row r="16" spans="1:41" ht="11.25" customHeight="1">
      <c r="A16" s="612"/>
      <c r="B16" s="612"/>
      <c r="C16" s="612"/>
      <c r="D16" s="612"/>
      <c r="E16" s="612"/>
      <c r="F16" s="612"/>
      <c r="G16" s="612"/>
      <c r="H16" s="612"/>
      <c r="I16" s="612"/>
      <c r="J16" s="612"/>
      <c r="K16" s="612"/>
      <c r="L16" s="612"/>
      <c r="M16" s="612"/>
      <c r="N16" s="612"/>
      <c r="O16" s="612"/>
      <c r="P16" s="612"/>
      <c r="Q16" s="612"/>
      <c r="R16" s="612"/>
      <c r="S16" s="612"/>
      <c r="T16" s="612"/>
      <c r="U16" s="612"/>
      <c r="V16" s="612"/>
      <c r="W16" s="612"/>
      <c r="X16" s="682"/>
      <c r="Y16" s="607"/>
      <c r="Z16" s="607"/>
      <c r="AA16" s="607"/>
      <c r="AB16" s="607"/>
      <c r="AC16" s="607"/>
      <c r="AD16" s="607"/>
      <c r="AE16" s="607"/>
      <c r="AF16" s="607"/>
      <c r="AG16" s="607"/>
      <c r="AH16" s="607"/>
      <c r="AI16" s="607"/>
      <c r="AJ16" s="607"/>
      <c r="AK16" s="607"/>
      <c r="AL16" s="606"/>
      <c r="AM16" s="606"/>
      <c r="AN16" s="606"/>
      <c r="AO16" s="606"/>
    </row>
    <row r="17" spans="1:41" ht="16.5" customHeight="1" thickBot="1">
      <c r="A17" s="608"/>
      <c r="B17" s="607"/>
      <c r="C17" s="607"/>
      <c r="D17" s="607"/>
      <c r="E17" s="607"/>
      <c r="F17" s="606"/>
      <c r="G17" s="606"/>
      <c r="H17" s="606"/>
      <c r="I17" s="606"/>
      <c r="J17" s="606"/>
      <c r="K17" s="606"/>
      <c r="L17" s="606"/>
      <c r="M17" s="606"/>
      <c r="N17" s="606"/>
      <c r="O17" s="606"/>
      <c r="P17" s="606"/>
      <c r="Q17" s="606"/>
      <c r="R17" s="606"/>
      <c r="S17" s="607"/>
      <c r="T17" s="607"/>
      <c r="U17" s="607"/>
      <c r="V17" s="607"/>
      <c r="W17" s="607"/>
      <c r="X17" s="640"/>
      <c r="Y17" s="607"/>
      <c r="Z17" s="607"/>
      <c r="AA17" s="607"/>
      <c r="AB17" s="607"/>
      <c r="AC17" s="607"/>
      <c r="AD17" s="607"/>
      <c r="AE17" s="607"/>
      <c r="AF17" s="607"/>
      <c r="AG17" s="607"/>
      <c r="AH17" s="607"/>
      <c r="AI17" s="607"/>
      <c r="AJ17" s="607"/>
      <c r="AK17" s="607"/>
      <c r="AL17" s="606"/>
      <c r="AM17" s="606"/>
      <c r="AN17" s="606"/>
      <c r="AO17" s="606"/>
    </row>
    <row r="18" spans="1:41" ht="19.5" customHeight="1" thickTop="1" thickBot="1">
      <c r="A18" s="608"/>
      <c r="B18" s="607"/>
      <c r="C18" s="607"/>
      <c r="D18" s="607"/>
      <c r="E18" s="607"/>
      <c r="F18" s="606"/>
      <c r="G18" s="1437" t="s">
        <v>662</v>
      </c>
      <c r="H18" s="1438"/>
      <c r="I18" s="1439">
        <v>835</v>
      </c>
      <c r="J18" s="1440"/>
      <c r="K18" s="1434" t="s">
        <v>661</v>
      </c>
      <c r="L18" s="1435"/>
      <c r="M18" s="1435"/>
      <c r="N18" s="1435"/>
      <c r="O18" s="1435"/>
      <c r="P18" s="1435"/>
      <c r="Q18" s="1436"/>
      <c r="R18" s="606"/>
      <c r="S18" s="1403" t="str">
        <f>IF(OR((AG22=0),(AG24=0)),"ERROR - RECHECK THE DATA ENTRY"," ")</f>
        <v/>
      </c>
      <c r="T18" s="1403"/>
      <c r="U18" s="1403"/>
      <c r="V18" s="1403"/>
      <c r="W18" s="607"/>
      <c r="X18" s="640"/>
      <c r="Y18" s="607"/>
      <c r="Z18" s="607"/>
      <c r="AA18" s="607"/>
      <c r="AB18" s="607"/>
      <c r="AC18" s="607"/>
      <c r="AD18" s="607"/>
      <c r="AE18" s="607"/>
      <c r="AF18" s="607"/>
      <c r="AG18" s="607"/>
      <c r="AH18" s="607"/>
      <c r="AI18" s="607"/>
      <c r="AJ18" s="607"/>
      <c r="AK18" s="607"/>
      <c r="AL18" s="606"/>
      <c r="AM18" s="606"/>
      <c r="AN18" s="606"/>
      <c r="AO18" s="606"/>
    </row>
    <row r="19" spans="1:41" ht="15.75" customHeight="1" thickTop="1" thickBot="1">
      <c r="A19" s="608"/>
      <c r="B19" s="607"/>
      <c r="C19" s="607"/>
      <c r="D19" s="607"/>
      <c r="E19" s="607"/>
      <c r="F19" s="606"/>
      <c r="G19" s="1395" t="s">
        <v>660</v>
      </c>
      <c r="H19" s="1396"/>
      <c r="I19" s="1441" t="s">
        <v>188</v>
      </c>
      <c r="J19" s="1443"/>
      <c r="K19" s="1401" t="s">
        <v>189</v>
      </c>
      <c r="L19" s="1404"/>
      <c r="M19" s="1404"/>
      <c r="N19" s="1404"/>
      <c r="O19" s="1404"/>
      <c r="P19" s="1404"/>
      <c r="Q19" s="1402"/>
      <c r="R19" s="606"/>
      <c r="S19" s="1403"/>
      <c r="T19" s="1403"/>
      <c r="U19" s="1403"/>
      <c r="V19" s="1403"/>
      <c r="W19" s="607"/>
      <c r="X19" s="640"/>
      <c r="Y19" s="607"/>
      <c r="Z19" s="607"/>
      <c r="AA19" s="607"/>
      <c r="AB19" s="607"/>
      <c r="AC19" s="607"/>
      <c r="AD19" s="607"/>
      <c r="AE19" s="607"/>
      <c r="AF19" s="607"/>
      <c r="AG19" s="607"/>
      <c r="AH19" s="607"/>
      <c r="AI19" s="607"/>
      <c r="AJ19" s="607"/>
      <c r="AK19" s="607"/>
      <c r="AL19" s="606"/>
      <c r="AM19" s="606"/>
      <c r="AN19" s="606"/>
      <c r="AO19" s="606"/>
    </row>
    <row r="20" spans="1:41" ht="15.75" customHeight="1" thickTop="1" thickBot="1">
      <c r="A20" s="608"/>
      <c r="B20" s="607"/>
      <c r="C20" s="607"/>
      <c r="D20" s="607"/>
      <c r="E20" s="607"/>
      <c r="F20" s="606"/>
      <c r="G20" s="1395" t="s">
        <v>17</v>
      </c>
      <c r="H20" s="1396"/>
      <c r="I20" s="1397">
        <v>10</v>
      </c>
      <c r="J20" s="1398"/>
      <c r="K20" s="1399" t="s">
        <v>230</v>
      </c>
      <c r="L20" s="1400"/>
      <c r="M20" s="1400"/>
      <c r="N20" s="1400"/>
      <c r="O20" s="1441" t="s">
        <v>196</v>
      </c>
      <c r="P20" s="1442"/>
      <c r="Q20" s="1443"/>
      <c r="R20" s="606"/>
      <c r="S20" s="1403"/>
      <c r="T20" s="1403"/>
      <c r="U20" s="1403"/>
      <c r="V20" s="1403"/>
      <c r="W20" s="607"/>
      <c r="X20" s="640"/>
      <c r="Y20" s="607"/>
      <c r="Z20" s="607"/>
      <c r="AA20" s="607"/>
      <c r="AB20" s="607"/>
      <c r="AC20" s="607"/>
      <c r="AD20" s="607"/>
      <c r="AE20" s="607"/>
      <c r="AF20" s="607"/>
      <c r="AG20" s="639"/>
      <c r="AH20" s="607"/>
      <c r="AI20" s="607"/>
      <c r="AJ20" s="607"/>
      <c r="AK20" s="607"/>
      <c r="AL20" s="606"/>
      <c r="AM20" s="606"/>
      <c r="AN20" s="606"/>
      <c r="AO20" s="606"/>
    </row>
    <row r="21" spans="1:41" ht="15.75" customHeight="1" thickTop="1" thickBot="1">
      <c r="A21" s="608"/>
      <c r="B21" s="607"/>
      <c r="C21" s="607"/>
      <c r="D21" s="607"/>
      <c r="E21" s="607"/>
      <c r="F21" s="606"/>
      <c r="G21" s="1444" t="s">
        <v>67</v>
      </c>
      <c r="H21" s="1432"/>
      <c r="I21" s="1397">
        <v>20</v>
      </c>
      <c r="J21" s="1398"/>
      <c r="K21" s="1399" t="s">
        <v>194</v>
      </c>
      <c r="L21" s="1400"/>
      <c r="M21" s="1400"/>
      <c r="N21" s="1400"/>
      <c r="O21" s="1401">
        <v>20000</v>
      </c>
      <c r="P21" s="1404"/>
      <c r="Q21" s="1402"/>
      <c r="R21" s="606"/>
      <c r="S21" s="1405" t="str">
        <f>"  Minimum premium required is Rs. "&amp;ECAL!C11</f>
        <v xml:space="preserve">  Minimum premium required is Rs. 20000</v>
      </c>
      <c r="T21" s="1405"/>
      <c r="U21" s="1405"/>
      <c r="V21" s="1405"/>
      <c r="W21" s="607"/>
      <c r="X21" s="640"/>
      <c r="Y21" s="607"/>
      <c r="Z21" s="607"/>
      <c r="AA21" s="607"/>
      <c r="AB21" s="607"/>
      <c r="AC21" s="607"/>
      <c r="AD21" s="607"/>
      <c r="AE21" s="607"/>
      <c r="AF21" s="607"/>
      <c r="AG21" s="639"/>
      <c r="AH21" s="607"/>
      <c r="AI21" s="607"/>
      <c r="AJ21" s="607"/>
      <c r="AK21" s="607"/>
      <c r="AL21" s="606"/>
      <c r="AM21" s="606"/>
      <c r="AN21" s="606"/>
      <c r="AO21" s="606"/>
    </row>
    <row r="22" spans="1:41" ht="15.75" customHeight="1" thickTop="1" thickBot="1">
      <c r="A22" s="608"/>
      <c r="B22" s="607"/>
      <c r="C22" s="607"/>
      <c r="D22" s="607"/>
      <c r="E22" s="607"/>
      <c r="F22" s="606"/>
      <c r="G22" s="1399" t="str">
        <f>IF(I20&lt;18,"NO ADDB","ADDB")</f>
        <v>NO ADDB</v>
      </c>
      <c r="H22" s="1432"/>
      <c r="I22" s="1425" t="s">
        <v>190</v>
      </c>
      <c r="J22" s="1426"/>
      <c r="K22" s="1430" t="s">
        <v>659</v>
      </c>
      <c r="L22" s="1433"/>
      <c r="M22" s="1433"/>
      <c r="N22" s="1433"/>
      <c r="O22" s="1433"/>
      <c r="P22" s="1401" t="s">
        <v>80</v>
      </c>
      <c r="Q22" s="1402"/>
      <c r="R22" s="606"/>
      <c r="S22" s="1405"/>
      <c r="T22" s="1405"/>
      <c r="U22" s="1405"/>
      <c r="V22" s="1405"/>
      <c r="W22" s="607"/>
      <c r="X22" s="640"/>
      <c r="Y22" s="607"/>
      <c r="Z22" s="607"/>
      <c r="AA22" s="607"/>
      <c r="AB22" s="607"/>
      <c r="AC22" s="607"/>
      <c r="AD22" s="607"/>
      <c r="AE22" s="607"/>
      <c r="AF22" s="607"/>
      <c r="AG22" s="640">
        <f>IF(I20+I21&gt;=18,1,0)</f>
        <v>1</v>
      </c>
      <c r="AH22" s="607"/>
      <c r="AI22" s="607"/>
      <c r="AJ22" s="607"/>
      <c r="AK22" s="607"/>
      <c r="AL22" s="606"/>
      <c r="AM22" s="606"/>
      <c r="AN22" s="606"/>
      <c r="AO22" s="606"/>
    </row>
    <row r="23" spans="1:41" ht="15.75" customHeight="1" thickTop="1" thickBot="1">
      <c r="A23" s="608"/>
      <c r="B23" s="607"/>
      <c r="C23" s="607"/>
      <c r="D23" s="607"/>
      <c r="E23" s="607"/>
      <c r="F23" s="606"/>
      <c r="G23" s="1427" t="s">
        <v>658</v>
      </c>
      <c r="H23" s="1428"/>
      <c r="I23" s="1428"/>
      <c r="J23" s="1428"/>
      <c r="K23" s="1429"/>
      <c r="L23" s="1425">
        <v>0</v>
      </c>
      <c r="M23" s="1426"/>
      <c r="N23" s="1430" t="s">
        <v>657</v>
      </c>
      <c r="O23" s="1431"/>
      <c r="P23" s="1425">
        <v>1000</v>
      </c>
      <c r="Q23" s="1426"/>
      <c r="R23" s="606"/>
      <c r="S23" s="687"/>
      <c r="T23" s="687"/>
      <c r="U23" s="687"/>
      <c r="V23" s="687"/>
      <c r="W23" s="607"/>
      <c r="X23" s="640"/>
      <c r="Y23" s="607"/>
      <c r="Z23" s="607"/>
      <c r="AA23" s="607"/>
      <c r="AB23" s="607"/>
      <c r="AC23" s="607"/>
      <c r="AD23" s="607"/>
      <c r="AE23" s="607"/>
      <c r="AF23" s="607"/>
      <c r="AG23" s="640"/>
      <c r="AH23" s="607"/>
      <c r="AI23" s="607"/>
      <c r="AJ23" s="607"/>
      <c r="AK23" s="607"/>
      <c r="AL23" s="606"/>
      <c r="AM23" s="606"/>
      <c r="AN23" s="606"/>
      <c r="AO23" s="606"/>
    </row>
    <row r="24" spans="1:41" ht="16.5" customHeight="1" thickTop="1" thickBot="1">
      <c r="A24" s="608"/>
      <c r="B24" s="607"/>
      <c r="C24" s="607"/>
      <c r="D24" s="607"/>
      <c r="E24" s="607"/>
      <c r="F24" s="606"/>
      <c r="G24" s="1407" t="s">
        <v>656</v>
      </c>
      <c r="H24" s="1408"/>
      <c r="I24" s="1408"/>
      <c r="J24" s="1408"/>
      <c r="K24" s="1408"/>
      <c r="L24" s="1408"/>
      <c r="M24" s="1408"/>
      <c r="N24" s="1408"/>
      <c r="O24" s="1408"/>
      <c r="P24" s="1408"/>
      <c r="Q24" s="1409"/>
      <c r="R24" s="606"/>
      <c r="S24" s="687"/>
      <c r="T24" s="687"/>
      <c r="U24" s="687"/>
      <c r="V24" s="687"/>
      <c r="W24" s="607"/>
      <c r="X24" s="640"/>
      <c r="Y24" s="607"/>
      <c r="Z24" s="607"/>
      <c r="AA24" s="607"/>
      <c r="AB24" s="607"/>
      <c r="AC24" s="607"/>
      <c r="AD24" s="607"/>
      <c r="AE24" s="607"/>
      <c r="AF24" s="607"/>
      <c r="AG24" s="640">
        <f>IF(ECAL!C11=O21,1,0)</f>
        <v>1</v>
      </c>
      <c r="AH24" s="607"/>
      <c r="AI24" s="607"/>
      <c r="AJ24" s="607"/>
      <c r="AK24" s="607"/>
      <c r="AL24" s="606"/>
      <c r="AM24" s="606"/>
      <c r="AN24" s="606"/>
      <c r="AO24" s="606"/>
    </row>
    <row r="25" spans="1:41" ht="18.75" customHeight="1" thickTop="1" thickBot="1">
      <c r="A25" s="608"/>
      <c r="B25" s="607"/>
      <c r="C25" s="607"/>
      <c r="D25" s="607"/>
      <c r="E25" s="607"/>
      <c r="F25" s="606"/>
      <c r="G25" s="1410" t="s">
        <v>655</v>
      </c>
      <c r="H25" s="1411"/>
      <c r="I25" s="1411"/>
      <c r="J25" s="1412"/>
      <c r="K25" s="1417">
        <v>0.115</v>
      </c>
      <c r="L25" s="1418"/>
      <c r="M25" s="1416"/>
      <c r="N25" s="1413" t="s">
        <v>654</v>
      </c>
      <c r="O25" s="1414"/>
      <c r="P25" s="1415">
        <v>10.594099999999999</v>
      </c>
      <c r="Q25" s="1416"/>
      <c r="R25" s="606"/>
      <c r="S25" s="687"/>
      <c r="T25" s="687"/>
      <c r="U25" s="687"/>
      <c r="V25" s="687"/>
      <c r="W25" s="607"/>
      <c r="X25" s="640"/>
      <c r="Y25" s="607"/>
      <c r="Z25" s="607"/>
      <c r="AA25" s="607"/>
      <c r="AB25" s="607"/>
      <c r="AC25" s="607"/>
      <c r="AD25" s="607"/>
      <c r="AE25" s="607"/>
      <c r="AF25" s="607"/>
      <c r="AG25" s="639"/>
      <c r="AH25" s="607"/>
      <c r="AI25" s="607"/>
      <c r="AJ25" s="607"/>
      <c r="AK25" s="607"/>
      <c r="AL25" s="606"/>
      <c r="AM25" s="606"/>
      <c r="AN25" s="606"/>
      <c r="AO25" s="606"/>
    </row>
    <row r="26" spans="1:41" ht="18.75" customHeight="1" thickTop="1">
      <c r="A26" s="608"/>
      <c r="B26" s="607"/>
      <c r="C26" s="607"/>
      <c r="D26" s="607"/>
      <c r="E26" s="607"/>
      <c r="F26" s="606"/>
      <c r="G26" s="1422" t="s">
        <v>653</v>
      </c>
      <c r="H26" s="1422"/>
      <c r="I26" s="1422"/>
      <c r="J26" s="1422"/>
      <c r="K26" s="1422"/>
      <c r="L26" s="1422"/>
      <c r="M26" s="1422"/>
      <c r="N26" s="611"/>
      <c r="O26" s="611"/>
      <c r="P26" s="611"/>
      <c r="Q26" s="611"/>
      <c r="R26" s="606"/>
      <c r="S26" s="687"/>
      <c r="T26" s="687"/>
      <c r="U26" s="687"/>
      <c r="V26" s="687"/>
      <c r="W26" s="607"/>
      <c r="X26" s="640"/>
      <c r="Y26" s="607"/>
      <c r="Z26" s="607"/>
      <c r="AA26" s="607"/>
      <c r="AB26" s="607"/>
      <c r="AC26" s="607"/>
      <c r="AD26" s="607"/>
      <c r="AE26" s="607"/>
      <c r="AF26" s="607"/>
      <c r="AG26" s="639"/>
      <c r="AH26" s="607"/>
      <c r="AI26" s="607"/>
      <c r="AJ26" s="607"/>
      <c r="AK26" s="607"/>
      <c r="AL26" s="606"/>
      <c r="AM26" s="606"/>
      <c r="AN26" s="606"/>
      <c r="AO26" s="606"/>
    </row>
    <row r="27" spans="1:41" ht="18.75" customHeight="1">
      <c r="A27" s="608"/>
      <c r="B27" s="607"/>
      <c r="C27" s="607"/>
      <c r="D27" s="607"/>
      <c r="E27" s="607"/>
      <c r="F27" s="606"/>
      <c r="G27" s="1423"/>
      <c r="H27" s="1423"/>
      <c r="I27" s="1423"/>
      <c r="J27" s="1423"/>
      <c r="K27" s="1423"/>
      <c r="L27" s="1423"/>
      <c r="M27" s="1423"/>
      <c r="N27" s="611"/>
      <c r="O27" s="611"/>
      <c r="P27" s="611"/>
      <c r="Q27" s="611"/>
      <c r="R27" s="606"/>
      <c r="S27" s="687"/>
      <c r="T27" s="687"/>
      <c r="U27" s="687"/>
      <c r="V27" s="687"/>
      <c r="W27" s="607"/>
      <c r="X27" s="640"/>
      <c r="Y27" s="607"/>
      <c r="Z27" s="607"/>
      <c r="AA27" s="607"/>
      <c r="AB27" s="607"/>
      <c r="AC27" s="607"/>
      <c r="AD27" s="607"/>
      <c r="AE27" s="607"/>
      <c r="AF27" s="607"/>
      <c r="AG27" s="639"/>
      <c r="AH27" s="607"/>
      <c r="AI27" s="607"/>
      <c r="AJ27" s="607"/>
      <c r="AK27" s="607"/>
      <c r="AL27" s="606"/>
      <c r="AM27" s="606"/>
      <c r="AN27" s="606"/>
      <c r="AO27" s="606"/>
    </row>
    <row r="28" spans="1:41" ht="25.5" customHeight="1">
      <c r="A28" s="608"/>
      <c r="B28" s="607"/>
      <c r="C28" s="607"/>
      <c r="D28" s="607"/>
      <c r="E28" s="607"/>
      <c r="F28" s="606"/>
      <c r="G28" s="1394" t="s">
        <v>649</v>
      </c>
      <c r="H28" s="1394"/>
      <c r="I28" s="1394"/>
      <c r="J28" s="1394"/>
      <c r="K28" s="1394"/>
      <c r="L28" s="1394"/>
      <c r="M28" s="1394"/>
      <c r="N28" s="1394"/>
      <c r="O28" s="1394"/>
      <c r="P28" s="610"/>
      <c r="Q28" s="610"/>
      <c r="R28" s="606"/>
      <c r="S28" s="1419" t="s">
        <v>352</v>
      </c>
      <c r="T28" s="1419"/>
      <c r="U28" s="1419"/>
      <c r="V28" s="1419"/>
      <c r="W28" s="607"/>
      <c r="X28" s="640"/>
      <c r="Y28" s="607"/>
      <c r="Z28" s="607"/>
      <c r="AA28" s="607"/>
      <c r="AB28" s="607"/>
      <c r="AC28" s="607"/>
      <c r="AD28" s="607"/>
      <c r="AE28" s="607"/>
      <c r="AF28" s="607"/>
      <c r="AG28" s="639"/>
      <c r="AH28" s="607"/>
      <c r="AI28" s="607"/>
      <c r="AJ28" s="607"/>
      <c r="AK28" s="607"/>
      <c r="AL28" s="606"/>
      <c r="AM28" s="606"/>
      <c r="AN28" s="606"/>
      <c r="AO28" s="606"/>
    </row>
    <row r="29" spans="1:41" ht="16.5" customHeight="1">
      <c r="A29" s="608"/>
      <c r="B29" s="607"/>
      <c r="C29" s="607"/>
      <c r="D29" s="607"/>
      <c r="E29" s="607"/>
      <c r="F29" s="606"/>
      <c r="G29" s="1393" t="s">
        <v>485</v>
      </c>
      <c r="H29" s="1393"/>
      <c r="I29" s="1393"/>
      <c r="J29" s="1393"/>
      <c r="K29" s="1393"/>
      <c r="L29" s="1393"/>
      <c r="M29" s="1393"/>
      <c r="N29" s="1393"/>
      <c r="O29" s="1393"/>
      <c r="P29" s="609"/>
      <c r="Q29" s="609"/>
      <c r="R29" s="606"/>
      <c r="S29" s="1406" t="s">
        <v>226</v>
      </c>
      <c r="T29" s="1406"/>
      <c r="U29" s="1406"/>
      <c r="V29" s="1406"/>
      <c r="W29" s="607"/>
      <c r="X29" s="640"/>
      <c r="Y29" s="607"/>
      <c r="Z29" s="607"/>
      <c r="AA29" s="607"/>
      <c r="AB29" s="607"/>
      <c r="AC29" s="607"/>
      <c r="AD29" s="607"/>
      <c r="AE29" s="607"/>
      <c r="AF29" s="607"/>
      <c r="AG29" s="607"/>
      <c r="AH29" s="607"/>
      <c r="AI29" s="607"/>
      <c r="AJ29" s="607"/>
      <c r="AK29" s="607"/>
      <c r="AL29" s="606"/>
      <c r="AM29" s="606"/>
      <c r="AN29" s="606"/>
      <c r="AO29" s="606"/>
    </row>
    <row r="30" spans="1:41" ht="13.5" customHeight="1">
      <c r="A30" s="608"/>
      <c r="B30" s="607"/>
      <c r="C30" s="607"/>
      <c r="D30" s="607"/>
      <c r="E30" s="607"/>
      <c r="F30" s="606"/>
      <c r="G30" s="1393" t="s">
        <v>486</v>
      </c>
      <c r="H30" s="1393"/>
      <c r="I30" s="1393"/>
      <c r="J30" s="1393"/>
      <c r="K30" s="1393"/>
      <c r="L30" s="1393"/>
      <c r="M30" s="1393"/>
      <c r="N30" s="1393"/>
      <c r="O30" s="1393"/>
      <c r="P30" s="609"/>
      <c r="Q30" s="609"/>
      <c r="R30" s="606"/>
      <c r="S30" s="1406"/>
      <c r="T30" s="1406"/>
      <c r="U30" s="1406"/>
      <c r="V30" s="1406"/>
      <c r="W30" s="607"/>
      <c r="X30" s="640"/>
      <c r="Y30" s="607"/>
      <c r="Z30" s="607"/>
      <c r="AA30" s="607"/>
      <c r="AB30" s="607"/>
      <c r="AC30" s="607"/>
      <c r="AD30" s="607"/>
      <c r="AE30" s="607"/>
      <c r="AF30" s="607"/>
      <c r="AG30" s="607"/>
      <c r="AH30" s="607"/>
      <c r="AI30" s="607"/>
      <c r="AJ30" s="607"/>
      <c r="AK30" s="607"/>
      <c r="AL30" s="606"/>
      <c r="AM30" s="606"/>
      <c r="AN30" s="606"/>
      <c r="AO30" s="606"/>
    </row>
    <row r="31" spans="1:41" ht="15">
      <c r="A31" s="608"/>
      <c r="B31" s="607"/>
      <c r="C31" s="607"/>
      <c r="D31" s="607"/>
      <c r="E31" s="607"/>
      <c r="F31" s="606"/>
      <c r="G31" s="1421" t="s">
        <v>652</v>
      </c>
      <c r="H31" s="1421"/>
      <c r="I31" s="1421"/>
      <c r="J31" s="1421"/>
      <c r="K31" s="1421"/>
      <c r="L31" s="1421"/>
      <c r="M31" s="1421"/>
      <c r="N31" s="1421"/>
      <c r="O31" s="1421"/>
      <c r="P31" s="609"/>
      <c r="Q31" s="609"/>
      <c r="R31" s="606"/>
      <c r="S31" s="607"/>
      <c r="T31" s="607"/>
      <c r="U31" s="607"/>
      <c r="V31" s="607"/>
      <c r="W31" s="607"/>
      <c r="X31" s="640"/>
      <c r="Y31" s="607"/>
      <c r="Z31" s="607"/>
      <c r="AA31" s="607"/>
      <c r="AB31" s="607"/>
      <c r="AC31" s="607"/>
      <c r="AD31" s="607"/>
      <c r="AE31" s="607"/>
      <c r="AF31" s="607"/>
      <c r="AG31" s="607"/>
      <c r="AH31" s="607"/>
      <c r="AI31" s="607"/>
      <c r="AJ31" s="607"/>
      <c r="AK31" s="607"/>
      <c r="AL31" s="606"/>
      <c r="AM31" s="606"/>
      <c r="AN31" s="606"/>
      <c r="AO31" s="606"/>
    </row>
    <row r="32" spans="1:41" ht="13.5" customHeight="1">
      <c r="A32" s="608"/>
      <c r="B32" s="607"/>
      <c r="C32" s="607"/>
      <c r="D32" s="607"/>
      <c r="E32" s="607"/>
      <c r="F32" s="606"/>
      <c r="G32" s="1420" t="s">
        <v>488</v>
      </c>
      <c r="H32" s="1420"/>
      <c r="I32" s="1420"/>
      <c r="J32" s="1420"/>
      <c r="K32" s="1420"/>
      <c r="L32" s="1420"/>
      <c r="M32" s="1420"/>
      <c r="N32" s="1420"/>
      <c r="O32" s="1420"/>
      <c r="P32" s="609"/>
      <c r="Q32" s="609"/>
      <c r="R32" s="606"/>
      <c r="S32" s="607"/>
      <c r="T32" s="607"/>
      <c r="U32" s="607"/>
      <c r="V32" s="607"/>
      <c r="W32" s="607"/>
      <c r="X32" s="640"/>
      <c r="Y32" s="607"/>
      <c r="Z32" s="607"/>
      <c r="AA32" s="607"/>
      <c r="AB32" s="607"/>
      <c r="AC32" s="607"/>
      <c r="AD32" s="607"/>
      <c r="AE32" s="607"/>
      <c r="AF32" s="607"/>
      <c r="AG32" s="607"/>
      <c r="AH32" s="607"/>
      <c r="AI32" s="607"/>
      <c r="AJ32" s="607"/>
      <c r="AK32" s="607"/>
      <c r="AL32" s="606"/>
      <c r="AM32" s="606"/>
      <c r="AN32" s="606"/>
      <c r="AO32" s="606"/>
    </row>
    <row r="33" spans="1:41" ht="9" customHeight="1">
      <c r="A33" s="608"/>
      <c r="B33" s="607"/>
      <c r="C33" s="607"/>
      <c r="D33" s="607"/>
      <c r="E33" s="607"/>
      <c r="F33" s="606"/>
      <c r="G33" s="606"/>
      <c r="H33" s="606"/>
      <c r="I33" s="606"/>
      <c r="J33" s="606"/>
      <c r="K33" s="606"/>
      <c r="L33" s="606"/>
      <c r="M33" s="606"/>
      <c r="N33" s="606"/>
      <c r="O33" s="606"/>
      <c r="P33" s="606"/>
      <c r="Q33" s="606"/>
      <c r="R33" s="606"/>
      <c r="S33" s="607"/>
      <c r="T33" s="607"/>
      <c r="U33" s="607"/>
      <c r="V33" s="607"/>
      <c r="W33" s="607"/>
      <c r="X33" s="640"/>
      <c r="Y33" s="607"/>
      <c r="Z33" s="607"/>
      <c r="AA33" s="607"/>
      <c r="AB33" s="607"/>
      <c r="AC33" s="607"/>
      <c r="AD33" s="607"/>
      <c r="AE33" s="607"/>
      <c r="AF33" s="607"/>
      <c r="AG33" s="607"/>
      <c r="AH33" s="607"/>
      <c r="AI33" s="607"/>
      <c r="AJ33" s="607"/>
      <c r="AK33" s="607"/>
      <c r="AL33" s="606"/>
      <c r="AM33" s="606"/>
      <c r="AN33" s="606"/>
      <c r="AO33" s="606"/>
    </row>
    <row r="34" spans="1:41" ht="16.5" hidden="1" customHeight="1">
      <c r="A34" s="608"/>
      <c r="B34" s="607"/>
      <c r="C34" s="607"/>
      <c r="D34" s="607"/>
      <c r="E34" s="607"/>
      <c r="F34" s="607"/>
      <c r="G34" s="607"/>
      <c r="H34" s="607"/>
      <c r="I34" s="607"/>
      <c r="J34" s="607"/>
      <c r="K34" s="607"/>
      <c r="L34" s="607"/>
      <c r="M34" s="607"/>
      <c r="N34" s="607"/>
      <c r="O34" s="607"/>
      <c r="P34" s="607"/>
      <c r="Q34" s="607"/>
      <c r="R34" s="607"/>
      <c r="S34" s="607"/>
      <c r="T34" s="607"/>
      <c r="U34" s="607"/>
      <c r="V34" s="607"/>
      <c r="W34" s="607"/>
      <c r="X34" s="640"/>
      <c r="Y34" s="607"/>
      <c r="Z34" s="607"/>
      <c r="AA34" s="607"/>
      <c r="AB34" s="607"/>
      <c r="AC34" s="607"/>
      <c r="AD34" s="607"/>
      <c r="AE34" s="607"/>
      <c r="AF34" s="607"/>
      <c r="AG34" s="607"/>
      <c r="AH34" s="607"/>
      <c r="AI34" s="607"/>
      <c r="AJ34" s="607"/>
      <c r="AK34" s="607"/>
      <c r="AL34" s="606"/>
      <c r="AM34" s="606"/>
      <c r="AN34" s="606"/>
      <c r="AO34" s="606"/>
    </row>
    <row r="35" spans="1:41" ht="11.25" customHeight="1">
      <c r="A35" s="608"/>
      <c r="B35" s="607"/>
      <c r="C35" s="607"/>
      <c r="D35" s="607"/>
      <c r="E35" s="607"/>
      <c r="F35" s="607"/>
      <c r="G35" s="1394"/>
      <c r="H35" s="1394"/>
      <c r="I35" s="1394"/>
      <c r="J35" s="1394"/>
      <c r="K35" s="1394"/>
      <c r="L35" s="1394"/>
      <c r="M35" s="1394"/>
      <c r="N35" s="1394"/>
      <c r="O35" s="1394"/>
      <c r="P35" s="1394"/>
      <c r="Q35" s="1394"/>
      <c r="R35" s="607"/>
      <c r="S35" s="607"/>
      <c r="T35" s="607"/>
      <c r="U35" s="607"/>
      <c r="V35" s="607"/>
      <c r="W35" s="607"/>
      <c r="X35" s="640"/>
      <c r="Y35" s="607"/>
      <c r="Z35" s="607"/>
      <c r="AA35" s="607"/>
      <c r="AB35" s="607"/>
      <c r="AC35" s="607"/>
      <c r="AD35" s="607"/>
      <c r="AE35" s="607"/>
      <c r="AF35" s="607"/>
      <c r="AG35" s="607"/>
      <c r="AH35" s="607"/>
      <c r="AI35" s="607"/>
      <c r="AJ35" s="607"/>
      <c r="AK35" s="607"/>
      <c r="AL35" s="606"/>
      <c r="AM35" s="606"/>
      <c r="AN35" s="606"/>
      <c r="AO35" s="606"/>
    </row>
    <row r="36" spans="1:41" ht="11.25" customHeight="1">
      <c r="A36" s="608"/>
      <c r="B36" s="607"/>
      <c r="C36" s="607"/>
      <c r="D36" s="607"/>
      <c r="E36" s="607"/>
      <c r="F36" s="607"/>
      <c r="G36" s="1393"/>
      <c r="H36" s="1393"/>
      <c r="I36" s="1393"/>
      <c r="J36" s="1393"/>
      <c r="K36" s="1393"/>
      <c r="L36" s="1393"/>
      <c r="M36" s="1393"/>
      <c r="N36" s="1393"/>
      <c r="O36" s="1393"/>
      <c r="P36" s="610"/>
      <c r="Q36" s="610"/>
      <c r="R36" s="607"/>
      <c r="S36" s="607"/>
      <c r="T36" s="607"/>
      <c r="U36" s="607"/>
      <c r="V36" s="607"/>
      <c r="W36" s="607"/>
      <c r="X36" s="640"/>
      <c r="Y36" s="607"/>
      <c r="Z36" s="607"/>
      <c r="AA36" s="607"/>
      <c r="AB36" s="607"/>
      <c r="AC36" s="607"/>
      <c r="AD36" s="607"/>
      <c r="AE36" s="607"/>
      <c r="AF36" s="607"/>
      <c r="AG36" s="607"/>
      <c r="AH36" s="607"/>
      <c r="AI36" s="607"/>
      <c r="AJ36" s="607"/>
      <c r="AK36" s="607"/>
      <c r="AL36" s="606"/>
      <c r="AM36" s="606"/>
      <c r="AN36" s="606"/>
      <c r="AO36" s="606"/>
    </row>
    <row r="37" spans="1:41" ht="11.25" customHeight="1">
      <c r="A37" s="608"/>
      <c r="B37" s="607"/>
      <c r="C37" s="607"/>
      <c r="D37" s="607"/>
      <c r="E37" s="607"/>
      <c r="F37" s="607"/>
      <c r="G37" s="1393"/>
      <c r="H37" s="1393"/>
      <c r="I37" s="1393"/>
      <c r="J37" s="1393"/>
      <c r="K37" s="1393"/>
      <c r="L37" s="1393"/>
      <c r="M37" s="1393"/>
      <c r="N37" s="1393"/>
      <c r="O37" s="1393"/>
      <c r="P37" s="610"/>
      <c r="Q37" s="610"/>
      <c r="R37" s="607"/>
      <c r="S37" s="607"/>
      <c r="T37" s="607"/>
      <c r="U37" s="607"/>
      <c r="V37" s="607"/>
      <c r="W37" s="607"/>
      <c r="X37" s="640"/>
      <c r="Y37" s="607"/>
      <c r="Z37" s="607"/>
      <c r="AA37" s="607"/>
      <c r="AB37" s="607"/>
      <c r="AC37" s="607"/>
      <c r="AD37" s="607"/>
      <c r="AE37" s="607"/>
      <c r="AF37" s="607"/>
      <c r="AG37" s="607"/>
      <c r="AH37" s="607"/>
      <c r="AI37" s="607"/>
      <c r="AJ37" s="607"/>
      <c r="AK37" s="607"/>
      <c r="AL37" s="606"/>
      <c r="AM37" s="606"/>
      <c r="AN37" s="606"/>
      <c r="AO37" s="606"/>
    </row>
    <row r="38" spans="1:41" ht="11.25" customHeight="1">
      <c r="A38" s="608"/>
      <c r="B38" s="607"/>
      <c r="C38" s="607"/>
      <c r="D38" s="607"/>
      <c r="E38" s="607"/>
      <c r="F38" s="607"/>
      <c r="G38" s="1393"/>
      <c r="H38" s="1393"/>
      <c r="I38" s="1393"/>
      <c r="J38" s="1393"/>
      <c r="K38" s="1393"/>
      <c r="L38" s="1393"/>
      <c r="M38" s="1393"/>
      <c r="N38" s="1393"/>
      <c r="O38" s="1393"/>
      <c r="P38" s="610"/>
      <c r="Q38" s="610"/>
      <c r="R38" s="607"/>
      <c r="S38" s="607"/>
      <c r="T38" s="607"/>
      <c r="U38" s="607"/>
      <c r="V38" s="607"/>
      <c r="W38" s="607"/>
      <c r="X38" s="640"/>
      <c r="Y38" s="607"/>
      <c r="Z38" s="607"/>
      <c r="AA38" s="607"/>
      <c r="AB38" s="607"/>
      <c r="AC38" s="607"/>
      <c r="AD38" s="607"/>
      <c r="AE38" s="607"/>
      <c r="AF38" s="607"/>
      <c r="AG38" s="607"/>
      <c r="AH38" s="607"/>
      <c r="AI38" s="607"/>
      <c r="AJ38" s="607"/>
      <c r="AK38" s="607"/>
      <c r="AL38" s="606"/>
      <c r="AM38" s="606"/>
      <c r="AN38" s="606"/>
      <c r="AO38" s="606"/>
    </row>
    <row r="39" spans="1:41" ht="11.25" customHeight="1">
      <c r="A39" s="608"/>
      <c r="B39" s="607"/>
      <c r="C39" s="607"/>
      <c r="D39" s="607"/>
      <c r="E39" s="607"/>
      <c r="F39" s="607"/>
      <c r="G39" s="1393"/>
      <c r="H39" s="1393"/>
      <c r="I39" s="1393"/>
      <c r="J39" s="1393"/>
      <c r="K39" s="1393"/>
      <c r="L39" s="1393"/>
      <c r="M39" s="1393"/>
      <c r="N39" s="1393"/>
      <c r="O39" s="1393"/>
      <c r="P39" s="610"/>
      <c r="Q39" s="610"/>
      <c r="R39" s="607"/>
      <c r="S39" s="607"/>
      <c r="T39" s="607"/>
      <c r="U39" s="607"/>
      <c r="V39" s="607"/>
      <c r="W39" s="607"/>
      <c r="X39" s="640"/>
      <c r="Y39" s="607"/>
      <c r="Z39" s="607"/>
      <c r="AA39" s="607"/>
      <c r="AB39" s="607"/>
      <c r="AC39" s="607"/>
      <c r="AD39" s="607"/>
      <c r="AE39" s="607"/>
      <c r="AF39" s="607"/>
      <c r="AG39" s="607"/>
      <c r="AH39" s="607"/>
      <c r="AI39" s="607"/>
      <c r="AJ39" s="607"/>
      <c r="AK39" s="607"/>
      <c r="AL39" s="606"/>
      <c r="AM39" s="606"/>
      <c r="AN39" s="606"/>
      <c r="AO39" s="606"/>
    </row>
    <row r="40" spans="1:41" ht="11.25" customHeight="1">
      <c r="A40" s="608"/>
      <c r="B40" s="607"/>
      <c r="C40" s="607"/>
      <c r="D40" s="607"/>
      <c r="E40" s="607"/>
      <c r="F40" s="607"/>
      <c r="G40" s="1393"/>
      <c r="H40" s="1393"/>
      <c r="I40" s="1393"/>
      <c r="J40" s="1393"/>
      <c r="K40" s="1393"/>
      <c r="L40" s="1393"/>
      <c r="M40" s="1393"/>
      <c r="N40" s="1393"/>
      <c r="O40" s="1393"/>
      <c r="P40" s="610"/>
      <c r="Q40" s="610"/>
      <c r="R40" s="607"/>
      <c r="S40" s="607"/>
      <c r="T40" s="607"/>
      <c r="U40" s="607"/>
      <c r="V40" s="607"/>
      <c r="W40" s="607"/>
      <c r="X40" s="640"/>
      <c r="Y40" s="607"/>
      <c r="Z40" s="607"/>
      <c r="AA40" s="607"/>
      <c r="AB40" s="607"/>
      <c r="AC40" s="607"/>
      <c r="AD40" s="607"/>
      <c r="AE40" s="607"/>
      <c r="AF40" s="607"/>
      <c r="AG40" s="607"/>
      <c r="AH40" s="607"/>
      <c r="AI40" s="607"/>
      <c r="AJ40" s="607"/>
      <c r="AK40" s="607"/>
      <c r="AL40" s="606"/>
      <c r="AM40" s="606"/>
      <c r="AN40" s="606"/>
      <c r="AO40" s="606"/>
    </row>
    <row r="41" spans="1:41" ht="11.25" customHeight="1">
      <c r="A41" s="608"/>
      <c r="B41" s="607"/>
      <c r="C41" s="607"/>
      <c r="D41" s="607"/>
      <c r="E41" s="607"/>
      <c r="F41" s="607"/>
      <c r="G41" s="607"/>
      <c r="H41" s="607"/>
      <c r="I41" s="607"/>
      <c r="J41" s="607"/>
      <c r="K41" s="607"/>
      <c r="L41" s="607"/>
      <c r="M41" s="607"/>
      <c r="N41" s="607"/>
      <c r="O41" s="607"/>
      <c r="P41" s="607"/>
      <c r="Q41" s="607"/>
      <c r="R41" s="607"/>
      <c r="S41" s="607"/>
      <c r="T41" s="607"/>
      <c r="U41" s="607"/>
      <c r="V41" s="607"/>
      <c r="W41" s="607"/>
      <c r="X41" s="640"/>
      <c r="Y41" s="607"/>
      <c r="Z41" s="607"/>
      <c r="AA41" s="607"/>
      <c r="AB41" s="607"/>
      <c r="AC41" s="607"/>
      <c r="AD41" s="607"/>
      <c r="AE41" s="607"/>
      <c r="AF41" s="607"/>
      <c r="AG41" s="607"/>
      <c r="AH41" s="607"/>
      <c r="AI41" s="607"/>
      <c r="AJ41" s="607"/>
      <c r="AK41" s="607"/>
      <c r="AL41" s="606"/>
      <c r="AM41" s="606"/>
      <c r="AN41" s="606"/>
      <c r="AO41" s="606"/>
    </row>
    <row r="42" spans="1:41" ht="11.25" customHeight="1">
      <c r="A42" s="608"/>
      <c r="B42" s="607"/>
      <c r="C42" s="607"/>
      <c r="D42" s="607"/>
      <c r="E42" s="607"/>
      <c r="F42" s="607"/>
      <c r="G42" s="607"/>
      <c r="H42" s="607"/>
      <c r="I42" s="607"/>
      <c r="J42" s="607"/>
      <c r="K42" s="607"/>
      <c r="L42" s="607"/>
      <c r="M42" s="607"/>
      <c r="N42" s="607"/>
      <c r="O42" s="607"/>
      <c r="P42" s="607"/>
      <c r="Q42" s="607"/>
      <c r="R42" s="607"/>
      <c r="S42" s="607"/>
      <c r="T42" s="607"/>
      <c r="U42" s="607"/>
      <c r="V42" s="607"/>
      <c r="W42" s="607"/>
      <c r="X42" s="640"/>
      <c r="Y42" s="607"/>
      <c r="Z42" s="607"/>
      <c r="AA42" s="607"/>
      <c r="AB42" s="607"/>
      <c r="AC42" s="607"/>
      <c r="AD42" s="607"/>
      <c r="AE42" s="607"/>
      <c r="AF42" s="607"/>
      <c r="AG42" s="607"/>
      <c r="AH42" s="607"/>
      <c r="AI42" s="607"/>
      <c r="AJ42" s="607"/>
      <c r="AK42" s="607"/>
      <c r="AL42" s="606"/>
      <c r="AM42" s="606"/>
      <c r="AN42" s="606"/>
      <c r="AO42" s="606"/>
    </row>
    <row r="43" spans="1:41" ht="11.25" customHeight="1">
      <c r="A43" s="608"/>
      <c r="B43" s="607"/>
      <c r="C43" s="607"/>
      <c r="D43" s="607"/>
      <c r="E43" s="607"/>
      <c r="F43" s="607"/>
      <c r="G43" s="607"/>
      <c r="H43" s="607"/>
      <c r="I43" s="607"/>
      <c r="J43" s="607"/>
      <c r="K43" s="607"/>
      <c r="L43" s="607"/>
      <c r="M43" s="607"/>
      <c r="N43" s="607"/>
      <c r="O43" s="607"/>
      <c r="P43" s="607"/>
      <c r="Q43" s="607"/>
      <c r="R43" s="607"/>
      <c r="S43" s="607"/>
      <c r="T43" s="607"/>
      <c r="U43" s="607"/>
      <c r="V43" s="607"/>
      <c r="W43" s="607"/>
      <c r="X43" s="640"/>
      <c r="Y43" s="607"/>
      <c r="Z43" s="607"/>
      <c r="AA43" s="607"/>
      <c r="AB43" s="607"/>
      <c r="AC43" s="607"/>
      <c r="AD43" s="607"/>
      <c r="AE43" s="607"/>
      <c r="AF43" s="607"/>
      <c r="AG43" s="607"/>
      <c r="AH43" s="607"/>
      <c r="AI43" s="607"/>
      <c r="AJ43" s="607"/>
      <c r="AK43" s="607"/>
      <c r="AL43" s="606"/>
      <c r="AM43" s="606"/>
      <c r="AN43" s="606"/>
      <c r="AO43" s="606"/>
    </row>
    <row r="44" spans="1:41" ht="11.25" customHeight="1">
      <c r="A44" s="608"/>
      <c r="B44" s="607"/>
      <c r="C44" s="607"/>
      <c r="D44" s="607"/>
      <c r="E44" s="607"/>
      <c r="F44" s="607"/>
      <c r="G44" s="607"/>
      <c r="H44" s="607"/>
      <c r="I44" s="607"/>
      <c r="J44" s="607"/>
      <c r="K44" s="607"/>
      <c r="L44" s="607"/>
      <c r="M44" s="607"/>
      <c r="N44" s="607"/>
      <c r="O44" s="607"/>
      <c r="P44" s="607"/>
      <c r="Q44" s="607"/>
      <c r="R44" s="607"/>
      <c r="S44" s="607"/>
      <c r="T44" s="607"/>
      <c r="U44" s="607"/>
      <c r="V44" s="607"/>
      <c r="W44" s="607"/>
      <c r="X44" s="640"/>
      <c r="Y44" s="607"/>
      <c r="Z44" s="607"/>
      <c r="AA44" s="607"/>
      <c r="AB44" s="607"/>
      <c r="AC44" s="607"/>
      <c r="AD44" s="607"/>
      <c r="AE44" s="607"/>
      <c r="AF44" s="607"/>
      <c r="AG44" s="607"/>
      <c r="AH44" s="607"/>
      <c r="AI44" s="607"/>
      <c r="AJ44" s="607"/>
      <c r="AK44" s="607"/>
      <c r="AL44" s="606"/>
      <c r="AM44" s="606"/>
      <c r="AN44" s="606"/>
      <c r="AO44" s="606"/>
    </row>
    <row r="45" spans="1:41" ht="11.25" customHeight="1">
      <c r="A45" s="608"/>
      <c r="B45" s="607"/>
      <c r="C45" s="607"/>
      <c r="D45" s="607"/>
      <c r="E45" s="607"/>
      <c r="F45" s="607"/>
      <c r="G45" s="607"/>
      <c r="H45" s="607"/>
      <c r="I45" s="607"/>
      <c r="J45" s="607"/>
      <c r="K45" s="607"/>
      <c r="L45" s="607"/>
      <c r="M45" s="607"/>
      <c r="N45" s="607"/>
      <c r="O45" s="607"/>
      <c r="P45" s="607"/>
      <c r="Q45" s="607"/>
      <c r="R45" s="607"/>
      <c r="S45" s="607"/>
      <c r="T45" s="607"/>
      <c r="U45" s="607"/>
      <c r="V45" s="607"/>
      <c r="W45" s="607"/>
      <c r="X45" s="640"/>
      <c r="Y45" s="607"/>
      <c r="Z45" s="607"/>
      <c r="AA45" s="607"/>
      <c r="AB45" s="607"/>
      <c r="AC45" s="607"/>
      <c r="AD45" s="607"/>
      <c r="AE45" s="607"/>
      <c r="AF45" s="607"/>
      <c r="AG45" s="607"/>
      <c r="AH45" s="607"/>
      <c r="AI45" s="607"/>
      <c r="AJ45" s="607"/>
      <c r="AK45" s="607"/>
      <c r="AL45" s="606"/>
      <c r="AM45" s="606"/>
      <c r="AN45" s="606"/>
      <c r="AO45" s="606"/>
    </row>
    <row r="46" spans="1:41" ht="11.25" customHeight="1">
      <c r="A46" s="608"/>
      <c r="B46" s="607"/>
      <c r="C46" s="607"/>
      <c r="D46" s="607"/>
      <c r="E46" s="607"/>
      <c r="F46" s="607"/>
      <c r="G46" s="607"/>
      <c r="H46" s="607"/>
      <c r="I46" s="607"/>
      <c r="J46" s="607"/>
      <c r="K46" s="607"/>
      <c r="L46" s="607"/>
      <c r="M46" s="607"/>
      <c r="N46" s="607"/>
      <c r="O46" s="607"/>
      <c r="P46" s="607"/>
      <c r="Q46" s="607"/>
      <c r="R46" s="607"/>
      <c r="S46" s="607"/>
      <c r="T46" s="607"/>
      <c r="U46" s="607"/>
      <c r="V46" s="607"/>
      <c r="W46" s="607"/>
      <c r="X46" s="640"/>
      <c r="Y46" s="607"/>
      <c r="Z46" s="607"/>
      <c r="AA46" s="607"/>
      <c r="AB46" s="607"/>
      <c r="AC46" s="607"/>
      <c r="AD46" s="607"/>
      <c r="AE46" s="607"/>
      <c r="AF46" s="607"/>
      <c r="AG46" s="607"/>
      <c r="AH46" s="607"/>
      <c r="AI46" s="607"/>
      <c r="AJ46" s="607"/>
      <c r="AK46" s="607"/>
      <c r="AL46" s="606"/>
      <c r="AM46" s="606"/>
      <c r="AN46" s="606"/>
      <c r="AO46" s="606"/>
    </row>
    <row r="47" spans="1:41" ht="11.25" hidden="1" customHeight="1">
      <c r="A47" s="608"/>
      <c r="B47" s="607"/>
      <c r="C47" s="607"/>
      <c r="D47" s="607"/>
      <c r="E47" s="607"/>
      <c r="F47" s="607"/>
      <c r="G47" s="606"/>
      <c r="H47" s="606"/>
      <c r="I47" s="606"/>
      <c r="J47" s="606"/>
      <c r="K47" s="606"/>
      <c r="L47" s="606"/>
      <c r="M47" s="606"/>
      <c r="N47" s="606"/>
      <c r="O47" s="606"/>
      <c r="P47" s="606"/>
      <c r="Q47" s="606"/>
      <c r="R47" s="606"/>
      <c r="S47" s="606"/>
      <c r="T47" s="606"/>
      <c r="U47" s="606"/>
      <c r="V47" s="606"/>
      <c r="W47" s="606"/>
      <c r="X47" s="640"/>
      <c r="Y47" s="607"/>
      <c r="Z47" s="607"/>
      <c r="AA47" s="607"/>
      <c r="AB47" s="607"/>
      <c r="AC47" s="607"/>
      <c r="AD47" s="607"/>
      <c r="AE47" s="607"/>
      <c r="AF47" s="607"/>
      <c r="AG47" s="607"/>
      <c r="AH47" s="607"/>
      <c r="AI47" s="607"/>
      <c r="AJ47" s="607"/>
      <c r="AK47" s="607"/>
      <c r="AL47" s="606"/>
      <c r="AM47" s="606"/>
      <c r="AN47" s="606"/>
      <c r="AO47" s="606"/>
    </row>
    <row r="48" spans="1:41" ht="11.25" hidden="1" customHeight="1">
      <c r="A48" s="608"/>
      <c r="B48" s="607"/>
      <c r="C48" s="607"/>
      <c r="D48" s="607"/>
      <c r="E48" s="607"/>
      <c r="F48" s="607"/>
      <c r="G48" s="606"/>
      <c r="H48" s="606"/>
      <c r="I48" s="606"/>
      <c r="J48" s="606"/>
      <c r="K48" s="606"/>
      <c r="L48" s="606"/>
      <c r="M48" s="606"/>
      <c r="N48" s="606"/>
      <c r="O48" s="606"/>
      <c r="P48" s="606"/>
      <c r="Q48" s="606"/>
      <c r="R48" s="606"/>
      <c r="S48" s="606"/>
      <c r="T48" s="606"/>
      <c r="U48" s="606"/>
      <c r="V48" s="606"/>
      <c r="W48" s="606"/>
      <c r="X48" s="640"/>
      <c r="Y48" s="607"/>
      <c r="Z48" s="607"/>
      <c r="AA48" s="607"/>
      <c r="AB48" s="607"/>
      <c r="AC48" s="607"/>
      <c r="AD48" s="607"/>
      <c r="AE48" s="607"/>
      <c r="AF48" s="607"/>
      <c r="AG48" s="607"/>
      <c r="AH48" s="607"/>
      <c r="AI48" s="607"/>
      <c r="AJ48" s="607"/>
      <c r="AK48" s="607"/>
      <c r="AL48" s="606"/>
      <c r="AM48" s="606"/>
      <c r="AN48" s="606"/>
      <c r="AO48" s="606"/>
    </row>
    <row r="49" spans="1:41" ht="11.25" hidden="1" customHeight="1">
      <c r="A49" s="608"/>
      <c r="B49" s="607"/>
      <c r="C49" s="607"/>
      <c r="D49" s="607"/>
      <c r="E49" s="607"/>
      <c r="F49" s="607"/>
      <c r="G49" s="606"/>
      <c r="H49" s="606"/>
      <c r="I49" s="606"/>
      <c r="J49" s="606"/>
      <c r="K49" s="606"/>
      <c r="L49" s="606"/>
      <c r="M49" s="606"/>
      <c r="N49" s="606"/>
      <c r="O49" s="606"/>
      <c r="P49" s="606"/>
      <c r="Q49" s="606"/>
      <c r="R49" s="606"/>
      <c r="S49" s="606"/>
      <c r="T49" s="606"/>
      <c r="U49" s="606"/>
      <c r="V49" s="606"/>
      <c r="W49" s="606"/>
      <c r="X49" s="640"/>
      <c r="Y49" s="607"/>
      <c r="Z49" s="607"/>
      <c r="AA49" s="607"/>
      <c r="AB49" s="607"/>
      <c r="AC49" s="607"/>
      <c r="AD49" s="607"/>
      <c r="AE49" s="607"/>
      <c r="AF49" s="607"/>
      <c r="AG49" s="607"/>
      <c r="AH49" s="607"/>
      <c r="AI49" s="607"/>
      <c r="AJ49" s="607"/>
      <c r="AK49" s="607"/>
      <c r="AL49" s="606"/>
      <c r="AM49" s="606"/>
      <c r="AN49" s="606"/>
      <c r="AO49" s="606"/>
    </row>
    <row r="50" spans="1:41" ht="11.25" hidden="1" customHeight="1">
      <c r="A50" s="608"/>
      <c r="B50" s="607"/>
      <c r="C50" s="607"/>
      <c r="D50" s="607"/>
      <c r="E50" s="607"/>
      <c r="F50" s="607"/>
      <c r="G50" s="606"/>
      <c r="H50" s="606"/>
      <c r="I50" s="606"/>
      <c r="J50" s="606"/>
      <c r="K50" s="606"/>
      <c r="L50" s="606"/>
      <c r="M50" s="606"/>
      <c r="N50" s="606"/>
      <c r="O50" s="606"/>
      <c r="P50" s="606"/>
      <c r="Q50" s="606"/>
      <c r="R50" s="606"/>
      <c r="S50" s="606"/>
      <c r="T50" s="606"/>
      <c r="U50" s="606"/>
      <c r="V50" s="606"/>
      <c r="W50" s="606"/>
      <c r="X50" s="640"/>
      <c r="Y50" s="607"/>
      <c r="Z50" s="607"/>
      <c r="AA50" s="607"/>
      <c r="AB50" s="607"/>
      <c r="AC50" s="607"/>
      <c r="AD50" s="607"/>
      <c r="AE50" s="607"/>
      <c r="AF50" s="607"/>
      <c r="AG50" s="607"/>
      <c r="AH50" s="607"/>
      <c r="AI50" s="607"/>
      <c r="AJ50" s="607"/>
      <c r="AK50" s="607"/>
      <c r="AL50" s="606"/>
      <c r="AM50" s="606"/>
      <c r="AN50" s="606"/>
      <c r="AO50" s="606"/>
    </row>
    <row r="51" spans="1:41" ht="11.25" hidden="1" customHeight="1">
      <c r="A51" s="608"/>
      <c r="B51" s="607"/>
      <c r="C51" s="607"/>
      <c r="D51" s="607"/>
      <c r="E51" s="607"/>
      <c r="F51" s="607"/>
      <c r="G51" s="606"/>
      <c r="H51" s="606"/>
      <c r="I51" s="606"/>
      <c r="J51" s="606"/>
      <c r="K51" s="606"/>
      <c r="L51" s="606"/>
      <c r="M51" s="606"/>
      <c r="N51" s="606"/>
      <c r="O51" s="606"/>
      <c r="P51" s="606"/>
      <c r="Q51" s="606"/>
      <c r="R51" s="606"/>
      <c r="S51" s="606"/>
      <c r="T51" s="606"/>
      <c r="U51" s="606"/>
      <c r="V51" s="606"/>
      <c r="W51" s="606"/>
      <c r="X51" s="640"/>
      <c r="Y51" s="607"/>
      <c r="Z51" s="607"/>
      <c r="AA51" s="607"/>
      <c r="AB51" s="607"/>
      <c r="AC51" s="607"/>
      <c r="AD51" s="607"/>
      <c r="AE51" s="607"/>
      <c r="AF51" s="607"/>
      <c r="AG51" s="607"/>
      <c r="AH51" s="607"/>
      <c r="AI51" s="607"/>
      <c r="AJ51" s="607"/>
      <c r="AK51" s="607"/>
      <c r="AL51" s="606"/>
      <c r="AM51" s="606"/>
      <c r="AN51" s="606"/>
      <c r="AO51" s="606"/>
    </row>
    <row r="52" spans="1:41" ht="11.25" hidden="1" customHeight="1">
      <c r="A52" s="608"/>
      <c r="B52" s="607"/>
      <c r="C52" s="607"/>
      <c r="D52" s="607"/>
      <c r="E52" s="607"/>
      <c r="F52" s="607"/>
      <c r="G52" s="606"/>
      <c r="H52" s="606"/>
      <c r="I52" s="606"/>
      <c r="J52" s="606"/>
      <c r="K52" s="606"/>
      <c r="L52" s="606"/>
      <c r="M52" s="606"/>
      <c r="N52" s="606"/>
      <c r="O52" s="606"/>
      <c r="P52" s="606"/>
      <c r="Q52" s="606"/>
      <c r="R52" s="606"/>
      <c r="S52" s="606"/>
      <c r="T52" s="606"/>
      <c r="U52" s="606"/>
      <c r="V52" s="606"/>
      <c r="W52" s="606"/>
      <c r="X52" s="640"/>
      <c r="Y52" s="607"/>
      <c r="Z52" s="607"/>
      <c r="AA52" s="607"/>
      <c r="AB52" s="607"/>
      <c r="AC52" s="607"/>
      <c r="AD52" s="607"/>
      <c r="AE52" s="607"/>
      <c r="AF52" s="607"/>
      <c r="AG52" s="607"/>
      <c r="AH52" s="607"/>
      <c r="AI52" s="607"/>
      <c r="AJ52" s="607"/>
      <c r="AK52" s="607"/>
      <c r="AL52" s="606"/>
      <c r="AM52" s="606"/>
      <c r="AN52" s="606"/>
      <c r="AO52" s="606"/>
    </row>
    <row r="53" spans="1:41" ht="11.25" hidden="1" customHeight="1">
      <c r="A53" s="608"/>
      <c r="B53" s="607"/>
      <c r="C53" s="607"/>
      <c r="D53" s="607"/>
      <c r="E53" s="607"/>
      <c r="F53" s="607"/>
      <c r="G53" s="606"/>
      <c r="H53" s="606"/>
      <c r="I53" s="606"/>
      <c r="J53" s="606"/>
      <c r="K53" s="606"/>
      <c r="L53" s="606"/>
      <c r="M53" s="606"/>
      <c r="N53" s="606"/>
      <c r="O53" s="606"/>
      <c r="P53" s="606"/>
      <c r="Q53" s="606"/>
      <c r="R53" s="606"/>
      <c r="S53" s="606"/>
      <c r="T53" s="606"/>
      <c r="U53" s="606"/>
      <c r="V53" s="606"/>
      <c r="W53" s="606"/>
      <c r="X53" s="640"/>
      <c r="Y53" s="607"/>
      <c r="Z53" s="607"/>
      <c r="AA53" s="607"/>
      <c r="AB53" s="607"/>
      <c r="AC53" s="607"/>
      <c r="AD53" s="607"/>
      <c r="AE53" s="607"/>
      <c r="AF53" s="607"/>
      <c r="AG53" s="607"/>
      <c r="AH53" s="607"/>
      <c r="AI53" s="607"/>
      <c r="AJ53" s="607"/>
      <c r="AK53" s="607"/>
      <c r="AL53" s="606"/>
      <c r="AM53" s="606"/>
      <c r="AN53" s="606"/>
      <c r="AO53" s="606"/>
    </row>
    <row r="54" spans="1:41" ht="11.25" hidden="1" customHeight="1">
      <c r="A54" s="608"/>
      <c r="B54" s="607"/>
      <c r="C54" s="607"/>
      <c r="D54" s="607"/>
      <c r="E54" s="607"/>
      <c r="F54" s="607"/>
      <c r="G54" s="606"/>
      <c r="H54" s="606"/>
      <c r="I54" s="606"/>
      <c r="J54" s="606"/>
      <c r="K54" s="606"/>
      <c r="L54" s="606"/>
      <c r="M54" s="606"/>
      <c r="N54" s="606"/>
      <c r="O54" s="606"/>
      <c r="P54" s="606"/>
      <c r="Q54" s="606"/>
      <c r="R54" s="606"/>
      <c r="S54" s="606"/>
      <c r="T54" s="606"/>
      <c r="U54" s="606"/>
      <c r="V54" s="606"/>
      <c r="W54" s="606"/>
      <c r="X54" s="640"/>
      <c r="Y54" s="607"/>
      <c r="Z54" s="607"/>
      <c r="AA54" s="607"/>
      <c r="AB54" s="607"/>
      <c r="AC54" s="607"/>
      <c r="AD54" s="607"/>
      <c r="AE54" s="607"/>
      <c r="AF54" s="607"/>
      <c r="AG54" s="607"/>
      <c r="AH54" s="607"/>
      <c r="AI54" s="607"/>
      <c r="AJ54" s="607"/>
      <c r="AK54" s="607"/>
      <c r="AL54" s="606"/>
      <c r="AM54" s="606"/>
      <c r="AN54" s="606"/>
      <c r="AO54" s="606"/>
    </row>
    <row r="55" spans="1:41" ht="11.25" hidden="1" customHeight="1">
      <c r="A55" s="608"/>
      <c r="B55" s="607"/>
      <c r="C55" s="607"/>
      <c r="D55" s="607"/>
      <c r="E55" s="607"/>
      <c r="F55" s="607"/>
      <c r="G55" s="606"/>
      <c r="H55" s="606"/>
      <c r="I55" s="606"/>
      <c r="J55" s="606"/>
      <c r="K55" s="606"/>
      <c r="L55" s="606"/>
      <c r="M55" s="606"/>
      <c r="N55" s="606"/>
      <c r="O55" s="606"/>
      <c r="P55" s="606"/>
      <c r="Q55" s="606"/>
      <c r="R55" s="606"/>
      <c r="S55" s="606"/>
      <c r="T55" s="606"/>
      <c r="U55" s="606"/>
      <c r="V55" s="606"/>
      <c r="W55" s="606"/>
      <c r="X55" s="640"/>
      <c r="Y55" s="607"/>
      <c r="Z55" s="607"/>
      <c r="AA55" s="607"/>
      <c r="AB55" s="607"/>
      <c r="AC55" s="607"/>
      <c r="AD55" s="607"/>
      <c r="AE55" s="607"/>
      <c r="AF55" s="607"/>
      <c r="AG55" s="607"/>
      <c r="AH55" s="607"/>
      <c r="AI55" s="607"/>
      <c r="AJ55" s="607"/>
      <c r="AK55" s="607"/>
      <c r="AL55" s="606"/>
      <c r="AM55" s="606"/>
      <c r="AN55" s="606"/>
      <c r="AO55" s="606"/>
    </row>
    <row r="56" spans="1:41" ht="11.25" hidden="1" customHeight="1">
      <c r="A56" s="608"/>
      <c r="B56" s="607"/>
      <c r="C56" s="607"/>
      <c r="D56" s="607"/>
      <c r="E56" s="607"/>
      <c r="F56" s="607"/>
      <c r="G56" s="606"/>
      <c r="H56" s="606"/>
      <c r="I56" s="606"/>
      <c r="J56" s="606"/>
      <c r="K56" s="606"/>
      <c r="L56" s="606"/>
      <c r="M56" s="606"/>
      <c r="N56" s="606"/>
      <c r="O56" s="606"/>
      <c r="P56" s="606"/>
      <c r="Q56" s="606"/>
      <c r="R56" s="606"/>
      <c r="S56" s="606"/>
      <c r="T56" s="606"/>
      <c r="U56" s="606"/>
      <c r="V56" s="606"/>
      <c r="W56" s="606"/>
      <c r="X56" s="640"/>
      <c r="Y56" s="607"/>
      <c r="Z56" s="607"/>
      <c r="AA56" s="607"/>
      <c r="AB56" s="607"/>
      <c r="AC56" s="607"/>
      <c r="AD56" s="607"/>
      <c r="AE56" s="607"/>
      <c r="AF56" s="607"/>
      <c r="AG56" s="607"/>
      <c r="AH56" s="607"/>
      <c r="AI56" s="607"/>
      <c r="AJ56" s="607"/>
      <c r="AK56" s="607"/>
      <c r="AL56" s="606"/>
      <c r="AM56" s="606"/>
      <c r="AN56" s="606"/>
      <c r="AO56" s="606"/>
    </row>
    <row r="57" spans="1:41" ht="11.25" hidden="1" customHeight="1">
      <c r="A57" s="608"/>
      <c r="B57" s="607"/>
      <c r="C57" s="607"/>
      <c r="D57" s="607"/>
      <c r="E57" s="607"/>
      <c r="F57" s="607"/>
      <c r="G57" s="606"/>
      <c r="H57" s="606"/>
      <c r="I57" s="606"/>
      <c r="J57" s="606"/>
      <c r="K57" s="606"/>
      <c r="L57" s="606"/>
      <c r="M57" s="606"/>
      <c r="N57" s="606"/>
      <c r="O57" s="606"/>
      <c r="P57" s="606"/>
      <c r="Q57" s="606"/>
      <c r="R57" s="606"/>
      <c r="S57" s="606"/>
      <c r="T57" s="606"/>
      <c r="U57" s="606"/>
      <c r="V57" s="606"/>
      <c r="W57" s="606"/>
      <c r="X57" s="640"/>
      <c r="Y57" s="607"/>
      <c r="Z57" s="607"/>
      <c r="AA57" s="607"/>
      <c r="AB57" s="607"/>
      <c r="AC57" s="607"/>
      <c r="AD57" s="607"/>
      <c r="AE57" s="607"/>
      <c r="AF57" s="607"/>
      <c r="AG57" s="607"/>
      <c r="AH57" s="607"/>
      <c r="AI57" s="607"/>
      <c r="AJ57" s="607"/>
      <c r="AK57" s="607"/>
      <c r="AL57" s="606"/>
      <c r="AM57" s="606"/>
      <c r="AN57" s="606"/>
      <c r="AO57" s="606"/>
    </row>
    <row r="58" spans="1:41" ht="11.25" hidden="1" customHeight="1">
      <c r="A58" s="608"/>
      <c r="B58" s="607"/>
      <c r="C58" s="607"/>
      <c r="D58" s="607"/>
      <c r="E58" s="607"/>
      <c r="F58" s="607"/>
      <c r="G58" s="606"/>
      <c r="H58" s="606"/>
      <c r="I58" s="606"/>
      <c r="J58" s="606"/>
      <c r="K58" s="606"/>
      <c r="L58" s="606"/>
      <c r="M58" s="606"/>
      <c r="N58" s="606"/>
      <c r="O58" s="606"/>
      <c r="P58" s="606"/>
      <c r="Q58" s="606"/>
      <c r="R58" s="606"/>
      <c r="S58" s="606"/>
      <c r="T58" s="606"/>
      <c r="U58" s="606"/>
      <c r="V58" s="606"/>
      <c r="W58" s="606"/>
      <c r="X58" s="640"/>
      <c r="Y58" s="607"/>
      <c r="Z58" s="607"/>
      <c r="AA58" s="607"/>
      <c r="AB58" s="607"/>
      <c r="AC58" s="607"/>
      <c r="AD58" s="607"/>
      <c r="AE58" s="607"/>
      <c r="AF58" s="607"/>
      <c r="AG58" s="607"/>
      <c r="AH58" s="607"/>
      <c r="AI58" s="607"/>
      <c r="AJ58" s="607"/>
      <c r="AK58" s="607"/>
      <c r="AL58" s="606"/>
      <c r="AM58" s="606"/>
      <c r="AN58" s="606"/>
      <c r="AO58" s="606"/>
    </row>
    <row r="59" spans="1:41" ht="11.25" hidden="1" customHeight="1">
      <c r="A59" s="608"/>
      <c r="B59" s="607"/>
      <c r="C59" s="607"/>
      <c r="D59" s="607"/>
      <c r="E59" s="607"/>
      <c r="F59" s="607"/>
      <c r="G59" s="606"/>
      <c r="H59" s="606"/>
      <c r="I59" s="606"/>
      <c r="J59" s="606"/>
      <c r="K59" s="606"/>
      <c r="L59" s="606"/>
      <c r="M59" s="606"/>
      <c r="N59" s="606"/>
      <c r="O59" s="606"/>
      <c r="P59" s="606"/>
      <c r="Q59" s="606"/>
      <c r="R59" s="606"/>
      <c r="S59" s="606"/>
      <c r="T59" s="606"/>
      <c r="U59" s="606"/>
      <c r="V59" s="606"/>
      <c r="W59" s="606"/>
      <c r="X59" s="640"/>
      <c r="Y59" s="607"/>
      <c r="Z59" s="607"/>
      <c r="AA59" s="607"/>
      <c r="AB59" s="607"/>
      <c r="AC59" s="607"/>
      <c r="AD59" s="607"/>
      <c r="AE59" s="607"/>
      <c r="AF59" s="607"/>
      <c r="AG59" s="607"/>
      <c r="AH59" s="607"/>
      <c r="AI59" s="607"/>
      <c r="AJ59" s="607"/>
      <c r="AK59" s="607"/>
      <c r="AL59" s="606"/>
      <c r="AM59" s="606"/>
      <c r="AN59" s="606"/>
      <c r="AO59" s="606"/>
    </row>
    <row r="60" spans="1:41" ht="11.25" hidden="1" customHeight="1">
      <c r="A60" s="608"/>
      <c r="B60" s="607"/>
      <c r="C60" s="607"/>
      <c r="D60" s="607"/>
      <c r="E60" s="607"/>
      <c r="F60" s="607"/>
      <c r="G60" s="606"/>
      <c r="H60" s="606"/>
      <c r="I60" s="606"/>
      <c r="J60" s="606"/>
      <c r="K60" s="606"/>
      <c r="L60" s="606"/>
      <c r="M60" s="606"/>
      <c r="N60" s="606"/>
      <c r="O60" s="606"/>
      <c r="P60" s="606"/>
      <c r="Q60" s="606"/>
      <c r="R60" s="606"/>
      <c r="S60" s="606"/>
      <c r="T60" s="606"/>
      <c r="U60" s="606"/>
      <c r="V60" s="606"/>
      <c r="W60" s="606"/>
      <c r="X60" s="640"/>
      <c r="Y60" s="607"/>
      <c r="Z60" s="607"/>
      <c r="AA60" s="607"/>
      <c r="AB60" s="607"/>
      <c r="AC60" s="607"/>
      <c r="AD60" s="607"/>
      <c r="AE60" s="607"/>
      <c r="AF60" s="607"/>
      <c r="AG60" s="607"/>
      <c r="AH60" s="607"/>
      <c r="AI60" s="607"/>
      <c r="AJ60" s="607"/>
      <c r="AK60" s="607"/>
      <c r="AL60" s="606"/>
      <c r="AM60" s="606"/>
      <c r="AN60" s="606"/>
      <c r="AO60" s="606"/>
    </row>
    <row r="61" spans="1:41" ht="11.25" hidden="1" customHeight="1">
      <c r="A61" s="608"/>
      <c r="B61" s="607"/>
      <c r="C61" s="607"/>
      <c r="D61" s="607"/>
      <c r="E61" s="607"/>
      <c r="F61" s="607"/>
      <c r="G61" s="606"/>
      <c r="H61" s="606"/>
      <c r="I61" s="606"/>
      <c r="J61" s="606"/>
      <c r="K61" s="606"/>
      <c r="L61" s="606"/>
      <c r="M61" s="606"/>
      <c r="N61" s="606"/>
      <c r="O61" s="606"/>
      <c r="P61" s="606"/>
      <c r="Q61" s="606"/>
      <c r="R61" s="606"/>
      <c r="S61" s="606"/>
      <c r="T61" s="606"/>
      <c r="U61" s="606"/>
      <c r="V61" s="606"/>
      <c r="W61" s="606"/>
      <c r="X61" s="640"/>
      <c r="Y61" s="607"/>
      <c r="Z61" s="607"/>
      <c r="AA61" s="607"/>
      <c r="AB61" s="607"/>
      <c r="AC61" s="607"/>
      <c r="AD61" s="607"/>
      <c r="AE61" s="607"/>
      <c r="AF61" s="607"/>
      <c r="AG61" s="607"/>
      <c r="AH61" s="607"/>
      <c r="AI61" s="607"/>
      <c r="AJ61" s="607"/>
      <c r="AK61" s="607"/>
      <c r="AL61" s="606"/>
      <c r="AM61" s="606"/>
      <c r="AN61" s="606"/>
      <c r="AO61" s="606"/>
    </row>
    <row r="62" spans="1:41" ht="11.25" hidden="1" customHeight="1">
      <c r="A62" s="608"/>
      <c r="B62" s="607"/>
      <c r="C62" s="607"/>
      <c r="D62" s="607"/>
      <c r="E62" s="607"/>
      <c r="F62" s="607"/>
      <c r="G62" s="606"/>
      <c r="H62" s="606"/>
      <c r="I62" s="606"/>
      <c r="J62" s="606"/>
      <c r="K62" s="606"/>
      <c r="L62" s="606"/>
      <c r="M62" s="606"/>
      <c r="N62" s="606"/>
      <c r="O62" s="606"/>
      <c r="P62" s="606"/>
      <c r="Q62" s="606"/>
      <c r="R62" s="606"/>
      <c r="S62" s="606"/>
      <c r="T62" s="606"/>
      <c r="U62" s="606"/>
      <c r="V62" s="606"/>
      <c r="W62" s="606"/>
      <c r="X62" s="640"/>
      <c r="Y62" s="607"/>
      <c r="Z62" s="607"/>
      <c r="AA62" s="607"/>
      <c r="AB62" s="607"/>
      <c r="AC62" s="607"/>
      <c r="AD62" s="607"/>
      <c r="AE62" s="607"/>
      <c r="AF62" s="607"/>
      <c r="AG62" s="607"/>
      <c r="AH62" s="607"/>
      <c r="AI62" s="607"/>
      <c r="AJ62" s="607"/>
      <c r="AK62" s="607"/>
      <c r="AL62" s="606"/>
      <c r="AM62" s="606"/>
      <c r="AN62" s="606"/>
      <c r="AO62" s="606"/>
    </row>
    <row r="63" spans="1:41" ht="11.25" hidden="1" customHeight="1">
      <c r="A63" s="608"/>
      <c r="B63" s="607"/>
      <c r="C63" s="607"/>
      <c r="D63" s="607"/>
      <c r="E63" s="607"/>
      <c r="F63" s="607"/>
      <c r="G63" s="606"/>
      <c r="H63" s="606"/>
      <c r="I63" s="606"/>
      <c r="J63" s="606"/>
      <c r="K63" s="606"/>
      <c r="L63" s="606"/>
      <c r="M63" s="606"/>
      <c r="N63" s="606"/>
      <c r="O63" s="606"/>
      <c r="P63" s="606"/>
      <c r="Q63" s="606"/>
      <c r="R63" s="606"/>
      <c r="S63" s="606"/>
      <c r="T63" s="606"/>
      <c r="U63" s="606"/>
      <c r="V63" s="606"/>
      <c r="W63" s="606"/>
      <c r="X63" s="640"/>
      <c r="Y63" s="607"/>
      <c r="Z63" s="607"/>
      <c r="AA63" s="607"/>
      <c r="AB63" s="607"/>
      <c r="AC63" s="607"/>
      <c r="AD63" s="607"/>
      <c r="AE63" s="607"/>
      <c r="AF63" s="607"/>
      <c r="AG63" s="607"/>
      <c r="AH63" s="607"/>
      <c r="AI63" s="607"/>
      <c r="AJ63" s="607"/>
      <c r="AK63" s="607"/>
      <c r="AL63" s="606"/>
      <c r="AM63" s="606"/>
      <c r="AN63" s="606"/>
      <c r="AO63" s="606"/>
    </row>
    <row r="64" spans="1:41" ht="11.25" hidden="1" customHeight="1">
      <c r="A64" s="608"/>
      <c r="B64" s="607"/>
      <c r="C64" s="607"/>
      <c r="D64" s="607"/>
      <c r="E64" s="607"/>
      <c r="F64" s="607"/>
      <c r="G64" s="606"/>
      <c r="H64" s="606"/>
      <c r="I64" s="606"/>
      <c r="J64" s="606"/>
      <c r="K64" s="606"/>
      <c r="L64" s="606"/>
      <c r="M64" s="606"/>
      <c r="N64" s="606"/>
      <c r="O64" s="606"/>
      <c r="P64" s="606"/>
      <c r="Q64" s="606"/>
      <c r="R64" s="606"/>
      <c r="S64" s="606"/>
      <c r="T64" s="606"/>
      <c r="U64" s="606"/>
      <c r="V64" s="606"/>
      <c r="W64" s="606"/>
      <c r="X64" s="640"/>
      <c r="Y64" s="607"/>
      <c r="Z64" s="607"/>
      <c r="AA64" s="607"/>
      <c r="AB64" s="607"/>
      <c r="AC64" s="607"/>
      <c r="AD64" s="607"/>
      <c r="AE64" s="607"/>
      <c r="AF64" s="607"/>
      <c r="AG64" s="607"/>
      <c r="AH64" s="607"/>
      <c r="AI64" s="607"/>
      <c r="AJ64" s="607"/>
      <c r="AK64" s="607"/>
      <c r="AL64" s="606"/>
      <c r="AM64" s="606"/>
      <c r="AN64" s="606"/>
      <c r="AO64" s="606"/>
    </row>
    <row r="65" spans="1:41" ht="11.25" hidden="1" customHeight="1">
      <c r="A65" s="608"/>
      <c r="B65" s="607"/>
      <c r="C65" s="607"/>
      <c r="D65" s="607"/>
      <c r="E65" s="607"/>
      <c r="F65" s="607"/>
      <c r="G65" s="606"/>
      <c r="H65" s="606"/>
      <c r="I65" s="606"/>
      <c r="J65" s="606"/>
      <c r="K65" s="606"/>
      <c r="L65" s="606"/>
      <c r="M65" s="606"/>
      <c r="N65" s="606"/>
      <c r="O65" s="606"/>
      <c r="P65" s="606"/>
      <c r="Q65" s="606"/>
      <c r="R65" s="606"/>
      <c r="S65" s="606"/>
      <c r="T65" s="606"/>
      <c r="U65" s="606"/>
      <c r="V65" s="606"/>
      <c r="W65" s="606"/>
      <c r="X65" s="640"/>
      <c r="Y65" s="607"/>
      <c r="Z65" s="607"/>
      <c r="AA65" s="607"/>
      <c r="AB65" s="607"/>
      <c r="AC65" s="607"/>
      <c r="AD65" s="607"/>
      <c r="AE65" s="607"/>
      <c r="AF65" s="607"/>
      <c r="AG65" s="607"/>
      <c r="AH65" s="607"/>
      <c r="AI65" s="607"/>
      <c r="AJ65" s="607"/>
      <c r="AK65" s="607"/>
      <c r="AL65" s="606"/>
      <c r="AM65" s="606"/>
      <c r="AN65" s="606"/>
      <c r="AO65" s="606"/>
    </row>
    <row r="66" spans="1:41" ht="11.25" hidden="1" customHeight="1">
      <c r="A66" s="608"/>
      <c r="B66" s="607"/>
      <c r="C66" s="607"/>
      <c r="D66" s="607"/>
      <c r="E66" s="607"/>
      <c r="F66" s="607"/>
      <c r="G66" s="606"/>
      <c r="H66" s="606"/>
      <c r="I66" s="606"/>
      <c r="J66" s="606"/>
      <c r="K66" s="606"/>
      <c r="L66" s="606"/>
      <c r="M66" s="606"/>
      <c r="N66" s="606"/>
      <c r="O66" s="606"/>
      <c r="P66" s="606"/>
      <c r="Q66" s="606"/>
      <c r="R66" s="606"/>
      <c r="S66" s="606"/>
      <c r="T66" s="606"/>
      <c r="U66" s="606"/>
      <c r="V66" s="606"/>
      <c r="W66" s="606"/>
      <c r="X66" s="640"/>
      <c r="Y66" s="607"/>
      <c r="Z66" s="607"/>
      <c r="AA66" s="607"/>
      <c r="AB66" s="607"/>
      <c r="AC66" s="607"/>
      <c r="AD66" s="607"/>
      <c r="AE66" s="607"/>
      <c r="AF66" s="607"/>
      <c r="AG66" s="607"/>
      <c r="AH66" s="607"/>
      <c r="AI66" s="607"/>
      <c r="AJ66" s="607"/>
      <c r="AK66" s="607"/>
      <c r="AL66" s="606"/>
      <c r="AM66" s="606"/>
      <c r="AN66" s="606"/>
      <c r="AO66" s="606"/>
    </row>
    <row r="67" spans="1:41" ht="11.25" hidden="1" customHeight="1">
      <c r="A67" s="608"/>
      <c r="B67" s="607"/>
      <c r="C67" s="607"/>
      <c r="D67" s="607"/>
      <c r="E67" s="607"/>
      <c r="F67" s="607"/>
      <c r="G67" s="606"/>
      <c r="H67" s="606"/>
      <c r="I67" s="606"/>
      <c r="J67" s="606"/>
      <c r="K67" s="606"/>
      <c r="L67" s="606"/>
      <c r="M67" s="606"/>
      <c r="N67" s="606"/>
      <c r="O67" s="606"/>
      <c r="P67" s="606"/>
      <c r="Q67" s="606"/>
      <c r="R67" s="606"/>
      <c r="S67" s="606"/>
      <c r="T67" s="606"/>
      <c r="U67" s="606"/>
      <c r="V67" s="606"/>
      <c r="W67" s="606"/>
      <c r="X67" s="640"/>
      <c r="Y67" s="607"/>
      <c r="Z67" s="607"/>
      <c r="AA67" s="607"/>
      <c r="AB67" s="607"/>
      <c r="AC67" s="607"/>
      <c r="AD67" s="607"/>
      <c r="AE67" s="607"/>
      <c r="AF67" s="607"/>
      <c r="AG67" s="607"/>
      <c r="AH67" s="607"/>
      <c r="AI67" s="607"/>
      <c r="AJ67" s="607"/>
      <c r="AK67" s="607"/>
      <c r="AL67" s="606"/>
      <c r="AM67" s="606"/>
      <c r="AN67" s="606"/>
      <c r="AO67" s="606"/>
    </row>
    <row r="68" spans="1:41" ht="11.25" hidden="1" customHeight="1">
      <c r="A68" s="608"/>
      <c r="B68" s="607"/>
      <c r="C68" s="607"/>
      <c r="D68" s="607"/>
      <c r="E68" s="607"/>
      <c r="F68" s="607"/>
      <c r="G68" s="606"/>
      <c r="H68" s="606"/>
      <c r="I68" s="606"/>
      <c r="J68" s="606"/>
      <c r="K68" s="606"/>
      <c r="L68" s="606"/>
      <c r="M68" s="606"/>
      <c r="N68" s="606"/>
      <c r="O68" s="606"/>
      <c r="P68" s="606"/>
      <c r="Q68" s="606"/>
      <c r="R68" s="606"/>
      <c r="S68" s="606"/>
      <c r="T68" s="606"/>
      <c r="U68" s="606"/>
      <c r="V68" s="606"/>
      <c r="W68" s="606"/>
      <c r="X68" s="640"/>
      <c r="Y68" s="607"/>
      <c r="Z68" s="607"/>
      <c r="AA68" s="607"/>
      <c r="AB68" s="607"/>
      <c r="AC68" s="607"/>
      <c r="AD68" s="607"/>
      <c r="AE68" s="607"/>
      <c r="AF68" s="607"/>
      <c r="AG68" s="607"/>
      <c r="AH68" s="607"/>
      <c r="AI68" s="607"/>
      <c r="AJ68" s="607"/>
      <c r="AK68" s="607"/>
      <c r="AL68" s="606"/>
      <c r="AM68" s="606"/>
      <c r="AN68" s="606"/>
      <c r="AO68" s="606"/>
    </row>
    <row r="69" spans="1:41" ht="11.25" hidden="1" customHeight="1">
      <c r="A69" s="608"/>
      <c r="B69" s="607"/>
      <c r="C69" s="607"/>
      <c r="D69" s="607"/>
      <c r="E69" s="607"/>
      <c r="F69" s="607"/>
      <c r="G69" s="606"/>
      <c r="H69" s="606"/>
      <c r="I69" s="606"/>
      <c r="J69" s="606"/>
      <c r="K69" s="606"/>
      <c r="L69" s="606"/>
      <c r="M69" s="606"/>
      <c r="N69" s="606"/>
      <c r="O69" s="606"/>
      <c r="P69" s="606"/>
      <c r="Q69" s="606"/>
      <c r="R69" s="606"/>
      <c r="S69" s="606"/>
      <c r="T69" s="606"/>
      <c r="U69" s="606"/>
      <c r="V69" s="606"/>
      <c r="W69" s="606"/>
      <c r="X69" s="640"/>
      <c r="Y69" s="607"/>
      <c r="Z69" s="607"/>
      <c r="AA69" s="607"/>
      <c r="AB69" s="607"/>
      <c r="AC69" s="607"/>
      <c r="AD69" s="607"/>
      <c r="AE69" s="607"/>
      <c r="AF69" s="607"/>
      <c r="AG69" s="607"/>
      <c r="AH69" s="607"/>
      <c r="AI69" s="607"/>
      <c r="AJ69" s="607"/>
      <c r="AK69" s="607"/>
      <c r="AL69" s="606"/>
      <c r="AM69" s="606"/>
      <c r="AN69" s="606"/>
      <c r="AO69" s="606"/>
    </row>
    <row r="70" spans="1:41" ht="11.25" hidden="1" customHeight="1">
      <c r="A70" s="608"/>
      <c r="B70" s="607"/>
      <c r="C70" s="607"/>
      <c r="D70" s="607"/>
      <c r="E70" s="607"/>
      <c r="F70" s="607"/>
      <c r="G70" s="606"/>
      <c r="H70" s="606"/>
      <c r="I70" s="606"/>
      <c r="J70" s="606"/>
      <c r="K70" s="606"/>
      <c r="L70" s="606"/>
      <c r="M70" s="606"/>
      <c r="N70" s="606"/>
      <c r="O70" s="606"/>
      <c r="P70" s="606"/>
      <c r="Q70" s="606"/>
      <c r="R70" s="606"/>
      <c r="S70" s="606"/>
      <c r="T70" s="606"/>
      <c r="U70" s="606"/>
      <c r="V70" s="606"/>
      <c r="W70" s="606"/>
      <c r="X70" s="640"/>
      <c r="Y70" s="607"/>
      <c r="Z70" s="607"/>
      <c r="AA70" s="607"/>
      <c r="AB70" s="607"/>
      <c r="AC70" s="607"/>
      <c r="AD70" s="607"/>
      <c r="AE70" s="607"/>
      <c r="AF70" s="607"/>
      <c r="AG70" s="607"/>
      <c r="AH70" s="607"/>
      <c r="AI70" s="607"/>
      <c r="AJ70" s="607"/>
      <c r="AK70" s="607"/>
      <c r="AL70" s="606"/>
      <c r="AM70" s="606"/>
      <c r="AN70" s="606"/>
      <c r="AO70" s="606"/>
    </row>
    <row r="71" spans="1:41" ht="11.25" hidden="1" customHeight="1">
      <c r="A71" s="608"/>
      <c r="B71" s="607"/>
      <c r="C71" s="607"/>
      <c r="D71" s="607"/>
      <c r="E71" s="607"/>
      <c r="F71" s="607"/>
      <c r="G71" s="606"/>
      <c r="H71" s="606"/>
      <c r="I71" s="606"/>
      <c r="J71" s="606"/>
      <c r="K71" s="606"/>
      <c r="L71" s="606"/>
      <c r="M71" s="606"/>
      <c r="N71" s="606"/>
      <c r="O71" s="606"/>
      <c r="P71" s="606"/>
      <c r="Q71" s="606"/>
      <c r="R71" s="606"/>
      <c r="S71" s="606"/>
      <c r="T71" s="606"/>
      <c r="U71" s="606"/>
      <c r="V71" s="606"/>
      <c r="W71" s="606"/>
      <c r="X71" s="640"/>
      <c r="Y71" s="607"/>
      <c r="Z71" s="607"/>
      <c r="AA71" s="607"/>
      <c r="AB71" s="607"/>
      <c r="AC71" s="607"/>
      <c r="AD71" s="607"/>
      <c r="AE71" s="607"/>
      <c r="AF71" s="607"/>
      <c r="AG71" s="607"/>
      <c r="AH71" s="607"/>
      <c r="AI71" s="607"/>
      <c r="AJ71" s="607"/>
      <c r="AK71" s="607"/>
      <c r="AL71" s="606"/>
      <c r="AM71" s="606"/>
      <c r="AN71" s="606"/>
      <c r="AO71" s="606"/>
    </row>
    <row r="72" spans="1:41" ht="11.25" hidden="1" customHeight="1">
      <c r="A72" s="608"/>
      <c r="B72" s="607"/>
      <c r="C72" s="607"/>
      <c r="D72" s="607"/>
      <c r="E72" s="607"/>
      <c r="F72" s="607"/>
      <c r="G72" s="606"/>
      <c r="H72" s="606"/>
      <c r="I72" s="606"/>
      <c r="J72" s="606"/>
      <c r="K72" s="606"/>
      <c r="L72" s="606"/>
      <c r="M72" s="606"/>
      <c r="N72" s="606"/>
      <c r="O72" s="606"/>
      <c r="P72" s="606"/>
      <c r="Q72" s="606"/>
      <c r="R72" s="606"/>
      <c r="S72" s="606"/>
      <c r="T72" s="606"/>
      <c r="U72" s="606"/>
      <c r="V72" s="606"/>
      <c r="W72" s="606"/>
      <c r="X72" s="640"/>
      <c r="Y72" s="607"/>
      <c r="Z72" s="607"/>
      <c r="AA72" s="607"/>
      <c r="AB72" s="607"/>
      <c r="AC72" s="607"/>
      <c r="AD72" s="607"/>
      <c r="AE72" s="607"/>
      <c r="AF72" s="607"/>
      <c r="AG72" s="607"/>
      <c r="AH72" s="607"/>
      <c r="AI72" s="607"/>
      <c r="AJ72" s="607"/>
      <c r="AK72" s="607"/>
      <c r="AL72" s="606"/>
      <c r="AM72" s="606"/>
      <c r="AN72" s="606"/>
      <c r="AO72" s="606"/>
    </row>
    <row r="73" spans="1:41" ht="11.25" hidden="1" customHeight="1">
      <c r="A73" s="608"/>
      <c r="B73" s="607"/>
      <c r="C73" s="607"/>
      <c r="D73" s="607"/>
      <c r="E73" s="607"/>
      <c r="F73" s="607"/>
      <c r="G73" s="606"/>
      <c r="H73" s="606"/>
      <c r="I73" s="606"/>
      <c r="J73" s="606"/>
      <c r="K73" s="606"/>
      <c r="L73" s="606"/>
      <c r="M73" s="606"/>
      <c r="N73" s="606"/>
      <c r="O73" s="606"/>
      <c r="P73" s="606"/>
      <c r="Q73" s="606"/>
      <c r="R73" s="606"/>
      <c r="S73" s="606"/>
      <c r="T73" s="606"/>
      <c r="U73" s="606"/>
      <c r="V73" s="606"/>
      <c r="W73" s="606"/>
      <c r="X73" s="640"/>
      <c r="Y73" s="607"/>
      <c r="Z73" s="607"/>
      <c r="AA73" s="607"/>
      <c r="AB73" s="607"/>
      <c r="AC73" s="607"/>
      <c r="AD73" s="607"/>
      <c r="AE73" s="607"/>
      <c r="AF73" s="607"/>
      <c r="AG73" s="607"/>
      <c r="AH73" s="607"/>
      <c r="AI73" s="607"/>
      <c r="AJ73" s="607"/>
      <c r="AK73" s="607"/>
      <c r="AL73" s="606"/>
      <c r="AM73" s="606"/>
      <c r="AN73" s="606"/>
      <c r="AO73" s="606"/>
    </row>
    <row r="74" spans="1:41" ht="11.25" hidden="1" customHeight="1">
      <c r="A74" s="608"/>
      <c r="B74" s="607"/>
      <c r="C74" s="607"/>
      <c r="D74" s="607"/>
      <c r="E74" s="607"/>
      <c r="F74" s="607"/>
      <c r="G74" s="606"/>
      <c r="H74" s="606"/>
      <c r="I74" s="606"/>
      <c r="J74" s="606"/>
      <c r="K74" s="606"/>
      <c r="L74" s="606"/>
      <c r="M74" s="606"/>
      <c r="N74" s="606"/>
      <c r="O74" s="606"/>
      <c r="P74" s="606"/>
      <c r="Q74" s="606"/>
      <c r="R74" s="606"/>
      <c r="S74" s="606"/>
      <c r="T74" s="606"/>
      <c r="U74" s="606"/>
      <c r="V74" s="606"/>
      <c r="W74" s="606"/>
      <c r="X74" s="640"/>
      <c r="Y74" s="607"/>
      <c r="Z74" s="607"/>
      <c r="AA74" s="607"/>
      <c r="AB74" s="607"/>
      <c r="AC74" s="607"/>
      <c r="AD74" s="607"/>
      <c r="AE74" s="607"/>
      <c r="AF74" s="607"/>
      <c r="AG74" s="607"/>
      <c r="AH74" s="607"/>
      <c r="AI74" s="607"/>
      <c r="AJ74" s="607"/>
      <c r="AK74" s="607"/>
      <c r="AL74" s="606"/>
      <c r="AM74" s="606"/>
      <c r="AN74" s="606"/>
      <c r="AO74" s="606"/>
    </row>
    <row r="75" spans="1:41" ht="11.25" hidden="1" customHeight="1">
      <c r="A75" s="608"/>
      <c r="B75" s="607"/>
      <c r="C75" s="607"/>
      <c r="D75" s="607"/>
      <c r="E75" s="607"/>
      <c r="F75" s="607"/>
      <c r="G75" s="606"/>
      <c r="H75" s="606"/>
      <c r="I75" s="606"/>
      <c r="J75" s="606"/>
      <c r="K75" s="606"/>
      <c r="L75" s="606"/>
      <c r="M75" s="606"/>
      <c r="N75" s="606"/>
      <c r="O75" s="606"/>
      <c r="P75" s="606"/>
      <c r="Q75" s="606"/>
      <c r="R75" s="606"/>
      <c r="S75" s="606"/>
      <c r="T75" s="606"/>
      <c r="U75" s="606"/>
      <c r="V75" s="606"/>
      <c r="W75" s="606"/>
      <c r="X75" s="640"/>
      <c r="Y75" s="607"/>
      <c r="Z75" s="607"/>
      <c r="AA75" s="607"/>
      <c r="AB75" s="607"/>
      <c r="AC75" s="607"/>
      <c r="AD75" s="607"/>
      <c r="AE75" s="607"/>
      <c r="AF75" s="607"/>
      <c r="AG75" s="607"/>
      <c r="AH75" s="607"/>
      <c r="AI75" s="607"/>
      <c r="AJ75" s="607"/>
      <c r="AK75" s="607"/>
      <c r="AL75" s="606"/>
      <c r="AM75" s="606"/>
      <c r="AN75" s="606"/>
      <c r="AO75" s="606"/>
    </row>
    <row r="76" spans="1:41" ht="11.25" hidden="1" customHeight="1">
      <c r="A76" s="608"/>
      <c r="B76" s="607"/>
      <c r="C76" s="607"/>
      <c r="D76" s="607"/>
      <c r="E76" s="607"/>
      <c r="F76" s="607"/>
      <c r="G76" s="606"/>
      <c r="H76" s="606"/>
      <c r="I76" s="606"/>
      <c r="J76" s="606"/>
      <c r="K76" s="606"/>
      <c r="L76" s="606"/>
      <c r="M76" s="606"/>
      <c r="N76" s="606"/>
      <c r="O76" s="606"/>
      <c r="P76" s="606"/>
      <c r="Q76" s="606"/>
      <c r="R76" s="606"/>
      <c r="S76" s="606"/>
      <c r="T76" s="606"/>
      <c r="U76" s="606"/>
      <c r="V76" s="606"/>
      <c r="W76" s="606"/>
      <c r="X76" s="640"/>
      <c r="Y76" s="607"/>
      <c r="Z76" s="607"/>
      <c r="AA76" s="607"/>
      <c r="AB76" s="607"/>
      <c r="AC76" s="607"/>
      <c r="AD76" s="607"/>
      <c r="AE76" s="607"/>
      <c r="AF76" s="607"/>
      <c r="AG76" s="607"/>
      <c r="AH76" s="607"/>
      <c r="AI76" s="607"/>
      <c r="AJ76" s="607"/>
      <c r="AK76" s="607"/>
      <c r="AL76" s="606"/>
      <c r="AM76" s="606"/>
      <c r="AN76" s="606"/>
      <c r="AO76" s="606"/>
    </row>
    <row r="77" spans="1:41" ht="11.25" hidden="1" customHeight="1">
      <c r="A77" s="608"/>
      <c r="B77" s="607"/>
      <c r="C77" s="607"/>
      <c r="D77" s="607"/>
      <c r="E77" s="607"/>
      <c r="F77" s="607"/>
      <c r="G77" s="606"/>
      <c r="H77" s="606"/>
      <c r="I77" s="606"/>
      <c r="J77" s="606"/>
      <c r="K77" s="606"/>
      <c r="L77" s="606"/>
      <c r="M77" s="606"/>
      <c r="N77" s="606"/>
      <c r="O77" s="606"/>
      <c r="P77" s="606"/>
      <c r="Q77" s="606"/>
      <c r="R77" s="606"/>
      <c r="S77" s="606"/>
      <c r="T77" s="606"/>
      <c r="U77" s="606"/>
      <c r="V77" s="606"/>
      <c r="W77" s="606"/>
      <c r="X77" s="640"/>
      <c r="Y77" s="607"/>
      <c r="Z77" s="607"/>
      <c r="AA77" s="607"/>
      <c r="AB77" s="607"/>
      <c r="AC77" s="607"/>
      <c r="AD77" s="607"/>
      <c r="AE77" s="607"/>
      <c r="AF77" s="607"/>
      <c r="AG77" s="607"/>
      <c r="AH77" s="607"/>
      <c r="AI77" s="607"/>
      <c r="AJ77" s="607"/>
      <c r="AK77" s="607"/>
      <c r="AL77" s="606"/>
      <c r="AM77" s="606"/>
      <c r="AN77" s="606"/>
      <c r="AO77" s="606"/>
    </row>
    <row r="78" spans="1:41" ht="11.25" hidden="1" customHeight="1">
      <c r="A78" s="608"/>
      <c r="B78" s="607"/>
      <c r="C78" s="607"/>
      <c r="D78" s="607"/>
      <c r="E78" s="607"/>
      <c r="F78" s="607"/>
      <c r="G78" s="606"/>
      <c r="H78" s="606"/>
      <c r="I78" s="606"/>
      <c r="J78" s="606"/>
      <c r="K78" s="606"/>
      <c r="L78" s="606"/>
      <c r="M78" s="606"/>
      <c r="N78" s="606"/>
      <c r="O78" s="606"/>
      <c r="P78" s="606"/>
      <c r="Q78" s="606"/>
      <c r="R78" s="606"/>
      <c r="S78" s="606"/>
      <c r="T78" s="606"/>
      <c r="U78" s="606"/>
      <c r="V78" s="606"/>
      <c r="W78" s="606"/>
      <c r="X78" s="640"/>
      <c r="Y78" s="607"/>
      <c r="Z78" s="607"/>
      <c r="AA78" s="607"/>
      <c r="AB78" s="607"/>
      <c r="AC78" s="607"/>
      <c r="AD78" s="607"/>
      <c r="AE78" s="607"/>
      <c r="AF78" s="607"/>
      <c r="AG78" s="607"/>
      <c r="AH78" s="607"/>
      <c r="AI78" s="607"/>
      <c r="AJ78" s="607"/>
      <c r="AK78" s="607"/>
      <c r="AL78" s="606"/>
      <c r="AM78" s="606"/>
      <c r="AN78" s="606"/>
      <c r="AO78" s="606"/>
    </row>
    <row r="79" spans="1:41" ht="11.25" hidden="1" customHeight="1">
      <c r="A79" s="608"/>
      <c r="B79" s="607"/>
      <c r="C79" s="607"/>
      <c r="D79" s="607"/>
      <c r="E79" s="607"/>
      <c r="F79" s="607"/>
      <c r="G79" s="606"/>
      <c r="H79" s="606"/>
      <c r="I79" s="606"/>
      <c r="J79" s="606"/>
      <c r="K79" s="606"/>
      <c r="L79" s="606"/>
      <c r="M79" s="606"/>
      <c r="N79" s="606"/>
      <c r="O79" s="606"/>
      <c r="P79" s="606"/>
      <c r="Q79" s="606"/>
      <c r="R79" s="606"/>
      <c r="S79" s="606"/>
      <c r="T79" s="606"/>
      <c r="U79" s="606"/>
      <c r="V79" s="606"/>
      <c r="W79" s="606"/>
      <c r="X79" s="640"/>
      <c r="Y79" s="607"/>
      <c r="Z79" s="607"/>
      <c r="AA79" s="607"/>
      <c r="AB79" s="607"/>
      <c r="AC79" s="607"/>
      <c r="AD79" s="607"/>
      <c r="AE79" s="607"/>
      <c r="AF79" s="607"/>
      <c r="AG79" s="607"/>
      <c r="AH79" s="607"/>
      <c r="AI79" s="607"/>
      <c r="AJ79" s="607"/>
      <c r="AK79" s="607"/>
      <c r="AL79" s="606"/>
      <c r="AM79" s="606"/>
      <c r="AN79" s="606"/>
      <c r="AO79" s="606"/>
    </row>
    <row r="80" spans="1:41" ht="11.25" hidden="1" customHeight="1">
      <c r="A80" s="608"/>
      <c r="B80" s="607"/>
      <c r="C80" s="607"/>
      <c r="D80" s="607"/>
      <c r="E80" s="607"/>
      <c r="F80" s="607"/>
      <c r="G80" s="606"/>
      <c r="H80" s="606"/>
      <c r="I80" s="606"/>
      <c r="J80" s="606"/>
      <c r="K80" s="606"/>
      <c r="L80" s="606"/>
      <c r="M80" s="606"/>
      <c r="N80" s="606"/>
      <c r="O80" s="606"/>
      <c r="P80" s="606"/>
      <c r="Q80" s="606"/>
      <c r="R80" s="606"/>
      <c r="S80" s="606"/>
      <c r="T80" s="606"/>
      <c r="U80" s="606"/>
      <c r="V80" s="606"/>
      <c r="W80" s="606"/>
      <c r="X80" s="640"/>
      <c r="Y80" s="607"/>
      <c r="Z80" s="607"/>
      <c r="AA80" s="607"/>
      <c r="AB80" s="607"/>
      <c r="AC80" s="607"/>
      <c r="AD80" s="607"/>
      <c r="AE80" s="607"/>
      <c r="AF80" s="607"/>
      <c r="AG80" s="607"/>
      <c r="AH80" s="607"/>
      <c r="AI80" s="607"/>
      <c r="AJ80" s="607"/>
      <c r="AK80" s="607"/>
      <c r="AL80" s="606"/>
      <c r="AM80" s="606"/>
      <c r="AN80" s="606"/>
      <c r="AO80" s="606"/>
    </row>
    <row r="81" spans="1:41" ht="11.25" hidden="1" customHeight="1">
      <c r="A81" s="608"/>
      <c r="B81" s="607"/>
      <c r="C81" s="607"/>
      <c r="D81" s="607"/>
      <c r="E81" s="607"/>
      <c r="F81" s="607"/>
      <c r="G81" s="606"/>
      <c r="H81" s="606"/>
      <c r="I81" s="606"/>
      <c r="J81" s="606"/>
      <c r="K81" s="606"/>
      <c r="L81" s="606"/>
      <c r="M81" s="606"/>
      <c r="N81" s="606"/>
      <c r="O81" s="606"/>
      <c r="P81" s="606"/>
      <c r="Q81" s="606"/>
      <c r="R81" s="606"/>
      <c r="S81" s="606"/>
      <c r="T81" s="606"/>
      <c r="U81" s="606"/>
      <c r="V81" s="606"/>
      <c r="W81" s="606"/>
      <c r="X81" s="640"/>
      <c r="Y81" s="607"/>
      <c r="Z81" s="607"/>
      <c r="AA81" s="607"/>
      <c r="AB81" s="607"/>
      <c r="AC81" s="607"/>
      <c r="AD81" s="607"/>
      <c r="AE81" s="607"/>
      <c r="AF81" s="607"/>
      <c r="AG81" s="607"/>
      <c r="AH81" s="607"/>
      <c r="AI81" s="607"/>
      <c r="AJ81" s="607"/>
      <c r="AK81" s="607"/>
      <c r="AL81" s="606"/>
      <c r="AM81" s="606"/>
      <c r="AN81" s="606"/>
      <c r="AO81" s="606"/>
    </row>
    <row r="82" spans="1:41" ht="11.25" hidden="1" customHeight="1">
      <c r="A82" s="608"/>
      <c r="B82" s="607"/>
      <c r="C82" s="607"/>
      <c r="D82" s="607"/>
      <c r="E82" s="607"/>
      <c r="F82" s="607"/>
      <c r="G82" s="606"/>
      <c r="H82" s="606"/>
      <c r="I82" s="606"/>
      <c r="J82" s="606"/>
      <c r="K82" s="606"/>
      <c r="L82" s="606"/>
      <c r="M82" s="606"/>
      <c r="N82" s="606"/>
      <c r="O82" s="606"/>
      <c r="P82" s="606"/>
      <c r="Q82" s="606"/>
      <c r="R82" s="606"/>
      <c r="S82" s="606"/>
      <c r="T82" s="606"/>
      <c r="U82" s="606"/>
      <c r="V82" s="606"/>
      <c r="W82" s="606"/>
      <c r="X82" s="640"/>
      <c r="Y82" s="607"/>
      <c r="Z82" s="607"/>
      <c r="AA82" s="607"/>
      <c r="AB82" s="607"/>
      <c r="AC82" s="607"/>
      <c r="AD82" s="607"/>
      <c r="AE82" s="607"/>
      <c r="AF82" s="607"/>
      <c r="AG82" s="607"/>
      <c r="AH82" s="607"/>
      <c r="AI82" s="607"/>
      <c r="AJ82" s="607"/>
      <c r="AK82" s="607"/>
      <c r="AL82" s="606"/>
      <c r="AM82" s="606"/>
      <c r="AN82" s="606"/>
      <c r="AO82" s="606"/>
    </row>
    <row r="83" spans="1:41" ht="11.25" hidden="1" customHeight="1">
      <c r="A83" s="608"/>
      <c r="B83" s="607"/>
      <c r="C83" s="607"/>
      <c r="D83" s="607"/>
      <c r="E83" s="607"/>
      <c r="F83" s="607"/>
      <c r="G83" s="606"/>
      <c r="H83" s="606"/>
      <c r="I83" s="606"/>
      <c r="J83" s="606"/>
      <c r="K83" s="606"/>
      <c r="L83" s="606"/>
      <c r="M83" s="606"/>
      <c r="N83" s="606"/>
      <c r="O83" s="606"/>
      <c r="P83" s="606"/>
      <c r="Q83" s="606"/>
      <c r="R83" s="606"/>
      <c r="S83" s="606"/>
      <c r="T83" s="606"/>
      <c r="U83" s="606"/>
      <c r="V83" s="606"/>
      <c r="W83" s="606"/>
      <c r="X83" s="640"/>
      <c r="Y83" s="607"/>
      <c r="Z83" s="607"/>
      <c r="AA83" s="607"/>
      <c r="AB83" s="607"/>
      <c r="AC83" s="607"/>
      <c r="AD83" s="607"/>
      <c r="AE83" s="607"/>
      <c r="AF83" s="607"/>
      <c r="AG83" s="607"/>
      <c r="AH83" s="607"/>
      <c r="AI83" s="607"/>
      <c r="AJ83" s="607"/>
      <c r="AK83" s="607"/>
      <c r="AL83" s="606"/>
      <c r="AM83" s="606"/>
      <c r="AN83" s="606"/>
      <c r="AO83" s="606"/>
    </row>
    <row r="84" spans="1:41" ht="11.25" hidden="1" customHeight="1">
      <c r="A84" s="608"/>
      <c r="B84" s="607"/>
      <c r="C84" s="607"/>
      <c r="D84" s="607"/>
      <c r="E84" s="607"/>
      <c r="F84" s="607"/>
      <c r="G84" s="606"/>
      <c r="H84" s="606"/>
      <c r="I84" s="606"/>
      <c r="J84" s="606"/>
      <c r="K84" s="606"/>
      <c r="L84" s="606"/>
      <c r="M84" s="606"/>
      <c r="N84" s="606"/>
      <c r="O84" s="606"/>
      <c r="P84" s="606"/>
      <c r="Q84" s="606"/>
      <c r="R84" s="606"/>
      <c r="S84" s="606"/>
      <c r="T84" s="606"/>
      <c r="U84" s="606"/>
      <c r="V84" s="606"/>
      <c r="W84" s="606"/>
      <c r="X84" s="640"/>
      <c r="Y84" s="607"/>
      <c r="Z84" s="607"/>
      <c r="AA84" s="607"/>
      <c r="AB84" s="607"/>
      <c r="AC84" s="607"/>
      <c r="AD84" s="607"/>
      <c r="AE84" s="607"/>
      <c r="AF84" s="607"/>
      <c r="AG84" s="607"/>
      <c r="AH84" s="607"/>
      <c r="AI84" s="607"/>
      <c r="AJ84" s="607"/>
      <c r="AK84" s="607"/>
      <c r="AL84" s="606"/>
      <c r="AM84" s="606"/>
      <c r="AN84" s="606"/>
      <c r="AO84" s="606"/>
    </row>
    <row r="85" spans="1:41" ht="11.25" hidden="1" customHeight="1">
      <c r="A85" s="608"/>
      <c r="B85" s="607"/>
      <c r="C85" s="607"/>
      <c r="D85" s="607"/>
      <c r="E85" s="607"/>
      <c r="F85" s="607"/>
      <c r="G85" s="606"/>
      <c r="H85" s="606"/>
      <c r="I85" s="606"/>
      <c r="J85" s="606"/>
      <c r="K85" s="606"/>
      <c r="L85" s="606"/>
      <c r="M85" s="606"/>
      <c r="N85" s="606"/>
      <c r="O85" s="606"/>
      <c r="P85" s="606"/>
      <c r="Q85" s="606"/>
      <c r="R85" s="606"/>
      <c r="S85" s="606"/>
      <c r="T85" s="606"/>
      <c r="U85" s="606"/>
      <c r="V85" s="606"/>
      <c r="W85" s="606"/>
      <c r="X85" s="640"/>
      <c r="Y85" s="607"/>
      <c r="Z85" s="607"/>
      <c r="AA85" s="607"/>
      <c r="AB85" s="607"/>
      <c r="AC85" s="607"/>
      <c r="AD85" s="607"/>
      <c r="AE85" s="607"/>
      <c r="AF85" s="607"/>
      <c r="AG85" s="607"/>
      <c r="AH85" s="607"/>
      <c r="AI85" s="607"/>
      <c r="AJ85" s="607"/>
      <c r="AK85" s="607"/>
      <c r="AL85" s="606"/>
      <c r="AM85" s="606"/>
      <c r="AN85" s="606"/>
      <c r="AO85" s="606"/>
    </row>
    <row r="86" spans="1:41" ht="11.25" hidden="1" customHeight="1">
      <c r="A86" s="608"/>
      <c r="B86" s="607"/>
      <c r="C86" s="607"/>
      <c r="D86" s="607"/>
      <c r="E86" s="607"/>
      <c r="F86" s="607"/>
      <c r="G86" s="606"/>
      <c r="H86" s="606"/>
      <c r="I86" s="606"/>
      <c r="J86" s="606"/>
      <c r="K86" s="606"/>
      <c r="L86" s="606"/>
      <c r="M86" s="606"/>
      <c r="N86" s="606"/>
      <c r="O86" s="606"/>
      <c r="P86" s="606"/>
      <c r="Q86" s="606"/>
      <c r="R86" s="606"/>
      <c r="S86" s="606"/>
      <c r="T86" s="606"/>
      <c r="U86" s="606"/>
      <c r="V86" s="606"/>
      <c r="W86" s="606"/>
      <c r="X86" s="640"/>
      <c r="Y86" s="607"/>
      <c r="Z86" s="607"/>
      <c r="AA86" s="607"/>
      <c r="AB86" s="607"/>
      <c r="AC86" s="607"/>
      <c r="AD86" s="607"/>
      <c r="AE86" s="607"/>
      <c r="AF86" s="607"/>
      <c r="AG86" s="607"/>
      <c r="AH86" s="607"/>
      <c r="AI86" s="607"/>
      <c r="AJ86" s="607"/>
      <c r="AK86" s="607"/>
      <c r="AL86" s="606"/>
      <c r="AM86" s="606"/>
      <c r="AN86" s="606"/>
      <c r="AO86" s="606"/>
    </row>
    <row r="87" spans="1:41" ht="11.25" hidden="1" customHeight="1">
      <c r="A87" s="608"/>
      <c r="B87" s="607"/>
      <c r="C87" s="607"/>
      <c r="D87" s="607"/>
      <c r="E87" s="607"/>
      <c r="F87" s="607"/>
      <c r="G87" s="606"/>
      <c r="H87" s="606"/>
      <c r="I87" s="606"/>
      <c r="J87" s="606"/>
      <c r="K87" s="606"/>
      <c r="L87" s="606"/>
      <c r="M87" s="606"/>
      <c r="N87" s="606"/>
      <c r="O87" s="606"/>
      <c r="P87" s="606"/>
      <c r="Q87" s="606"/>
      <c r="R87" s="606"/>
      <c r="S87" s="606"/>
      <c r="T87" s="606"/>
      <c r="U87" s="606"/>
      <c r="V87" s="606"/>
      <c r="W87" s="606"/>
      <c r="X87" s="640"/>
      <c r="Y87" s="607"/>
      <c r="Z87" s="607"/>
      <c r="AA87" s="607"/>
      <c r="AB87" s="607"/>
      <c r="AC87" s="607"/>
      <c r="AD87" s="607"/>
      <c r="AE87" s="607"/>
      <c r="AF87" s="607"/>
      <c r="AG87" s="607"/>
      <c r="AH87" s="607"/>
      <c r="AI87" s="607"/>
      <c r="AJ87" s="607"/>
      <c r="AK87" s="607"/>
      <c r="AL87" s="606"/>
      <c r="AM87" s="606"/>
      <c r="AN87" s="606"/>
      <c r="AO87" s="606"/>
    </row>
    <row r="88" spans="1:41" ht="11.25" hidden="1" customHeight="1">
      <c r="A88" s="608"/>
      <c r="B88" s="607"/>
      <c r="C88" s="607"/>
      <c r="D88" s="607"/>
      <c r="E88" s="607"/>
      <c r="F88" s="607"/>
      <c r="G88" s="606"/>
      <c r="H88" s="606"/>
      <c r="I88" s="606"/>
      <c r="J88" s="606"/>
      <c r="K88" s="606"/>
      <c r="L88" s="606"/>
      <c r="M88" s="606"/>
      <c r="N88" s="606"/>
      <c r="O88" s="606"/>
      <c r="P88" s="606"/>
      <c r="Q88" s="606"/>
      <c r="R88" s="606"/>
      <c r="S88" s="606"/>
      <c r="T88" s="606"/>
      <c r="U88" s="606"/>
      <c r="V88" s="606"/>
      <c r="W88" s="606"/>
      <c r="X88" s="640"/>
      <c r="Y88" s="607"/>
      <c r="Z88" s="607"/>
      <c r="AA88" s="607"/>
      <c r="AB88" s="607"/>
      <c r="AC88" s="607"/>
      <c r="AD88" s="607"/>
      <c r="AE88" s="607"/>
      <c r="AF88" s="607"/>
      <c r="AG88" s="607"/>
      <c r="AH88" s="607"/>
      <c r="AI88" s="607"/>
      <c r="AJ88" s="607"/>
      <c r="AK88" s="607"/>
      <c r="AL88" s="606"/>
      <c r="AM88" s="606"/>
      <c r="AN88" s="606"/>
      <c r="AO88" s="606"/>
    </row>
    <row r="89" spans="1:41" ht="11.25" hidden="1" customHeight="1">
      <c r="A89" s="608"/>
      <c r="B89" s="607"/>
      <c r="C89" s="607"/>
      <c r="D89" s="607"/>
      <c r="E89" s="607"/>
      <c r="F89" s="607"/>
      <c r="G89" s="606"/>
      <c r="H89" s="606"/>
      <c r="I89" s="606"/>
      <c r="J89" s="606"/>
      <c r="K89" s="606"/>
      <c r="L89" s="606"/>
      <c r="M89" s="606"/>
      <c r="N89" s="606"/>
      <c r="O89" s="606"/>
      <c r="P89" s="606"/>
      <c r="Q89" s="606"/>
      <c r="R89" s="606"/>
      <c r="S89" s="606"/>
      <c r="T89" s="606"/>
      <c r="U89" s="606"/>
      <c r="V89" s="606"/>
      <c r="W89" s="606"/>
      <c r="X89" s="640"/>
      <c r="Y89" s="607"/>
      <c r="Z89" s="607"/>
      <c r="AA89" s="607"/>
      <c r="AB89" s="607"/>
      <c r="AC89" s="607"/>
      <c r="AD89" s="607"/>
      <c r="AE89" s="607"/>
      <c r="AF89" s="607"/>
      <c r="AG89" s="607"/>
      <c r="AH89" s="607"/>
      <c r="AI89" s="607"/>
      <c r="AJ89" s="607"/>
      <c r="AK89" s="607"/>
      <c r="AL89" s="606"/>
      <c r="AM89" s="606"/>
      <c r="AN89" s="606"/>
      <c r="AO89" s="606"/>
    </row>
    <row r="90" spans="1:41" ht="11.25" hidden="1" customHeight="1">
      <c r="A90" s="608"/>
      <c r="B90" s="607"/>
      <c r="C90" s="607"/>
      <c r="D90" s="607"/>
      <c r="E90" s="607"/>
      <c r="F90" s="607"/>
      <c r="G90" s="606"/>
      <c r="H90" s="606"/>
      <c r="I90" s="606"/>
      <c r="J90" s="606"/>
      <c r="K90" s="606"/>
      <c r="L90" s="606"/>
      <c r="M90" s="606"/>
      <c r="N90" s="606"/>
      <c r="O90" s="606"/>
      <c r="P90" s="606"/>
      <c r="Q90" s="606"/>
      <c r="R90" s="606"/>
      <c r="S90" s="606"/>
      <c r="T90" s="606"/>
      <c r="U90" s="606"/>
      <c r="V90" s="606"/>
      <c r="W90" s="606"/>
      <c r="X90" s="640"/>
      <c r="Y90" s="607"/>
      <c r="Z90" s="607"/>
      <c r="AA90" s="607"/>
      <c r="AB90" s="607"/>
      <c r="AC90" s="607"/>
      <c r="AD90" s="607"/>
      <c r="AE90" s="607"/>
      <c r="AF90" s="607"/>
      <c r="AG90" s="607"/>
      <c r="AH90" s="607"/>
      <c r="AI90" s="607"/>
      <c r="AJ90" s="607"/>
      <c r="AK90" s="607"/>
      <c r="AL90" s="606"/>
      <c r="AM90" s="606"/>
      <c r="AN90" s="606"/>
      <c r="AO90" s="606"/>
    </row>
    <row r="91" spans="1:41" ht="11.25" hidden="1" customHeight="1">
      <c r="A91" s="608"/>
      <c r="B91" s="607"/>
      <c r="C91" s="607"/>
      <c r="D91" s="607"/>
      <c r="E91" s="607"/>
      <c r="F91" s="607"/>
      <c r="G91" s="606"/>
      <c r="H91" s="606"/>
      <c r="I91" s="606"/>
      <c r="J91" s="606"/>
      <c r="K91" s="606"/>
      <c r="L91" s="606"/>
      <c r="M91" s="606"/>
      <c r="N91" s="606"/>
      <c r="O91" s="606"/>
      <c r="P91" s="606"/>
      <c r="Q91" s="606"/>
      <c r="R91" s="606"/>
      <c r="S91" s="606"/>
      <c r="T91" s="606"/>
      <c r="U91" s="606"/>
      <c r="V91" s="606"/>
      <c r="W91" s="606"/>
      <c r="X91" s="640"/>
      <c r="Y91" s="607"/>
      <c r="Z91" s="607"/>
      <c r="AA91" s="607"/>
      <c r="AB91" s="607"/>
      <c r="AC91" s="607"/>
      <c r="AD91" s="607"/>
      <c r="AE91" s="607"/>
      <c r="AF91" s="607"/>
      <c r="AG91" s="607"/>
      <c r="AH91" s="607"/>
      <c r="AI91" s="607"/>
      <c r="AJ91" s="607"/>
      <c r="AK91" s="607"/>
      <c r="AL91" s="606"/>
      <c r="AM91" s="606"/>
      <c r="AN91" s="606"/>
      <c r="AO91" s="606"/>
    </row>
    <row r="92" spans="1:41" ht="11.25" hidden="1" customHeight="1">
      <c r="A92" s="608"/>
      <c r="B92" s="607"/>
      <c r="C92" s="607"/>
      <c r="D92" s="607"/>
      <c r="E92" s="607"/>
      <c r="F92" s="607"/>
      <c r="G92" s="606"/>
      <c r="H92" s="606"/>
      <c r="I92" s="606"/>
      <c r="J92" s="606"/>
      <c r="K92" s="606"/>
      <c r="L92" s="606"/>
      <c r="M92" s="606"/>
      <c r="N92" s="606"/>
      <c r="O92" s="606"/>
      <c r="P92" s="606"/>
      <c r="Q92" s="606"/>
      <c r="R92" s="606"/>
      <c r="S92" s="606"/>
      <c r="T92" s="606"/>
      <c r="U92" s="606"/>
      <c r="V92" s="606"/>
      <c r="W92" s="606"/>
      <c r="X92" s="640"/>
      <c r="Y92" s="607"/>
      <c r="Z92" s="607"/>
      <c r="AA92" s="607"/>
      <c r="AB92" s="607"/>
      <c r="AC92" s="607"/>
      <c r="AD92" s="607"/>
      <c r="AE92" s="607"/>
      <c r="AF92" s="607"/>
      <c r="AG92" s="607"/>
      <c r="AH92" s="607"/>
      <c r="AI92" s="607"/>
      <c r="AJ92" s="607"/>
      <c r="AK92" s="607"/>
      <c r="AL92" s="606"/>
      <c r="AM92" s="606"/>
      <c r="AN92" s="606"/>
      <c r="AO92" s="606"/>
    </row>
    <row r="93" spans="1:41" ht="11.25" hidden="1" customHeight="1">
      <c r="A93" s="608"/>
      <c r="B93" s="607"/>
      <c r="C93" s="607"/>
      <c r="D93" s="607"/>
      <c r="E93" s="607"/>
      <c r="F93" s="607"/>
      <c r="G93" s="606"/>
      <c r="H93" s="606"/>
      <c r="I93" s="606"/>
      <c r="J93" s="606"/>
      <c r="K93" s="606"/>
      <c r="L93" s="606"/>
      <c r="M93" s="606"/>
      <c r="N93" s="606"/>
      <c r="O93" s="606"/>
      <c r="P93" s="606"/>
      <c r="Q93" s="606"/>
      <c r="R93" s="606"/>
      <c r="S93" s="606"/>
      <c r="T93" s="606"/>
      <c r="U93" s="606"/>
      <c r="V93" s="606"/>
      <c r="W93" s="606"/>
      <c r="X93" s="640"/>
      <c r="Y93" s="607"/>
      <c r="Z93" s="607"/>
      <c r="AA93" s="607"/>
      <c r="AB93" s="607"/>
      <c r="AC93" s="607"/>
      <c r="AD93" s="607"/>
      <c r="AE93" s="607"/>
      <c r="AF93" s="607"/>
      <c r="AG93" s="607"/>
      <c r="AH93" s="607"/>
      <c r="AI93" s="607"/>
      <c r="AJ93" s="607"/>
      <c r="AK93" s="607"/>
      <c r="AL93" s="606"/>
      <c r="AM93" s="606"/>
      <c r="AN93" s="606"/>
      <c r="AO93" s="606"/>
    </row>
    <row r="94" spans="1:41" ht="11.25" hidden="1" customHeight="1">
      <c r="A94" s="608"/>
      <c r="B94" s="607"/>
      <c r="C94" s="607"/>
      <c r="D94" s="607"/>
      <c r="E94" s="607"/>
      <c r="F94" s="607"/>
      <c r="G94" s="606"/>
      <c r="H94" s="606"/>
      <c r="I94" s="606"/>
      <c r="J94" s="606"/>
      <c r="K94" s="606"/>
      <c r="L94" s="606"/>
      <c r="M94" s="606"/>
      <c r="N94" s="606"/>
      <c r="O94" s="606"/>
      <c r="P94" s="606"/>
      <c r="Q94" s="606"/>
      <c r="R94" s="606"/>
      <c r="S94" s="606"/>
      <c r="T94" s="606"/>
      <c r="U94" s="606"/>
      <c r="V94" s="606"/>
      <c r="W94" s="606"/>
      <c r="X94" s="640"/>
      <c r="Y94" s="607"/>
      <c r="Z94" s="607"/>
      <c r="AA94" s="607"/>
      <c r="AB94" s="607"/>
      <c r="AC94" s="607"/>
      <c r="AD94" s="607"/>
      <c r="AE94" s="607"/>
      <c r="AF94" s="607"/>
      <c r="AG94" s="607"/>
      <c r="AH94" s="607"/>
      <c r="AI94" s="607"/>
      <c r="AJ94" s="607"/>
      <c r="AK94" s="607"/>
      <c r="AL94" s="606"/>
      <c r="AM94" s="606"/>
      <c r="AN94" s="606"/>
      <c r="AO94" s="606"/>
    </row>
    <row r="95" spans="1:41" ht="11.25" hidden="1" customHeight="1">
      <c r="A95" s="608"/>
      <c r="B95" s="607"/>
      <c r="C95" s="607"/>
      <c r="D95" s="607"/>
      <c r="E95" s="607"/>
      <c r="F95" s="607"/>
      <c r="G95" s="606"/>
      <c r="H95" s="606"/>
      <c r="I95" s="606"/>
      <c r="J95" s="606"/>
      <c r="K95" s="606"/>
      <c r="L95" s="606"/>
      <c r="M95" s="606"/>
      <c r="N95" s="606"/>
      <c r="O95" s="606"/>
      <c r="P95" s="606"/>
      <c r="Q95" s="606"/>
      <c r="R95" s="606"/>
      <c r="S95" s="606"/>
      <c r="T95" s="606"/>
      <c r="U95" s="606"/>
      <c r="V95" s="606"/>
      <c r="W95" s="606"/>
      <c r="X95" s="640"/>
      <c r="Y95" s="607"/>
      <c r="Z95" s="607"/>
      <c r="AA95" s="607"/>
      <c r="AB95" s="607"/>
      <c r="AC95" s="607"/>
      <c r="AD95" s="607"/>
      <c r="AE95" s="607"/>
      <c r="AF95" s="607"/>
      <c r="AG95" s="607"/>
      <c r="AH95" s="607"/>
      <c r="AI95" s="607"/>
      <c r="AJ95" s="607"/>
      <c r="AK95" s="607"/>
      <c r="AL95" s="606"/>
      <c r="AM95" s="606"/>
      <c r="AN95" s="606"/>
      <c r="AO95" s="606"/>
    </row>
    <row r="96" spans="1:41" ht="11.25" hidden="1" customHeight="1">
      <c r="A96" s="608"/>
      <c r="B96" s="607"/>
      <c r="C96" s="607"/>
      <c r="D96" s="607"/>
      <c r="E96" s="607"/>
      <c r="F96" s="607"/>
      <c r="G96" s="606"/>
      <c r="H96" s="606"/>
      <c r="I96" s="606"/>
      <c r="J96" s="606"/>
      <c r="K96" s="606"/>
      <c r="L96" s="606"/>
      <c r="M96" s="606"/>
      <c r="N96" s="606"/>
      <c r="O96" s="606"/>
      <c r="P96" s="606"/>
      <c r="Q96" s="606"/>
      <c r="R96" s="606"/>
      <c r="S96" s="606"/>
      <c r="T96" s="606"/>
      <c r="U96" s="606"/>
      <c r="V96" s="606"/>
      <c r="W96" s="606"/>
      <c r="X96" s="640"/>
      <c r="Y96" s="607"/>
      <c r="Z96" s="607"/>
      <c r="AA96" s="607"/>
      <c r="AB96" s="607"/>
      <c r="AC96" s="607"/>
      <c r="AD96" s="607"/>
      <c r="AE96" s="607"/>
      <c r="AF96" s="607"/>
      <c r="AG96" s="607"/>
      <c r="AH96" s="607"/>
      <c r="AI96" s="607"/>
      <c r="AJ96" s="607"/>
      <c r="AK96" s="607"/>
      <c r="AL96" s="606"/>
      <c r="AM96" s="606"/>
      <c r="AN96" s="606"/>
      <c r="AO96" s="606"/>
    </row>
    <row r="97" spans="1:41" ht="11.25" hidden="1" customHeight="1">
      <c r="A97" s="608"/>
      <c r="B97" s="607"/>
      <c r="C97" s="607"/>
      <c r="D97" s="607"/>
      <c r="E97" s="607"/>
      <c r="F97" s="607"/>
      <c r="G97" s="606"/>
      <c r="H97" s="606"/>
      <c r="I97" s="606"/>
      <c r="J97" s="606"/>
      <c r="K97" s="606"/>
      <c r="L97" s="606"/>
      <c r="M97" s="606"/>
      <c r="N97" s="606"/>
      <c r="O97" s="606"/>
      <c r="P97" s="606"/>
      <c r="Q97" s="606"/>
      <c r="R97" s="606"/>
      <c r="S97" s="606"/>
      <c r="T97" s="606"/>
      <c r="U97" s="606"/>
      <c r="V97" s="606"/>
      <c r="W97" s="606"/>
      <c r="X97" s="640"/>
      <c r="Y97" s="607"/>
      <c r="Z97" s="607"/>
      <c r="AA97" s="607"/>
      <c r="AB97" s="607"/>
      <c r="AC97" s="607"/>
      <c r="AD97" s="607"/>
      <c r="AE97" s="607"/>
      <c r="AF97" s="607"/>
      <c r="AG97" s="607"/>
      <c r="AH97" s="607"/>
      <c r="AI97" s="607"/>
      <c r="AJ97" s="607"/>
      <c r="AK97" s="607"/>
      <c r="AL97" s="606"/>
      <c r="AM97" s="606"/>
      <c r="AN97" s="606"/>
      <c r="AO97" s="606"/>
    </row>
    <row r="98" spans="1:41" ht="11.25" hidden="1" customHeight="1">
      <c r="A98" s="608"/>
      <c r="B98" s="607"/>
      <c r="C98" s="607"/>
      <c r="D98" s="607"/>
      <c r="E98" s="607"/>
      <c r="F98" s="607"/>
      <c r="G98" s="606"/>
      <c r="H98" s="606"/>
      <c r="I98" s="606"/>
      <c r="J98" s="606"/>
      <c r="K98" s="606"/>
      <c r="L98" s="606"/>
      <c r="M98" s="606"/>
      <c r="N98" s="606"/>
      <c r="O98" s="606"/>
      <c r="P98" s="606"/>
      <c r="Q98" s="606"/>
      <c r="R98" s="606"/>
      <c r="S98" s="606"/>
      <c r="T98" s="606"/>
      <c r="U98" s="606"/>
      <c r="V98" s="606"/>
      <c r="W98" s="606"/>
      <c r="X98" s="640"/>
      <c r="Y98" s="607"/>
      <c r="Z98" s="607"/>
      <c r="AA98" s="607"/>
      <c r="AB98" s="607"/>
      <c r="AC98" s="607"/>
      <c r="AD98" s="607"/>
      <c r="AE98" s="607"/>
      <c r="AF98" s="607"/>
      <c r="AG98" s="607"/>
      <c r="AH98" s="607"/>
      <c r="AI98" s="607"/>
      <c r="AJ98" s="607"/>
      <c r="AK98" s="607"/>
      <c r="AL98" s="606"/>
      <c r="AM98" s="606"/>
      <c r="AN98" s="606"/>
      <c r="AO98" s="606"/>
    </row>
    <row r="99" spans="1:41" ht="11.25" hidden="1" customHeight="1">
      <c r="A99" s="608"/>
      <c r="B99" s="607"/>
      <c r="C99" s="607"/>
      <c r="D99" s="607"/>
      <c r="E99" s="607"/>
      <c r="F99" s="607"/>
      <c r="G99" s="606"/>
      <c r="H99" s="606"/>
      <c r="I99" s="606"/>
      <c r="J99" s="606"/>
      <c r="K99" s="606"/>
      <c r="L99" s="606"/>
      <c r="M99" s="606"/>
      <c r="N99" s="606"/>
      <c r="O99" s="606"/>
      <c r="P99" s="606"/>
      <c r="Q99" s="606"/>
      <c r="R99" s="606"/>
      <c r="S99" s="606"/>
      <c r="T99" s="606"/>
      <c r="U99" s="606"/>
      <c r="V99" s="606"/>
      <c r="W99" s="606"/>
      <c r="X99" s="640"/>
      <c r="Y99" s="607"/>
      <c r="Z99" s="607"/>
      <c r="AA99" s="607"/>
      <c r="AB99" s="607"/>
      <c r="AC99" s="607"/>
      <c r="AD99" s="607"/>
      <c r="AE99" s="607"/>
      <c r="AF99" s="607"/>
      <c r="AG99" s="607"/>
      <c r="AH99" s="607"/>
      <c r="AI99" s="607"/>
      <c r="AJ99" s="607"/>
      <c r="AK99" s="607"/>
      <c r="AL99" s="606"/>
      <c r="AM99" s="606"/>
      <c r="AN99" s="606"/>
      <c r="AO99" s="606"/>
    </row>
    <row r="100" spans="1:41" ht="11.25" hidden="1" customHeight="1">
      <c r="A100" s="608"/>
      <c r="B100" s="607"/>
      <c r="C100" s="607"/>
      <c r="D100" s="607"/>
      <c r="E100" s="607"/>
      <c r="F100" s="607"/>
      <c r="G100" s="606"/>
      <c r="H100" s="606"/>
      <c r="I100" s="606"/>
      <c r="J100" s="606"/>
      <c r="K100" s="606"/>
      <c r="L100" s="606"/>
      <c r="M100" s="606"/>
      <c r="N100" s="606"/>
      <c r="O100" s="606"/>
      <c r="P100" s="606"/>
      <c r="Q100" s="606"/>
      <c r="R100" s="606"/>
      <c r="S100" s="606"/>
      <c r="T100" s="606"/>
      <c r="U100" s="606"/>
      <c r="V100" s="606"/>
      <c r="W100" s="606"/>
      <c r="X100" s="640"/>
      <c r="Y100" s="607"/>
      <c r="Z100" s="607"/>
      <c r="AA100" s="607"/>
      <c r="AB100" s="607"/>
      <c r="AC100" s="607"/>
      <c r="AD100" s="607"/>
      <c r="AE100" s="607"/>
      <c r="AF100" s="607"/>
      <c r="AG100" s="607"/>
      <c r="AH100" s="607"/>
      <c r="AI100" s="607"/>
      <c r="AJ100" s="607"/>
      <c r="AK100" s="607"/>
      <c r="AL100" s="606"/>
      <c r="AM100" s="606"/>
      <c r="AN100" s="606"/>
      <c r="AO100" s="606"/>
    </row>
    <row r="101" spans="1:41" ht="11.25" hidden="1" customHeight="1">
      <c r="A101" s="608"/>
      <c r="B101" s="607"/>
      <c r="C101" s="607"/>
      <c r="D101" s="607"/>
      <c r="E101" s="607"/>
      <c r="F101" s="607"/>
      <c r="G101" s="606"/>
      <c r="H101" s="606"/>
      <c r="I101" s="606"/>
      <c r="J101" s="606"/>
      <c r="K101" s="606"/>
      <c r="L101" s="606"/>
      <c r="M101" s="606"/>
      <c r="N101" s="606"/>
      <c r="O101" s="606"/>
      <c r="P101" s="606"/>
      <c r="Q101" s="606"/>
      <c r="R101" s="606"/>
      <c r="S101" s="606"/>
      <c r="T101" s="606"/>
      <c r="U101" s="606"/>
      <c r="V101" s="606"/>
      <c r="W101" s="606"/>
      <c r="X101" s="640"/>
      <c r="Y101" s="607"/>
      <c r="Z101" s="607"/>
      <c r="AA101" s="607"/>
      <c r="AB101" s="607"/>
      <c r="AC101" s="607"/>
      <c r="AD101" s="607"/>
      <c r="AE101" s="607"/>
      <c r="AF101" s="607"/>
      <c r="AG101" s="607"/>
      <c r="AH101" s="607"/>
      <c r="AI101" s="607"/>
      <c r="AJ101" s="607"/>
      <c r="AK101" s="607"/>
      <c r="AL101" s="606"/>
      <c r="AM101" s="606"/>
      <c r="AN101" s="606"/>
      <c r="AO101" s="606"/>
    </row>
    <row r="102" spans="1:41" ht="11.25" hidden="1" customHeight="1">
      <c r="A102" s="608"/>
      <c r="B102" s="607"/>
      <c r="C102" s="607"/>
      <c r="D102" s="607"/>
      <c r="E102" s="607"/>
      <c r="F102" s="607"/>
      <c r="G102" s="606"/>
      <c r="H102" s="606"/>
      <c r="I102" s="606"/>
      <c r="J102" s="606"/>
      <c r="K102" s="606"/>
      <c r="L102" s="606"/>
      <c r="M102" s="606"/>
      <c r="N102" s="606"/>
      <c r="O102" s="606"/>
      <c r="P102" s="606"/>
      <c r="Q102" s="606"/>
      <c r="R102" s="606"/>
      <c r="S102" s="606"/>
      <c r="T102" s="606"/>
      <c r="U102" s="606"/>
      <c r="V102" s="606"/>
      <c r="W102" s="606"/>
      <c r="X102" s="640"/>
      <c r="Y102" s="607"/>
      <c r="Z102" s="607"/>
      <c r="AA102" s="607"/>
      <c r="AB102" s="607"/>
      <c r="AC102" s="607"/>
      <c r="AD102" s="607"/>
      <c r="AE102" s="607"/>
      <c r="AF102" s="607"/>
      <c r="AG102" s="607"/>
      <c r="AH102" s="607"/>
      <c r="AI102" s="607"/>
      <c r="AJ102" s="607"/>
      <c r="AK102" s="607"/>
      <c r="AL102" s="606"/>
      <c r="AM102" s="606"/>
      <c r="AN102" s="606"/>
      <c r="AO102" s="606"/>
    </row>
    <row r="103" spans="1:41" ht="11.25" hidden="1" customHeight="1">
      <c r="A103" s="608"/>
      <c r="B103" s="607"/>
      <c r="C103" s="607"/>
      <c r="D103" s="607"/>
      <c r="E103" s="607"/>
      <c r="F103" s="607"/>
      <c r="G103" s="606"/>
      <c r="H103" s="606"/>
      <c r="I103" s="606"/>
      <c r="J103" s="606"/>
      <c r="K103" s="606"/>
      <c r="L103" s="606"/>
      <c r="M103" s="606"/>
      <c r="N103" s="606"/>
      <c r="O103" s="606"/>
      <c r="P103" s="606"/>
      <c r="Q103" s="606"/>
      <c r="R103" s="606"/>
      <c r="S103" s="606"/>
      <c r="T103" s="606"/>
      <c r="U103" s="606"/>
      <c r="V103" s="606"/>
      <c r="W103" s="606"/>
      <c r="X103" s="640"/>
      <c r="Y103" s="607"/>
      <c r="Z103" s="607"/>
      <c r="AA103" s="607"/>
      <c r="AB103" s="607"/>
      <c r="AC103" s="607"/>
      <c r="AD103" s="607"/>
      <c r="AE103" s="607"/>
      <c r="AF103" s="607"/>
      <c r="AG103" s="607"/>
      <c r="AH103" s="607"/>
      <c r="AI103" s="607"/>
      <c r="AJ103" s="607"/>
      <c r="AK103" s="607"/>
      <c r="AL103" s="606"/>
      <c r="AM103" s="606"/>
      <c r="AN103" s="606"/>
      <c r="AO103" s="606"/>
    </row>
    <row r="104" spans="1:41" ht="11.25" hidden="1" customHeight="1">
      <c r="A104" s="608"/>
      <c r="B104" s="607"/>
      <c r="C104" s="607"/>
      <c r="D104" s="607"/>
      <c r="E104" s="607"/>
      <c r="F104" s="607"/>
      <c r="G104" s="606"/>
      <c r="H104" s="606"/>
      <c r="I104" s="606"/>
      <c r="J104" s="606"/>
      <c r="K104" s="606"/>
      <c r="L104" s="606"/>
      <c r="M104" s="606"/>
      <c r="N104" s="606"/>
      <c r="O104" s="606"/>
      <c r="P104" s="606"/>
      <c r="Q104" s="606"/>
      <c r="R104" s="606"/>
      <c r="S104" s="606"/>
      <c r="T104" s="606"/>
      <c r="U104" s="606"/>
      <c r="V104" s="606"/>
      <c r="W104" s="606"/>
      <c r="X104" s="640"/>
      <c r="Y104" s="607"/>
      <c r="Z104" s="607"/>
      <c r="AA104" s="607"/>
      <c r="AB104" s="607"/>
      <c r="AC104" s="607"/>
      <c r="AD104" s="607"/>
      <c r="AE104" s="607"/>
      <c r="AF104" s="607"/>
      <c r="AG104" s="607"/>
      <c r="AH104" s="607"/>
      <c r="AI104" s="607"/>
      <c r="AJ104" s="607"/>
      <c r="AK104" s="607"/>
      <c r="AL104" s="606"/>
      <c r="AM104" s="606"/>
      <c r="AN104" s="606"/>
      <c r="AO104" s="606"/>
    </row>
    <row r="105" spans="1:41" ht="11.25" hidden="1" customHeight="1">
      <c r="A105" s="608"/>
      <c r="B105" s="607"/>
      <c r="C105" s="607"/>
      <c r="D105" s="607"/>
      <c r="E105" s="607"/>
      <c r="F105" s="607"/>
      <c r="G105" s="606"/>
      <c r="H105" s="606"/>
      <c r="I105" s="606"/>
      <c r="J105" s="606"/>
      <c r="K105" s="606"/>
      <c r="L105" s="606"/>
      <c r="M105" s="606"/>
      <c r="N105" s="606"/>
      <c r="O105" s="606"/>
      <c r="P105" s="606"/>
      <c r="Q105" s="606"/>
      <c r="R105" s="606"/>
      <c r="S105" s="606"/>
      <c r="T105" s="606"/>
      <c r="U105" s="606"/>
      <c r="V105" s="606"/>
      <c r="W105" s="606"/>
      <c r="X105" s="640"/>
      <c r="Y105" s="607"/>
      <c r="Z105" s="607"/>
      <c r="AA105" s="607"/>
      <c r="AB105" s="607"/>
      <c r="AC105" s="607"/>
      <c r="AD105" s="607"/>
      <c r="AE105" s="607"/>
      <c r="AF105" s="607"/>
      <c r="AG105" s="607"/>
      <c r="AH105" s="607"/>
      <c r="AI105" s="607"/>
      <c r="AJ105" s="607"/>
      <c r="AK105" s="607"/>
      <c r="AL105" s="606"/>
      <c r="AM105" s="606"/>
      <c r="AN105" s="606"/>
      <c r="AO105" s="606"/>
    </row>
    <row r="106" spans="1:41" ht="11.25" hidden="1" customHeight="1">
      <c r="A106" s="608"/>
      <c r="B106" s="607"/>
      <c r="C106" s="607"/>
      <c r="D106" s="607"/>
      <c r="E106" s="607"/>
      <c r="F106" s="607"/>
      <c r="G106" s="606"/>
      <c r="H106" s="606"/>
      <c r="I106" s="606"/>
      <c r="J106" s="606"/>
      <c r="K106" s="606"/>
      <c r="L106" s="606"/>
      <c r="M106" s="606"/>
      <c r="N106" s="606"/>
      <c r="O106" s="606"/>
      <c r="P106" s="606"/>
      <c r="Q106" s="606"/>
      <c r="R106" s="606"/>
      <c r="S106" s="606"/>
      <c r="T106" s="606"/>
      <c r="U106" s="606"/>
      <c r="V106" s="606"/>
      <c r="W106" s="606"/>
      <c r="X106" s="640"/>
      <c r="Y106" s="607"/>
      <c r="Z106" s="607"/>
      <c r="AA106" s="607"/>
      <c r="AB106" s="607"/>
      <c r="AC106" s="607"/>
      <c r="AD106" s="607"/>
      <c r="AE106" s="607"/>
      <c r="AF106" s="607"/>
      <c r="AG106" s="607"/>
      <c r="AH106" s="607"/>
      <c r="AI106" s="607"/>
      <c r="AJ106" s="607"/>
      <c r="AK106" s="607"/>
      <c r="AL106" s="606"/>
      <c r="AM106" s="606"/>
      <c r="AN106" s="606"/>
      <c r="AO106" s="606"/>
    </row>
    <row r="107" spans="1:41" ht="11.25" hidden="1" customHeight="1">
      <c r="A107" s="608"/>
      <c r="B107" s="607"/>
      <c r="C107" s="607"/>
      <c r="D107" s="607"/>
      <c r="E107" s="607"/>
      <c r="F107" s="607"/>
      <c r="G107" s="606"/>
      <c r="H107" s="606"/>
      <c r="I107" s="606"/>
      <c r="J107" s="606"/>
      <c r="K107" s="606"/>
      <c r="L107" s="606"/>
      <c r="M107" s="606"/>
      <c r="N107" s="606"/>
      <c r="O107" s="606"/>
      <c r="P107" s="606"/>
      <c r="Q107" s="606"/>
      <c r="R107" s="606"/>
      <c r="S107" s="606"/>
      <c r="T107" s="606"/>
      <c r="U107" s="606"/>
      <c r="V107" s="606"/>
      <c r="W107" s="606"/>
      <c r="X107" s="640"/>
      <c r="Y107" s="607"/>
      <c r="Z107" s="607"/>
      <c r="AA107" s="607"/>
      <c r="AB107" s="607"/>
      <c r="AC107" s="607"/>
      <c r="AD107" s="607"/>
      <c r="AE107" s="607"/>
      <c r="AF107" s="607"/>
      <c r="AG107" s="607"/>
      <c r="AH107" s="607"/>
      <c r="AI107" s="607"/>
      <c r="AJ107" s="607"/>
      <c r="AK107" s="607"/>
      <c r="AL107" s="606"/>
      <c r="AM107" s="606"/>
      <c r="AN107" s="606"/>
      <c r="AO107" s="606"/>
    </row>
    <row r="108" spans="1:41" ht="11.25" hidden="1" customHeight="1">
      <c r="A108" s="608"/>
      <c r="B108" s="607"/>
      <c r="C108" s="607"/>
      <c r="D108" s="607"/>
      <c r="E108" s="607"/>
      <c r="F108" s="607"/>
      <c r="G108" s="606"/>
      <c r="H108" s="606"/>
      <c r="I108" s="606"/>
      <c r="J108" s="606"/>
      <c r="K108" s="606"/>
      <c r="L108" s="606"/>
      <c r="M108" s="606"/>
      <c r="N108" s="606"/>
      <c r="O108" s="606"/>
      <c r="P108" s="606"/>
      <c r="Q108" s="606"/>
      <c r="R108" s="606"/>
      <c r="S108" s="606"/>
      <c r="T108" s="606"/>
      <c r="U108" s="606"/>
      <c r="V108" s="606"/>
      <c r="W108" s="606"/>
      <c r="X108" s="640"/>
      <c r="Y108" s="607"/>
      <c r="Z108" s="607"/>
      <c r="AA108" s="607"/>
      <c r="AB108" s="607"/>
      <c r="AC108" s="607"/>
      <c r="AD108" s="607"/>
      <c r="AE108" s="607"/>
      <c r="AF108" s="607"/>
      <c r="AG108" s="607"/>
      <c r="AH108" s="607"/>
      <c r="AI108" s="607"/>
      <c r="AJ108" s="607"/>
      <c r="AK108" s="607"/>
      <c r="AL108" s="606"/>
      <c r="AM108" s="606"/>
      <c r="AN108" s="606"/>
      <c r="AO108" s="606"/>
    </row>
    <row r="109" spans="1:41" ht="11.25" hidden="1" customHeight="1">
      <c r="A109" s="608"/>
      <c r="B109" s="607"/>
      <c r="C109" s="607"/>
      <c r="D109" s="607"/>
      <c r="E109" s="607"/>
      <c r="F109" s="607"/>
      <c r="G109" s="606"/>
      <c r="H109" s="606"/>
      <c r="I109" s="606"/>
      <c r="J109" s="606"/>
      <c r="K109" s="606"/>
      <c r="L109" s="606"/>
      <c r="M109" s="606"/>
      <c r="N109" s="606"/>
      <c r="O109" s="606"/>
      <c r="P109" s="606"/>
      <c r="Q109" s="606"/>
      <c r="R109" s="606"/>
      <c r="S109" s="606"/>
      <c r="T109" s="606"/>
      <c r="U109" s="606"/>
      <c r="V109" s="606"/>
      <c r="W109" s="606"/>
      <c r="X109" s="640"/>
      <c r="Y109" s="607"/>
      <c r="Z109" s="607"/>
      <c r="AA109" s="607"/>
      <c r="AB109" s="607"/>
      <c r="AC109" s="607"/>
      <c r="AD109" s="607"/>
      <c r="AE109" s="607"/>
      <c r="AF109" s="607"/>
      <c r="AG109" s="607"/>
      <c r="AH109" s="607"/>
      <c r="AI109" s="607"/>
      <c r="AJ109" s="607"/>
      <c r="AK109" s="607"/>
      <c r="AL109" s="606"/>
      <c r="AM109" s="606"/>
      <c r="AN109" s="606"/>
      <c r="AO109" s="606"/>
    </row>
    <row r="110" spans="1:41" ht="11.25" hidden="1" customHeight="1">
      <c r="A110" s="608"/>
      <c r="B110" s="607"/>
      <c r="C110" s="607"/>
      <c r="D110" s="607"/>
      <c r="E110" s="607"/>
      <c r="F110" s="607"/>
      <c r="G110" s="606"/>
      <c r="H110" s="606"/>
      <c r="I110" s="606"/>
      <c r="J110" s="606"/>
      <c r="K110" s="606"/>
      <c r="L110" s="606"/>
      <c r="M110" s="606"/>
      <c r="N110" s="606"/>
      <c r="O110" s="606"/>
      <c r="P110" s="606"/>
      <c r="Q110" s="606"/>
      <c r="R110" s="606"/>
      <c r="S110" s="606"/>
      <c r="T110" s="606"/>
      <c r="U110" s="606"/>
      <c r="V110" s="606"/>
      <c r="W110" s="606"/>
      <c r="X110" s="640"/>
      <c r="Y110" s="607"/>
      <c r="Z110" s="607"/>
      <c r="AA110" s="607"/>
      <c r="AB110" s="607"/>
      <c r="AC110" s="607"/>
      <c r="AD110" s="607"/>
      <c r="AE110" s="607"/>
      <c r="AF110" s="607"/>
      <c r="AG110" s="607"/>
      <c r="AH110" s="607"/>
      <c r="AI110" s="607"/>
      <c r="AJ110" s="607"/>
      <c r="AK110" s="607"/>
      <c r="AL110" s="606"/>
      <c r="AM110" s="606"/>
      <c r="AN110" s="606"/>
      <c r="AO110" s="606"/>
    </row>
    <row r="111" spans="1:41" ht="11.25" hidden="1" customHeight="1">
      <c r="A111" s="608"/>
      <c r="B111" s="607"/>
      <c r="C111" s="607"/>
      <c r="D111" s="607"/>
      <c r="E111" s="607"/>
      <c r="F111" s="607"/>
      <c r="G111" s="606"/>
      <c r="H111" s="606"/>
      <c r="I111" s="606"/>
      <c r="J111" s="606"/>
      <c r="K111" s="606"/>
      <c r="L111" s="606"/>
      <c r="M111" s="606"/>
      <c r="N111" s="606"/>
      <c r="O111" s="606"/>
      <c r="P111" s="606"/>
      <c r="Q111" s="606"/>
      <c r="R111" s="606"/>
      <c r="S111" s="606"/>
      <c r="T111" s="606"/>
      <c r="U111" s="606"/>
      <c r="V111" s="606"/>
      <c r="W111" s="606"/>
      <c r="X111" s="640"/>
      <c r="Y111" s="607"/>
      <c r="Z111" s="607"/>
      <c r="AA111" s="607"/>
      <c r="AB111" s="607"/>
      <c r="AC111" s="607"/>
      <c r="AD111" s="607"/>
      <c r="AE111" s="607"/>
      <c r="AF111" s="607"/>
      <c r="AG111" s="607"/>
      <c r="AH111" s="607"/>
      <c r="AI111" s="607"/>
      <c r="AJ111" s="607"/>
      <c r="AK111" s="607"/>
      <c r="AL111" s="606"/>
      <c r="AM111" s="606"/>
      <c r="AN111" s="606"/>
      <c r="AO111" s="606"/>
    </row>
    <row r="112" spans="1:41" ht="11.25" hidden="1" customHeight="1">
      <c r="A112" s="608"/>
      <c r="B112" s="607"/>
      <c r="C112" s="607"/>
      <c r="D112" s="607"/>
      <c r="E112" s="607"/>
      <c r="F112" s="607"/>
      <c r="G112" s="606"/>
      <c r="H112" s="606"/>
      <c r="I112" s="606"/>
      <c r="J112" s="606"/>
      <c r="K112" s="606"/>
      <c r="L112" s="606"/>
      <c r="M112" s="606"/>
      <c r="N112" s="606"/>
      <c r="O112" s="606"/>
      <c r="P112" s="606"/>
      <c r="Q112" s="606"/>
      <c r="R112" s="606"/>
      <c r="S112" s="606"/>
      <c r="T112" s="606"/>
      <c r="U112" s="606"/>
      <c r="V112" s="606"/>
      <c r="W112" s="606"/>
      <c r="X112" s="640"/>
      <c r="Y112" s="607"/>
      <c r="Z112" s="607"/>
      <c r="AA112" s="607"/>
      <c r="AB112" s="607"/>
      <c r="AC112" s="607"/>
      <c r="AD112" s="607"/>
      <c r="AE112" s="607"/>
      <c r="AF112" s="607"/>
      <c r="AG112" s="607"/>
      <c r="AH112" s="607"/>
      <c r="AI112" s="607"/>
      <c r="AJ112" s="607"/>
      <c r="AK112" s="607"/>
      <c r="AL112" s="606"/>
      <c r="AM112" s="606"/>
      <c r="AN112" s="606"/>
      <c r="AO112" s="606"/>
    </row>
    <row r="113" spans="1:41" ht="11.25" hidden="1" customHeight="1">
      <c r="A113" s="608"/>
      <c r="B113" s="607"/>
      <c r="C113" s="607"/>
      <c r="D113" s="607"/>
      <c r="E113" s="607"/>
      <c r="F113" s="607"/>
      <c r="G113" s="606"/>
      <c r="H113" s="606"/>
      <c r="I113" s="606"/>
      <c r="J113" s="606"/>
      <c r="K113" s="606"/>
      <c r="L113" s="606"/>
      <c r="M113" s="606"/>
      <c r="N113" s="606"/>
      <c r="O113" s="606"/>
      <c r="P113" s="606"/>
      <c r="Q113" s="606"/>
      <c r="R113" s="606"/>
      <c r="S113" s="606"/>
      <c r="T113" s="606"/>
      <c r="U113" s="606"/>
      <c r="V113" s="606"/>
      <c r="W113" s="606"/>
      <c r="X113" s="640"/>
      <c r="Y113" s="607"/>
      <c r="Z113" s="607"/>
      <c r="AA113" s="607"/>
      <c r="AB113" s="607"/>
      <c r="AC113" s="607"/>
      <c r="AD113" s="607"/>
      <c r="AE113" s="607"/>
      <c r="AF113" s="607"/>
      <c r="AG113" s="607"/>
      <c r="AH113" s="607"/>
      <c r="AI113" s="607"/>
      <c r="AJ113" s="607"/>
      <c r="AK113" s="607"/>
      <c r="AL113" s="606"/>
      <c r="AM113" s="606"/>
      <c r="AN113" s="606"/>
      <c r="AO113" s="606"/>
    </row>
    <row r="114" spans="1:41" ht="11.25" hidden="1" customHeight="1">
      <c r="A114" s="608"/>
      <c r="B114" s="607"/>
      <c r="C114" s="607"/>
      <c r="D114" s="607"/>
      <c r="E114" s="607"/>
      <c r="F114" s="607"/>
      <c r="G114" s="606"/>
      <c r="H114" s="606"/>
      <c r="I114" s="606"/>
      <c r="J114" s="606"/>
      <c r="K114" s="606"/>
      <c r="L114" s="606"/>
      <c r="M114" s="606"/>
      <c r="N114" s="606"/>
      <c r="O114" s="606"/>
      <c r="P114" s="606"/>
      <c r="Q114" s="606"/>
      <c r="R114" s="606"/>
      <c r="S114" s="606"/>
      <c r="T114" s="606"/>
      <c r="U114" s="606"/>
      <c r="V114" s="606"/>
      <c r="W114" s="606"/>
      <c r="X114" s="640"/>
      <c r="Y114" s="607"/>
      <c r="Z114" s="607"/>
      <c r="AA114" s="607"/>
      <c r="AB114" s="607"/>
      <c r="AC114" s="607"/>
      <c r="AD114" s="607"/>
      <c r="AE114" s="607"/>
      <c r="AF114" s="607"/>
      <c r="AG114" s="607"/>
      <c r="AH114" s="607"/>
      <c r="AI114" s="607"/>
      <c r="AJ114" s="607"/>
      <c r="AK114" s="607"/>
      <c r="AL114" s="606"/>
      <c r="AM114" s="606"/>
      <c r="AN114" s="606"/>
      <c r="AO114" s="606"/>
    </row>
    <row r="115" spans="1:41" ht="11.25" hidden="1" customHeight="1">
      <c r="A115" s="608"/>
      <c r="B115" s="607"/>
      <c r="C115" s="607"/>
      <c r="D115" s="607"/>
      <c r="E115" s="607"/>
      <c r="F115" s="607"/>
      <c r="G115" s="606"/>
      <c r="H115" s="606"/>
      <c r="I115" s="606"/>
      <c r="J115" s="606"/>
      <c r="K115" s="606"/>
      <c r="L115" s="606"/>
      <c r="M115" s="606"/>
      <c r="N115" s="606"/>
      <c r="O115" s="606"/>
      <c r="P115" s="606"/>
      <c r="Q115" s="606"/>
      <c r="R115" s="606"/>
      <c r="S115" s="606"/>
      <c r="T115" s="606"/>
      <c r="U115" s="606"/>
      <c r="V115" s="606"/>
      <c r="W115" s="606"/>
      <c r="X115" s="640"/>
      <c r="Y115" s="607"/>
      <c r="Z115" s="607"/>
      <c r="AA115" s="607"/>
      <c r="AB115" s="607"/>
      <c r="AC115" s="607"/>
      <c r="AD115" s="607"/>
      <c r="AE115" s="607"/>
      <c r="AF115" s="607"/>
      <c r="AG115" s="607"/>
      <c r="AH115" s="607"/>
      <c r="AI115" s="607"/>
      <c r="AJ115" s="607"/>
      <c r="AK115" s="607"/>
      <c r="AL115" s="606"/>
      <c r="AM115" s="606"/>
      <c r="AN115" s="606"/>
      <c r="AO115" s="606"/>
    </row>
    <row r="116" spans="1:41" ht="11.25" hidden="1" customHeight="1">
      <c r="A116" s="608"/>
      <c r="B116" s="607"/>
      <c r="C116" s="607"/>
      <c r="D116" s="607"/>
      <c r="E116" s="607"/>
      <c r="F116" s="607"/>
      <c r="G116" s="606"/>
      <c r="H116" s="606"/>
      <c r="I116" s="606"/>
      <c r="J116" s="606"/>
      <c r="K116" s="606"/>
      <c r="L116" s="606"/>
      <c r="M116" s="606"/>
      <c r="N116" s="606"/>
      <c r="O116" s="606"/>
      <c r="P116" s="606"/>
      <c r="Q116" s="606"/>
      <c r="R116" s="606"/>
      <c r="S116" s="606"/>
      <c r="T116" s="606"/>
      <c r="U116" s="606"/>
      <c r="V116" s="606"/>
      <c r="W116" s="606"/>
      <c r="X116" s="640"/>
      <c r="Y116" s="607"/>
      <c r="Z116" s="607"/>
      <c r="AA116" s="607"/>
      <c r="AB116" s="607"/>
      <c r="AC116" s="607"/>
      <c r="AD116" s="607"/>
      <c r="AE116" s="607"/>
      <c r="AF116" s="607"/>
      <c r="AG116" s="607"/>
      <c r="AH116" s="607"/>
      <c r="AI116" s="607"/>
      <c r="AJ116" s="607"/>
      <c r="AK116" s="607"/>
      <c r="AL116" s="606"/>
      <c r="AM116" s="606"/>
      <c r="AN116" s="606"/>
      <c r="AO116" s="606"/>
    </row>
    <row r="117" spans="1:41" ht="11.25" hidden="1" customHeight="1">
      <c r="A117" s="608"/>
      <c r="B117" s="607"/>
      <c r="C117" s="607"/>
      <c r="D117" s="607"/>
      <c r="E117" s="607"/>
      <c r="F117" s="607"/>
      <c r="G117" s="606"/>
      <c r="H117" s="606"/>
      <c r="I117" s="606"/>
      <c r="J117" s="606"/>
      <c r="K117" s="606"/>
      <c r="L117" s="606"/>
      <c r="M117" s="606"/>
      <c r="N117" s="606"/>
      <c r="O117" s="606"/>
      <c r="P117" s="606"/>
      <c r="Q117" s="606"/>
      <c r="R117" s="606"/>
      <c r="S117" s="606"/>
      <c r="T117" s="606"/>
      <c r="U117" s="606"/>
      <c r="V117" s="606"/>
      <c r="W117" s="606"/>
      <c r="X117" s="640"/>
      <c r="Y117" s="607"/>
      <c r="Z117" s="607"/>
      <c r="AA117" s="607"/>
      <c r="AB117" s="607"/>
      <c r="AC117" s="607"/>
      <c r="AD117" s="607"/>
      <c r="AE117" s="607"/>
      <c r="AF117" s="607"/>
      <c r="AG117" s="607"/>
      <c r="AH117" s="607"/>
      <c r="AI117" s="607"/>
      <c r="AJ117" s="607"/>
      <c r="AK117" s="607"/>
      <c r="AL117" s="606"/>
      <c r="AM117" s="606"/>
      <c r="AN117" s="606"/>
      <c r="AO117" s="606"/>
    </row>
    <row r="118" spans="1:41" ht="11.25" hidden="1" customHeight="1">
      <c r="A118" s="608"/>
      <c r="B118" s="607"/>
      <c r="C118" s="607"/>
      <c r="D118" s="607"/>
      <c r="E118" s="607"/>
      <c r="F118" s="607"/>
      <c r="G118" s="606"/>
      <c r="H118" s="606"/>
      <c r="I118" s="606"/>
      <c r="J118" s="606"/>
      <c r="K118" s="606"/>
      <c r="L118" s="606"/>
      <c r="M118" s="606"/>
      <c r="N118" s="606"/>
      <c r="O118" s="606"/>
      <c r="P118" s="606"/>
      <c r="Q118" s="606"/>
      <c r="R118" s="606"/>
      <c r="S118" s="606"/>
      <c r="T118" s="606"/>
      <c r="U118" s="606"/>
      <c r="V118" s="606"/>
      <c r="W118" s="606"/>
      <c r="X118" s="640"/>
      <c r="Y118" s="607"/>
      <c r="Z118" s="607"/>
      <c r="AA118" s="607"/>
      <c r="AB118" s="607"/>
      <c r="AC118" s="607"/>
      <c r="AD118" s="607"/>
      <c r="AE118" s="607"/>
      <c r="AF118" s="607"/>
      <c r="AG118" s="607"/>
      <c r="AH118" s="607"/>
      <c r="AI118" s="607"/>
      <c r="AJ118" s="607"/>
      <c r="AK118" s="607"/>
      <c r="AL118" s="606"/>
      <c r="AM118" s="606"/>
      <c r="AN118" s="606"/>
      <c r="AO118" s="606"/>
    </row>
    <row r="119" spans="1:41" ht="11.25" hidden="1" customHeight="1">
      <c r="A119" s="608"/>
      <c r="B119" s="607"/>
      <c r="C119" s="607"/>
      <c r="D119" s="607"/>
      <c r="E119" s="607"/>
      <c r="F119" s="607"/>
      <c r="G119" s="606"/>
      <c r="H119" s="606"/>
      <c r="I119" s="606"/>
      <c r="J119" s="606"/>
      <c r="K119" s="606"/>
      <c r="L119" s="606"/>
      <c r="M119" s="606"/>
      <c r="N119" s="606"/>
      <c r="O119" s="606"/>
      <c r="P119" s="606"/>
      <c r="Q119" s="606"/>
      <c r="R119" s="606"/>
      <c r="S119" s="606"/>
      <c r="T119" s="606"/>
      <c r="U119" s="606"/>
      <c r="V119" s="606"/>
      <c r="W119" s="606"/>
      <c r="X119" s="640"/>
      <c r="Y119" s="607"/>
      <c r="Z119" s="607"/>
      <c r="AA119" s="607"/>
      <c r="AB119" s="607"/>
      <c r="AC119" s="607"/>
      <c r="AD119" s="607"/>
      <c r="AE119" s="607"/>
      <c r="AF119" s="607"/>
      <c r="AG119" s="607"/>
      <c r="AH119" s="607"/>
      <c r="AI119" s="607"/>
      <c r="AJ119" s="607"/>
      <c r="AK119" s="607"/>
      <c r="AL119" s="606"/>
      <c r="AM119" s="606"/>
      <c r="AN119" s="606"/>
      <c r="AO119" s="606"/>
    </row>
    <row r="120" spans="1:41" ht="11.25" hidden="1" customHeight="1">
      <c r="A120" s="608"/>
      <c r="B120" s="607"/>
      <c r="C120" s="607"/>
      <c r="D120" s="607"/>
      <c r="E120" s="607"/>
      <c r="F120" s="607"/>
      <c r="G120" s="606"/>
      <c r="H120" s="606"/>
      <c r="I120" s="606"/>
      <c r="J120" s="606"/>
      <c r="K120" s="606"/>
      <c r="L120" s="606"/>
      <c r="M120" s="606"/>
      <c r="N120" s="606"/>
      <c r="O120" s="606"/>
      <c r="P120" s="606"/>
      <c r="Q120" s="606"/>
      <c r="R120" s="606"/>
      <c r="S120" s="606"/>
      <c r="T120" s="606"/>
      <c r="U120" s="606"/>
      <c r="V120" s="606"/>
      <c r="W120" s="606"/>
      <c r="X120" s="640"/>
      <c r="Y120" s="607"/>
      <c r="Z120" s="607"/>
      <c r="AA120" s="607"/>
      <c r="AB120" s="607"/>
      <c r="AC120" s="607"/>
      <c r="AD120" s="607"/>
      <c r="AE120" s="607"/>
      <c r="AF120" s="607"/>
      <c r="AG120" s="607"/>
      <c r="AH120" s="607"/>
      <c r="AI120" s="607"/>
      <c r="AJ120" s="607"/>
      <c r="AK120" s="607"/>
      <c r="AL120" s="606"/>
      <c r="AM120" s="606"/>
      <c r="AN120" s="606"/>
      <c r="AO120" s="606"/>
    </row>
    <row r="121" spans="1:41" ht="11.25" hidden="1" customHeight="1">
      <c r="A121" s="608"/>
      <c r="B121" s="607"/>
      <c r="C121" s="607"/>
      <c r="D121" s="607"/>
      <c r="E121" s="607"/>
      <c r="F121" s="607"/>
      <c r="G121" s="606"/>
      <c r="H121" s="606"/>
      <c r="I121" s="606"/>
      <c r="J121" s="606"/>
      <c r="K121" s="606"/>
      <c r="L121" s="606"/>
      <c r="M121" s="606"/>
      <c r="N121" s="606"/>
      <c r="O121" s="606"/>
      <c r="P121" s="606"/>
      <c r="Q121" s="606"/>
      <c r="R121" s="606"/>
      <c r="S121" s="606"/>
      <c r="T121" s="606"/>
      <c r="U121" s="606"/>
      <c r="V121" s="606"/>
      <c r="W121" s="606"/>
      <c r="X121" s="640"/>
      <c r="Y121" s="607"/>
      <c r="Z121" s="607"/>
      <c r="AA121" s="607"/>
      <c r="AB121" s="607"/>
      <c r="AC121" s="607"/>
      <c r="AD121" s="607"/>
      <c r="AE121" s="607"/>
      <c r="AF121" s="607"/>
      <c r="AG121" s="607"/>
      <c r="AH121" s="607"/>
      <c r="AI121" s="607"/>
      <c r="AJ121" s="607"/>
      <c r="AK121" s="607"/>
      <c r="AL121" s="606"/>
      <c r="AM121" s="606"/>
      <c r="AN121" s="606"/>
      <c r="AO121" s="606"/>
    </row>
    <row r="122" spans="1:41" ht="11.25" hidden="1" customHeight="1">
      <c r="A122" s="608"/>
      <c r="B122" s="607"/>
      <c r="C122" s="607"/>
      <c r="D122" s="607"/>
      <c r="E122" s="607"/>
      <c r="F122" s="607"/>
      <c r="G122" s="606"/>
      <c r="H122" s="606"/>
      <c r="I122" s="606"/>
      <c r="J122" s="606"/>
      <c r="K122" s="606"/>
      <c r="L122" s="606"/>
      <c r="M122" s="606"/>
      <c r="N122" s="606"/>
      <c r="O122" s="606"/>
      <c r="P122" s="606"/>
      <c r="Q122" s="606"/>
      <c r="R122" s="606"/>
      <c r="S122" s="606"/>
      <c r="T122" s="606"/>
      <c r="U122" s="606"/>
      <c r="V122" s="606"/>
      <c r="W122" s="606"/>
      <c r="X122" s="640"/>
      <c r="Y122" s="607"/>
      <c r="Z122" s="607"/>
      <c r="AA122" s="607"/>
      <c r="AB122" s="607"/>
      <c r="AC122" s="607"/>
      <c r="AD122" s="607"/>
      <c r="AE122" s="607"/>
      <c r="AF122" s="607"/>
      <c r="AG122" s="607"/>
      <c r="AH122" s="607"/>
      <c r="AI122" s="607"/>
      <c r="AJ122" s="607"/>
      <c r="AK122" s="607"/>
      <c r="AL122" s="606"/>
      <c r="AM122" s="606"/>
      <c r="AN122" s="606"/>
      <c r="AO122" s="606"/>
    </row>
    <row r="123" spans="1:41" ht="11.25" hidden="1" customHeight="1">
      <c r="A123" s="608"/>
      <c r="B123" s="607"/>
      <c r="C123" s="607"/>
      <c r="D123" s="607"/>
      <c r="E123" s="607"/>
      <c r="F123" s="607"/>
      <c r="G123" s="606"/>
      <c r="H123" s="606"/>
      <c r="I123" s="606"/>
      <c r="J123" s="606"/>
      <c r="K123" s="606"/>
      <c r="L123" s="606"/>
      <c r="M123" s="606"/>
      <c r="N123" s="606"/>
      <c r="O123" s="606"/>
      <c r="P123" s="606"/>
      <c r="Q123" s="606"/>
      <c r="R123" s="606"/>
      <c r="S123" s="606"/>
      <c r="T123" s="606"/>
      <c r="U123" s="606"/>
      <c r="V123" s="606"/>
      <c r="W123" s="606"/>
      <c r="X123" s="640"/>
      <c r="Y123" s="607"/>
      <c r="Z123" s="607"/>
      <c r="AA123" s="607"/>
      <c r="AB123" s="607"/>
      <c r="AC123" s="607"/>
      <c r="AD123" s="607"/>
      <c r="AE123" s="607"/>
      <c r="AF123" s="607"/>
      <c r="AG123" s="607"/>
      <c r="AH123" s="607"/>
      <c r="AI123" s="607"/>
      <c r="AJ123" s="607"/>
      <c r="AK123" s="607"/>
      <c r="AL123" s="606"/>
      <c r="AM123" s="606"/>
      <c r="AN123" s="606"/>
      <c r="AO123" s="606"/>
    </row>
    <row r="124" spans="1:41" ht="11.25" hidden="1" customHeight="1">
      <c r="A124" s="608"/>
      <c r="B124" s="607"/>
      <c r="C124" s="607"/>
      <c r="D124" s="607"/>
      <c r="E124" s="607"/>
      <c r="F124" s="607"/>
      <c r="G124" s="606"/>
      <c r="H124" s="606"/>
      <c r="I124" s="606"/>
      <c r="J124" s="606"/>
      <c r="K124" s="606"/>
      <c r="L124" s="606"/>
      <c r="M124" s="606"/>
      <c r="N124" s="606"/>
      <c r="O124" s="606"/>
      <c r="P124" s="606"/>
      <c r="Q124" s="606"/>
      <c r="R124" s="606"/>
      <c r="S124" s="606"/>
      <c r="T124" s="606"/>
      <c r="U124" s="606"/>
      <c r="V124" s="606"/>
      <c r="W124" s="606"/>
      <c r="X124" s="640"/>
      <c r="Y124" s="607"/>
      <c r="Z124" s="607"/>
      <c r="AA124" s="607"/>
      <c r="AB124" s="607"/>
      <c r="AC124" s="607"/>
      <c r="AD124" s="607"/>
      <c r="AE124" s="607"/>
      <c r="AF124" s="607"/>
      <c r="AG124" s="607"/>
      <c r="AH124" s="607"/>
      <c r="AI124" s="607"/>
      <c r="AJ124" s="607"/>
      <c r="AK124" s="607"/>
      <c r="AL124" s="606"/>
      <c r="AM124" s="606"/>
      <c r="AN124" s="606"/>
      <c r="AO124" s="606"/>
    </row>
    <row r="125" spans="1:41" ht="11.25" hidden="1" customHeight="1">
      <c r="A125" s="608"/>
      <c r="B125" s="607"/>
      <c r="C125" s="607"/>
      <c r="D125" s="607"/>
      <c r="E125" s="607"/>
      <c r="F125" s="607"/>
      <c r="G125" s="606"/>
      <c r="H125" s="606"/>
      <c r="I125" s="606"/>
      <c r="J125" s="606"/>
      <c r="K125" s="606"/>
      <c r="L125" s="606"/>
      <c r="M125" s="606"/>
      <c r="N125" s="606"/>
      <c r="O125" s="606"/>
      <c r="P125" s="606"/>
      <c r="Q125" s="606"/>
      <c r="R125" s="606"/>
      <c r="S125" s="606"/>
      <c r="T125" s="606"/>
      <c r="U125" s="606"/>
      <c r="V125" s="606"/>
      <c r="W125" s="606"/>
      <c r="X125" s="640"/>
      <c r="Y125" s="607"/>
      <c r="Z125" s="607"/>
      <c r="AA125" s="607"/>
      <c r="AB125" s="607"/>
      <c r="AC125" s="607"/>
      <c r="AD125" s="607"/>
      <c r="AE125" s="607"/>
      <c r="AF125" s="607"/>
      <c r="AG125" s="607"/>
      <c r="AH125" s="607"/>
      <c r="AI125" s="607"/>
      <c r="AJ125" s="607"/>
      <c r="AK125" s="607"/>
      <c r="AL125" s="606"/>
      <c r="AM125" s="606"/>
      <c r="AN125" s="606"/>
      <c r="AO125" s="606"/>
    </row>
    <row r="126" spans="1:41" ht="11.25" hidden="1" customHeight="1">
      <c r="A126" s="608"/>
      <c r="B126" s="607"/>
      <c r="C126" s="607"/>
      <c r="D126" s="607"/>
      <c r="E126" s="607"/>
      <c r="F126" s="607"/>
      <c r="G126" s="606"/>
      <c r="H126" s="606"/>
      <c r="I126" s="606"/>
      <c r="J126" s="606"/>
      <c r="K126" s="606"/>
      <c r="L126" s="606"/>
      <c r="M126" s="606"/>
      <c r="N126" s="606"/>
      <c r="O126" s="606"/>
      <c r="P126" s="606"/>
      <c r="Q126" s="606"/>
      <c r="R126" s="606"/>
      <c r="S126" s="606"/>
      <c r="T126" s="606"/>
      <c r="U126" s="606"/>
      <c r="V126" s="606"/>
      <c r="W126" s="606"/>
      <c r="X126" s="640"/>
      <c r="Y126" s="607"/>
      <c r="Z126" s="607"/>
      <c r="AA126" s="607"/>
      <c r="AB126" s="607"/>
      <c r="AC126" s="607"/>
      <c r="AD126" s="607"/>
      <c r="AE126" s="607"/>
      <c r="AF126" s="607"/>
      <c r="AG126" s="607"/>
      <c r="AH126" s="607"/>
      <c r="AI126" s="607"/>
      <c r="AJ126" s="607"/>
      <c r="AK126" s="607"/>
      <c r="AL126" s="606"/>
      <c r="AM126" s="606"/>
      <c r="AN126" s="606"/>
      <c r="AO126" s="606"/>
    </row>
    <row r="127" spans="1:41" ht="11.25" hidden="1" customHeight="1">
      <c r="A127" s="608"/>
      <c r="B127" s="607"/>
      <c r="C127" s="607"/>
      <c r="D127" s="607"/>
      <c r="E127" s="607"/>
      <c r="F127" s="607"/>
      <c r="G127" s="606"/>
      <c r="H127" s="606"/>
      <c r="I127" s="606"/>
      <c r="J127" s="606"/>
      <c r="K127" s="606"/>
      <c r="L127" s="606"/>
      <c r="M127" s="606"/>
      <c r="N127" s="606"/>
      <c r="O127" s="606"/>
      <c r="P127" s="606"/>
      <c r="Q127" s="606"/>
      <c r="R127" s="606"/>
      <c r="S127" s="606"/>
      <c r="T127" s="606"/>
      <c r="U127" s="606"/>
      <c r="V127" s="606"/>
      <c r="W127" s="606"/>
      <c r="X127" s="640"/>
      <c r="Y127" s="607"/>
      <c r="Z127" s="607"/>
      <c r="AA127" s="607"/>
      <c r="AB127" s="607"/>
      <c r="AC127" s="607"/>
      <c r="AD127" s="607"/>
      <c r="AE127" s="607"/>
      <c r="AF127" s="607"/>
      <c r="AG127" s="607"/>
      <c r="AH127" s="607"/>
      <c r="AI127" s="607"/>
      <c r="AJ127" s="607"/>
      <c r="AK127" s="607"/>
      <c r="AL127" s="606"/>
      <c r="AM127" s="606"/>
      <c r="AN127" s="606"/>
      <c r="AO127" s="606"/>
    </row>
    <row r="128" spans="1:41" ht="11.25" hidden="1" customHeight="1">
      <c r="A128" s="608"/>
      <c r="B128" s="607"/>
      <c r="C128" s="607"/>
      <c r="D128" s="607"/>
      <c r="E128" s="607"/>
      <c r="F128" s="607"/>
      <c r="G128" s="606"/>
      <c r="H128" s="606"/>
      <c r="I128" s="606"/>
      <c r="J128" s="606"/>
      <c r="K128" s="606"/>
      <c r="L128" s="606"/>
      <c r="M128" s="606"/>
      <c r="N128" s="606"/>
      <c r="O128" s="606"/>
      <c r="P128" s="606"/>
      <c r="Q128" s="606"/>
      <c r="R128" s="606"/>
      <c r="S128" s="606"/>
      <c r="T128" s="606"/>
      <c r="U128" s="606"/>
      <c r="V128" s="606"/>
      <c r="W128" s="606"/>
      <c r="X128" s="640"/>
      <c r="Y128" s="607"/>
      <c r="Z128" s="607"/>
      <c r="AA128" s="607"/>
      <c r="AB128" s="607"/>
      <c r="AC128" s="607"/>
      <c r="AD128" s="607"/>
      <c r="AE128" s="607"/>
      <c r="AF128" s="607"/>
      <c r="AG128" s="607"/>
      <c r="AH128" s="607"/>
      <c r="AI128" s="607"/>
      <c r="AJ128" s="607"/>
      <c r="AK128" s="607"/>
      <c r="AL128" s="606"/>
      <c r="AM128" s="606"/>
      <c r="AN128" s="606"/>
      <c r="AO128" s="606"/>
    </row>
    <row r="129" spans="1:41" ht="11.25" hidden="1" customHeight="1">
      <c r="A129" s="608"/>
      <c r="B129" s="607"/>
      <c r="C129" s="607"/>
      <c r="D129" s="607"/>
      <c r="E129" s="607"/>
      <c r="F129" s="607"/>
      <c r="G129" s="606"/>
      <c r="H129" s="606"/>
      <c r="I129" s="606"/>
      <c r="J129" s="606"/>
      <c r="K129" s="606"/>
      <c r="L129" s="606"/>
      <c r="M129" s="606"/>
      <c r="N129" s="606"/>
      <c r="O129" s="606"/>
      <c r="P129" s="606"/>
      <c r="Q129" s="606"/>
      <c r="R129" s="606"/>
      <c r="S129" s="606"/>
      <c r="T129" s="606"/>
      <c r="U129" s="606"/>
      <c r="V129" s="606"/>
      <c r="W129" s="606"/>
      <c r="X129" s="640"/>
      <c r="Y129" s="607"/>
      <c r="Z129" s="607"/>
      <c r="AA129" s="607"/>
      <c r="AB129" s="607"/>
      <c r="AC129" s="607"/>
      <c r="AD129" s="607"/>
      <c r="AE129" s="607"/>
      <c r="AF129" s="607"/>
      <c r="AG129" s="607"/>
      <c r="AH129" s="607"/>
      <c r="AI129" s="607"/>
      <c r="AJ129" s="607"/>
      <c r="AK129" s="607"/>
      <c r="AL129" s="606"/>
      <c r="AM129" s="606"/>
      <c r="AN129" s="606"/>
      <c r="AO129" s="606"/>
    </row>
    <row r="130" spans="1:41" ht="11.25" hidden="1" customHeight="1">
      <c r="A130" s="608"/>
      <c r="B130" s="607"/>
      <c r="C130" s="607"/>
      <c r="D130" s="607"/>
      <c r="E130" s="607"/>
      <c r="F130" s="607"/>
      <c r="G130" s="606"/>
      <c r="H130" s="606"/>
      <c r="I130" s="606"/>
      <c r="J130" s="606"/>
      <c r="K130" s="606"/>
      <c r="L130" s="606"/>
      <c r="M130" s="606"/>
      <c r="N130" s="606"/>
      <c r="O130" s="606"/>
      <c r="P130" s="606"/>
      <c r="Q130" s="606"/>
      <c r="R130" s="606"/>
      <c r="S130" s="606"/>
      <c r="T130" s="606"/>
      <c r="U130" s="606"/>
      <c r="V130" s="606"/>
      <c r="W130" s="606"/>
      <c r="X130" s="640"/>
      <c r="Y130" s="607"/>
      <c r="Z130" s="607"/>
      <c r="AA130" s="607"/>
      <c r="AB130" s="607"/>
      <c r="AC130" s="607"/>
      <c r="AD130" s="607"/>
      <c r="AE130" s="607"/>
      <c r="AF130" s="607"/>
      <c r="AG130" s="607"/>
      <c r="AH130" s="607"/>
      <c r="AI130" s="607"/>
      <c r="AJ130" s="607"/>
      <c r="AK130" s="607"/>
      <c r="AL130" s="606"/>
      <c r="AM130" s="606"/>
      <c r="AN130" s="606"/>
      <c r="AO130" s="606"/>
    </row>
    <row r="131" spans="1:41" ht="11.25" hidden="1" customHeight="1">
      <c r="A131" s="608"/>
      <c r="B131" s="607"/>
      <c r="C131" s="607"/>
      <c r="D131" s="607"/>
      <c r="E131" s="607"/>
      <c r="F131" s="607"/>
      <c r="G131" s="606"/>
      <c r="H131" s="606"/>
      <c r="I131" s="606"/>
      <c r="J131" s="606"/>
      <c r="K131" s="606"/>
      <c r="L131" s="606"/>
      <c r="M131" s="606"/>
      <c r="N131" s="606"/>
      <c r="O131" s="606"/>
      <c r="P131" s="606"/>
      <c r="Q131" s="606"/>
      <c r="R131" s="606"/>
      <c r="S131" s="606"/>
      <c r="T131" s="606"/>
      <c r="U131" s="606"/>
      <c r="V131" s="606"/>
      <c r="W131" s="606"/>
      <c r="X131" s="640"/>
      <c r="Y131" s="607"/>
      <c r="Z131" s="607"/>
      <c r="AA131" s="607"/>
      <c r="AB131" s="607"/>
      <c r="AC131" s="607"/>
      <c r="AD131" s="607"/>
      <c r="AE131" s="607"/>
      <c r="AF131" s="607"/>
      <c r="AG131" s="607"/>
      <c r="AH131" s="607"/>
      <c r="AI131" s="607"/>
      <c r="AJ131" s="607"/>
      <c r="AK131" s="607"/>
      <c r="AL131" s="606"/>
      <c r="AM131" s="606"/>
      <c r="AN131" s="606"/>
      <c r="AO131" s="606"/>
    </row>
    <row r="132" spans="1:41" ht="11.25" hidden="1" customHeight="1">
      <c r="A132" s="608"/>
      <c r="B132" s="607"/>
      <c r="C132" s="607"/>
      <c r="D132" s="607"/>
      <c r="E132" s="607"/>
      <c r="F132" s="607"/>
      <c r="G132" s="606"/>
      <c r="H132" s="606"/>
      <c r="I132" s="606"/>
      <c r="J132" s="606"/>
      <c r="K132" s="606"/>
      <c r="L132" s="606"/>
      <c r="M132" s="606"/>
      <c r="N132" s="606"/>
      <c r="O132" s="606"/>
      <c r="P132" s="606"/>
      <c r="Q132" s="606"/>
      <c r="R132" s="606"/>
      <c r="S132" s="606"/>
      <c r="T132" s="606"/>
      <c r="U132" s="606"/>
      <c r="V132" s="606"/>
      <c r="W132" s="606"/>
      <c r="X132" s="640"/>
      <c r="Y132" s="607"/>
      <c r="Z132" s="607"/>
      <c r="AA132" s="607"/>
      <c r="AB132" s="607"/>
      <c r="AC132" s="607"/>
      <c r="AD132" s="607"/>
      <c r="AE132" s="607"/>
      <c r="AF132" s="607"/>
      <c r="AG132" s="607"/>
      <c r="AH132" s="607"/>
      <c r="AI132" s="607"/>
      <c r="AJ132" s="607"/>
      <c r="AK132" s="607"/>
      <c r="AL132" s="606"/>
      <c r="AM132" s="606"/>
      <c r="AN132" s="606"/>
      <c r="AO132" s="606"/>
    </row>
    <row r="133" spans="1:41" ht="11.25" hidden="1" customHeight="1">
      <c r="A133" s="608"/>
      <c r="B133" s="607"/>
      <c r="C133" s="607"/>
      <c r="D133" s="607"/>
      <c r="E133" s="607"/>
      <c r="F133" s="607"/>
      <c r="G133" s="606"/>
      <c r="H133" s="606"/>
      <c r="I133" s="606"/>
      <c r="J133" s="606"/>
      <c r="K133" s="606"/>
      <c r="L133" s="606"/>
      <c r="M133" s="606"/>
      <c r="N133" s="606"/>
      <c r="O133" s="606"/>
      <c r="P133" s="606"/>
      <c r="Q133" s="606"/>
      <c r="R133" s="606"/>
      <c r="S133" s="606"/>
      <c r="T133" s="606"/>
      <c r="U133" s="606"/>
      <c r="V133" s="606"/>
      <c r="W133" s="606"/>
      <c r="X133" s="640"/>
      <c r="Y133" s="607"/>
      <c r="Z133" s="607"/>
      <c r="AA133" s="607"/>
      <c r="AB133" s="607"/>
      <c r="AC133" s="607"/>
      <c r="AD133" s="607"/>
      <c r="AE133" s="607"/>
      <c r="AF133" s="607"/>
      <c r="AG133" s="607"/>
      <c r="AH133" s="607"/>
      <c r="AI133" s="607"/>
      <c r="AJ133" s="607"/>
      <c r="AK133" s="607"/>
      <c r="AL133" s="606"/>
      <c r="AM133" s="606"/>
      <c r="AN133" s="606"/>
      <c r="AO133" s="606"/>
    </row>
    <row r="134" spans="1:41" ht="11.25" hidden="1" customHeight="1">
      <c r="A134" s="608"/>
      <c r="B134" s="607"/>
      <c r="C134" s="607"/>
      <c r="D134" s="607"/>
      <c r="E134" s="607"/>
      <c r="F134" s="607"/>
      <c r="G134" s="606"/>
      <c r="H134" s="606"/>
      <c r="I134" s="606"/>
      <c r="J134" s="606"/>
      <c r="K134" s="606"/>
      <c r="L134" s="606"/>
      <c r="M134" s="606"/>
      <c r="N134" s="606"/>
      <c r="O134" s="606"/>
      <c r="P134" s="606"/>
      <c r="Q134" s="606"/>
      <c r="R134" s="606"/>
      <c r="S134" s="606"/>
      <c r="T134" s="606"/>
      <c r="U134" s="606"/>
      <c r="V134" s="606"/>
      <c r="W134" s="606"/>
      <c r="X134" s="640"/>
      <c r="Y134" s="607"/>
      <c r="Z134" s="607"/>
      <c r="AA134" s="607"/>
      <c r="AB134" s="607"/>
      <c r="AC134" s="607"/>
      <c r="AD134" s="607"/>
      <c r="AE134" s="607"/>
      <c r="AF134" s="607"/>
      <c r="AG134" s="607"/>
      <c r="AH134" s="607"/>
      <c r="AI134" s="607"/>
      <c r="AJ134" s="607"/>
      <c r="AK134" s="607"/>
      <c r="AL134" s="606"/>
      <c r="AM134" s="606"/>
      <c r="AN134" s="606"/>
      <c r="AO134" s="606"/>
    </row>
    <row r="135" spans="1:41" ht="11.25" hidden="1" customHeight="1">
      <c r="A135" s="608"/>
      <c r="B135" s="607"/>
      <c r="C135" s="607"/>
      <c r="D135" s="607"/>
      <c r="E135" s="607"/>
      <c r="F135" s="607"/>
      <c r="G135" s="606"/>
      <c r="H135" s="606"/>
      <c r="I135" s="606"/>
      <c r="J135" s="606"/>
      <c r="K135" s="606"/>
      <c r="L135" s="606"/>
      <c r="M135" s="606"/>
      <c r="N135" s="606"/>
      <c r="O135" s="606"/>
      <c r="P135" s="606"/>
      <c r="Q135" s="606"/>
      <c r="R135" s="606"/>
      <c r="S135" s="606"/>
      <c r="T135" s="606"/>
      <c r="U135" s="606"/>
      <c r="V135" s="606"/>
      <c r="W135" s="606"/>
      <c r="X135" s="640"/>
      <c r="Y135" s="607"/>
      <c r="Z135" s="607"/>
      <c r="AA135" s="607"/>
      <c r="AB135" s="607"/>
      <c r="AC135" s="607"/>
      <c r="AD135" s="607"/>
      <c r="AE135" s="607"/>
      <c r="AF135" s="607"/>
      <c r="AG135" s="607"/>
      <c r="AH135" s="607"/>
      <c r="AI135" s="607"/>
      <c r="AJ135" s="607"/>
      <c r="AK135" s="607"/>
      <c r="AL135" s="606"/>
      <c r="AM135" s="606"/>
      <c r="AN135" s="606"/>
      <c r="AO135" s="606"/>
    </row>
    <row r="136" spans="1:41" ht="11.25" hidden="1" customHeight="1">
      <c r="A136" s="608"/>
      <c r="B136" s="607"/>
      <c r="C136" s="607"/>
      <c r="D136" s="607"/>
      <c r="E136" s="607"/>
      <c r="F136" s="607"/>
      <c r="G136" s="606"/>
      <c r="H136" s="606"/>
      <c r="I136" s="606"/>
      <c r="J136" s="606"/>
      <c r="K136" s="606"/>
      <c r="L136" s="606"/>
      <c r="M136" s="606"/>
      <c r="N136" s="606"/>
      <c r="O136" s="606"/>
      <c r="P136" s="606"/>
      <c r="Q136" s="606"/>
      <c r="R136" s="606"/>
      <c r="S136" s="606"/>
      <c r="T136" s="606"/>
      <c r="U136" s="606"/>
      <c r="V136" s="606"/>
      <c r="W136" s="606"/>
      <c r="X136" s="640"/>
      <c r="Y136" s="607"/>
      <c r="Z136" s="607"/>
      <c r="AA136" s="607"/>
      <c r="AB136" s="607"/>
      <c r="AC136" s="607"/>
      <c r="AD136" s="607"/>
      <c r="AE136" s="607"/>
      <c r="AF136" s="607"/>
      <c r="AG136" s="607"/>
      <c r="AH136" s="607"/>
      <c r="AI136" s="607"/>
      <c r="AJ136" s="607"/>
      <c r="AK136" s="607"/>
      <c r="AL136" s="606"/>
      <c r="AM136" s="606"/>
      <c r="AN136" s="606"/>
      <c r="AO136" s="606"/>
    </row>
    <row r="137" spans="1:41" ht="11.25" hidden="1" customHeight="1">
      <c r="A137" s="608"/>
      <c r="B137" s="607"/>
      <c r="C137" s="607"/>
      <c r="D137" s="607"/>
      <c r="E137" s="607"/>
      <c r="F137" s="607"/>
      <c r="G137" s="606"/>
      <c r="H137" s="606"/>
      <c r="I137" s="606"/>
      <c r="J137" s="606"/>
      <c r="K137" s="606"/>
      <c r="L137" s="606"/>
      <c r="M137" s="606"/>
      <c r="N137" s="606"/>
      <c r="O137" s="606"/>
      <c r="P137" s="606"/>
      <c r="Q137" s="606"/>
      <c r="R137" s="606"/>
      <c r="S137" s="606"/>
      <c r="T137" s="606"/>
      <c r="U137" s="606"/>
      <c r="V137" s="606"/>
      <c r="W137" s="606"/>
      <c r="X137" s="640"/>
      <c r="Y137" s="607"/>
      <c r="Z137" s="607"/>
      <c r="AA137" s="607"/>
      <c r="AB137" s="607"/>
      <c r="AC137" s="607"/>
      <c r="AD137" s="607"/>
      <c r="AE137" s="607"/>
      <c r="AF137" s="607"/>
      <c r="AG137" s="607"/>
      <c r="AH137" s="607"/>
      <c r="AI137" s="607"/>
      <c r="AJ137" s="607"/>
      <c r="AK137" s="607"/>
      <c r="AL137" s="606"/>
      <c r="AM137" s="606"/>
      <c r="AN137" s="606"/>
      <c r="AO137" s="606"/>
    </row>
    <row r="138" spans="1:41" ht="11.25" hidden="1" customHeight="1">
      <c r="A138" s="608"/>
      <c r="B138" s="607"/>
      <c r="C138" s="607"/>
      <c r="D138" s="607"/>
      <c r="E138" s="607"/>
      <c r="F138" s="607"/>
      <c r="G138" s="606"/>
      <c r="H138" s="606"/>
      <c r="I138" s="606"/>
      <c r="J138" s="606"/>
      <c r="K138" s="606"/>
      <c r="L138" s="606"/>
      <c r="M138" s="606"/>
      <c r="N138" s="606"/>
      <c r="O138" s="606"/>
      <c r="P138" s="606"/>
      <c r="Q138" s="606"/>
      <c r="R138" s="606"/>
      <c r="S138" s="606"/>
      <c r="T138" s="606"/>
      <c r="U138" s="606"/>
      <c r="V138" s="606"/>
      <c r="W138" s="606"/>
      <c r="X138" s="640"/>
      <c r="Y138" s="607"/>
      <c r="Z138" s="607"/>
      <c r="AA138" s="607"/>
      <c r="AB138" s="607"/>
      <c r="AC138" s="607"/>
      <c r="AD138" s="607"/>
      <c r="AE138" s="607"/>
      <c r="AF138" s="607"/>
      <c r="AG138" s="607"/>
      <c r="AH138" s="607"/>
      <c r="AI138" s="607"/>
      <c r="AJ138" s="607"/>
      <c r="AK138" s="607"/>
      <c r="AL138" s="606"/>
      <c r="AM138" s="606"/>
      <c r="AN138" s="606"/>
      <c r="AO138" s="606"/>
    </row>
    <row r="139" spans="1:41" ht="11.25" hidden="1" customHeight="1">
      <c r="A139" s="608"/>
      <c r="B139" s="607"/>
      <c r="C139" s="607"/>
      <c r="D139" s="607"/>
      <c r="E139" s="607"/>
      <c r="F139" s="607"/>
      <c r="G139" s="606"/>
      <c r="H139" s="606"/>
      <c r="I139" s="606"/>
      <c r="J139" s="606"/>
      <c r="K139" s="606"/>
      <c r="L139" s="606"/>
      <c r="M139" s="606"/>
      <c r="N139" s="606"/>
      <c r="O139" s="606"/>
      <c r="P139" s="606"/>
      <c r="Q139" s="606"/>
      <c r="R139" s="606"/>
      <c r="S139" s="606"/>
      <c r="T139" s="606"/>
      <c r="U139" s="606"/>
      <c r="V139" s="606"/>
      <c r="W139" s="606"/>
      <c r="X139" s="640"/>
      <c r="Y139" s="607"/>
      <c r="Z139" s="607"/>
      <c r="AA139" s="607"/>
      <c r="AB139" s="607"/>
      <c r="AC139" s="607"/>
      <c r="AD139" s="607"/>
      <c r="AE139" s="607"/>
      <c r="AF139" s="607"/>
      <c r="AG139" s="607"/>
      <c r="AH139" s="607"/>
      <c r="AI139" s="607"/>
      <c r="AJ139" s="607"/>
      <c r="AK139" s="607"/>
      <c r="AL139" s="606"/>
      <c r="AM139" s="606"/>
      <c r="AN139" s="606"/>
      <c r="AO139" s="606"/>
    </row>
    <row r="140" spans="1:41" ht="11.25" hidden="1" customHeight="1">
      <c r="A140" s="608"/>
      <c r="B140" s="607"/>
      <c r="C140" s="607"/>
      <c r="D140" s="607"/>
      <c r="E140" s="607"/>
      <c r="F140" s="607"/>
      <c r="G140" s="606"/>
      <c r="H140" s="606"/>
      <c r="I140" s="606"/>
      <c r="J140" s="606"/>
      <c r="K140" s="606"/>
      <c r="L140" s="606"/>
      <c r="M140" s="606"/>
      <c r="N140" s="606"/>
      <c r="O140" s="606"/>
      <c r="P140" s="606"/>
      <c r="Q140" s="606"/>
      <c r="R140" s="606"/>
      <c r="S140" s="606"/>
      <c r="T140" s="606"/>
      <c r="U140" s="606"/>
      <c r="V140" s="606"/>
      <c r="W140" s="606"/>
      <c r="X140" s="640"/>
      <c r="Y140" s="607"/>
      <c r="Z140" s="607"/>
      <c r="AA140" s="607"/>
      <c r="AB140" s="607"/>
      <c r="AC140" s="607"/>
      <c r="AD140" s="607"/>
      <c r="AE140" s="607"/>
      <c r="AF140" s="607"/>
      <c r="AG140" s="607"/>
      <c r="AH140" s="607"/>
      <c r="AI140" s="607"/>
      <c r="AJ140" s="607"/>
      <c r="AK140" s="607"/>
      <c r="AL140" s="606"/>
      <c r="AM140" s="606"/>
      <c r="AN140" s="606"/>
      <c r="AO140" s="606"/>
    </row>
    <row r="141" spans="1:41" ht="11.25" hidden="1" customHeight="1">
      <c r="A141" s="608"/>
      <c r="B141" s="607"/>
      <c r="C141" s="607"/>
      <c r="D141" s="607"/>
      <c r="E141" s="607"/>
      <c r="F141" s="607"/>
      <c r="G141" s="606"/>
      <c r="H141" s="606"/>
      <c r="I141" s="606"/>
      <c r="J141" s="606"/>
      <c r="K141" s="606"/>
      <c r="L141" s="606"/>
      <c r="M141" s="606"/>
      <c r="N141" s="606"/>
      <c r="O141" s="606"/>
      <c r="P141" s="606"/>
      <c r="Q141" s="606"/>
      <c r="R141" s="606"/>
      <c r="S141" s="606"/>
      <c r="T141" s="606"/>
      <c r="U141" s="606"/>
      <c r="V141" s="606"/>
      <c r="W141" s="606"/>
      <c r="X141" s="640"/>
      <c r="Y141" s="607"/>
      <c r="Z141" s="607"/>
      <c r="AA141" s="607"/>
      <c r="AB141" s="607"/>
      <c r="AC141" s="607"/>
      <c r="AD141" s="607"/>
      <c r="AE141" s="607"/>
      <c r="AF141" s="607"/>
      <c r="AG141" s="607"/>
      <c r="AH141" s="607"/>
      <c r="AI141" s="607"/>
      <c r="AJ141" s="607"/>
      <c r="AK141" s="607"/>
      <c r="AL141" s="606"/>
      <c r="AM141" s="606"/>
      <c r="AN141" s="606"/>
      <c r="AO141" s="606"/>
    </row>
    <row r="142" spans="1:41" ht="11.25" hidden="1" customHeight="1">
      <c r="A142" s="608"/>
      <c r="B142" s="607"/>
      <c r="C142" s="607"/>
      <c r="D142" s="607"/>
      <c r="E142" s="607"/>
      <c r="F142" s="607"/>
      <c r="G142" s="606"/>
      <c r="H142" s="606"/>
      <c r="I142" s="606"/>
      <c r="J142" s="606"/>
      <c r="K142" s="606"/>
      <c r="L142" s="606"/>
      <c r="M142" s="606"/>
      <c r="N142" s="606"/>
      <c r="O142" s="606"/>
      <c r="P142" s="606"/>
      <c r="Q142" s="606"/>
      <c r="R142" s="606"/>
      <c r="S142" s="606"/>
      <c r="T142" s="606"/>
      <c r="U142" s="606"/>
      <c r="V142" s="606"/>
      <c r="W142" s="606"/>
      <c r="X142" s="640"/>
      <c r="Y142" s="607"/>
      <c r="Z142" s="607"/>
      <c r="AA142" s="607"/>
      <c r="AB142" s="607"/>
      <c r="AC142" s="607"/>
      <c r="AD142" s="607"/>
      <c r="AE142" s="607"/>
      <c r="AF142" s="607"/>
      <c r="AG142" s="607"/>
      <c r="AH142" s="607"/>
      <c r="AI142" s="607"/>
      <c r="AJ142" s="607"/>
      <c r="AK142" s="607"/>
      <c r="AL142" s="606"/>
      <c r="AM142" s="606"/>
      <c r="AN142" s="606"/>
      <c r="AO142" s="606"/>
    </row>
    <row r="143" spans="1:41" ht="11.25" hidden="1" customHeight="1">
      <c r="A143" s="608"/>
      <c r="B143" s="607"/>
      <c r="C143" s="607"/>
      <c r="D143" s="607"/>
      <c r="E143" s="607"/>
      <c r="F143" s="607"/>
      <c r="G143" s="606"/>
      <c r="H143" s="606"/>
      <c r="I143" s="606"/>
      <c r="J143" s="606"/>
      <c r="K143" s="606"/>
      <c r="L143" s="606"/>
      <c r="M143" s="606"/>
      <c r="N143" s="606"/>
      <c r="O143" s="606"/>
      <c r="P143" s="606"/>
      <c r="Q143" s="606"/>
      <c r="R143" s="606"/>
      <c r="S143" s="606"/>
      <c r="T143" s="606"/>
      <c r="U143" s="606"/>
      <c r="V143" s="606"/>
      <c r="W143" s="606"/>
      <c r="X143" s="640"/>
      <c r="Y143" s="607"/>
      <c r="Z143" s="607"/>
      <c r="AA143" s="607"/>
      <c r="AB143" s="607"/>
      <c r="AC143" s="607"/>
      <c r="AD143" s="607"/>
      <c r="AE143" s="607"/>
      <c r="AF143" s="607"/>
      <c r="AG143" s="607"/>
      <c r="AH143" s="607"/>
      <c r="AI143" s="607"/>
      <c r="AJ143" s="607"/>
      <c r="AK143" s="607"/>
      <c r="AL143" s="606"/>
      <c r="AM143" s="606"/>
      <c r="AN143" s="606"/>
      <c r="AO143" s="606"/>
    </row>
    <row r="144" spans="1:41" ht="11.25" hidden="1" customHeight="1">
      <c r="A144" s="608"/>
      <c r="B144" s="607"/>
      <c r="C144" s="607"/>
      <c r="D144" s="607"/>
      <c r="E144" s="607"/>
      <c r="F144" s="607"/>
      <c r="G144" s="606"/>
      <c r="H144" s="606"/>
      <c r="I144" s="606"/>
      <c r="J144" s="606"/>
      <c r="K144" s="606"/>
      <c r="L144" s="606"/>
      <c r="M144" s="606"/>
      <c r="N144" s="606"/>
      <c r="O144" s="606"/>
      <c r="P144" s="606"/>
      <c r="Q144" s="606"/>
      <c r="R144" s="606"/>
      <c r="S144" s="606"/>
      <c r="T144" s="606"/>
      <c r="U144" s="606"/>
      <c r="V144" s="606"/>
      <c r="W144" s="606"/>
      <c r="X144" s="640"/>
      <c r="Y144" s="607"/>
      <c r="Z144" s="607"/>
      <c r="AA144" s="607"/>
      <c r="AB144" s="607"/>
      <c r="AC144" s="607"/>
      <c r="AD144" s="607"/>
      <c r="AE144" s="607"/>
      <c r="AF144" s="607"/>
      <c r="AG144" s="607"/>
      <c r="AH144" s="607"/>
      <c r="AI144" s="607"/>
      <c r="AJ144" s="607"/>
      <c r="AK144" s="607"/>
      <c r="AL144" s="606"/>
      <c r="AM144" s="606"/>
      <c r="AN144" s="606"/>
      <c r="AO144" s="606"/>
    </row>
    <row r="145" spans="1:41" ht="11.25" hidden="1" customHeight="1">
      <c r="A145" s="608"/>
      <c r="B145" s="607"/>
      <c r="C145" s="607"/>
      <c r="D145" s="607"/>
      <c r="E145" s="607"/>
      <c r="F145" s="607"/>
      <c r="G145" s="606"/>
      <c r="H145" s="606"/>
      <c r="I145" s="606"/>
      <c r="J145" s="606"/>
      <c r="K145" s="606"/>
      <c r="L145" s="606"/>
      <c r="M145" s="606"/>
      <c r="N145" s="606"/>
      <c r="O145" s="606"/>
      <c r="P145" s="606"/>
      <c r="Q145" s="606"/>
      <c r="R145" s="606"/>
      <c r="S145" s="606"/>
      <c r="T145" s="606"/>
      <c r="U145" s="606"/>
      <c r="V145" s="606"/>
      <c r="W145" s="606"/>
      <c r="X145" s="640"/>
      <c r="Y145" s="607"/>
      <c r="Z145" s="607"/>
      <c r="AA145" s="607"/>
      <c r="AB145" s="607"/>
      <c r="AC145" s="607"/>
      <c r="AD145" s="607"/>
      <c r="AE145" s="607"/>
      <c r="AF145" s="607"/>
      <c r="AG145" s="607"/>
      <c r="AH145" s="607"/>
      <c r="AI145" s="607"/>
      <c r="AJ145" s="607"/>
      <c r="AK145" s="607"/>
      <c r="AL145" s="606"/>
      <c r="AM145" s="606"/>
      <c r="AN145" s="606"/>
      <c r="AO145" s="606"/>
    </row>
    <row r="146" spans="1:41" ht="11.25" hidden="1" customHeight="1">
      <c r="A146" s="608"/>
      <c r="B146" s="607"/>
      <c r="C146" s="607"/>
      <c r="D146" s="607"/>
      <c r="E146" s="607"/>
      <c r="F146" s="607"/>
      <c r="G146" s="606"/>
      <c r="H146" s="606"/>
      <c r="I146" s="606"/>
      <c r="J146" s="606"/>
      <c r="K146" s="606"/>
      <c r="L146" s="606"/>
      <c r="M146" s="606"/>
      <c r="N146" s="606"/>
      <c r="O146" s="606"/>
      <c r="P146" s="606"/>
      <c r="Q146" s="606"/>
      <c r="R146" s="606"/>
      <c r="S146" s="606"/>
      <c r="T146" s="606"/>
      <c r="U146" s="606"/>
      <c r="V146" s="606"/>
      <c r="W146" s="606"/>
      <c r="X146" s="640"/>
      <c r="Y146" s="607"/>
      <c r="Z146" s="607"/>
      <c r="AA146" s="607"/>
      <c r="AB146" s="607"/>
      <c r="AC146" s="607"/>
      <c r="AD146" s="607"/>
      <c r="AE146" s="607"/>
      <c r="AF146" s="607"/>
      <c r="AG146" s="607"/>
      <c r="AH146" s="607"/>
      <c r="AI146" s="607"/>
      <c r="AJ146" s="607"/>
      <c r="AK146" s="607"/>
      <c r="AL146" s="606"/>
      <c r="AM146" s="606"/>
      <c r="AN146" s="606"/>
      <c r="AO146" s="606"/>
    </row>
    <row r="147" spans="1:41" ht="11.25" hidden="1" customHeight="1">
      <c r="A147" s="608"/>
      <c r="B147" s="607"/>
      <c r="C147" s="607"/>
      <c r="D147" s="607"/>
      <c r="E147" s="607"/>
      <c r="F147" s="607"/>
      <c r="G147" s="606"/>
      <c r="H147" s="606"/>
      <c r="I147" s="606"/>
      <c r="J147" s="606"/>
      <c r="K147" s="606"/>
      <c r="L147" s="606"/>
      <c r="M147" s="606"/>
      <c r="N147" s="606"/>
      <c r="O147" s="606"/>
      <c r="P147" s="606"/>
      <c r="Q147" s="606"/>
      <c r="R147" s="606"/>
      <c r="S147" s="606"/>
      <c r="T147" s="606"/>
      <c r="U147" s="606"/>
      <c r="V147" s="606"/>
      <c r="W147" s="606"/>
      <c r="X147" s="640"/>
      <c r="Y147" s="607"/>
      <c r="Z147" s="607"/>
      <c r="AA147" s="607"/>
      <c r="AB147" s="607"/>
      <c r="AC147" s="607"/>
      <c r="AD147" s="607"/>
      <c r="AE147" s="607"/>
      <c r="AF147" s="607"/>
      <c r="AG147" s="607"/>
      <c r="AH147" s="607"/>
      <c r="AI147" s="607"/>
      <c r="AJ147" s="607"/>
      <c r="AK147" s="607"/>
      <c r="AL147" s="606"/>
      <c r="AM147" s="606"/>
      <c r="AN147" s="606"/>
      <c r="AO147" s="606"/>
    </row>
    <row r="148" spans="1:41" ht="11.25" hidden="1" customHeight="1">
      <c r="A148" s="608"/>
      <c r="B148" s="607"/>
      <c r="C148" s="607"/>
      <c r="D148" s="607"/>
      <c r="E148" s="607"/>
      <c r="F148" s="607"/>
      <c r="G148" s="606"/>
      <c r="H148" s="606"/>
      <c r="I148" s="606"/>
      <c r="J148" s="606"/>
      <c r="K148" s="606"/>
      <c r="L148" s="606"/>
      <c r="M148" s="606"/>
      <c r="N148" s="606"/>
      <c r="O148" s="606"/>
      <c r="P148" s="606"/>
      <c r="Q148" s="606"/>
      <c r="R148" s="606"/>
      <c r="S148" s="606"/>
      <c r="T148" s="606"/>
      <c r="U148" s="606"/>
      <c r="V148" s="606"/>
      <c r="W148" s="606"/>
      <c r="X148" s="640"/>
      <c r="Y148" s="607"/>
      <c r="Z148" s="607"/>
      <c r="AA148" s="607"/>
      <c r="AB148" s="607"/>
      <c r="AC148" s="607"/>
      <c r="AD148" s="607"/>
      <c r="AE148" s="607"/>
      <c r="AF148" s="607"/>
      <c r="AG148" s="607"/>
      <c r="AH148" s="607"/>
      <c r="AI148" s="607"/>
      <c r="AJ148" s="607"/>
      <c r="AK148" s="607"/>
      <c r="AL148" s="606"/>
      <c r="AM148" s="606"/>
      <c r="AN148" s="606"/>
      <c r="AO148" s="606"/>
    </row>
    <row r="149" spans="1:41" ht="11.25" hidden="1" customHeight="1">
      <c r="A149" s="608"/>
      <c r="B149" s="607"/>
      <c r="C149" s="607"/>
      <c r="D149" s="607"/>
      <c r="E149" s="607"/>
      <c r="F149" s="607"/>
      <c r="G149" s="606"/>
      <c r="H149" s="606"/>
      <c r="I149" s="606"/>
      <c r="J149" s="606"/>
      <c r="K149" s="606"/>
      <c r="L149" s="606"/>
      <c r="M149" s="606"/>
      <c r="N149" s="606"/>
      <c r="O149" s="606"/>
      <c r="P149" s="606"/>
      <c r="Q149" s="606"/>
      <c r="R149" s="606"/>
      <c r="S149" s="606"/>
      <c r="T149" s="606"/>
      <c r="U149" s="606"/>
      <c r="V149" s="606"/>
      <c r="W149" s="606"/>
      <c r="X149" s="640"/>
      <c r="Y149" s="607"/>
      <c r="Z149" s="607"/>
      <c r="AA149" s="607"/>
      <c r="AB149" s="607"/>
      <c r="AC149" s="607"/>
      <c r="AD149" s="607"/>
      <c r="AE149" s="607"/>
      <c r="AF149" s="607"/>
      <c r="AG149" s="607"/>
      <c r="AH149" s="607"/>
      <c r="AI149" s="607"/>
      <c r="AJ149" s="607"/>
      <c r="AK149" s="607"/>
      <c r="AL149" s="606"/>
      <c r="AM149" s="606"/>
      <c r="AN149" s="606"/>
      <c r="AO149" s="606"/>
    </row>
    <row r="150" spans="1:41" ht="11.25" hidden="1" customHeight="1">
      <c r="A150" s="608"/>
      <c r="B150" s="607"/>
      <c r="C150" s="607"/>
      <c r="D150" s="607"/>
      <c r="E150" s="607"/>
      <c r="F150" s="607"/>
      <c r="G150" s="606"/>
      <c r="H150" s="606"/>
      <c r="I150" s="606"/>
      <c r="J150" s="606"/>
      <c r="K150" s="606"/>
      <c r="L150" s="606"/>
      <c r="M150" s="606"/>
      <c r="N150" s="606"/>
      <c r="O150" s="606"/>
      <c r="P150" s="606"/>
      <c r="Q150" s="606"/>
      <c r="R150" s="606"/>
      <c r="S150" s="606"/>
      <c r="T150" s="606"/>
      <c r="U150" s="606"/>
      <c r="V150" s="606"/>
      <c r="W150" s="606"/>
      <c r="X150" s="640"/>
      <c r="Y150" s="607"/>
      <c r="Z150" s="607"/>
      <c r="AA150" s="607"/>
      <c r="AB150" s="607"/>
      <c r="AC150" s="607"/>
      <c r="AD150" s="607"/>
      <c r="AE150" s="607"/>
      <c r="AF150" s="607"/>
      <c r="AG150" s="607"/>
      <c r="AH150" s="607"/>
      <c r="AI150" s="607"/>
      <c r="AJ150" s="607"/>
      <c r="AK150" s="607"/>
      <c r="AL150" s="606"/>
      <c r="AM150" s="606"/>
      <c r="AN150" s="606"/>
      <c r="AO150" s="606"/>
    </row>
    <row r="151" spans="1:41" ht="11.25" hidden="1" customHeight="1">
      <c r="A151" s="608"/>
      <c r="B151" s="607"/>
      <c r="C151" s="607"/>
      <c r="D151" s="607"/>
      <c r="E151" s="607"/>
      <c r="F151" s="607"/>
      <c r="G151" s="606"/>
      <c r="H151" s="606"/>
      <c r="I151" s="606"/>
      <c r="J151" s="606"/>
      <c r="K151" s="606"/>
      <c r="L151" s="606"/>
      <c r="M151" s="606"/>
      <c r="N151" s="606"/>
      <c r="O151" s="606"/>
      <c r="P151" s="606"/>
      <c r="Q151" s="606"/>
      <c r="R151" s="606"/>
      <c r="S151" s="606"/>
      <c r="T151" s="606"/>
      <c r="U151" s="606"/>
      <c r="V151" s="606"/>
      <c r="W151" s="606"/>
      <c r="X151" s="640"/>
      <c r="Y151" s="607"/>
      <c r="Z151" s="607"/>
      <c r="AA151" s="607"/>
      <c r="AB151" s="607"/>
      <c r="AC151" s="607"/>
      <c r="AD151" s="607"/>
      <c r="AE151" s="607"/>
      <c r="AF151" s="607"/>
      <c r="AG151" s="607"/>
      <c r="AH151" s="607"/>
      <c r="AI151" s="607"/>
      <c r="AJ151" s="607"/>
      <c r="AK151" s="607"/>
      <c r="AL151" s="606"/>
      <c r="AM151" s="606"/>
      <c r="AN151" s="606"/>
      <c r="AO151" s="606"/>
    </row>
    <row r="152" spans="1:41" ht="11.25" hidden="1" customHeight="1">
      <c r="A152" s="608"/>
      <c r="B152" s="607"/>
      <c r="C152" s="607"/>
      <c r="D152" s="607"/>
      <c r="E152" s="607"/>
      <c r="F152" s="607"/>
      <c r="G152" s="606"/>
      <c r="H152" s="606"/>
      <c r="I152" s="606"/>
      <c r="J152" s="606"/>
      <c r="K152" s="606"/>
      <c r="L152" s="606"/>
      <c r="M152" s="606"/>
      <c r="N152" s="606"/>
      <c r="O152" s="606"/>
      <c r="P152" s="606"/>
      <c r="Q152" s="606"/>
      <c r="R152" s="606"/>
      <c r="S152" s="606"/>
      <c r="T152" s="606"/>
      <c r="U152" s="606"/>
      <c r="V152" s="606"/>
      <c r="W152" s="606"/>
      <c r="X152" s="640"/>
      <c r="Y152" s="607"/>
      <c r="Z152" s="607"/>
      <c r="AA152" s="607"/>
      <c r="AB152" s="607"/>
      <c r="AC152" s="607"/>
      <c r="AD152" s="607"/>
      <c r="AE152" s="607"/>
      <c r="AF152" s="607"/>
      <c r="AG152" s="607"/>
      <c r="AH152" s="607"/>
      <c r="AI152" s="607"/>
      <c r="AJ152" s="607"/>
      <c r="AK152" s="607"/>
      <c r="AL152" s="606"/>
      <c r="AM152" s="606"/>
      <c r="AN152" s="606"/>
      <c r="AO152" s="606"/>
    </row>
    <row r="153" spans="1:41" ht="11.25" hidden="1" customHeight="1">
      <c r="A153" s="608"/>
      <c r="B153" s="607"/>
      <c r="C153" s="607"/>
      <c r="D153" s="607"/>
      <c r="E153" s="607"/>
      <c r="F153" s="607"/>
      <c r="G153" s="606"/>
      <c r="H153" s="606"/>
      <c r="I153" s="606"/>
      <c r="J153" s="606"/>
      <c r="K153" s="606"/>
      <c r="L153" s="606"/>
      <c r="M153" s="606"/>
      <c r="N153" s="606"/>
      <c r="O153" s="606"/>
      <c r="P153" s="606"/>
      <c r="Q153" s="606"/>
      <c r="R153" s="606"/>
      <c r="S153" s="606"/>
      <c r="T153" s="606"/>
      <c r="U153" s="606"/>
      <c r="V153" s="606"/>
      <c r="W153" s="606"/>
      <c r="X153" s="640"/>
      <c r="Y153" s="607"/>
      <c r="Z153" s="607"/>
      <c r="AA153" s="607"/>
      <c r="AB153" s="607"/>
      <c r="AC153" s="607"/>
      <c r="AD153" s="607"/>
      <c r="AE153" s="607"/>
      <c r="AF153" s="607"/>
      <c r="AG153" s="607"/>
      <c r="AH153" s="607"/>
      <c r="AI153" s="607"/>
      <c r="AJ153" s="607"/>
      <c r="AK153" s="607"/>
      <c r="AL153" s="606"/>
      <c r="AM153" s="606"/>
      <c r="AN153" s="606"/>
      <c r="AO153" s="606"/>
    </row>
    <row r="154" spans="1:41" ht="11.25" hidden="1" customHeight="1">
      <c r="A154" s="608"/>
      <c r="B154" s="607"/>
      <c r="C154" s="607"/>
      <c r="D154" s="607"/>
      <c r="E154" s="607"/>
      <c r="F154" s="607"/>
      <c r="G154" s="606"/>
      <c r="H154" s="606"/>
      <c r="I154" s="606"/>
      <c r="J154" s="606"/>
      <c r="K154" s="606"/>
      <c r="L154" s="606"/>
      <c r="M154" s="606"/>
      <c r="N154" s="606"/>
      <c r="O154" s="606"/>
      <c r="P154" s="606"/>
      <c r="Q154" s="606"/>
      <c r="R154" s="606"/>
      <c r="S154" s="606"/>
      <c r="T154" s="606"/>
      <c r="U154" s="606"/>
      <c r="V154" s="606"/>
      <c r="W154" s="606"/>
      <c r="X154" s="640"/>
      <c r="Y154" s="607"/>
      <c r="Z154" s="607"/>
      <c r="AA154" s="607"/>
      <c r="AB154" s="607"/>
      <c r="AC154" s="607"/>
      <c r="AD154" s="607"/>
      <c r="AE154" s="607"/>
      <c r="AF154" s="607"/>
      <c r="AG154" s="607"/>
      <c r="AH154" s="607"/>
      <c r="AI154" s="607"/>
      <c r="AJ154" s="607"/>
      <c r="AK154" s="607"/>
      <c r="AL154" s="606"/>
      <c r="AM154" s="606"/>
      <c r="AN154" s="606"/>
      <c r="AO154" s="606"/>
    </row>
    <row r="155" spans="1:41" ht="11.25" hidden="1" customHeight="1">
      <c r="A155" s="608"/>
      <c r="B155" s="607"/>
      <c r="C155" s="607"/>
      <c r="D155" s="607"/>
      <c r="E155" s="607"/>
      <c r="F155" s="607"/>
      <c r="G155" s="606"/>
      <c r="H155" s="606"/>
      <c r="I155" s="606"/>
      <c r="J155" s="606"/>
      <c r="K155" s="606"/>
      <c r="L155" s="606"/>
      <c r="M155" s="606"/>
      <c r="N155" s="606"/>
      <c r="O155" s="606"/>
      <c r="P155" s="606"/>
      <c r="Q155" s="606"/>
      <c r="R155" s="606"/>
      <c r="S155" s="606"/>
      <c r="T155" s="606"/>
      <c r="U155" s="606"/>
      <c r="V155" s="606"/>
      <c r="W155" s="606"/>
      <c r="X155" s="640"/>
      <c r="Y155" s="607"/>
      <c r="Z155" s="607"/>
      <c r="AA155" s="607"/>
      <c r="AB155" s="607"/>
      <c r="AC155" s="607"/>
      <c r="AD155" s="607"/>
      <c r="AE155" s="607"/>
      <c r="AF155" s="607"/>
      <c r="AG155" s="607"/>
      <c r="AH155" s="607"/>
      <c r="AI155" s="607"/>
      <c r="AJ155" s="607"/>
      <c r="AK155" s="607"/>
      <c r="AL155" s="606"/>
      <c r="AM155" s="606"/>
      <c r="AN155" s="606"/>
      <c r="AO155" s="606"/>
    </row>
    <row r="156" spans="1:41" ht="11.25" hidden="1" customHeight="1">
      <c r="A156" s="608"/>
      <c r="B156" s="607"/>
      <c r="C156" s="607"/>
      <c r="D156" s="607"/>
      <c r="E156" s="607"/>
      <c r="F156" s="607"/>
      <c r="G156" s="606"/>
      <c r="H156" s="606"/>
      <c r="I156" s="606"/>
      <c r="J156" s="606"/>
      <c r="K156" s="606"/>
      <c r="L156" s="606"/>
      <c r="M156" s="606"/>
      <c r="N156" s="606"/>
      <c r="O156" s="606"/>
      <c r="P156" s="606"/>
      <c r="Q156" s="606"/>
      <c r="R156" s="606"/>
      <c r="S156" s="606"/>
      <c r="T156" s="606"/>
      <c r="U156" s="606"/>
      <c r="V156" s="606"/>
      <c r="W156" s="606"/>
      <c r="X156" s="640"/>
      <c r="Y156" s="607"/>
      <c r="Z156" s="607"/>
      <c r="AA156" s="607"/>
      <c r="AB156" s="607"/>
      <c r="AC156" s="607"/>
      <c r="AD156" s="607"/>
      <c r="AE156" s="607"/>
      <c r="AF156" s="607"/>
      <c r="AG156" s="607"/>
      <c r="AH156" s="607"/>
      <c r="AI156" s="607"/>
      <c r="AJ156" s="607"/>
      <c r="AK156" s="607"/>
      <c r="AL156" s="606"/>
      <c r="AM156" s="606"/>
      <c r="AN156" s="606"/>
      <c r="AO156" s="606"/>
    </row>
    <row r="157" spans="1:41" ht="11.25" hidden="1" customHeight="1">
      <c r="A157" s="608"/>
      <c r="B157" s="607"/>
      <c r="C157" s="607"/>
      <c r="D157" s="607"/>
      <c r="E157" s="607"/>
      <c r="F157" s="607"/>
      <c r="G157" s="606"/>
      <c r="H157" s="606"/>
      <c r="I157" s="606"/>
      <c r="J157" s="606"/>
      <c r="K157" s="606"/>
      <c r="L157" s="606"/>
      <c r="M157" s="606"/>
      <c r="N157" s="606"/>
      <c r="O157" s="606"/>
      <c r="P157" s="606"/>
      <c r="Q157" s="606"/>
      <c r="R157" s="606"/>
      <c r="S157" s="606"/>
      <c r="T157" s="606"/>
      <c r="U157" s="606"/>
      <c r="V157" s="606"/>
      <c r="W157" s="606"/>
      <c r="X157" s="640"/>
      <c r="Y157" s="607"/>
      <c r="Z157" s="607"/>
      <c r="AA157" s="607"/>
      <c r="AB157" s="607"/>
      <c r="AC157" s="607"/>
      <c r="AD157" s="607"/>
      <c r="AE157" s="607"/>
      <c r="AF157" s="607"/>
      <c r="AG157" s="607"/>
      <c r="AH157" s="607"/>
      <c r="AI157" s="607"/>
      <c r="AJ157" s="607"/>
      <c r="AK157" s="607"/>
      <c r="AL157" s="606"/>
      <c r="AM157" s="606"/>
      <c r="AN157" s="606"/>
      <c r="AO157" s="606"/>
    </row>
    <row r="158" spans="1:41" ht="11.25" hidden="1" customHeight="1">
      <c r="A158" s="608"/>
      <c r="B158" s="607"/>
      <c r="C158" s="607"/>
      <c r="D158" s="607"/>
      <c r="E158" s="607"/>
      <c r="F158" s="607"/>
      <c r="G158" s="606"/>
      <c r="H158" s="606"/>
      <c r="I158" s="606"/>
      <c r="J158" s="606"/>
      <c r="K158" s="606"/>
      <c r="L158" s="606"/>
      <c r="M158" s="606"/>
      <c r="N158" s="606"/>
      <c r="O158" s="606"/>
      <c r="P158" s="606"/>
      <c r="Q158" s="606"/>
      <c r="R158" s="606"/>
      <c r="S158" s="606"/>
      <c r="T158" s="606"/>
      <c r="U158" s="606"/>
      <c r="V158" s="606"/>
      <c r="W158" s="606"/>
      <c r="X158" s="640"/>
      <c r="Y158" s="607"/>
      <c r="Z158" s="607"/>
      <c r="AA158" s="607"/>
      <c r="AB158" s="607"/>
      <c r="AC158" s="607"/>
      <c r="AD158" s="607"/>
      <c r="AE158" s="607"/>
      <c r="AF158" s="607"/>
      <c r="AG158" s="607"/>
      <c r="AH158" s="607"/>
      <c r="AI158" s="607"/>
      <c r="AJ158" s="607"/>
      <c r="AK158" s="607"/>
      <c r="AL158" s="606"/>
      <c r="AM158" s="606"/>
      <c r="AN158" s="606"/>
      <c r="AO158" s="606"/>
    </row>
    <row r="159" spans="1:41" ht="11.25" hidden="1" customHeight="1">
      <c r="A159" s="608"/>
      <c r="B159" s="607"/>
      <c r="C159" s="607"/>
      <c r="D159" s="607"/>
      <c r="E159" s="607"/>
      <c r="F159" s="607"/>
      <c r="G159" s="606"/>
      <c r="H159" s="606"/>
      <c r="I159" s="606"/>
      <c r="J159" s="606"/>
      <c r="K159" s="606"/>
      <c r="L159" s="606"/>
      <c r="M159" s="606"/>
      <c r="N159" s="606"/>
      <c r="O159" s="606"/>
      <c r="P159" s="606"/>
      <c r="Q159" s="606"/>
      <c r="R159" s="606"/>
      <c r="S159" s="606"/>
      <c r="T159" s="606"/>
      <c r="U159" s="606"/>
      <c r="V159" s="606"/>
      <c r="W159" s="606"/>
      <c r="X159" s="640"/>
      <c r="Y159" s="607"/>
      <c r="Z159" s="607"/>
      <c r="AA159" s="607"/>
      <c r="AB159" s="607"/>
      <c r="AC159" s="607"/>
      <c r="AD159" s="607"/>
      <c r="AE159" s="607"/>
      <c r="AF159" s="607"/>
      <c r="AG159" s="607"/>
      <c r="AH159" s="607"/>
      <c r="AI159" s="607"/>
      <c r="AJ159" s="607"/>
      <c r="AK159" s="607"/>
      <c r="AL159" s="606"/>
      <c r="AM159" s="606"/>
      <c r="AN159" s="606"/>
      <c r="AO159" s="606"/>
    </row>
    <row r="160" spans="1:41" ht="11.25" hidden="1" customHeight="1">
      <c r="A160" s="608"/>
      <c r="B160" s="607"/>
      <c r="C160" s="607"/>
      <c r="D160" s="607"/>
      <c r="E160" s="607"/>
      <c r="F160" s="607"/>
      <c r="G160" s="606"/>
      <c r="H160" s="606"/>
      <c r="I160" s="606"/>
      <c r="J160" s="606"/>
      <c r="K160" s="606"/>
      <c r="L160" s="606"/>
      <c r="M160" s="606"/>
      <c r="N160" s="606"/>
      <c r="O160" s="606"/>
      <c r="P160" s="606"/>
      <c r="Q160" s="606"/>
      <c r="R160" s="606"/>
      <c r="S160" s="606"/>
      <c r="T160" s="606"/>
      <c r="U160" s="606"/>
      <c r="V160" s="606"/>
      <c r="W160" s="606"/>
      <c r="X160" s="640"/>
      <c r="Y160" s="607"/>
      <c r="Z160" s="607"/>
      <c r="AA160" s="607"/>
      <c r="AB160" s="607"/>
      <c r="AC160" s="607"/>
      <c r="AD160" s="607"/>
      <c r="AE160" s="607"/>
      <c r="AF160" s="607"/>
      <c r="AG160" s="607"/>
      <c r="AH160" s="607"/>
      <c r="AI160" s="607"/>
      <c r="AJ160" s="607"/>
      <c r="AK160" s="607"/>
      <c r="AL160" s="606"/>
      <c r="AM160" s="606"/>
      <c r="AN160" s="606"/>
      <c r="AO160" s="606"/>
    </row>
    <row r="161" spans="1:41" ht="11.25" hidden="1" customHeight="1">
      <c r="A161" s="608"/>
      <c r="B161" s="607"/>
      <c r="C161" s="607"/>
      <c r="D161" s="607"/>
      <c r="E161" s="607"/>
      <c r="F161" s="607"/>
      <c r="G161" s="606"/>
      <c r="H161" s="606"/>
      <c r="I161" s="606"/>
      <c r="J161" s="606"/>
      <c r="K161" s="606"/>
      <c r="L161" s="606"/>
      <c r="M161" s="606"/>
      <c r="N161" s="606"/>
      <c r="O161" s="606"/>
      <c r="P161" s="606"/>
      <c r="Q161" s="606"/>
      <c r="R161" s="606"/>
      <c r="S161" s="606"/>
      <c r="T161" s="606"/>
      <c r="U161" s="606"/>
      <c r="V161" s="606"/>
      <c r="W161" s="606"/>
      <c r="X161" s="640"/>
      <c r="Y161" s="607"/>
      <c r="Z161" s="607"/>
      <c r="AA161" s="607"/>
      <c r="AB161" s="607"/>
      <c r="AC161" s="607"/>
      <c r="AD161" s="607"/>
      <c r="AE161" s="607"/>
      <c r="AF161" s="607"/>
      <c r="AG161" s="607"/>
      <c r="AH161" s="607"/>
      <c r="AI161" s="607"/>
      <c r="AJ161" s="607"/>
      <c r="AK161" s="607"/>
      <c r="AL161" s="606"/>
      <c r="AM161" s="606"/>
      <c r="AN161" s="606"/>
      <c r="AO161" s="606"/>
    </row>
    <row r="162" spans="1:41" ht="11.25" hidden="1" customHeight="1">
      <c r="A162" s="608"/>
      <c r="B162" s="607"/>
      <c r="C162" s="607"/>
      <c r="D162" s="607"/>
      <c r="E162" s="607"/>
      <c r="F162" s="607"/>
      <c r="G162" s="606"/>
      <c r="H162" s="606"/>
      <c r="I162" s="606"/>
      <c r="J162" s="606"/>
      <c r="K162" s="606"/>
      <c r="L162" s="606"/>
      <c r="M162" s="606"/>
      <c r="N162" s="606"/>
      <c r="O162" s="606"/>
      <c r="P162" s="606"/>
      <c r="Q162" s="606"/>
      <c r="R162" s="606"/>
      <c r="S162" s="606"/>
      <c r="T162" s="606"/>
      <c r="U162" s="606"/>
      <c r="V162" s="606"/>
      <c r="W162" s="606"/>
      <c r="X162" s="640"/>
      <c r="Y162" s="607"/>
      <c r="Z162" s="607"/>
      <c r="AA162" s="607"/>
      <c r="AB162" s="607"/>
      <c r="AC162" s="607"/>
      <c r="AD162" s="607"/>
      <c r="AE162" s="607"/>
      <c r="AF162" s="607"/>
      <c r="AG162" s="607"/>
      <c r="AH162" s="607"/>
      <c r="AI162" s="607"/>
      <c r="AJ162" s="607"/>
      <c r="AK162" s="607"/>
      <c r="AL162" s="606"/>
      <c r="AM162" s="606"/>
      <c r="AN162" s="606"/>
      <c r="AO162" s="606"/>
    </row>
    <row r="163" spans="1:41" ht="11.25" hidden="1" customHeight="1">
      <c r="A163" s="608"/>
      <c r="B163" s="607"/>
      <c r="C163" s="607"/>
      <c r="D163" s="607"/>
      <c r="E163" s="607"/>
      <c r="F163" s="607"/>
      <c r="G163" s="606"/>
      <c r="H163" s="606"/>
      <c r="I163" s="606"/>
      <c r="J163" s="606"/>
      <c r="K163" s="606"/>
      <c r="L163" s="606"/>
      <c r="M163" s="606"/>
      <c r="N163" s="606"/>
      <c r="O163" s="606"/>
      <c r="P163" s="606"/>
      <c r="Q163" s="606"/>
      <c r="R163" s="606"/>
      <c r="S163" s="606"/>
      <c r="T163" s="606"/>
      <c r="U163" s="606"/>
      <c r="V163" s="606"/>
      <c r="W163" s="606"/>
      <c r="X163" s="640"/>
      <c r="Y163" s="607"/>
      <c r="Z163" s="607"/>
      <c r="AA163" s="607"/>
      <c r="AB163" s="607"/>
      <c r="AC163" s="607"/>
      <c r="AD163" s="607"/>
      <c r="AE163" s="607"/>
      <c r="AF163" s="607"/>
      <c r="AG163" s="607"/>
      <c r="AH163" s="607"/>
      <c r="AI163" s="607"/>
      <c r="AJ163" s="607"/>
      <c r="AK163" s="607"/>
      <c r="AL163" s="606"/>
      <c r="AM163" s="606"/>
      <c r="AN163" s="606"/>
      <c r="AO163" s="606"/>
    </row>
    <row r="164" spans="1:41" ht="11.25" hidden="1" customHeight="1">
      <c r="A164" s="608"/>
      <c r="B164" s="607"/>
      <c r="C164" s="607"/>
      <c r="D164" s="607"/>
      <c r="E164" s="607"/>
      <c r="F164" s="607"/>
      <c r="G164" s="606"/>
      <c r="H164" s="606"/>
      <c r="I164" s="606"/>
      <c r="J164" s="606"/>
      <c r="K164" s="606"/>
      <c r="L164" s="606"/>
      <c r="M164" s="606"/>
      <c r="N164" s="606"/>
      <c r="O164" s="606"/>
      <c r="P164" s="606"/>
      <c r="Q164" s="606"/>
      <c r="R164" s="606"/>
      <c r="S164" s="606"/>
      <c r="T164" s="606"/>
      <c r="U164" s="606"/>
      <c r="V164" s="606"/>
      <c r="W164" s="606"/>
      <c r="X164" s="640"/>
      <c r="Y164" s="607"/>
      <c r="Z164" s="607"/>
      <c r="AA164" s="607"/>
      <c r="AB164" s="607"/>
      <c r="AC164" s="607"/>
      <c r="AD164" s="607"/>
      <c r="AE164" s="607"/>
      <c r="AF164" s="607"/>
      <c r="AG164" s="607"/>
      <c r="AH164" s="607"/>
      <c r="AI164" s="607"/>
      <c r="AJ164" s="607"/>
      <c r="AK164" s="607"/>
      <c r="AL164" s="606"/>
      <c r="AM164" s="606"/>
      <c r="AN164" s="606"/>
      <c r="AO164" s="606"/>
    </row>
    <row r="165" spans="1:41" ht="11.25" hidden="1" customHeight="1">
      <c r="A165" s="608"/>
      <c r="B165" s="607"/>
      <c r="C165" s="607"/>
      <c r="D165" s="607"/>
      <c r="E165" s="607"/>
      <c r="F165" s="607"/>
      <c r="G165" s="606"/>
      <c r="H165" s="606"/>
      <c r="I165" s="606"/>
      <c r="J165" s="606"/>
      <c r="K165" s="606"/>
      <c r="L165" s="606"/>
      <c r="M165" s="606"/>
      <c r="N165" s="606"/>
      <c r="O165" s="606"/>
      <c r="P165" s="606"/>
      <c r="Q165" s="606"/>
      <c r="R165" s="606"/>
      <c r="S165" s="606"/>
      <c r="T165" s="606"/>
      <c r="U165" s="606"/>
      <c r="V165" s="606"/>
      <c r="W165" s="606"/>
      <c r="X165" s="640"/>
      <c r="Y165" s="607"/>
      <c r="Z165" s="607"/>
      <c r="AA165" s="607"/>
      <c r="AB165" s="607"/>
      <c r="AC165" s="607"/>
      <c r="AD165" s="607"/>
      <c r="AE165" s="607"/>
      <c r="AF165" s="607"/>
      <c r="AG165" s="607"/>
      <c r="AH165" s="607"/>
      <c r="AI165" s="607"/>
      <c r="AJ165" s="607"/>
      <c r="AK165" s="607"/>
      <c r="AL165" s="606"/>
      <c r="AM165" s="606"/>
      <c r="AN165" s="606"/>
      <c r="AO165" s="606"/>
    </row>
    <row r="166" spans="1:41" ht="11.25" hidden="1" customHeight="1">
      <c r="A166" s="608"/>
      <c r="B166" s="607"/>
      <c r="C166" s="607"/>
      <c r="D166" s="607"/>
      <c r="E166" s="607"/>
      <c r="F166" s="607"/>
      <c r="G166" s="606"/>
      <c r="H166" s="606"/>
      <c r="I166" s="606"/>
      <c r="J166" s="606"/>
      <c r="K166" s="606"/>
      <c r="L166" s="606"/>
      <c r="M166" s="606"/>
      <c r="N166" s="606"/>
      <c r="O166" s="606"/>
      <c r="P166" s="606"/>
      <c r="Q166" s="606"/>
      <c r="R166" s="606"/>
      <c r="S166" s="606"/>
      <c r="T166" s="606"/>
      <c r="U166" s="606"/>
      <c r="V166" s="606"/>
      <c r="W166" s="606"/>
      <c r="X166" s="640"/>
      <c r="Y166" s="607"/>
      <c r="Z166" s="607"/>
      <c r="AA166" s="607"/>
      <c r="AB166" s="607"/>
      <c r="AC166" s="607"/>
      <c r="AD166" s="607"/>
      <c r="AE166" s="607"/>
      <c r="AF166" s="607"/>
      <c r="AG166" s="607"/>
      <c r="AH166" s="607"/>
      <c r="AI166" s="607"/>
      <c r="AJ166" s="607"/>
      <c r="AK166" s="607"/>
      <c r="AL166" s="606"/>
      <c r="AM166" s="606"/>
      <c r="AN166" s="606"/>
      <c r="AO166" s="606"/>
    </row>
    <row r="167" spans="1:41" ht="11.25" hidden="1" customHeight="1">
      <c r="A167" s="608"/>
      <c r="B167" s="607"/>
      <c r="C167" s="607"/>
      <c r="D167" s="607"/>
      <c r="E167" s="607"/>
      <c r="F167" s="607"/>
      <c r="G167" s="606"/>
      <c r="H167" s="606"/>
      <c r="I167" s="606"/>
      <c r="J167" s="606"/>
      <c r="K167" s="606"/>
      <c r="L167" s="606"/>
      <c r="M167" s="606"/>
      <c r="N167" s="606"/>
      <c r="O167" s="606"/>
      <c r="P167" s="606"/>
      <c r="Q167" s="606"/>
      <c r="R167" s="606"/>
      <c r="S167" s="606"/>
      <c r="T167" s="606"/>
      <c r="U167" s="606"/>
      <c r="V167" s="606"/>
      <c r="W167" s="606"/>
      <c r="X167" s="640"/>
      <c r="Y167" s="607"/>
      <c r="Z167" s="607"/>
      <c r="AA167" s="607"/>
      <c r="AB167" s="607"/>
      <c r="AC167" s="607"/>
      <c r="AD167" s="607"/>
      <c r="AE167" s="607"/>
      <c r="AF167" s="607"/>
      <c r="AG167" s="607"/>
      <c r="AH167" s="607"/>
      <c r="AI167" s="607"/>
      <c r="AJ167" s="607"/>
      <c r="AK167" s="607"/>
      <c r="AL167" s="606"/>
      <c r="AM167" s="606"/>
      <c r="AN167" s="606"/>
      <c r="AO167" s="606"/>
    </row>
    <row r="168" spans="1:41" ht="11.25" hidden="1" customHeight="1">
      <c r="A168" s="608"/>
      <c r="B168" s="607"/>
      <c r="C168" s="607"/>
      <c r="D168" s="607"/>
      <c r="E168" s="607"/>
      <c r="F168" s="607"/>
      <c r="G168" s="606"/>
      <c r="H168" s="606"/>
      <c r="I168" s="606"/>
      <c r="J168" s="606"/>
      <c r="K168" s="606"/>
      <c r="L168" s="606"/>
      <c r="M168" s="606"/>
      <c r="N168" s="606"/>
      <c r="O168" s="606"/>
      <c r="P168" s="606"/>
      <c r="Q168" s="606"/>
      <c r="R168" s="606"/>
      <c r="S168" s="606"/>
      <c r="T168" s="606"/>
      <c r="U168" s="606"/>
      <c r="V168" s="606"/>
      <c r="W168" s="606"/>
      <c r="X168" s="640"/>
      <c r="Y168" s="607"/>
      <c r="Z168" s="607"/>
      <c r="AA168" s="607"/>
      <c r="AB168" s="607"/>
      <c r="AC168" s="607"/>
      <c r="AD168" s="607"/>
      <c r="AE168" s="607"/>
      <c r="AF168" s="607"/>
      <c r="AG168" s="607"/>
      <c r="AH168" s="607"/>
      <c r="AI168" s="607"/>
      <c r="AJ168" s="607"/>
      <c r="AK168" s="607"/>
      <c r="AL168" s="606"/>
      <c r="AM168" s="606"/>
      <c r="AN168" s="606"/>
      <c r="AO168" s="606"/>
    </row>
    <row r="169" spans="1:41" ht="11.25" hidden="1" customHeight="1">
      <c r="A169" s="608"/>
      <c r="B169" s="607"/>
      <c r="C169" s="607"/>
      <c r="D169" s="607"/>
      <c r="E169" s="607"/>
      <c r="F169" s="607"/>
      <c r="G169" s="606"/>
      <c r="H169" s="606"/>
      <c r="I169" s="606"/>
      <c r="J169" s="606"/>
      <c r="K169" s="606"/>
      <c r="L169" s="606"/>
      <c r="M169" s="606"/>
      <c r="N169" s="606"/>
      <c r="O169" s="606"/>
      <c r="P169" s="606"/>
      <c r="Q169" s="606"/>
      <c r="R169" s="606"/>
      <c r="S169" s="606"/>
      <c r="T169" s="606"/>
      <c r="U169" s="606"/>
      <c r="V169" s="606"/>
      <c r="W169" s="606"/>
      <c r="X169" s="640"/>
      <c r="Y169" s="607"/>
      <c r="Z169" s="607"/>
      <c r="AA169" s="607"/>
      <c r="AB169" s="607"/>
      <c r="AC169" s="607"/>
      <c r="AD169" s="607"/>
      <c r="AE169" s="607"/>
      <c r="AF169" s="607"/>
      <c r="AG169" s="607"/>
      <c r="AH169" s="607"/>
      <c r="AI169" s="607"/>
      <c r="AJ169" s="607"/>
      <c r="AK169" s="607"/>
      <c r="AL169" s="606"/>
      <c r="AM169" s="606"/>
      <c r="AN169" s="606"/>
      <c r="AO169" s="606"/>
    </row>
    <row r="170" spans="1:41" ht="11.25" hidden="1" customHeight="1">
      <c r="A170" s="608"/>
      <c r="B170" s="607"/>
      <c r="C170" s="607"/>
      <c r="D170" s="607"/>
      <c r="E170" s="607"/>
      <c r="F170" s="607"/>
      <c r="G170" s="606"/>
      <c r="H170" s="606"/>
      <c r="I170" s="606"/>
      <c r="J170" s="606"/>
      <c r="K170" s="606"/>
      <c r="L170" s="606"/>
      <c r="M170" s="606"/>
      <c r="N170" s="606"/>
      <c r="O170" s="606"/>
      <c r="P170" s="606"/>
      <c r="Q170" s="606"/>
      <c r="R170" s="606"/>
      <c r="S170" s="606"/>
      <c r="T170" s="606"/>
      <c r="U170" s="606"/>
      <c r="V170" s="606"/>
      <c r="W170" s="606"/>
      <c r="X170" s="640"/>
      <c r="Y170" s="607"/>
      <c r="Z170" s="607"/>
      <c r="AA170" s="607"/>
      <c r="AB170" s="607"/>
      <c r="AC170" s="607"/>
      <c r="AD170" s="607"/>
      <c r="AE170" s="607"/>
      <c r="AF170" s="607"/>
      <c r="AG170" s="607"/>
      <c r="AH170" s="607"/>
      <c r="AI170" s="607"/>
      <c r="AJ170" s="607"/>
      <c r="AK170" s="607"/>
      <c r="AL170" s="606"/>
      <c r="AM170" s="606"/>
      <c r="AN170" s="606"/>
      <c r="AO170" s="606"/>
    </row>
    <row r="171" spans="1:41" ht="11.25" hidden="1" customHeight="1">
      <c r="A171" s="608"/>
      <c r="B171" s="607"/>
      <c r="C171" s="607"/>
      <c r="D171" s="607"/>
      <c r="E171" s="607"/>
      <c r="F171" s="607"/>
      <c r="G171" s="606"/>
      <c r="H171" s="606"/>
      <c r="I171" s="606"/>
      <c r="J171" s="606"/>
      <c r="K171" s="606"/>
      <c r="L171" s="606"/>
      <c r="M171" s="606"/>
      <c r="N171" s="606"/>
      <c r="O171" s="606"/>
      <c r="P171" s="606"/>
      <c r="Q171" s="606"/>
      <c r="R171" s="606"/>
      <c r="S171" s="606"/>
      <c r="T171" s="606"/>
      <c r="U171" s="606"/>
      <c r="V171" s="606"/>
      <c r="W171" s="606"/>
      <c r="X171" s="640"/>
      <c r="Y171" s="607"/>
      <c r="Z171" s="607"/>
      <c r="AA171" s="607"/>
      <c r="AB171" s="607"/>
      <c r="AC171" s="607"/>
      <c r="AD171" s="607"/>
      <c r="AE171" s="607"/>
      <c r="AF171" s="607"/>
      <c r="AG171" s="607"/>
      <c r="AH171" s="607"/>
      <c r="AI171" s="607"/>
      <c r="AJ171" s="607"/>
      <c r="AK171" s="607"/>
      <c r="AL171" s="606"/>
      <c r="AM171" s="606"/>
      <c r="AN171" s="606"/>
      <c r="AO171" s="606"/>
    </row>
    <row r="172" spans="1:41" ht="11.25" hidden="1" customHeight="1">
      <c r="A172" s="608"/>
      <c r="B172" s="607"/>
      <c r="C172" s="607"/>
      <c r="D172" s="607"/>
      <c r="E172" s="607"/>
      <c r="F172" s="607"/>
      <c r="G172" s="606"/>
      <c r="H172" s="606"/>
      <c r="I172" s="606"/>
      <c r="J172" s="606"/>
      <c r="K172" s="606"/>
      <c r="L172" s="606"/>
      <c r="M172" s="606"/>
      <c r="N172" s="606"/>
      <c r="O172" s="606"/>
      <c r="P172" s="606"/>
      <c r="Q172" s="606"/>
      <c r="R172" s="606"/>
      <c r="S172" s="606"/>
      <c r="T172" s="606"/>
      <c r="U172" s="606"/>
      <c r="V172" s="606"/>
      <c r="W172" s="606"/>
      <c r="X172" s="640"/>
      <c r="Y172" s="607"/>
      <c r="Z172" s="607"/>
      <c r="AA172" s="607"/>
      <c r="AB172" s="607"/>
      <c r="AC172" s="607"/>
      <c r="AD172" s="607"/>
      <c r="AE172" s="607"/>
      <c r="AF172" s="607"/>
      <c r="AG172" s="607"/>
      <c r="AH172" s="607"/>
      <c r="AI172" s="607"/>
      <c r="AJ172" s="607"/>
      <c r="AK172" s="607"/>
      <c r="AL172" s="606"/>
      <c r="AM172" s="606"/>
      <c r="AN172" s="606"/>
      <c r="AO172" s="606"/>
    </row>
    <row r="173" spans="1:41" ht="11.25" hidden="1" customHeight="1">
      <c r="A173" s="608"/>
      <c r="B173" s="607"/>
      <c r="C173" s="607"/>
      <c r="D173" s="607"/>
      <c r="E173" s="607"/>
      <c r="F173" s="607"/>
      <c r="G173" s="606"/>
      <c r="H173" s="606"/>
      <c r="I173" s="606"/>
      <c r="J173" s="606"/>
      <c r="K173" s="606"/>
      <c r="L173" s="606"/>
      <c r="M173" s="606"/>
      <c r="N173" s="606"/>
      <c r="O173" s="606"/>
      <c r="P173" s="606"/>
      <c r="Q173" s="606"/>
      <c r="R173" s="606"/>
      <c r="S173" s="606"/>
      <c r="T173" s="606"/>
      <c r="U173" s="606"/>
      <c r="V173" s="606"/>
      <c r="W173" s="606"/>
      <c r="X173" s="640"/>
      <c r="Y173" s="607"/>
      <c r="Z173" s="607"/>
      <c r="AA173" s="607"/>
      <c r="AB173" s="607"/>
      <c r="AC173" s="607"/>
      <c r="AD173" s="607"/>
      <c r="AE173" s="607"/>
      <c r="AF173" s="607"/>
      <c r="AG173" s="607"/>
      <c r="AH173" s="607"/>
      <c r="AI173" s="607"/>
      <c r="AJ173" s="607"/>
      <c r="AK173" s="607"/>
      <c r="AL173" s="606"/>
      <c r="AM173" s="606"/>
      <c r="AN173" s="606"/>
      <c r="AO173" s="606"/>
    </row>
    <row r="174" spans="1:41" ht="11.25" hidden="1" customHeight="1">
      <c r="A174" s="608"/>
      <c r="B174" s="607"/>
      <c r="C174" s="607"/>
      <c r="D174" s="607"/>
      <c r="E174" s="607"/>
      <c r="F174" s="607"/>
      <c r="G174" s="606"/>
      <c r="H174" s="606"/>
      <c r="I174" s="606"/>
      <c r="J174" s="606"/>
      <c r="K174" s="606"/>
      <c r="L174" s="606"/>
      <c r="M174" s="606"/>
      <c r="N174" s="606"/>
      <c r="O174" s="606"/>
      <c r="P174" s="606"/>
      <c r="Q174" s="606"/>
      <c r="R174" s="606"/>
      <c r="S174" s="606"/>
      <c r="T174" s="606"/>
      <c r="U174" s="606"/>
      <c r="V174" s="606"/>
      <c r="W174" s="606"/>
      <c r="X174" s="640"/>
      <c r="Y174" s="607"/>
      <c r="Z174" s="607"/>
      <c r="AA174" s="607"/>
      <c r="AB174" s="607"/>
      <c r="AC174" s="607"/>
      <c r="AD174" s="607"/>
      <c r="AE174" s="607"/>
      <c r="AF174" s="607"/>
      <c r="AG174" s="607"/>
      <c r="AH174" s="607"/>
      <c r="AI174" s="607"/>
      <c r="AJ174" s="607"/>
      <c r="AK174" s="607"/>
      <c r="AL174" s="606"/>
      <c r="AM174" s="606"/>
      <c r="AN174" s="606"/>
      <c r="AO174" s="606"/>
    </row>
    <row r="175" spans="1:41" ht="11.25" hidden="1" customHeight="1">
      <c r="A175" s="608"/>
      <c r="B175" s="607"/>
      <c r="C175" s="607"/>
      <c r="D175" s="607"/>
      <c r="E175" s="607"/>
      <c r="F175" s="607"/>
      <c r="G175" s="606"/>
      <c r="H175" s="606"/>
      <c r="I175" s="606"/>
      <c r="J175" s="606"/>
      <c r="K175" s="606"/>
      <c r="L175" s="606"/>
      <c r="M175" s="606"/>
      <c r="N175" s="606"/>
      <c r="O175" s="606"/>
      <c r="P175" s="606"/>
      <c r="Q175" s="606"/>
      <c r="R175" s="606"/>
      <c r="S175" s="606"/>
      <c r="T175" s="606"/>
      <c r="U175" s="606"/>
      <c r="V175" s="606"/>
      <c r="W175" s="606"/>
      <c r="X175" s="640"/>
      <c r="Y175" s="607"/>
      <c r="Z175" s="607"/>
      <c r="AA175" s="607"/>
      <c r="AB175" s="607"/>
      <c r="AC175" s="607"/>
      <c r="AD175" s="607"/>
      <c r="AE175" s="607"/>
      <c r="AF175" s="607"/>
      <c r="AG175" s="607"/>
      <c r="AH175" s="607"/>
      <c r="AI175" s="607"/>
      <c r="AJ175" s="607"/>
      <c r="AK175" s="607"/>
      <c r="AL175" s="606"/>
      <c r="AM175" s="606"/>
      <c r="AN175" s="606"/>
      <c r="AO175" s="606"/>
    </row>
    <row r="176" spans="1:41" ht="11.25" hidden="1" customHeight="1">
      <c r="A176" s="608"/>
      <c r="B176" s="607"/>
      <c r="C176" s="607"/>
      <c r="D176" s="607"/>
      <c r="E176" s="607"/>
      <c r="F176" s="607"/>
      <c r="G176" s="606"/>
      <c r="H176" s="606"/>
      <c r="I176" s="606"/>
      <c r="J176" s="606"/>
      <c r="K176" s="606"/>
      <c r="L176" s="606"/>
      <c r="M176" s="606"/>
      <c r="N176" s="606"/>
      <c r="O176" s="606"/>
      <c r="P176" s="606"/>
      <c r="Q176" s="606"/>
      <c r="R176" s="606"/>
      <c r="S176" s="606"/>
      <c r="T176" s="606"/>
      <c r="U176" s="606"/>
      <c r="V176" s="606"/>
      <c r="W176" s="606"/>
      <c r="X176" s="640"/>
      <c r="Y176" s="607"/>
      <c r="Z176" s="607"/>
      <c r="AA176" s="607"/>
      <c r="AB176" s="607"/>
      <c r="AC176" s="607"/>
      <c r="AD176" s="607"/>
      <c r="AE176" s="607"/>
      <c r="AF176" s="607"/>
      <c r="AG176" s="607"/>
      <c r="AH176" s="607"/>
      <c r="AI176" s="607"/>
      <c r="AJ176" s="607"/>
      <c r="AK176" s="607"/>
      <c r="AL176" s="606"/>
      <c r="AM176" s="606"/>
      <c r="AN176" s="606"/>
      <c r="AO176" s="606"/>
    </row>
    <row r="177" spans="1:41" ht="11.25" hidden="1" customHeight="1">
      <c r="A177" s="608"/>
      <c r="B177" s="607"/>
      <c r="C177" s="607"/>
      <c r="D177" s="607"/>
      <c r="E177" s="607"/>
      <c r="F177" s="607"/>
      <c r="G177" s="606"/>
      <c r="H177" s="606"/>
      <c r="I177" s="606"/>
      <c r="J177" s="606"/>
      <c r="K177" s="606"/>
      <c r="L177" s="606"/>
      <c r="M177" s="606"/>
      <c r="N177" s="606"/>
      <c r="O177" s="606"/>
      <c r="P177" s="606"/>
      <c r="Q177" s="606"/>
      <c r="R177" s="606"/>
      <c r="S177" s="606"/>
      <c r="T177" s="606"/>
      <c r="U177" s="606"/>
      <c r="V177" s="606"/>
      <c r="W177" s="606"/>
      <c r="X177" s="640"/>
      <c r="Y177" s="607"/>
      <c r="Z177" s="607"/>
      <c r="AA177" s="607"/>
      <c r="AB177" s="607"/>
      <c r="AC177" s="607"/>
      <c r="AD177" s="607"/>
      <c r="AE177" s="607"/>
      <c r="AF177" s="607"/>
      <c r="AG177" s="607"/>
      <c r="AH177" s="607"/>
      <c r="AI177" s="607"/>
      <c r="AJ177" s="607"/>
      <c r="AK177" s="607"/>
      <c r="AL177" s="606"/>
      <c r="AM177" s="606"/>
      <c r="AN177" s="606"/>
      <c r="AO177" s="606"/>
    </row>
    <row r="178" spans="1:41" ht="11.25" hidden="1" customHeight="1">
      <c r="A178" s="608"/>
      <c r="B178" s="607"/>
      <c r="C178" s="607"/>
      <c r="D178" s="607"/>
      <c r="E178" s="607"/>
      <c r="F178" s="607"/>
      <c r="G178" s="606"/>
      <c r="H178" s="606"/>
      <c r="I178" s="606"/>
      <c r="J178" s="606"/>
      <c r="K178" s="606"/>
      <c r="L178" s="606"/>
      <c r="M178" s="606"/>
      <c r="N178" s="606"/>
      <c r="O178" s="606"/>
      <c r="P178" s="606"/>
      <c r="Q178" s="606"/>
      <c r="R178" s="606"/>
      <c r="S178" s="606"/>
      <c r="T178" s="606"/>
      <c r="U178" s="606"/>
      <c r="V178" s="606"/>
      <c r="W178" s="606"/>
      <c r="X178" s="640"/>
      <c r="Y178" s="607"/>
      <c r="Z178" s="607"/>
      <c r="AA178" s="607"/>
      <c r="AB178" s="607"/>
      <c r="AC178" s="607"/>
      <c r="AD178" s="607"/>
      <c r="AE178" s="607"/>
      <c r="AF178" s="607"/>
      <c r="AG178" s="607"/>
      <c r="AH178" s="607"/>
      <c r="AI178" s="607"/>
      <c r="AJ178" s="607"/>
      <c r="AK178" s="607"/>
      <c r="AL178" s="606"/>
      <c r="AM178" s="606"/>
      <c r="AN178" s="606"/>
      <c r="AO178" s="606"/>
    </row>
    <row r="179" spans="1:41" ht="11.25" hidden="1" customHeight="1">
      <c r="A179" s="608"/>
      <c r="B179" s="607"/>
      <c r="C179" s="607"/>
      <c r="D179" s="607"/>
      <c r="E179" s="607"/>
      <c r="F179" s="607"/>
      <c r="G179" s="606"/>
      <c r="H179" s="606"/>
      <c r="I179" s="606"/>
      <c r="J179" s="606"/>
      <c r="K179" s="606"/>
      <c r="L179" s="606"/>
      <c r="M179" s="606"/>
      <c r="N179" s="606"/>
      <c r="O179" s="606"/>
      <c r="P179" s="606"/>
      <c r="Q179" s="606"/>
      <c r="R179" s="606"/>
      <c r="S179" s="606"/>
      <c r="T179" s="606"/>
      <c r="U179" s="606"/>
      <c r="V179" s="606"/>
      <c r="W179" s="606"/>
      <c r="X179" s="640"/>
      <c r="Y179" s="607"/>
      <c r="Z179" s="607"/>
      <c r="AA179" s="607"/>
      <c r="AB179" s="607"/>
      <c r="AC179" s="607"/>
      <c r="AD179" s="607"/>
      <c r="AE179" s="607"/>
      <c r="AF179" s="607"/>
      <c r="AG179" s="607"/>
      <c r="AH179" s="607"/>
      <c r="AI179" s="607"/>
      <c r="AJ179" s="607"/>
      <c r="AK179" s="607"/>
      <c r="AL179" s="606"/>
      <c r="AM179" s="606"/>
      <c r="AN179" s="606"/>
      <c r="AO179" s="606"/>
    </row>
    <row r="180" spans="1:41" ht="11.25" hidden="1" customHeight="1">
      <c r="A180" s="608"/>
      <c r="B180" s="607"/>
      <c r="C180" s="607"/>
      <c r="D180" s="607"/>
      <c r="E180" s="607"/>
      <c r="F180" s="607"/>
      <c r="G180" s="606"/>
      <c r="H180" s="606"/>
      <c r="I180" s="606"/>
      <c r="J180" s="606"/>
      <c r="K180" s="606"/>
      <c r="L180" s="606"/>
      <c r="M180" s="606"/>
      <c r="N180" s="606"/>
      <c r="O180" s="606"/>
      <c r="P180" s="606"/>
      <c r="Q180" s="606"/>
      <c r="R180" s="606"/>
      <c r="S180" s="606"/>
      <c r="T180" s="606"/>
      <c r="U180" s="606"/>
      <c r="V180" s="606"/>
      <c r="W180" s="606"/>
      <c r="X180" s="640"/>
      <c r="Y180" s="607"/>
      <c r="Z180" s="607"/>
      <c r="AA180" s="607"/>
      <c r="AB180" s="607"/>
      <c r="AC180" s="607"/>
      <c r="AD180" s="607"/>
      <c r="AE180" s="607"/>
      <c r="AF180" s="607"/>
      <c r="AG180" s="607"/>
      <c r="AH180" s="607"/>
      <c r="AI180" s="607"/>
      <c r="AJ180" s="607"/>
      <c r="AK180" s="607"/>
      <c r="AL180" s="606"/>
      <c r="AM180" s="606"/>
      <c r="AN180" s="606"/>
      <c r="AO180" s="606"/>
    </row>
    <row r="181" spans="1:41" ht="11.25" hidden="1" customHeight="1">
      <c r="A181" s="608"/>
      <c r="B181" s="607"/>
      <c r="C181" s="607"/>
      <c r="D181" s="607"/>
      <c r="E181" s="607"/>
      <c r="F181" s="607"/>
      <c r="G181" s="606"/>
      <c r="H181" s="606"/>
      <c r="I181" s="606"/>
      <c r="J181" s="606"/>
      <c r="K181" s="606"/>
      <c r="L181" s="606"/>
      <c r="M181" s="606"/>
      <c r="N181" s="606"/>
      <c r="O181" s="606"/>
      <c r="P181" s="606"/>
      <c r="Q181" s="606"/>
      <c r="R181" s="606"/>
      <c r="S181" s="606"/>
      <c r="T181" s="606"/>
      <c r="U181" s="606"/>
      <c r="V181" s="606"/>
      <c r="W181" s="606"/>
      <c r="X181" s="640"/>
      <c r="Y181" s="607"/>
      <c r="Z181" s="607"/>
      <c r="AA181" s="607"/>
      <c r="AB181" s="607"/>
      <c r="AC181" s="607"/>
      <c r="AD181" s="607"/>
      <c r="AE181" s="607"/>
      <c r="AF181" s="607"/>
      <c r="AG181" s="607"/>
      <c r="AH181" s="607"/>
      <c r="AI181" s="607"/>
      <c r="AJ181" s="607"/>
      <c r="AK181" s="607"/>
      <c r="AL181" s="606"/>
      <c r="AM181" s="606"/>
      <c r="AN181" s="606"/>
      <c r="AO181" s="606"/>
    </row>
    <row r="182" spans="1:41" ht="11.25" hidden="1" customHeight="1">
      <c r="A182" s="608"/>
      <c r="B182" s="607"/>
      <c r="C182" s="607"/>
      <c r="D182" s="607"/>
      <c r="E182" s="607"/>
      <c r="F182" s="607"/>
      <c r="G182" s="606"/>
      <c r="H182" s="606"/>
      <c r="I182" s="606"/>
      <c r="J182" s="606"/>
      <c r="K182" s="606"/>
      <c r="L182" s="606"/>
      <c r="M182" s="606"/>
      <c r="N182" s="606"/>
      <c r="O182" s="606"/>
      <c r="P182" s="606"/>
      <c r="Q182" s="606"/>
      <c r="R182" s="606"/>
      <c r="S182" s="606"/>
      <c r="T182" s="606"/>
      <c r="U182" s="606"/>
      <c r="V182" s="606"/>
      <c r="W182" s="606"/>
      <c r="X182" s="640"/>
      <c r="Y182" s="607"/>
      <c r="Z182" s="607"/>
      <c r="AA182" s="607"/>
      <c r="AB182" s="607"/>
      <c r="AC182" s="607"/>
      <c r="AD182" s="607"/>
      <c r="AE182" s="607"/>
      <c r="AF182" s="607"/>
      <c r="AG182" s="607"/>
      <c r="AH182" s="607"/>
      <c r="AI182" s="607"/>
      <c r="AJ182" s="607"/>
      <c r="AK182" s="607"/>
      <c r="AL182" s="606"/>
      <c r="AM182" s="606"/>
      <c r="AN182" s="606"/>
      <c r="AO182" s="606"/>
    </row>
    <row r="183" spans="1:41" ht="11.25" hidden="1" customHeight="1">
      <c r="A183" s="608"/>
      <c r="B183" s="607"/>
      <c r="C183" s="607"/>
      <c r="D183" s="607"/>
      <c r="E183" s="607"/>
      <c r="F183" s="607"/>
      <c r="G183" s="606"/>
      <c r="H183" s="606"/>
      <c r="I183" s="606"/>
      <c r="J183" s="606"/>
      <c r="K183" s="606"/>
      <c r="L183" s="606"/>
      <c r="M183" s="606"/>
      <c r="N183" s="606"/>
      <c r="O183" s="606"/>
      <c r="P183" s="606"/>
      <c r="Q183" s="606"/>
      <c r="R183" s="606"/>
      <c r="S183" s="606"/>
      <c r="T183" s="606"/>
      <c r="U183" s="606"/>
      <c r="V183" s="606"/>
      <c r="W183" s="606"/>
      <c r="X183" s="640"/>
      <c r="Y183" s="607"/>
      <c r="Z183" s="607"/>
      <c r="AA183" s="607"/>
      <c r="AB183" s="607"/>
      <c r="AC183" s="607"/>
      <c r="AD183" s="607"/>
      <c r="AE183" s="607"/>
      <c r="AF183" s="607"/>
      <c r="AG183" s="607"/>
      <c r="AH183" s="607"/>
      <c r="AI183" s="607"/>
      <c r="AJ183" s="607"/>
      <c r="AK183" s="607"/>
      <c r="AL183" s="606"/>
      <c r="AM183" s="606"/>
      <c r="AN183" s="606"/>
      <c r="AO183" s="606"/>
    </row>
    <row r="184" spans="1:41" ht="11.25" hidden="1" customHeight="1">
      <c r="A184" s="608"/>
      <c r="B184" s="607"/>
      <c r="C184" s="607"/>
      <c r="D184" s="607"/>
      <c r="E184" s="607"/>
      <c r="F184" s="607"/>
      <c r="G184" s="606"/>
      <c r="H184" s="606"/>
      <c r="I184" s="606"/>
      <c r="J184" s="606"/>
      <c r="K184" s="606"/>
      <c r="L184" s="606"/>
      <c r="M184" s="606"/>
      <c r="N184" s="606"/>
      <c r="O184" s="606"/>
      <c r="P184" s="606"/>
      <c r="Q184" s="606"/>
      <c r="R184" s="606"/>
      <c r="S184" s="606"/>
      <c r="T184" s="606"/>
      <c r="U184" s="606"/>
      <c r="V184" s="606"/>
      <c r="W184" s="606"/>
      <c r="X184" s="640"/>
      <c r="Y184" s="607"/>
      <c r="Z184" s="607"/>
      <c r="AA184" s="607"/>
      <c r="AB184" s="607"/>
      <c r="AC184" s="607"/>
      <c r="AD184" s="607"/>
      <c r="AE184" s="607"/>
      <c r="AF184" s="607"/>
      <c r="AG184" s="607"/>
      <c r="AH184" s="607"/>
      <c r="AI184" s="607"/>
      <c r="AJ184" s="607"/>
      <c r="AK184" s="607"/>
      <c r="AL184" s="606"/>
      <c r="AM184" s="606"/>
      <c r="AN184" s="606"/>
      <c r="AO184" s="606"/>
    </row>
    <row r="185" spans="1:41" ht="11.25" hidden="1" customHeight="1">
      <c r="A185" s="608"/>
      <c r="B185" s="607"/>
      <c r="C185" s="607"/>
      <c r="D185" s="607"/>
      <c r="E185" s="607"/>
      <c r="F185" s="607"/>
      <c r="G185" s="606"/>
      <c r="H185" s="606"/>
      <c r="I185" s="606"/>
      <c r="J185" s="606"/>
      <c r="K185" s="606"/>
      <c r="L185" s="606"/>
      <c r="M185" s="606"/>
      <c r="N185" s="606"/>
      <c r="O185" s="606"/>
      <c r="P185" s="606"/>
      <c r="Q185" s="606"/>
      <c r="R185" s="606"/>
      <c r="S185" s="606"/>
      <c r="T185" s="606"/>
      <c r="U185" s="606"/>
      <c r="V185" s="606"/>
      <c r="W185" s="606"/>
      <c r="X185" s="640"/>
      <c r="Y185" s="607"/>
      <c r="Z185" s="607"/>
      <c r="AA185" s="607"/>
      <c r="AB185" s="607"/>
      <c r="AC185" s="607"/>
      <c r="AD185" s="607"/>
      <c r="AE185" s="607"/>
      <c r="AF185" s="607"/>
      <c r="AG185" s="607"/>
      <c r="AH185" s="607"/>
      <c r="AI185" s="607"/>
      <c r="AJ185" s="607"/>
      <c r="AK185" s="607"/>
      <c r="AL185" s="606"/>
      <c r="AM185" s="606"/>
      <c r="AN185" s="606"/>
      <c r="AO185" s="606"/>
    </row>
    <row r="186" spans="1:41" ht="11.25" hidden="1" customHeight="1">
      <c r="A186" s="608"/>
      <c r="B186" s="607"/>
      <c r="C186" s="607"/>
      <c r="D186" s="607"/>
      <c r="E186" s="607"/>
      <c r="F186" s="607"/>
      <c r="G186" s="606"/>
      <c r="H186" s="606"/>
      <c r="I186" s="606"/>
      <c r="J186" s="606"/>
      <c r="K186" s="606"/>
      <c r="L186" s="606"/>
      <c r="M186" s="606"/>
      <c r="N186" s="606"/>
      <c r="O186" s="606"/>
      <c r="P186" s="606"/>
      <c r="Q186" s="606"/>
      <c r="R186" s="606"/>
      <c r="S186" s="606"/>
      <c r="T186" s="606"/>
      <c r="U186" s="606"/>
      <c r="V186" s="606"/>
      <c r="W186" s="606"/>
      <c r="X186" s="640"/>
      <c r="Y186" s="607"/>
      <c r="Z186" s="607"/>
      <c r="AA186" s="607"/>
      <c r="AB186" s="607"/>
      <c r="AC186" s="607"/>
      <c r="AD186" s="607"/>
      <c r="AE186" s="607"/>
      <c r="AF186" s="607"/>
      <c r="AG186" s="607"/>
      <c r="AH186" s="607"/>
      <c r="AI186" s="607"/>
      <c r="AJ186" s="607"/>
      <c r="AK186" s="607"/>
      <c r="AL186" s="606"/>
      <c r="AM186" s="606"/>
      <c r="AN186" s="606"/>
      <c r="AO186" s="606"/>
    </row>
    <row r="187" spans="1:41" ht="11.25" hidden="1" customHeight="1">
      <c r="A187" s="608"/>
      <c r="B187" s="607"/>
      <c r="C187" s="607"/>
      <c r="D187" s="607"/>
      <c r="E187" s="607"/>
      <c r="F187" s="607"/>
      <c r="G187" s="606"/>
      <c r="H187" s="606"/>
      <c r="I187" s="606"/>
      <c r="J187" s="606"/>
      <c r="K187" s="606"/>
      <c r="L187" s="606"/>
      <c r="M187" s="606"/>
      <c r="N187" s="606"/>
      <c r="O187" s="606"/>
      <c r="P187" s="606"/>
      <c r="Q187" s="606"/>
      <c r="R187" s="606"/>
      <c r="S187" s="606"/>
      <c r="T187" s="606"/>
      <c r="U187" s="606"/>
      <c r="V187" s="606"/>
      <c r="W187" s="606"/>
      <c r="X187" s="640"/>
      <c r="Y187" s="607"/>
      <c r="Z187" s="607"/>
      <c r="AA187" s="607"/>
      <c r="AB187" s="607"/>
      <c r="AC187" s="607"/>
      <c r="AD187" s="607"/>
      <c r="AE187" s="607"/>
      <c r="AF187" s="607"/>
      <c r="AG187" s="607"/>
      <c r="AH187" s="607"/>
      <c r="AI187" s="607"/>
      <c r="AJ187" s="607"/>
      <c r="AK187" s="607"/>
      <c r="AL187" s="606"/>
      <c r="AM187" s="606"/>
      <c r="AN187" s="606"/>
      <c r="AO187" s="606"/>
    </row>
    <row r="188" spans="1:41" ht="11.25" hidden="1" customHeight="1">
      <c r="A188" s="608"/>
      <c r="B188" s="607"/>
      <c r="C188" s="607"/>
      <c r="D188" s="607"/>
      <c r="E188" s="607"/>
      <c r="F188" s="607"/>
      <c r="G188" s="606"/>
      <c r="H188" s="606"/>
      <c r="I188" s="606"/>
      <c r="J188" s="606"/>
      <c r="K188" s="606"/>
      <c r="L188" s="606"/>
      <c r="M188" s="606"/>
      <c r="N188" s="606"/>
      <c r="O188" s="606"/>
      <c r="P188" s="606"/>
      <c r="Q188" s="606"/>
      <c r="R188" s="606"/>
      <c r="S188" s="606"/>
      <c r="T188" s="606"/>
      <c r="U188" s="606"/>
      <c r="V188" s="606"/>
      <c r="W188" s="606"/>
      <c r="X188" s="640"/>
      <c r="Y188" s="607"/>
      <c r="Z188" s="607"/>
      <c r="AA188" s="607"/>
      <c r="AB188" s="607"/>
      <c r="AC188" s="607"/>
      <c r="AD188" s="607"/>
      <c r="AE188" s="607"/>
      <c r="AF188" s="607"/>
      <c r="AG188" s="607"/>
      <c r="AH188" s="607"/>
      <c r="AI188" s="607"/>
      <c r="AJ188" s="607"/>
      <c r="AK188" s="607"/>
      <c r="AL188" s="606"/>
      <c r="AM188" s="606"/>
      <c r="AN188" s="606"/>
      <c r="AO188" s="606"/>
    </row>
    <row r="189" spans="1:41" ht="11.25" hidden="1" customHeight="1">
      <c r="A189" s="608"/>
      <c r="B189" s="607"/>
      <c r="C189" s="607"/>
      <c r="D189" s="607"/>
      <c r="E189" s="607"/>
      <c r="F189" s="607"/>
      <c r="G189" s="606"/>
      <c r="H189" s="606"/>
      <c r="I189" s="606"/>
      <c r="J189" s="606"/>
      <c r="K189" s="606"/>
      <c r="L189" s="606"/>
      <c r="M189" s="606"/>
      <c r="N189" s="606"/>
      <c r="O189" s="606"/>
      <c r="P189" s="606"/>
      <c r="Q189" s="606"/>
      <c r="R189" s="606"/>
      <c r="S189" s="606"/>
      <c r="T189" s="606"/>
      <c r="U189" s="606"/>
      <c r="V189" s="606"/>
      <c r="W189" s="606"/>
      <c r="X189" s="640"/>
      <c r="Y189" s="607"/>
      <c r="Z189" s="607"/>
      <c r="AA189" s="607"/>
      <c r="AB189" s="607"/>
      <c r="AC189" s="607"/>
      <c r="AD189" s="607"/>
      <c r="AE189" s="607"/>
      <c r="AF189" s="607"/>
      <c r="AG189" s="607"/>
      <c r="AH189" s="607"/>
      <c r="AI189" s="607"/>
      <c r="AJ189" s="607"/>
      <c r="AK189" s="607"/>
      <c r="AL189" s="606"/>
      <c r="AM189" s="606"/>
      <c r="AN189" s="606"/>
      <c r="AO189" s="606"/>
    </row>
    <row r="190" spans="1:41" ht="11.25" hidden="1" customHeight="1">
      <c r="A190" s="608"/>
      <c r="B190" s="607"/>
      <c r="C190" s="607"/>
      <c r="D190" s="607"/>
      <c r="E190" s="607"/>
      <c r="F190" s="607"/>
      <c r="G190" s="606"/>
      <c r="H190" s="606"/>
      <c r="I190" s="606"/>
      <c r="J190" s="606"/>
      <c r="K190" s="606"/>
      <c r="L190" s="606"/>
      <c r="M190" s="606"/>
      <c r="N190" s="606"/>
      <c r="O190" s="606"/>
      <c r="P190" s="606"/>
      <c r="Q190" s="606"/>
      <c r="R190" s="606"/>
      <c r="S190" s="606"/>
      <c r="T190" s="606"/>
      <c r="U190" s="606"/>
      <c r="V190" s="606"/>
      <c r="W190" s="606"/>
      <c r="X190" s="640"/>
      <c r="Y190" s="607"/>
      <c r="Z190" s="607"/>
      <c r="AA190" s="607"/>
      <c r="AB190" s="607"/>
      <c r="AC190" s="607"/>
      <c r="AD190" s="607"/>
      <c r="AE190" s="607"/>
      <c r="AF190" s="607"/>
      <c r="AG190" s="607"/>
      <c r="AH190" s="607"/>
      <c r="AI190" s="607"/>
      <c r="AJ190" s="607"/>
      <c r="AK190" s="607"/>
      <c r="AL190" s="606"/>
      <c r="AM190" s="606"/>
      <c r="AN190" s="606"/>
      <c r="AO190" s="606"/>
    </row>
    <row r="191" spans="1:41" ht="11.25" hidden="1" customHeight="1">
      <c r="A191" s="608"/>
      <c r="B191" s="607"/>
      <c r="C191" s="607"/>
      <c r="D191" s="607"/>
      <c r="E191" s="607"/>
      <c r="F191" s="607"/>
      <c r="G191" s="606"/>
      <c r="H191" s="606"/>
      <c r="I191" s="606"/>
      <c r="J191" s="606"/>
      <c r="K191" s="606"/>
      <c r="L191" s="606"/>
      <c r="M191" s="606"/>
      <c r="N191" s="606"/>
      <c r="O191" s="606"/>
      <c r="P191" s="606"/>
      <c r="Q191" s="606"/>
      <c r="R191" s="606"/>
      <c r="S191" s="606"/>
      <c r="T191" s="606"/>
      <c r="U191" s="606"/>
      <c r="V191" s="606"/>
      <c r="W191" s="606"/>
      <c r="X191" s="640"/>
      <c r="Y191" s="607"/>
      <c r="Z191" s="607"/>
      <c r="AA191" s="607"/>
      <c r="AB191" s="607"/>
      <c r="AC191" s="607"/>
      <c r="AD191" s="607"/>
      <c r="AE191" s="607"/>
      <c r="AF191" s="607"/>
      <c r="AG191" s="607"/>
      <c r="AH191" s="607"/>
      <c r="AI191" s="607"/>
      <c r="AJ191" s="607"/>
      <c r="AK191" s="607"/>
      <c r="AL191" s="606"/>
      <c r="AM191" s="606"/>
      <c r="AN191" s="606"/>
      <c r="AO191" s="606"/>
    </row>
    <row r="192" spans="1:41" ht="11.25" hidden="1" customHeight="1">
      <c r="A192" s="608"/>
      <c r="B192" s="607"/>
      <c r="C192" s="607"/>
      <c r="D192" s="607"/>
      <c r="E192" s="607"/>
      <c r="F192" s="607"/>
      <c r="G192" s="606"/>
      <c r="H192" s="606"/>
      <c r="I192" s="606"/>
      <c r="J192" s="606"/>
      <c r="K192" s="606"/>
      <c r="L192" s="606"/>
      <c r="M192" s="606"/>
      <c r="N192" s="606"/>
      <c r="O192" s="606"/>
      <c r="P192" s="606"/>
      <c r="Q192" s="606"/>
      <c r="R192" s="606"/>
      <c r="S192" s="606"/>
      <c r="T192" s="606"/>
      <c r="U192" s="606"/>
      <c r="V192" s="606"/>
      <c r="W192" s="606"/>
      <c r="X192" s="640"/>
      <c r="Y192" s="607"/>
      <c r="Z192" s="607"/>
      <c r="AA192" s="607"/>
      <c r="AB192" s="607"/>
      <c r="AC192" s="607"/>
      <c r="AD192" s="607"/>
      <c r="AE192" s="607"/>
      <c r="AF192" s="607"/>
      <c r="AG192" s="607"/>
      <c r="AH192" s="607"/>
      <c r="AI192" s="607"/>
      <c r="AJ192" s="607"/>
      <c r="AK192" s="607"/>
      <c r="AL192" s="606"/>
      <c r="AM192" s="606"/>
      <c r="AN192" s="606"/>
      <c r="AO192" s="606"/>
    </row>
    <row r="193" spans="1:41" ht="11.25" hidden="1" customHeight="1">
      <c r="A193" s="608"/>
      <c r="B193" s="607"/>
      <c r="C193" s="607"/>
      <c r="D193" s="607"/>
      <c r="E193" s="607"/>
      <c r="F193" s="607"/>
      <c r="G193" s="606"/>
      <c r="H193" s="606"/>
      <c r="I193" s="606"/>
      <c r="J193" s="606"/>
      <c r="K193" s="606"/>
      <c r="L193" s="606"/>
      <c r="M193" s="606"/>
      <c r="N193" s="606"/>
      <c r="O193" s="606"/>
      <c r="P193" s="606"/>
      <c r="Q193" s="606"/>
      <c r="R193" s="606"/>
      <c r="S193" s="606"/>
      <c r="T193" s="606"/>
      <c r="U193" s="606"/>
      <c r="V193" s="606"/>
      <c r="W193" s="606"/>
      <c r="X193" s="640"/>
      <c r="Y193" s="607"/>
      <c r="Z193" s="607"/>
      <c r="AA193" s="607"/>
      <c r="AB193" s="607"/>
      <c r="AC193" s="607"/>
      <c r="AD193" s="607"/>
      <c r="AE193" s="607"/>
      <c r="AF193" s="607"/>
      <c r="AG193" s="607"/>
      <c r="AH193" s="607"/>
      <c r="AI193" s="607"/>
      <c r="AJ193" s="607"/>
      <c r="AK193" s="607"/>
      <c r="AL193" s="606"/>
      <c r="AM193" s="606"/>
      <c r="AN193" s="606"/>
      <c r="AO193" s="606"/>
    </row>
    <row r="194" spans="1:41" ht="11.25" hidden="1" customHeight="1">
      <c r="A194" s="608"/>
      <c r="B194" s="607"/>
      <c r="C194" s="607"/>
      <c r="D194" s="607"/>
      <c r="E194" s="607"/>
      <c r="F194" s="607"/>
      <c r="G194" s="606"/>
      <c r="H194" s="606"/>
      <c r="I194" s="606"/>
      <c r="J194" s="606"/>
      <c r="K194" s="606"/>
      <c r="L194" s="606"/>
      <c r="M194" s="606"/>
      <c r="N194" s="606"/>
      <c r="O194" s="606"/>
      <c r="P194" s="606"/>
      <c r="Q194" s="606"/>
      <c r="R194" s="606"/>
      <c r="S194" s="606"/>
      <c r="T194" s="606"/>
      <c r="U194" s="606"/>
      <c r="V194" s="606"/>
      <c r="W194" s="606"/>
      <c r="X194" s="640"/>
      <c r="Y194" s="607"/>
      <c r="Z194" s="607"/>
      <c r="AA194" s="607"/>
      <c r="AB194" s="607"/>
      <c r="AC194" s="607"/>
      <c r="AD194" s="607"/>
      <c r="AE194" s="607"/>
      <c r="AF194" s="607"/>
      <c r="AG194" s="607"/>
      <c r="AH194" s="607"/>
      <c r="AI194" s="607"/>
      <c r="AJ194" s="607"/>
      <c r="AK194" s="607"/>
      <c r="AL194" s="606"/>
      <c r="AM194" s="606"/>
      <c r="AN194" s="606"/>
      <c r="AO194" s="606"/>
    </row>
    <row r="195" spans="1:41" ht="11.25" hidden="1" customHeight="1">
      <c r="A195" s="608"/>
      <c r="B195" s="607"/>
      <c r="C195" s="607"/>
      <c r="D195" s="607"/>
      <c r="E195" s="607"/>
      <c r="F195" s="607"/>
      <c r="G195" s="606"/>
      <c r="H195" s="606"/>
      <c r="I195" s="606"/>
      <c r="J195" s="606"/>
      <c r="K195" s="606"/>
      <c r="L195" s="606"/>
      <c r="M195" s="606"/>
      <c r="N195" s="606"/>
      <c r="O195" s="606"/>
      <c r="P195" s="606"/>
      <c r="Q195" s="606"/>
      <c r="R195" s="606"/>
      <c r="S195" s="606"/>
      <c r="T195" s="606"/>
      <c r="U195" s="606"/>
      <c r="V195" s="606"/>
      <c r="W195" s="606"/>
      <c r="X195" s="640"/>
      <c r="Y195" s="607"/>
      <c r="Z195" s="607"/>
      <c r="AA195" s="607"/>
      <c r="AB195" s="607"/>
      <c r="AC195" s="607"/>
      <c r="AD195" s="607"/>
      <c r="AE195" s="607"/>
      <c r="AF195" s="607"/>
      <c r="AG195" s="607"/>
      <c r="AH195" s="607"/>
      <c r="AI195" s="607"/>
      <c r="AJ195" s="607"/>
      <c r="AK195" s="607"/>
      <c r="AL195" s="606"/>
      <c r="AM195" s="606"/>
      <c r="AN195" s="606"/>
      <c r="AO195" s="606"/>
    </row>
    <row r="196" spans="1:41" ht="11.25" hidden="1" customHeight="1">
      <c r="A196" s="608"/>
      <c r="B196" s="607"/>
      <c r="C196" s="607"/>
      <c r="D196" s="607"/>
      <c r="E196" s="607"/>
      <c r="F196" s="607"/>
      <c r="G196" s="606"/>
      <c r="H196" s="606"/>
      <c r="I196" s="606"/>
      <c r="J196" s="606"/>
      <c r="K196" s="606"/>
      <c r="L196" s="606"/>
      <c r="M196" s="606"/>
      <c r="N196" s="606"/>
      <c r="O196" s="606"/>
      <c r="P196" s="606"/>
      <c r="Q196" s="606"/>
      <c r="R196" s="606"/>
      <c r="S196" s="606"/>
      <c r="T196" s="606"/>
      <c r="U196" s="606"/>
      <c r="V196" s="606"/>
      <c r="W196" s="606"/>
      <c r="X196" s="640"/>
      <c r="Y196" s="607"/>
      <c r="Z196" s="607"/>
      <c r="AA196" s="607"/>
      <c r="AB196" s="607"/>
      <c r="AC196" s="607"/>
      <c r="AD196" s="607"/>
      <c r="AE196" s="607"/>
      <c r="AF196" s="607"/>
      <c r="AG196" s="607"/>
      <c r="AH196" s="607"/>
      <c r="AI196" s="607"/>
      <c r="AJ196" s="607"/>
      <c r="AK196" s="607"/>
      <c r="AL196" s="606"/>
      <c r="AM196" s="606"/>
      <c r="AN196" s="606"/>
      <c r="AO196" s="606"/>
    </row>
    <row r="197" spans="1:41" ht="11.25" hidden="1" customHeight="1">
      <c r="A197" s="608"/>
      <c r="B197" s="607"/>
      <c r="C197" s="607"/>
      <c r="D197" s="607"/>
      <c r="E197" s="607"/>
      <c r="F197" s="607"/>
      <c r="G197" s="606"/>
      <c r="H197" s="606"/>
      <c r="I197" s="606"/>
      <c r="J197" s="606"/>
      <c r="K197" s="606"/>
      <c r="L197" s="606"/>
      <c r="M197" s="606"/>
      <c r="N197" s="606"/>
      <c r="O197" s="606"/>
      <c r="P197" s="606"/>
      <c r="Q197" s="606"/>
      <c r="R197" s="606"/>
      <c r="S197" s="606"/>
      <c r="T197" s="606"/>
      <c r="U197" s="606"/>
      <c r="V197" s="606"/>
      <c r="W197" s="606"/>
      <c r="X197" s="640"/>
      <c r="Y197" s="607"/>
      <c r="Z197" s="607"/>
      <c r="AA197" s="607"/>
      <c r="AB197" s="607"/>
      <c r="AC197" s="607"/>
      <c r="AD197" s="607"/>
      <c r="AE197" s="607"/>
      <c r="AF197" s="607"/>
      <c r="AG197" s="607"/>
      <c r="AH197" s="607"/>
      <c r="AI197" s="607"/>
      <c r="AJ197" s="607"/>
      <c r="AK197" s="607"/>
      <c r="AL197" s="606"/>
      <c r="AM197" s="606"/>
      <c r="AN197" s="606"/>
      <c r="AO197" s="606"/>
    </row>
    <row r="198" spans="1:41" ht="11.25" hidden="1" customHeight="1">
      <c r="A198" s="608"/>
      <c r="B198" s="607"/>
      <c r="C198" s="607"/>
      <c r="D198" s="607"/>
      <c r="E198" s="607"/>
      <c r="F198" s="607"/>
      <c r="G198" s="606"/>
      <c r="H198" s="606"/>
      <c r="I198" s="606"/>
      <c r="J198" s="606"/>
      <c r="K198" s="606"/>
      <c r="L198" s="606"/>
      <c r="M198" s="606"/>
      <c r="N198" s="606"/>
      <c r="O198" s="606"/>
      <c r="P198" s="606"/>
      <c r="Q198" s="606"/>
      <c r="R198" s="606"/>
      <c r="S198" s="606"/>
      <c r="T198" s="606"/>
      <c r="U198" s="606"/>
      <c r="V198" s="606"/>
      <c r="W198" s="606"/>
      <c r="X198" s="640"/>
      <c r="Y198" s="607"/>
      <c r="Z198" s="607"/>
      <c r="AA198" s="607"/>
      <c r="AB198" s="607"/>
      <c r="AC198" s="607"/>
      <c r="AD198" s="607"/>
      <c r="AE198" s="607"/>
      <c r="AF198" s="607"/>
      <c r="AG198" s="607"/>
      <c r="AH198" s="607"/>
      <c r="AI198" s="607"/>
      <c r="AJ198" s="607"/>
      <c r="AK198" s="607"/>
      <c r="AL198" s="606"/>
      <c r="AM198" s="606"/>
      <c r="AN198" s="606"/>
      <c r="AO198" s="606"/>
    </row>
    <row r="199" spans="1:41" ht="11.25" hidden="1" customHeight="1">
      <c r="A199" s="608"/>
      <c r="B199" s="607"/>
      <c r="C199" s="607"/>
      <c r="D199" s="607"/>
      <c r="E199" s="607"/>
      <c r="F199" s="607"/>
      <c r="G199" s="606"/>
      <c r="H199" s="606"/>
      <c r="I199" s="606"/>
      <c r="J199" s="606"/>
      <c r="K199" s="606"/>
      <c r="L199" s="606"/>
      <c r="M199" s="606"/>
      <c r="N199" s="606"/>
      <c r="O199" s="606"/>
      <c r="P199" s="606"/>
      <c r="Q199" s="606"/>
      <c r="R199" s="606"/>
      <c r="S199" s="606"/>
      <c r="T199" s="606"/>
      <c r="U199" s="606"/>
      <c r="V199" s="606"/>
      <c r="W199" s="606"/>
      <c r="X199" s="640"/>
      <c r="Y199" s="607"/>
      <c r="Z199" s="607"/>
      <c r="AA199" s="607"/>
      <c r="AB199" s="607"/>
      <c r="AC199" s="607"/>
      <c r="AD199" s="607"/>
      <c r="AE199" s="607"/>
      <c r="AF199" s="607"/>
      <c r="AG199" s="607"/>
      <c r="AH199" s="607"/>
      <c r="AI199" s="607"/>
      <c r="AJ199" s="607"/>
      <c r="AK199" s="607"/>
      <c r="AL199" s="606"/>
      <c r="AM199" s="606"/>
      <c r="AN199" s="606"/>
      <c r="AO199" s="606"/>
    </row>
    <row r="200" spans="1:41" ht="11.25" hidden="1" customHeight="1">
      <c r="A200" s="608"/>
      <c r="B200" s="607"/>
      <c r="C200" s="607"/>
      <c r="D200" s="607"/>
      <c r="E200" s="607"/>
      <c r="F200" s="607"/>
      <c r="G200" s="606"/>
      <c r="H200" s="606"/>
      <c r="I200" s="606"/>
      <c r="J200" s="606"/>
      <c r="K200" s="606"/>
      <c r="L200" s="606"/>
      <c r="M200" s="606"/>
      <c r="N200" s="606"/>
      <c r="O200" s="606"/>
      <c r="P200" s="606"/>
      <c r="Q200" s="606"/>
      <c r="R200" s="606"/>
      <c r="S200" s="606"/>
      <c r="T200" s="606"/>
      <c r="U200" s="606"/>
      <c r="V200" s="606"/>
      <c r="W200" s="606"/>
      <c r="X200" s="640"/>
      <c r="Y200" s="607"/>
      <c r="Z200" s="607"/>
      <c r="AA200" s="607"/>
      <c r="AB200" s="607"/>
      <c r="AC200" s="607"/>
      <c r="AD200" s="607"/>
      <c r="AE200" s="607"/>
      <c r="AF200" s="607"/>
      <c r="AG200" s="607"/>
      <c r="AH200" s="607"/>
      <c r="AI200" s="607"/>
      <c r="AJ200" s="607"/>
      <c r="AK200" s="607"/>
      <c r="AL200" s="606"/>
      <c r="AM200" s="606"/>
      <c r="AN200" s="606"/>
      <c r="AO200" s="606"/>
    </row>
    <row r="201" spans="1:41" ht="11.25" hidden="1" customHeight="1">
      <c r="A201" s="608"/>
      <c r="B201" s="607"/>
      <c r="C201" s="607"/>
      <c r="D201" s="607"/>
      <c r="E201" s="607"/>
      <c r="F201" s="607"/>
      <c r="G201" s="606"/>
      <c r="H201" s="606"/>
      <c r="I201" s="606"/>
      <c r="J201" s="606"/>
      <c r="K201" s="606"/>
      <c r="L201" s="606"/>
      <c r="M201" s="606"/>
      <c r="N201" s="606"/>
      <c r="O201" s="606"/>
      <c r="P201" s="606"/>
      <c r="Q201" s="606"/>
      <c r="R201" s="606"/>
      <c r="S201" s="606"/>
      <c r="T201" s="606"/>
      <c r="U201" s="606"/>
      <c r="V201" s="606"/>
      <c r="W201" s="606"/>
      <c r="X201" s="640"/>
      <c r="Y201" s="607"/>
      <c r="Z201" s="607"/>
      <c r="AA201" s="607"/>
      <c r="AB201" s="607"/>
      <c r="AC201" s="607"/>
      <c r="AD201" s="607"/>
      <c r="AE201" s="607"/>
      <c r="AF201" s="607"/>
      <c r="AG201" s="607"/>
      <c r="AH201" s="607"/>
      <c r="AI201" s="607"/>
      <c r="AJ201" s="607"/>
      <c r="AK201" s="607"/>
      <c r="AL201" s="606"/>
      <c r="AM201" s="606"/>
      <c r="AN201" s="606"/>
      <c r="AO201" s="606"/>
    </row>
    <row r="202" spans="1:41" ht="11.25" hidden="1" customHeight="1">
      <c r="A202" s="608"/>
      <c r="B202" s="607"/>
      <c r="C202" s="607"/>
      <c r="D202" s="607"/>
      <c r="E202" s="607"/>
      <c r="F202" s="607"/>
      <c r="G202" s="606"/>
      <c r="H202" s="606"/>
      <c r="I202" s="606"/>
      <c r="J202" s="606"/>
      <c r="K202" s="606"/>
      <c r="L202" s="606"/>
      <c r="M202" s="606"/>
      <c r="N202" s="606"/>
      <c r="O202" s="606"/>
      <c r="P202" s="606"/>
      <c r="Q202" s="606"/>
      <c r="R202" s="606"/>
      <c r="S202" s="606"/>
      <c r="T202" s="606"/>
      <c r="U202" s="606"/>
      <c r="V202" s="606"/>
      <c r="W202" s="606"/>
      <c r="X202" s="640"/>
      <c r="Y202" s="607"/>
      <c r="Z202" s="607"/>
      <c r="AA202" s="607"/>
      <c r="AB202" s="607"/>
      <c r="AC202" s="607"/>
      <c r="AD202" s="607"/>
      <c r="AE202" s="607"/>
      <c r="AF202" s="607"/>
      <c r="AG202" s="607"/>
      <c r="AH202" s="607"/>
      <c r="AI202" s="607"/>
      <c r="AJ202" s="607"/>
      <c r="AK202" s="607"/>
      <c r="AL202" s="606"/>
      <c r="AM202" s="606"/>
      <c r="AN202" s="606"/>
      <c r="AO202" s="606"/>
    </row>
    <row r="203" spans="1:41" ht="11.25" hidden="1" customHeight="1">
      <c r="A203" s="608"/>
      <c r="B203" s="607"/>
      <c r="C203" s="607"/>
      <c r="D203" s="607"/>
      <c r="E203" s="607"/>
      <c r="F203" s="607"/>
      <c r="G203" s="606"/>
      <c r="H203" s="606"/>
      <c r="I203" s="606"/>
      <c r="J203" s="606"/>
      <c r="K203" s="606"/>
      <c r="L203" s="606"/>
      <c r="M203" s="606"/>
      <c r="N203" s="606"/>
      <c r="O203" s="606"/>
      <c r="P203" s="606"/>
      <c r="Q203" s="606"/>
      <c r="R203" s="606"/>
      <c r="S203" s="606"/>
      <c r="T203" s="606"/>
      <c r="U203" s="606"/>
      <c r="V203" s="606"/>
      <c r="W203" s="606"/>
      <c r="X203" s="640"/>
      <c r="Y203" s="607"/>
      <c r="Z203" s="607"/>
      <c r="AA203" s="607"/>
      <c r="AB203" s="607"/>
      <c r="AC203" s="607"/>
      <c r="AD203" s="607"/>
      <c r="AE203" s="607"/>
      <c r="AF203" s="607"/>
      <c r="AG203" s="607"/>
      <c r="AH203" s="607"/>
      <c r="AI203" s="607"/>
      <c r="AJ203" s="607"/>
      <c r="AK203" s="607"/>
      <c r="AL203" s="606"/>
      <c r="AM203" s="606"/>
      <c r="AN203" s="606"/>
      <c r="AO203" s="606"/>
    </row>
    <row r="204" spans="1:41" ht="11.25" hidden="1" customHeight="1">
      <c r="A204" s="608"/>
      <c r="B204" s="607"/>
      <c r="C204" s="607"/>
      <c r="D204" s="607"/>
      <c r="E204" s="607"/>
      <c r="F204" s="607"/>
      <c r="G204" s="606"/>
      <c r="H204" s="606"/>
      <c r="I204" s="606"/>
      <c r="J204" s="606"/>
      <c r="K204" s="606"/>
      <c r="L204" s="606"/>
      <c r="M204" s="606"/>
      <c r="N204" s="606"/>
      <c r="O204" s="606"/>
      <c r="P204" s="606"/>
      <c r="Q204" s="606"/>
      <c r="R204" s="606"/>
      <c r="S204" s="606"/>
      <c r="T204" s="606"/>
      <c r="U204" s="606"/>
      <c r="V204" s="606"/>
      <c r="W204" s="606"/>
      <c r="X204" s="640"/>
      <c r="Y204" s="607"/>
      <c r="Z204" s="607"/>
      <c r="AA204" s="607"/>
      <c r="AB204" s="607"/>
      <c r="AC204" s="607"/>
      <c r="AD204" s="607"/>
      <c r="AE204" s="607"/>
      <c r="AF204" s="607"/>
      <c r="AG204" s="607"/>
      <c r="AH204" s="607"/>
      <c r="AI204" s="607"/>
      <c r="AJ204" s="607"/>
      <c r="AK204" s="607"/>
      <c r="AL204" s="606"/>
      <c r="AM204" s="606"/>
      <c r="AN204" s="606"/>
      <c r="AO204" s="606"/>
    </row>
    <row r="205" spans="1:41" ht="11.25" hidden="1" customHeight="1">
      <c r="A205" s="608"/>
      <c r="B205" s="607"/>
      <c r="C205" s="607"/>
      <c r="D205" s="607"/>
      <c r="E205" s="607"/>
      <c r="F205" s="607"/>
      <c r="G205" s="606"/>
      <c r="H205" s="606"/>
      <c r="I205" s="606"/>
      <c r="J205" s="606"/>
      <c r="K205" s="606"/>
      <c r="L205" s="606"/>
      <c r="M205" s="606"/>
      <c r="N205" s="606"/>
      <c r="O205" s="606"/>
      <c r="P205" s="606"/>
      <c r="Q205" s="606"/>
      <c r="R205" s="606"/>
      <c r="S205" s="606"/>
      <c r="T205" s="606"/>
      <c r="U205" s="606"/>
      <c r="V205" s="606"/>
      <c r="W205" s="606"/>
      <c r="X205" s="640"/>
      <c r="Y205" s="607"/>
      <c r="Z205" s="607"/>
      <c r="AA205" s="607"/>
      <c r="AB205" s="607"/>
      <c r="AC205" s="607"/>
      <c r="AD205" s="607"/>
      <c r="AE205" s="607"/>
      <c r="AF205" s="607"/>
      <c r="AG205" s="607"/>
      <c r="AH205" s="607"/>
      <c r="AI205" s="607"/>
      <c r="AJ205" s="607"/>
      <c r="AK205" s="607"/>
      <c r="AL205" s="606"/>
      <c r="AM205" s="606"/>
      <c r="AN205" s="606"/>
      <c r="AO205" s="606"/>
    </row>
    <row r="206" spans="1:41" ht="11.25" hidden="1" customHeight="1">
      <c r="A206" s="608"/>
      <c r="B206" s="607"/>
      <c r="C206" s="607"/>
      <c r="D206" s="607"/>
      <c r="E206" s="607"/>
      <c r="F206" s="607"/>
      <c r="G206" s="606"/>
      <c r="H206" s="606"/>
      <c r="I206" s="606"/>
      <c r="J206" s="606"/>
      <c r="K206" s="606"/>
      <c r="L206" s="606"/>
      <c r="M206" s="606"/>
      <c r="N206" s="606"/>
      <c r="O206" s="606"/>
      <c r="P206" s="606"/>
      <c r="Q206" s="606"/>
      <c r="R206" s="606"/>
      <c r="S206" s="606"/>
      <c r="T206" s="606"/>
      <c r="U206" s="606"/>
      <c r="V206" s="606"/>
      <c r="W206" s="606"/>
      <c r="X206" s="640"/>
      <c r="Y206" s="607"/>
      <c r="Z206" s="607"/>
      <c r="AA206" s="607"/>
      <c r="AB206" s="607"/>
      <c r="AC206" s="607"/>
      <c r="AD206" s="607"/>
      <c r="AE206" s="607"/>
      <c r="AF206" s="607"/>
      <c r="AG206" s="607"/>
      <c r="AH206" s="607"/>
      <c r="AI206" s="607"/>
      <c r="AJ206" s="607"/>
      <c r="AK206" s="607"/>
      <c r="AL206" s="606"/>
      <c r="AM206" s="606"/>
      <c r="AN206" s="606"/>
      <c r="AO206" s="606"/>
    </row>
    <row r="207" spans="1:41" ht="11.25" hidden="1" customHeight="1">
      <c r="A207" s="608"/>
      <c r="B207" s="607"/>
      <c r="C207" s="607"/>
      <c r="D207" s="607"/>
      <c r="E207" s="607"/>
      <c r="F207" s="607"/>
      <c r="G207" s="606"/>
      <c r="H207" s="606"/>
      <c r="I207" s="606"/>
      <c r="J207" s="606"/>
      <c r="K207" s="606"/>
      <c r="L207" s="606"/>
      <c r="M207" s="606"/>
      <c r="N207" s="606"/>
      <c r="O207" s="606"/>
      <c r="P207" s="606"/>
      <c r="Q207" s="606"/>
      <c r="R207" s="606"/>
      <c r="S207" s="606"/>
      <c r="T207" s="606"/>
      <c r="U207" s="606"/>
      <c r="V207" s="606"/>
      <c r="W207" s="606"/>
      <c r="X207" s="640"/>
      <c r="Y207" s="607"/>
      <c r="Z207" s="607"/>
      <c r="AA207" s="607"/>
      <c r="AB207" s="607"/>
      <c r="AC207" s="607"/>
      <c r="AD207" s="607"/>
      <c r="AE207" s="607"/>
      <c r="AF207" s="607"/>
      <c r="AG207" s="607"/>
      <c r="AH207" s="607"/>
      <c r="AI207" s="607"/>
      <c r="AJ207" s="607"/>
      <c r="AK207" s="607"/>
      <c r="AL207" s="606"/>
      <c r="AM207" s="606"/>
      <c r="AN207" s="606"/>
      <c r="AO207" s="606"/>
    </row>
    <row r="208" spans="1:41" ht="11.25" hidden="1" customHeight="1">
      <c r="A208" s="608"/>
      <c r="B208" s="607"/>
      <c r="C208" s="607"/>
      <c r="D208" s="607"/>
      <c r="E208" s="607"/>
      <c r="F208" s="607"/>
      <c r="G208" s="606"/>
      <c r="H208" s="606"/>
      <c r="I208" s="606"/>
      <c r="J208" s="606"/>
      <c r="K208" s="606"/>
      <c r="L208" s="606"/>
      <c r="M208" s="606"/>
      <c r="N208" s="606"/>
      <c r="O208" s="606"/>
      <c r="P208" s="606"/>
      <c r="Q208" s="606"/>
      <c r="R208" s="606"/>
      <c r="S208" s="606"/>
      <c r="T208" s="606"/>
      <c r="U208" s="606"/>
      <c r="V208" s="606"/>
      <c r="W208" s="606"/>
      <c r="X208" s="640"/>
      <c r="Y208" s="607"/>
      <c r="Z208" s="607"/>
      <c r="AA208" s="607"/>
      <c r="AB208" s="607"/>
      <c r="AC208" s="607"/>
      <c r="AD208" s="607"/>
      <c r="AE208" s="607"/>
      <c r="AF208" s="607"/>
      <c r="AG208" s="607"/>
      <c r="AH208" s="607"/>
      <c r="AI208" s="607"/>
      <c r="AJ208" s="607"/>
      <c r="AK208" s="607"/>
      <c r="AL208" s="606"/>
      <c r="AM208" s="606"/>
      <c r="AN208" s="606"/>
      <c r="AO208" s="606"/>
    </row>
    <row r="209" spans="1:41" ht="11.25" hidden="1" customHeight="1">
      <c r="A209" s="608"/>
      <c r="B209" s="607"/>
      <c r="C209" s="607"/>
      <c r="D209" s="607"/>
      <c r="E209" s="607"/>
      <c r="F209" s="607"/>
      <c r="G209" s="606"/>
      <c r="H209" s="606"/>
      <c r="I209" s="606"/>
      <c r="J209" s="606"/>
      <c r="K209" s="606"/>
      <c r="L209" s="606"/>
      <c r="M209" s="606"/>
      <c r="N209" s="606"/>
      <c r="O209" s="606"/>
      <c r="P209" s="606"/>
      <c r="Q209" s="606"/>
      <c r="R209" s="606"/>
      <c r="S209" s="606"/>
      <c r="T209" s="606"/>
      <c r="U209" s="606"/>
      <c r="V209" s="606"/>
      <c r="W209" s="606"/>
      <c r="X209" s="640"/>
      <c r="Y209" s="607"/>
      <c r="Z209" s="607"/>
      <c r="AA209" s="607"/>
      <c r="AB209" s="607"/>
      <c r="AC209" s="607"/>
      <c r="AD209" s="607"/>
      <c r="AE209" s="607"/>
      <c r="AF209" s="607"/>
      <c r="AG209" s="607"/>
      <c r="AH209" s="607"/>
      <c r="AI209" s="607"/>
      <c r="AJ209" s="607"/>
      <c r="AK209" s="607"/>
      <c r="AL209" s="606"/>
      <c r="AM209" s="606"/>
      <c r="AN209" s="606"/>
      <c r="AO209" s="606"/>
    </row>
    <row r="210" spans="1:41" ht="11.25" hidden="1" customHeight="1">
      <c r="A210" s="608"/>
      <c r="B210" s="607"/>
      <c r="C210" s="607"/>
      <c r="D210" s="607"/>
      <c r="E210" s="607"/>
      <c r="F210" s="607"/>
      <c r="G210" s="606"/>
      <c r="H210" s="606"/>
      <c r="I210" s="606"/>
      <c r="J210" s="606"/>
      <c r="K210" s="606"/>
      <c r="L210" s="606"/>
      <c r="M210" s="606"/>
      <c r="N210" s="606"/>
      <c r="O210" s="606"/>
      <c r="P210" s="606"/>
      <c r="Q210" s="606"/>
      <c r="R210" s="606"/>
      <c r="S210" s="606"/>
      <c r="T210" s="606"/>
      <c r="U210" s="606"/>
      <c r="V210" s="606"/>
      <c r="W210" s="606"/>
      <c r="X210" s="640"/>
      <c r="Y210" s="607"/>
      <c r="Z210" s="607"/>
      <c r="AA210" s="607"/>
      <c r="AB210" s="607"/>
      <c r="AC210" s="607"/>
      <c r="AD210" s="607"/>
      <c r="AE210" s="607"/>
      <c r="AF210" s="607"/>
      <c r="AG210" s="607"/>
      <c r="AH210" s="607"/>
      <c r="AI210" s="607"/>
      <c r="AJ210" s="607"/>
      <c r="AK210" s="607"/>
      <c r="AL210" s="606"/>
      <c r="AM210" s="606"/>
      <c r="AN210" s="606"/>
      <c r="AO210" s="606"/>
    </row>
    <row r="211" spans="1:41" ht="11.25" hidden="1" customHeight="1">
      <c r="A211" s="608"/>
      <c r="B211" s="607"/>
      <c r="C211" s="607"/>
      <c r="D211" s="607"/>
      <c r="E211" s="607"/>
      <c r="F211" s="607"/>
      <c r="G211" s="606"/>
      <c r="H211" s="606"/>
      <c r="I211" s="606"/>
      <c r="J211" s="606"/>
      <c r="K211" s="606"/>
      <c r="L211" s="606"/>
      <c r="M211" s="606"/>
      <c r="N211" s="606"/>
      <c r="O211" s="606"/>
      <c r="P211" s="606"/>
      <c r="Q211" s="606"/>
      <c r="R211" s="606"/>
      <c r="S211" s="606"/>
      <c r="T211" s="606"/>
      <c r="U211" s="606"/>
      <c r="V211" s="606"/>
      <c r="W211" s="606"/>
      <c r="X211" s="640"/>
      <c r="Y211" s="607"/>
      <c r="Z211" s="607"/>
      <c r="AA211" s="607"/>
      <c r="AB211" s="607"/>
      <c r="AC211" s="607"/>
      <c r="AD211" s="607"/>
      <c r="AE211" s="607"/>
      <c r="AF211" s="607"/>
      <c r="AG211" s="607"/>
      <c r="AH211" s="607"/>
      <c r="AI211" s="607"/>
      <c r="AJ211" s="607"/>
      <c r="AK211" s="607"/>
      <c r="AL211" s="606"/>
      <c r="AM211" s="606"/>
      <c r="AN211" s="606"/>
      <c r="AO211" s="606"/>
    </row>
    <row r="212" spans="1:41" ht="11.25" hidden="1" customHeight="1">
      <c r="A212" s="608"/>
      <c r="B212" s="607"/>
      <c r="C212" s="607"/>
      <c r="D212" s="607"/>
      <c r="E212" s="607"/>
      <c r="F212" s="607"/>
      <c r="G212" s="606"/>
      <c r="H212" s="606"/>
      <c r="I212" s="606"/>
      <c r="J212" s="606"/>
      <c r="K212" s="606"/>
      <c r="L212" s="606"/>
      <c r="M212" s="606"/>
      <c r="N212" s="606"/>
      <c r="O212" s="606"/>
      <c r="P212" s="606"/>
      <c r="Q212" s="606"/>
      <c r="R212" s="606"/>
      <c r="S212" s="606"/>
      <c r="T212" s="606"/>
      <c r="U212" s="606"/>
      <c r="V212" s="606"/>
      <c r="W212" s="606"/>
      <c r="X212" s="640"/>
      <c r="Y212" s="607"/>
      <c r="Z212" s="607"/>
      <c r="AA212" s="607"/>
      <c r="AB212" s="607"/>
      <c r="AC212" s="607"/>
      <c r="AD212" s="607"/>
      <c r="AE212" s="607"/>
      <c r="AF212" s="607"/>
      <c r="AG212" s="607"/>
      <c r="AH212" s="607"/>
      <c r="AI212" s="607"/>
      <c r="AJ212" s="607"/>
      <c r="AK212" s="607"/>
      <c r="AL212" s="606"/>
      <c r="AM212" s="606"/>
      <c r="AN212" s="606"/>
      <c r="AO212" s="606"/>
    </row>
    <row r="213" spans="1:41" ht="11.25" hidden="1" customHeight="1">
      <c r="A213" s="608"/>
      <c r="B213" s="607"/>
      <c r="C213" s="607"/>
      <c r="D213" s="607"/>
      <c r="E213" s="607"/>
      <c r="F213" s="607"/>
      <c r="G213" s="606"/>
      <c r="H213" s="606"/>
      <c r="I213" s="606"/>
      <c r="J213" s="606"/>
      <c r="K213" s="606"/>
      <c r="L213" s="606"/>
      <c r="M213" s="606"/>
      <c r="N213" s="606"/>
      <c r="O213" s="606"/>
      <c r="P213" s="606"/>
      <c r="Q213" s="606"/>
      <c r="R213" s="606"/>
      <c r="S213" s="606"/>
      <c r="T213" s="606"/>
      <c r="U213" s="606"/>
      <c r="V213" s="606"/>
      <c r="W213" s="606"/>
      <c r="X213" s="640"/>
      <c r="Y213" s="607"/>
      <c r="Z213" s="607"/>
      <c r="AA213" s="607"/>
      <c r="AB213" s="607"/>
      <c r="AC213" s="607"/>
      <c r="AD213" s="607"/>
      <c r="AE213" s="607"/>
      <c r="AF213" s="607"/>
      <c r="AG213" s="607"/>
      <c r="AH213" s="607"/>
      <c r="AI213" s="607"/>
      <c r="AJ213" s="607"/>
      <c r="AK213" s="607"/>
      <c r="AL213" s="606"/>
      <c r="AM213" s="606"/>
      <c r="AN213" s="606"/>
      <c r="AO213" s="606"/>
    </row>
    <row r="214" spans="1:41" ht="11.25" hidden="1" customHeight="1">
      <c r="A214" s="608"/>
      <c r="B214" s="607"/>
      <c r="C214" s="607"/>
      <c r="D214" s="607"/>
      <c r="E214" s="607"/>
      <c r="F214" s="607"/>
      <c r="G214" s="606"/>
      <c r="H214" s="606"/>
      <c r="I214" s="606"/>
      <c r="J214" s="606"/>
      <c r="K214" s="606"/>
      <c r="L214" s="606"/>
      <c r="M214" s="606"/>
      <c r="N214" s="606"/>
      <c r="O214" s="606"/>
      <c r="P214" s="606"/>
      <c r="Q214" s="606"/>
      <c r="R214" s="606"/>
      <c r="S214" s="606"/>
      <c r="T214" s="606"/>
      <c r="U214" s="606"/>
      <c r="V214" s="606"/>
      <c r="W214" s="606"/>
      <c r="X214" s="640"/>
      <c r="Y214" s="607"/>
      <c r="Z214" s="607"/>
      <c r="AA214" s="607"/>
      <c r="AB214" s="607"/>
      <c r="AC214" s="607"/>
      <c r="AD214" s="607"/>
      <c r="AE214" s="607"/>
      <c r="AF214" s="607"/>
      <c r="AG214" s="607"/>
      <c r="AH214" s="607"/>
      <c r="AI214" s="607"/>
      <c r="AJ214" s="607"/>
      <c r="AK214" s="607"/>
      <c r="AL214" s="606"/>
      <c r="AM214" s="606"/>
      <c r="AN214" s="606"/>
      <c r="AO214" s="606"/>
    </row>
    <row r="215" spans="1:41" ht="11.25" hidden="1" customHeight="1">
      <c r="A215" s="608"/>
      <c r="B215" s="607"/>
      <c r="C215" s="607"/>
      <c r="D215" s="607"/>
      <c r="E215" s="607"/>
      <c r="F215" s="607"/>
      <c r="G215" s="606"/>
      <c r="H215" s="606"/>
      <c r="I215" s="606"/>
      <c r="J215" s="606"/>
      <c r="K215" s="606"/>
      <c r="L215" s="606"/>
      <c r="M215" s="606"/>
      <c r="N215" s="606"/>
      <c r="O215" s="606"/>
      <c r="P215" s="606"/>
      <c r="Q215" s="606"/>
      <c r="R215" s="606"/>
      <c r="S215" s="606"/>
      <c r="T215" s="606"/>
      <c r="U215" s="606"/>
      <c r="V215" s="606"/>
      <c r="W215" s="606"/>
      <c r="X215" s="640"/>
      <c r="Y215" s="607"/>
      <c r="Z215" s="607"/>
      <c r="AA215" s="607"/>
      <c r="AB215" s="607"/>
      <c r="AC215" s="607"/>
      <c r="AD215" s="607"/>
      <c r="AE215" s="607"/>
      <c r="AF215" s="607"/>
      <c r="AG215" s="607"/>
      <c r="AH215" s="607"/>
      <c r="AI215" s="607"/>
      <c r="AJ215" s="607"/>
      <c r="AK215" s="607"/>
      <c r="AL215" s="606"/>
      <c r="AM215" s="606"/>
      <c r="AN215" s="606"/>
      <c r="AO215" s="606"/>
    </row>
    <row r="216" spans="1:41" ht="11.25" hidden="1" customHeight="1">
      <c r="A216" s="608"/>
      <c r="B216" s="607"/>
      <c r="C216" s="607"/>
      <c r="D216" s="607"/>
      <c r="E216" s="607"/>
      <c r="F216" s="607"/>
      <c r="G216" s="606"/>
      <c r="H216" s="606"/>
      <c r="I216" s="606"/>
      <c r="J216" s="606"/>
      <c r="K216" s="606"/>
      <c r="L216" s="606"/>
      <c r="M216" s="606"/>
      <c r="N216" s="606"/>
      <c r="O216" s="606"/>
      <c r="P216" s="606"/>
      <c r="Q216" s="606"/>
      <c r="R216" s="606"/>
      <c r="S216" s="606"/>
      <c r="T216" s="606"/>
      <c r="U216" s="606"/>
      <c r="V216" s="606"/>
      <c r="W216" s="606"/>
      <c r="X216" s="640"/>
      <c r="Y216" s="607"/>
      <c r="Z216" s="607"/>
      <c r="AA216" s="607"/>
      <c r="AB216" s="607"/>
      <c r="AC216" s="607"/>
      <c r="AD216" s="607"/>
      <c r="AE216" s="607"/>
      <c r="AF216" s="607"/>
      <c r="AG216" s="607"/>
      <c r="AH216" s="607"/>
      <c r="AI216" s="607"/>
      <c r="AJ216" s="607"/>
      <c r="AK216" s="607"/>
      <c r="AL216" s="606"/>
      <c r="AM216" s="606"/>
      <c r="AN216" s="606"/>
      <c r="AO216" s="606"/>
    </row>
    <row r="217" spans="1:41" ht="11.25" hidden="1" customHeight="1">
      <c r="A217" s="608"/>
      <c r="B217" s="607"/>
      <c r="C217" s="607"/>
      <c r="D217" s="607"/>
      <c r="E217" s="607"/>
      <c r="F217" s="607"/>
      <c r="G217" s="606"/>
      <c r="H217" s="606"/>
      <c r="I217" s="606"/>
      <c r="J217" s="606"/>
      <c r="K217" s="606"/>
      <c r="L217" s="606"/>
      <c r="M217" s="606"/>
      <c r="N217" s="606"/>
      <c r="O217" s="606"/>
      <c r="P217" s="606"/>
      <c r="Q217" s="606"/>
      <c r="R217" s="606"/>
      <c r="S217" s="606"/>
      <c r="T217" s="606"/>
      <c r="U217" s="606"/>
      <c r="V217" s="606"/>
      <c r="W217" s="606"/>
      <c r="X217" s="640"/>
      <c r="Y217" s="607"/>
      <c r="Z217" s="607"/>
      <c r="AA217" s="607"/>
      <c r="AB217" s="607"/>
      <c r="AC217" s="607"/>
      <c r="AD217" s="607"/>
      <c r="AE217" s="607"/>
      <c r="AF217" s="607"/>
      <c r="AG217" s="607"/>
      <c r="AH217" s="607"/>
      <c r="AI217" s="607"/>
      <c r="AJ217" s="607"/>
      <c r="AK217" s="607"/>
      <c r="AL217" s="606"/>
      <c r="AM217" s="606"/>
      <c r="AN217" s="606"/>
      <c r="AO217" s="606"/>
    </row>
    <row r="218" spans="1:41" ht="11.25" hidden="1" customHeight="1">
      <c r="A218" s="608"/>
      <c r="B218" s="607"/>
      <c r="C218" s="607"/>
      <c r="D218" s="607"/>
      <c r="E218" s="607"/>
      <c r="F218" s="607"/>
      <c r="G218" s="606"/>
      <c r="H218" s="606"/>
      <c r="I218" s="606"/>
      <c r="J218" s="606"/>
      <c r="K218" s="606"/>
      <c r="L218" s="606"/>
      <c r="M218" s="606"/>
      <c r="N218" s="606"/>
      <c r="O218" s="606"/>
      <c r="P218" s="606"/>
      <c r="Q218" s="606"/>
      <c r="R218" s="606"/>
      <c r="S218" s="606"/>
      <c r="T218" s="606"/>
      <c r="U218" s="606"/>
      <c r="V218" s="606"/>
      <c r="W218" s="606"/>
      <c r="X218" s="640"/>
      <c r="Y218" s="607"/>
      <c r="Z218" s="607"/>
      <c r="AA218" s="607"/>
      <c r="AB218" s="607"/>
      <c r="AC218" s="607"/>
      <c r="AD218" s="607"/>
      <c r="AE218" s="607"/>
      <c r="AF218" s="607"/>
      <c r="AG218" s="607"/>
      <c r="AH218" s="607"/>
      <c r="AI218" s="607"/>
      <c r="AJ218" s="607"/>
      <c r="AK218" s="607"/>
      <c r="AL218" s="606"/>
      <c r="AM218" s="606"/>
      <c r="AN218" s="606"/>
      <c r="AO218" s="606"/>
    </row>
    <row r="219" spans="1:41" ht="11.25" hidden="1" customHeight="1">
      <c r="A219" s="608"/>
      <c r="B219" s="607"/>
      <c r="C219" s="607"/>
      <c r="D219" s="607"/>
      <c r="E219" s="607"/>
      <c r="F219" s="607"/>
      <c r="G219" s="606"/>
      <c r="H219" s="606"/>
      <c r="I219" s="606"/>
      <c r="J219" s="606"/>
      <c r="K219" s="606"/>
      <c r="L219" s="606"/>
      <c r="M219" s="606"/>
      <c r="N219" s="606"/>
      <c r="O219" s="606"/>
      <c r="P219" s="606"/>
      <c r="Q219" s="606"/>
      <c r="R219" s="606"/>
      <c r="S219" s="606"/>
      <c r="T219" s="606"/>
      <c r="U219" s="606"/>
      <c r="V219" s="606"/>
      <c r="W219" s="606"/>
      <c r="X219" s="640"/>
      <c r="Y219" s="607"/>
      <c r="Z219" s="607"/>
      <c r="AA219" s="607"/>
      <c r="AB219" s="607"/>
      <c r="AC219" s="607"/>
      <c r="AD219" s="607"/>
      <c r="AE219" s="607"/>
      <c r="AF219" s="607"/>
      <c r="AG219" s="607"/>
      <c r="AH219" s="607"/>
      <c r="AI219" s="607"/>
      <c r="AJ219" s="607"/>
      <c r="AK219" s="607"/>
      <c r="AL219" s="606"/>
      <c r="AM219" s="606"/>
      <c r="AN219" s="606"/>
      <c r="AO219" s="606"/>
    </row>
    <row r="220" spans="1:41" ht="11.25" hidden="1" customHeight="1">
      <c r="A220" s="608"/>
      <c r="B220" s="607"/>
      <c r="C220" s="607"/>
      <c r="D220" s="607"/>
      <c r="E220" s="607"/>
      <c r="F220" s="607"/>
      <c r="G220" s="606"/>
      <c r="H220" s="606"/>
      <c r="I220" s="606"/>
      <c r="J220" s="606"/>
      <c r="K220" s="606"/>
      <c r="L220" s="606"/>
      <c r="M220" s="606"/>
      <c r="N220" s="606"/>
      <c r="O220" s="606"/>
      <c r="P220" s="606"/>
      <c r="Q220" s="606"/>
      <c r="R220" s="606"/>
      <c r="S220" s="606"/>
      <c r="T220" s="606"/>
      <c r="U220" s="606"/>
      <c r="V220" s="606"/>
      <c r="W220" s="606"/>
      <c r="X220" s="640"/>
      <c r="Y220" s="607"/>
      <c r="Z220" s="607"/>
      <c r="AA220" s="607"/>
      <c r="AB220" s="607"/>
      <c r="AC220" s="607"/>
      <c r="AD220" s="607"/>
      <c r="AE220" s="607"/>
      <c r="AF220" s="607"/>
      <c r="AG220" s="607"/>
      <c r="AH220" s="607"/>
      <c r="AI220" s="607"/>
      <c r="AJ220" s="607"/>
      <c r="AK220" s="607"/>
      <c r="AL220" s="606"/>
      <c r="AM220" s="606"/>
      <c r="AN220" s="606"/>
      <c r="AO220" s="606"/>
    </row>
    <row r="221" spans="1:41" ht="11.25" hidden="1" customHeight="1">
      <c r="A221" s="608"/>
      <c r="B221" s="607"/>
      <c r="C221" s="607"/>
      <c r="D221" s="607"/>
      <c r="E221" s="607"/>
      <c r="F221" s="607"/>
      <c r="G221" s="606"/>
      <c r="H221" s="606"/>
      <c r="I221" s="606"/>
      <c r="J221" s="606"/>
      <c r="K221" s="606"/>
      <c r="L221" s="606"/>
      <c r="M221" s="606"/>
      <c r="N221" s="606"/>
      <c r="O221" s="606"/>
      <c r="P221" s="606"/>
      <c r="Q221" s="606"/>
      <c r="R221" s="606"/>
      <c r="S221" s="606"/>
      <c r="T221" s="606"/>
      <c r="U221" s="606"/>
      <c r="V221" s="606"/>
      <c r="W221" s="606"/>
      <c r="X221" s="640"/>
      <c r="Y221" s="607"/>
      <c r="Z221" s="607"/>
      <c r="AA221" s="607"/>
      <c r="AB221" s="607"/>
      <c r="AC221" s="607"/>
      <c r="AD221" s="607"/>
      <c r="AE221" s="607"/>
      <c r="AF221" s="607"/>
      <c r="AG221" s="607"/>
      <c r="AH221" s="607"/>
      <c r="AI221" s="607"/>
      <c r="AJ221" s="607"/>
      <c r="AK221" s="607"/>
      <c r="AL221" s="606"/>
      <c r="AM221" s="606"/>
      <c r="AN221" s="606"/>
      <c r="AO221" s="606"/>
    </row>
    <row r="222" spans="1:41" ht="11.25" hidden="1" customHeight="1">
      <c r="A222" s="608"/>
      <c r="B222" s="607"/>
      <c r="C222" s="607"/>
      <c r="D222" s="607"/>
      <c r="E222" s="607"/>
      <c r="F222" s="607"/>
      <c r="G222" s="606"/>
      <c r="H222" s="606"/>
      <c r="I222" s="606"/>
      <c r="J222" s="606"/>
      <c r="K222" s="606"/>
      <c r="L222" s="606"/>
      <c r="M222" s="606"/>
      <c r="N222" s="606"/>
      <c r="O222" s="606"/>
      <c r="P222" s="606"/>
      <c r="Q222" s="606"/>
      <c r="R222" s="606"/>
      <c r="S222" s="606"/>
      <c r="T222" s="606"/>
      <c r="U222" s="606"/>
      <c r="V222" s="606"/>
      <c r="W222" s="606"/>
      <c r="X222" s="640"/>
      <c r="Y222" s="607"/>
      <c r="Z222" s="607"/>
      <c r="AA222" s="607"/>
      <c r="AB222" s="607"/>
      <c r="AC222" s="607"/>
      <c r="AD222" s="607"/>
      <c r="AE222" s="607"/>
      <c r="AF222" s="607"/>
      <c r="AG222" s="607"/>
      <c r="AH222" s="607"/>
      <c r="AI222" s="607"/>
      <c r="AJ222" s="607"/>
      <c r="AK222" s="607"/>
      <c r="AL222" s="606"/>
      <c r="AM222" s="606"/>
      <c r="AN222" s="606"/>
      <c r="AO222" s="606"/>
    </row>
    <row r="223" spans="1:41" ht="11.25" hidden="1" customHeight="1">
      <c r="A223" s="608"/>
      <c r="B223" s="607"/>
      <c r="C223" s="607"/>
      <c r="D223" s="607"/>
      <c r="E223" s="607"/>
      <c r="F223" s="607"/>
      <c r="G223" s="606"/>
      <c r="H223" s="606"/>
      <c r="I223" s="606"/>
      <c r="J223" s="606"/>
      <c r="K223" s="606"/>
      <c r="L223" s="606"/>
      <c r="M223" s="606"/>
      <c r="N223" s="606"/>
      <c r="O223" s="606"/>
      <c r="P223" s="606"/>
      <c r="Q223" s="606"/>
      <c r="R223" s="606"/>
      <c r="S223" s="606"/>
      <c r="T223" s="606"/>
      <c r="U223" s="606"/>
      <c r="V223" s="606"/>
      <c r="W223" s="606"/>
      <c r="X223" s="640"/>
      <c r="Y223" s="607"/>
      <c r="Z223" s="607"/>
      <c r="AA223" s="607"/>
      <c r="AB223" s="607"/>
      <c r="AC223" s="607"/>
      <c r="AD223" s="607"/>
      <c r="AE223" s="607"/>
      <c r="AF223" s="607"/>
      <c r="AG223" s="607"/>
      <c r="AH223" s="607"/>
      <c r="AI223" s="607"/>
      <c r="AJ223" s="607"/>
      <c r="AK223" s="607"/>
      <c r="AL223" s="606"/>
      <c r="AM223" s="606"/>
      <c r="AN223" s="606"/>
      <c r="AO223" s="606"/>
    </row>
    <row r="224" spans="1:41" ht="11.25" hidden="1" customHeight="1">
      <c r="A224" s="608"/>
      <c r="B224" s="607"/>
      <c r="C224" s="607"/>
      <c r="D224" s="607"/>
      <c r="E224" s="607"/>
      <c r="F224" s="607"/>
      <c r="G224" s="606"/>
      <c r="H224" s="606"/>
      <c r="I224" s="606"/>
      <c r="J224" s="606"/>
      <c r="K224" s="606"/>
      <c r="L224" s="606"/>
      <c r="M224" s="606"/>
      <c r="N224" s="606"/>
      <c r="O224" s="606"/>
      <c r="P224" s="606"/>
      <c r="Q224" s="606"/>
      <c r="R224" s="606"/>
      <c r="S224" s="606"/>
      <c r="T224" s="606"/>
      <c r="U224" s="606"/>
      <c r="V224" s="606"/>
      <c r="W224" s="606"/>
      <c r="X224" s="640"/>
      <c r="Y224" s="607"/>
      <c r="Z224" s="607"/>
      <c r="AA224" s="607"/>
      <c r="AB224" s="607"/>
      <c r="AC224" s="607"/>
      <c r="AD224" s="607"/>
      <c r="AE224" s="607"/>
      <c r="AF224" s="607"/>
      <c r="AG224" s="607"/>
      <c r="AH224" s="607"/>
      <c r="AI224" s="607"/>
      <c r="AJ224" s="607"/>
      <c r="AK224" s="607"/>
      <c r="AL224" s="606"/>
      <c r="AM224" s="606"/>
      <c r="AN224" s="606"/>
      <c r="AO224" s="606"/>
    </row>
    <row r="225" spans="1:41" ht="11.25" hidden="1" customHeight="1">
      <c r="A225" s="608"/>
      <c r="B225" s="607"/>
      <c r="C225" s="607"/>
      <c r="D225" s="607"/>
      <c r="E225" s="607"/>
      <c r="F225" s="607"/>
      <c r="G225" s="606"/>
      <c r="H225" s="606"/>
      <c r="I225" s="606"/>
      <c r="J225" s="606"/>
      <c r="K225" s="606"/>
      <c r="L225" s="606"/>
      <c r="M225" s="606"/>
      <c r="N225" s="606"/>
      <c r="O225" s="606"/>
      <c r="P225" s="606"/>
      <c r="Q225" s="606"/>
      <c r="R225" s="606"/>
      <c r="S225" s="606"/>
      <c r="T225" s="606"/>
      <c r="U225" s="606"/>
      <c r="V225" s="606"/>
      <c r="W225" s="606"/>
      <c r="X225" s="640"/>
      <c r="Y225" s="607"/>
      <c r="Z225" s="607"/>
      <c r="AA225" s="607"/>
      <c r="AB225" s="607"/>
      <c r="AC225" s="607"/>
      <c r="AD225" s="607"/>
      <c r="AE225" s="607"/>
      <c r="AF225" s="607"/>
      <c r="AG225" s="607"/>
      <c r="AH225" s="607"/>
      <c r="AI225" s="607"/>
      <c r="AJ225" s="607"/>
      <c r="AK225" s="607"/>
      <c r="AL225" s="606"/>
      <c r="AM225" s="606"/>
      <c r="AN225" s="606"/>
      <c r="AO225" s="606"/>
    </row>
    <row r="226" spans="1:41" ht="11.25" hidden="1" customHeight="1">
      <c r="A226" s="608"/>
      <c r="B226" s="607"/>
      <c r="C226" s="607"/>
      <c r="D226" s="607"/>
      <c r="E226" s="607"/>
      <c r="F226" s="607"/>
      <c r="G226" s="606"/>
      <c r="H226" s="606"/>
      <c r="I226" s="606"/>
      <c r="J226" s="606"/>
      <c r="K226" s="606"/>
      <c r="L226" s="606"/>
      <c r="M226" s="606"/>
      <c r="N226" s="606"/>
      <c r="O226" s="606"/>
      <c r="P226" s="606"/>
      <c r="Q226" s="606"/>
      <c r="R226" s="606"/>
      <c r="S226" s="606"/>
      <c r="T226" s="606"/>
      <c r="U226" s="606"/>
      <c r="V226" s="606"/>
      <c r="W226" s="606"/>
      <c r="X226" s="640"/>
      <c r="Y226" s="607"/>
      <c r="Z226" s="607"/>
      <c r="AA226" s="607"/>
      <c r="AB226" s="607"/>
      <c r="AC226" s="607"/>
      <c r="AD226" s="607"/>
      <c r="AE226" s="607"/>
      <c r="AF226" s="607"/>
      <c r="AG226" s="607"/>
      <c r="AH226" s="607"/>
      <c r="AI226" s="607"/>
      <c r="AJ226" s="607"/>
      <c r="AK226" s="607"/>
      <c r="AL226" s="606"/>
      <c r="AM226" s="606"/>
      <c r="AN226" s="606"/>
      <c r="AO226" s="606"/>
    </row>
    <row r="227" spans="1:41" ht="11.25" hidden="1" customHeight="1">
      <c r="A227" s="608"/>
      <c r="B227" s="607"/>
      <c r="C227" s="607"/>
      <c r="D227" s="607"/>
      <c r="E227" s="607"/>
      <c r="F227" s="607"/>
      <c r="G227" s="606"/>
      <c r="H227" s="606"/>
      <c r="I227" s="606"/>
      <c r="J227" s="606"/>
      <c r="K227" s="606"/>
      <c r="L227" s="606"/>
      <c r="M227" s="606"/>
      <c r="N227" s="606"/>
      <c r="O227" s="606"/>
      <c r="P227" s="606"/>
      <c r="Q227" s="606"/>
      <c r="R227" s="606"/>
      <c r="S227" s="606"/>
      <c r="T227" s="606"/>
      <c r="U227" s="606"/>
      <c r="V227" s="606"/>
      <c r="W227" s="606"/>
      <c r="X227" s="640"/>
      <c r="Y227" s="607"/>
      <c r="Z227" s="607"/>
      <c r="AA227" s="607"/>
      <c r="AB227" s="607"/>
      <c r="AC227" s="607"/>
      <c r="AD227" s="607"/>
      <c r="AE227" s="607"/>
      <c r="AF227" s="607"/>
      <c r="AG227" s="607"/>
      <c r="AH227" s="607"/>
      <c r="AI227" s="607"/>
      <c r="AJ227" s="607"/>
      <c r="AK227" s="607"/>
      <c r="AL227" s="606"/>
      <c r="AM227" s="606"/>
      <c r="AN227" s="606"/>
      <c r="AO227" s="606"/>
    </row>
    <row r="228" spans="1:41" ht="11.25" hidden="1" customHeight="1">
      <c r="A228" s="608"/>
      <c r="B228" s="607"/>
      <c r="C228" s="607"/>
      <c r="D228" s="607"/>
      <c r="E228" s="607"/>
      <c r="F228" s="607"/>
      <c r="G228" s="606"/>
      <c r="H228" s="606"/>
      <c r="I228" s="606"/>
      <c r="J228" s="606"/>
      <c r="K228" s="606"/>
      <c r="L228" s="606"/>
      <c r="M228" s="606"/>
      <c r="N228" s="606"/>
      <c r="O228" s="606"/>
      <c r="P228" s="606"/>
      <c r="Q228" s="606"/>
      <c r="R228" s="606"/>
      <c r="S228" s="606"/>
      <c r="T228" s="606"/>
      <c r="U228" s="606"/>
      <c r="V228" s="606"/>
      <c r="W228" s="606"/>
      <c r="X228" s="640"/>
      <c r="Y228" s="607"/>
      <c r="Z228" s="607"/>
      <c r="AA228" s="607"/>
      <c r="AB228" s="607"/>
      <c r="AC228" s="607"/>
      <c r="AD228" s="607"/>
      <c r="AE228" s="607"/>
      <c r="AF228" s="607"/>
      <c r="AG228" s="607"/>
      <c r="AH228" s="607"/>
      <c r="AI228" s="607"/>
      <c r="AJ228" s="607"/>
      <c r="AK228" s="607"/>
      <c r="AL228" s="606"/>
      <c r="AM228" s="606"/>
      <c r="AN228" s="606"/>
      <c r="AO228" s="606"/>
    </row>
    <row r="229" spans="1:41" ht="11.25" hidden="1" customHeight="1">
      <c r="A229" s="608"/>
      <c r="B229" s="607"/>
      <c r="C229" s="607"/>
      <c r="D229" s="607"/>
      <c r="E229" s="607"/>
      <c r="F229" s="607"/>
      <c r="G229" s="606"/>
      <c r="H229" s="606"/>
      <c r="I229" s="606"/>
      <c r="J229" s="606"/>
      <c r="K229" s="606"/>
      <c r="L229" s="606"/>
      <c r="M229" s="606"/>
      <c r="N229" s="606"/>
      <c r="O229" s="606"/>
      <c r="P229" s="606"/>
      <c r="Q229" s="606"/>
      <c r="R229" s="606"/>
      <c r="S229" s="606"/>
      <c r="T229" s="606"/>
      <c r="U229" s="606"/>
      <c r="V229" s="606"/>
      <c r="W229" s="606"/>
      <c r="X229" s="640"/>
      <c r="Y229" s="607"/>
      <c r="Z229" s="607"/>
      <c r="AA229" s="607"/>
      <c r="AB229" s="607"/>
      <c r="AC229" s="607"/>
      <c r="AD229" s="607"/>
      <c r="AE229" s="607"/>
      <c r="AF229" s="607"/>
      <c r="AG229" s="607"/>
      <c r="AH229" s="607"/>
      <c r="AI229" s="607"/>
      <c r="AJ229" s="607"/>
      <c r="AK229" s="607"/>
      <c r="AL229" s="606"/>
      <c r="AM229" s="606"/>
      <c r="AN229" s="606"/>
      <c r="AO229" s="606"/>
    </row>
    <row r="230" spans="1:41" ht="11.25" hidden="1" customHeight="1">
      <c r="A230" s="608"/>
      <c r="B230" s="607"/>
      <c r="C230" s="607"/>
      <c r="D230" s="607"/>
      <c r="E230" s="607"/>
      <c r="F230" s="607"/>
      <c r="G230" s="606"/>
      <c r="H230" s="606"/>
      <c r="I230" s="606"/>
      <c r="J230" s="606"/>
      <c r="K230" s="606"/>
      <c r="L230" s="606"/>
      <c r="M230" s="606"/>
      <c r="N230" s="606"/>
      <c r="O230" s="606"/>
      <c r="P230" s="606"/>
      <c r="Q230" s="606"/>
      <c r="R230" s="606"/>
      <c r="S230" s="606"/>
      <c r="T230" s="606"/>
      <c r="U230" s="606"/>
      <c r="V230" s="606"/>
      <c r="W230" s="606"/>
      <c r="X230" s="640"/>
      <c r="Y230" s="607"/>
      <c r="Z230" s="607"/>
      <c r="AA230" s="607"/>
      <c r="AB230" s="607"/>
      <c r="AC230" s="607"/>
      <c r="AD230" s="607"/>
      <c r="AE230" s="607"/>
      <c r="AF230" s="607"/>
      <c r="AG230" s="607"/>
      <c r="AH230" s="607"/>
      <c r="AI230" s="607"/>
      <c r="AJ230" s="607"/>
      <c r="AK230" s="607"/>
      <c r="AL230" s="606"/>
      <c r="AM230" s="606"/>
      <c r="AN230" s="606"/>
      <c r="AO230" s="606"/>
    </row>
    <row r="231" spans="1:41" ht="11.25" hidden="1" customHeight="1">
      <c r="A231" s="608"/>
      <c r="B231" s="607"/>
      <c r="C231" s="607"/>
      <c r="D231" s="607"/>
      <c r="E231" s="607"/>
      <c r="F231" s="607"/>
      <c r="G231" s="606"/>
      <c r="H231" s="606"/>
      <c r="I231" s="606"/>
      <c r="J231" s="606"/>
      <c r="K231" s="606"/>
      <c r="L231" s="606"/>
      <c r="M231" s="606"/>
      <c r="N231" s="606"/>
      <c r="O231" s="606"/>
      <c r="P231" s="606"/>
      <c r="Q231" s="606"/>
      <c r="R231" s="606"/>
      <c r="S231" s="606"/>
      <c r="T231" s="606"/>
      <c r="U231" s="606"/>
      <c r="V231" s="606"/>
      <c r="W231" s="606"/>
      <c r="X231" s="640"/>
      <c r="Y231" s="607"/>
      <c r="Z231" s="607"/>
      <c r="AA231" s="607"/>
      <c r="AB231" s="607"/>
      <c r="AC231" s="607"/>
      <c r="AD231" s="607"/>
      <c r="AE231" s="607"/>
      <c r="AF231" s="607"/>
      <c r="AG231" s="607"/>
      <c r="AH231" s="607"/>
      <c r="AI231" s="607"/>
      <c r="AJ231" s="607"/>
      <c r="AK231" s="607"/>
      <c r="AL231" s="606"/>
      <c r="AM231" s="606"/>
      <c r="AN231" s="606"/>
      <c r="AO231" s="606"/>
    </row>
    <row r="232" spans="1:41" ht="11.25" hidden="1" customHeight="1">
      <c r="A232" s="608"/>
      <c r="B232" s="607"/>
      <c r="C232" s="607"/>
      <c r="D232" s="607"/>
      <c r="E232" s="607"/>
      <c r="F232" s="607"/>
      <c r="G232" s="606"/>
      <c r="H232" s="606"/>
      <c r="I232" s="606"/>
      <c r="J232" s="606"/>
      <c r="K232" s="606"/>
      <c r="L232" s="606"/>
      <c r="M232" s="606"/>
      <c r="N232" s="606"/>
      <c r="O232" s="606"/>
      <c r="P232" s="606"/>
      <c r="Q232" s="606"/>
      <c r="R232" s="606"/>
      <c r="S232" s="606"/>
      <c r="T232" s="606"/>
      <c r="U232" s="606"/>
      <c r="V232" s="606"/>
      <c r="W232" s="606"/>
      <c r="X232" s="640"/>
      <c r="Y232" s="607"/>
      <c r="Z232" s="607"/>
      <c r="AA232" s="607"/>
      <c r="AB232" s="607"/>
      <c r="AC232" s="607"/>
      <c r="AD232" s="607"/>
      <c r="AE232" s="607"/>
      <c r="AF232" s="607"/>
      <c r="AG232" s="607"/>
      <c r="AH232" s="607"/>
      <c r="AI232" s="607"/>
      <c r="AJ232" s="607"/>
      <c r="AK232" s="607"/>
      <c r="AL232" s="606"/>
      <c r="AM232" s="606"/>
      <c r="AN232" s="606"/>
      <c r="AO232" s="606"/>
    </row>
    <row r="233" spans="1:41" ht="11.25" hidden="1" customHeight="1">
      <c r="A233" s="608"/>
      <c r="B233" s="607"/>
      <c r="C233" s="607"/>
      <c r="D233" s="607"/>
      <c r="E233" s="607"/>
      <c r="F233" s="607"/>
      <c r="G233" s="606"/>
      <c r="H233" s="606"/>
      <c r="I233" s="606"/>
      <c r="J233" s="606"/>
      <c r="K233" s="606"/>
      <c r="L233" s="606"/>
      <c r="M233" s="606"/>
      <c r="N233" s="606"/>
      <c r="O233" s="606"/>
      <c r="P233" s="606"/>
      <c r="Q233" s="606"/>
      <c r="R233" s="606"/>
      <c r="S233" s="606"/>
      <c r="T233" s="606"/>
      <c r="U233" s="606"/>
      <c r="V233" s="606"/>
      <c r="W233" s="606"/>
      <c r="X233" s="640"/>
      <c r="Y233" s="607"/>
      <c r="Z233" s="607"/>
      <c r="AA233" s="607"/>
      <c r="AB233" s="607"/>
      <c r="AC233" s="607"/>
      <c r="AD233" s="607"/>
      <c r="AE233" s="607"/>
      <c r="AF233" s="607"/>
      <c r="AG233" s="607"/>
      <c r="AH233" s="607"/>
      <c r="AI233" s="607"/>
      <c r="AJ233" s="607"/>
      <c r="AK233" s="607"/>
      <c r="AL233" s="606"/>
      <c r="AM233" s="606"/>
      <c r="AN233" s="606"/>
      <c r="AO233" s="606"/>
    </row>
    <row r="234" spans="1:41" ht="11.25" hidden="1" customHeight="1">
      <c r="A234" s="608"/>
      <c r="B234" s="607"/>
      <c r="C234" s="607"/>
      <c r="D234" s="607"/>
      <c r="E234" s="607"/>
      <c r="F234" s="607"/>
      <c r="G234" s="606"/>
      <c r="H234" s="606"/>
      <c r="I234" s="606"/>
      <c r="J234" s="606"/>
      <c r="K234" s="606"/>
      <c r="L234" s="606"/>
      <c r="M234" s="606"/>
      <c r="N234" s="606"/>
      <c r="O234" s="606"/>
      <c r="P234" s="606"/>
      <c r="Q234" s="606"/>
      <c r="R234" s="606"/>
      <c r="S234" s="606"/>
      <c r="T234" s="606"/>
      <c r="U234" s="606"/>
      <c r="V234" s="606"/>
      <c r="W234" s="606"/>
      <c r="X234" s="640"/>
      <c r="Y234" s="607"/>
      <c r="Z234" s="607"/>
      <c r="AA234" s="607"/>
      <c r="AB234" s="607"/>
      <c r="AC234" s="607"/>
      <c r="AD234" s="607"/>
      <c r="AE234" s="607"/>
      <c r="AF234" s="607"/>
      <c r="AG234" s="607"/>
      <c r="AH234" s="607"/>
      <c r="AI234" s="607"/>
      <c r="AJ234" s="607"/>
      <c r="AK234" s="607"/>
      <c r="AL234" s="606"/>
      <c r="AM234" s="606"/>
      <c r="AN234" s="606"/>
      <c r="AO234" s="606"/>
    </row>
    <row r="235" spans="1:41" ht="11.25" hidden="1" customHeight="1">
      <c r="A235" s="608"/>
      <c r="B235" s="607"/>
      <c r="C235" s="607"/>
      <c r="D235" s="607"/>
      <c r="E235" s="607"/>
      <c r="F235" s="607"/>
      <c r="G235" s="606"/>
      <c r="H235" s="606"/>
      <c r="I235" s="606"/>
      <c r="J235" s="606"/>
      <c r="K235" s="606"/>
      <c r="L235" s="606"/>
      <c r="M235" s="606"/>
      <c r="N235" s="606"/>
      <c r="O235" s="606"/>
      <c r="P235" s="606"/>
      <c r="Q235" s="606"/>
      <c r="R235" s="606"/>
      <c r="S235" s="606"/>
      <c r="T235" s="606"/>
      <c r="U235" s="606"/>
      <c r="V235" s="606"/>
      <c r="W235" s="606"/>
      <c r="X235" s="640"/>
      <c r="Y235" s="607"/>
      <c r="Z235" s="607"/>
      <c r="AA235" s="607"/>
      <c r="AB235" s="607"/>
      <c r="AC235" s="607"/>
      <c r="AD235" s="607"/>
      <c r="AE235" s="607"/>
      <c r="AF235" s="607"/>
      <c r="AG235" s="607"/>
      <c r="AH235" s="607"/>
      <c r="AI235" s="607"/>
      <c r="AJ235" s="607"/>
      <c r="AK235" s="607"/>
      <c r="AL235" s="606"/>
      <c r="AM235" s="606"/>
      <c r="AN235" s="606"/>
      <c r="AO235" s="606"/>
    </row>
    <row r="236" spans="1:41" ht="11.25" hidden="1" customHeight="1">
      <c r="A236" s="608"/>
      <c r="B236" s="607"/>
      <c r="C236" s="607"/>
      <c r="D236" s="607"/>
      <c r="E236" s="607"/>
      <c r="F236" s="607"/>
      <c r="G236" s="606"/>
      <c r="H236" s="606"/>
      <c r="I236" s="606"/>
      <c r="J236" s="606"/>
      <c r="K236" s="606"/>
      <c r="L236" s="606"/>
      <c r="M236" s="606"/>
      <c r="N236" s="606"/>
      <c r="O236" s="606"/>
      <c r="P236" s="606"/>
      <c r="Q236" s="606"/>
      <c r="R236" s="606"/>
      <c r="S236" s="606"/>
      <c r="T236" s="606"/>
      <c r="U236" s="606"/>
      <c r="V236" s="606"/>
      <c r="W236" s="606"/>
      <c r="X236" s="640"/>
      <c r="Y236" s="607"/>
      <c r="Z236" s="607"/>
      <c r="AA236" s="607"/>
      <c r="AB236" s="607"/>
      <c r="AC236" s="607"/>
      <c r="AD236" s="607"/>
      <c r="AE236" s="607"/>
      <c r="AF236" s="607"/>
      <c r="AG236" s="607"/>
      <c r="AH236" s="607"/>
      <c r="AI236" s="607"/>
      <c r="AJ236" s="607"/>
      <c r="AK236" s="607"/>
      <c r="AL236" s="606"/>
      <c r="AM236" s="606"/>
      <c r="AN236" s="606"/>
      <c r="AO236" s="606"/>
    </row>
    <row r="237" spans="1:41" ht="11.25" hidden="1" customHeight="1">
      <c r="A237" s="608"/>
      <c r="B237" s="607"/>
      <c r="C237" s="607"/>
      <c r="D237" s="607"/>
      <c r="E237" s="607"/>
      <c r="F237" s="607"/>
      <c r="G237" s="606"/>
      <c r="H237" s="606"/>
      <c r="I237" s="606"/>
      <c r="J237" s="606"/>
      <c r="K237" s="606"/>
      <c r="L237" s="606"/>
      <c r="M237" s="606"/>
      <c r="N237" s="606"/>
      <c r="O237" s="606"/>
      <c r="P237" s="606"/>
      <c r="Q237" s="606"/>
      <c r="R237" s="606"/>
      <c r="S237" s="606"/>
      <c r="T237" s="606"/>
      <c r="U237" s="606"/>
      <c r="V237" s="606"/>
      <c r="W237" s="606"/>
      <c r="X237" s="640"/>
      <c r="Y237" s="607"/>
      <c r="Z237" s="607"/>
      <c r="AA237" s="607"/>
      <c r="AB237" s="607"/>
      <c r="AC237" s="607"/>
      <c r="AD237" s="607"/>
      <c r="AE237" s="607"/>
      <c r="AF237" s="607"/>
      <c r="AG237" s="607"/>
      <c r="AH237" s="607"/>
      <c r="AI237" s="607"/>
      <c r="AJ237" s="607"/>
      <c r="AK237" s="607"/>
      <c r="AL237" s="606"/>
      <c r="AM237" s="606"/>
      <c r="AN237" s="606"/>
      <c r="AO237" s="606"/>
    </row>
    <row r="238" spans="1:41" ht="11.25" hidden="1" customHeight="1">
      <c r="A238" s="608"/>
      <c r="B238" s="607"/>
      <c r="C238" s="607"/>
      <c r="D238" s="607"/>
      <c r="E238" s="607"/>
      <c r="F238" s="607"/>
      <c r="G238" s="606"/>
      <c r="H238" s="606"/>
      <c r="I238" s="606"/>
      <c r="J238" s="606"/>
      <c r="K238" s="606"/>
      <c r="L238" s="606"/>
      <c r="M238" s="606"/>
      <c r="N238" s="606"/>
      <c r="O238" s="606"/>
      <c r="P238" s="606"/>
      <c r="Q238" s="606"/>
      <c r="R238" s="606"/>
      <c r="S238" s="606"/>
      <c r="T238" s="606"/>
      <c r="U238" s="606"/>
      <c r="V238" s="606"/>
      <c r="W238" s="606"/>
      <c r="X238" s="640"/>
      <c r="Y238" s="607"/>
      <c r="Z238" s="607"/>
      <c r="AA238" s="607"/>
      <c r="AB238" s="607"/>
      <c r="AC238" s="607"/>
      <c r="AD238" s="607"/>
      <c r="AE238" s="607"/>
      <c r="AF238" s="607"/>
      <c r="AG238" s="607"/>
      <c r="AH238" s="607"/>
      <c r="AI238" s="607"/>
      <c r="AJ238" s="607"/>
      <c r="AK238" s="607"/>
      <c r="AL238" s="606"/>
      <c r="AM238" s="606"/>
      <c r="AN238" s="606"/>
      <c r="AO238" s="606"/>
    </row>
    <row r="239" spans="1:41" ht="11.25" hidden="1" customHeight="1">
      <c r="A239" s="608"/>
      <c r="B239" s="607"/>
      <c r="C239" s="607"/>
      <c r="D239" s="607"/>
      <c r="E239" s="607"/>
      <c r="F239" s="607"/>
      <c r="G239" s="606"/>
      <c r="H239" s="606"/>
      <c r="I239" s="606"/>
      <c r="J239" s="606"/>
      <c r="K239" s="606"/>
      <c r="L239" s="606"/>
      <c r="M239" s="606"/>
      <c r="N239" s="606"/>
      <c r="O239" s="606"/>
      <c r="P239" s="606"/>
      <c r="Q239" s="606"/>
      <c r="R239" s="606"/>
      <c r="S239" s="606"/>
      <c r="T239" s="606"/>
      <c r="U239" s="606"/>
      <c r="V239" s="606"/>
      <c r="W239" s="606"/>
      <c r="X239" s="640"/>
      <c r="Y239" s="607"/>
      <c r="Z239" s="607"/>
      <c r="AA239" s="607"/>
      <c r="AB239" s="607"/>
      <c r="AC239" s="607"/>
      <c r="AD239" s="607"/>
      <c r="AE239" s="607"/>
      <c r="AF239" s="607"/>
      <c r="AG239" s="607"/>
      <c r="AH239" s="607"/>
      <c r="AI239" s="607"/>
      <c r="AJ239" s="607"/>
      <c r="AK239" s="607"/>
      <c r="AL239" s="606"/>
      <c r="AM239" s="606"/>
      <c r="AN239" s="606"/>
      <c r="AO239" s="606"/>
    </row>
    <row r="240" spans="1:41" ht="11.25" hidden="1" customHeight="1">
      <c r="A240" s="608"/>
      <c r="B240" s="607"/>
      <c r="C240" s="607"/>
      <c r="D240" s="607"/>
      <c r="E240" s="607"/>
      <c r="F240" s="607"/>
      <c r="G240" s="606"/>
      <c r="H240" s="606"/>
      <c r="I240" s="606"/>
      <c r="J240" s="606"/>
      <c r="K240" s="606"/>
      <c r="L240" s="606"/>
      <c r="M240" s="606"/>
      <c r="N240" s="606"/>
      <c r="O240" s="606"/>
      <c r="P240" s="606"/>
      <c r="Q240" s="606"/>
      <c r="R240" s="606"/>
      <c r="S240" s="606"/>
      <c r="T240" s="606"/>
      <c r="U240" s="606"/>
      <c r="V240" s="606"/>
      <c r="W240" s="606"/>
      <c r="X240" s="640"/>
      <c r="Y240" s="607"/>
      <c r="Z240" s="607"/>
      <c r="AA240" s="607"/>
      <c r="AB240" s="607"/>
      <c r="AC240" s="607"/>
      <c r="AD240" s="607"/>
      <c r="AE240" s="607"/>
      <c r="AF240" s="607"/>
      <c r="AG240" s="607"/>
      <c r="AH240" s="607"/>
      <c r="AI240" s="607"/>
      <c r="AJ240" s="607"/>
      <c r="AK240" s="607"/>
      <c r="AL240" s="606"/>
      <c r="AM240" s="606"/>
      <c r="AN240" s="606"/>
      <c r="AO240" s="606"/>
    </row>
    <row r="241" spans="1:41" ht="11.25" hidden="1" customHeight="1">
      <c r="A241" s="608"/>
      <c r="B241" s="607"/>
      <c r="C241" s="607"/>
      <c r="D241" s="607"/>
      <c r="E241" s="607"/>
      <c r="F241" s="607"/>
      <c r="G241" s="606"/>
      <c r="H241" s="606"/>
      <c r="I241" s="606"/>
      <c r="J241" s="606"/>
      <c r="K241" s="606"/>
      <c r="L241" s="606"/>
      <c r="M241" s="606"/>
      <c r="N241" s="606"/>
      <c r="O241" s="606"/>
      <c r="P241" s="606"/>
      <c r="Q241" s="606"/>
      <c r="R241" s="606"/>
      <c r="S241" s="606"/>
      <c r="T241" s="606"/>
      <c r="U241" s="606"/>
      <c r="V241" s="606"/>
      <c r="W241" s="606"/>
      <c r="X241" s="640"/>
      <c r="Y241" s="607"/>
      <c r="Z241" s="607"/>
      <c r="AA241" s="607"/>
      <c r="AB241" s="607"/>
      <c r="AC241" s="607"/>
      <c r="AD241" s="607"/>
      <c r="AE241" s="607"/>
      <c r="AF241" s="607"/>
      <c r="AG241" s="607"/>
      <c r="AH241" s="607"/>
      <c r="AI241" s="607"/>
      <c r="AJ241" s="607"/>
      <c r="AK241" s="607"/>
      <c r="AL241" s="606"/>
      <c r="AM241" s="606"/>
      <c r="AN241" s="606"/>
      <c r="AO241" s="606"/>
    </row>
    <row r="242" spans="1:41" ht="11.25" hidden="1" customHeight="1">
      <c r="A242" s="608"/>
      <c r="B242" s="607"/>
      <c r="C242" s="607"/>
      <c r="D242" s="607"/>
      <c r="E242" s="607"/>
      <c r="F242" s="607"/>
      <c r="G242" s="606"/>
      <c r="H242" s="606"/>
      <c r="I242" s="606"/>
      <c r="J242" s="606"/>
      <c r="K242" s="606"/>
      <c r="L242" s="606"/>
      <c r="M242" s="606"/>
      <c r="N242" s="606"/>
      <c r="O242" s="606"/>
      <c r="P242" s="606"/>
      <c r="Q242" s="606"/>
      <c r="R242" s="606"/>
      <c r="S242" s="606"/>
      <c r="T242" s="606"/>
      <c r="U242" s="606"/>
      <c r="V242" s="606"/>
      <c r="W242" s="606"/>
      <c r="X242" s="640"/>
      <c r="Y242" s="607"/>
      <c r="Z242" s="607"/>
      <c r="AA242" s="607"/>
      <c r="AB242" s="607"/>
      <c r="AC242" s="607"/>
      <c r="AD242" s="607"/>
      <c r="AE242" s="607"/>
      <c r="AF242" s="607"/>
      <c r="AG242" s="607"/>
      <c r="AH242" s="607"/>
      <c r="AI242" s="607"/>
      <c r="AJ242" s="607"/>
      <c r="AK242" s="607"/>
      <c r="AL242" s="606"/>
      <c r="AM242" s="606"/>
      <c r="AN242" s="606"/>
      <c r="AO242" s="606"/>
    </row>
    <row r="243" spans="1:41" ht="11.25" hidden="1" customHeight="1">
      <c r="A243" s="608"/>
      <c r="B243" s="607"/>
      <c r="C243" s="607"/>
      <c r="D243" s="607"/>
      <c r="E243" s="607"/>
      <c r="F243" s="607"/>
      <c r="G243" s="606"/>
      <c r="H243" s="606"/>
      <c r="I243" s="606"/>
      <c r="J243" s="606"/>
      <c r="K243" s="606"/>
      <c r="L243" s="606"/>
      <c r="M243" s="606"/>
      <c r="N243" s="606"/>
      <c r="O243" s="606"/>
      <c r="P243" s="606"/>
      <c r="Q243" s="606"/>
      <c r="R243" s="606"/>
      <c r="S243" s="606"/>
      <c r="T243" s="606"/>
      <c r="U243" s="606"/>
      <c r="V243" s="606"/>
      <c r="W243" s="606"/>
      <c r="X243" s="640"/>
      <c r="Y243" s="607"/>
      <c r="Z243" s="607"/>
      <c r="AA243" s="607"/>
      <c r="AB243" s="607"/>
      <c r="AC243" s="607"/>
      <c r="AD243" s="607"/>
      <c r="AE243" s="607"/>
      <c r="AF243" s="607"/>
      <c r="AG243" s="607"/>
      <c r="AH243" s="607"/>
      <c r="AI243" s="607"/>
      <c r="AJ243" s="607"/>
      <c r="AK243" s="607"/>
      <c r="AL243" s="606"/>
      <c r="AM243" s="606"/>
      <c r="AN243" s="606"/>
      <c r="AO243" s="606"/>
    </row>
    <row r="244" spans="1:41" ht="11.25" hidden="1" customHeight="1">
      <c r="A244" s="608"/>
      <c r="B244" s="607"/>
      <c r="C244" s="607"/>
      <c r="D244" s="607"/>
      <c r="E244" s="607"/>
      <c r="F244" s="607"/>
      <c r="G244" s="606"/>
      <c r="H244" s="606"/>
      <c r="I244" s="606"/>
      <c r="J244" s="606"/>
      <c r="K244" s="606"/>
      <c r="L244" s="606"/>
      <c r="M244" s="606"/>
      <c r="N244" s="606"/>
      <c r="O244" s="606"/>
      <c r="P244" s="606"/>
      <c r="Q244" s="606"/>
      <c r="R244" s="606"/>
      <c r="S244" s="606"/>
      <c r="T244" s="606"/>
      <c r="U244" s="606"/>
      <c r="V244" s="606"/>
      <c r="W244" s="606"/>
      <c r="X244" s="640"/>
      <c r="Y244" s="607"/>
      <c r="Z244" s="607"/>
      <c r="AA244" s="607"/>
      <c r="AB244" s="607"/>
      <c r="AC244" s="607"/>
      <c r="AD244" s="607"/>
      <c r="AE244" s="607"/>
      <c r="AF244" s="607"/>
      <c r="AG244" s="607"/>
      <c r="AH244" s="607"/>
      <c r="AI244" s="607"/>
      <c r="AJ244" s="607"/>
      <c r="AK244" s="607"/>
      <c r="AL244" s="606"/>
      <c r="AM244" s="606"/>
      <c r="AN244" s="606"/>
      <c r="AO244" s="606"/>
    </row>
    <row r="245" spans="1:41" ht="11.25" hidden="1" customHeight="1">
      <c r="A245" s="608"/>
      <c r="B245" s="607"/>
      <c r="C245" s="607"/>
      <c r="D245" s="607"/>
      <c r="E245" s="607"/>
      <c r="F245" s="607"/>
      <c r="G245" s="606"/>
      <c r="H245" s="606"/>
      <c r="I245" s="606"/>
      <c r="J245" s="606"/>
      <c r="K245" s="606"/>
      <c r="L245" s="606"/>
      <c r="M245" s="606"/>
      <c r="N245" s="606"/>
      <c r="O245" s="606"/>
      <c r="P245" s="606"/>
      <c r="Q245" s="606"/>
      <c r="R245" s="606"/>
      <c r="S245" s="606"/>
      <c r="T245" s="606"/>
      <c r="U245" s="606"/>
      <c r="V245" s="606"/>
      <c r="W245" s="606"/>
      <c r="X245" s="640"/>
      <c r="Y245" s="607"/>
      <c r="Z245" s="607"/>
      <c r="AA245" s="607"/>
      <c r="AB245" s="607"/>
      <c r="AC245" s="607"/>
      <c r="AD245" s="607"/>
      <c r="AE245" s="607"/>
      <c r="AF245" s="607"/>
      <c r="AG245" s="607"/>
      <c r="AH245" s="607"/>
      <c r="AI245" s="607"/>
      <c r="AJ245" s="607"/>
      <c r="AK245" s="607"/>
      <c r="AL245" s="606"/>
      <c r="AM245" s="606"/>
      <c r="AN245" s="606"/>
      <c r="AO245" s="606"/>
    </row>
    <row r="246" spans="1:41" ht="11.25" hidden="1" customHeight="1">
      <c r="A246" s="608"/>
      <c r="B246" s="607"/>
      <c r="C246" s="607"/>
      <c r="D246" s="607"/>
      <c r="E246" s="607"/>
      <c r="F246" s="607"/>
      <c r="G246" s="606"/>
      <c r="H246" s="606"/>
      <c r="I246" s="606"/>
      <c r="J246" s="606"/>
      <c r="K246" s="606"/>
      <c r="L246" s="606"/>
      <c r="M246" s="606"/>
      <c r="N246" s="606"/>
      <c r="O246" s="606"/>
      <c r="P246" s="606"/>
      <c r="Q246" s="606"/>
      <c r="R246" s="606"/>
      <c r="S246" s="606"/>
      <c r="T246" s="606"/>
      <c r="U246" s="606"/>
      <c r="V246" s="606"/>
      <c r="W246" s="606"/>
      <c r="X246" s="640"/>
      <c r="Y246" s="607"/>
      <c r="Z246" s="607"/>
      <c r="AA246" s="607"/>
      <c r="AB246" s="607"/>
      <c r="AC246" s="607"/>
      <c r="AD246" s="607"/>
      <c r="AE246" s="607"/>
      <c r="AF246" s="607"/>
      <c r="AG246" s="607"/>
      <c r="AH246" s="607"/>
      <c r="AI246" s="607"/>
      <c r="AJ246" s="607"/>
      <c r="AK246" s="607"/>
      <c r="AL246" s="606"/>
      <c r="AM246" s="606"/>
      <c r="AN246" s="606"/>
      <c r="AO246" s="606"/>
    </row>
    <row r="247" spans="1:41" ht="11.25" hidden="1" customHeight="1">
      <c r="A247" s="608"/>
      <c r="B247" s="607"/>
      <c r="C247" s="607"/>
      <c r="D247" s="607"/>
      <c r="E247" s="607"/>
      <c r="F247" s="607"/>
      <c r="G247" s="606"/>
      <c r="H247" s="606"/>
      <c r="I247" s="606"/>
      <c r="J247" s="606"/>
      <c r="K247" s="606"/>
      <c r="L247" s="606"/>
      <c r="M247" s="606"/>
      <c r="N247" s="606"/>
      <c r="O247" s="606"/>
      <c r="P247" s="606"/>
      <c r="Q247" s="606"/>
      <c r="R247" s="606"/>
      <c r="S247" s="606"/>
      <c r="T247" s="606"/>
      <c r="U247" s="606"/>
      <c r="V247" s="606"/>
      <c r="W247" s="606"/>
      <c r="X247" s="640"/>
      <c r="Y247" s="607"/>
      <c r="Z247" s="607"/>
      <c r="AA247" s="607"/>
      <c r="AB247" s="607"/>
      <c r="AC247" s="607"/>
      <c r="AD247" s="607"/>
      <c r="AE247" s="607"/>
      <c r="AF247" s="607"/>
      <c r="AG247" s="607"/>
      <c r="AH247" s="607"/>
      <c r="AI247" s="607"/>
      <c r="AJ247" s="607"/>
      <c r="AK247" s="607"/>
      <c r="AL247" s="606"/>
      <c r="AM247" s="606"/>
      <c r="AN247" s="606"/>
      <c r="AO247" s="606"/>
    </row>
    <row r="248" spans="1:41" ht="11.25" hidden="1" customHeight="1">
      <c r="A248" s="608"/>
      <c r="B248" s="607"/>
      <c r="C248" s="607"/>
      <c r="D248" s="607"/>
      <c r="E248" s="607"/>
      <c r="F248" s="607"/>
      <c r="G248" s="606"/>
      <c r="H248" s="606"/>
      <c r="I248" s="606"/>
      <c r="J248" s="606"/>
      <c r="K248" s="606"/>
      <c r="L248" s="606"/>
      <c r="M248" s="606"/>
      <c r="N248" s="606"/>
      <c r="O248" s="606"/>
      <c r="P248" s="606"/>
      <c r="Q248" s="606"/>
      <c r="R248" s="606"/>
      <c r="S248" s="606"/>
      <c r="T248" s="606"/>
      <c r="U248" s="606"/>
      <c r="V248" s="606"/>
      <c r="W248" s="606"/>
      <c r="X248" s="640"/>
      <c r="Y248" s="607"/>
      <c r="Z248" s="607"/>
      <c r="AA248" s="607"/>
      <c r="AB248" s="607"/>
      <c r="AC248" s="607"/>
      <c r="AD248" s="607"/>
      <c r="AE248" s="607"/>
      <c r="AF248" s="607"/>
      <c r="AG248" s="607"/>
      <c r="AH248" s="607"/>
      <c r="AI248" s="607"/>
      <c r="AJ248" s="607"/>
      <c r="AK248" s="607"/>
      <c r="AL248" s="606"/>
      <c r="AM248" s="606"/>
      <c r="AN248" s="606"/>
      <c r="AO248" s="606"/>
    </row>
    <row r="249" spans="1:41" ht="11.25" hidden="1" customHeight="1">
      <c r="A249" s="608"/>
      <c r="B249" s="607"/>
      <c r="C249" s="607"/>
      <c r="D249" s="607"/>
      <c r="E249" s="607"/>
      <c r="F249" s="607"/>
      <c r="G249" s="606"/>
      <c r="H249" s="606"/>
      <c r="I249" s="606"/>
      <c r="J249" s="606"/>
      <c r="K249" s="606"/>
      <c r="L249" s="606"/>
      <c r="M249" s="606"/>
      <c r="N249" s="606"/>
      <c r="O249" s="606"/>
      <c r="P249" s="606"/>
      <c r="Q249" s="606"/>
      <c r="R249" s="606"/>
      <c r="S249" s="606"/>
      <c r="T249" s="606"/>
      <c r="U249" s="606"/>
      <c r="V249" s="606"/>
      <c r="W249" s="606"/>
      <c r="X249" s="640"/>
      <c r="Y249" s="607"/>
      <c r="Z249" s="607"/>
      <c r="AA249" s="607"/>
      <c r="AB249" s="607"/>
      <c r="AC249" s="607"/>
      <c r="AD249" s="607"/>
      <c r="AE249" s="607"/>
      <c r="AF249" s="607"/>
      <c r="AG249" s="607"/>
      <c r="AH249" s="607"/>
      <c r="AI249" s="607"/>
      <c r="AJ249" s="607"/>
      <c r="AK249" s="607"/>
      <c r="AL249" s="606"/>
      <c r="AM249" s="606"/>
      <c r="AN249" s="606"/>
      <c r="AO249" s="606"/>
    </row>
    <row r="250" spans="1:41" ht="11.25" hidden="1" customHeight="1">
      <c r="A250" s="608"/>
      <c r="B250" s="607"/>
      <c r="C250" s="607"/>
      <c r="D250" s="607"/>
      <c r="E250" s="607"/>
      <c r="F250" s="607"/>
      <c r="G250" s="606"/>
      <c r="H250" s="606"/>
      <c r="I250" s="606"/>
      <c r="J250" s="606"/>
      <c r="K250" s="606"/>
      <c r="L250" s="606"/>
      <c r="M250" s="606"/>
      <c r="N250" s="606"/>
      <c r="O250" s="606"/>
      <c r="P250" s="606"/>
      <c r="Q250" s="606"/>
      <c r="R250" s="606"/>
      <c r="S250" s="606"/>
      <c r="T250" s="606"/>
      <c r="U250" s="606"/>
      <c r="V250" s="606"/>
      <c r="W250" s="606"/>
      <c r="X250" s="640"/>
      <c r="Y250" s="607"/>
      <c r="Z250" s="607"/>
      <c r="AA250" s="607"/>
      <c r="AB250" s="607"/>
      <c r="AC250" s="607"/>
      <c r="AD250" s="607"/>
      <c r="AE250" s="607"/>
      <c r="AF250" s="607"/>
      <c r="AG250" s="607"/>
      <c r="AH250" s="607"/>
      <c r="AI250" s="607"/>
      <c r="AJ250" s="607"/>
      <c r="AK250" s="607"/>
      <c r="AL250" s="606"/>
      <c r="AM250" s="606"/>
      <c r="AN250" s="606"/>
      <c r="AO250" s="606"/>
    </row>
    <row r="251" spans="1:41" ht="11.25" hidden="1" customHeight="1">
      <c r="A251" s="608"/>
      <c r="B251" s="607"/>
      <c r="C251" s="607"/>
      <c r="D251" s="607"/>
      <c r="E251" s="607"/>
      <c r="F251" s="607"/>
      <c r="G251" s="606"/>
      <c r="H251" s="606"/>
      <c r="I251" s="606"/>
      <c r="J251" s="606"/>
      <c r="K251" s="606"/>
      <c r="L251" s="606"/>
      <c r="M251" s="606"/>
      <c r="N251" s="606"/>
      <c r="O251" s="606"/>
      <c r="P251" s="606"/>
      <c r="Q251" s="606"/>
      <c r="R251" s="606"/>
      <c r="S251" s="606"/>
      <c r="T251" s="606"/>
      <c r="U251" s="606"/>
      <c r="V251" s="606"/>
      <c r="W251" s="606"/>
      <c r="X251" s="640"/>
      <c r="Y251" s="607"/>
      <c r="Z251" s="607"/>
      <c r="AA251" s="607"/>
      <c r="AB251" s="607"/>
      <c r="AC251" s="607"/>
      <c r="AD251" s="607"/>
      <c r="AE251" s="607"/>
      <c r="AF251" s="607"/>
      <c r="AG251" s="607"/>
      <c r="AH251" s="607"/>
      <c r="AI251" s="607"/>
      <c r="AJ251" s="607"/>
      <c r="AK251" s="607"/>
      <c r="AL251" s="606"/>
      <c r="AM251" s="606"/>
      <c r="AN251" s="606"/>
      <c r="AO251" s="606"/>
    </row>
    <row r="252" spans="1:41" ht="11.25" hidden="1" customHeight="1">
      <c r="A252" s="608"/>
      <c r="B252" s="607"/>
      <c r="C252" s="607"/>
      <c r="D252" s="607"/>
      <c r="E252" s="607"/>
      <c r="F252" s="607"/>
      <c r="G252" s="606"/>
      <c r="H252" s="606"/>
      <c r="I252" s="606"/>
      <c r="J252" s="606"/>
      <c r="K252" s="606"/>
      <c r="L252" s="606"/>
      <c r="M252" s="606"/>
      <c r="N252" s="606"/>
      <c r="O252" s="606"/>
      <c r="P252" s="606"/>
      <c r="Q252" s="606"/>
      <c r="R252" s="606"/>
      <c r="S252" s="606"/>
      <c r="T252" s="606"/>
      <c r="U252" s="606"/>
      <c r="V252" s="606"/>
      <c r="W252" s="606"/>
      <c r="X252" s="640"/>
      <c r="Y252" s="607"/>
      <c r="Z252" s="607"/>
      <c r="AA252" s="607"/>
      <c r="AB252" s="607"/>
      <c r="AC252" s="607"/>
      <c r="AD252" s="607"/>
      <c r="AE252" s="607"/>
      <c r="AF252" s="607"/>
      <c r="AG252" s="607"/>
      <c r="AH252" s="607"/>
      <c r="AI252" s="607"/>
      <c r="AJ252" s="607"/>
      <c r="AK252" s="607"/>
      <c r="AL252" s="606"/>
      <c r="AM252" s="606"/>
      <c r="AN252" s="606"/>
      <c r="AO252" s="606"/>
    </row>
    <row r="253" spans="1:41" ht="11.25" hidden="1" customHeight="1">
      <c r="A253" s="608"/>
      <c r="B253" s="607"/>
      <c r="C253" s="607"/>
      <c r="D253" s="607"/>
      <c r="E253" s="607"/>
      <c r="F253" s="607"/>
      <c r="G253" s="606"/>
      <c r="H253" s="606"/>
      <c r="I253" s="606"/>
      <c r="J253" s="606"/>
      <c r="K253" s="606"/>
      <c r="L253" s="606"/>
      <c r="M253" s="606"/>
      <c r="N253" s="606"/>
      <c r="O253" s="606"/>
      <c r="P253" s="606"/>
      <c r="Q253" s="606"/>
      <c r="R253" s="606"/>
      <c r="S253" s="606"/>
      <c r="T253" s="606"/>
      <c r="U253" s="606"/>
      <c r="V253" s="606"/>
      <c r="W253" s="606"/>
      <c r="X253" s="640"/>
      <c r="Y253" s="607"/>
      <c r="Z253" s="607"/>
      <c r="AA253" s="607"/>
      <c r="AB253" s="607"/>
      <c r="AC253" s="607"/>
      <c r="AD253" s="607"/>
      <c r="AE253" s="607"/>
      <c r="AF253" s="607"/>
      <c r="AG253" s="607"/>
      <c r="AH253" s="607"/>
      <c r="AI253" s="607"/>
      <c r="AJ253" s="607"/>
      <c r="AK253" s="607"/>
      <c r="AL253" s="606"/>
      <c r="AM253" s="606"/>
      <c r="AN253" s="606"/>
      <c r="AO253" s="606"/>
    </row>
    <row r="254" spans="1:41" ht="11.25" hidden="1" customHeight="1">
      <c r="A254" s="608"/>
      <c r="B254" s="607"/>
      <c r="C254" s="607"/>
      <c r="D254" s="607"/>
      <c r="E254" s="607"/>
      <c r="F254" s="607"/>
      <c r="G254" s="606"/>
      <c r="H254" s="606"/>
      <c r="I254" s="606"/>
      <c r="J254" s="606"/>
      <c r="K254" s="606"/>
      <c r="L254" s="606"/>
      <c r="M254" s="606"/>
      <c r="N254" s="606"/>
      <c r="O254" s="606"/>
      <c r="P254" s="606"/>
      <c r="Q254" s="606"/>
      <c r="R254" s="606"/>
      <c r="S254" s="606"/>
      <c r="T254" s="606"/>
      <c r="U254" s="606"/>
      <c r="V254" s="606"/>
      <c r="W254" s="606"/>
      <c r="X254" s="640"/>
      <c r="Y254" s="607"/>
      <c r="Z254" s="607"/>
      <c r="AA254" s="607"/>
      <c r="AB254" s="607"/>
      <c r="AC254" s="607"/>
      <c r="AD254" s="607"/>
      <c r="AE254" s="607"/>
      <c r="AF254" s="607"/>
      <c r="AG254" s="607"/>
      <c r="AH254" s="607"/>
      <c r="AI254" s="607"/>
      <c r="AJ254" s="607"/>
      <c r="AK254" s="607"/>
      <c r="AL254" s="606"/>
      <c r="AM254" s="606"/>
      <c r="AN254" s="606"/>
      <c r="AO254" s="606"/>
    </row>
    <row r="255" spans="1:41" ht="11.25" hidden="1" customHeight="1">
      <c r="A255" s="608"/>
      <c r="B255" s="607"/>
      <c r="C255" s="607"/>
      <c r="D255" s="607"/>
      <c r="E255" s="607"/>
      <c r="F255" s="607"/>
      <c r="G255" s="606"/>
      <c r="H255" s="606"/>
      <c r="I255" s="606"/>
      <c r="J255" s="606"/>
      <c r="K255" s="606"/>
      <c r="L255" s="606"/>
      <c r="M255" s="606"/>
      <c r="N255" s="606"/>
      <c r="O255" s="606"/>
      <c r="P255" s="606"/>
      <c r="Q255" s="606"/>
      <c r="R255" s="606"/>
      <c r="S255" s="606"/>
      <c r="T255" s="606"/>
      <c r="U255" s="606"/>
      <c r="V255" s="606"/>
      <c r="W255" s="606"/>
      <c r="X255" s="640"/>
      <c r="Y255" s="607"/>
      <c r="Z255" s="607"/>
      <c r="AA255" s="607"/>
      <c r="AB255" s="607"/>
      <c r="AC255" s="607"/>
      <c r="AD255" s="607"/>
      <c r="AE255" s="607"/>
      <c r="AF255" s="607"/>
      <c r="AG255" s="607"/>
      <c r="AH255" s="607"/>
      <c r="AI255" s="607"/>
      <c r="AJ255" s="607"/>
      <c r="AK255" s="607"/>
      <c r="AL255" s="606"/>
      <c r="AM255" s="606"/>
      <c r="AN255" s="606"/>
      <c r="AO255" s="606"/>
    </row>
    <row r="256" spans="1:41" ht="11.25" hidden="1" customHeight="1">
      <c r="A256" s="608"/>
      <c r="B256" s="607"/>
      <c r="C256" s="607"/>
      <c r="D256" s="607"/>
      <c r="E256" s="607"/>
      <c r="F256" s="607"/>
      <c r="G256" s="606"/>
      <c r="H256" s="606"/>
      <c r="I256" s="606"/>
      <c r="J256" s="606"/>
      <c r="K256" s="606"/>
      <c r="L256" s="606"/>
      <c r="M256" s="606"/>
      <c r="N256" s="606"/>
      <c r="O256" s="606"/>
      <c r="P256" s="606"/>
      <c r="Q256" s="606"/>
      <c r="R256" s="606"/>
      <c r="S256" s="606"/>
      <c r="T256" s="606"/>
      <c r="U256" s="606"/>
      <c r="V256" s="606"/>
      <c r="W256" s="606"/>
      <c r="X256" s="640"/>
      <c r="Y256" s="607"/>
      <c r="Z256" s="607"/>
      <c r="AA256" s="607"/>
      <c r="AB256" s="607"/>
      <c r="AC256" s="607"/>
      <c r="AD256" s="607"/>
      <c r="AE256" s="607"/>
      <c r="AF256" s="607"/>
      <c r="AG256" s="607"/>
      <c r="AH256" s="607"/>
      <c r="AI256" s="607"/>
      <c r="AJ256" s="607"/>
      <c r="AK256" s="607"/>
      <c r="AL256" s="606"/>
      <c r="AM256" s="606"/>
      <c r="AN256" s="606"/>
      <c r="AO256" s="606"/>
    </row>
    <row r="257" spans="1:41" ht="11.25" hidden="1" customHeight="1">
      <c r="A257" s="608"/>
      <c r="B257" s="607"/>
      <c r="C257" s="607"/>
      <c r="D257" s="607"/>
      <c r="E257" s="607"/>
      <c r="F257" s="607"/>
      <c r="G257" s="606"/>
      <c r="H257" s="606"/>
      <c r="I257" s="606"/>
      <c r="J257" s="606"/>
      <c r="K257" s="606"/>
      <c r="L257" s="606"/>
      <c r="M257" s="606"/>
      <c r="N257" s="606"/>
      <c r="O257" s="606"/>
      <c r="P257" s="606"/>
      <c r="Q257" s="606"/>
      <c r="R257" s="606"/>
      <c r="S257" s="606"/>
      <c r="T257" s="606"/>
      <c r="U257" s="606"/>
      <c r="V257" s="606"/>
      <c r="W257" s="606"/>
      <c r="X257" s="640"/>
      <c r="Y257" s="607"/>
      <c r="Z257" s="607"/>
      <c r="AA257" s="607"/>
      <c r="AB257" s="607"/>
      <c r="AC257" s="607"/>
      <c r="AD257" s="607"/>
      <c r="AE257" s="607"/>
      <c r="AF257" s="607"/>
      <c r="AG257" s="607"/>
      <c r="AH257" s="607"/>
      <c r="AI257" s="607"/>
      <c r="AJ257" s="607"/>
      <c r="AK257" s="607"/>
      <c r="AL257" s="606"/>
      <c r="AM257" s="606"/>
      <c r="AN257" s="606"/>
      <c r="AO257" s="606"/>
    </row>
    <row r="258" spans="1:41" ht="11.25" hidden="1" customHeight="1">
      <c r="A258" s="608"/>
      <c r="B258" s="607"/>
      <c r="C258" s="607"/>
      <c r="D258" s="607"/>
      <c r="E258" s="607"/>
      <c r="F258" s="607"/>
      <c r="G258" s="606"/>
      <c r="H258" s="606"/>
      <c r="I258" s="606"/>
      <c r="J258" s="606"/>
      <c r="K258" s="606"/>
      <c r="L258" s="606"/>
      <c r="M258" s="606"/>
      <c r="N258" s="606"/>
      <c r="O258" s="606"/>
      <c r="P258" s="606"/>
      <c r="Q258" s="606"/>
      <c r="R258" s="606"/>
      <c r="S258" s="606"/>
      <c r="T258" s="606"/>
      <c r="U258" s="606"/>
      <c r="V258" s="606"/>
      <c r="W258" s="606"/>
      <c r="X258" s="640"/>
      <c r="Y258" s="607"/>
      <c r="Z258" s="607"/>
      <c r="AA258" s="607"/>
      <c r="AB258" s="607"/>
      <c r="AC258" s="607"/>
      <c r="AD258" s="607"/>
      <c r="AE258" s="607"/>
      <c r="AF258" s="607"/>
      <c r="AG258" s="607"/>
      <c r="AH258" s="607"/>
      <c r="AI258" s="607"/>
      <c r="AJ258" s="607"/>
      <c r="AK258" s="607"/>
      <c r="AL258" s="606"/>
      <c r="AM258" s="606"/>
      <c r="AN258" s="606"/>
      <c r="AO258" s="606"/>
    </row>
    <row r="259" spans="1:41" ht="11.25" hidden="1" customHeight="1">
      <c r="A259" s="608"/>
      <c r="B259" s="607"/>
      <c r="C259" s="607"/>
      <c r="D259" s="607"/>
      <c r="E259" s="607"/>
      <c r="F259" s="607"/>
      <c r="G259" s="606"/>
      <c r="H259" s="606"/>
      <c r="I259" s="606"/>
      <c r="J259" s="606"/>
      <c r="K259" s="606"/>
      <c r="L259" s="606"/>
      <c r="M259" s="606"/>
      <c r="N259" s="606"/>
      <c r="O259" s="606"/>
      <c r="P259" s="606"/>
      <c r="Q259" s="606"/>
      <c r="R259" s="606"/>
      <c r="S259" s="606"/>
      <c r="T259" s="606"/>
      <c r="U259" s="606"/>
      <c r="V259" s="606"/>
      <c r="W259" s="606"/>
      <c r="X259" s="640"/>
      <c r="Y259" s="607"/>
      <c r="Z259" s="607"/>
      <c r="AA259" s="607"/>
      <c r="AB259" s="607"/>
      <c r="AC259" s="607"/>
      <c r="AD259" s="607"/>
      <c r="AE259" s="607"/>
      <c r="AF259" s="607"/>
      <c r="AG259" s="607"/>
      <c r="AH259" s="607"/>
      <c r="AI259" s="607"/>
      <c r="AJ259" s="607"/>
      <c r="AK259" s="607"/>
      <c r="AL259" s="606"/>
      <c r="AM259" s="606"/>
      <c r="AN259" s="606"/>
      <c r="AO259" s="606"/>
    </row>
    <row r="260" spans="1:41" ht="11.25" hidden="1" customHeight="1">
      <c r="A260" s="608"/>
      <c r="B260" s="607"/>
      <c r="C260" s="607"/>
      <c r="D260" s="607"/>
      <c r="E260" s="607"/>
      <c r="F260" s="607"/>
      <c r="G260" s="606"/>
      <c r="H260" s="606"/>
      <c r="I260" s="606"/>
      <c r="J260" s="606"/>
      <c r="K260" s="606"/>
      <c r="L260" s="606"/>
      <c r="M260" s="606"/>
      <c r="N260" s="606"/>
      <c r="O260" s="606"/>
      <c r="P260" s="606"/>
      <c r="Q260" s="606"/>
      <c r="R260" s="606"/>
      <c r="S260" s="606"/>
      <c r="T260" s="606"/>
      <c r="U260" s="606"/>
      <c r="V260" s="606"/>
      <c r="W260" s="606"/>
      <c r="X260" s="640"/>
      <c r="Y260" s="607"/>
      <c r="Z260" s="607"/>
      <c r="AA260" s="607"/>
      <c r="AB260" s="607"/>
      <c r="AC260" s="607"/>
      <c r="AD260" s="607"/>
      <c r="AE260" s="607"/>
      <c r="AF260" s="607"/>
      <c r="AG260" s="607"/>
      <c r="AH260" s="607"/>
      <c r="AI260" s="607"/>
      <c r="AJ260" s="607"/>
      <c r="AK260" s="607"/>
      <c r="AL260" s="606"/>
      <c r="AM260" s="606"/>
      <c r="AN260" s="606"/>
      <c r="AO260" s="606"/>
    </row>
    <row r="261" spans="1:41" ht="11.25" hidden="1" customHeight="1">
      <c r="A261" s="608"/>
      <c r="B261" s="607"/>
      <c r="C261" s="607"/>
      <c r="D261" s="607"/>
      <c r="E261" s="607"/>
      <c r="F261" s="607"/>
      <c r="G261" s="606"/>
      <c r="H261" s="606"/>
      <c r="I261" s="606"/>
      <c r="J261" s="606"/>
      <c r="K261" s="606"/>
      <c r="L261" s="606"/>
      <c r="M261" s="606"/>
      <c r="N261" s="606"/>
      <c r="O261" s="606"/>
      <c r="P261" s="606"/>
      <c r="Q261" s="606"/>
      <c r="R261" s="606"/>
      <c r="S261" s="606"/>
      <c r="T261" s="606"/>
      <c r="U261" s="606"/>
      <c r="V261" s="606"/>
      <c r="W261" s="606"/>
      <c r="X261" s="640"/>
      <c r="Y261" s="607"/>
      <c r="Z261" s="607"/>
      <c r="AA261" s="607"/>
      <c r="AB261" s="607"/>
      <c r="AC261" s="607"/>
      <c r="AD261" s="607"/>
      <c r="AE261" s="607"/>
      <c r="AF261" s="607"/>
      <c r="AG261" s="607"/>
      <c r="AH261" s="607"/>
      <c r="AI261" s="607"/>
      <c r="AJ261" s="607"/>
      <c r="AK261" s="607"/>
      <c r="AL261" s="606"/>
      <c r="AM261" s="606"/>
      <c r="AN261" s="606"/>
      <c r="AO261" s="606"/>
    </row>
    <row r="262" spans="1:41" ht="11.25" hidden="1" customHeight="1">
      <c r="A262" s="608"/>
      <c r="B262" s="607"/>
      <c r="C262" s="607"/>
      <c r="D262" s="607"/>
      <c r="E262" s="607"/>
      <c r="F262" s="607"/>
      <c r="G262" s="606"/>
      <c r="H262" s="606"/>
      <c r="I262" s="606"/>
      <c r="J262" s="606"/>
      <c r="K262" s="606"/>
      <c r="L262" s="606"/>
      <c r="M262" s="606"/>
      <c r="N262" s="606"/>
      <c r="O262" s="606"/>
      <c r="P262" s="606"/>
      <c r="Q262" s="606"/>
      <c r="R262" s="606"/>
      <c r="S262" s="606"/>
      <c r="T262" s="606"/>
      <c r="U262" s="606"/>
      <c r="V262" s="606"/>
      <c r="W262" s="606"/>
      <c r="X262" s="640"/>
      <c r="Y262" s="607"/>
      <c r="Z262" s="607"/>
      <c r="AA262" s="607"/>
      <c r="AB262" s="607"/>
      <c r="AC262" s="607"/>
      <c r="AD262" s="607"/>
      <c r="AE262" s="607"/>
      <c r="AF262" s="607"/>
      <c r="AG262" s="607"/>
      <c r="AH262" s="607"/>
      <c r="AI262" s="607"/>
      <c r="AJ262" s="607"/>
      <c r="AK262" s="607"/>
      <c r="AL262" s="606"/>
      <c r="AM262" s="606"/>
      <c r="AN262" s="606"/>
      <c r="AO262" s="606"/>
    </row>
    <row r="263" spans="1:41" ht="11.25" hidden="1" customHeight="1">
      <c r="A263" s="608"/>
      <c r="B263" s="607"/>
      <c r="C263" s="607"/>
      <c r="D263" s="607"/>
      <c r="E263" s="607"/>
      <c r="F263" s="607"/>
      <c r="G263" s="606"/>
      <c r="H263" s="606"/>
      <c r="I263" s="606"/>
      <c r="J263" s="606"/>
      <c r="K263" s="606"/>
      <c r="L263" s="606"/>
      <c r="M263" s="606"/>
      <c r="N263" s="606"/>
      <c r="O263" s="606"/>
      <c r="P263" s="606"/>
      <c r="Q263" s="606"/>
      <c r="R263" s="606"/>
      <c r="S263" s="606"/>
      <c r="T263" s="606"/>
      <c r="U263" s="606"/>
      <c r="V263" s="606"/>
      <c r="W263" s="606"/>
      <c r="X263" s="640"/>
      <c r="Y263" s="607"/>
      <c r="Z263" s="607"/>
      <c r="AA263" s="607"/>
      <c r="AB263" s="607"/>
      <c r="AC263" s="607"/>
      <c r="AD263" s="607"/>
      <c r="AE263" s="607"/>
      <c r="AF263" s="607"/>
      <c r="AG263" s="607"/>
      <c r="AH263" s="607"/>
      <c r="AI263" s="607"/>
      <c r="AJ263" s="607"/>
      <c r="AK263" s="607"/>
      <c r="AL263" s="606"/>
      <c r="AM263" s="606"/>
      <c r="AN263" s="606"/>
      <c r="AO263" s="606"/>
    </row>
    <row r="264" spans="1:41" ht="11.25" hidden="1" customHeight="1">
      <c r="A264" s="608"/>
      <c r="B264" s="607"/>
      <c r="C264" s="607"/>
      <c r="D264" s="607"/>
      <c r="E264" s="607"/>
      <c r="F264" s="607"/>
      <c r="G264" s="606"/>
      <c r="H264" s="606"/>
      <c r="I264" s="606"/>
      <c r="J264" s="606"/>
      <c r="K264" s="606"/>
      <c r="L264" s="606"/>
      <c r="M264" s="606"/>
      <c r="N264" s="606"/>
      <c r="O264" s="606"/>
      <c r="P264" s="606"/>
      <c r="Q264" s="606"/>
      <c r="R264" s="606"/>
      <c r="S264" s="606"/>
      <c r="T264" s="606"/>
      <c r="U264" s="606"/>
      <c r="V264" s="606"/>
      <c r="W264" s="606"/>
      <c r="X264" s="640"/>
      <c r="Y264" s="607"/>
      <c r="Z264" s="607"/>
      <c r="AA264" s="607"/>
      <c r="AB264" s="607"/>
      <c r="AC264" s="607"/>
      <c r="AD264" s="607"/>
      <c r="AE264" s="607"/>
      <c r="AF264" s="607"/>
      <c r="AG264" s="607"/>
      <c r="AH264" s="607"/>
      <c r="AI264" s="607"/>
      <c r="AJ264" s="607"/>
      <c r="AK264" s="607"/>
      <c r="AL264" s="606"/>
      <c r="AM264" s="606"/>
      <c r="AN264" s="606"/>
      <c r="AO264" s="606"/>
    </row>
    <row r="265" spans="1:41" ht="11.25" hidden="1" customHeight="1">
      <c r="A265" s="608"/>
      <c r="B265" s="607"/>
      <c r="C265" s="607"/>
      <c r="D265" s="607"/>
      <c r="E265" s="607"/>
      <c r="F265" s="607"/>
      <c r="G265" s="606"/>
      <c r="H265" s="606"/>
      <c r="I265" s="606"/>
      <c r="J265" s="606"/>
      <c r="K265" s="606"/>
      <c r="L265" s="606"/>
      <c r="M265" s="606"/>
      <c r="N265" s="606"/>
      <c r="O265" s="606"/>
      <c r="P265" s="606"/>
      <c r="Q265" s="606"/>
      <c r="R265" s="606"/>
      <c r="S265" s="606"/>
      <c r="T265" s="606"/>
      <c r="U265" s="606"/>
      <c r="V265" s="606"/>
      <c r="W265" s="606"/>
      <c r="X265" s="640"/>
      <c r="Y265" s="607"/>
      <c r="Z265" s="607"/>
      <c r="AA265" s="607"/>
      <c r="AB265" s="607"/>
      <c r="AC265" s="607"/>
      <c r="AD265" s="607"/>
      <c r="AE265" s="607"/>
      <c r="AF265" s="607"/>
      <c r="AG265" s="607"/>
      <c r="AH265" s="607"/>
      <c r="AI265" s="607"/>
      <c r="AJ265" s="607"/>
      <c r="AK265" s="607"/>
      <c r="AL265" s="606"/>
      <c r="AM265" s="606"/>
      <c r="AN265" s="606"/>
      <c r="AO265" s="606"/>
    </row>
    <row r="266" spans="1:41" ht="11.25" hidden="1" customHeight="1">
      <c r="A266" s="608"/>
      <c r="B266" s="607"/>
      <c r="C266" s="607"/>
      <c r="D266" s="607"/>
      <c r="E266" s="607"/>
      <c r="F266" s="607"/>
      <c r="G266" s="606"/>
      <c r="H266" s="606"/>
      <c r="I266" s="606"/>
      <c r="J266" s="606"/>
      <c r="K266" s="606"/>
      <c r="L266" s="606"/>
      <c r="M266" s="606"/>
      <c r="N266" s="606"/>
      <c r="O266" s="606"/>
      <c r="P266" s="606"/>
      <c r="Q266" s="606"/>
      <c r="R266" s="606"/>
      <c r="S266" s="606"/>
      <c r="T266" s="606"/>
      <c r="U266" s="606"/>
      <c r="V266" s="606"/>
      <c r="W266" s="606"/>
      <c r="X266" s="640"/>
      <c r="Y266" s="607"/>
      <c r="Z266" s="607"/>
      <c r="AA266" s="607"/>
      <c r="AB266" s="607"/>
      <c r="AC266" s="607"/>
      <c r="AD266" s="607"/>
      <c r="AE266" s="607"/>
      <c r="AF266" s="607"/>
      <c r="AG266" s="607"/>
      <c r="AH266" s="607"/>
      <c r="AI266" s="607"/>
      <c r="AJ266" s="607"/>
      <c r="AK266" s="607"/>
      <c r="AL266" s="606"/>
      <c r="AM266" s="606"/>
      <c r="AN266" s="606"/>
      <c r="AO266" s="606"/>
    </row>
    <row r="267" spans="1:41" ht="11.25" hidden="1" customHeight="1">
      <c r="A267" s="608"/>
      <c r="B267" s="607"/>
      <c r="C267" s="607"/>
      <c r="D267" s="607"/>
      <c r="E267" s="607"/>
      <c r="F267" s="607"/>
      <c r="G267" s="606"/>
      <c r="H267" s="606"/>
      <c r="I267" s="606"/>
      <c r="J267" s="606"/>
      <c r="K267" s="606"/>
      <c r="L267" s="606"/>
      <c r="M267" s="606"/>
      <c r="N267" s="606"/>
      <c r="O267" s="606"/>
      <c r="P267" s="606"/>
      <c r="Q267" s="606"/>
      <c r="R267" s="606"/>
      <c r="S267" s="606"/>
      <c r="T267" s="606"/>
      <c r="U267" s="606"/>
      <c r="V267" s="606"/>
      <c r="W267" s="606"/>
      <c r="X267" s="640"/>
      <c r="Y267" s="607"/>
      <c r="Z267" s="607"/>
      <c r="AA267" s="607"/>
      <c r="AB267" s="607"/>
      <c r="AC267" s="607"/>
      <c r="AD267" s="607"/>
      <c r="AE267" s="607"/>
      <c r="AF267" s="607"/>
      <c r="AG267" s="607"/>
      <c r="AH267" s="607"/>
      <c r="AI267" s="607"/>
      <c r="AJ267" s="607"/>
      <c r="AK267" s="607"/>
      <c r="AL267" s="606"/>
      <c r="AM267" s="606"/>
      <c r="AN267" s="606"/>
      <c r="AO267" s="606"/>
    </row>
    <row r="268" spans="1:41" ht="11.25" hidden="1" customHeight="1">
      <c r="A268" s="608"/>
      <c r="B268" s="607"/>
      <c r="C268" s="607"/>
      <c r="D268" s="607"/>
      <c r="E268" s="607"/>
      <c r="F268" s="607"/>
      <c r="G268" s="606"/>
      <c r="H268" s="606"/>
      <c r="I268" s="606"/>
      <c r="J268" s="606"/>
      <c r="K268" s="606"/>
      <c r="L268" s="606"/>
      <c r="M268" s="606"/>
      <c r="N268" s="606"/>
      <c r="O268" s="606"/>
      <c r="P268" s="606"/>
      <c r="Q268" s="606"/>
      <c r="R268" s="606"/>
      <c r="S268" s="606"/>
      <c r="T268" s="606"/>
      <c r="U268" s="606"/>
      <c r="V268" s="606"/>
      <c r="W268" s="606"/>
      <c r="X268" s="640"/>
      <c r="Y268" s="607"/>
      <c r="Z268" s="607"/>
      <c r="AA268" s="607"/>
      <c r="AB268" s="607"/>
      <c r="AC268" s="607"/>
      <c r="AD268" s="607"/>
      <c r="AE268" s="607"/>
      <c r="AF268" s="607"/>
      <c r="AG268" s="607"/>
      <c r="AH268" s="607"/>
      <c r="AI268" s="607"/>
      <c r="AJ268" s="607"/>
      <c r="AK268" s="607"/>
      <c r="AL268" s="606"/>
      <c r="AM268" s="606"/>
      <c r="AN268" s="606"/>
      <c r="AO268" s="606"/>
    </row>
    <row r="269" spans="1:41" ht="11.25" hidden="1" customHeight="1">
      <c r="A269" s="608"/>
      <c r="B269" s="607"/>
      <c r="C269" s="607"/>
      <c r="D269" s="607"/>
      <c r="E269" s="607"/>
      <c r="F269" s="607"/>
      <c r="G269" s="606"/>
      <c r="H269" s="606"/>
      <c r="I269" s="606"/>
      <c r="J269" s="606"/>
      <c r="K269" s="606"/>
      <c r="L269" s="606"/>
      <c r="M269" s="606"/>
      <c r="N269" s="606"/>
      <c r="O269" s="606"/>
      <c r="P269" s="606"/>
      <c r="Q269" s="606"/>
      <c r="R269" s="606"/>
      <c r="S269" s="606"/>
      <c r="T269" s="606"/>
      <c r="U269" s="606"/>
      <c r="V269" s="606"/>
      <c r="W269" s="606"/>
      <c r="X269" s="640"/>
      <c r="Y269" s="607"/>
      <c r="Z269" s="607"/>
      <c r="AA269" s="607"/>
      <c r="AB269" s="607"/>
      <c r="AC269" s="607"/>
      <c r="AD269" s="607"/>
      <c r="AE269" s="607"/>
      <c r="AF269" s="607"/>
      <c r="AG269" s="607"/>
      <c r="AH269" s="607"/>
      <c r="AI269" s="607"/>
      <c r="AJ269" s="607"/>
      <c r="AK269" s="607"/>
      <c r="AL269" s="606"/>
      <c r="AM269" s="606"/>
      <c r="AN269" s="606"/>
      <c r="AO269" s="606"/>
    </row>
    <row r="270" spans="1:41" ht="11.25" hidden="1" customHeight="1">
      <c r="A270" s="608"/>
      <c r="B270" s="607"/>
      <c r="C270" s="607"/>
      <c r="D270" s="607"/>
      <c r="E270" s="607"/>
      <c r="F270" s="607"/>
      <c r="G270" s="606"/>
      <c r="H270" s="606"/>
      <c r="I270" s="606"/>
      <c r="J270" s="606"/>
      <c r="K270" s="606"/>
      <c r="L270" s="606"/>
      <c r="M270" s="606"/>
      <c r="N270" s="606"/>
      <c r="O270" s="606"/>
      <c r="P270" s="606"/>
      <c r="Q270" s="606"/>
      <c r="R270" s="606"/>
      <c r="S270" s="606"/>
      <c r="T270" s="606"/>
      <c r="U270" s="606"/>
      <c r="V270" s="606"/>
      <c r="W270" s="606"/>
      <c r="X270" s="640"/>
      <c r="Y270" s="607"/>
      <c r="Z270" s="607"/>
      <c r="AA270" s="607"/>
      <c r="AB270" s="607"/>
      <c r="AC270" s="607"/>
      <c r="AD270" s="607"/>
      <c r="AE270" s="607"/>
      <c r="AF270" s="607"/>
      <c r="AG270" s="607"/>
      <c r="AH270" s="607"/>
      <c r="AI270" s="607"/>
      <c r="AJ270" s="607"/>
      <c r="AK270" s="607"/>
      <c r="AL270" s="606"/>
      <c r="AM270" s="606"/>
      <c r="AN270" s="606"/>
      <c r="AO270" s="606"/>
    </row>
    <row r="271" spans="1:41" ht="11.25" hidden="1" customHeight="1">
      <c r="A271" s="608"/>
      <c r="B271" s="607"/>
      <c r="C271" s="607"/>
      <c r="D271" s="607"/>
      <c r="E271" s="607"/>
      <c r="F271" s="607"/>
      <c r="G271" s="606"/>
      <c r="H271" s="606"/>
      <c r="I271" s="606"/>
      <c r="J271" s="606"/>
      <c r="K271" s="606"/>
      <c r="L271" s="606"/>
      <c r="M271" s="606"/>
      <c r="N271" s="606"/>
      <c r="O271" s="606"/>
      <c r="P271" s="606"/>
      <c r="Q271" s="606"/>
      <c r="R271" s="606"/>
      <c r="S271" s="606"/>
      <c r="T271" s="606"/>
      <c r="U271" s="606"/>
      <c r="V271" s="606"/>
      <c r="W271" s="606"/>
      <c r="X271" s="640"/>
      <c r="Y271" s="607"/>
      <c r="Z271" s="607"/>
      <c r="AA271" s="607"/>
      <c r="AB271" s="607"/>
      <c r="AC271" s="607"/>
      <c r="AD271" s="607"/>
      <c r="AE271" s="607"/>
      <c r="AF271" s="607"/>
      <c r="AG271" s="607"/>
      <c r="AH271" s="607"/>
      <c r="AI271" s="607"/>
      <c r="AJ271" s="607"/>
      <c r="AK271" s="607"/>
      <c r="AL271" s="606"/>
      <c r="AM271" s="606"/>
      <c r="AN271" s="606"/>
      <c r="AO271" s="606"/>
    </row>
    <row r="272" spans="1:41" ht="11.25" hidden="1" customHeight="1">
      <c r="A272" s="608"/>
      <c r="B272" s="607"/>
      <c r="C272" s="607"/>
      <c r="D272" s="607"/>
      <c r="E272" s="607"/>
      <c r="F272" s="607"/>
      <c r="G272" s="606"/>
      <c r="H272" s="606"/>
      <c r="I272" s="606"/>
      <c r="J272" s="606"/>
      <c r="K272" s="606"/>
      <c r="L272" s="606"/>
      <c r="M272" s="606"/>
      <c r="N272" s="606"/>
      <c r="O272" s="606"/>
      <c r="P272" s="606"/>
      <c r="Q272" s="606"/>
      <c r="R272" s="606"/>
      <c r="S272" s="606"/>
      <c r="T272" s="606"/>
      <c r="U272" s="606"/>
      <c r="V272" s="606"/>
      <c r="W272" s="606"/>
      <c r="X272" s="640"/>
      <c r="Y272" s="607"/>
      <c r="Z272" s="607"/>
      <c r="AA272" s="607"/>
      <c r="AB272" s="607"/>
      <c r="AC272" s="607"/>
      <c r="AD272" s="607"/>
      <c r="AE272" s="607"/>
      <c r="AF272" s="607"/>
      <c r="AG272" s="607"/>
      <c r="AH272" s="607"/>
      <c r="AI272" s="607"/>
      <c r="AJ272" s="607"/>
      <c r="AK272" s="607"/>
      <c r="AL272" s="606"/>
      <c r="AM272" s="606"/>
      <c r="AN272" s="606"/>
      <c r="AO272" s="606"/>
    </row>
    <row r="273" spans="1:41" ht="11.25" hidden="1" customHeight="1">
      <c r="A273" s="608"/>
      <c r="B273" s="607"/>
      <c r="C273" s="607"/>
      <c r="D273" s="607"/>
      <c r="E273" s="607"/>
      <c r="F273" s="607"/>
      <c r="G273" s="606"/>
      <c r="H273" s="606"/>
      <c r="I273" s="606"/>
      <c r="J273" s="606"/>
      <c r="K273" s="606"/>
      <c r="L273" s="606"/>
      <c r="M273" s="606"/>
      <c r="N273" s="606"/>
      <c r="O273" s="606"/>
      <c r="P273" s="606"/>
      <c r="Q273" s="606"/>
      <c r="R273" s="606"/>
      <c r="S273" s="606"/>
      <c r="T273" s="606"/>
      <c r="U273" s="606"/>
      <c r="V273" s="606"/>
      <c r="W273" s="606"/>
      <c r="X273" s="640"/>
      <c r="Y273" s="607"/>
      <c r="Z273" s="607"/>
      <c r="AA273" s="607"/>
      <c r="AB273" s="607"/>
      <c r="AC273" s="607"/>
      <c r="AD273" s="607"/>
      <c r="AE273" s="607"/>
      <c r="AF273" s="607"/>
      <c r="AG273" s="607"/>
      <c r="AH273" s="607"/>
      <c r="AI273" s="607"/>
      <c r="AJ273" s="607"/>
      <c r="AK273" s="607"/>
      <c r="AL273" s="606"/>
      <c r="AM273" s="606"/>
      <c r="AN273" s="606"/>
      <c r="AO273" s="606"/>
    </row>
    <row r="274" spans="1:41" ht="11.25" hidden="1" customHeight="1">
      <c r="A274" s="608"/>
      <c r="B274" s="607"/>
      <c r="C274" s="607"/>
      <c r="D274" s="607"/>
      <c r="E274" s="607"/>
      <c r="F274" s="607"/>
      <c r="G274" s="606"/>
      <c r="H274" s="606"/>
      <c r="I274" s="606"/>
      <c r="J274" s="606"/>
      <c r="K274" s="606"/>
      <c r="L274" s="606"/>
      <c r="M274" s="606"/>
      <c r="N274" s="606"/>
      <c r="O274" s="606"/>
      <c r="P274" s="606"/>
      <c r="Q274" s="606"/>
      <c r="R274" s="606"/>
      <c r="S274" s="606"/>
      <c r="T274" s="606"/>
      <c r="U274" s="606"/>
      <c r="V274" s="606"/>
      <c r="W274" s="606"/>
      <c r="X274" s="640"/>
      <c r="Y274" s="607"/>
      <c r="Z274" s="607"/>
      <c r="AA274" s="607"/>
      <c r="AB274" s="607"/>
      <c r="AC274" s="607"/>
      <c r="AD274" s="607"/>
      <c r="AE274" s="607"/>
      <c r="AF274" s="607"/>
      <c r="AG274" s="607"/>
      <c r="AH274" s="607"/>
      <c r="AI274" s="607"/>
      <c r="AJ274" s="607"/>
      <c r="AK274" s="607"/>
      <c r="AL274" s="606"/>
      <c r="AM274" s="606"/>
      <c r="AN274" s="606"/>
      <c r="AO274" s="606"/>
    </row>
    <row r="275" spans="1:41" ht="11.25" hidden="1" customHeight="1">
      <c r="A275" s="608"/>
      <c r="B275" s="607"/>
      <c r="C275" s="607"/>
      <c r="D275" s="607"/>
      <c r="E275" s="607"/>
      <c r="F275" s="607"/>
      <c r="G275" s="606"/>
      <c r="H275" s="606"/>
      <c r="I275" s="606"/>
      <c r="J275" s="606"/>
      <c r="K275" s="606"/>
      <c r="L275" s="606"/>
      <c r="M275" s="606"/>
      <c r="N275" s="606"/>
      <c r="O275" s="606"/>
      <c r="P275" s="606"/>
      <c r="Q275" s="606"/>
      <c r="R275" s="606"/>
      <c r="S275" s="606"/>
      <c r="T275" s="606"/>
      <c r="U275" s="606"/>
      <c r="V275" s="606"/>
      <c r="W275" s="606"/>
      <c r="X275" s="640"/>
      <c r="Y275" s="607"/>
      <c r="Z275" s="607"/>
      <c r="AA275" s="607"/>
      <c r="AB275" s="607"/>
      <c r="AC275" s="607"/>
      <c r="AD275" s="607"/>
      <c r="AE275" s="607"/>
      <c r="AF275" s="607"/>
      <c r="AG275" s="607"/>
      <c r="AH275" s="607"/>
      <c r="AI275" s="607"/>
      <c r="AJ275" s="607"/>
      <c r="AK275" s="607"/>
      <c r="AL275" s="606"/>
      <c r="AM275" s="606"/>
      <c r="AN275" s="606"/>
      <c r="AO275" s="606"/>
    </row>
    <row r="276" spans="1:41" ht="11.25" hidden="1" customHeight="1">
      <c r="A276" s="608"/>
      <c r="B276" s="607"/>
      <c r="C276" s="607"/>
      <c r="D276" s="607"/>
      <c r="E276" s="607"/>
      <c r="F276" s="607"/>
      <c r="G276" s="606"/>
      <c r="H276" s="606"/>
      <c r="I276" s="606"/>
      <c r="J276" s="606"/>
      <c r="K276" s="606"/>
      <c r="L276" s="606"/>
      <c r="M276" s="606"/>
      <c r="N276" s="606"/>
      <c r="O276" s="606"/>
      <c r="P276" s="606"/>
      <c r="Q276" s="606"/>
      <c r="R276" s="606"/>
      <c r="S276" s="606"/>
      <c r="T276" s="606"/>
      <c r="U276" s="606"/>
      <c r="V276" s="606"/>
      <c r="W276" s="606"/>
      <c r="X276" s="640"/>
      <c r="Y276" s="607"/>
      <c r="Z276" s="607"/>
      <c r="AA276" s="607"/>
      <c r="AB276" s="607"/>
      <c r="AC276" s="607"/>
      <c r="AD276" s="607"/>
      <c r="AE276" s="607"/>
      <c r="AF276" s="607"/>
      <c r="AG276" s="607"/>
      <c r="AH276" s="607"/>
      <c r="AI276" s="607"/>
      <c r="AJ276" s="607"/>
      <c r="AK276" s="607"/>
      <c r="AL276" s="606"/>
      <c r="AM276" s="606"/>
      <c r="AN276" s="606"/>
      <c r="AO276" s="606"/>
    </row>
    <row r="277" spans="1:41" ht="11.25" hidden="1" customHeight="1">
      <c r="A277" s="608"/>
      <c r="B277" s="607"/>
      <c r="C277" s="607"/>
      <c r="D277" s="607"/>
      <c r="E277" s="607"/>
      <c r="F277" s="607"/>
      <c r="G277" s="606"/>
      <c r="H277" s="606"/>
      <c r="I277" s="606"/>
      <c r="J277" s="606"/>
      <c r="K277" s="606"/>
      <c r="L277" s="606"/>
      <c r="M277" s="606"/>
      <c r="N277" s="606"/>
      <c r="O277" s="606"/>
      <c r="P277" s="606"/>
      <c r="Q277" s="606"/>
      <c r="R277" s="606"/>
      <c r="S277" s="606"/>
      <c r="T277" s="606"/>
      <c r="U277" s="606"/>
      <c r="V277" s="606"/>
      <c r="W277" s="606"/>
      <c r="X277" s="640"/>
      <c r="Y277" s="607"/>
      <c r="Z277" s="607"/>
      <c r="AA277" s="607"/>
      <c r="AB277" s="607"/>
      <c r="AC277" s="607"/>
      <c r="AD277" s="607"/>
      <c r="AE277" s="607"/>
      <c r="AF277" s="607"/>
      <c r="AG277" s="607"/>
      <c r="AH277" s="607"/>
      <c r="AI277" s="607"/>
      <c r="AJ277" s="607"/>
      <c r="AK277" s="607"/>
      <c r="AL277" s="606"/>
      <c r="AM277" s="606"/>
      <c r="AN277" s="606"/>
      <c r="AO277" s="606"/>
    </row>
    <row r="278" spans="1:41" ht="11.25" hidden="1" customHeight="1">
      <c r="A278" s="608"/>
      <c r="B278" s="607"/>
      <c r="C278" s="607"/>
      <c r="D278" s="607"/>
      <c r="E278" s="607"/>
      <c r="F278" s="607"/>
      <c r="G278" s="606"/>
      <c r="H278" s="606"/>
      <c r="I278" s="606"/>
      <c r="J278" s="606"/>
      <c r="K278" s="606"/>
      <c r="L278" s="606"/>
      <c r="M278" s="606"/>
      <c r="N278" s="606"/>
      <c r="O278" s="606"/>
      <c r="P278" s="606"/>
      <c r="Q278" s="606"/>
      <c r="R278" s="606"/>
      <c r="S278" s="606"/>
      <c r="T278" s="606"/>
      <c r="U278" s="606"/>
      <c r="V278" s="606"/>
      <c r="W278" s="606"/>
      <c r="X278" s="640"/>
      <c r="Y278" s="607"/>
      <c r="Z278" s="607"/>
      <c r="AA278" s="607"/>
      <c r="AB278" s="607"/>
      <c r="AC278" s="607"/>
      <c r="AD278" s="607"/>
      <c r="AE278" s="607"/>
      <c r="AF278" s="607"/>
      <c r="AG278" s="607"/>
      <c r="AH278" s="607"/>
      <c r="AI278" s="607"/>
      <c r="AJ278" s="607"/>
      <c r="AK278" s="607"/>
      <c r="AL278" s="606"/>
      <c r="AM278" s="606"/>
      <c r="AN278" s="606"/>
      <c r="AO278" s="606"/>
    </row>
    <row r="279" spans="1:41" ht="11.25" hidden="1" customHeight="1">
      <c r="A279" s="608"/>
      <c r="B279" s="607"/>
      <c r="C279" s="607"/>
      <c r="D279" s="607"/>
      <c r="E279" s="607"/>
      <c r="F279" s="607"/>
      <c r="G279" s="606"/>
      <c r="H279" s="606"/>
      <c r="I279" s="606"/>
      <c r="J279" s="606"/>
      <c r="K279" s="606"/>
      <c r="L279" s="606"/>
      <c r="M279" s="606"/>
      <c r="N279" s="606"/>
      <c r="O279" s="606"/>
      <c r="P279" s="606"/>
      <c r="Q279" s="606"/>
      <c r="R279" s="606"/>
      <c r="S279" s="606"/>
      <c r="T279" s="606"/>
      <c r="U279" s="606"/>
      <c r="V279" s="606"/>
      <c r="W279" s="606"/>
      <c r="X279" s="640"/>
      <c r="Y279" s="607"/>
      <c r="Z279" s="607"/>
      <c r="AA279" s="607"/>
      <c r="AB279" s="607"/>
      <c r="AC279" s="607"/>
      <c r="AD279" s="607"/>
      <c r="AE279" s="607"/>
      <c r="AF279" s="607"/>
      <c r="AG279" s="607"/>
      <c r="AH279" s="607"/>
      <c r="AI279" s="607"/>
      <c r="AJ279" s="607"/>
      <c r="AK279" s="607"/>
      <c r="AL279" s="606"/>
      <c r="AM279" s="606"/>
      <c r="AN279" s="606"/>
      <c r="AO279" s="606"/>
    </row>
    <row r="280" spans="1:41" ht="11.25" hidden="1" customHeight="1">
      <c r="A280" s="608"/>
      <c r="B280" s="607"/>
      <c r="C280" s="607"/>
      <c r="D280" s="607"/>
      <c r="E280" s="607"/>
      <c r="F280" s="607"/>
      <c r="G280" s="606"/>
      <c r="H280" s="606"/>
      <c r="I280" s="606"/>
      <c r="J280" s="606"/>
      <c r="K280" s="606"/>
      <c r="L280" s="606"/>
      <c r="M280" s="606"/>
      <c r="N280" s="606"/>
      <c r="O280" s="606"/>
      <c r="P280" s="606"/>
      <c r="Q280" s="606"/>
      <c r="R280" s="606"/>
      <c r="S280" s="606"/>
      <c r="T280" s="606"/>
      <c r="U280" s="606"/>
      <c r="V280" s="606"/>
      <c r="W280" s="606"/>
      <c r="X280" s="640"/>
      <c r="Y280" s="607"/>
      <c r="Z280" s="607"/>
      <c r="AA280" s="607"/>
      <c r="AB280" s="607"/>
      <c r="AC280" s="607"/>
      <c r="AD280" s="607"/>
      <c r="AE280" s="607"/>
      <c r="AF280" s="607"/>
      <c r="AG280" s="607"/>
      <c r="AH280" s="607"/>
      <c r="AI280" s="607"/>
      <c r="AJ280" s="607"/>
      <c r="AK280" s="607"/>
      <c r="AL280" s="606"/>
      <c r="AM280" s="606"/>
      <c r="AN280" s="606"/>
      <c r="AO280" s="606"/>
    </row>
    <row r="281" spans="1:41" ht="11.25" hidden="1" customHeight="1">
      <c r="A281" s="608"/>
      <c r="B281" s="607"/>
      <c r="C281" s="607"/>
      <c r="D281" s="607"/>
      <c r="E281" s="607"/>
      <c r="F281" s="607"/>
      <c r="G281" s="606"/>
      <c r="H281" s="606"/>
      <c r="I281" s="606"/>
      <c r="J281" s="606"/>
      <c r="K281" s="606"/>
      <c r="L281" s="606"/>
      <c r="M281" s="606"/>
      <c r="N281" s="606"/>
      <c r="O281" s="606"/>
      <c r="P281" s="606"/>
      <c r="Q281" s="606"/>
      <c r="R281" s="606"/>
      <c r="S281" s="606"/>
      <c r="T281" s="606"/>
      <c r="U281" s="606"/>
      <c r="V281" s="606"/>
      <c r="W281" s="606"/>
      <c r="X281" s="640"/>
      <c r="Y281" s="607"/>
      <c r="Z281" s="607"/>
      <c r="AA281" s="607"/>
      <c r="AB281" s="607"/>
      <c r="AC281" s="607"/>
      <c r="AD281" s="607"/>
      <c r="AE281" s="607"/>
      <c r="AF281" s="607"/>
      <c r="AG281" s="607"/>
      <c r="AH281" s="607"/>
      <c r="AI281" s="607"/>
      <c r="AJ281" s="607"/>
      <c r="AK281" s="607"/>
      <c r="AL281" s="606"/>
      <c r="AM281" s="606"/>
      <c r="AN281" s="606"/>
      <c r="AO281" s="606"/>
    </row>
    <row r="282" spans="1:41" ht="11.25" hidden="1" customHeight="1">
      <c r="A282" s="608"/>
      <c r="B282" s="607"/>
      <c r="C282" s="607"/>
      <c r="D282" s="607"/>
      <c r="E282" s="607"/>
      <c r="F282" s="607"/>
      <c r="G282" s="606"/>
      <c r="H282" s="606"/>
      <c r="I282" s="606"/>
      <c r="J282" s="606"/>
      <c r="K282" s="606"/>
      <c r="L282" s="606"/>
      <c r="M282" s="606"/>
      <c r="N282" s="606"/>
      <c r="O282" s="606"/>
      <c r="P282" s="606"/>
      <c r="Q282" s="606"/>
      <c r="R282" s="606"/>
      <c r="S282" s="606"/>
      <c r="T282" s="606"/>
      <c r="U282" s="606"/>
      <c r="V282" s="606"/>
      <c r="W282" s="606"/>
      <c r="X282" s="640"/>
      <c r="Y282" s="607"/>
      <c r="Z282" s="607"/>
      <c r="AA282" s="607"/>
      <c r="AB282" s="607"/>
      <c r="AC282" s="607"/>
      <c r="AD282" s="607"/>
      <c r="AE282" s="607"/>
      <c r="AF282" s="607"/>
      <c r="AG282" s="607"/>
      <c r="AH282" s="607"/>
      <c r="AI282" s="607"/>
      <c r="AJ282" s="607"/>
      <c r="AK282" s="607"/>
      <c r="AL282" s="606"/>
      <c r="AM282" s="606"/>
      <c r="AN282" s="606"/>
      <c r="AO282" s="606"/>
    </row>
    <row r="283" spans="1:41" ht="11.25" hidden="1" customHeight="1">
      <c r="A283" s="608"/>
      <c r="B283" s="607"/>
      <c r="C283" s="607"/>
      <c r="D283" s="607"/>
      <c r="E283" s="607"/>
      <c r="F283" s="607"/>
      <c r="G283" s="606"/>
      <c r="H283" s="606"/>
      <c r="I283" s="606"/>
      <c r="J283" s="606"/>
      <c r="K283" s="606"/>
      <c r="L283" s="606"/>
      <c r="M283" s="606"/>
      <c r="N283" s="606"/>
      <c r="O283" s="606"/>
      <c r="P283" s="606"/>
      <c r="Q283" s="606"/>
      <c r="R283" s="606"/>
      <c r="S283" s="606"/>
      <c r="T283" s="606"/>
      <c r="U283" s="606"/>
      <c r="V283" s="606"/>
      <c r="W283" s="606"/>
      <c r="X283" s="640"/>
      <c r="Y283" s="607"/>
      <c r="Z283" s="607"/>
      <c r="AA283" s="607"/>
      <c r="AB283" s="607"/>
      <c r="AC283" s="607"/>
      <c r="AD283" s="607"/>
      <c r="AE283" s="607"/>
      <c r="AF283" s="607"/>
      <c r="AG283" s="607"/>
      <c r="AH283" s="607"/>
      <c r="AI283" s="607"/>
      <c r="AJ283" s="607"/>
      <c r="AK283" s="607"/>
      <c r="AL283" s="606"/>
      <c r="AM283" s="606"/>
      <c r="AN283" s="606"/>
      <c r="AO283" s="606"/>
    </row>
    <row r="284" spans="1:41" ht="11.25" hidden="1" customHeight="1">
      <c r="A284" s="608"/>
      <c r="B284" s="607"/>
      <c r="C284" s="607"/>
      <c r="D284" s="607"/>
      <c r="E284" s="607"/>
      <c r="F284" s="607"/>
      <c r="G284" s="606"/>
      <c r="H284" s="606"/>
      <c r="I284" s="606"/>
      <c r="J284" s="606"/>
      <c r="K284" s="606"/>
      <c r="L284" s="606"/>
      <c r="M284" s="606"/>
      <c r="N284" s="606"/>
      <c r="O284" s="606"/>
      <c r="P284" s="606"/>
      <c r="Q284" s="606"/>
      <c r="R284" s="606"/>
      <c r="S284" s="606"/>
      <c r="T284" s="606"/>
      <c r="U284" s="606"/>
      <c r="V284" s="606"/>
      <c r="W284" s="606"/>
      <c r="X284" s="640"/>
      <c r="Y284" s="607"/>
      <c r="Z284" s="607"/>
      <c r="AA284" s="607"/>
      <c r="AB284" s="607"/>
      <c r="AC284" s="607"/>
      <c r="AD284" s="607"/>
      <c r="AE284" s="607"/>
      <c r="AF284" s="607"/>
      <c r="AG284" s="607"/>
      <c r="AH284" s="607"/>
      <c r="AI284" s="607"/>
      <c r="AJ284" s="607"/>
      <c r="AK284" s="607"/>
      <c r="AL284" s="606"/>
      <c r="AM284" s="606"/>
      <c r="AN284" s="606"/>
      <c r="AO284" s="606"/>
    </row>
    <row r="285" spans="1:41" ht="11.25" hidden="1" customHeight="1">
      <c r="A285" s="608"/>
      <c r="B285" s="607"/>
      <c r="C285" s="607"/>
      <c r="D285" s="607"/>
      <c r="E285" s="607"/>
      <c r="F285" s="607"/>
      <c r="G285" s="606"/>
      <c r="H285" s="606"/>
      <c r="I285" s="606"/>
      <c r="J285" s="606"/>
      <c r="K285" s="606"/>
      <c r="L285" s="606"/>
      <c r="M285" s="606"/>
      <c r="N285" s="606"/>
      <c r="O285" s="606"/>
      <c r="P285" s="606"/>
      <c r="Q285" s="606"/>
      <c r="R285" s="606"/>
      <c r="S285" s="606"/>
      <c r="T285" s="606"/>
      <c r="U285" s="606"/>
      <c r="V285" s="606"/>
      <c r="W285" s="606"/>
      <c r="X285" s="640"/>
      <c r="Y285" s="607"/>
      <c r="Z285" s="607"/>
      <c r="AA285" s="607"/>
      <c r="AB285" s="607"/>
      <c r="AC285" s="607"/>
      <c r="AD285" s="607"/>
      <c r="AE285" s="607"/>
      <c r="AF285" s="607"/>
      <c r="AG285" s="607"/>
      <c r="AH285" s="607"/>
      <c r="AI285" s="607"/>
      <c r="AJ285" s="607"/>
      <c r="AK285" s="607"/>
      <c r="AL285" s="606"/>
      <c r="AM285" s="606"/>
      <c r="AN285" s="606"/>
      <c r="AO285" s="606"/>
    </row>
    <row r="286" spans="1:41" ht="11.25" hidden="1" customHeight="1">
      <c r="A286" s="608"/>
      <c r="B286" s="607"/>
      <c r="C286" s="607"/>
      <c r="D286" s="607"/>
      <c r="E286" s="607"/>
      <c r="F286" s="607"/>
      <c r="G286" s="606"/>
      <c r="H286" s="606"/>
      <c r="I286" s="606"/>
      <c r="J286" s="606"/>
      <c r="K286" s="606"/>
      <c r="L286" s="606"/>
      <c r="M286" s="606"/>
      <c r="N286" s="606"/>
      <c r="O286" s="606"/>
      <c r="P286" s="606"/>
      <c r="Q286" s="606"/>
      <c r="R286" s="606"/>
      <c r="S286" s="606"/>
      <c r="T286" s="606"/>
      <c r="U286" s="606"/>
      <c r="V286" s="606"/>
      <c r="W286" s="606"/>
      <c r="X286" s="640"/>
      <c r="Y286" s="607"/>
      <c r="Z286" s="607"/>
      <c r="AA286" s="607"/>
      <c r="AB286" s="607"/>
      <c r="AC286" s="607"/>
      <c r="AD286" s="607"/>
      <c r="AE286" s="607"/>
      <c r="AF286" s="607"/>
      <c r="AG286" s="607"/>
      <c r="AH286" s="607"/>
      <c r="AI286" s="607"/>
      <c r="AJ286" s="607"/>
      <c r="AK286" s="607"/>
      <c r="AL286" s="606"/>
      <c r="AM286" s="606"/>
      <c r="AN286" s="606"/>
      <c r="AO286" s="606"/>
    </row>
    <row r="287" spans="1:41" ht="11.25" hidden="1" customHeight="1">
      <c r="A287" s="608"/>
      <c r="B287" s="607"/>
      <c r="C287" s="607"/>
      <c r="D287" s="607"/>
      <c r="E287" s="607"/>
      <c r="F287" s="607"/>
      <c r="G287" s="606"/>
      <c r="H287" s="606"/>
      <c r="I287" s="606"/>
      <c r="J287" s="606"/>
      <c r="K287" s="606"/>
      <c r="L287" s="606"/>
      <c r="M287" s="606"/>
      <c r="N287" s="606"/>
      <c r="O287" s="606"/>
      <c r="P287" s="606"/>
      <c r="Q287" s="606"/>
      <c r="R287" s="606"/>
      <c r="S287" s="606"/>
      <c r="T287" s="606"/>
      <c r="U287" s="606"/>
      <c r="V287" s="606"/>
      <c r="W287" s="606"/>
      <c r="X287" s="640"/>
      <c r="Y287" s="607"/>
      <c r="Z287" s="607"/>
      <c r="AA287" s="607"/>
      <c r="AB287" s="607"/>
      <c r="AC287" s="607"/>
      <c r="AD287" s="607"/>
      <c r="AE287" s="607"/>
      <c r="AF287" s="607"/>
      <c r="AG287" s="607"/>
      <c r="AH287" s="607"/>
      <c r="AI287" s="607"/>
      <c r="AJ287" s="607"/>
      <c r="AK287" s="607"/>
      <c r="AL287" s="606"/>
      <c r="AM287" s="606"/>
      <c r="AN287" s="606"/>
      <c r="AO287" s="606"/>
    </row>
    <row r="288" spans="1:41" ht="11.25" hidden="1" customHeight="1">
      <c r="A288" s="608"/>
      <c r="B288" s="607"/>
      <c r="C288" s="607"/>
      <c r="D288" s="607"/>
      <c r="E288" s="607"/>
      <c r="F288" s="607"/>
      <c r="G288" s="606"/>
      <c r="H288" s="606"/>
      <c r="I288" s="606"/>
      <c r="J288" s="606"/>
      <c r="K288" s="606"/>
      <c r="L288" s="606"/>
      <c r="M288" s="606"/>
      <c r="N288" s="606"/>
      <c r="O288" s="606"/>
      <c r="P288" s="606"/>
      <c r="Q288" s="606"/>
      <c r="R288" s="606"/>
      <c r="S288" s="606"/>
      <c r="T288" s="606"/>
      <c r="U288" s="606"/>
      <c r="V288" s="606"/>
      <c r="W288" s="606"/>
      <c r="X288" s="640"/>
      <c r="Y288" s="607"/>
      <c r="Z288" s="607"/>
      <c r="AA288" s="607"/>
      <c r="AB288" s="607"/>
      <c r="AC288" s="607"/>
      <c r="AD288" s="607"/>
      <c r="AE288" s="607"/>
      <c r="AF288" s="607"/>
      <c r="AG288" s="607"/>
      <c r="AH288" s="607"/>
      <c r="AI288" s="607"/>
      <c r="AJ288" s="607"/>
      <c r="AK288" s="607"/>
      <c r="AL288" s="606"/>
      <c r="AM288" s="606"/>
      <c r="AN288" s="606"/>
      <c r="AO288" s="606"/>
    </row>
    <row r="289" spans="1:41" ht="11.25" hidden="1" customHeight="1">
      <c r="A289" s="608"/>
      <c r="B289" s="607"/>
      <c r="C289" s="607"/>
      <c r="D289" s="607"/>
      <c r="E289" s="607"/>
      <c r="F289" s="607"/>
      <c r="G289" s="606"/>
      <c r="H289" s="606"/>
      <c r="I289" s="606"/>
      <c r="J289" s="606"/>
      <c r="K289" s="606"/>
      <c r="L289" s="606"/>
      <c r="M289" s="606"/>
      <c r="N289" s="606"/>
      <c r="O289" s="606"/>
      <c r="P289" s="606"/>
      <c r="Q289" s="606"/>
      <c r="R289" s="606"/>
      <c r="S289" s="606"/>
      <c r="T289" s="606"/>
      <c r="U289" s="606"/>
      <c r="V289" s="606"/>
      <c r="W289" s="606"/>
      <c r="X289" s="640"/>
      <c r="Y289" s="607"/>
      <c r="Z289" s="607"/>
      <c r="AA289" s="607"/>
      <c r="AB289" s="607"/>
      <c r="AC289" s="607"/>
      <c r="AD289" s="607"/>
      <c r="AE289" s="607"/>
      <c r="AF289" s="607"/>
      <c r="AG289" s="607"/>
      <c r="AH289" s="607"/>
      <c r="AI289" s="607"/>
      <c r="AJ289" s="607"/>
      <c r="AK289" s="607"/>
      <c r="AL289" s="606"/>
      <c r="AM289" s="606"/>
      <c r="AN289" s="606"/>
      <c r="AO289" s="606"/>
    </row>
    <row r="290" spans="1:41" ht="11.25" hidden="1" customHeight="1">
      <c r="A290" s="608"/>
      <c r="B290" s="607"/>
      <c r="C290" s="607"/>
      <c r="D290" s="607"/>
      <c r="E290" s="607"/>
      <c r="F290" s="607"/>
      <c r="G290" s="606"/>
      <c r="H290" s="606"/>
      <c r="I290" s="606"/>
      <c r="J290" s="606"/>
      <c r="K290" s="606"/>
      <c r="L290" s="606"/>
      <c r="M290" s="606"/>
      <c r="N290" s="606"/>
      <c r="O290" s="606"/>
      <c r="P290" s="606"/>
      <c r="Q290" s="606"/>
      <c r="R290" s="606"/>
      <c r="S290" s="606"/>
      <c r="T290" s="606"/>
      <c r="U290" s="606"/>
      <c r="V290" s="606"/>
      <c r="W290" s="606"/>
      <c r="X290" s="640"/>
      <c r="Y290" s="607"/>
      <c r="Z290" s="607"/>
      <c r="AA290" s="607"/>
      <c r="AB290" s="607"/>
      <c r="AC290" s="607"/>
      <c r="AD290" s="607"/>
      <c r="AE290" s="607"/>
      <c r="AF290" s="607"/>
      <c r="AG290" s="607"/>
      <c r="AH290" s="607"/>
      <c r="AI290" s="607"/>
      <c r="AJ290" s="607"/>
      <c r="AK290" s="607"/>
      <c r="AL290" s="606"/>
      <c r="AM290" s="606"/>
      <c r="AN290" s="606"/>
      <c r="AO290" s="606"/>
    </row>
    <row r="291" spans="1:41" ht="11.25" hidden="1" customHeight="1">
      <c r="A291" s="608"/>
      <c r="B291" s="607"/>
      <c r="C291" s="607"/>
      <c r="D291" s="607"/>
      <c r="E291" s="607"/>
      <c r="F291" s="607"/>
      <c r="G291" s="606"/>
      <c r="H291" s="606"/>
      <c r="I291" s="606"/>
      <c r="J291" s="606"/>
      <c r="K291" s="606"/>
      <c r="L291" s="606"/>
      <c r="M291" s="606"/>
      <c r="N291" s="606"/>
      <c r="O291" s="606"/>
      <c r="P291" s="606"/>
      <c r="Q291" s="606"/>
      <c r="R291" s="606"/>
      <c r="S291" s="606"/>
      <c r="T291" s="606"/>
      <c r="U291" s="606"/>
      <c r="V291" s="606"/>
      <c r="W291" s="606"/>
      <c r="X291" s="640"/>
      <c r="Y291" s="607"/>
      <c r="Z291" s="607"/>
      <c r="AA291" s="607"/>
      <c r="AB291" s="607"/>
      <c r="AC291" s="607"/>
      <c r="AD291" s="607"/>
      <c r="AE291" s="607"/>
      <c r="AF291" s="607"/>
      <c r="AG291" s="607"/>
      <c r="AH291" s="607"/>
      <c r="AI291" s="607"/>
      <c r="AJ291" s="607"/>
      <c r="AK291" s="607"/>
      <c r="AL291" s="606"/>
      <c r="AM291" s="606"/>
      <c r="AN291" s="606"/>
      <c r="AO291" s="606"/>
    </row>
    <row r="292" spans="1:41" ht="11.25" hidden="1" customHeight="1">
      <c r="A292" s="608"/>
      <c r="B292" s="607"/>
      <c r="C292" s="607"/>
      <c r="D292" s="607"/>
      <c r="E292" s="607"/>
      <c r="F292" s="607"/>
      <c r="G292" s="606"/>
      <c r="H292" s="606"/>
      <c r="I292" s="606"/>
      <c r="J292" s="606"/>
      <c r="K292" s="606"/>
      <c r="L292" s="606"/>
      <c r="M292" s="606"/>
      <c r="N292" s="606"/>
      <c r="O292" s="606"/>
      <c r="P292" s="606"/>
      <c r="Q292" s="606"/>
      <c r="R292" s="606"/>
      <c r="S292" s="606"/>
      <c r="T292" s="606"/>
      <c r="U292" s="606"/>
      <c r="V292" s="606"/>
      <c r="W292" s="606"/>
      <c r="X292" s="640"/>
      <c r="Y292" s="607"/>
      <c r="Z292" s="607"/>
      <c r="AA292" s="607"/>
      <c r="AB292" s="607"/>
      <c r="AC292" s="607"/>
      <c r="AD292" s="607"/>
      <c r="AE292" s="607"/>
      <c r="AF292" s="607"/>
      <c r="AG292" s="607"/>
      <c r="AH292" s="607"/>
      <c r="AI292" s="607"/>
      <c r="AJ292" s="607"/>
      <c r="AK292" s="607"/>
      <c r="AL292" s="606"/>
      <c r="AM292" s="606"/>
      <c r="AN292" s="606"/>
      <c r="AO292" s="606"/>
    </row>
    <row r="293" spans="1:41" ht="11.25" hidden="1" customHeight="1">
      <c r="A293" s="608"/>
      <c r="B293" s="607"/>
      <c r="C293" s="607"/>
      <c r="D293" s="607"/>
      <c r="E293" s="607"/>
      <c r="F293" s="607"/>
      <c r="G293" s="606"/>
      <c r="H293" s="606"/>
      <c r="I293" s="606"/>
      <c r="J293" s="606"/>
      <c r="K293" s="606"/>
      <c r="L293" s="606"/>
      <c r="M293" s="606"/>
      <c r="N293" s="606"/>
      <c r="O293" s="606"/>
      <c r="P293" s="606"/>
      <c r="Q293" s="606"/>
      <c r="R293" s="606"/>
      <c r="S293" s="606"/>
      <c r="T293" s="606"/>
      <c r="U293" s="606"/>
      <c r="V293" s="606"/>
      <c r="W293" s="606"/>
      <c r="X293" s="640"/>
      <c r="Y293" s="607"/>
      <c r="Z293" s="607"/>
      <c r="AA293" s="607"/>
      <c r="AB293" s="607"/>
      <c r="AC293" s="607"/>
      <c r="AD293" s="607"/>
      <c r="AE293" s="607"/>
      <c r="AF293" s="607"/>
      <c r="AG293" s="607"/>
      <c r="AH293" s="607"/>
      <c r="AI293" s="607"/>
      <c r="AJ293" s="607"/>
      <c r="AK293" s="607"/>
      <c r="AL293" s="606"/>
      <c r="AM293" s="606"/>
      <c r="AN293" s="606"/>
      <c r="AO293" s="606"/>
    </row>
    <row r="294" spans="1:41" ht="11.25" hidden="1" customHeight="1">
      <c r="A294" s="608"/>
      <c r="B294" s="607"/>
      <c r="C294" s="607"/>
      <c r="D294" s="607"/>
      <c r="E294" s="607"/>
      <c r="F294" s="607"/>
      <c r="G294" s="606"/>
      <c r="H294" s="606"/>
      <c r="I294" s="606"/>
      <c r="J294" s="606"/>
      <c r="K294" s="606"/>
      <c r="L294" s="606"/>
      <c r="M294" s="606"/>
      <c r="N294" s="606"/>
      <c r="O294" s="606"/>
      <c r="P294" s="606"/>
      <c r="Q294" s="606"/>
      <c r="R294" s="606"/>
      <c r="S294" s="606"/>
      <c r="T294" s="606"/>
      <c r="U294" s="606"/>
      <c r="V294" s="606"/>
      <c r="W294" s="606"/>
      <c r="X294" s="640"/>
      <c r="Y294" s="607"/>
      <c r="Z294" s="607"/>
      <c r="AA294" s="607"/>
      <c r="AB294" s="607"/>
      <c r="AC294" s="607"/>
      <c r="AD294" s="607"/>
      <c r="AE294" s="607"/>
      <c r="AF294" s="607"/>
      <c r="AG294" s="607"/>
      <c r="AH294" s="607"/>
      <c r="AI294" s="607"/>
      <c r="AJ294" s="607"/>
      <c r="AK294" s="607"/>
      <c r="AL294" s="606"/>
      <c r="AM294" s="606"/>
      <c r="AN294" s="606"/>
      <c r="AO294" s="606"/>
    </row>
    <row r="295" spans="1:41" ht="11.25" hidden="1" customHeight="1">
      <c r="A295" s="608"/>
      <c r="B295" s="607"/>
      <c r="C295" s="607"/>
      <c r="D295" s="607"/>
      <c r="E295" s="607"/>
      <c r="F295" s="607"/>
      <c r="G295" s="606"/>
      <c r="H295" s="606"/>
      <c r="I295" s="606"/>
      <c r="J295" s="606"/>
      <c r="K295" s="606"/>
      <c r="L295" s="606"/>
      <c r="M295" s="606"/>
      <c r="N295" s="606"/>
      <c r="O295" s="606"/>
      <c r="P295" s="606"/>
      <c r="Q295" s="606"/>
      <c r="R295" s="606"/>
      <c r="S295" s="606"/>
      <c r="T295" s="606"/>
      <c r="U295" s="606"/>
      <c r="V295" s="606"/>
      <c r="W295" s="606"/>
      <c r="X295" s="640"/>
      <c r="Y295" s="607"/>
      <c r="Z295" s="607"/>
      <c r="AA295" s="607"/>
      <c r="AB295" s="607"/>
      <c r="AC295" s="607"/>
      <c r="AD295" s="607"/>
      <c r="AE295" s="607"/>
      <c r="AF295" s="607"/>
      <c r="AG295" s="607"/>
      <c r="AH295" s="607"/>
      <c r="AI295" s="607"/>
      <c r="AJ295" s="607"/>
      <c r="AK295" s="607"/>
      <c r="AL295" s="606"/>
      <c r="AM295" s="606"/>
      <c r="AN295" s="606"/>
      <c r="AO295" s="606"/>
    </row>
    <row r="296" spans="1:41" ht="11.25" hidden="1" customHeight="1">
      <c r="A296" s="608"/>
      <c r="B296" s="607"/>
      <c r="C296" s="607"/>
      <c r="D296" s="607"/>
      <c r="E296" s="607"/>
      <c r="F296" s="607"/>
      <c r="G296" s="606"/>
      <c r="H296" s="606"/>
      <c r="I296" s="606"/>
      <c r="J296" s="606"/>
      <c r="K296" s="606"/>
      <c r="L296" s="606"/>
      <c r="M296" s="606"/>
      <c r="N296" s="606"/>
      <c r="O296" s="606"/>
      <c r="P296" s="606"/>
      <c r="Q296" s="606"/>
      <c r="R296" s="606"/>
      <c r="S296" s="606"/>
      <c r="T296" s="606"/>
      <c r="U296" s="606"/>
      <c r="V296" s="606"/>
      <c r="W296" s="606"/>
      <c r="X296" s="640"/>
      <c r="Y296" s="607"/>
      <c r="Z296" s="607"/>
      <c r="AA296" s="607"/>
      <c r="AB296" s="607"/>
      <c r="AC296" s="607"/>
      <c r="AD296" s="607"/>
      <c r="AE296" s="607"/>
      <c r="AF296" s="607"/>
      <c r="AG296" s="607"/>
      <c r="AH296" s="607"/>
      <c r="AI296" s="607"/>
      <c r="AJ296" s="607"/>
      <c r="AK296" s="607"/>
      <c r="AL296" s="606"/>
      <c r="AM296" s="606"/>
      <c r="AN296" s="606"/>
      <c r="AO296" s="606"/>
    </row>
    <row r="297" spans="1:41" ht="11.25" hidden="1" customHeight="1">
      <c r="A297" s="608"/>
      <c r="B297" s="607"/>
      <c r="C297" s="607"/>
      <c r="D297" s="607"/>
      <c r="E297" s="607"/>
      <c r="F297" s="607"/>
      <c r="G297" s="606"/>
      <c r="H297" s="606"/>
      <c r="I297" s="606"/>
      <c r="J297" s="606"/>
      <c r="K297" s="606"/>
      <c r="L297" s="606"/>
      <c r="M297" s="606"/>
      <c r="N297" s="606"/>
      <c r="O297" s="606"/>
      <c r="P297" s="606"/>
      <c r="Q297" s="606"/>
      <c r="R297" s="606"/>
      <c r="S297" s="606"/>
      <c r="T297" s="606"/>
      <c r="U297" s="606"/>
      <c r="V297" s="606"/>
      <c r="W297" s="606"/>
      <c r="X297" s="640"/>
      <c r="Y297" s="607"/>
      <c r="Z297" s="607"/>
      <c r="AA297" s="607"/>
      <c r="AB297" s="607"/>
      <c r="AC297" s="607"/>
      <c r="AD297" s="607"/>
      <c r="AE297" s="607"/>
      <c r="AF297" s="607"/>
      <c r="AG297" s="607"/>
      <c r="AH297" s="607"/>
      <c r="AI297" s="607"/>
      <c r="AJ297" s="607"/>
      <c r="AK297" s="607"/>
      <c r="AL297" s="606"/>
      <c r="AM297" s="606"/>
      <c r="AN297" s="606"/>
      <c r="AO297" s="606"/>
    </row>
    <row r="298" spans="1:41" ht="11.25" hidden="1" customHeight="1">
      <c r="A298" s="608"/>
      <c r="B298" s="607"/>
      <c r="C298" s="607"/>
      <c r="D298" s="607"/>
      <c r="E298" s="607"/>
      <c r="F298" s="607"/>
      <c r="G298" s="606"/>
      <c r="H298" s="606"/>
      <c r="I298" s="606"/>
      <c r="J298" s="606"/>
      <c r="K298" s="606"/>
      <c r="L298" s="606"/>
      <c r="M298" s="606"/>
      <c r="N298" s="606"/>
      <c r="O298" s="606"/>
      <c r="P298" s="606"/>
      <c r="Q298" s="606"/>
      <c r="R298" s="606"/>
      <c r="S298" s="606"/>
      <c r="T298" s="606"/>
      <c r="U298" s="606"/>
      <c r="V298" s="606"/>
      <c r="W298" s="606"/>
      <c r="X298" s="640"/>
      <c r="Y298" s="607"/>
      <c r="Z298" s="607"/>
      <c r="AA298" s="607"/>
      <c r="AB298" s="607"/>
      <c r="AC298" s="607"/>
      <c r="AD298" s="607"/>
      <c r="AE298" s="607"/>
      <c r="AF298" s="607"/>
      <c r="AG298" s="607"/>
      <c r="AH298" s="607"/>
      <c r="AI298" s="607"/>
      <c r="AJ298" s="607"/>
      <c r="AK298" s="607"/>
      <c r="AL298" s="606"/>
      <c r="AM298" s="606"/>
      <c r="AN298" s="606"/>
      <c r="AO298" s="606"/>
    </row>
    <row r="299" spans="1:41" ht="11.25" hidden="1" customHeight="1">
      <c r="A299" s="608"/>
      <c r="B299" s="607"/>
      <c r="C299" s="607"/>
      <c r="D299" s="607"/>
      <c r="E299" s="607"/>
      <c r="F299" s="607"/>
      <c r="G299" s="606"/>
      <c r="H299" s="606"/>
      <c r="I299" s="606"/>
      <c r="J299" s="606"/>
      <c r="K299" s="606"/>
      <c r="L299" s="606"/>
      <c r="M299" s="606"/>
      <c r="N299" s="606"/>
      <c r="O299" s="606"/>
      <c r="P299" s="606"/>
      <c r="Q299" s="606"/>
      <c r="R299" s="606"/>
      <c r="S299" s="606"/>
      <c r="T299" s="606"/>
      <c r="U299" s="606"/>
      <c r="V299" s="606"/>
      <c r="W299" s="606"/>
      <c r="X299" s="640"/>
      <c r="Y299" s="607"/>
      <c r="Z299" s="607"/>
      <c r="AA299" s="607"/>
      <c r="AB299" s="607"/>
      <c r="AC299" s="607"/>
      <c r="AD299" s="607"/>
      <c r="AE299" s="607"/>
      <c r="AF299" s="607"/>
      <c r="AG299" s="607"/>
      <c r="AH299" s="607"/>
      <c r="AI299" s="607"/>
      <c r="AJ299" s="607"/>
      <c r="AK299" s="607"/>
      <c r="AL299" s="606"/>
      <c r="AM299" s="606"/>
      <c r="AN299" s="606"/>
      <c r="AO299" s="606"/>
    </row>
    <row r="300" spans="1:41" ht="11.25" hidden="1" customHeight="1">
      <c r="A300" s="608"/>
      <c r="B300" s="607"/>
      <c r="C300" s="607"/>
      <c r="D300" s="607"/>
      <c r="E300" s="607"/>
      <c r="F300" s="607"/>
      <c r="G300" s="606"/>
      <c r="H300" s="606"/>
      <c r="I300" s="606"/>
      <c r="J300" s="606"/>
      <c r="K300" s="606"/>
      <c r="L300" s="606"/>
      <c r="M300" s="606"/>
      <c r="N300" s="606"/>
      <c r="O300" s="606"/>
      <c r="P300" s="606"/>
      <c r="Q300" s="606"/>
      <c r="R300" s="606"/>
      <c r="S300" s="606"/>
      <c r="T300" s="606"/>
      <c r="U300" s="606"/>
      <c r="V300" s="606"/>
      <c r="W300" s="606"/>
      <c r="X300" s="640"/>
      <c r="Y300" s="607"/>
      <c r="Z300" s="607"/>
      <c r="AA300" s="607"/>
      <c r="AB300" s="607"/>
      <c r="AC300" s="607"/>
      <c r="AD300" s="607"/>
      <c r="AE300" s="607"/>
      <c r="AF300" s="607"/>
      <c r="AG300" s="607"/>
      <c r="AH300" s="607"/>
      <c r="AI300" s="607"/>
      <c r="AJ300" s="607"/>
      <c r="AK300" s="607"/>
      <c r="AL300" s="606"/>
      <c r="AM300" s="606"/>
      <c r="AN300" s="606"/>
      <c r="AO300" s="606"/>
    </row>
    <row r="301" spans="1:41" ht="11.25" hidden="1" customHeight="1">
      <c r="A301" s="608"/>
      <c r="B301" s="607"/>
      <c r="C301" s="607"/>
      <c r="D301" s="607"/>
      <c r="E301" s="607"/>
      <c r="F301" s="607"/>
      <c r="G301" s="606"/>
      <c r="H301" s="606"/>
      <c r="I301" s="606"/>
      <c r="J301" s="606"/>
      <c r="K301" s="606"/>
      <c r="L301" s="606"/>
      <c r="M301" s="606"/>
      <c r="N301" s="606"/>
      <c r="O301" s="606"/>
      <c r="P301" s="606"/>
      <c r="Q301" s="606"/>
      <c r="R301" s="606"/>
      <c r="S301" s="606"/>
      <c r="T301" s="606"/>
      <c r="U301" s="606"/>
      <c r="V301" s="606"/>
      <c r="W301" s="606"/>
      <c r="X301" s="640"/>
      <c r="Y301" s="607"/>
      <c r="Z301" s="607"/>
      <c r="AA301" s="607"/>
      <c r="AB301" s="607"/>
      <c r="AC301" s="607"/>
      <c r="AD301" s="607"/>
      <c r="AE301" s="607"/>
      <c r="AF301" s="607"/>
      <c r="AG301" s="607"/>
      <c r="AH301" s="607"/>
      <c r="AI301" s="607"/>
      <c r="AJ301" s="607"/>
      <c r="AK301" s="607"/>
      <c r="AL301" s="606"/>
      <c r="AM301" s="606"/>
      <c r="AN301" s="606"/>
      <c r="AO301" s="606"/>
    </row>
    <row r="302" spans="1:41" ht="11.25" hidden="1" customHeight="1">
      <c r="A302" s="608"/>
      <c r="B302" s="607"/>
      <c r="C302" s="607"/>
      <c r="D302" s="607"/>
      <c r="E302" s="607"/>
      <c r="F302" s="607"/>
      <c r="G302" s="606"/>
      <c r="H302" s="606"/>
      <c r="I302" s="606"/>
      <c r="J302" s="606"/>
      <c r="K302" s="606"/>
      <c r="L302" s="606"/>
      <c r="M302" s="606"/>
      <c r="N302" s="606"/>
      <c r="O302" s="606"/>
      <c r="P302" s="606"/>
      <c r="Q302" s="606"/>
      <c r="R302" s="606"/>
      <c r="S302" s="606"/>
      <c r="T302" s="606"/>
      <c r="U302" s="606"/>
      <c r="V302" s="606"/>
      <c r="W302" s="606"/>
      <c r="X302" s="640"/>
      <c r="Y302" s="607"/>
      <c r="Z302" s="607"/>
      <c r="AA302" s="607"/>
      <c r="AB302" s="607"/>
      <c r="AC302" s="607"/>
      <c r="AD302" s="607"/>
      <c r="AE302" s="607"/>
      <c r="AF302" s="607"/>
      <c r="AG302" s="607"/>
      <c r="AH302" s="607"/>
      <c r="AI302" s="607"/>
      <c r="AJ302" s="607"/>
      <c r="AK302" s="607"/>
      <c r="AL302" s="606"/>
      <c r="AM302" s="606"/>
      <c r="AN302" s="606"/>
      <c r="AO302" s="606"/>
    </row>
    <row r="303" spans="1:41" ht="11.25" hidden="1" customHeight="1">
      <c r="A303" s="608"/>
      <c r="B303" s="607"/>
      <c r="C303" s="607"/>
      <c r="D303" s="607"/>
      <c r="E303" s="607"/>
      <c r="F303" s="607"/>
      <c r="G303" s="606"/>
      <c r="H303" s="606"/>
      <c r="I303" s="606"/>
      <c r="J303" s="606"/>
      <c r="K303" s="606"/>
      <c r="L303" s="606"/>
      <c r="M303" s="606"/>
      <c r="N303" s="606"/>
      <c r="O303" s="606"/>
      <c r="P303" s="606"/>
      <c r="Q303" s="606"/>
      <c r="R303" s="606"/>
      <c r="S303" s="606"/>
      <c r="T303" s="606"/>
      <c r="U303" s="606"/>
      <c r="V303" s="606"/>
      <c r="W303" s="606"/>
      <c r="X303" s="640"/>
      <c r="Y303" s="607"/>
      <c r="Z303" s="607"/>
      <c r="AA303" s="607"/>
      <c r="AB303" s="607"/>
      <c r="AC303" s="607"/>
      <c r="AD303" s="607"/>
      <c r="AE303" s="607"/>
      <c r="AF303" s="607"/>
      <c r="AG303" s="607"/>
      <c r="AH303" s="607"/>
      <c r="AI303" s="607"/>
      <c r="AJ303" s="607"/>
      <c r="AK303" s="607"/>
      <c r="AL303" s="606"/>
      <c r="AM303" s="606"/>
      <c r="AN303" s="606"/>
      <c r="AO303" s="606"/>
    </row>
    <row r="304" spans="1:41" ht="11.25" hidden="1" customHeight="1">
      <c r="A304" s="608"/>
      <c r="B304" s="607"/>
      <c r="C304" s="607"/>
      <c r="D304" s="607"/>
      <c r="E304" s="607"/>
      <c r="F304" s="607"/>
      <c r="G304" s="606"/>
      <c r="H304" s="606"/>
      <c r="I304" s="606"/>
      <c r="J304" s="606"/>
      <c r="K304" s="606"/>
      <c r="L304" s="606"/>
      <c r="M304" s="606"/>
      <c r="N304" s="606"/>
      <c r="O304" s="606"/>
      <c r="P304" s="606"/>
      <c r="Q304" s="606"/>
      <c r="R304" s="606"/>
      <c r="S304" s="606"/>
      <c r="T304" s="606"/>
      <c r="U304" s="606"/>
      <c r="V304" s="606"/>
      <c r="W304" s="606"/>
      <c r="X304" s="640"/>
      <c r="Y304" s="607"/>
      <c r="Z304" s="607"/>
      <c r="AA304" s="607"/>
      <c r="AB304" s="607"/>
      <c r="AC304" s="607"/>
      <c r="AD304" s="607"/>
      <c r="AE304" s="607"/>
      <c r="AF304" s="607"/>
      <c r="AG304" s="607"/>
      <c r="AH304" s="607"/>
      <c r="AI304" s="607"/>
      <c r="AJ304" s="607"/>
      <c r="AK304" s="607"/>
      <c r="AL304" s="606"/>
      <c r="AM304" s="606"/>
      <c r="AN304" s="606"/>
      <c r="AO304" s="606"/>
    </row>
    <row r="305" spans="1:41" ht="11.25" hidden="1" customHeight="1">
      <c r="A305" s="608"/>
      <c r="B305" s="607"/>
      <c r="C305" s="607"/>
      <c r="D305" s="607"/>
      <c r="E305" s="607"/>
      <c r="F305" s="607"/>
      <c r="G305" s="606"/>
      <c r="H305" s="606"/>
      <c r="I305" s="606"/>
      <c r="J305" s="606"/>
      <c r="K305" s="606"/>
      <c r="L305" s="606"/>
      <c r="M305" s="606"/>
      <c r="N305" s="606"/>
      <c r="O305" s="606"/>
      <c r="P305" s="606"/>
      <c r="Q305" s="606"/>
      <c r="R305" s="606"/>
      <c r="S305" s="606"/>
      <c r="T305" s="606"/>
      <c r="U305" s="606"/>
      <c r="V305" s="606"/>
      <c r="W305" s="606"/>
      <c r="X305" s="640"/>
      <c r="Y305" s="607"/>
      <c r="Z305" s="607"/>
      <c r="AA305" s="607"/>
      <c r="AB305" s="607"/>
      <c r="AC305" s="607"/>
      <c r="AD305" s="607"/>
      <c r="AE305" s="607"/>
      <c r="AF305" s="607"/>
      <c r="AG305" s="607"/>
      <c r="AH305" s="607"/>
      <c r="AI305" s="607"/>
      <c r="AJ305" s="607"/>
      <c r="AK305" s="607"/>
      <c r="AL305" s="606"/>
      <c r="AM305" s="606"/>
      <c r="AN305" s="606"/>
      <c r="AO305" s="606"/>
    </row>
    <row r="306" spans="1:41" ht="11.25" hidden="1" customHeight="1">
      <c r="A306" s="608"/>
      <c r="B306" s="607"/>
      <c r="C306" s="607"/>
      <c r="D306" s="607"/>
      <c r="E306" s="607"/>
      <c r="F306" s="607"/>
      <c r="G306" s="606"/>
      <c r="H306" s="606"/>
      <c r="I306" s="606"/>
      <c r="J306" s="606"/>
      <c r="K306" s="606"/>
      <c r="L306" s="606"/>
      <c r="M306" s="606"/>
      <c r="N306" s="606"/>
      <c r="O306" s="606"/>
      <c r="P306" s="606"/>
      <c r="Q306" s="606"/>
      <c r="R306" s="606"/>
      <c r="S306" s="606"/>
      <c r="T306" s="606"/>
      <c r="U306" s="606"/>
      <c r="V306" s="606"/>
      <c r="W306" s="606"/>
      <c r="X306" s="640"/>
      <c r="Y306" s="607"/>
      <c r="Z306" s="607"/>
      <c r="AA306" s="607"/>
      <c r="AB306" s="607"/>
      <c r="AC306" s="607"/>
      <c r="AD306" s="607"/>
      <c r="AE306" s="607"/>
      <c r="AF306" s="607"/>
      <c r="AG306" s="607"/>
      <c r="AH306" s="607"/>
      <c r="AI306" s="607"/>
      <c r="AJ306" s="607"/>
      <c r="AK306" s="607"/>
      <c r="AL306" s="606"/>
      <c r="AM306" s="606"/>
      <c r="AN306" s="606"/>
      <c r="AO306" s="606"/>
    </row>
    <row r="307" spans="1:41" ht="11.25" hidden="1" customHeight="1">
      <c r="A307" s="608"/>
      <c r="B307" s="607"/>
      <c r="C307" s="607"/>
      <c r="D307" s="607"/>
      <c r="E307" s="607"/>
      <c r="F307" s="607"/>
      <c r="G307" s="606"/>
      <c r="H307" s="606"/>
      <c r="I307" s="606"/>
      <c r="J307" s="606"/>
      <c r="K307" s="606"/>
      <c r="L307" s="606"/>
      <c r="M307" s="606"/>
      <c r="N307" s="606"/>
      <c r="O307" s="606"/>
      <c r="P307" s="606"/>
      <c r="Q307" s="606"/>
      <c r="R307" s="606"/>
      <c r="S307" s="606"/>
      <c r="T307" s="606"/>
      <c r="U307" s="606"/>
      <c r="V307" s="606"/>
      <c r="W307" s="606"/>
      <c r="X307" s="640"/>
      <c r="Y307" s="607"/>
      <c r="Z307" s="607"/>
      <c r="AA307" s="607"/>
      <c r="AB307" s="607"/>
      <c r="AC307" s="607"/>
      <c r="AD307" s="607"/>
      <c r="AE307" s="607"/>
      <c r="AF307" s="607"/>
      <c r="AG307" s="607"/>
      <c r="AH307" s="607"/>
      <c r="AI307" s="607"/>
      <c r="AJ307" s="607"/>
      <c r="AK307" s="607"/>
      <c r="AL307" s="606"/>
      <c r="AM307" s="606"/>
      <c r="AN307" s="606"/>
      <c r="AO307" s="606"/>
    </row>
    <row r="308" spans="1:41" ht="11.25" hidden="1" customHeight="1">
      <c r="A308" s="608"/>
      <c r="B308" s="607"/>
      <c r="C308" s="607"/>
      <c r="D308" s="607"/>
      <c r="E308" s="607"/>
      <c r="F308" s="607"/>
      <c r="G308" s="606"/>
      <c r="H308" s="606"/>
      <c r="I308" s="606"/>
      <c r="J308" s="606"/>
      <c r="K308" s="606"/>
      <c r="L308" s="606"/>
      <c r="M308" s="606"/>
      <c r="N308" s="606"/>
      <c r="O308" s="606"/>
      <c r="P308" s="606"/>
      <c r="Q308" s="606"/>
      <c r="R308" s="606"/>
      <c r="S308" s="606"/>
      <c r="T308" s="606"/>
      <c r="U308" s="606"/>
      <c r="V308" s="606"/>
      <c r="W308" s="606"/>
      <c r="X308" s="640"/>
      <c r="Y308" s="607"/>
      <c r="Z308" s="607"/>
      <c r="AA308" s="607"/>
      <c r="AB308" s="607"/>
      <c r="AC308" s="607"/>
      <c r="AD308" s="607"/>
      <c r="AE308" s="607"/>
      <c r="AF308" s="607"/>
      <c r="AG308" s="607"/>
      <c r="AH308" s="607"/>
      <c r="AI308" s="607"/>
      <c r="AJ308" s="607"/>
      <c r="AK308" s="607"/>
      <c r="AL308" s="606"/>
      <c r="AM308" s="606"/>
      <c r="AN308" s="606"/>
      <c r="AO308" s="606"/>
    </row>
    <row r="309" spans="1:41" ht="11.25" hidden="1" customHeight="1">
      <c r="A309" s="608"/>
      <c r="B309" s="607"/>
      <c r="C309" s="607"/>
      <c r="D309" s="607"/>
      <c r="E309" s="607"/>
      <c r="F309" s="607"/>
      <c r="G309" s="606"/>
      <c r="H309" s="606"/>
      <c r="I309" s="606"/>
      <c r="J309" s="606"/>
      <c r="K309" s="606"/>
      <c r="L309" s="606"/>
      <c r="M309" s="606"/>
      <c r="N309" s="606"/>
      <c r="O309" s="606"/>
      <c r="P309" s="606"/>
      <c r="Q309" s="606"/>
      <c r="R309" s="606"/>
      <c r="S309" s="606"/>
      <c r="T309" s="606"/>
      <c r="U309" s="606"/>
      <c r="V309" s="606"/>
      <c r="W309" s="606"/>
      <c r="X309" s="640"/>
      <c r="Y309" s="607"/>
      <c r="Z309" s="607"/>
      <c r="AA309" s="607"/>
      <c r="AB309" s="607"/>
      <c r="AC309" s="607"/>
      <c r="AD309" s="607"/>
      <c r="AE309" s="607"/>
      <c r="AF309" s="607"/>
      <c r="AG309" s="607"/>
      <c r="AH309" s="607"/>
      <c r="AI309" s="607"/>
      <c r="AJ309" s="607"/>
      <c r="AK309" s="607"/>
      <c r="AL309" s="606"/>
      <c r="AM309" s="606"/>
      <c r="AN309" s="606"/>
      <c r="AO309" s="606"/>
    </row>
    <row r="310" spans="1:41" ht="11.25" hidden="1" customHeight="1">
      <c r="A310" s="608"/>
      <c r="B310" s="607"/>
      <c r="C310" s="607"/>
      <c r="D310" s="607"/>
      <c r="E310" s="607"/>
      <c r="F310" s="607"/>
      <c r="G310" s="606"/>
      <c r="H310" s="606"/>
      <c r="I310" s="606"/>
      <c r="J310" s="606"/>
      <c r="K310" s="606"/>
      <c r="L310" s="606"/>
      <c r="M310" s="606"/>
      <c r="N310" s="606"/>
      <c r="O310" s="606"/>
      <c r="P310" s="606"/>
      <c r="Q310" s="606"/>
      <c r="R310" s="606"/>
      <c r="S310" s="606"/>
      <c r="T310" s="606"/>
      <c r="U310" s="606"/>
      <c r="V310" s="606"/>
      <c r="W310" s="606"/>
      <c r="X310" s="640"/>
      <c r="Y310" s="607"/>
      <c r="Z310" s="607"/>
      <c r="AA310" s="607"/>
      <c r="AB310" s="607"/>
      <c r="AC310" s="607"/>
      <c r="AD310" s="607"/>
      <c r="AE310" s="607"/>
      <c r="AF310" s="607"/>
      <c r="AG310" s="607"/>
      <c r="AH310" s="607"/>
      <c r="AI310" s="607"/>
      <c r="AJ310" s="607"/>
      <c r="AK310" s="607"/>
      <c r="AL310" s="606"/>
      <c r="AM310" s="606"/>
      <c r="AN310" s="606"/>
      <c r="AO310" s="606"/>
    </row>
    <row r="311" spans="1:41" ht="11.25" hidden="1" customHeight="1">
      <c r="A311" s="608"/>
      <c r="B311" s="607"/>
      <c r="C311" s="607"/>
      <c r="D311" s="607"/>
      <c r="E311" s="607"/>
      <c r="F311" s="607"/>
      <c r="G311" s="606"/>
      <c r="H311" s="606"/>
      <c r="I311" s="606"/>
      <c r="J311" s="606"/>
      <c r="K311" s="606"/>
      <c r="L311" s="606"/>
      <c r="M311" s="606"/>
      <c r="N311" s="606"/>
      <c r="O311" s="606"/>
      <c r="P311" s="606"/>
      <c r="Q311" s="606"/>
      <c r="R311" s="606"/>
      <c r="S311" s="606"/>
      <c r="T311" s="606"/>
      <c r="U311" s="606"/>
      <c r="V311" s="606"/>
      <c r="W311" s="606"/>
      <c r="X311" s="640"/>
      <c r="Y311" s="607"/>
      <c r="Z311" s="607"/>
      <c r="AA311" s="607"/>
      <c r="AB311" s="607"/>
      <c r="AC311" s="607"/>
      <c r="AD311" s="607"/>
      <c r="AE311" s="607"/>
      <c r="AF311" s="607"/>
      <c r="AG311" s="607"/>
      <c r="AH311" s="607"/>
      <c r="AI311" s="607"/>
      <c r="AJ311" s="607"/>
      <c r="AK311" s="607"/>
      <c r="AL311" s="606"/>
      <c r="AM311" s="606"/>
      <c r="AN311" s="606"/>
      <c r="AO311" s="606"/>
    </row>
    <row r="312" spans="1:41" ht="11.25" hidden="1" customHeight="1">
      <c r="A312" s="608"/>
      <c r="B312" s="607"/>
      <c r="C312" s="607"/>
      <c r="D312" s="607"/>
      <c r="E312" s="607"/>
      <c r="F312" s="607"/>
      <c r="G312" s="606"/>
      <c r="H312" s="606"/>
      <c r="I312" s="606"/>
      <c r="J312" s="606"/>
      <c r="K312" s="606"/>
      <c r="L312" s="606"/>
      <c r="M312" s="606"/>
      <c r="N312" s="606"/>
      <c r="O312" s="606"/>
      <c r="P312" s="606"/>
      <c r="Q312" s="606"/>
      <c r="R312" s="606"/>
      <c r="S312" s="606"/>
      <c r="T312" s="606"/>
      <c r="U312" s="606"/>
      <c r="V312" s="606"/>
      <c r="W312" s="606"/>
      <c r="X312" s="640"/>
      <c r="Y312" s="607"/>
      <c r="Z312" s="607"/>
      <c r="AA312" s="607"/>
      <c r="AB312" s="607"/>
      <c r="AC312" s="607"/>
      <c r="AD312" s="607"/>
      <c r="AE312" s="607"/>
      <c r="AF312" s="607"/>
      <c r="AG312" s="607"/>
      <c r="AH312" s="607"/>
      <c r="AI312" s="607"/>
      <c r="AJ312" s="607"/>
      <c r="AK312" s="607"/>
      <c r="AL312" s="606"/>
      <c r="AM312" s="606"/>
      <c r="AN312" s="606"/>
      <c r="AO312" s="606"/>
    </row>
    <row r="313" spans="1:41" ht="11.25" hidden="1" customHeight="1">
      <c r="A313" s="608"/>
      <c r="B313" s="607"/>
      <c r="C313" s="607"/>
      <c r="D313" s="607"/>
      <c r="E313" s="607"/>
      <c r="F313" s="607"/>
      <c r="G313" s="606"/>
      <c r="H313" s="606"/>
      <c r="I313" s="606"/>
      <c r="J313" s="606"/>
      <c r="K313" s="606"/>
      <c r="L313" s="606"/>
      <c r="M313" s="606"/>
      <c r="N313" s="606"/>
      <c r="O313" s="606"/>
      <c r="P313" s="606"/>
      <c r="Q313" s="606"/>
      <c r="R313" s="606"/>
      <c r="S313" s="606"/>
      <c r="T313" s="606"/>
      <c r="U313" s="606"/>
      <c r="V313" s="606"/>
      <c r="W313" s="606"/>
      <c r="X313" s="640"/>
      <c r="Y313" s="607"/>
      <c r="Z313" s="607"/>
      <c r="AA313" s="607"/>
      <c r="AB313" s="607"/>
      <c r="AC313" s="607"/>
      <c r="AD313" s="607"/>
      <c r="AE313" s="607"/>
      <c r="AF313" s="607"/>
      <c r="AG313" s="607"/>
      <c r="AH313" s="607"/>
      <c r="AI313" s="607"/>
      <c r="AJ313" s="607"/>
      <c r="AK313" s="607"/>
      <c r="AL313" s="606"/>
      <c r="AM313" s="606"/>
      <c r="AN313" s="606"/>
      <c r="AO313" s="606"/>
    </row>
    <row r="314" spans="1:41" ht="11.25" hidden="1" customHeight="1">
      <c r="A314" s="608"/>
      <c r="B314" s="607"/>
      <c r="C314" s="607"/>
      <c r="D314" s="607"/>
      <c r="E314" s="607"/>
      <c r="F314" s="607"/>
      <c r="G314" s="606"/>
      <c r="H314" s="606"/>
      <c r="I314" s="606"/>
      <c r="J314" s="606"/>
      <c r="K314" s="606"/>
      <c r="L314" s="606"/>
      <c r="M314" s="606"/>
      <c r="N314" s="606"/>
      <c r="O314" s="606"/>
      <c r="P314" s="606"/>
      <c r="Q314" s="606"/>
      <c r="R314" s="606"/>
      <c r="S314" s="606"/>
      <c r="T314" s="606"/>
      <c r="U314" s="606"/>
      <c r="V314" s="606"/>
      <c r="W314" s="606"/>
      <c r="X314" s="640"/>
      <c r="Y314" s="607"/>
      <c r="Z314" s="607"/>
      <c r="AA314" s="607"/>
      <c r="AB314" s="607"/>
      <c r="AC314" s="607"/>
      <c r="AD314" s="607"/>
      <c r="AE314" s="607"/>
      <c r="AF314" s="607"/>
      <c r="AG314" s="607"/>
      <c r="AH314" s="607"/>
      <c r="AI314" s="607"/>
      <c r="AJ314" s="607"/>
      <c r="AK314" s="607"/>
      <c r="AL314" s="606"/>
      <c r="AM314" s="606"/>
      <c r="AN314" s="606"/>
      <c r="AO314" s="606"/>
    </row>
    <row r="315" spans="1:41" ht="11.25" hidden="1" customHeight="1">
      <c r="A315" s="608"/>
      <c r="B315" s="607"/>
      <c r="C315" s="607"/>
      <c r="D315" s="607"/>
      <c r="E315" s="607"/>
      <c r="F315" s="607"/>
      <c r="G315" s="606"/>
      <c r="H315" s="606"/>
      <c r="I315" s="606"/>
      <c r="J315" s="606"/>
      <c r="K315" s="606"/>
      <c r="L315" s="606"/>
      <c r="M315" s="606"/>
      <c r="N315" s="606"/>
      <c r="O315" s="606"/>
      <c r="P315" s="606"/>
      <c r="Q315" s="606"/>
      <c r="R315" s="606"/>
      <c r="S315" s="606"/>
      <c r="T315" s="606"/>
      <c r="U315" s="606"/>
      <c r="V315" s="606"/>
      <c r="W315" s="606"/>
      <c r="X315" s="640"/>
      <c r="Y315" s="607"/>
      <c r="Z315" s="607"/>
      <c r="AA315" s="607"/>
      <c r="AB315" s="607"/>
      <c r="AC315" s="607"/>
      <c r="AD315" s="607"/>
      <c r="AE315" s="607"/>
      <c r="AF315" s="607"/>
      <c r="AG315" s="607"/>
      <c r="AH315" s="607"/>
      <c r="AI315" s="607"/>
      <c r="AJ315" s="607"/>
      <c r="AK315" s="607"/>
      <c r="AL315" s="606"/>
      <c r="AM315" s="606"/>
      <c r="AN315" s="606"/>
      <c r="AO315" s="606"/>
    </row>
    <row r="316" spans="1:41" ht="11.25" hidden="1" customHeight="1">
      <c r="A316" s="608"/>
      <c r="B316" s="607"/>
      <c r="C316" s="607"/>
      <c r="D316" s="607"/>
      <c r="E316" s="607"/>
      <c r="F316" s="607"/>
      <c r="G316" s="606"/>
      <c r="H316" s="606"/>
      <c r="I316" s="606"/>
      <c r="J316" s="606"/>
      <c r="K316" s="606"/>
      <c r="L316" s="606"/>
      <c r="M316" s="606"/>
      <c r="N316" s="606"/>
      <c r="O316" s="606"/>
      <c r="P316" s="606"/>
      <c r="Q316" s="606"/>
      <c r="R316" s="606"/>
      <c r="S316" s="606"/>
      <c r="T316" s="606"/>
      <c r="U316" s="606"/>
      <c r="V316" s="606"/>
      <c r="W316" s="606"/>
      <c r="X316" s="640"/>
      <c r="Y316" s="607"/>
      <c r="Z316" s="607"/>
      <c r="AA316" s="607"/>
      <c r="AB316" s="607"/>
      <c r="AC316" s="607"/>
      <c r="AD316" s="607"/>
      <c r="AE316" s="607"/>
      <c r="AF316" s="607"/>
      <c r="AG316" s="607"/>
      <c r="AH316" s="607"/>
      <c r="AI316" s="607"/>
      <c r="AJ316" s="607"/>
      <c r="AK316" s="607"/>
      <c r="AL316" s="606"/>
      <c r="AM316" s="606"/>
      <c r="AN316" s="606"/>
      <c r="AO316" s="606"/>
    </row>
    <row r="317" spans="1:41" ht="11.25" hidden="1" customHeight="1">
      <c r="A317" s="608"/>
      <c r="B317" s="607"/>
      <c r="C317" s="607"/>
      <c r="D317" s="607"/>
      <c r="E317" s="607"/>
      <c r="F317" s="607"/>
      <c r="G317" s="606"/>
      <c r="H317" s="606"/>
      <c r="I317" s="606"/>
      <c r="J317" s="606"/>
      <c r="K317" s="606"/>
      <c r="L317" s="606"/>
      <c r="M317" s="606"/>
      <c r="N317" s="606"/>
      <c r="O317" s="606"/>
      <c r="P317" s="606"/>
      <c r="Q317" s="606"/>
      <c r="R317" s="606"/>
      <c r="S317" s="606"/>
      <c r="T317" s="606"/>
      <c r="U317" s="606"/>
      <c r="V317" s="606"/>
      <c r="W317" s="606"/>
      <c r="X317" s="640"/>
      <c r="Y317" s="607"/>
      <c r="Z317" s="607"/>
      <c r="AA317" s="607"/>
      <c r="AB317" s="607"/>
      <c r="AC317" s="607"/>
      <c r="AD317" s="607"/>
      <c r="AE317" s="607"/>
      <c r="AF317" s="607"/>
      <c r="AG317" s="607"/>
      <c r="AH317" s="607"/>
      <c r="AI317" s="607"/>
      <c r="AJ317" s="607"/>
      <c r="AK317" s="607"/>
      <c r="AL317" s="606"/>
      <c r="AM317" s="606"/>
      <c r="AN317" s="606"/>
      <c r="AO317" s="606"/>
    </row>
    <row r="318" spans="1:41" ht="11.25" hidden="1" customHeight="1">
      <c r="A318" s="608"/>
      <c r="B318" s="607"/>
      <c r="C318" s="607"/>
      <c r="D318" s="607"/>
      <c r="E318" s="607"/>
      <c r="F318" s="607"/>
      <c r="G318" s="606"/>
      <c r="H318" s="606"/>
      <c r="I318" s="606"/>
      <c r="J318" s="606"/>
      <c r="K318" s="606"/>
      <c r="L318" s="606"/>
      <c r="M318" s="606"/>
      <c r="N318" s="606"/>
      <c r="O318" s="606"/>
      <c r="P318" s="606"/>
      <c r="Q318" s="606"/>
      <c r="R318" s="606"/>
      <c r="S318" s="606"/>
      <c r="T318" s="606"/>
      <c r="U318" s="606"/>
      <c r="V318" s="606"/>
      <c r="W318" s="606"/>
      <c r="X318" s="640"/>
      <c r="Y318" s="607"/>
      <c r="Z318" s="607"/>
      <c r="AA318" s="607"/>
      <c r="AB318" s="607"/>
      <c r="AC318" s="607"/>
      <c r="AD318" s="607"/>
      <c r="AE318" s="607"/>
      <c r="AF318" s="607"/>
      <c r="AG318" s="607"/>
      <c r="AH318" s="607"/>
      <c r="AI318" s="607"/>
      <c r="AJ318" s="607"/>
      <c r="AK318" s="607"/>
      <c r="AL318" s="606"/>
      <c r="AM318" s="606"/>
      <c r="AN318" s="606"/>
      <c r="AO318" s="606"/>
    </row>
    <row r="319" spans="1:41" ht="11.25" hidden="1" customHeight="1">
      <c r="A319" s="608"/>
      <c r="B319" s="607"/>
      <c r="C319" s="607"/>
      <c r="D319" s="607"/>
      <c r="E319" s="607"/>
      <c r="F319" s="607"/>
      <c r="G319" s="606"/>
      <c r="H319" s="606"/>
      <c r="I319" s="606"/>
      <c r="J319" s="606"/>
      <c r="K319" s="606"/>
      <c r="L319" s="606"/>
      <c r="M319" s="606"/>
      <c r="N319" s="606"/>
      <c r="O319" s="606"/>
      <c r="P319" s="606"/>
      <c r="Q319" s="606"/>
      <c r="R319" s="606"/>
      <c r="S319" s="606"/>
      <c r="T319" s="606"/>
      <c r="U319" s="606"/>
      <c r="V319" s="606"/>
      <c r="W319" s="606"/>
      <c r="X319" s="640"/>
      <c r="Y319" s="607"/>
      <c r="Z319" s="607"/>
      <c r="AA319" s="607"/>
      <c r="AB319" s="607"/>
      <c r="AC319" s="607"/>
      <c r="AD319" s="607"/>
      <c r="AE319" s="607"/>
      <c r="AF319" s="607"/>
      <c r="AG319" s="607"/>
      <c r="AH319" s="607"/>
      <c r="AI319" s="607"/>
      <c r="AJ319" s="607"/>
      <c r="AK319" s="607"/>
      <c r="AL319" s="606"/>
      <c r="AM319" s="606"/>
      <c r="AN319" s="606"/>
      <c r="AO319" s="606"/>
    </row>
    <row r="320" spans="1:41" ht="11.25" hidden="1" customHeight="1">
      <c r="A320" s="608"/>
      <c r="B320" s="607"/>
      <c r="C320" s="607"/>
      <c r="D320" s="607"/>
      <c r="E320" s="607"/>
      <c r="F320" s="607"/>
      <c r="G320" s="606"/>
      <c r="H320" s="606"/>
      <c r="I320" s="606"/>
      <c r="J320" s="606"/>
      <c r="K320" s="606"/>
      <c r="L320" s="606"/>
      <c r="M320" s="606"/>
      <c r="N320" s="606"/>
      <c r="O320" s="606"/>
      <c r="P320" s="606"/>
      <c r="Q320" s="606"/>
      <c r="R320" s="606"/>
      <c r="S320" s="606"/>
      <c r="T320" s="606"/>
      <c r="U320" s="606"/>
      <c r="V320" s="606"/>
      <c r="W320" s="606"/>
      <c r="X320" s="640"/>
      <c r="Y320" s="607"/>
      <c r="Z320" s="607"/>
      <c r="AA320" s="607"/>
      <c r="AB320" s="607"/>
      <c r="AC320" s="607"/>
      <c r="AD320" s="607"/>
      <c r="AE320" s="607"/>
      <c r="AF320" s="607"/>
      <c r="AG320" s="607"/>
      <c r="AH320" s="607"/>
      <c r="AI320" s="607"/>
      <c r="AJ320" s="607"/>
      <c r="AK320" s="607"/>
      <c r="AL320" s="606"/>
      <c r="AM320" s="606"/>
      <c r="AN320" s="606"/>
      <c r="AO320" s="606"/>
    </row>
    <row r="321" spans="1:41" ht="11.25" hidden="1" customHeight="1">
      <c r="A321" s="608"/>
      <c r="B321" s="607"/>
      <c r="C321" s="607"/>
      <c r="D321" s="607"/>
      <c r="E321" s="607"/>
      <c r="F321" s="607"/>
      <c r="G321" s="606"/>
      <c r="H321" s="606"/>
      <c r="I321" s="606"/>
      <c r="J321" s="606"/>
      <c r="K321" s="606"/>
      <c r="L321" s="606"/>
      <c r="M321" s="606"/>
      <c r="N321" s="606"/>
      <c r="O321" s="606"/>
      <c r="P321" s="606"/>
      <c r="Q321" s="606"/>
      <c r="R321" s="606"/>
      <c r="S321" s="606"/>
      <c r="T321" s="606"/>
      <c r="U321" s="606"/>
      <c r="V321" s="606"/>
      <c r="W321" s="606"/>
      <c r="X321" s="640"/>
      <c r="Y321" s="607"/>
      <c r="Z321" s="607"/>
      <c r="AA321" s="607"/>
      <c r="AB321" s="607"/>
      <c r="AC321" s="607"/>
      <c r="AD321" s="607"/>
      <c r="AE321" s="607"/>
      <c r="AF321" s="607"/>
      <c r="AG321" s="607"/>
      <c r="AH321" s="607"/>
      <c r="AI321" s="607"/>
      <c r="AJ321" s="607"/>
      <c r="AK321" s="607"/>
      <c r="AL321" s="606"/>
      <c r="AM321" s="606"/>
      <c r="AN321" s="606"/>
      <c r="AO321" s="606"/>
    </row>
    <row r="322" spans="1:41" ht="11.25" hidden="1" customHeight="1">
      <c r="A322" s="608"/>
      <c r="B322" s="607"/>
      <c r="C322" s="607"/>
      <c r="D322" s="607"/>
      <c r="E322" s="607"/>
      <c r="F322" s="607"/>
      <c r="G322" s="606"/>
      <c r="H322" s="606"/>
      <c r="I322" s="606"/>
      <c r="J322" s="606"/>
      <c r="K322" s="606"/>
      <c r="L322" s="606"/>
      <c r="M322" s="606"/>
      <c r="N322" s="606"/>
      <c r="O322" s="606"/>
      <c r="P322" s="606"/>
      <c r="Q322" s="606"/>
      <c r="R322" s="606"/>
      <c r="S322" s="606"/>
      <c r="T322" s="606"/>
      <c r="U322" s="606"/>
      <c r="V322" s="606"/>
      <c r="W322" s="606"/>
      <c r="X322" s="640"/>
      <c r="Y322" s="607"/>
      <c r="Z322" s="607"/>
      <c r="AA322" s="607"/>
      <c r="AB322" s="607"/>
      <c r="AC322" s="607"/>
      <c r="AD322" s="607"/>
      <c r="AE322" s="607"/>
      <c r="AF322" s="607"/>
      <c r="AG322" s="607"/>
      <c r="AH322" s="607"/>
      <c r="AI322" s="607"/>
      <c r="AJ322" s="607"/>
      <c r="AK322" s="607"/>
      <c r="AL322" s="606"/>
      <c r="AM322" s="606"/>
      <c r="AN322" s="606"/>
      <c r="AO322" s="606"/>
    </row>
    <row r="323" spans="1:41" ht="11.25" hidden="1" customHeight="1">
      <c r="A323" s="608"/>
      <c r="B323" s="607"/>
      <c r="C323" s="607"/>
      <c r="D323" s="607"/>
      <c r="E323" s="607"/>
      <c r="F323" s="607"/>
      <c r="G323" s="606"/>
      <c r="H323" s="606"/>
      <c r="I323" s="606"/>
      <c r="J323" s="606"/>
      <c r="K323" s="606"/>
      <c r="L323" s="606"/>
      <c r="M323" s="606"/>
      <c r="N323" s="606"/>
      <c r="O323" s="606"/>
      <c r="P323" s="606"/>
      <c r="Q323" s="606"/>
      <c r="R323" s="606"/>
      <c r="S323" s="606"/>
      <c r="T323" s="606"/>
      <c r="U323" s="606"/>
      <c r="V323" s="606"/>
      <c r="W323" s="606"/>
      <c r="X323" s="640"/>
      <c r="Y323" s="607"/>
      <c r="Z323" s="607"/>
      <c r="AA323" s="607"/>
      <c r="AB323" s="607"/>
      <c r="AC323" s="607"/>
      <c r="AD323" s="607"/>
      <c r="AE323" s="607"/>
      <c r="AF323" s="607"/>
      <c r="AG323" s="607"/>
      <c r="AH323" s="607"/>
      <c r="AI323" s="607"/>
      <c r="AJ323" s="607"/>
      <c r="AK323" s="607"/>
      <c r="AL323" s="606"/>
      <c r="AM323" s="606"/>
      <c r="AN323" s="606"/>
      <c r="AO323" s="606"/>
    </row>
    <row r="324" spans="1:41" ht="11.25" hidden="1" customHeight="1">
      <c r="A324" s="608"/>
      <c r="B324" s="607"/>
      <c r="C324" s="607"/>
      <c r="D324" s="607"/>
      <c r="E324" s="607"/>
      <c r="F324" s="607"/>
      <c r="G324" s="606"/>
      <c r="H324" s="606"/>
      <c r="I324" s="606"/>
      <c r="J324" s="606"/>
      <c r="K324" s="606"/>
      <c r="L324" s="606"/>
      <c r="M324" s="606"/>
      <c r="N324" s="606"/>
      <c r="O324" s="606"/>
      <c r="P324" s="606"/>
      <c r="Q324" s="606"/>
      <c r="R324" s="606"/>
      <c r="S324" s="606"/>
      <c r="T324" s="606"/>
      <c r="U324" s="606"/>
      <c r="V324" s="606"/>
      <c r="W324" s="606"/>
      <c r="X324" s="640"/>
      <c r="Y324" s="607"/>
      <c r="Z324" s="607"/>
      <c r="AA324" s="607"/>
      <c r="AB324" s="607"/>
      <c r="AC324" s="607"/>
      <c r="AD324" s="607"/>
      <c r="AE324" s="607"/>
      <c r="AF324" s="607"/>
      <c r="AG324" s="607"/>
      <c r="AH324" s="607"/>
      <c r="AI324" s="607"/>
      <c r="AJ324" s="607"/>
      <c r="AK324" s="607"/>
      <c r="AL324" s="606"/>
      <c r="AM324" s="606"/>
      <c r="AN324" s="606"/>
      <c r="AO324" s="606"/>
    </row>
    <row r="325" spans="1:41" ht="11.25" hidden="1" customHeight="1">
      <c r="A325" s="608"/>
      <c r="B325" s="607"/>
      <c r="C325" s="607"/>
      <c r="D325" s="607"/>
      <c r="E325" s="607"/>
      <c r="F325" s="607"/>
      <c r="G325" s="606"/>
      <c r="H325" s="606"/>
      <c r="I325" s="606"/>
      <c r="J325" s="606"/>
      <c r="K325" s="606"/>
      <c r="L325" s="606"/>
      <c r="M325" s="606"/>
      <c r="N325" s="606"/>
      <c r="O325" s="606"/>
      <c r="P325" s="606"/>
      <c r="Q325" s="606"/>
      <c r="R325" s="606"/>
      <c r="S325" s="606"/>
      <c r="T325" s="606"/>
      <c r="U325" s="606"/>
      <c r="V325" s="606"/>
      <c r="W325" s="606"/>
      <c r="X325" s="640"/>
      <c r="Y325" s="607"/>
      <c r="Z325" s="607"/>
      <c r="AA325" s="607"/>
      <c r="AB325" s="607"/>
      <c r="AC325" s="607"/>
      <c r="AD325" s="607"/>
      <c r="AE325" s="607"/>
      <c r="AF325" s="607"/>
      <c r="AG325" s="607"/>
      <c r="AH325" s="607"/>
      <c r="AI325" s="607"/>
      <c r="AJ325" s="607"/>
      <c r="AK325" s="607"/>
      <c r="AL325" s="606"/>
      <c r="AM325" s="606"/>
      <c r="AN325" s="606"/>
      <c r="AO325" s="606"/>
    </row>
    <row r="326" spans="1:41" ht="11.25" hidden="1" customHeight="1">
      <c r="A326" s="608"/>
      <c r="B326" s="607"/>
      <c r="C326" s="607"/>
      <c r="D326" s="607"/>
      <c r="E326" s="607"/>
      <c r="F326" s="607"/>
      <c r="G326" s="606"/>
      <c r="H326" s="606"/>
      <c r="I326" s="606"/>
      <c r="J326" s="606"/>
      <c r="K326" s="606"/>
      <c r="L326" s="606"/>
      <c r="M326" s="606"/>
      <c r="N326" s="606"/>
      <c r="O326" s="606"/>
      <c r="P326" s="606"/>
      <c r="Q326" s="606"/>
      <c r="R326" s="606"/>
      <c r="S326" s="606"/>
      <c r="T326" s="606"/>
      <c r="U326" s="606"/>
      <c r="V326" s="606"/>
      <c r="W326" s="606"/>
      <c r="X326" s="640"/>
      <c r="Y326" s="607"/>
      <c r="Z326" s="607"/>
      <c r="AA326" s="607"/>
      <c r="AB326" s="607"/>
      <c r="AC326" s="607"/>
      <c r="AD326" s="607"/>
      <c r="AE326" s="607"/>
      <c r="AF326" s="607"/>
      <c r="AG326" s="607"/>
      <c r="AH326" s="607"/>
      <c r="AI326" s="607"/>
      <c r="AJ326" s="607"/>
      <c r="AK326" s="607"/>
      <c r="AL326" s="606"/>
      <c r="AM326" s="606"/>
      <c r="AN326" s="606"/>
      <c r="AO326" s="606"/>
    </row>
    <row r="327" spans="1:41" ht="11.25" hidden="1" customHeight="1">
      <c r="A327" s="608"/>
      <c r="B327" s="607"/>
      <c r="C327" s="607"/>
      <c r="D327" s="607"/>
      <c r="E327" s="607"/>
      <c r="F327" s="607"/>
      <c r="G327" s="606"/>
      <c r="H327" s="606"/>
      <c r="I327" s="606"/>
      <c r="J327" s="606"/>
      <c r="K327" s="606"/>
      <c r="L327" s="606"/>
      <c r="M327" s="606"/>
      <c r="N327" s="606"/>
      <c r="O327" s="606"/>
      <c r="P327" s="606"/>
      <c r="Q327" s="606"/>
      <c r="R327" s="606"/>
      <c r="S327" s="606"/>
      <c r="T327" s="606"/>
      <c r="U327" s="606"/>
      <c r="V327" s="606"/>
      <c r="W327" s="606"/>
      <c r="X327" s="640"/>
      <c r="Y327" s="607"/>
      <c r="Z327" s="607"/>
      <c r="AA327" s="607"/>
      <c r="AB327" s="607"/>
      <c r="AC327" s="607"/>
      <c r="AD327" s="607"/>
      <c r="AE327" s="607"/>
      <c r="AF327" s="607"/>
      <c r="AG327" s="607"/>
      <c r="AH327" s="607"/>
      <c r="AI327" s="607"/>
      <c r="AJ327" s="607"/>
      <c r="AK327" s="607"/>
      <c r="AL327" s="606"/>
      <c r="AM327" s="606"/>
      <c r="AN327" s="606"/>
      <c r="AO327" s="606"/>
    </row>
    <row r="328" spans="1:41" ht="11.25" hidden="1" customHeight="1">
      <c r="A328" s="608"/>
      <c r="B328" s="607"/>
      <c r="C328" s="607"/>
      <c r="D328" s="607"/>
      <c r="E328" s="607"/>
      <c r="F328" s="607"/>
      <c r="G328" s="606"/>
      <c r="H328" s="606"/>
      <c r="I328" s="606"/>
      <c r="J328" s="606"/>
      <c r="K328" s="606"/>
      <c r="L328" s="606"/>
      <c r="M328" s="606"/>
      <c r="N328" s="606"/>
      <c r="O328" s="606"/>
      <c r="P328" s="606"/>
      <c r="Q328" s="606"/>
      <c r="R328" s="606"/>
      <c r="S328" s="606"/>
      <c r="T328" s="606"/>
      <c r="U328" s="606"/>
      <c r="V328" s="606"/>
      <c r="W328" s="606"/>
      <c r="X328" s="640"/>
      <c r="Y328" s="607"/>
      <c r="Z328" s="607"/>
      <c r="AA328" s="607"/>
      <c r="AB328" s="607"/>
      <c r="AC328" s="607"/>
      <c r="AD328" s="607"/>
      <c r="AE328" s="607"/>
      <c r="AF328" s="607"/>
      <c r="AG328" s="607"/>
      <c r="AH328" s="607"/>
      <c r="AI328" s="607"/>
      <c r="AJ328" s="607"/>
      <c r="AK328" s="607"/>
      <c r="AL328" s="606"/>
      <c r="AM328" s="606"/>
      <c r="AN328" s="606"/>
      <c r="AO328" s="606"/>
    </row>
    <row r="329" spans="1:41" ht="11.25" hidden="1" customHeight="1">
      <c r="A329" s="608"/>
      <c r="B329" s="607"/>
      <c r="C329" s="607"/>
      <c r="D329" s="607"/>
      <c r="E329" s="607"/>
      <c r="F329" s="607"/>
      <c r="G329" s="606"/>
      <c r="H329" s="606"/>
      <c r="I329" s="606"/>
      <c r="J329" s="606"/>
      <c r="K329" s="606"/>
      <c r="L329" s="606"/>
      <c r="M329" s="606"/>
      <c r="N329" s="606"/>
      <c r="O329" s="606"/>
      <c r="P329" s="606"/>
      <c r="Q329" s="606"/>
      <c r="R329" s="606"/>
      <c r="S329" s="606"/>
      <c r="T329" s="606"/>
      <c r="U329" s="606"/>
      <c r="V329" s="606"/>
      <c r="W329" s="606"/>
      <c r="X329" s="640"/>
      <c r="Y329" s="607"/>
      <c r="Z329" s="607"/>
      <c r="AA329" s="607"/>
      <c r="AB329" s="607"/>
      <c r="AC329" s="607"/>
      <c r="AD329" s="607"/>
      <c r="AE329" s="607"/>
      <c r="AF329" s="607"/>
      <c r="AG329" s="607"/>
      <c r="AH329" s="607"/>
      <c r="AI329" s="607"/>
      <c r="AJ329" s="607"/>
      <c r="AK329" s="607"/>
      <c r="AL329" s="606"/>
      <c r="AM329" s="606"/>
      <c r="AN329" s="606"/>
      <c r="AO329" s="606"/>
    </row>
    <row r="330" spans="1:41" ht="11.25" hidden="1" customHeight="1">
      <c r="A330" s="608"/>
      <c r="B330" s="607"/>
      <c r="C330" s="607"/>
      <c r="D330" s="607"/>
      <c r="E330" s="607"/>
      <c r="F330" s="607"/>
      <c r="G330" s="606"/>
      <c r="H330" s="606"/>
      <c r="I330" s="606"/>
      <c r="J330" s="606"/>
      <c r="K330" s="606"/>
      <c r="L330" s="606"/>
      <c r="M330" s="606"/>
      <c r="N330" s="606"/>
      <c r="O330" s="606"/>
      <c r="P330" s="606"/>
      <c r="Q330" s="606"/>
      <c r="R330" s="606"/>
      <c r="S330" s="606"/>
      <c r="T330" s="606"/>
      <c r="U330" s="606"/>
      <c r="V330" s="606"/>
      <c r="W330" s="606"/>
      <c r="X330" s="640"/>
      <c r="Y330" s="607"/>
      <c r="Z330" s="607"/>
      <c r="AA330" s="607"/>
      <c r="AB330" s="607"/>
      <c r="AC330" s="607"/>
      <c r="AD330" s="607"/>
      <c r="AE330" s="607"/>
      <c r="AF330" s="607"/>
      <c r="AG330" s="607"/>
      <c r="AH330" s="607"/>
      <c r="AI330" s="607"/>
      <c r="AJ330" s="607"/>
      <c r="AK330" s="607"/>
      <c r="AL330" s="606"/>
      <c r="AM330" s="606"/>
      <c r="AN330" s="606"/>
      <c r="AO330" s="606"/>
    </row>
    <row r="331" spans="1:41" ht="11.25" hidden="1" customHeight="1">
      <c r="A331" s="608"/>
      <c r="B331" s="607"/>
      <c r="C331" s="607"/>
      <c r="D331" s="607"/>
      <c r="E331" s="607"/>
      <c r="F331" s="607"/>
      <c r="G331" s="606"/>
      <c r="H331" s="606"/>
      <c r="I331" s="606"/>
      <c r="J331" s="606"/>
      <c r="K331" s="606"/>
      <c r="L331" s="606"/>
      <c r="M331" s="606"/>
      <c r="N331" s="606"/>
      <c r="O331" s="606"/>
      <c r="P331" s="606"/>
      <c r="Q331" s="606"/>
      <c r="R331" s="606"/>
      <c r="S331" s="606"/>
      <c r="T331" s="606"/>
      <c r="U331" s="606"/>
      <c r="V331" s="606"/>
      <c r="W331" s="606"/>
      <c r="X331" s="640"/>
      <c r="Y331" s="607"/>
      <c r="Z331" s="607"/>
      <c r="AA331" s="607"/>
      <c r="AB331" s="607"/>
      <c r="AC331" s="607"/>
      <c r="AD331" s="607"/>
      <c r="AE331" s="607"/>
      <c r="AF331" s="607"/>
      <c r="AG331" s="607"/>
      <c r="AH331" s="607"/>
      <c r="AI331" s="607"/>
      <c r="AJ331" s="607"/>
      <c r="AK331" s="607"/>
      <c r="AL331" s="606"/>
      <c r="AM331" s="606"/>
      <c r="AN331" s="606"/>
      <c r="AO331" s="606"/>
    </row>
    <row r="332" spans="1:41" ht="11.25" hidden="1" customHeight="1">
      <c r="A332" s="608"/>
      <c r="B332" s="607"/>
      <c r="C332" s="607"/>
      <c r="D332" s="607"/>
      <c r="E332" s="607"/>
      <c r="F332" s="607"/>
      <c r="G332" s="606"/>
      <c r="H332" s="606"/>
      <c r="I332" s="606"/>
      <c r="J332" s="606"/>
      <c r="K332" s="606"/>
      <c r="L332" s="606"/>
      <c r="M332" s="606"/>
      <c r="N332" s="606"/>
      <c r="O332" s="606"/>
      <c r="P332" s="606"/>
      <c r="Q332" s="606"/>
      <c r="R332" s="606"/>
      <c r="S332" s="606"/>
      <c r="T332" s="606"/>
      <c r="U332" s="606"/>
      <c r="V332" s="606"/>
      <c r="W332" s="606"/>
      <c r="X332" s="640"/>
      <c r="Y332" s="607"/>
      <c r="Z332" s="607"/>
      <c r="AA332" s="607"/>
      <c r="AB332" s="607"/>
      <c r="AC332" s="607"/>
      <c r="AD332" s="607"/>
      <c r="AE332" s="607"/>
      <c r="AF332" s="607"/>
      <c r="AG332" s="607"/>
      <c r="AH332" s="607"/>
      <c r="AI332" s="607"/>
      <c r="AJ332" s="607"/>
      <c r="AK332" s="607"/>
      <c r="AL332" s="606"/>
      <c r="AM332" s="606"/>
      <c r="AN332" s="606"/>
      <c r="AO332" s="606"/>
    </row>
    <row r="333" spans="1:41" ht="11.25" hidden="1" customHeight="1">
      <c r="A333" s="608"/>
      <c r="B333" s="607"/>
      <c r="C333" s="607"/>
      <c r="D333" s="607"/>
      <c r="E333" s="607"/>
      <c r="F333" s="607"/>
      <c r="G333" s="606"/>
      <c r="H333" s="606"/>
      <c r="I333" s="606"/>
      <c r="J333" s="606"/>
      <c r="K333" s="606"/>
      <c r="L333" s="606"/>
      <c r="M333" s="606"/>
      <c r="N333" s="606"/>
      <c r="O333" s="606"/>
      <c r="P333" s="606"/>
      <c r="Q333" s="606"/>
      <c r="R333" s="606"/>
      <c r="S333" s="606"/>
      <c r="T333" s="606"/>
      <c r="U333" s="606"/>
      <c r="V333" s="606"/>
      <c r="W333" s="606"/>
      <c r="X333" s="640"/>
      <c r="Y333" s="607"/>
      <c r="Z333" s="607"/>
      <c r="AA333" s="607"/>
      <c r="AB333" s="607"/>
      <c r="AC333" s="607"/>
      <c r="AD333" s="607"/>
      <c r="AE333" s="607"/>
      <c r="AF333" s="607"/>
      <c r="AG333" s="607"/>
      <c r="AH333" s="607"/>
      <c r="AI333" s="607"/>
      <c r="AJ333" s="607"/>
      <c r="AK333" s="607"/>
      <c r="AL333" s="606"/>
      <c r="AM333" s="606"/>
      <c r="AN333" s="606"/>
      <c r="AO333" s="606"/>
    </row>
    <row r="334" spans="1:41" ht="11.25" hidden="1" customHeight="1">
      <c r="A334" s="608"/>
      <c r="B334" s="607"/>
      <c r="C334" s="607"/>
      <c r="D334" s="607"/>
      <c r="E334" s="607"/>
      <c r="F334" s="607"/>
      <c r="G334" s="606"/>
      <c r="H334" s="606"/>
      <c r="I334" s="606"/>
      <c r="J334" s="606"/>
      <c r="K334" s="606"/>
      <c r="L334" s="606"/>
      <c r="M334" s="606"/>
      <c r="N334" s="606"/>
      <c r="O334" s="606"/>
      <c r="P334" s="606"/>
      <c r="Q334" s="606"/>
      <c r="R334" s="606"/>
      <c r="S334" s="606"/>
      <c r="T334" s="606"/>
      <c r="U334" s="606"/>
      <c r="V334" s="606"/>
      <c r="W334" s="606"/>
      <c r="X334" s="640"/>
      <c r="Y334" s="607"/>
      <c r="Z334" s="607"/>
      <c r="AA334" s="607"/>
      <c r="AB334" s="607"/>
      <c r="AC334" s="607"/>
      <c r="AD334" s="607"/>
      <c r="AE334" s="607"/>
      <c r="AF334" s="607"/>
      <c r="AG334" s="607"/>
      <c r="AH334" s="607"/>
      <c r="AI334" s="607"/>
      <c r="AJ334" s="607"/>
      <c r="AK334" s="607"/>
      <c r="AL334" s="606"/>
      <c r="AM334" s="606"/>
      <c r="AN334" s="606"/>
      <c r="AO334" s="606"/>
    </row>
    <row r="335" spans="1:41" ht="11.25" hidden="1" customHeight="1">
      <c r="A335" s="608"/>
      <c r="B335" s="607"/>
      <c r="C335" s="607"/>
      <c r="D335" s="607"/>
      <c r="E335" s="607"/>
      <c r="F335" s="607"/>
      <c r="G335" s="606"/>
      <c r="H335" s="606"/>
      <c r="I335" s="606"/>
      <c r="J335" s="606"/>
      <c r="K335" s="606"/>
      <c r="L335" s="606"/>
      <c r="M335" s="606"/>
      <c r="N335" s="606"/>
      <c r="O335" s="606"/>
      <c r="P335" s="606"/>
      <c r="Q335" s="606"/>
      <c r="R335" s="606"/>
      <c r="S335" s="606"/>
      <c r="T335" s="606"/>
      <c r="U335" s="606"/>
      <c r="V335" s="606"/>
      <c r="W335" s="606"/>
      <c r="X335" s="640"/>
      <c r="Y335" s="607"/>
      <c r="Z335" s="607"/>
      <c r="AA335" s="607"/>
      <c r="AB335" s="607"/>
      <c r="AC335" s="607"/>
      <c r="AD335" s="607"/>
      <c r="AE335" s="607"/>
      <c r="AF335" s="607"/>
      <c r="AG335" s="607"/>
      <c r="AH335" s="607"/>
      <c r="AI335" s="607"/>
      <c r="AJ335" s="607"/>
      <c r="AK335" s="607"/>
      <c r="AL335" s="606"/>
      <c r="AM335" s="606"/>
      <c r="AN335" s="606"/>
      <c r="AO335" s="606"/>
    </row>
    <row r="336" spans="1:41" ht="11.25" hidden="1" customHeight="1">
      <c r="A336" s="608"/>
      <c r="B336" s="607"/>
      <c r="C336" s="607"/>
      <c r="D336" s="607"/>
      <c r="E336" s="607"/>
      <c r="F336" s="607"/>
      <c r="G336" s="606"/>
      <c r="H336" s="606"/>
      <c r="I336" s="606"/>
      <c r="J336" s="606"/>
      <c r="K336" s="606"/>
      <c r="L336" s="606"/>
      <c r="M336" s="606"/>
      <c r="N336" s="606"/>
      <c r="O336" s="606"/>
      <c r="P336" s="606"/>
      <c r="Q336" s="606"/>
      <c r="R336" s="606"/>
      <c r="S336" s="606"/>
      <c r="T336" s="606"/>
      <c r="U336" s="606"/>
      <c r="V336" s="606"/>
      <c r="W336" s="606"/>
      <c r="X336" s="640"/>
      <c r="Y336" s="607"/>
      <c r="Z336" s="607"/>
      <c r="AA336" s="607"/>
      <c r="AB336" s="607"/>
      <c r="AC336" s="607"/>
      <c r="AD336" s="607"/>
      <c r="AE336" s="607"/>
      <c r="AF336" s="607"/>
      <c r="AG336" s="607"/>
      <c r="AH336" s="607"/>
      <c r="AI336" s="607"/>
      <c r="AJ336" s="607"/>
      <c r="AK336" s="607"/>
      <c r="AL336" s="606"/>
      <c r="AM336" s="606"/>
      <c r="AN336" s="606"/>
      <c r="AO336" s="606"/>
    </row>
    <row r="337" spans="1:41" ht="11.25" hidden="1" customHeight="1">
      <c r="A337" s="608"/>
      <c r="B337" s="607"/>
      <c r="C337" s="607"/>
      <c r="D337" s="607"/>
      <c r="E337" s="607"/>
      <c r="F337" s="607"/>
      <c r="G337" s="606"/>
      <c r="H337" s="606"/>
      <c r="I337" s="606"/>
      <c r="J337" s="606"/>
      <c r="K337" s="606"/>
      <c r="L337" s="606"/>
      <c r="M337" s="606"/>
      <c r="N337" s="606"/>
      <c r="O337" s="606"/>
      <c r="P337" s="606"/>
      <c r="Q337" s="606"/>
      <c r="R337" s="606"/>
      <c r="S337" s="606"/>
      <c r="T337" s="606"/>
      <c r="U337" s="606"/>
      <c r="V337" s="606"/>
      <c r="W337" s="606"/>
      <c r="X337" s="640"/>
      <c r="Y337" s="607"/>
      <c r="Z337" s="607"/>
      <c r="AA337" s="607"/>
      <c r="AB337" s="607"/>
      <c r="AC337" s="607"/>
      <c r="AD337" s="607"/>
      <c r="AE337" s="607"/>
      <c r="AF337" s="607"/>
      <c r="AG337" s="607"/>
      <c r="AH337" s="607"/>
      <c r="AI337" s="607"/>
      <c r="AJ337" s="607"/>
      <c r="AK337" s="607"/>
      <c r="AL337" s="606"/>
      <c r="AM337" s="606"/>
      <c r="AN337" s="606"/>
      <c r="AO337" s="606"/>
    </row>
    <row r="338" spans="1:41" ht="11.25" hidden="1" customHeight="1">
      <c r="A338" s="608"/>
      <c r="B338" s="607"/>
      <c r="C338" s="607"/>
      <c r="D338" s="607"/>
      <c r="E338" s="607"/>
      <c r="F338" s="607"/>
      <c r="G338" s="606"/>
      <c r="H338" s="606"/>
      <c r="I338" s="606"/>
      <c r="J338" s="606"/>
      <c r="K338" s="606"/>
      <c r="L338" s="606"/>
      <c r="M338" s="606"/>
      <c r="N338" s="606"/>
      <c r="O338" s="606"/>
      <c r="P338" s="606"/>
      <c r="Q338" s="606"/>
      <c r="R338" s="606"/>
      <c r="S338" s="606"/>
      <c r="T338" s="606"/>
      <c r="U338" s="606"/>
      <c r="V338" s="606"/>
      <c r="W338" s="606"/>
      <c r="X338" s="640"/>
      <c r="Y338" s="607"/>
      <c r="Z338" s="607"/>
      <c r="AA338" s="607"/>
      <c r="AB338" s="607"/>
      <c r="AC338" s="607"/>
      <c r="AD338" s="607"/>
      <c r="AE338" s="607"/>
      <c r="AF338" s="607"/>
      <c r="AG338" s="607"/>
      <c r="AH338" s="607"/>
      <c r="AI338" s="607"/>
      <c r="AJ338" s="607"/>
      <c r="AK338" s="607"/>
      <c r="AL338" s="606"/>
      <c r="AM338" s="606"/>
      <c r="AN338" s="606"/>
      <c r="AO338" s="606"/>
    </row>
    <row r="339" spans="1:41" ht="11.25" hidden="1" customHeight="1">
      <c r="A339" s="608"/>
      <c r="B339" s="607"/>
      <c r="C339" s="607"/>
      <c r="D339" s="607"/>
      <c r="E339" s="607"/>
      <c r="F339" s="607"/>
      <c r="G339" s="606"/>
      <c r="H339" s="606"/>
      <c r="I339" s="606"/>
      <c r="J339" s="606"/>
      <c r="K339" s="606"/>
      <c r="L339" s="606"/>
      <c r="M339" s="606"/>
      <c r="N339" s="606"/>
      <c r="O339" s="606"/>
      <c r="P339" s="606"/>
      <c r="Q339" s="606"/>
      <c r="R339" s="606"/>
      <c r="S339" s="606"/>
      <c r="T339" s="606"/>
      <c r="U339" s="606"/>
      <c r="V339" s="606"/>
      <c r="W339" s="606"/>
      <c r="X339" s="640"/>
      <c r="Y339" s="607"/>
      <c r="Z339" s="607"/>
      <c r="AA339" s="607"/>
      <c r="AB339" s="607"/>
      <c r="AC339" s="607"/>
      <c r="AD339" s="607"/>
      <c r="AE339" s="607"/>
      <c r="AF339" s="607"/>
      <c r="AG339" s="607"/>
      <c r="AH339" s="607"/>
      <c r="AI339" s="607"/>
      <c r="AJ339" s="607"/>
      <c r="AK339" s="607"/>
      <c r="AL339" s="606"/>
      <c r="AM339" s="606"/>
      <c r="AN339" s="606"/>
      <c r="AO339" s="606"/>
    </row>
    <row r="340" spans="1:41" ht="11.25" hidden="1" customHeight="1">
      <c r="A340" s="608"/>
      <c r="B340" s="607"/>
      <c r="C340" s="607"/>
      <c r="D340" s="607"/>
      <c r="E340" s="607"/>
      <c r="F340" s="607"/>
      <c r="G340" s="606"/>
      <c r="H340" s="606"/>
      <c r="I340" s="606"/>
      <c r="J340" s="606"/>
      <c r="K340" s="606"/>
      <c r="L340" s="606"/>
      <c r="M340" s="606"/>
      <c r="N340" s="606"/>
      <c r="O340" s="606"/>
      <c r="P340" s="606"/>
      <c r="Q340" s="606"/>
      <c r="R340" s="606"/>
      <c r="S340" s="606"/>
      <c r="T340" s="606"/>
      <c r="U340" s="606"/>
      <c r="V340" s="606"/>
      <c r="W340" s="606"/>
      <c r="X340" s="640"/>
      <c r="Y340" s="607"/>
      <c r="Z340" s="607"/>
      <c r="AA340" s="607"/>
      <c r="AB340" s="607"/>
      <c r="AC340" s="607"/>
      <c r="AD340" s="607"/>
      <c r="AE340" s="607"/>
      <c r="AF340" s="607"/>
      <c r="AG340" s="607"/>
      <c r="AH340" s="607"/>
      <c r="AI340" s="607"/>
      <c r="AJ340" s="607"/>
      <c r="AK340" s="607"/>
      <c r="AL340" s="606"/>
      <c r="AM340" s="606"/>
      <c r="AN340" s="606"/>
      <c r="AO340" s="606"/>
    </row>
    <row r="341" spans="1:41" ht="11.25" hidden="1" customHeight="1">
      <c r="A341" s="608"/>
      <c r="B341" s="607"/>
      <c r="C341" s="607"/>
      <c r="D341" s="607"/>
      <c r="E341" s="607"/>
      <c r="F341" s="607"/>
      <c r="G341" s="606"/>
      <c r="H341" s="606"/>
      <c r="I341" s="606"/>
      <c r="J341" s="606"/>
      <c r="K341" s="606"/>
      <c r="L341" s="606"/>
      <c r="M341" s="606"/>
      <c r="N341" s="606"/>
      <c r="O341" s="606"/>
      <c r="P341" s="606"/>
      <c r="Q341" s="606"/>
      <c r="R341" s="606"/>
      <c r="S341" s="606"/>
      <c r="T341" s="606"/>
      <c r="U341" s="606"/>
      <c r="V341" s="606"/>
      <c r="W341" s="606"/>
      <c r="X341" s="640"/>
      <c r="Y341" s="607"/>
      <c r="Z341" s="607"/>
      <c r="AA341" s="607"/>
      <c r="AB341" s="607"/>
      <c r="AC341" s="607"/>
      <c r="AD341" s="607"/>
      <c r="AE341" s="607"/>
      <c r="AF341" s="607"/>
      <c r="AG341" s="607"/>
      <c r="AH341" s="607"/>
      <c r="AI341" s="607"/>
      <c r="AJ341" s="607"/>
      <c r="AK341" s="607"/>
      <c r="AL341" s="606"/>
      <c r="AM341" s="606"/>
      <c r="AN341" s="606"/>
      <c r="AO341" s="606"/>
    </row>
    <row r="342" spans="1:41" ht="11.25" hidden="1" customHeight="1">
      <c r="A342" s="608"/>
      <c r="B342" s="607"/>
      <c r="C342" s="607"/>
      <c r="D342" s="607"/>
      <c r="E342" s="607"/>
      <c r="F342" s="607"/>
      <c r="G342" s="606"/>
      <c r="H342" s="606"/>
      <c r="I342" s="606"/>
      <c r="J342" s="606"/>
      <c r="K342" s="606"/>
      <c r="L342" s="606"/>
      <c r="M342" s="606"/>
      <c r="N342" s="606"/>
      <c r="O342" s="606"/>
      <c r="P342" s="606"/>
      <c r="Q342" s="606"/>
      <c r="R342" s="606"/>
      <c r="S342" s="606"/>
      <c r="T342" s="606"/>
      <c r="U342" s="606"/>
      <c r="V342" s="606"/>
      <c r="W342" s="606"/>
      <c r="X342" s="640"/>
      <c r="Y342" s="607"/>
      <c r="Z342" s="607"/>
      <c r="AA342" s="607"/>
      <c r="AB342" s="607"/>
      <c r="AC342" s="607"/>
      <c r="AD342" s="607"/>
      <c r="AE342" s="607"/>
      <c r="AF342" s="607"/>
      <c r="AG342" s="607"/>
      <c r="AH342" s="607"/>
      <c r="AI342" s="607"/>
      <c r="AJ342" s="607"/>
      <c r="AK342" s="607"/>
      <c r="AL342" s="606"/>
      <c r="AM342" s="606"/>
      <c r="AN342" s="606"/>
      <c r="AO342" s="606"/>
    </row>
    <row r="343" spans="1:41" ht="11.25" hidden="1" customHeight="1">
      <c r="A343" s="608"/>
      <c r="B343" s="607"/>
      <c r="C343" s="607"/>
      <c r="D343" s="607"/>
      <c r="E343" s="607"/>
      <c r="F343" s="607"/>
      <c r="G343" s="606"/>
      <c r="H343" s="606"/>
      <c r="I343" s="606"/>
      <c r="J343" s="606"/>
      <c r="K343" s="606"/>
      <c r="L343" s="606"/>
      <c r="M343" s="606"/>
      <c r="N343" s="606"/>
      <c r="O343" s="606"/>
      <c r="P343" s="606"/>
      <c r="Q343" s="606"/>
      <c r="R343" s="606"/>
      <c r="S343" s="606"/>
      <c r="T343" s="606"/>
      <c r="U343" s="606"/>
      <c r="V343" s="606"/>
      <c r="W343" s="606"/>
      <c r="X343" s="640"/>
      <c r="Y343" s="607"/>
      <c r="Z343" s="607"/>
      <c r="AA343" s="607"/>
      <c r="AB343" s="607"/>
      <c r="AC343" s="607"/>
      <c r="AD343" s="607"/>
      <c r="AE343" s="607"/>
      <c r="AF343" s="607"/>
      <c r="AG343" s="607"/>
      <c r="AH343" s="607"/>
      <c r="AI343" s="607"/>
      <c r="AJ343" s="607"/>
      <c r="AK343" s="607"/>
      <c r="AL343" s="606"/>
      <c r="AM343" s="606"/>
      <c r="AN343" s="606"/>
      <c r="AO343" s="606"/>
    </row>
    <row r="344" spans="1:41" ht="11.25" hidden="1" customHeight="1">
      <c r="A344" s="608"/>
      <c r="B344" s="607"/>
      <c r="C344" s="607"/>
      <c r="D344" s="607"/>
      <c r="E344" s="607"/>
      <c r="F344" s="607"/>
      <c r="G344" s="606"/>
      <c r="H344" s="606"/>
      <c r="I344" s="606"/>
      <c r="J344" s="606"/>
      <c r="K344" s="606"/>
      <c r="L344" s="606"/>
      <c r="M344" s="606"/>
      <c r="N344" s="606"/>
      <c r="O344" s="606"/>
      <c r="P344" s="606"/>
      <c r="Q344" s="606"/>
      <c r="R344" s="606"/>
      <c r="S344" s="606"/>
      <c r="T344" s="606"/>
      <c r="U344" s="606"/>
      <c r="V344" s="606"/>
      <c r="W344" s="606"/>
      <c r="X344" s="640"/>
      <c r="Y344" s="607"/>
      <c r="Z344" s="607"/>
      <c r="AA344" s="607"/>
      <c r="AB344" s="607"/>
      <c r="AC344" s="607"/>
      <c r="AD344" s="607"/>
      <c r="AE344" s="607"/>
      <c r="AF344" s="607"/>
      <c r="AG344" s="607"/>
      <c r="AH344" s="607"/>
      <c r="AI344" s="607"/>
      <c r="AJ344" s="607"/>
      <c r="AK344" s="607"/>
      <c r="AL344" s="606"/>
      <c r="AM344" s="606"/>
      <c r="AN344" s="606"/>
      <c r="AO344" s="606"/>
    </row>
    <row r="345" spans="1:41" ht="11.25" hidden="1" customHeight="1">
      <c r="A345" s="608"/>
      <c r="B345" s="607"/>
      <c r="C345" s="607"/>
      <c r="D345" s="607"/>
      <c r="E345" s="607"/>
      <c r="F345" s="607"/>
      <c r="G345" s="606"/>
      <c r="H345" s="606"/>
      <c r="I345" s="606"/>
      <c r="J345" s="606"/>
      <c r="K345" s="606"/>
      <c r="L345" s="606"/>
      <c r="M345" s="606"/>
      <c r="N345" s="606"/>
      <c r="O345" s="606"/>
      <c r="P345" s="606"/>
      <c r="Q345" s="606"/>
      <c r="R345" s="606"/>
      <c r="S345" s="606"/>
      <c r="T345" s="606"/>
      <c r="U345" s="606"/>
      <c r="V345" s="606"/>
      <c r="W345" s="606"/>
      <c r="X345" s="640"/>
      <c r="Y345" s="607"/>
      <c r="Z345" s="607"/>
      <c r="AA345" s="607"/>
      <c r="AB345" s="607"/>
      <c r="AC345" s="607"/>
      <c r="AD345" s="607"/>
      <c r="AE345" s="607"/>
      <c r="AF345" s="607"/>
      <c r="AG345" s="607"/>
      <c r="AH345" s="607"/>
      <c r="AI345" s="607"/>
      <c r="AJ345" s="607"/>
      <c r="AK345" s="607"/>
      <c r="AL345" s="606"/>
      <c r="AM345" s="606"/>
      <c r="AN345" s="606"/>
      <c r="AO345" s="606"/>
    </row>
    <row r="346" spans="1:41" ht="11.25" hidden="1" customHeight="1">
      <c r="A346" s="608"/>
      <c r="B346" s="607"/>
      <c r="C346" s="607"/>
      <c r="D346" s="607"/>
      <c r="E346" s="607"/>
      <c r="F346" s="607"/>
      <c r="G346" s="606"/>
      <c r="H346" s="606"/>
      <c r="I346" s="606"/>
      <c r="J346" s="606"/>
      <c r="K346" s="606"/>
      <c r="L346" s="606"/>
      <c r="M346" s="606"/>
      <c r="N346" s="606"/>
      <c r="O346" s="606"/>
      <c r="P346" s="606"/>
      <c r="Q346" s="606"/>
      <c r="R346" s="606"/>
      <c r="S346" s="606"/>
      <c r="T346" s="606"/>
      <c r="U346" s="606"/>
      <c r="V346" s="606"/>
      <c r="W346" s="606"/>
      <c r="X346" s="640"/>
      <c r="Y346" s="607"/>
      <c r="Z346" s="607"/>
      <c r="AA346" s="607"/>
      <c r="AB346" s="607"/>
      <c r="AC346" s="607"/>
      <c r="AD346" s="607"/>
      <c r="AE346" s="607"/>
      <c r="AF346" s="607"/>
      <c r="AG346" s="607"/>
      <c r="AH346" s="607"/>
      <c r="AI346" s="607"/>
      <c r="AJ346" s="607"/>
      <c r="AK346" s="607"/>
      <c r="AL346" s="606"/>
      <c r="AM346" s="606"/>
      <c r="AN346" s="606"/>
      <c r="AO346" s="606"/>
    </row>
    <row r="347" spans="1:41" ht="11.25" hidden="1" customHeight="1">
      <c r="A347" s="608"/>
      <c r="B347" s="607"/>
      <c r="C347" s="607"/>
      <c r="D347" s="607"/>
      <c r="E347" s="607"/>
      <c r="F347" s="607"/>
      <c r="G347" s="606"/>
      <c r="H347" s="606"/>
      <c r="I347" s="606"/>
      <c r="J347" s="606"/>
      <c r="K347" s="606"/>
      <c r="L347" s="606"/>
      <c r="M347" s="606"/>
      <c r="N347" s="606"/>
      <c r="O347" s="606"/>
      <c r="P347" s="606"/>
      <c r="Q347" s="606"/>
      <c r="R347" s="606"/>
      <c r="S347" s="606"/>
      <c r="T347" s="606"/>
      <c r="U347" s="606"/>
      <c r="V347" s="606"/>
      <c r="W347" s="606"/>
      <c r="X347" s="640"/>
      <c r="Y347" s="607"/>
      <c r="Z347" s="607"/>
      <c r="AA347" s="607"/>
      <c r="AB347" s="607"/>
      <c r="AC347" s="607"/>
      <c r="AD347" s="607"/>
      <c r="AE347" s="607"/>
      <c r="AF347" s="607"/>
      <c r="AG347" s="607"/>
      <c r="AH347" s="607"/>
      <c r="AI347" s="607"/>
      <c r="AJ347" s="607"/>
      <c r="AK347" s="607"/>
      <c r="AL347" s="606"/>
      <c r="AM347" s="606"/>
      <c r="AN347" s="606"/>
      <c r="AO347" s="606"/>
    </row>
    <row r="348" spans="1:41" ht="11.25" hidden="1" customHeight="1">
      <c r="A348" s="608"/>
      <c r="B348" s="607"/>
      <c r="C348" s="607"/>
      <c r="D348" s="607"/>
      <c r="E348" s="607"/>
      <c r="F348" s="607"/>
      <c r="G348" s="606"/>
      <c r="H348" s="606"/>
      <c r="I348" s="606"/>
      <c r="J348" s="606"/>
      <c r="K348" s="606"/>
      <c r="L348" s="606"/>
      <c r="M348" s="606"/>
      <c r="N348" s="606"/>
      <c r="O348" s="606"/>
      <c r="P348" s="606"/>
      <c r="Q348" s="606"/>
      <c r="R348" s="606"/>
      <c r="S348" s="606"/>
      <c r="T348" s="606"/>
      <c r="U348" s="606"/>
      <c r="V348" s="606"/>
      <c r="W348" s="606"/>
      <c r="X348" s="640"/>
      <c r="Y348" s="607"/>
      <c r="Z348" s="607"/>
      <c r="AA348" s="607"/>
      <c r="AB348" s="607"/>
      <c r="AC348" s="607"/>
      <c r="AD348" s="607"/>
      <c r="AE348" s="607"/>
      <c r="AF348" s="607"/>
      <c r="AG348" s="607"/>
      <c r="AH348" s="607"/>
      <c r="AI348" s="607"/>
      <c r="AJ348" s="607"/>
      <c r="AK348" s="607"/>
      <c r="AL348" s="606"/>
      <c r="AM348" s="606"/>
      <c r="AN348" s="606"/>
      <c r="AO348" s="606"/>
    </row>
    <row r="349" spans="1:41" ht="11.25" hidden="1" customHeight="1">
      <c r="A349" s="608"/>
      <c r="B349" s="607"/>
      <c r="C349" s="607"/>
      <c r="D349" s="607"/>
      <c r="E349" s="607"/>
      <c r="F349" s="607"/>
      <c r="G349" s="606"/>
      <c r="H349" s="606"/>
      <c r="I349" s="606"/>
      <c r="J349" s="606"/>
      <c r="K349" s="606"/>
      <c r="L349" s="606"/>
      <c r="M349" s="606"/>
      <c r="N349" s="606"/>
      <c r="O349" s="606"/>
      <c r="P349" s="606"/>
      <c r="Q349" s="606"/>
      <c r="R349" s="606"/>
      <c r="S349" s="606"/>
      <c r="T349" s="606"/>
      <c r="U349" s="606"/>
      <c r="V349" s="606"/>
      <c r="W349" s="606"/>
      <c r="X349" s="640"/>
      <c r="Y349" s="607"/>
      <c r="Z349" s="607"/>
      <c r="AA349" s="607"/>
      <c r="AB349" s="607"/>
      <c r="AC349" s="607"/>
      <c r="AD349" s="607"/>
      <c r="AE349" s="607"/>
      <c r="AF349" s="607"/>
      <c r="AG349" s="607"/>
      <c r="AH349" s="607"/>
      <c r="AI349" s="607"/>
      <c r="AJ349" s="607"/>
      <c r="AK349" s="607"/>
      <c r="AL349" s="606"/>
      <c r="AM349" s="606"/>
      <c r="AN349" s="606"/>
      <c r="AO349" s="606"/>
    </row>
    <row r="350" spans="1:41" ht="11.25" hidden="1" customHeight="1">
      <c r="A350" s="608"/>
      <c r="B350" s="607"/>
      <c r="C350" s="607"/>
      <c r="D350" s="607"/>
      <c r="E350" s="607"/>
      <c r="F350" s="607"/>
      <c r="G350" s="606"/>
      <c r="H350" s="606"/>
      <c r="I350" s="606"/>
      <c r="J350" s="606"/>
      <c r="K350" s="606"/>
      <c r="L350" s="606"/>
      <c r="M350" s="606"/>
      <c r="N350" s="606"/>
      <c r="O350" s="606"/>
      <c r="P350" s="606"/>
      <c r="Q350" s="606"/>
      <c r="R350" s="606"/>
      <c r="S350" s="606"/>
      <c r="T350" s="606"/>
      <c r="U350" s="606"/>
      <c r="V350" s="606"/>
      <c r="W350" s="606"/>
      <c r="X350" s="640"/>
      <c r="Y350" s="607"/>
      <c r="Z350" s="607"/>
      <c r="AA350" s="607"/>
      <c r="AB350" s="607"/>
      <c r="AC350" s="607"/>
      <c r="AD350" s="607"/>
      <c r="AE350" s="607"/>
      <c r="AF350" s="607"/>
      <c r="AG350" s="607"/>
      <c r="AH350" s="607"/>
      <c r="AI350" s="607"/>
      <c r="AJ350" s="607"/>
      <c r="AK350" s="607"/>
      <c r="AL350" s="606"/>
      <c r="AM350" s="606"/>
      <c r="AN350" s="606"/>
      <c r="AO350" s="606"/>
    </row>
    <row r="351" spans="1:41" ht="11.25" hidden="1" customHeight="1">
      <c r="A351" s="608"/>
      <c r="B351" s="607"/>
      <c r="C351" s="607"/>
      <c r="D351" s="607"/>
      <c r="E351" s="607"/>
      <c r="F351" s="607"/>
      <c r="G351" s="606"/>
      <c r="H351" s="606"/>
      <c r="I351" s="606"/>
      <c r="J351" s="606"/>
      <c r="K351" s="606"/>
      <c r="L351" s="606"/>
      <c r="M351" s="606"/>
      <c r="N351" s="606"/>
      <c r="O351" s="606"/>
      <c r="P351" s="606"/>
      <c r="Q351" s="606"/>
      <c r="R351" s="606"/>
      <c r="S351" s="606"/>
      <c r="T351" s="606"/>
      <c r="U351" s="606"/>
      <c r="V351" s="606"/>
      <c r="W351" s="606"/>
      <c r="X351" s="640"/>
      <c r="Y351" s="607"/>
      <c r="Z351" s="607"/>
      <c r="AA351" s="607"/>
      <c r="AB351" s="607"/>
      <c r="AC351" s="607"/>
      <c r="AD351" s="607"/>
      <c r="AE351" s="607"/>
      <c r="AF351" s="607"/>
      <c r="AG351" s="607"/>
      <c r="AH351" s="607"/>
      <c r="AI351" s="607"/>
      <c r="AJ351" s="607"/>
      <c r="AK351" s="607"/>
      <c r="AL351" s="606"/>
      <c r="AM351" s="606"/>
      <c r="AN351" s="606"/>
      <c r="AO351" s="606"/>
    </row>
    <row r="352" spans="1:41" ht="11.25" hidden="1" customHeight="1">
      <c r="A352" s="608"/>
      <c r="B352" s="607"/>
      <c r="C352" s="607"/>
      <c r="D352" s="607"/>
      <c r="E352" s="607"/>
      <c r="F352" s="607"/>
      <c r="G352" s="606"/>
      <c r="H352" s="606"/>
      <c r="I352" s="606"/>
      <c r="J352" s="606"/>
      <c r="K352" s="606"/>
      <c r="L352" s="606"/>
      <c r="M352" s="606"/>
      <c r="N352" s="606"/>
      <c r="O352" s="606"/>
      <c r="P352" s="606"/>
      <c r="Q352" s="606"/>
      <c r="R352" s="606"/>
      <c r="S352" s="606"/>
      <c r="T352" s="606"/>
      <c r="U352" s="606"/>
      <c r="V352" s="606"/>
      <c r="W352" s="606"/>
      <c r="X352" s="640"/>
      <c r="Y352" s="607"/>
      <c r="Z352" s="607"/>
      <c r="AA352" s="607"/>
      <c r="AB352" s="607"/>
      <c r="AC352" s="607"/>
      <c r="AD352" s="607"/>
      <c r="AE352" s="607"/>
      <c r="AF352" s="607"/>
      <c r="AG352" s="607"/>
      <c r="AH352" s="607"/>
      <c r="AI352" s="607"/>
      <c r="AJ352" s="607"/>
      <c r="AK352" s="607"/>
      <c r="AL352" s="606"/>
      <c r="AM352" s="606"/>
      <c r="AN352" s="606"/>
      <c r="AO352" s="606"/>
    </row>
    <row r="353" spans="1:41" ht="11.25" hidden="1" customHeight="1">
      <c r="A353" s="608"/>
      <c r="B353" s="607"/>
      <c r="C353" s="607"/>
      <c r="D353" s="607"/>
      <c r="E353" s="607"/>
      <c r="F353" s="607"/>
      <c r="G353" s="606"/>
      <c r="H353" s="606"/>
      <c r="I353" s="606"/>
      <c r="J353" s="606"/>
      <c r="K353" s="606"/>
      <c r="L353" s="606"/>
      <c r="M353" s="606"/>
      <c r="N353" s="606"/>
      <c r="O353" s="606"/>
      <c r="P353" s="606"/>
      <c r="Q353" s="606"/>
      <c r="R353" s="606"/>
      <c r="S353" s="606"/>
      <c r="T353" s="606"/>
      <c r="U353" s="606"/>
      <c r="V353" s="606"/>
      <c r="W353" s="606"/>
      <c r="X353" s="640"/>
      <c r="Y353" s="607"/>
      <c r="Z353" s="607"/>
      <c r="AA353" s="607"/>
      <c r="AB353" s="607"/>
      <c r="AC353" s="607"/>
      <c r="AD353" s="607"/>
      <c r="AE353" s="607"/>
      <c r="AF353" s="607"/>
      <c r="AG353" s="607"/>
      <c r="AH353" s="607"/>
      <c r="AI353" s="607"/>
      <c r="AJ353" s="607"/>
      <c r="AK353" s="607"/>
      <c r="AL353" s="606"/>
      <c r="AM353" s="606"/>
      <c r="AN353" s="606"/>
      <c r="AO353" s="606"/>
    </row>
    <row r="354" spans="1:41" ht="11.25" hidden="1" customHeight="1">
      <c r="A354" s="608"/>
      <c r="B354" s="607"/>
      <c r="C354" s="607"/>
      <c r="D354" s="607"/>
      <c r="E354" s="607"/>
      <c r="F354" s="607"/>
      <c r="G354" s="606"/>
      <c r="H354" s="606"/>
      <c r="I354" s="606"/>
      <c r="J354" s="606"/>
      <c r="K354" s="606"/>
      <c r="L354" s="606"/>
      <c r="M354" s="606"/>
      <c r="N354" s="606"/>
      <c r="O354" s="606"/>
      <c r="P354" s="606"/>
      <c r="Q354" s="606"/>
      <c r="R354" s="606"/>
      <c r="S354" s="606"/>
      <c r="T354" s="606"/>
      <c r="U354" s="606"/>
      <c r="V354" s="606"/>
      <c r="W354" s="606"/>
      <c r="X354" s="640"/>
      <c r="Y354" s="607"/>
      <c r="Z354" s="607"/>
      <c r="AA354" s="607"/>
      <c r="AB354" s="607"/>
      <c r="AC354" s="607"/>
      <c r="AD354" s="607"/>
      <c r="AE354" s="607"/>
      <c r="AF354" s="607"/>
      <c r="AG354" s="607"/>
      <c r="AH354" s="607"/>
      <c r="AI354" s="607"/>
      <c r="AJ354" s="607"/>
      <c r="AK354" s="607"/>
      <c r="AL354" s="606"/>
      <c r="AM354" s="606"/>
      <c r="AN354" s="606"/>
      <c r="AO354" s="606"/>
    </row>
    <row r="355" spans="1:41" ht="11.25" hidden="1" customHeight="1">
      <c r="A355" s="608"/>
      <c r="B355" s="607"/>
      <c r="C355" s="607"/>
      <c r="D355" s="607"/>
      <c r="E355" s="607"/>
      <c r="F355" s="607"/>
      <c r="G355" s="606"/>
      <c r="H355" s="606"/>
      <c r="I355" s="606"/>
      <c r="J355" s="606"/>
      <c r="K355" s="606"/>
      <c r="L355" s="606"/>
      <c r="M355" s="606"/>
      <c r="N355" s="606"/>
      <c r="O355" s="606"/>
      <c r="P355" s="606"/>
      <c r="Q355" s="606"/>
      <c r="R355" s="606"/>
      <c r="S355" s="606"/>
      <c r="T355" s="606"/>
      <c r="U355" s="606"/>
      <c r="V355" s="606"/>
      <c r="W355" s="606"/>
      <c r="X355" s="640"/>
      <c r="Y355" s="607"/>
      <c r="Z355" s="607"/>
      <c r="AA355" s="607"/>
      <c r="AB355" s="607"/>
      <c r="AC355" s="607"/>
      <c r="AD355" s="607"/>
      <c r="AE355" s="607"/>
      <c r="AF355" s="607"/>
      <c r="AG355" s="607"/>
      <c r="AH355" s="607"/>
      <c r="AI355" s="607"/>
      <c r="AJ355" s="607"/>
      <c r="AK355" s="607"/>
      <c r="AL355" s="606"/>
      <c r="AM355" s="606"/>
      <c r="AN355" s="606"/>
      <c r="AO355" s="606"/>
    </row>
    <row r="356" spans="1:41" ht="11.25" hidden="1" customHeight="1">
      <c r="A356" s="608"/>
      <c r="B356" s="607"/>
      <c r="C356" s="607"/>
      <c r="D356" s="607"/>
      <c r="E356" s="607"/>
      <c r="F356" s="607"/>
      <c r="G356" s="606"/>
      <c r="H356" s="606"/>
      <c r="I356" s="606"/>
      <c r="J356" s="606"/>
      <c r="K356" s="606"/>
      <c r="L356" s="606"/>
      <c r="M356" s="606"/>
      <c r="N356" s="606"/>
      <c r="O356" s="606"/>
      <c r="P356" s="606"/>
      <c r="Q356" s="606"/>
      <c r="R356" s="606"/>
      <c r="S356" s="606"/>
      <c r="T356" s="606"/>
      <c r="U356" s="606"/>
      <c r="V356" s="606"/>
      <c r="W356" s="606"/>
      <c r="X356" s="640"/>
      <c r="Y356" s="607"/>
      <c r="Z356" s="607"/>
      <c r="AA356" s="607"/>
      <c r="AB356" s="607"/>
      <c r="AC356" s="607"/>
      <c r="AD356" s="607"/>
      <c r="AE356" s="607"/>
      <c r="AF356" s="607"/>
      <c r="AG356" s="607"/>
      <c r="AH356" s="607"/>
      <c r="AI356" s="607"/>
      <c r="AJ356" s="607"/>
      <c r="AK356" s="607"/>
      <c r="AL356" s="606"/>
      <c r="AM356" s="606"/>
      <c r="AN356" s="606"/>
      <c r="AO356" s="606"/>
    </row>
    <row r="357" spans="1:41" ht="11.25" hidden="1" customHeight="1">
      <c r="A357" s="608"/>
      <c r="B357" s="607"/>
      <c r="C357" s="607"/>
      <c r="D357" s="607"/>
      <c r="E357" s="607"/>
      <c r="F357" s="607"/>
      <c r="G357" s="606"/>
      <c r="H357" s="606"/>
      <c r="I357" s="606"/>
      <c r="J357" s="606"/>
      <c r="K357" s="606"/>
      <c r="L357" s="606"/>
      <c r="M357" s="606"/>
      <c r="N357" s="606"/>
      <c r="O357" s="606"/>
      <c r="P357" s="606"/>
      <c r="Q357" s="606"/>
      <c r="R357" s="606"/>
      <c r="S357" s="606"/>
      <c r="T357" s="606"/>
      <c r="U357" s="606"/>
      <c r="V357" s="606"/>
      <c r="W357" s="606"/>
      <c r="X357" s="640"/>
      <c r="Y357" s="607"/>
      <c r="Z357" s="607"/>
      <c r="AA357" s="607"/>
      <c r="AB357" s="607"/>
      <c r="AC357" s="607"/>
      <c r="AD357" s="607"/>
      <c r="AE357" s="607"/>
      <c r="AF357" s="607"/>
      <c r="AG357" s="607"/>
      <c r="AH357" s="607"/>
      <c r="AI357" s="607"/>
      <c r="AJ357" s="607"/>
      <c r="AK357" s="607"/>
      <c r="AL357" s="606"/>
      <c r="AM357" s="606"/>
      <c r="AN357" s="606"/>
      <c r="AO357" s="606"/>
    </row>
    <row r="358" spans="1:41" ht="11.25" hidden="1" customHeight="1">
      <c r="A358" s="608"/>
      <c r="B358" s="607"/>
      <c r="C358" s="607"/>
      <c r="D358" s="607"/>
      <c r="E358" s="607"/>
      <c r="F358" s="607"/>
      <c r="G358" s="606"/>
      <c r="H358" s="606"/>
      <c r="I358" s="606"/>
      <c r="J358" s="606"/>
      <c r="K358" s="606"/>
      <c r="L358" s="606"/>
      <c r="M358" s="606"/>
      <c r="N358" s="606"/>
      <c r="O358" s="606"/>
      <c r="P358" s="606"/>
      <c r="Q358" s="606"/>
      <c r="R358" s="606"/>
      <c r="S358" s="606"/>
      <c r="T358" s="606"/>
      <c r="U358" s="606"/>
      <c r="V358" s="606"/>
      <c r="W358" s="606"/>
      <c r="X358" s="640"/>
      <c r="Y358" s="607"/>
      <c r="Z358" s="607"/>
      <c r="AA358" s="607"/>
      <c r="AB358" s="607"/>
      <c r="AC358" s="607"/>
      <c r="AD358" s="607"/>
      <c r="AE358" s="607"/>
      <c r="AF358" s="607"/>
      <c r="AG358" s="607"/>
      <c r="AH358" s="607"/>
      <c r="AI358" s="607"/>
      <c r="AJ358" s="607"/>
      <c r="AK358" s="607"/>
      <c r="AL358" s="606"/>
      <c r="AM358" s="606"/>
      <c r="AN358" s="606"/>
      <c r="AO358" s="606"/>
    </row>
    <row r="359" spans="1:41" ht="11.25" hidden="1" customHeight="1">
      <c r="A359" s="608"/>
      <c r="B359" s="607"/>
      <c r="C359" s="607"/>
      <c r="D359" s="607"/>
      <c r="E359" s="607"/>
      <c r="F359" s="607"/>
      <c r="G359" s="606"/>
      <c r="H359" s="606"/>
      <c r="I359" s="606"/>
      <c r="J359" s="606"/>
      <c r="K359" s="606"/>
      <c r="L359" s="606"/>
      <c r="M359" s="606"/>
      <c r="N359" s="606"/>
      <c r="O359" s="606"/>
      <c r="P359" s="606"/>
      <c r="Q359" s="606"/>
      <c r="R359" s="606"/>
      <c r="S359" s="606"/>
      <c r="T359" s="606"/>
      <c r="U359" s="606"/>
      <c r="V359" s="606"/>
      <c r="W359" s="606"/>
      <c r="X359" s="640"/>
      <c r="Y359" s="607"/>
      <c r="Z359" s="607"/>
      <c r="AA359" s="607"/>
      <c r="AB359" s="607"/>
      <c r="AC359" s="607"/>
      <c r="AD359" s="607"/>
      <c r="AE359" s="607"/>
      <c r="AF359" s="607"/>
      <c r="AG359" s="607"/>
      <c r="AH359" s="607"/>
      <c r="AI359" s="607"/>
      <c r="AJ359" s="607"/>
      <c r="AK359" s="607"/>
      <c r="AL359" s="606"/>
      <c r="AM359" s="606"/>
      <c r="AN359" s="606"/>
      <c r="AO359" s="606"/>
    </row>
    <row r="360" spans="1:41" ht="11.25" hidden="1" customHeight="1">
      <c r="A360" s="608"/>
      <c r="B360" s="607"/>
      <c r="C360" s="607"/>
      <c r="D360" s="607"/>
      <c r="E360" s="607"/>
      <c r="F360" s="607"/>
      <c r="G360" s="606"/>
      <c r="H360" s="606"/>
      <c r="I360" s="606"/>
      <c r="J360" s="606"/>
      <c r="K360" s="606"/>
      <c r="L360" s="606"/>
      <c r="M360" s="606"/>
      <c r="N360" s="606"/>
      <c r="O360" s="606"/>
      <c r="P360" s="606"/>
      <c r="Q360" s="606"/>
      <c r="R360" s="606"/>
      <c r="S360" s="606"/>
      <c r="T360" s="606"/>
      <c r="U360" s="606"/>
      <c r="V360" s="606"/>
      <c r="W360" s="606"/>
      <c r="X360" s="640"/>
      <c r="Y360" s="607"/>
      <c r="Z360" s="607"/>
      <c r="AA360" s="607"/>
      <c r="AB360" s="607"/>
      <c r="AC360" s="607"/>
      <c r="AD360" s="607"/>
      <c r="AE360" s="607"/>
      <c r="AF360" s="607"/>
      <c r="AG360" s="607"/>
      <c r="AH360" s="607"/>
      <c r="AI360" s="607"/>
      <c r="AJ360" s="607"/>
      <c r="AK360" s="607"/>
      <c r="AL360" s="606"/>
      <c r="AM360" s="606"/>
      <c r="AN360" s="606"/>
      <c r="AO360" s="606"/>
    </row>
    <row r="361" spans="1:41" ht="11.25" hidden="1" customHeight="1">
      <c r="A361" s="608"/>
      <c r="B361" s="607"/>
      <c r="C361" s="607"/>
      <c r="D361" s="607"/>
      <c r="E361" s="607"/>
      <c r="F361" s="607"/>
      <c r="G361" s="606"/>
      <c r="H361" s="606"/>
      <c r="I361" s="606"/>
      <c r="J361" s="606"/>
      <c r="K361" s="606"/>
      <c r="L361" s="606"/>
      <c r="M361" s="606"/>
      <c r="N361" s="606"/>
      <c r="O361" s="606"/>
      <c r="P361" s="606"/>
      <c r="Q361" s="606"/>
      <c r="R361" s="606"/>
      <c r="S361" s="606"/>
      <c r="T361" s="606"/>
      <c r="U361" s="606"/>
      <c r="V361" s="606"/>
      <c r="W361" s="606"/>
      <c r="X361" s="640"/>
      <c r="Y361" s="607"/>
      <c r="Z361" s="607"/>
      <c r="AA361" s="607"/>
      <c r="AB361" s="607"/>
      <c r="AC361" s="607"/>
      <c r="AD361" s="607"/>
      <c r="AE361" s="607"/>
      <c r="AF361" s="607"/>
      <c r="AG361" s="607"/>
      <c r="AH361" s="607"/>
      <c r="AI361" s="607"/>
      <c r="AJ361" s="607"/>
      <c r="AK361" s="607"/>
      <c r="AL361" s="606"/>
      <c r="AM361" s="606"/>
      <c r="AN361" s="606"/>
      <c r="AO361" s="606"/>
    </row>
    <row r="362" spans="1:41" ht="11.25" hidden="1" customHeight="1">
      <c r="A362" s="608"/>
      <c r="B362" s="607"/>
      <c r="C362" s="607"/>
      <c r="D362" s="607"/>
      <c r="E362" s="607"/>
      <c r="F362" s="607"/>
      <c r="G362" s="606"/>
      <c r="H362" s="606"/>
      <c r="I362" s="606"/>
      <c r="J362" s="606"/>
      <c r="K362" s="606"/>
      <c r="L362" s="606"/>
      <c r="M362" s="606"/>
      <c r="N362" s="606"/>
      <c r="O362" s="606"/>
      <c r="P362" s="606"/>
      <c r="Q362" s="606"/>
      <c r="R362" s="606"/>
      <c r="S362" s="606"/>
      <c r="T362" s="606"/>
      <c r="U362" s="606"/>
      <c r="V362" s="606"/>
      <c r="W362" s="606"/>
      <c r="X362" s="640"/>
      <c r="Y362" s="607"/>
      <c r="Z362" s="607"/>
      <c r="AA362" s="607"/>
      <c r="AB362" s="607"/>
      <c r="AC362" s="607"/>
      <c r="AD362" s="607"/>
      <c r="AE362" s="607"/>
      <c r="AF362" s="607"/>
      <c r="AG362" s="607"/>
      <c r="AH362" s="607"/>
      <c r="AI362" s="607"/>
      <c r="AJ362" s="607"/>
      <c r="AK362" s="607"/>
      <c r="AL362" s="606"/>
      <c r="AM362" s="606"/>
      <c r="AN362" s="606"/>
      <c r="AO362" s="606"/>
    </row>
    <row r="363" spans="1:41" ht="11.25" hidden="1" customHeight="1">
      <c r="A363" s="608"/>
      <c r="B363" s="607"/>
      <c r="C363" s="607"/>
      <c r="D363" s="607"/>
      <c r="E363" s="607"/>
      <c r="F363" s="607"/>
      <c r="G363" s="606"/>
      <c r="H363" s="606"/>
      <c r="I363" s="606"/>
      <c r="J363" s="606"/>
      <c r="K363" s="606"/>
      <c r="L363" s="606"/>
      <c r="M363" s="606"/>
      <c r="N363" s="606"/>
      <c r="O363" s="606"/>
      <c r="P363" s="606"/>
      <c r="Q363" s="606"/>
      <c r="R363" s="606"/>
      <c r="S363" s="606"/>
      <c r="T363" s="606"/>
      <c r="U363" s="606"/>
      <c r="V363" s="606"/>
      <c r="W363" s="606"/>
      <c r="X363" s="640"/>
      <c r="Y363" s="607"/>
      <c r="Z363" s="607"/>
      <c r="AA363" s="607"/>
      <c r="AB363" s="607"/>
      <c r="AC363" s="607"/>
      <c r="AD363" s="607"/>
      <c r="AE363" s="607"/>
      <c r="AF363" s="607"/>
      <c r="AG363" s="607"/>
      <c r="AH363" s="607"/>
      <c r="AI363" s="607"/>
      <c r="AJ363" s="607"/>
      <c r="AK363" s="607"/>
      <c r="AL363" s="606"/>
      <c r="AM363" s="606"/>
      <c r="AN363" s="606"/>
      <c r="AO363" s="606"/>
    </row>
    <row r="364" spans="1:41" ht="11.25" hidden="1" customHeight="1">
      <c r="A364" s="608"/>
      <c r="B364" s="607"/>
      <c r="C364" s="607"/>
      <c r="D364" s="607"/>
      <c r="E364" s="607"/>
      <c r="F364" s="607"/>
      <c r="G364" s="606"/>
      <c r="H364" s="606"/>
      <c r="I364" s="606"/>
      <c r="J364" s="606"/>
      <c r="K364" s="606"/>
      <c r="L364" s="606"/>
      <c r="M364" s="606"/>
      <c r="N364" s="606"/>
      <c r="O364" s="606"/>
      <c r="P364" s="606"/>
      <c r="Q364" s="606"/>
      <c r="R364" s="606"/>
      <c r="S364" s="606"/>
      <c r="T364" s="606"/>
      <c r="U364" s="606"/>
      <c r="V364" s="606"/>
      <c r="W364" s="606"/>
      <c r="X364" s="640"/>
      <c r="Y364" s="607"/>
      <c r="Z364" s="607"/>
      <c r="AA364" s="607"/>
      <c r="AB364" s="607"/>
      <c r="AC364" s="607"/>
      <c r="AD364" s="607"/>
      <c r="AE364" s="607"/>
      <c r="AF364" s="607"/>
      <c r="AG364" s="607"/>
      <c r="AH364" s="607"/>
      <c r="AI364" s="607"/>
      <c r="AJ364" s="607"/>
      <c r="AK364" s="607"/>
      <c r="AL364" s="606"/>
      <c r="AM364" s="606"/>
      <c r="AN364" s="606"/>
      <c r="AO364" s="606"/>
    </row>
    <row r="365" spans="1:41" ht="11.25" hidden="1" customHeight="1">
      <c r="A365" s="608"/>
      <c r="B365" s="607"/>
      <c r="C365" s="607"/>
      <c r="D365" s="607"/>
      <c r="E365" s="607"/>
      <c r="F365" s="607"/>
      <c r="G365" s="606"/>
      <c r="H365" s="606"/>
      <c r="I365" s="606"/>
      <c r="J365" s="606"/>
      <c r="K365" s="606"/>
      <c r="L365" s="606"/>
      <c r="M365" s="606"/>
      <c r="N365" s="606"/>
      <c r="O365" s="606"/>
      <c r="P365" s="606"/>
      <c r="Q365" s="606"/>
      <c r="R365" s="606"/>
      <c r="S365" s="606"/>
      <c r="T365" s="606"/>
      <c r="U365" s="606"/>
      <c r="V365" s="606"/>
      <c r="W365" s="606"/>
      <c r="X365" s="640"/>
      <c r="Y365" s="607"/>
      <c r="Z365" s="607"/>
      <c r="AA365" s="607"/>
      <c r="AB365" s="607"/>
      <c r="AC365" s="607"/>
      <c r="AD365" s="607"/>
      <c r="AE365" s="607"/>
      <c r="AF365" s="607"/>
      <c r="AG365" s="607"/>
      <c r="AH365" s="607"/>
      <c r="AI365" s="607"/>
      <c r="AJ365" s="607"/>
      <c r="AK365" s="607"/>
      <c r="AL365" s="606"/>
      <c r="AM365" s="606"/>
      <c r="AN365" s="606"/>
      <c r="AO365" s="606"/>
    </row>
    <row r="366" spans="1:41" ht="11.25" hidden="1" customHeight="1">
      <c r="A366" s="608"/>
      <c r="B366" s="607"/>
      <c r="C366" s="607"/>
      <c r="D366" s="607"/>
      <c r="E366" s="607"/>
      <c r="F366" s="607"/>
      <c r="G366" s="606"/>
      <c r="H366" s="606"/>
      <c r="I366" s="606"/>
      <c r="J366" s="606"/>
      <c r="K366" s="606"/>
      <c r="L366" s="606"/>
      <c r="M366" s="606"/>
      <c r="N366" s="606"/>
      <c r="O366" s="606"/>
      <c r="P366" s="606"/>
      <c r="Q366" s="606"/>
      <c r="R366" s="606"/>
      <c r="S366" s="606"/>
      <c r="T366" s="606"/>
      <c r="U366" s="606"/>
      <c r="V366" s="606"/>
      <c r="W366" s="606"/>
      <c r="X366" s="640"/>
      <c r="Y366" s="607"/>
      <c r="Z366" s="607"/>
      <c r="AA366" s="607"/>
      <c r="AB366" s="607"/>
      <c r="AC366" s="607"/>
      <c r="AD366" s="607"/>
      <c r="AE366" s="607"/>
      <c r="AF366" s="607"/>
      <c r="AG366" s="607"/>
      <c r="AH366" s="607"/>
      <c r="AI366" s="607"/>
      <c r="AJ366" s="607"/>
      <c r="AK366" s="607"/>
      <c r="AL366" s="606"/>
      <c r="AM366" s="606"/>
      <c r="AN366" s="606"/>
      <c r="AO366" s="606"/>
    </row>
    <row r="367" spans="1:41" ht="11.25" hidden="1" customHeight="1">
      <c r="A367" s="608"/>
      <c r="B367" s="607"/>
      <c r="C367" s="607"/>
      <c r="D367" s="607"/>
      <c r="E367" s="607"/>
      <c r="F367" s="607"/>
      <c r="G367" s="606"/>
      <c r="H367" s="606"/>
      <c r="I367" s="606"/>
      <c r="J367" s="606"/>
      <c r="K367" s="606"/>
      <c r="L367" s="606"/>
      <c r="M367" s="606"/>
      <c r="N367" s="606"/>
      <c r="O367" s="606"/>
      <c r="P367" s="606"/>
      <c r="Q367" s="606"/>
      <c r="R367" s="606"/>
      <c r="S367" s="606"/>
      <c r="T367" s="606"/>
      <c r="U367" s="606"/>
      <c r="V367" s="606"/>
      <c r="W367" s="606"/>
      <c r="X367" s="640"/>
      <c r="Y367" s="607"/>
      <c r="Z367" s="607"/>
      <c r="AA367" s="607"/>
      <c r="AB367" s="607"/>
      <c r="AC367" s="607"/>
      <c r="AD367" s="607"/>
      <c r="AE367" s="607"/>
      <c r="AF367" s="607"/>
      <c r="AG367" s="607"/>
      <c r="AH367" s="607"/>
      <c r="AI367" s="607"/>
      <c r="AJ367" s="607"/>
      <c r="AK367" s="607"/>
      <c r="AL367" s="606"/>
      <c r="AM367" s="606"/>
      <c r="AN367" s="606"/>
      <c r="AO367" s="606"/>
    </row>
    <row r="368" spans="1:41" ht="11.25" hidden="1" customHeight="1">
      <c r="A368" s="608"/>
      <c r="B368" s="607"/>
      <c r="C368" s="607"/>
      <c r="D368" s="607"/>
      <c r="E368" s="607"/>
      <c r="F368" s="607"/>
      <c r="G368" s="606"/>
      <c r="H368" s="606"/>
      <c r="I368" s="606"/>
      <c r="J368" s="606"/>
      <c r="K368" s="606"/>
      <c r="L368" s="606"/>
      <c r="M368" s="606"/>
      <c r="N368" s="606"/>
      <c r="O368" s="606"/>
      <c r="P368" s="606"/>
      <c r="Q368" s="606"/>
      <c r="R368" s="606"/>
      <c r="S368" s="606"/>
      <c r="T368" s="606"/>
      <c r="U368" s="606"/>
      <c r="V368" s="606"/>
      <c r="W368" s="606"/>
      <c r="X368" s="640"/>
      <c r="Y368" s="607"/>
      <c r="Z368" s="607"/>
      <c r="AA368" s="607"/>
      <c r="AB368" s="607"/>
      <c r="AC368" s="607"/>
      <c r="AD368" s="607"/>
      <c r="AE368" s="607"/>
      <c r="AF368" s="607"/>
      <c r="AG368" s="607"/>
      <c r="AH368" s="607"/>
      <c r="AI368" s="607"/>
      <c r="AJ368" s="607"/>
      <c r="AK368" s="607"/>
      <c r="AL368" s="606"/>
      <c r="AM368" s="606"/>
      <c r="AN368" s="606"/>
      <c r="AO368" s="606"/>
    </row>
    <row r="369" spans="1:41" ht="11.25" hidden="1" customHeight="1">
      <c r="A369" s="608"/>
      <c r="B369" s="607"/>
      <c r="C369" s="607"/>
      <c r="D369" s="607"/>
      <c r="E369" s="607"/>
      <c r="F369" s="607"/>
      <c r="G369" s="606"/>
      <c r="H369" s="606"/>
      <c r="I369" s="606"/>
      <c r="J369" s="606"/>
      <c r="K369" s="606"/>
      <c r="L369" s="606"/>
      <c r="M369" s="606"/>
      <c r="N369" s="606"/>
      <c r="O369" s="606"/>
      <c r="P369" s="606"/>
      <c r="Q369" s="606"/>
      <c r="R369" s="606"/>
      <c r="S369" s="606"/>
      <c r="T369" s="606"/>
      <c r="U369" s="606"/>
      <c r="V369" s="606"/>
      <c r="W369" s="606"/>
      <c r="X369" s="640"/>
      <c r="Y369" s="607"/>
      <c r="Z369" s="607"/>
      <c r="AA369" s="607"/>
      <c r="AB369" s="607"/>
      <c r="AC369" s="607"/>
      <c r="AD369" s="607"/>
      <c r="AE369" s="607"/>
      <c r="AF369" s="607"/>
      <c r="AG369" s="607"/>
      <c r="AH369" s="607"/>
      <c r="AI369" s="607"/>
      <c r="AJ369" s="607"/>
      <c r="AK369" s="607"/>
      <c r="AL369" s="606"/>
      <c r="AM369" s="606"/>
      <c r="AN369" s="606"/>
      <c r="AO369" s="606"/>
    </row>
    <row r="370" spans="1:41" ht="11.25" hidden="1" customHeight="1">
      <c r="A370" s="608"/>
      <c r="B370" s="607"/>
      <c r="C370" s="607"/>
      <c r="D370" s="607"/>
      <c r="E370" s="607"/>
      <c r="F370" s="607"/>
      <c r="G370" s="606"/>
      <c r="H370" s="606"/>
      <c r="I370" s="606"/>
      <c r="J370" s="606"/>
      <c r="K370" s="606"/>
      <c r="L370" s="606"/>
      <c r="M370" s="606"/>
      <c r="N370" s="606"/>
      <c r="O370" s="606"/>
      <c r="P370" s="606"/>
      <c r="Q370" s="606"/>
      <c r="R370" s="606"/>
      <c r="S370" s="606"/>
      <c r="T370" s="606"/>
      <c r="U370" s="606"/>
      <c r="V370" s="606"/>
      <c r="W370" s="606"/>
      <c r="X370" s="640"/>
      <c r="Y370" s="607"/>
      <c r="Z370" s="607"/>
      <c r="AA370" s="607"/>
      <c r="AB370" s="607"/>
      <c r="AC370" s="607"/>
      <c r="AD370" s="607"/>
      <c r="AE370" s="607"/>
      <c r="AF370" s="607"/>
      <c r="AG370" s="607"/>
      <c r="AH370" s="607"/>
      <c r="AI370" s="607"/>
      <c r="AJ370" s="607"/>
      <c r="AK370" s="607"/>
      <c r="AL370" s="606"/>
      <c r="AM370" s="606"/>
      <c r="AN370" s="606"/>
      <c r="AO370" s="606"/>
    </row>
    <row r="371" spans="1:41" ht="11.25" hidden="1" customHeight="1">
      <c r="A371" s="608"/>
      <c r="B371" s="607"/>
      <c r="C371" s="607"/>
      <c r="D371" s="607"/>
      <c r="E371" s="607"/>
      <c r="F371" s="607"/>
      <c r="G371" s="606"/>
      <c r="H371" s="606"/>
      <c r="I371" s="606"/>
      <c r="J371" s="606"/>
      <c r="K371" s="606"/>
      <c r="L371" s="606"/>
      <c r="M371" s="606"/>
      <c r="N371" s="606"/>
      <c r="O371" s="606"/>
      <c r="P371" s="606"/>
      <c r="Q371" s="606"/>
      <c r="R371" s="606"/>
      <c r="S371" s="606"/>
      <c r="T371" s="606"/>
      <c r="U371" s="606"/>
      <c r="V371" s="606"/>
      <c r="W371" s="606"/>
      <c r="X371" s="640"/>
      <c r="Y371" s="607"/>
      <c r="Z371" s="607"/>
      <c r="AA371" s="607"/>
      <c r="AB371" s="607"/>
      <c r="AC371" s="607"/>
      <c r="AD371" s="607"/>
      <c r="AE371" s="607"/>
      <c r="AF371" s="607"/>
      <c r="AG371" s="607"/>
      <c r="AH371" s="607"/>
      <c r="AI371" s="607"/>
      <c r="AJ371" s="607"/>
      <c r="AK371" s="607"/>
      <c r="AL371" s="606"/>
      <c r="AM371" s="606"/>
      <c r="AN371" s="606"/>
      <c r="AO371" s="606"/>
    </row>
    <row r="372" spans="1:41" ht="11.25" hidden="1" customHeight="1">
      <c r="A372" s="608"/>
      <c r="B372" s="607"/>
      <c r="C372" s="607"/>
      <c r="D372" s="607"/>
      <c r="E372" s="607"/>
      <c r="F372" s="607"/>
      <c r="G372" s="606"/>
      <c r="H372" s="606"/>
      <c r="I372" s="606"/>
      <c r="J372" s="606"/>
      <c r="K372" s="606"/>
      <c r="L372" s="606"/>
      <c r="M372" s="606"/>
      <c r="N372" s="606"/>
      <c r="O372" s="606"/>
      <c r="P372" s="606"/>
      <c r="Q372" s="606"/>
      <c r="R372" s="606"/>
      <c r="S372" s="606"/>
      <c r="T372" s="606"/>
      <c r="U372" s="606"/>
      <c r="V372" s="606"/>
      <c r="W372" s="606"/>
      <c r="X372" s="640"/>
      <c r="Y372" s="607"/>
      <c r="Z372" s="607"/>
      <c r="AA372" s="607"/>
      <c r="AB372" s="607"/>
      <c r="AC372" s="607"/>
      <c r="AD372" s="607"/>
      <c r="AE372" s="607"/>
      <c r="AF372" s="607"/>
      <c r="AG372" s="607"/>
      <c r="AH372" s="607"/>
      <c r="AI372" s="607"/>
      <c r="AJ372" s="607"/>
      <c r="AK372" s="607"/>
      <c r="AL372" s="606"/>
      <c r="AM372" s="606"/>
      <c r="AN372" s="606"/>
      <c r="AO372" s="606"/>
    </row>
    <row r="373" spans="1:41" ht="11.25" hidden="1" customHeight="1">
      <c r="A373" s="608"/>
      <c r="B373" s="607"/>
      <c r="C373" s="607"/>
      <c r="D373" s="607"/>
      <c r="E373" s="607"/>
      <c r="F373" s="607"/>
      <c r="G373" s="606"/>
      <c r="H373" s="606"/>
      <c r="I373" s="606"/>
      <c r="J373" s="606"/>
      <c r="K373" s="606"/>
      <c r="L373" s="606"/>
      <c r="M373" s="606"/>
      <c r="N373" s="606"/>
      <c r="O373" s="606"/>
      <c r="P373" s="606"/>
      <c r="Q373" s="606"/>
      <c r="R373" s="606"/>
      <c r="S373" s="606"/>
      <c r="T373" s="606"/>
      <c r="U373" s="606"/>
      <c r="V373" s="606"/>
      <c r="W373" s="606"/>
      <c r="X373" s="640"/>
      <c r="Y373" s="607"/>
      <c r="Z373" s="607"/>
      <c r="AA373" s="607"/>
      <c r="AB373" s="607"/>
      <c r="AC373" s="607"/>
      <c r="AD373" s="607"/>
      <c r="AE373" s="607"/>
      <c r="AF373" s="607"/>
      <c r="AG373" s="607"/>
      <c r="AH373" s="607"/>
      <c r="AI373" s="607"/>
      <c r="AJ373" s="607"/>
      <c r="AK373" s="607"/>
      <c r="AL373" s="606"/>
      <c r="AM373" s="606"/>
      <c r="AN373" s="606"/>
      <c r="AO373" s="606"/>
    </row>
    <row r="374" spans="1:41" ht="11.25" hidden="1" customHeight="1">
      <c r="A374" s="608"/>
      <c r="B374" s="607"/>
      <c r="C374" s="607"/>
      <c r="D374" s="607"/>
      <c r="E374" s="607"/>
      <c r="F374" s="607"/>
      <c r="G374" s="606"/>
      <c r="H374" s="606"/>
      <c r="I374" s="606"/>
      <c r="J374" s="606"/>
      <c r="K374" s="606"/>
      <c r="L374" s="606"/>
      <c r="M374" s="606"/>
      <c r="N374" s="606"/>
      <c r="O374" s="606"/>
      <c r="P374" s="606"/>
      <c r="Q374" s="606"/>
      <c r="R374" s="606"/>
      <c r="S374" s="606"/>
      <c r="T374" s="606"/>
      <c r="U374" s="606"/>
      <c r="V374" s="606"/>
      <c r="W374" s="606"/>
      <c r="X374" s="640"/>
      <c r="Y374" s="607"/>
      <c r="Z374" s="607"/>
      <c r="AA374" s="607"/>
      <c r="AB374" s="607"/>
      <c r="AC374" s="607"/>
      <c r="AD374" s="607"/>
      <c r="AE374" s="607"/>
      <c r="AF374" s="607"/>
      <c r="AG374" s="607"/>
      <c r="AH374" s="607"/>
      <c r="AI374" s="607"/>
      <c r="AJ374" s="607"/>
      <c r="AK374" s="607"/>
      <c r="AL374" s="606"/>
      <c r="AM374" s="606"/>
      <c r="AN374" s="606"/>
      <c r="AO374" s="606"/>
    </row>
    <row r="375" spans="1:41" ht="11.25" hidden="1" customHeight="1">
      <c r="A375" s="608"/>
      <c r="B375" s="607"/>
      <c r="C375" s="607"/>
      <c r="D375" s="607"/>
      <c r="E375" s="607"/>
      <c r="F375" s="607"/>
      <c r="G375" s="606"/>
      <c r="H375" s="606"/>
      <c r="I375" s="606"/>
      <c r="J375" s="606"/>
      <c r="K375" s="606"/>
      <c r="L375" s="606"/>
      <c r="M375" s="606"/>
      <c r="N375" s="606"/>
      <c r="O375" s="606"/>
      <c r="P375" s="606"/>
      <c r="Q375" s="606"/>
      <c r="R375" s="606"/>
      <c r="S375" s="606"/>
      <c r="T375" s="606"/>
      <c r="U375" s="606"/>
      <c r="V375" s="606"/>
      <c r="W375" s="606"/>
      <c r="X375" s="640"/>
      <c r="Y375" s="607"/>
      <c r="Z375" s="607"/>
      <c r="AA375" s="607"/>
      <c r="AB375" s="607"/>
      <c r="AC375" s="607"/>
      <c r="AD375" s="607"/>
      <c r="AE375" s="607"/>
      <c r="AF375" s="607"/>
      <c r="AG375" s="607"/>
      <c r="AH375" s="607"/>
      <c r="AI375" s="607"/>
      <c r="AJ375" s="607"/>
      <c r="AK375" s="607"/>
      <c r="AL375" s="606"/>
      <c r="AM375" s="606"/>
      <c r="AN375" s="606"/>
      <c r="AO375" s="606"/>
    </row>
    <row r="376" spans="1:41" ht="11.25" hidden="1" customHeight="1">
      <c r="A376" s="608"/>
      <c r="B376" s="607"/>
      <c r="C376" s="607"/>
      <c r="D376" s="607"/>
      <c r="E376" s="607"/>
      <c r="F376" s="607"/>
      <c r="G376" s="606"/>
      <c r="H376" s="606"/>
      <c r="I376" s="606"/>
      <c r="J376" s="606"/>
      <c r="K376" s="606"/>
      <c r="L376" s="606"/>
      <c r="M376" s="606"/>
      <c r="N376" s="606"/>
      <c r="O376" s="606"/>
      <c r="P376" s="606"/>
      <c r="Q376" s="606"/>
      <c r="R376" s="606"/>
      <c r="S376" s="606"/>
      <c r="T376" s="606"/>
      <c r="U376" s="606"/>
      <c r="V376" s="606"/>
      <c r="W376" s="606"/>
      <c r="X376" s="640"/>
      <c r="Y376" s="607"/>
      <c r="Z376" s="607"/>
      <c r="AA376" s="607"/>
      <c r="AB376" s="607"/>
      <c r="AC376" s="607"/>
      <c r="AD376" s="607"/>
      <c r="AE376" s="607"/>
      <c r="AF376" s="607"/>
      <c r="AG376" s="607"/>
      <c r="AH376" s="607"/>
      <c r="AI376" s="607"/>
      <c r="AJ376" s="607"/>
      <c r="AK376" s="607"/>
      <c r="AL376" s="606"/>
      <c r="AM376" s="606"/>
      <c r="AN376" s="606"/>
      <c r="AO376" s="606"/>
    </row>
    <row r="377" spans="1:41" ht="11.25" hidden="1" customHeight="1">
      <c r="A377" s="608"/>
      <c r="B377" s="607"/>
      <c r="C377" s="607"/>
      <c r="D377" s="607"/>
      <c r="E377" s="607"/>
      <c r="F377" s="607"/>
      <c r="G377" s="606"/>
      <c r="H377" s="606"/>
      <c r="I377" s="606"/>
      <c r="J377" s="606"/>
      <c r="K377" s="606"/>
      <c r="L377" s="606"/>
      <c r="M377" s="606"/>
      <c r="N377" s="606"/>
      <c r="O377" s="606"/>
      <c r="P377" s="606"/>
      <c r="Q377" s="606"/>
      <c r="R377" s="606"/>
      <c r="S377" s="606"/>
      <c r="T377" s="606"/>
      <c r="U377" s="606"/>
      <c r="V377" s="606"/>
      <c r="W377" s="606"/>
      <c r="X377" s="640"/>
      <c r="Y377" s="607"/>
      <c r="Z377" s="607"/>
      <c r="AA377" s="607"/>
      <c r="AB377" s="607"/>
      <c r="AC377" s="607"/>
      <c r="AD377" s="607"/>
      <c r="AE377" s="607"/>
      <c r="AF377" s="607"/>
      <c r="AG377" s="607"/>
      <c r="AH377" s="607"/>
      <c r="AI377" s="607"/>
      <c r="AJ377" s="607"/>
      <c r="AK377" s="607"/>
      <c r="AL377" s="606"/>
      <c r="AM377" s="606"/>
      <c r="AN377" s="606"/>
      <c r="AO377" s="606"/>
    </row>
    <row r="378" spans="1:41" ht="11.25" hidden="1" customHeight="1">
      <c r="A378" s="608"/>
      <c r="B378" s="607"/>
      <c r="C378" s="607"/>
      <c r="D378" s="607"/>
      <c r="E378" s="607"/>
      <c r="F378" s="607"/>
      <c r="G378" s="606"/>
      <c r="H378" s="606"/>
      <c r="I378" s="606"/>
      <c r="J378" s="606"/>
      <c r="K378" s="606"/>
      <c r="L378" s="606"/>
      <c r="M378" s="606"/>
      <c r="N378" s="606"/>
      <c r="O378" s="606"/>
      <c r="P378" s="606"/>
      <c r="Q378" s="606"/>
      <c r="R378" s="606"/>
      <c r="S378" s="606"/>
      <c r="T378" s="606"/>
      <c r="U378" s="606"/>
      <c r="V378" s="606"/>
      <c r="W378" s="606"/>
      <c r="X378" s="640"/>
      <c r="Y378" s="607"/>
      <c r="Z378" s="607"/>
      <c r="AA378" s="607"/>
      <c r="AB378" s="607"/>
      <c r="AC378" s="607"/>
      <c r="AD378" s="607"/>
      <c r="AE378" s="607"/>
      <c r="AF378" s="607"/>
      <c r="AG378" s="607"/>
      <c r="AH378" s="607"/>
      <c r="AI378" s="607"/>
      <c r="AJ378" s="607"/>
      <c r="AK378" s="607"/>
      <c r="AL378" s="606"/>
      <c r="AM378" s="606"/>
      <c r="AN378" s="606"/>
      <c r="AO378" s="606"/>
    </row>
    <row r="379" spans="1:41" ht="11.25" hidden="1" customHeight="1">
      <c r="A379" s="608"/>
      <c r="B379" s="607"/>
      <c r="C379" s="607"/>
      <c r="D379" s="607"/>
      <c r="E379" s="607"/>
      <c r="F379" s="607"/>
      <c r="G379" s="606"/>
      <c r="H379" s="606"/>
      <c r="I379" s="606"/>
      <c r="J379" s="606"/>
      <c r="K379" s="606"/>
      <c r="L379" s="606"/>
      <c r="M379" s="606"/>
      <c r="N379" s="606"/>
      <c r="O379" s="606"/>
      <c r="P379" s="606"/>
      <c r="Q379" s="606"/>
      <c r="R379" s="606"/>
      <c r="S379" s="606"/>
      <c r="T379" s="606"/>
      <c r="U379" s="606"/>
      <c r="V379" s="606"/>
      <c r="W379" s="606"/>
      <c r="X379" s="640"/>
      <c r="Y379" s="607"/>
      <c r="Z379" s="607"/>
      <c r="AA379" s="607"/>
      <c r="AB379" s="607"/>
      <c r="AC379" s="607"/>
      <c r="AD379" s="607"/>
      <c r="AE379" s="607"/>
      <c r="AF379" s="607"/>
      <c r="AG379" s="607"/>
      <c r="AH379" s="607"/>
      <c r="AI379" s="607"/>
      <c r="AJ379" s="607"/>
      <c r="AK379" s="607"/>
      <c r="AL379" s="606"/>
      <c r="AM379" s="606"/>
      <c r="AN379" s="606"/>
      <c r="AO379" s="606"/>
    </row>
    <row r="380" spans="1:41" ht="11.25" hidden="1" customHeight="1">
      <c r="A380" s="608"/>
      <c r="B380" s="607"/>
      <c r="C380" s="607"/>
      <c r="D380" s="607"/>
      <c r="E380" s="607"/>
      <c r="F380" s="607"/>
      <c r="G380" s="606"/>
      <c r="H380" s="606"/>
      <c r="I380" s="606"/>
      <c r="J380" s="606"/>
      <c r="K380" s="606"/>
      <c r="L380" s="606"/>
      <c r="M380" s="606"/>
      <c r="N380" s="606"/>
      <c r="O380" s="606"/>
      <c r="P380" s="606"/>
      <c r="Q380" s="606"/>
      <c r="R380" s="606"/>
      <c r="S380" s="606"/>
      <c r="T380" s="606"/>
      <c r="U380" s="606"/>
      <c r="V380" s="606"/>
      <c r="W380" s="606"/>
      <c r="X380" s="640"/>
      <c r="Y380" s="607"/>
      <c r="Z380" s="607"/>
      <c r="AA380" s="607"/>
      <c r="AB380" s="607"/>
      <c r="AC380" s="607"/>
      <c r="AD380" s="607"/>
      <c r="AE380" s="607"/>
      <c r="AF380" s="607"/>
      <c r="AG380" s="607"/>
      <c r="AH380" s="607"/>
      <c r="AI380" s="607"/>
      <c r="AJ380" s="607"/>
      <c r="AK380" s="607"/>
      <c r="AL380" s="606"/>
      <c r="AM380" s="606"/>
      <c r="AN380" s="606"/>
      <c r="AO380" s="606"/>
    </row>
    <row r="381" spans="1:41" ht="11.25" hidden="1" customHeight="1">
      <c r="A381" s="608"/>
      <c r="B381" s="607"/>
      <c r="C381" s="607"/>
      <c r="D381" s="607"/>
      <c r="E381" s="607"/>
      <c r="F381" s="607"/>
      <c r="G381" s="606"/>
      <c r="H381" s="606"/>
      <c r="I381" s="606"/>
      <c r="J381" s="606"/>
      <c r="K381" s="606"/>
      <c r="L381" s="606"/>
      <c r="M381" s="606"/>
      <c r="N381" s="606"/>
      <c r="O381" s="606"/>
      <c r="P381" s="606"/>
      <c r="Q381" s="606"/>
      <c r="R381" s="606"/>
      <c r="S381" s="606"/>
      <c r="T381" s="606"/>
      <c r="U381" s="606"/>
      <c r="V381" s="606"/>
      <c r="W381" s="606"/>
      <c r="X381" s="640"/>
      <c r="Y381" s="607"/>
      <c r="Z381" s="607"/>
      <c r="AA381" s="607"/>
      <c r="AB381" s="607"/>
      <c r="AC381" s="607"/>
      <c r="AD381" s="607"/>
      <c r="AE381" s="607"/>
      <c r="AF381" s="607"/>
      <c r="AG381" s="607"/>
      <c r="AH381" s="607"/>
      <c r="AI381" s="607"/>
      <c r="AJ381" s="607"/>
      <c r="AK381" s="607"/>
      <c r="AL381" s="606"/>
      <c r="AM381" s="606"/>
      <c r="AN381" s="606"/>
      <c r="AO381" s="606"/>
    </row>
    <row r="382" spans="1:41" ht="11.25" hidden="1" customHeight="1">
      <c r="A382" s="608"/>
      <c r="B382" s="607"/>
      <c r="C382" s="607"/>
      <c r="D382" s="607"/>
      <c r="E382" s="607"/>
      <c r="F382" s="607"/>
      <c r="G382" s="606"/>
      <c r="H382" s="606"/>
      <c r="I382" s="606"/>
      <c r="J382" s="606"/>
      <c r="K382" s="606"/>
      <c r="L382" s="606"/>
      <c r="M382" s="606"/>
      <c r="N382" s="606"/>
      <c r="O382" s="606"/>
      <c r="P382" s="606"/>
      <c r="Q382" s="606"/>
      <c r="R382" s="606"/>
      <c r="S382" s="606"/>
      <c r="T382" s="606"/>
      <c r="U382" s="606"/>
      <c r="V382" s="606"/>
      <c r="W382" s="606"/>
      <c r="X382" s="640"/>
      <c r="Y382" s="607"/>
      <c r="Z382" s="607"/>
      <c r="AA382" s="607"/>
      <c r="AB382" s="607"/>
      <c r="AC382" s="607"/>
      <c r="AD382" s="607"/>
      <c r="AE382" s="607"/>
      <c r="AF382" s="607"/>
      <c r="AG382" s="607"/>
      <c r="AH382" s="607"/>
      <c r="AI382" s="607"/>
      <c r="AJ382" s="607"/>
      <c r="AK382" s="607"/>
      <c r="AL382" s="606"/>
      <c r="AM382" s="606"/>
      <c r="AN382" s="606"/>
      <c r="AO382" s="606"/>
    </row>
    <row r="383" spans="1:41" ht="11.25" hidden="1" customHeight="1">
      <c r="A383" s="608"/>
      <c r="B383" s="607"/>
      <c r="C383" s="607"/>
      <c r="D383" s="607"/>
      <c r="E383" s="607"/>
      <c r="F383" s="607"/>
      <c r="G383" s="606"/>
      <c r="H383" s="606"/>
      <c r="I383" s="606"/>
      <c r="J383" s="606"/>
      <c r="K383" s="606"/>
      <c r="L383" s="606"/>
      <c r="M383" s="606"/>
      <c r="N383" s="606"/>
      <c r="O383" s="606"/>
      <c r="P383" s="606"/>
      <c r="Q383" s="606"/>
      <c r="R383" s="606"/>
      <c r="S383" s="606"/>
      <c r="T383" s="606"/>
      <c r="U383" s="606"/>
      <c r="V383" s="606"/>
      <c r="W383" s="606"/>
      <c r="X383" s="640"/>
      <c r="Y383" s="607"/>
      <c r="Z383" s="607"/>
      <c r="AA383" s="607"/>
      <c r="AB383" s="607"/>
      <c r="AC383" s="607"/>
      <c r="AD383" s="607"/>
      <c r="AE383" s="607"/>
      <c r="AF383" s="607"/>
      <c r="AG383" s="607"/>
      <c r="AH383" s="607"/>
      <c r="AI383" s="607"/>
      <c r="AJ383" s="607"/>
      <c r="AK383" s="607"/>
      <c r="AL383" s="606"/>
      <c r="AM383" s="606"/>
      <c r="AN383" s="606"/>
      <c r="AO383" s="606"/>
    </row>
    <row r="384" spans="1:41" ht="11.25" hidden="1" customHeight="1">
      <c r="A384" s="608"/>
      <c r="B384" s="607"/>
      <c r="C384" s="607"/>
      <c r="D384" s="607"/>
      <c r="E384" s="607"/>
      <c r="F384" s="607"/>
      <c r="G384" s="606"/>
      <c r="H384" s="606"/>
      <c r="I384" s="606"/>
      <c r="J384" s="606"/>
      <c r="K384" s="606"/>
      <c r="L384" s="606"/>
      <c r="M384" s="606"/>
      <c r="N384" s="606"/>
      <c r="O384" s="606"/>
      <c r="P384" s="606"/>
      <c r="Q384" s="606"/>
      <c r="R384" s="606"/>
      <c r="S384" s="606"/>
      <c r="T384" s="606"/>
      <c r="U384" s="606"/>
      <c r="V384" s="606"/>
      <c r="W384" s="606"/>
      <c r="X384" s="640"/>
      <c r="Y384" s="607"/>
      <c r="Z384" s="607"/>
      <c r="AA384" s="607"/>
      <c r="AB384" s="607"/>
      <c r="AC384" s="607"/>
      <c r="AD384" s="607"/>
      <c r="AE384" s="607"/>
      <c r="AF384" s="607"/>
      <c r="AG384" s="607"/>
      <c r="AH384" s="607"/>
      <c r="AI384" s="607"/>
      <c r="AJ384" s="607"/>
      <c r="AK384" s="607"/>
      <c r="AL384" s="606"/>
      <c r="AM384" s="606"/>
      <c r="AN384" s="606"/>
      <c r="AO384" s="606"/>
    </row>
    <row r="385" spans="1:41" ht="11.25" hidden="1" customHeight="1">
      <c r="A385" s="608"/>
      <c r="B385" s="607"/>
      <c r="C385" s="607"/>
      <c r="D385" s="607"/>
      <c r="E385" s="607"/>
      <c r="F385" s="607"/>
      <c r="G385" s="606"/>
      <c r="H385" s="606"/>
      <c r="I385" s="606"/>
      <c r="J385" s="606"/>
      <c r="K385" s="606"/>
      <c r="L385" s="606"/>
      <c r="M385" s="606"/>
      <c r="N385" s="606"/>
      <c r="O385" s="606"/>
      <c r="P385" s="606"/>
      <c r="Q385" s="606"/>
      <c r="R385" s="606"/>
      <c r="S385" s="606"/>
      <c r="T385" s="606"/>
      <c r="U385" s="606"/>
      <c r="V385" s="606"/>
      <c r="W385" s="606"/>
      <c r="X385" s="640"/>
      <c r="Y385" s="607"/>
      <c r="Z385" s="607"/>
      <c r="AA385" s="607"/>
      <c r="AB385" s="607"/>
      <c r="AC385" s="607"/>
      <c r="AD385" s="607"/>
      <c r="AE385" s="607"/>
      <c r="AF385" s="607"/>
      <c r="AG385" s="607"/>
      <c r="AH385" s="607"/>
      <c r="AI385" s="607"/>
      <c r="AJ385" s="607"/>
      <c r="AK385" s="607"/>
      <c r="AL385" s="606"/>
      <c r="AM385" s="606"/>
      <c r="AN385" s="606"/>
      <c r="AO385" s="606"/>
    </row>
    <row r="386" spans="1:41" ht="11.25" hidden="1" customHeight="1">
      <c r="A386" s="608"/>
      <c r="B386" s="607"/>
      <c r="C386" s="607"/>
      <c r="D386" s="607"/>
      <c r="E386" s="607"/>
      <c r="F386" s="607"/>
      <c r="G386" s="606"/>
      <c r="H386" s="606"/>
      <c r="I386" s="606"/>
      <c r="J386" s="606"/>
      <c r="K386" s="606"/>
      <c r="L386" s="606"/>
      <c r="M386" s="606"/>
      <c r="N386" s="606"/>
      <c r="O386" s="606"/>
      <c r="P386" s="606"/>
      <c r="Q386" s="606"/>
      <c r="R386" s="606"/>
      <c r="S386" s="606"/>
      <c r="T386" s="606"/>
      <c r="U386" s="606"/>
      <c r="V386" s="606"/>
      <c r="W386" s="606"/>
      <c r="X386" s="640"/>
      <c r="Y386" s="607"/>
      <c r="Z386" s="607"/>
      <c r="AA386" s="607"/>
      <c r="AB386" s="607"/>
      <c r="AC386" s="607"/>
      <c r="AD386" s="607"/>
      <c r="AE386" s="607"/>
      <c r="AF386" s="607"/>
      <c r="AG386" s="607"/>
      <c r="AH386" s="607"/>
      <c r="AI386" s="607"/>
      <c r="AJ386" s="607"/>
      <c r="AK386" s="607"/>
      <c r="AL386" s="606"/>
      <c r="AM386" s="606"/>
      <c r="AN386" s="606"/>
      <c r="AO386" s="606"/>
    </row>
    <row r="387" spans="1:41" ht="11.25" hidden="1" customHeight="1">
      <c r="A387" s="608"/>
      <c r="B387" s="607"/>
      <c r="C387" s="607"/>
      <c r="D387" s="607"/>
      <c r="E387" s="607"/>
      <c r="F387" s="607"/>
      <c r="G387" s="606"/>
      <c r="H387" s="606"/>
      <c r="I387" s="606"/>
      <c r="J387" s="606"/>
      <c r="K387" s="606"/>
      <c r="L387" s="606"/>
      <c r="M387" s="606"/>
      <c r="N387" s="606"/>
      <c r="O387" s="606"/>
      <c r="P387" s="606"/>
      <c r="Q387" s="606"/>
      <c r="R387" s="606"/>
      <c r="S387" s="606"/>
      <c r="T387" s="606"/>
      <c r="U387" s="606"/>
      <c r="V387" s="606"/>
      <c r="W387" s="606"/>
      <c r="X387" s="640"/>
      <c r="Y387" s="607"/>
      <c r="Z387" s="607"/>
      <c r="AA387" s="607"/>
      <c r="AB387" s="607"/>
      <c r="AC387" s="607"/>
      <c r="AD387" s="607"/>
      <c r="AE387" s="607"/>
      <c r="AF387" s="607"/>
      <c r="AG387" s="607"/>
      <c r="AH387" s="607"/>
      <c r="AI387" s="607"/>
      <c r="AJ387" s="607"/>
      <c r="AK387" s="607"/>
      <c r="AL387" s="606"/>
      <c r="AM387" s="606"/>
      <c r="AN387" s="606"/>
      <c r="AO387" s="606"/>
    </row>
    <row r="388" spans="1:41" ht="11.25" hidden="1" customHeight="1">
      <c r="A388" s="608"/>
      <c r="B388" s="607"/>
      <c r="C388" s="607"/>
      <c r="D388" s="607"/>
      <c r="E388" s="607"/>
      <c r="F388" s="607"/>
      <c r="G388" s="606"/>
      <c r="H388" s="606"/>
      <c r="I388" s="606"/>
      <c r="J388" s="606"/>
      <c r="K388" s="606"/>
      <c r="L388" s="606"/>
      <c r="M388" s="606"/>
      <c r="N388" s="606"/>
      <c r="O388" s="606"/>
      <c r="P388" s="606"/>
      <c r="Q388" s="606"/>
      <c r="R388" s="606"/>
      <c r="S388" s="606"/>
      <c r="T388" s="606"/>
      <c r="U388" s="606"/>
      <c r="V388" s="606"/>
      <c r="W388" s="606"/>
      <c r="X388" s="640"/>
      <c r="Y388" s="607"/>
      <c r="Z388" s="607"/>
      <c r="AA388" s="607"/>
      <c r="AB388" s="607"/>
      <c r="AC388" s="607"/>
      <c r="AD388" s="607"/>
      <c r="AE388" s="607"/>
      <c r="AF388" s="607"/>
      <c r="AG388" s="607"/>
      <c r="AH388" s="607"/>
      <c r="AI388" s="607"/>
      <c r="AJ388" s="607"/>
      <c r="AK388" s="607"/>
      <c r="AL388" s="606"/>
      <c r="AM388" s="606"/>
      <c r="AN388" s="606"/>
      <c r="AO388" s="606"/>
    </row>
    <row r="389" spans="1:41" ht="11.25" hidden="1" customHeight="1">
      <c r="A389" s="608"/>
      <c r="B389" s="607"/>
      <c r="C389" s="607"/>
      <c r="D389" s="607"/>
      <c r="E389" s="607"/>
      <c r="F389" s="607"/>
      <c r="G389" s="606"/>
      <c r="H389" s="606"/>
      <c r="I389" s="606"/>
      <c r="J389" s="606"/>
      <c r="K389" s="606"/>
      <c r="L389" s="606"/>
      <c r="M389" s="606"/>
      <c r="N389" s="606"/>
      <c r="O389" s="606"/>
      <c r="P389" s="606"/>
      <c r="Q389" s="606"/>
      <c r="R389" s="606"/>
      <c r="S389" s="606"/>
      <c r="T389" s="606"/>
      <c r="U389" s="606"/>
      <c r="V389" s="606"/>
      <c r="W389" s="606"/>
      <c r="X389" s="640"/>
      <c r="Y389" s="607"/>
      <c r="Z389" s="607"/>
      <c r="AA389" s="607"/>
      <c r="AB389" s="607"/>
      <c r="AC389" s="607"/>
      <c r="AD389" s="607"/>
      <c r="AE389" s="607"/>
      <c r="AF389" s="607"/>
      <c r="AG389" s="607"/>
      <c r="AH389" s="607"/>
      <c r="AI389" s="607"/>
      <c r="AJ389" s="607"/>
      <c r="AK389" s="607"/>
      <c r="AL389" s="606"/>
      <c r="AM389" s="606"/>
      <c r="AN389" s="606"/>
      <c r="AO389" s="606"/>
    </row>
    <row r="390" spans="1:41" ht="11.25" hidden="1" customHeight="1">
      <c r="A390" s="608"/>
      <c r="B390" s="607"/>
      <c r="C390" s="607"/>
      <c r="D390" s="607"/>
      <c r="E390" s="607"/>
      <c r="F390" s="607"/>
      <c r="G390" s="606"/>
      <c r="H390" s="606"/>
      <c r="I390" s="606"/>
      <c r="J390" s="606"/>
      <c r="K390" s="606"/>
      <c r="L390" s="606"/>
      <c r="M390" s="606"/>
      <c r="N390" s="606"/>
      <c r="O390" s="606"/>
      <c r="P390" s="606"/>
      <c r="Q390" s="606"/>
      <c r="R390" s="606"/>
      <c r="S390" s="606"/>
      <c r="T390" s="606"/>
      <c r="U390" s="606"/>
      <c r="V390" s="606"/>
      <c r="W390" s="606"/>
      <c r="X390" s="640"/>
      <c r="Y390" s="607"/>
      <c r="Z390" s="607"/>
      <c r="AA390" s="607"/>
      <c r="AB390" s="607"/>
      <c r="AC390" s="607"/>
      <c r="AD390" s="607"/>
      <c r="AE390" s="607"/>
      <c r="AF390" s="607"/>
      <c r="AG390" s="607"/>
      <c r="AH390" s="607"/>
      <c r="AI390" s="607"/>
      <c r="AJ390" s="607"/>
      <c r="AK390" s="607"/>
      <c r="AL390" s="606"/>
      <c r="AM390" s="606"/>
      <c r="AN390" s="606"/>
      <c r="AO390" s="606"/>
    </row>
    <row r="391" spans="1:41" ht="11.25" hidden="1" customHeight="1">
      <c r="A391" s="608"/>
      <c r="B391" s="607"/>
      <c r="C391" s="607"/>
      <c r="D391" s="607"/>
      <c r="E391" s="607"/>
      <c r="F391" s="607"/>
      <c r="G391" s="606"/>
      <c r="H391" s="606"/>
      <c r="I391" s="606"/>
      <c r="J391" s="606"/>
      <c r="K391" s="606"/>
      <c r="L391" s="606"/>
      <c r="M391" s="606"/>
      <c r="N391" s="606"/>
      <c r="O391" s="606"/>
      <c r="P391" s="606"/>
      <c r="Q391" s="606"/>
      <c r="R391" s="606"/>
      <c r="S391" s="606"/>
      <c r="T391" s="606"/>
      <c r="U391" s="606"/>
      <c r="V391" s="606"/>
      <c r="W391" s="606"/>
      <c r="X391" s="640"/>
      <c r="Y391" s="607"/>
      <c r="Z391" s="607"/>
      <c r="AA391" s="607"/>
      <c r="AB391" s="607"/>
      <c r="AC391" s="607"/>
      <c r="AD391" s="607"/>
      <c r="AE391" s="607"/>
      <c r="AF391" s="607"/>
      <c r="AG391" s="607"/>
      <c r="AH391" s="607"/>
      <c r="AI391" s="607"/>
      <c r="AJ391" s="607"/>
      <c r="AK391" s="607"/>
      <c r="AL391" s="606"/>
      <c r="AM391" s="606"/>
      <c r="AN391" s="606"/>
      <c r="AO391" s="606"/>
    </row>
    <row r="392" spans="1:41" ht="11.25" hidden="1" customHeight="1">
      <c r="A392" s="608"/>
      <c r="B392" s="607"/>
      <c r="C392" s="607"/>
      <c r="D392" s="607"/>
      <c r="E392" s="607"/>
      <c r="F392" s="607"/>
      <c r="G392" s="606"/>
      <c r="H392" s="606"/>
      <c r="I392" s="606"/>
      <c r="J392" s="606"/>
      <c r="K392" s="606"/>
      <c r="L392" s="606"/>
      <c r="M392" s="606"/>
      <c r="N392" s="606"/>
      <c r="O392" s="606"/>
      <c r="P392" s="606"/>
      <c r="Q392" s="606"/>
      <c r="R392" s="606"/>
      <c r="S392" s="606"/>
      <c r="T392" s="606"/>
      <c r="U392" s="606"/>
      <c r="V392" s="606"/>
      <c r="W392" s="606"/>
      <c r="X392" s="640"/>
      <c r="Y392" s="607"/>
      <c r="Z392" s="607"/>
      <c r="AA392" s="607"/>
      <c r="AB392" s="607"/>
      <c r="AC392" s="607"/>
      <c r="AD392" s="607"/>
      <c r="AE392" s="607"/>
      <c r="AF392" s="607"/>
      <c r="AG392" s="607"/>
      <c r="AH392" s="607"/>
      <c r="AI392" s="607"/>
      <c r="AJ392" s="607"/>
      <c r="AK392" s="607"/>
      <c r="AL392" s="606"/>
      <c r="AM392" s="606"/>
      <c r="AN392" s="606"/>
      <c r="AO392" s="606"/>
    </row>
    <row r="393" spans="1:41" ht="11.25" hidden="1" customHeight="1">
      <c r="A393" s="608"/>
      <c r="B393" s="607"/>
      <c r="C393" s="607"/>
      <c r="D393" s="607"/>
      <c r="E393" s="607"/>
      <c r="F393" s="607"/>
      <c r="G393" s="606"/>
      <c r="H393" s="606"/>
      <c r="I393" s="606"/>
      <c r="J393" s="606"/>
      <c r="K393" s="606"/>
      <c r="L393" s="606"/>
      <c r="M393" s="606"/>
      <c r="N393" s="606"/>
      <c r="O393" s="606"/>
      <c r="P393" s="606"/>
      <c r="Q393" s="606"/>
      <c r="R393" s="606"/>
      <c r="S393" s="606"/>
      <c r="T393" s="606"/>
      <c r="U393" s="606"/>
      <c r="V393" s="606"/>
      <c r="W393" s="606"/>
      <c r="X393" s="640"/>
      <c r="Y393" s="607"/>
      <c r="Z393" s="607"/>
      <c r="AA393" s="607"/>
      <c r="AB393" s="607"/>
      <c r="AC393" s="607"/>
      <c r="AD393" s="607"/>
      <c r="AE393" s="607"/>
      <c r="AF393" s="607"/>
      <c r="AG393" s="607"/>
      <c r="AH393" s="607"/>
      <c r="AI393" s="607"/>
      <c r="AJ393" s="607"/>
      <c r="AK393" s="607"/>
      <c r="AL393" s="606"/>
      <c r="AM393" s="606"/>
      <c r="AN393" s="606"/>
      <c r="AO393" s="606"/>
    </row>
    <row r="394" spans="1:41" ht="11.25" hidden="1" customHeight="1">
      <c r="A394" s="608"/>
      <c r="B394" s="607"/>
      <c r="C394" s="607"/>
      <c r="D394" s="607"/>
      <c r="E394" s="607"/>
      <c r="F394" s="607"/>
      <c r="G394" s="606"/>
      <c r="H394" s="606"/>
      <c r="I394" s="606"/>
      <c r="J394" s="606"/>
      <c r="K394" s="606"/>
      <c r="L394" s="606"/>
      <c r="M394" s="606"/>
      <c r="N394" s="606"/>
      <c r="O394" s="606"/>
      <c r="P394" s="606"/>
      <c r="Q394" s="606"/>
      <c r="R394" s="606"/>
      <c r="S394" s="606"/>
      <c r="T394" s="606"/>
      <c r="U394" s="606"/>
      <c r="V394" s="606"/>
      <c r="W394" s="606"/>
      <c r="X394" s="640"/>
      <c r="Y394" s="607"/>
      <c r="Z394" s="607"/>
      <c r="AA394" s="607"/>
      <c r="AB394" s="607"/>
      <c r="AC394" s="607"/>
      <c r="AD394" s="607"/>
      <c r="AE394" s="607"/>
      <c r="AF394" s="607"/>
      <c r="AG394" s="607"/>
      <c r="AH394" s="607"/>
      <c r="AI394" s="607"/>
      <c r="AJ394" s="607"/>
      <c r="AK394" s="607"/>
      <c r="AL394" s="606"/>
      <c r="AM394" s="606"/>
      <c r="AN394" s="606"/>
      <c r="AO394" s="606"/>
    </row>
    <row r="395" spans="1:41" ht="11.25" hidden="1" customHeight="1">
      <c r="A395" s="608"/>
      <c r="B395" s="607"/>
      <c r="C395" s="607"/>
      <c r="D395" s="607"/>
      <c r="E395" s="607"/>
      <c r="F395" s="607"/>
      <c r="G395" s="606"/>
      <c r="H395" s="606"/>
      <c r="I395" s="606"/>
      <c r="J395" s="606"/>
      <c r="K395" s="606"/>
      <c r="L395" s="606"/>
      <c r="M395" s="606"/>
      <c r="N395" s="606"/>
      <c r="O395" s="606"/>
      <c r="P395" s="606"/>
      <c r="Q395" s="606"/>
      <c r="R395" s="606"/>
      <c r="S395" s="606"/>
      <c r="T395" s="606"/>
      <c r="U395" s="606"/>
      <c r="V395" s="606"/>
      <c r="W395" s="606"/>
      <c r="X395" s="640"/>
      <c r="Y395" s="607"/>
      <c r="Z395" s="607"/>
      <c r="AA395" s="607"/>
      <c r="AB395" s="607"/>
      <c r="AC395" s="607"/>
      <c r="AD395" s="607"/>
      <c r="AE395" s="607"/>
      <c r="AF395" s="607"/>
      <c r="AG395" s="607"/>
      <c r="AH395" s="607"/>
      <c r="AI395" s="607"/>
      <c r="AJ395" s="607"/>
      <c r="AK395" s="607"/>
      <c r="AL395" s="606"/>
      <c r="AM395" s="606"/>
      <c r="AN395" s="606"/>
      <c r="AO395" s="606"/>
    </row>
    <row r="396" spans="1:41" ht="11.25" hidden="1" customHeight="1">
      <c r="A396" s="608"/>
      <c r="B396" s="607"/>
      <c r="C396" s="607"/>
      <c r="D396" s="607"/>
      <c r="E396" s="607"/>
      <c r="F396" s="607"/>
      <c r="G396" s="606"/>
      <c r="H396" s="606"/>
      <c r="I396" s="606"/>
      <c r="J396" s="606"/>
      <c r="K396" s="606"/>
      <c r="L396" s="606"/>
      <c r="M396" s="606"/>
      <c r="N396" s="606"/>
      <c r="O396" s="606"/>
      <c r="P396" s="606"/>
      <c r="Q396" s="606"/>
      <c r="R396" s="606"/>
      <c r="S396" s="606"/>
      <c r="T396" s="606"/>
      <c r="U396" s="606"/>
      <c r="V396" s="606"/>
      <c r="W396" s="606"/>
      <c r="X396" s="640"/>
      <c r="Y396" s="607"/>
      <c r="Z396" s="607"/>
      <c r="AA396" s="607"/>
      <c r="AB396" s="607"/>
      <c r="AC396" s="607"/>
      <c r="AD396" s="607"/>
      <c r="AE396" s="607"/>
      <c r="AF396" s="607"/>
      <c r="AG396" s="607"/>
      <c r="AH396" s="607"/>
      <c r="AI396" s="607"/>
      <c r="AJ396" s="607"/>
      <c r="AK396" s="607"/>
      <c r="AL396" s="606"/>
      <c r="AM396" s="606"/>
      <c r="AN396" s="606"/>
      <c r="AO396" s="606"/>
    </row>
    <row r="397" spans="1:41" ht="11.25" hidden="1" customHeight="1">
      <c r="A397" s="608"/>
      <c r="B397" s="607"/>
      <c r="C397" s="607"/>
      <c r="D397" s="607"/>
      <c r="E397" s="607"/>
      <c r="F397" s="607"/>
      <c r="G397" s="606"/>
      <c r="H397" s="606"/>
      <c r="I397" s="606"/>
      <c r="J397" s="606"/>
      <c r="K397" s="606"/>
      <c r="L397" s="606"/>
      <c r="M397" s="606"/>
      <c r="N397" s="606"/>
      <c r="O397" s="606"/>
      <c r="P397" s="606"/>
      <c r="Q397" s="606"/>
      <c r="R397" s="606"/>
      <c r="S397" s="606"/>
      <c r="T397" s="606"/>
      <c r="U397" s="606"/>
      <c r="V397" s="606"/>
      <c r="W397" s="606"/>
      <c r="X397" s="640"/>
      <c r="Y397" s="607"/>
      <c r="Z397" s="607"/>
      <c r="AA397" s="607"/>
      <c r="AB397" s="607"/>
      <c r="AC397" s="607"/>
      <c r="AD397" s="607"/>
      <c r="AE397" s="607"/>
      <c r="AF397" s="607"/>
      <c r="AG397" s="607"/>
      <c r="AH397" s="607"/>
      <c r="AI397" s="607"/>
      <c r="AJ397" s="607"/>
      <c r="AK397" s="607"/>
      <c r="AL397" s="606"/>
      <c r="AM397" s="606"/>
      <c r="AN397" s="606"/>
      <c r="AO397" s="606"/>
    </row>
    <row r="398" spans="1:41" ht="11.25" hidden="1" customHeight="1">
      <c r="A398" s="608"/>
      <c r="B398" s="607"/>
      <c r="C398" s="607"/>
      <c r="D398" s="607"/>
      <c r="E398" s="607"/>
      <c r="F398" s="607"/>
      <c r="G398" s="606"/>
      <c r="H398" s="606"/>
      <c r="I398" s="606"/>
      <c r="J398" s="606"/>
      <c r="K398" s="606"/>
      <c r="L398" s="606"/>
      <c r="M398" s="606"/>
      <c r="N398" s="606"/>
      <c r="O398" s="606"/>
      <c r="P398" s="606"/>
      <c r="Q398" s="606"/>
      <c r="R398" s="606"/>
      <c r="S398" s="606"/>
      <c r="T398" s="606"/>
      <c r="U398" s="606"/>
      <c r="V398" s="606"/>
      <c r="W398" s="606"/>
      <c r="X398" s="640"/>
      <c r="Y398" s="607"/>
      <c r="Z398" s="607"/>
      <c r="AA398" s="607"/>
      <c r="AB398" s="607"/>
      <c r="AC398" s="607"/>
      <c r="AD398" s="607"/>
      <c r="AE398" s="607"/>
      <c r="AF398" s="607"/>
      <c r="AG398" s="607"/>
      <c r="AH398" s="607"/>
      <c r="AI398" s="607"/>
      <c r="AJ398" s="607"/>
      <c r="AK398" s="607"/>
      <c r="AL398" s="606"/>
      <c r="AM398" s="606"/>
      <c r="AN398" s="606"/>
      <c r="AO398" s="606"/>
    </row>
    <row r="399" spans="1:41" ht="11.25" hidden="1" customHeight="1">
      <c r="A399" s="608"/>
      <c r="B399" s="607"/>
      <c r="C399" s="607"/>
      <c r="D399" s="607"/>
      <c r="E399" s="607"/>
      <c r="F399" s="607"/>
      <c r="G399" s="606"/>
      <c r="H399" s="606"/>
      <c r="I399" s="606"/>
      <c r="J399" s="606"/>
      <c r="K399" s="606"/>
      <c r="L399" s="606"/>
      <c r="M399" s="606"/>
      <c r="N399" s="606"/>
      <c r="O399" s="606"/>
      <c r="P399" s="606"/>
      <c r="Q399" s="606"/>
      <c r="R399" s="606"/>
      <c r="S399" s="606"/>
      <c r="T399" s="606"/>
      <c r="U399" s="606"/>
      <c r="V399" s="606"/>
      <c r="W399" s="606"/>
      <c r="X399" s="640"/>
      <c r="Y399" s="607"/>
      <c r="Z399" s="607"/>
      <c r="AA399" s="607"/>
      <c r="AB399" s="607"/>
      <c r="AC399" s="607"/>
      <c r="AD399" s="607"/>
      <c r="AE399" s="607"/>
      <c r="AF399" s="607"/>
      <c r="AG399" s="607"/>
      <c r="AH399" s="607"/>
      <c r="AI399" s="607"/>
      <c r="AJ399" s="607"/>
      <c r="AK399" s="607"/>
      <c r="AL399" s="606"/>
      <c r="AM399" s="606"/>
      <c r="AN399" s="606"/>
      <c r="AO399" s="606"/>
    </row>
    <row r="400" spans="1:41" ht="11.25" hidden="1" customHeight="1">
      <c r="A400" s="608"/>
      <c r="B400" s="607"/>
      <c r="C400" s="607"/>
      <c r="D400" s="607"/>
      <c r="E400" s="607"/>
      <c r="F400" s="607"/>
      <c r="G400" s="606"/>
      <c r="H400" s="606"/>
      <c r="I400" s="606"/>
      <c r="J400" s="606"/>
      <c r="K400" s="606"/>
      <c r="L400" s="606"/>
      <c r="M400" s="606"/>
      <c r="N400" s="606"/>
      <c r="O400" s="606"/>
      <c r="P400" s="606"/>
      <c r="Q400" s="606"/>
      <c r="R400" s="606"/>
      <c r="S400" s="606"/>
      <c r="T400" s="606"/>
      <c r="U400" s="606"/>
      <c r="V400" s="606"/>
      <c r="W400" s="606"/>
      <c r="X400" s="640"/>
      <c r="Y400" s="607"/>
      <c r="Z400" s="607"/>
      <c r="AA400" s="607"/>
      <c r="AB400" s="607"/>
      <c r="AC400" s="607"/>
      <c r="AD400" s="607"/>
      <c r="AE400" s="607"/>
      <c r="AF400" s="607"/>
      <c r="AG400" s="607"/>
      <c r="AH400" s="607"/>
      <c r="AI400" s="607"/>
      <c r="AJ400" s="607"/>
      <c r="AK400" s="607"/>
      <c r="AL400" s="606"/>
      <c r="AM400" s="606"/>
      <c r="AN400" s="606"/>
      <c r="AO400" s="606"/>
    </row>
    <row r="401" spans="1:41" ht="11.25" hidden="1" customHeight="1">
      <c r="A401" s="608"/>
      <c r="B401" s="607"/>
      <c r="C401" s="607"/>
      <c r="D401" s="607"/>
      <c r="E401" s="607"/>
      <c r="F401" s="607"/>
      <c r="G401" s="606"/>
      <c r="H401" s="606"/>
      <c r="I401" s="606"/>
      <c r="J401" s="606"/>
      <c r="K401" s="606"/>
      <c r="L401" s="606"/>
      <c r="M401" s="606"/>
      <c r="N401" s="606"/>
      <c r="O401" s="606"/>
      <c r="P401" s="606"/>
      <c r="Q401" s="606"/>
      <c r="R401" s="606"/>
      <c r="S401" s="606"/>
      <c r="T401" s="606"/>
      <c r="U401" s="606"/>
      <c r="V401" s="606"/>
      <c r="W401" s="606"/>
      <c r="X401" s="640"/>
      <c r="Y401" s="607"/>
      <c r="Z401" s="607"/>
      <c r="AA401" s="607"/>
      <c r="AB401" s="607"/>
      <c r="AC401" s="607"/>
      <c r="AD401" s="607"/>
      <c r="AE401" s="607"/>
      <c r="AF401" s="607"/>
      <c r="AG401" s="607"/>
      <c r="AH401" s="607"/>
      <c r="AI401" s="607"/>
      <c r="AJ401" s="607"/>
      <c r="AK401" s="607"/>
      <c r="AL401" s="606"/>
      <c r="AM401" s="606"/>
      <c r="AN401" s="606"/>
      <c r="AO401" s="606"/>
    </row>
    <row r="402" spans="1:41" ht="11.25" hidden="1" customHeight="1">
      <c r="A402" s="608"/>
      <c r="B402" s="607"/>
      <c r="C402" s="607"/>
      <c r="D402" s="607"/>
      <c r="E402" s="607"/>
      <c r="F402" s="607"/>
      <c r="G402" s="606"/>
      <c r="H402" s="606"/>
      <c r="I402" s="606"/>
      <c r="J402" s="606"/>
      <c r="K402" s="606"/>
      <c r="L402" s="606"/>
      <c r="M402" s="606"/>
      <c r="N402" s="606"/>
      <c r="O402" s="606"/>
      <c r="P402" s="606"/>
      <c r="Q402" s="606"/>
      <c r="R402" s="606"/>
      <c r="S402" s="606"/>
      <c r="T402" s="606"/>
      <c r="U402" s="606"/>
      <c r="V402" s="606"/>
      <c r="W402" s="606"/>
      <c r="X402" s="640"/>
      <c r="Y402" s="607"/>
      <c r="Z402" s="607"/>
      <c r="AA402" s="607"/>
      <c r="AB402" s="607"/>
      <c r="AC402" s="607"/>
      <c r="AD402" s="607"/>
      <c r="AE402" s="607"/>
      <c r="AF402" s="607"/>
      <c r="AG402" s="607"/>
      <c r="AH402" s="607"/>
      <c r="AI402" s="607"/>
      <c r="AJ402" s="607"/>
      <c r="AK402" s="607"/>
      <c r="AL402" s="606"/>
      <c r="AM402" s="606"/>
      <c r="AN402" s="606"/>
      <c r="AO402" s="606"/>
    </row>
    <row r="403" spans="1:41" ht="11.25" hidden="1" customHeight="1">
      <c r="A403" s="608"/>
      <c r="B403" s="607"/>
      <c r="C403" s="607"/>
      <c r="D403" s="607"/>
      <c r="E403" s="607"/>
      <c r="F403" s="607"/>
      <c r="G403" s="606"/>
      <c r="H403" s="606"/>
      <c r="I403" s="606"/>
      <c r="J403" s="606"/>
      <c r="K403" s="606"/>
      <c r="L403" s="606"/>
      <c r="M403" s="606"/>
      <c r="N403" s="606"/>
      <c r="O403" s="606"/>
      <c r="P403" s="606"/>
      <c r="Q403" s="606"/>
      <c r="R403" s="606"/>
      <c r="S403" s="606"/>
      <c r="T403" s="606"/>
      <c r="U403" s="606"/>
      <c r="V403" s="606"/>
      <c r="W403" s="606"/>
      <c r="X403" s="640"/>
      <c r="Y403" s="607"/>
      <c r="Z403" s="607"/>
      <c r="AA403" s="607"/>
      <c r="AB403" s="607"/>
      <c r="AC403" s="607"/>
      <c r="AD403" s="607"/>
      <c r="AE403" s="607"/>
      <c r="AF403" s="607"/>
      <c r="AG403" s="607"/>
      <c r="AH403" s="607"/>
      <c r="AI403" s="607"/>
      <c r="AJ403" s="607"/>
      <c r="AK403" s="607"/>
      <c r="AL403" s="606"/>
      <c r="AM403" s="606"/>
      <c r="AN403" s="606"/>
      <c r="AO403" s="606"/>
    </row>
    <row r="404" spans="1:41" ht="11.25" hidden="1" customHeight="1">
      <c r="A404" s="608"/>
      <c r="B404" s="607"/>
      <c r="C404" s="607"/>
      <c r="D404" s="607"/>
      <c r="E404" s="607"/>
      <c r="F404" s="607"/>
      <c r="G404" s="606"/>
      <c r="H404" s="606"/>
      <c r="I404" s="606"/>
      <c r="J404" s="606"/>
      <c r="K404" s="606"/>
      <c r="L404" s="606"/>
      <c r="M404" s="606"/>
      <c r="N404" s="606"/>
      <c r="O404" s="606"/>
      <c r="P404" s="606"/>
      <c r="Q404" s="606"/>
      <c r="R404" s="606"/>
      <c r="S404" s="606"/>
      <c r="T404" s="606"/>
      <c r="U404" s="606"/>
      <c r="V404" s="606"/>
      <c r="W404" s="606"/>
      <c r="X404" s="640"/>
      <c r="Y404" s="607"/>
      <c r="Z404" s="607"/>
      <c r="AA404" s="607"/>
      <c r="AB404" s="607"/>
      <c r="AC404" s="607"/>
      <c r="AD404" s="607"/>
      <c r="AE404" s="607"/>
      <c r="AF404" s="607"/>
      <c r="AG404" s="607"/>
      <c r="AH404" s="607"/>
      <c r="AI404" s="607"/>
      <c r="AJ404" s="607"/>
      <c r="AK404" s="607"/>
      <c r="AL404" s="606"/>
      <c r="AM404" s="606"/>
      <c r="AN404" s="606"/>
      <c r="AO404" s="606"/>
    </row>
    <row r="405" spans="1:41" ht="11.25" hidden="1" customHeight="1">
      <c r="A405" s="608"/>
      <c r="B405" s="607"/>
      <c r="C405" s="607"/>
      <c r="D405" s="607"/>
      <c r="E405" s="607"/>
      <c r="F405" s="607"/>
      <c r="G405" s="606"/>
      <c r="H405" s="606"/>
      <c r="I405" s="606"/>
      <c r="J405" s="606"/>
      <c r="K405" s="606"/>
      <c r="L405" s="606"/>
      <c r="M405" s="606"/>
      <c r="N405" s="606"/>
      <c r="O405" s="606"/>
      <c r="P405" s="606"/>
      <c r="Q405" s="606"/>
      <c r="R405" s="606"/>
      <c r="S405" s="606"/>
      <c r="T405" s="606"/>
      <c r="U405" s="606"/>
      <c r="V405" s="606"/>
      <c r="W405" s="606"/>
      <c r="X405" s="640"/>
      <c r="Y405" s="607"/>
      <c r="Z405" s="607"/>
      <c r="AA405" s="607"/>
      <c r="AB405" s="607"/>
      <c r="AC405" s="607"/>
      <c r="AD405" s="607"/>
      <c r="AE405" s="607"/>
      <c r="AF405" s="607"/>
      <c r="AG405" s="607"/>
      <c r="AH405" s="607"/>
      <c r="AI405" s="607"/>
      <c r="AJ405" s="607"/>
      <c r="AK405" s="607"/>
      <c r="AL405" s="606"/>
      <c r="AM405" s="606"/>
      <c r="AN405" s="606"/>
      <c r="AO405" s="606"/>
    </row>
    <row r="406" spans="1:41" ht="11.25" hidden="1" customHeight="1">
      <c r="A406" s="608"/>
      <c r="B406" s="607"/>
      <c r="C406" s="607"/>
      <c r="D406" s="607"/>
      <c r="E406" s="607"/>
      <c r="F406" s="607"/>
      <c r="G406" s="606"/>
      <c r="H406" s="606"/>
      <c r="I406" s="606"/>
      <c r="J406" s="606"/>
      <c r="K406" s="606"/>
      <c r="L406" s="606"/>
      <c r="M406" s="606"/>
      <c r="N406" s="606"/>
      <c r="O406" s="606"/>
      <c r="P406" s="606"/>
      <c r="Q406" s="606"/>
      <c r="R406" s="606"/>
      <c r="S406" s="606"/>
      <c r="T406" s="606"/>
      <c r="U406" s="606"/>
      <c r="V406" s="606"/>
      <c r="W406" s="606"/>
      <c r="X406" s="640"/>
      <c r="Y406" s="607"/>
      <c r="Z406" s="607"/>
      <c r="AA406" s="607"/>
      <c r="AB406" s="607"/>
      <c r="AC406" s="607"/>
      <c r="AD406" s="607"/>
      <c r="AE406" s="607"/>
      <c r="AF406" s="607"/>
      <c r="AG406" s="607"/>
      <c r="AH406" s="607"/>
      <c r="AI406" s="607"/>
      <c r="AJ406" s="607"/>
      <c r="AK406" s="607"/>
      <c r="AL406" s="606"/>
      <c r="AM406" s="606"/>
      <c r="AN406" s="606"/>
      <c r="AO406" s="606"/>
    </row>
    <row r="407" spans="1:41" ht="11.25" hidden="1" customHeight="1">
      <c r="A407" s="608"/>
      <c r="B407" s="607"/>
      <c r="C407" s="607"/>
      <c r="D407" s="607"/>
      <c r="E407" s="607"/>
      <c r="F407" s="607"/>
      <c r="G407" s="606"/>
      <c r="H407" s="606"/>
      <c r="I407" s="606"/>
      <c r="J407" s="606"/>
      <c r="K407" s="606"/>
      <c r="L407" s="606"/>
      <c r="M407" s="606"/>
      <c r="N407" s="606"/>
      <c r="O407" s="606"/>
      <c r="P407" s="606"/>
      <c r="Q407" s="606"/>
      <c r="R407" s="606"/>
      <c r="S407" s="606"/>
      <c r="T407" s="606"/>
      <c r="U407" s="606"/>
      <c r="V407" s="606"/>
      <c r="W407" s="606"/>
      <c r="X407" s="640"/>
      <c r="Y407" s="607"/>
      <c r="Z407" s="607"/>
      <c r="AA407" s="607"/>
      <c r="AB407" s="607"/>
      <c r="AC407" s="607"/>
      <c r="AD407" s="607"/>
      <c r="AE407" s="607"/>
      <c r="AF407" s="607"/>
      <c r="AG407" s="607"/>
      <c r="AH407" s="607"/>
      <c r="AI407" s="607"/>
      <c r="AJ407" s="607"/>
      <c r="AK407" s="607"/>
      <c r="AL407" s="606"/>
      <c r="AM407" s="606"/>
      <c r="AN407" s="606"/>
      <c r="AO407" s="606"/>
    </row>
    <row r="408" spans="1:41" ht="11.25" hidden="1" customHeight="1">
      <c r="A408" s="608"/>
      <c r="B408" s="607"/>
      <c r="C408" s="607"/>
      <c r="D408" s="607"/>
      <c r="E408" s="607"/>
      <c r="F408" s="607"/>
      <c r="G408" s="606"/>
      <c r="H408" s="606"/>
      <c r="I408" s="606"/>
      <c r="J408" s="606"/>
      <c r="K408" s="606"/>
      <c r="L408" s="606"/>
      <c r="M408" s="606"/>
      <c r="N408" s="606"/>
      <c r="O408" s="606"/>
      <c r="P408" s="606"/>
      <c r="Q408" s="606"/>
      <c r="R408" s="606"/>
      <c r="S408" s="606"/>
      <c r="T408" s="606"/>
      <c r="U408" s="606"/>
      <c r="V408" s="606"/>
      <c r="W408" s="606"/>
      <c r="X408" s="640"/>
      <c r="Y408" s="607"/>
      <c r="Z408" s="607"/>
      <c r="AA408" s="607"/>
      <c r="AB408" s="607"/>
      <c r="AC408" s="607"/>
      <c r="AD408" s="607"/>
      <c r="AE408" s="607"/>
      <c r="AF408" s="607"/>
      <c r="AG408" s="607"/>
      <c r="AH408" s="607"/>
      <c r="AI408" s="607"/>
      <c r="AJ408" s="607"/>
      <c r="AK408" s="607"/>
      <c r="AL408" s="606"/>
      <c r="AM408" s="606"/>
      <c r="AN408" s="606"/>
      <c r="AO408" s="606"/>
    </row>
    <row r="409" spans="1:41" ht="11.25" hidden="1" customHeight="1">
      <c r="A409" s="608"/>
      <c r="B409" s="607"/>
      <c r="C409" s="607"/>
      <c r="D409" s="607"/>
      <c r="E409" s="607"/>
      <c r="F409" s="607"/>
      <c r="G409" s="606"/>
      <c r="H409" s="606"/>
      <c r="I409" s="606"/>
      <c r="J409" s="606"/>
      <c r="K409" s="606"/>
      <c r="L409" s="606"/>
      <c r="M409" s="606"/>
      <c r="N409" s="606"/>
      <c r="O409" s="606"/>
      <c r="P409" s="606"/>
      <c r="Q409" s="606"/>
      <c r="R409" s="606"/>
      <c r="S409" s="606"/>
      <c r="T409" s="606"/>
      <c r="U409" s="606"/>
      <c r="V409" s="606"/>
      <c r="W409" s="606"/>
      <c r="X409" s="640"/>
      <c r="Y409" s="607"/>
      <c r="Z409" s="607"/>
      <c r="AA409" s="607"/>
      <c r="AB409" s="607"/>
      <c r="AC409" s="607"/>
      <c r="AD409" s="607"/>
      <c r="AE409" s="607"/>
      <c r="AF409" s="607"/>
      <c r="AG409" s="607"/>
      <c r="AH409" s="607"/>
      <c r="AI409" s="607"/>
      <c r="AJ409" s="607"/>
      <c r="AK409" s="607"/>
      <c r="AL409" s="606"/>
      <c r="AM409" s="606"/>
      <c r="AN409" s="606"/>
      <c r="AO409" s="606"/>
    </row>
    <row r="410" spans="1:41" ht="11.25" hidden="1" customHeight="1">
      <c r="A410" s="608"/>
      <c r="B410" s="607"/>
      <c r="C410" s="607"/>
      <c r="D410" s="607"/>
      <c r="E410" s="607"/>
      <c r="F410" s="607"/>
      <c r="G410" s="606"/>
      <c r="H410" s="606"/>
      <c r="I410" s="606"/>
      <c r="J410" s="606"/>
      <c r="K410" s="606"/>
      <c r="L410" s="606"/>
      <c r="M410" s="606"/>
      <c r="N410" s="606"/>
      <c r="O410" s="606"/>
      <c r="P410" s="606"/>
      <c r="Q410" s="606"/>
      <c r="R410" s="606"/>
      <c r="S410" s="606"/>
      <c r="T410" s="606"/>
      <c r="U410" s="606"/>
      <c r="V410" s="606"/>
      <c r="W410" s="606"/>
      <c r="X410" s="640"/>
      <c r="Y410" s="607"/>
      <c r="Z410" s="607"/>
      <c r="AA410" s="607"/>
      <c r="AB410" s="607"/>
      <c r="AC410" s="607"/>
      <c r="AD410" s="607"/>
      <c r="AE410" s="607"/>
      <c r="AF410" s="607"/>
      <c r="AG410" s="607"/>
      <c r="AH410" s="607"/>
      <c r="AI410" s="607"/>
      <c r="AJ410" s="607"/>
      <c r="AK410" s="607"/>
      <c r="AL410" s="606"/>
      <c r="AM410" s="606"/>
      <c r="AN410" s="606"/>
      <c r="AO410" s="606"/>
    </row>
    <row r="411" spans="1:41" ht="11.25" hidden="1" customHeight="1">
      <c r="A411" s="608"/>
      <c r="B411" s="607"/>
      <c r="C411" s="607"/>
      <c r="D411" s="607"/>
      <c r="E411" s="607"/>
      <c r="F411" s="607"/>
      <c r="G411" s="606"/>
      <c r="H411" s="606"/>
      <c r="I411" s="606"/>
      <c r="J411" s="606"/>
      <c r="K411" s="606"/>
      <c r="L411" s="606"/>
      <c r="M411" s="606"/>
      <c r="N411" s="606"/>
      <c r="O411" s="606"/>
      <c r="P411" s="606"/>
      <c r="Q411" s="606"/>
      <c r="R411" s="606"/>
      <c r="S411" s="606"/>
      <c r="T411" s="606"/>
      <c r="U411" s="606"/>
      <c r="V411" s="606"/>
      <c r="W411" s="606"/>
      <c r="X411" s="640"/>
      <c r="Y411" s="607"/>
      <c r="Z411" s="607"/>
      <c r="AA411" s="607"/>
      <c r="AB411" s="607"/>
      <c r="AC411" s="607"/>
      <c r="AD411" s="607"/>
      <c r="AE411" s="607"/>
      <c r="AF411" s="607"/>
      <c r="AG411" s="607"/>
      <c r="AH411" s="607"/>
      <c r="AI411" s="607"/>
      <c r="AJ411" s="607"/>
      <c r="AK411" s="607"/>
      <c r="AL411" s="606"/>
      <c r="AM411" s="606"/>
      <c r="AN411" s="606"/>
      <c r="AO411" s="606"/>
    </row>
    <row r="412" spans="1:41" ht="11.25" hidden="1" customHeight="1">
      <c r="A412" s="608"/>
      <c r="B412" s="607"/>
      <c r="C412" s="607"/>
      <c r="D412" s="607"/>
      <c r="E412" s="607"/>
      <c r="F412" s="607"/>
      <c r="G412" s="606"/>
      <c r="H412" s="606"/>
      <c r="I412" s="606"/>
      <c r="J412" s="606"/>
      <c r="K412" s="606"/>
      <c r="L412" s="606"/>
      <c r="M412" s="606"/>
      <c r="N412" s="606"/>
      <c r="O412" s="606"/>
      <c r="P412" s="606"/>
      <c r="Q412" s="606"/>
      <c r="R412" s="606"/>
      <c r="S412" s="606"/>
      <c r="T412" s="606"/>
      <c r="U412" s="606"/>
      <c r="V412" s="606"/>
      <c r="W412" s="606"/>
      <c r="X412" s="640"/>
      <c r="Y412" s="607"/>
      <c r="Z412" s="607"/>
      <c r="AA412" s="607"/>
      <c r="AB412" s="607"/>
      <c r="AC412" s="607"/>
      <c r="AD412" s="607"/>
      <c r="AE412" s="607"/>
      <c r="AF412" s="607"/>
      <c r="AG412" s="607"/>
      <c r="AH412" s="607"/>
      <c r="AI412" s="607"/>
      <c r="AJ412" s="607"/>
      <c r="AK412" s="607"/>
      <c r="AL412" s="606"/>
      <c r="AM412" s="606"/>
      <c r="AN412" s="606"/>
      <c r="AO412" s="606"/>
    </row>
    <row r="413" spans="1:41" ht="11.25" hidden="1" customHeight="1">
      <c r="A413" s="608"/>
      <c r="B413" s="607"/>
      <c r="C413" s="607"/>
      <c r="D413" s="607"/>
      <c r="E413" s="607"/>
      <c r="F413" s="607"/>
      <c r="G413" s="606"/>
      <c r="H413" s="606"/>
      <c r="I413" s="606"/>
      <c r="J413" s="606"/>
      <c r="K413" s="606"/>
      <c r="L413" s="606"/>
      <c r="M413" s="606"/>
      <c r="N413" s="606"/>
      <c r="O413" s="606"/>
      <c r="P413" s="606"/>
      <c r="Q413" s="606"/>
      <c r="R413" s="606"/>
      <c r="S413" s="606"/>
      <c r="T413" s="606"/>
      <c r="U413" s="606"/>
      <c r="V413" s="606"/>
      <c r="W413" s="606"/>
      <c r="X413" s="640"/>
      <c r="Y413" s="607"/>
      <c r="Z413" s="607"/>
      <c r="AA413" s="607"/>
      <c r="AB413" s="607"/>
      <c r="AC413" s="607"/>
      <c r="AD413" s="607"/>
      <c r="AE413" s="607"/>
      <c r="AF413" s="607"/>
      <c r="AG413" s="607"/>
      <c r="AH413" s="607"/>
      <c r="AI413" s="607"/>
      <c r="AJ413" s="607"/>
      <c r="AK413" s="607"/>
      <c r="AL413" s="606"/>
      <c r="AM413" s="606"/>
      <c r="AN413" s="606"/>
      <c r="AO413" s="606"/>
    </row>
    <row r="414" spans="1:41" ht="11.25" hidden="1" customHeight="1">
      <c r="A414" s="608"/>
      <c r="B414" s="607"/>
      <c r="C414" s="607"/>
      <c r="D414" s="607"/>
      <c r="E414" s="607"/>
      <c r="F414" s="607"/>
      <c r="G414" s="606"/>
      <c r="H414" s="606"/>
      <c r="I414" s="606"/>
      <c r="J414" s="606"/>
      <c r="K414" s="606"/>
      <c r="L414" s="606"/>
      <c r="M414" s="606"/>
      <c r="N414" s="606"/>
      <c r="O414" s="606"/>
      <c r="P414" s="606"/>
      <c r="Q414" s="606"/>
      <c r="R414" s="606"/>
      <c r="S414" s="606"/>
      <c r="T414" s="606"/>
      <c r="U414" s="606"/>
      <c r="V414" s="606"/>
      <c r="W414" s="606"/>
      <c r="X414" s="640"/>
      <c r="Y414" s="607"/>
      <c r="Z414" s="607"/>
      <c r="AA414" s="607"/>
      <c r="AB414" s="607"/>
      <c r="AC414" s="607"/>
      <c r="AD414" s="607"/>
      <c r="AE414" s="607"/>
      <c r="AF414" s="607"/>
      <c r="AG414" s="607"/>
      <c r="AH414" s="607"/>
      <c r="AI414" s="607"/>
      <c r="AJ414" s="607"/>
      <c r="AK414" s="607"/>
      <c r="AL414" s="606"/>
      <c r="AM414" s="606"/>
      <c r="AN414" s="606"/>
      <c r="AO414" s="606"/>
    </row>
    <row r="415" spans="1:41" ht="11.25" hidden="1" customHeight="1">
      <c r="A415" s="608"/>
      <c r="B415" s="607"/>
      <c r="C415" s="607"/>
      <c r="D415" s="607"/>
      <c r="E415" s="607"/>
      <c r="F415" s="607"/>
      <c r="G415" s="606"/>
      <c r="H415" s="606"/>
      <c r="I415" s="606"/>
      <c r="J415" s="606"/>
      <c r="K415" s="606"/>
      <c r="L415" s="606"/>
      <c r="M415" s="606"/>
      <c r="N415" s="606"/>
      <c r="O415" s="606"/>
      <c r="P415" s="606"/>
      <c r="Q415" s="606"/>
      <c r="R415" s="606"/>
      <c r="S415" s="606"/>
      <c r="T415" s="606"/>
      <c r="U415" s="606"/>
      <c r="V415" s="606"/>
      <c r="W415" s="606"/>
      <c r="X415" s="640"/>
      <c r="Y415" s="607"/>
      <c r="Z415" s="607"/>
      <c r="AA415" s="607"/>
      <c r="AB415" s="607"/>
      <c r="AC415" s="607"/>
      <c r="AD415" s="607"/>
      <c r="AE415" s="607"/>
      <c r="AF415" s="607"/>
      <c r="AG415" s="607"/>
      <c r="AH415" s="607"/>
      <c r="AI415" s="607"/>
      <c r="AJ415" s="607"/>
      <c r="AK415" s="607"/>
      <c r="AL415" s="606"/>
      <c r="AM415" s="606"/>
      <c r="AN415" s="606"/>
      <c r="AO415" s="606"/>
    </row>
    <row r="416" spans="1:41" ht="11.25" hidden="1" customHeight="1">
      <c r="A416" s="608"/>
      <c r="B416" s="607"/>
      <c r="C416" s="607"/>
      <c r="D416" s="607"/>
      <c r="E416" s="607"/>
      <c r="F416" s="607"/>
      <c r="G416" s="606"/>
      <c r="H416" s="606"/>
      <c r="I416" s="606"/>
      <c r="J416" s="606"/>
      <c r="K416" s="606"/>
      <c r="L416" s="606"/>
      <c r="M416" s="606"/>
      <c r="N416" s="606"/>
      <c r="O416" s="606"/>
      <c r="P416" s="606"/>
      <c r="Q416" s="606"/>
      <c r="R416" s="606"/>
      <c r="S416" s="606"/>
      <c r="T416" s="606"/>
      <c r="U416" s="606"/>
      <c r="V416" s="606"/>
      <c r="W416" s="606"/>
      <c r="X416" s="640"/>
      <c r="Y416" s="607"/>
      <c r="Z416" s="607"/>
      <c r="AA416" s="607"/>
      <c r="AB416" s="607"/>
      <c r="AC416" s="607"/>
      <c r="AD416" s="607"/>
      <c r="AE416" s="607"/>
      <c r="AF416" s="607"/>
      <c r="AG416" s="607"/>
      <c r="AH416" s="607"/>
      <c r="AI416" s="607"/>
      <c r="AJ416" s="607"/>
      <c r="AK416" s="607"/>
      <c r="AL416" s="606"/>
      <c r="AM416" s="606"/>
      <c r="AN416" s="606"/>
      <c r="AO416" s="606"/>
    </row>
    <row r="417" spans="1:41" ht="11.25" hidden="1" customHeight="1">
      <c r="A417" s="608"/>
      <c r="B417" s="607"/>
      <c r="C417" s="607"/>
      <c r="D417" s="607"/>
      <c r="E417" s="607"/>
      <c r="F417" s="607"/>
      <c r="G417" s="606"/>
      <c r="H417" s="606"/>
      <c r="I417" s="606"/>
      <c r="J417" s="606"/>
      <c r="K417" s="606"/>
      <c r="L417" s="606"/>
      <c r="M417" s="606"/>
      <c r="N417" s="606"/>
      <c r="O417" s="606"/>
      <c r="P417" s="606"/>
      <c r="Q417" s="606"/>
      <c r="R417" s="606"/>
      <c r="S417" s="606"/>
      <c r="T417" s="606"/>
      <c r="U417" s="606"/>
      <c r="V417" s="606"/>
      <c r="W417" s="606"/>
      <c r="X417" s="640"/>
      <c r="Y417" s="607"/>
      <c r="Z417" s="607"/>
      <c r="AA417" s="607"/>
      <c r="AB417" s="607"/>
      <c r="AC417" s="607"/>
      <c r="AD417" s="607"/>
      <c r="AE417" s="607"/>
      <c r="AF417" s="607"/>
      <c r="AG417" s="607"/>
      <c r="AH417" s="607"/>
      <c r="AI417" s="607"/>
      <c r="AJ417" s="607"/>
      <c r="AK417" s="607"/>
      <c r="AL417" s="606"/>
      <c r="AM417" s="606"/>
      <c r="AN417" s="606"/>
      <c r="AO417" s="606"/>
    </row>
    <row r="418" spans="1:41" ht="11.25" hidden="1" customHeight="1">
      <c r="A418" s="608"/>
      <c r="B418" s="607"/>
      <c r="C418" s="607"/>
      <c r="D418" s="607"/>
      <c r="E418" s="607"/>
      <c r="F418" s="607"/>
      <c r="G418" s="606"/>
      <c r="H418" s="606"/>
      <c r="I418" s="606"/>
      <c r="J418" s="606"/>
      <c r="K418" s="606"/>
      <c r="L418" s="606"/>
      <c r="M418" s="606"/>
      <c r="N418" s="606"/>
      <c r="O418" s="606"/>
      <c r="P418" s="606"/>
      <c r="Q418" s="606"/>
      <c r="R418" s="606"/>
      <c r="S418" s="606"/>
      <c r="T418" s="606"/>
      <c r="U418" s="606"/>
      <c r="V418" s="606"/>
      <c r="W418" s="606"/>
      <c r="X418" s="640"/>
      <c r="Y418" s="607"/>
      <c r="Z418" s="607"/>
      <c r="AA418" s="607"/>
      <c r="AB418" s="607"/>
      <c r="AC418" s="607"/>
      <c r="AD418" s="607"/>
      <c r="AE418" s="607"/>
      <c r="AF418" s="607"/>
      <c r="AG418" s="607"/>
      <c r="AH418" s="607"/>
      <c r="AI418" s="607"/>
      <c r="AJ418" s="607"/>
      <c r="AK418" s="607"/>
      <c r="AL418" s="606"/>
      <c r="AM418" s="606"/>
      <c r="AN418" s="606"/>
      <c r="AO418" s="606"/>
    </row>
    <row r="419" spans="1:41" ht="11.25" hidden="1" customHeight="1">
      <c r="A419" s="608"/>
      <c r="B419" s="607"/>
      <c r="C419" s="607"/>
      <c r="D419" s="607"/>
      <c r="E419" s="607"/>
      <c r="F419" s="607"/>
      <c r="G419" s="606"/>
      <c r="H419" s="606"/>
      <c r="I419" s="606"/>
      <c r="J419" s="606"/>
      <c r="K419" s="606"/>
      <c r="L419" s="606"/>
      <c r="M419" s="606"/>
      <c r="N419" s="606"/>
      <c r="O419" s="606"/>
      <c r="P419" s="606"/>
      <c r="Q419" s="606"/>
      <c r="R419" s="606"/>
      <c r="S419" s="606"/>
      <c r="T419" s="606"/>
      <c r="U419" s="606"/>
      <c r="V419" s="606"/>
      <c r="W419" s="606"/>
      <c r="X419" s="640"/>
      <c r="Y419" s="607"/>
      <c r="Z419" s="607"/>
      <c r="AA419" s="607"/>
      <c r="AB419" s="607"/>
      <c r="AC419" s="607"/>
      <c r="AD419" s="607"/>
      <c r="AE419" s="607"/>
      <c r="AF419" s="607"/>
      <c r="AG419" s="607"/>
      <c r="AH419" s="607"/>
      <c r="AI419" s="607"/>
      <c r="AJ419" s="607"/>
      <c r="AK419" s="607"/>
      <c r="AL419" s="606"/>
      <c r="AM419" s="606"/>
      <c r="AN419" s="606"/>
      <c r="AO419" s="606"/>
    </row>
    <row r="420" spans="1:41" ht="11.25" hidden="1" customHeight="1">
      <c r="A420" s="608"/>
      <c r="B420" s="607"/>
      <c r="C420" s="607"/>
      <c r="D420" s="607"/>
      <c r="E420" s="607"/>
      <c r="F420" s="607"/>
      <c r="G420" s="606"/>
      <c r="H420" s="606"/>
      <c r="I420" s="606"/>
      <c r="J420" s="606"/>
      <c r="K420" s="606"/>
      <c r="L420" s="606"/>
      <c r="M420" s="606"/>
      <c r="N420" s="606"/>
      <c r="O420" s="606"/>
      <c r="P420" s="606"/>
      <c r="Q420" s="606"/>
      <c r="R420" s="606"/>
      <c r="S420" s="606"/>
      <c r="T420" s="606"/>
      <c r="U420" s="606"/>
      <c r="V420" s="606"/>
      <c r="W420" s="606"/>
      <c r="X420" s="640"/>
      <c r="Y420" s="607"/>
      <c r="Z420" s="607"/>
      <c r="AA420" s="607"/>
      <c r="AB420" s="607"/>
      <c r="AC420" s="607"/>
      <c r="AD420" s="607"/>
      <c r="AE420" s="607"/>
      <c r="AF420" s="607"/>
      <c r="AG420" s="607"/>
      <c r="AH420" s="607"/>
      <c r="AI420" s="607"/>
      <c r="AJ420" s="607"/>
      <c r="AK420" s="607"/>
      <c r="AL420" s="606"/>
      <c r="AM420" s="606"/>
      <c r="AN420" s="606"/>
      <c r="AO420" s="606"/>
    </row>
    <row r="421" spans="1:41" ht="11.25" hidden="1" customHeight="1">
      <c r="A421" s="608"/>
      <c r="B421" s="607"/>
      <c r="C421" s="607"/>
      <c r="D421" s="607"/>
      <c r="E421" s="607"/>
      <c r="F421" s="607"/>
      <c r="G421" s="606"/>
      <c r="H421" s="606"/>
      <c r="I421" s="606"/>
      <c r="J421" s="606"/>
      <c r="K421" s="606"/>
      <c r="L421" s="606"/>
      <c r="M421" s="606"/>
      <c r="N421" s="606"/>
      <c r="O421" s="606"/>
      <c r="P421" s="606"/>
      <c r="Q421" s="606"/>
      <c r="R421" s="606"/>
      <c r="S421" s="606"/>
      <c r="T421" s="606"/>
      <c r="U421" s="606"/>
      <c r="V421" s="606"/>
      <c r="W421" s="606"/>
      <c r="X421" s="640"/>
      <c r="Y421" s="607"/>
      <c r="Z421" s="607"/>
      <c r="AA421" s="607"/>
      <c r="AB421" s="607"/>
      <c r="AC421" s="607"/>
      <c r="AD421" s="607"/>
      <c r="AE421" s="607"/>
      <c r="AF421" s="607"/>
      <c r="AG421" s="607"/>
      <c r="AH421" s="607"/>
      <c r="AI421" s="607"/>
      <c r="AJ421" s="607"/>
      <c r="AK421" s="607"/>
      <c r="AL421" s="606"/>
      <c r="AM421" s="606"/>
      <c r="AN421" s="606"/>
      <c r="AO421" s="606"/>
    </row>
    <row r="422" spans="1:41" ht="11.25" hidden="1" customHeight="1">
      <c r="A422" s="608"/>
      <c r="B422" s="607"/>
      <c r="C422" s="607"/>
      <c r="D422" s="607"/>
      <c r="E422" s="607"/>
      <c r="F422" s="607"/>
      <c r="G422" s="606"/>
      <c r="H422" s="606"/>
      <c r="I422" s="606"/>
      <c r="J422" s="606"/>
      <c r="K422" s="606"/>
      <c r="L422" s="606"/>
      <c r="M422" s="606"/>
      <c r="N422" s="606"/>
      <c r="O422" s="606"/>
      <c r="P422" s="606"/>
      <c r="Q422" s="606"/>
      <c r="R422" s="606"/>
      <c r="S422" s="606"/>
      <c r="T422" s="606"/>
      <c r="U422" s="606"/>
      <c r="V422" s="606"/>
      <c r="W422" s="606"/>
      <c r="X422" s="640"/>
      <c r="Y422" s="607"/>
      <c r="Z422" s="607"/>
      <c r="AA422" s="607"/>
      <c r="AB422" s="607"/>
      <c r="AC422" s="607"/>
      <c r="AD422" s="607"/>
      <c r="AE422" s="607"/>
      <c r="AF422" s="607"/>
      <c r="AG422" s="607"/>
      <c r="AH422" s="607"/>
      <c r="AI422" s="607"/>
      <c r="AJ422" s="607"/>
      <c r="AK422" s="607"/>
      <c r="AL422" s="606"/>
      <c r="AM422" s="606"/>
      <c r="AN422" s="606"/>
      <c r="AO422" s="606"/>
    </row>
    <row r="423" spans="1:41" ht="11.25" hidden="1" customHeight="1">
      <c r="A423" s="608"/>
      <c r="B423" s="607"/>
      <c r="C423" s="607"/>
      <c r="D423" s="607"/>
      <c r="E423" s="607"/>
      <c r="F423" s="607"/>
      <c r="G423" s="606"/>
      <c r="H423" s="606"/>
      <c r="I423" s="606"/>
      <c r="J423" s="606"/>
      <c r="K423" s="606"/>
      <c r="L423" s="606"/>
      <c r="M423" s="606"/>
      <c r="N423" s="606"/>
      <c r="O423" s="606"/>
      <c r="P423" s="606"/>
      <c r="Q423" s="606"/>
      <c r="R423" s="606"/>
      <c r="S423" s="606"/>
      <c r="T423" s="606"/>
      <c r="U423" s="606"/>
      <c r="V423" s="606"/>
      <c r="W423" s="606"/>
      <c r="X423" s="640"/>
      <c r="Y423" s="607"/>
      <c r="Z423" s="607"/>
      <c r="AA423" s="607"/>
      <c r="AB423" s="607"/>
      <c r="AC423" s="607"/>
      <c r="AD423" s="607"/>
      <c r="AE423" s="607"/>
      <c r="AF423" s="607"/>
      <c r="AG423" s="607"/>
      <c r="AH423" s="607"/>
      <c r="AI423" s="607"/>
      <c r="AJ423" s="607"/>
      <c r="AK423" s="607"/>
      <c r="AL423" s="606"/>
      <c r="AM423" s="606"/>
      <c r="AN423" s="606"/>
      <c r="AO423" s="606"/>
    </row>
    <row r="424" spans="1:41" ht="11.25" hidden="1" customHeight="1">
      <c r="A424" s="608"/>
      <c r="B424" s="607"/>
      <c r="C424" s="607"/>
      <c r="D424" s="607"/>
      <c r="E424" s="607"/>
      <c r="F424" s="607"/>
      <c r="G424" s="606"/>
      <c r="H424" s="606"/>
      <c r="I424" s="606"/>
      <c r="J424" s="606"/>
      <c r="K424" s="606"/>
      <c r="L424" s="606"/>
      <c r="M424" s="606"/>
      <c r="N424" s="606"/>
      <c r="O424" s="606"/>
      <c r="P424" s="606"/>
      <c r="Q424" s="606"/>
      <c r="R424" s="606"/>
      <c r="S424" s="606"/>
      <c r="T424" s="606"/>
      <c r="U424" s="606"/>
      <c r="V424" s="606"/>
      <c r="W424" s="606"/>
      <c r="X424" s="640"/>
      <c r="Y424" s="607"/>
      <c r="Z424" s="607"/>
      <c r="AA424" s="607"/>
      <c r="AB424" s="607"/>
      <c r="AC424" s="607"/>
      <c r="AD424" s="607"/>
      <c r="AE424" s="607"/>
      <c r="AF424" s="607"/>
      <c r="AG424" s="607"/>
      <c r="AH424" s="607"/>
      <c r="AI424" s="607"/>
      <c r="AJ424" s="607"/>
      <c r="AK424" s="607"/>
      <c r="AL424" s="606"/>
      <c r="AM424" s="606"/>
      <c r="AN424" s="606"/>
      <c r="AO424" s="606"/>
    </row>
    <row r="425" spans="1:41" ht="11.25" hidden="1" customHeight="1">
      <c r="A425" s="608"/>
      <c r="B425" s="607"/>
      <c r="C425" s="607"/>
      <c r="D425" s="607"/>
      <c r="E425" s="607"/>
      <c r="F425" s="607"/>
      <c r="G425" s="606"/>
      <c r="H425" s="606"/>
      <c r="I425" s="606"/>
      <c r="J425" s="606"/>
      <c r="K425" s="606"/>
      <c r="L425" s="606"/>
      <c r="M425" s="606"/>
      <c r="N425" s="606"/>
      <c r="O425" s="606"/>
      <c r="P425" s="606"/>
      <c r="Q425" s="606"/>
      <c r="R425" s="606"/>
      <c r="S425" s="606"/>
      <c r="T425" s="606"/>
      <c r="U425" s="606"/>
      <c r="V425" s="606"/>
      <c r="W425" s="606"/>
      <c r="X425" s="640"/>
      <c r="Y425" s="607"/>
      <c r="Z425" s="607"/>
      <c r="AA425" s="607"/>
      <c r="AB425" s="607"/>
      <c r="AC425" s="607"/>
      <c r="AD425" s="607"/>
      <c r="AE425" s="607"/>
      <c r="AF425" s="607"/>
      <c r="AG425" s="607"/>
      <c r="AH425" s="607"/>
      <c r="AI425" s="607"/>
      <c r="AJ425" s="607"/>
      <c r="AK425" s="607"/>
      <c r="AL425" s="606"/>
      <c r="AM425" s="606"/>
      <c r="AN425" s="606"/>
      <c r="AO425" s="606"/>
    </row>
    <row r="426" spans="1:41" ht="11.25" hidden="1" customHeight="1">
      <c r="A426" s="608"/>
      <c r="B426" s="607"/>
      <c r="C426" s="607"/>
      <c r="D426" s="607"/>
      <c r="E426" s="607"/>
      <c r="F426" s="607"/>
      <c r="G426" s="606"/>
      <c r="H426" s="606"/>
      <c r="I426" s="606"/>
      <c r="J426" s="606"/>
      <c r="K426" s="606"/>
      <c r="L426" s="606"/>
      <c r="M426" s="606"/>
      <c r="N426" s="606"/>
      <c r="O426" s="606"/>
      <c r="P426" s="606"/>
      <c r="Q426" s="606"/>
      <c r="R426" s="606"/>
      <c r="S426" s="606"/>
      <c r="T426" s="606"/>
      <c r="U426" s="606"/>
      <c r="V426" s="606"/>
      <c r="W426" s="606"/>
      <c r="X426" s="640"/>
      <c r="Y426" s="607"/>
      <c r="Z426" s="607"/>
      <c r="AA426" s="607"/>
      <c r="AB426" s="607"/>
      <c r="AC426" s="607"/>
      <c r="AD426" s="607"/>
      <c r="AE426" s="607"/>
      <c r="AF426" s="607"/>
      <c r="AG426" s="607"/>
      <c r="AH426" s="607"/>
      <c r="AI426" s="607"/>
      <c r="AJ426" s="607"/>
      <c r="AK426" s="607"/>
      <c r="AL426" s="606"/>
      <c r="AM426" s="606"/>
      <c r="AN426" s="606"/>
      <c r="AO426" s="606"/>
    </row>
    <row r="427" spans="1:41" ht="11.25" hidden="1" customHeight="1">
      <c r="A427" s="608"/>
      <c r="B427" s="607"/>
      <c r="C427" s="607"/>
      <c r="D427" s="607"/>
      <c r="E427" s="607"/>
      <c r="F427" s="607"/>
      <c r="G427" s="606"/>
      <c r="H427" s="606"/>
      <c r="I427" s="606"/>
      <c r="J427" s="606"/>
      <c r="K427" s="606"/>
      <c r="L427" s="606"/>
      <c r="M427" s="606"/>
      <c r="N427" s="606"/>
      <c r="O427" s="606"/>
      <c r="P427" s="606"/>
      <c r="Q427" s="606"/>
      <c r="R427" s="606"/>
      <c r="S427" s="606"/>
      <c r="T427" s="606"/>
      <c r="U427" s="606"/>
      <c r="V427" s="606"/>
      <c r="W427" s="606"/>
      <c r="X427" s="640"/>
      <c r="Y427" s="607"/>
      <c r="Z427" s="607"/>
      <c r="AA427" s="607"/>
      <c r="AB427" s="607"/>
      <c r="AC427" s="607"/>
      <c r="AD427" s="607"/>
      <c r="AE427" s="607"/>
      <c r="AF427" s="607"/>
      <c r="AG427" s="607"/>
      <c r="AH427" s="607"/>
      <c r="AI427" s="607"/>
      <c r="AJ427" s="607"/>
      <c r="AK427" s="607"/>
      <c r="AL427" s="606"/>
      <c r="AM427" s="606"/>
      <c r="AN427" s="606"/>
      <c r="AO427" s="606"/>
    </row>
    <row r="428" spans="1:41" ht="11.25" hidden="1" customHeight="1">
      <c r="A428" s="608"/>
      <c r="B428" s="607"/>
      <c r="C428" s="607"/>
      <c r="D428" s="607"/>
      <c r="E428" s="607"/>
      <c r="F428" s="607"/>
      <c r="G428" s="606"/>
      <c r="H428" s="606"/>
      <c r="I428" s="606"/>
      <c r="J428" s="606"/>
      <c r="K428" s="606"/>
      <c r="L428" s="606"/>
      <c r="M428" s="606"/>
      <c r="N428" s="606"/>
      <c r="O428" s="606"/>
      <c r="P428" s="606"/>
      <c r="Q428" s="606"/>
      <c r="R428" s="606"/>
      <c r="S428" s="606"/>
      <c r="T428" s="606"/>
      <c r="U428" s="606"/>
      <c r="V428" s="606"/>
      <c r="W428" s="606"/>
      <c r="X428" s="640"/>
      <c r="Y428" s="607"/>
      <c r="Z428" s="607"/>
      <c r="AA428" s="607"/>
      <c r="AB428" s="607"/>
      <c r="AC428" s="607"/>
      <c r="AD428" s="607"/>
      <c r="AE428" s="607"/>
      <c r="AF428" s="607"/>
      <c r="AG428" s="607"/>
      <c r="AH428" s="607"/>
      <c r="AI428" s="607"/>
      <c r="AJ428" s="607"/>
      <c r="AK428" s="607"/>
      <c r="AL428" s="606"/>
      <c r="AM428" s="606"/>
      <c r="AN428" s="606"/>
      <c r="AO428" s="606"/>
    </row>
    <row r="429" spans="1:41" ht="11.25" hidden="1" customHeight="1">
      <c r="A429" s="608"/>
      <c r="B429" s="607"/>
      <c r="C429" s="607"/>
      <c r="D429" s="607"/>
      <c r="E429" s="607"/>
      <c r="F429" s="607"/>
      <c r="G429" s="606"/>
      <c r="H429" s="606"/>
      <c r="I429" s="606"/>
      <c r="J429" s="606"/>
      <c r="K429" s="606"/>
      <c r="L429" s="606"/>
      <c r="M429" s="606"/>
      <c r="N429" s="606"/>
      <c r="O429" s="606"/>
      <c r="P429" s="606"/>
      <c r="Q429" s="606"/>
      <c r="R429" s="606"/>
      <c r="S429" s="606"/>
      <c r="T429" s="606"/>
      <c r="U429" s="606"/>
      <c r="V429" s="606"/>
      <c r="W429" s="606"/>
      <c r="X429" s="640"/>
      <c r="Y429" s="607"/>
      <c r="Z429" s="607"/>
      <c r="AA429" s="607"/>
      <c r="AB429" s="607"/>
      <c r="AC429" s="607"/>
      <c r="AD429" s="607"/>
      <c r="AE429" s="607"/>
      <c r="AF429" s="607"/>
      <c r="AG429" s="607"/>
      <c r="AH429" s="607"/>
      <c r="AI429" s="607"/>
      <c r="AJ429" s="607"/>
      <c r="AK429" s="607"/>
      <c r="AL429" s="606"/>
      <c r="AM429" s="606"/>
      <c r="AN429" s="606"/>
      <c r="AO429" s="606"/>
    </row>
    <row r="430" spans="1:41" ht="11.25" hidden="1" customHeight="1">
      <c r="A430" s="608"/>
      <c r="B430" s="607"/>
      <c r="C430" s="607"/>
      <c r="D430" s="607"/>
      <c r="E430" s="607"/>
      <c r="F430" s="607"/>
      <c r="G430" s="606"/>
      <c r="H430" s="606"/>
      <c r="I430" s="606"/>
      <c r="J430" s="606"/>
      <c r="K430" s="606"/>
      <c r="L430" s="606"/>
      <c r="M430" s="606"/>
      <c r="N430" s="606"/>
      <c r="O430" s="606"/>
      <c r="P430" s="606"/>
      <c r="Q430" s="606"/>
      <c r="R430" s="606"/>
      <c r="S430" s="606"/>
      <c r="T430" s="606"/>
      <c r="U430" s="606"/>
      <c r="V430" s="606"/>
      <c r="W430" s="606"/>
      <c r="X430" s="640"/>
      <c r="Y430" s="607"/>
      <c r="Z430" s="607"/>
      <c r="AA430" s="607"/>
      <c r="AB430" s="607"/>
      <c r="AC430" s="607"/>
      <c r="AD430" s="607"/>
      <c r="AE430" s="607"/>
      <c r="AF430" s="607"/>
      <c r="AG430" s="607"/>
      <c r="AH430" s="607"/>
      <c r="AI430" s="607"/>
      <c r="AJ430" s="607"/>
      <c r="AK430" s="607"/>
      <c r="AL430" s="606"/>
      <c r="AM430" s="606"/>
      <c r="AN430" s="606"/>
      <c r="AO430" s="606"/>
    </row>
    <row r="431" spans="1:41" ht="11.25" hidden="1" customHeight="1">
      <c r="A431" s="608"/>
      <c r="B431" s="607"/>
      <c r="C431" s="607"/>
      <c r="D431" s="607"/>
      <c r="E431" s="607"/>
      <c r="F431" s="607"/>
      <c r="G431" s="606"/>
      <c r="H431" s="606"/>
      <c r="I431" s="606"/>
      <c r="J431" s="606"/>
      <c r="K431" s="606"/>
      <c r="L431" s="606"/>
      <c r="M431" s="606"/>
      <c r="N431" s="606"/>
      <c r="O431" s="606"/>
      <c r="P431" s="606"/>
      <c r="Q431" s="606"/>
      <c r="R431" s="606"/>
      <c r="S431" s="606"/>
      <c r="T431" s="606"/>
      <c r="U431" s="606"/>
      <c r="V431" s="606"/>
      <c r="W431" s="606"/>
      <c r="X431" s="640"/>
      <c r="Y431" s="607"/>
      <c r="Z431" s="607"/>
      <c r="AA431" s="607"/>
      <c r="AB431" s="607"/>
      <c r="AC431" s="607"/>
      <c r="AD431" s="607"/>
      <c r="AE431" s="607"/>
      <c r="AF431" s="607"/>
      <c r="AG431" s="607"/>
      <c r="AH431" s="607"/>
      <c r="AI431" s="607"/>
      <c r="AJ431" s="607"/>
      <c r="AK431" s="607"/>
      <c r="AL431" s="606"/>
      <c r="AM431" s="606"/>
      <c r="AN431" s="606"/>
      <c r="AO431" s="606"/>
    </row>
    <row r="432" spans="1:41" ht="11.25" hidden="1" customHeight="1">
      <c r="A432" s="608"/>
      <c r="B432" s="607"/>
      <c r="C432" s="607"/>
      <c r="D432" s="607"/>
      <c r="E432" s="607"/>
      <c r="F432" s="607"/>
      <c r="G432" s="606"/>
      <c r="H432" s="606"/>
      <c r="I432" s="606"/>
      <c r="J432" s="606"/>
      <c r="K432" s="606"/>
      <c r="L432" s="606"/>
      <c r="M432" s="606"/>
      <c r="N432" s="606"/>
      <c r="O432" s="606"/>
      <c r="P432" s="606"/>
      <c r="Q432" s="606"/>
      <c r="R432" s="606"/>
      <c r="S432" s="606"/>
      <c r="T432" s="606"/>
      <c r="U432" s="606"/>
      <c r="V432" s="606"/>
      <c r="W432" s="606"/>
      <c r="X432" s="640"/>
      <c r="Y432" s="607"/>
      <c r="Z432" s="607"/>
      <c r="AA432" s="607"/>
      <c r="AB432" s="607"/>
      <c r="AC432" s="607"/>
      <c r="AD432" s="607"/>
      <c r="AE432" s="607"/>
      <c r="AF432" s="607"/>
      <c r="AG432" s="607"/>
      <c r="AH432" s="607"/>
      <c r="AI432" s="607"/>
      <c r="AJ432" s="607"/>
      <c r="AK432" s="607"/>
      <c r="AL432" s="606"/>
      <c r="AM432" s="606"/>
      <c r="AN432" s="606"/>
      <c r="AO432" s="606"/>
    </row>
    <row r="433" spans="1:41" ht="11.25" hidden="1" customHeight="1">
      <c r="A433" s="608"/>
      <c r="B433" s="607"/>
      <c r="C433" s="607"/>
      <c r="D433" s="607"/>
      <c r="E433" s="607"/>
      <c r="F433" s="607"/>
      <c r="G433" s="606"/>
      <c r="H433" s="606"/>
      <c r="I433" s="606"/>
      <c r="J433" s="606"/>
      <c r="K433" s="606"/>
      <c r="L433" s="606"/>
      <c r="M433" s="606"/>
      <c r="N433" s="606"/>
      <c r="O433" s="606"/>
      <c r="P433" s="606"/>
      <c r="Q433" s="606"/>
      <c r="R433" s="606"/>
      <c r="S433" s="606"/>
      <c r="T433" s="606"/>
      <c r="U433" s="606"/>
      <c r="V433" s="606"/>
      <c r="W433" s="606"/>
      <c r="X433" s="640"/>
      <c r="Y433" s="607"/>
      <c r="Z433" s="607"/>
      <c r="AA433" s="607"/>
      <c r="AB433" s="607"/>
      <c r="AC433" s="607"/>
      <c r="AD433" s="607"/>
      <c r="AE433" s="607"/>
      <c r="AF433" s="607"/>
      <c r="AG433" s="607"/>
      <c r="AH433" s="607"/>
      <c r="AI433" s="607"/>
      <c r="AJ433" s="607"/>
      <c r="AK433" s="607"/>
      <c r="AL433" s="606"/>
      <c r="AM433" s="606"/>
      <c r="AN433" s="606"/>
      <c r="AO433" s="606"/>
    </row>
    <row r="434" spans="1:41" ht="11.25" hidden="1" customHeight="1">
      <c r="A434" s="608"/>
      <c r="B434" s="607"/>
      <c r="C434" s="607"/>
      <c r="D434" s="607"/>
      <c r="E434" s="607"/>
      <c r="F434" s="607"/>
      <c r="G434" s="606"/>
      <c r="H434" s="606"/>
      <c r="I434" s="606"/>
      <c r="J434" s="606"/>
      <c r="K434" s="606"/>
      <c r="L434" s="606"/>
      <c r="M434" s="606"/>
      <c r="N434" s="606"/>
      <c r="O434" s="606"/>
      <c r="P434" s="606"/>
      <c r="Q434" s="606"/>
      <c r="R434" s="606"/>
      <c r="S434" s="606"/>
      <c r="T434" s="606"/>
      <c r="U434" s="606"/>
      <c r="V434" s="606"/>
      <c r="W434" s="606"/>
      <c r="X434" s="640"/>
      <c r="Y434" s="607"/>
      <c r="Z434" s="607"/>
      <c r="AA434" s="607"/>
      <c r="AB434" s="607"/>
      <c r="AC434" s="607"/>
      <c r="AD434" s="607"/>
      <c r="AE434" s="607"/>
      <c r="AF434" s="607"/>
      <c r="AG434" s="607"/>
      <c r="AH434" s="607"/>
      <c r="AI434" s="607"/>
      <c r="AJ434" s="607"/>
      <c r="AK434" s="607"/>
      <c r="AL434" s="606"/>
      <c r="AM434" s="606"/>
      <c r="AN434" s="606"/>
      <c r="AO434" s="606"/>
    </row>
    <row r="435" spans="1:41" ht="11.25" hidden="1" customHeight="1">
      <c r="A435" s="608"/>
      <c r="B435" s="607"/>
      <c r="C435" s="607"/>
      <c r="D435" s="607"/>
      <c r="E435" s="607"/>
      <c r="F435" s="607"/>
      <c r="G435" s="606"/>
      <c r="H435" s="606"/>
      <c r="I435" s="606"/>
      <c r="J435" s="606"/>
      <c r="K435" s="606"/>
      <c r="L435" s="606"/>
      <c r="M435" s="606"/>
      <c r="N435" s="606"/>
      <c r="O435" s="606"/>
      <c r="P435" s="606"/>
      <c r="Q435" s="606"/>
      <c r="R435" s="606"/>
      <c r="S435" s="606"/>
      <c r="T435" s="606"/>
      <c r="U435" s="606"/>
      <c r="V435" s="606"/>
      <c r="W435" s="606"/>
      <c r="X435" s="640"/>
      <c r="Y435" s="607"/>
      <c r="Z435" s="607"/>
      <c r="AA435" s="607"/>
      <c r="AB435" s="607"/>
      <c r="AC435" s="607"/>
      <c r="AD435" s="607"/>
      <c r="AE435" s="607"/>
      <c r="AF435" s="607"/>
      <c r="AG435" s="607"/>
      <c r="AH435" s="607"/>
      <c r="AI435" s="607"/>
      <c r="AJ435" s="607"/>
      <c r="AK435" s="607"/>
      <c r="AL435" s="606"/>
      <c r="AM435" s="606"/>
      <c r="AN435" s="606"/>
      <c r="AO435" s="606"/>
    </row>
    <row r="436" spans="1:41" ht="11.25" hidden="1" customHeight="1">
      <c r="A436" s="608"/>
      <c r="B436" s="607"/>
      <c r="C436" s="607"/>
      <c r="D436" s="607"/>
      <c r="E436" s="607"/>
      <c r="F436" s="607"/>
      <c r="G436" s="606"/>
      <c r="H436" s="606"/>
      <c r="I436" s="606"/>
      <c r="J436" s="606"/>
      <c r="K436" s="606"/>
      <c r="L436" s="606"/>
      <c r="M436" s="606"/>
      <c r="N436" s="606"/>
      <c r="O436" s="606"/>
      <c r="P436" s="606"/>
      <c r="Q436" s="606"/>
      <c r="R436" s="606"/>
      <c r="S436" s="606"/>
      <c r="T436" s="606"/>
      <c r="U436" s="606"/>
      <c r="V436" s="606"/>
      <c r="W436" s="606"/>
      <c r="X436" s="640"/>
      <c r="Y436" s="607"/>
      <c r="Z436" s="607"/>
      <c r="AA436" s="607"/>
      <c r="AB436" s="607"/>
      <c r="AC436" s="607"/>
      <c r="AD436" s="607"/>
      <c r="AE436" s="607"/>
      <c r="AF436" s="607"/>
      <c r="AG436" s="607"/>
      <c r="AH436" s="607"/>
      <c r="AI436" s="607"/>
      <c r="AJ436" s="607"/>
      <c r="AK436" s="607"/>
      <c r="AL436" s="606"/>
      <c r="AM436" s="606"/>
      <c r="AN436" s="606"/>
      <c r="AO436" s="606"/>
    </row>
    <row r="437" spans="1:41" ht="11.25" hidden="1" customHeight="1">
      <c r="A437" s="608"/>
      <c r="B437" s="607"/>
      <c r="C437" s="607"/>
      <c r="D437" s="607"/>
      <c r="E437" s="607"/>
      <c r="F437" s="607"/>
      <c r="G437" s="606"/>
      <c r="H437" s="606"/>
      <c r="I437" s="606"/>
      <c r="J437" s="606"/>
      <c r="K437" s="606"/>
      <c r="L437" s="606"/>
      <c r="M437" s="606"/>
      <c r="N437" s="606"/>
      <c r="O437" s="606"/>
      <c r="P437" s="606"/>
      <c r="Q437" s="606"/>
      <c r="R437" s="606"/>
      <c r="S437" s="606"/>
      <c r="T437" s="606"/>
      <c r="U437" s="606"/>
      <c r="V437" s="606"/>
      <c r="W437" s="606"/>
      <c r="X437" s="640"/>
      <c r="Y437" s="607"/>
      <c r="Z437" s="607"/>
      <c r="AA437" s="607"/>
      <c r="AB437" s="607"/>
      <c r="AC437" s="607"/>
      <c r="AD437" s="607"/>
      <c r="AE437" s="607"/>
      <c r="AF437" s="607"/>
      <c r="AG437" s="607"/>
      <c r="AH437" s="607"/>
      <c r="AI437" s="607"/>
      <c r="AJ437" s="607"/>
      <c r="AK437" s="607"/>
      <c r="AL437" s="606"/>
      <c r="AM437" s="606"/>
      <c r="AN437" s="606"/>
      <c r="AO437" s="606"/>
    </row>
    <row r="438" spans="1:41" ht="11.25" hidden="1" customHeight="1">
      <c r="A438" s="608"/>
      <c r="B438" s="607"/>
      <c r="C438" s="607"/>
      <c r="D438" s="607"/>
      <c r="E438" s="607"/>
      <c r="F438" s="607"/>
      <c r="G438" s="606"/>
      <c r="H438" s="606"/>
      <c r="I438" s="606"/>
      <c r="J438" s="606"/>
      <c r="K438" s="606"/>
      <c r="L438" s="606"/>
      <c r="M438" s="606"/>
      <c r="N438" s="606"/>
      <c r="O438" s="606"/>
      <c r="P438" s="606"/>
      <c r="Q438" s="606"/>
      <c r="R438" s="606"/>
      <c r="S438" s="606"/>
      <c r="T438" s="606"/>
      <c r="U438" s="606"/>
      <c r="V438" s="606"/>
      <c r="W438" s="606"/>
      <c r="X438" s="640"/>
      <c r="Y438" s="607"/>
      <c r="Z438" s="607"/>
      <c r="AA438" s="607"/>
      <c r="AB438" s="607"/>
      <c r="AC438" s="607"/>
      <c r="AD438" s="607"/>
      <c r="AE438" s="607"/>
      <c r="AF438" s="607"/>
      <c r="AG438" s="607"/>
      <c r="AH438" s="607"/>
      <c r="AI438" s="607"/>
      <c r="AJ438" s="607"/>
      <c r="AK438" s="607"/>
      <c r="AL438" s="606"/>
      <c r="AM438" s="606"/>
      <c r="AN438" s="606"/>
      <c r="AO438" s="606"/>
    </row>
    <row r="439" spans="1:41" ht="11.25" hidden="1" customHeight="1">
      <c r="A439" s="608"/>
      <c r="B439" s="607"/>
      <c r="C439" s="607"/>
      <c r="D439" s="607"/>
      <c r="E439" s="607"/>
      <c r="F439" s="607"/>
      <c r="G439" s="606"/>
      <c r="H439" s="606"/>
      <c r="I439" s="606"/>
      <c r="J439" s="606"/>
      <c r="K439" s="606"/>
      <c r="L439" s="606"/>
      <c r="M439" s="606"/>
      <c r="N439" s="606"/>
      <c r="O439" s="606"/>
      <c r="P439" s="606"/>
      <c r="Q439" s="606"/>
      <c r="R439" s="606"/>
      <c r="S439" s="606"/>
      <c r="T439" s="606"/>
      <c r="U439" s="606"/>
      <c r="V439" s="606"/>
      <c r="W439" s="606"/>
      <c r="X439" s="640"/>
      <c r="Y439" s="607"/>
      <c r="Z439" s="607"/>
      <c r="AA439" s="607"/>
      <c r="AB439" s="607"/>
      <c r="AC439" s="607"/>
      <c r="AD439" s="607"/>
      <c r="AE439" s="607"/>
      <c r="AF439" s="607"/>
      <c r="AG439" s="607"/>
      <c r="AH439" s="607"/>
      <c r="AI439" s="607"/>
      <c r="AJ439" s="607"/>
      <c r="AK439" s="607"/>
      <c r="AL439" s="606"/>
      <c r="AM439" s="606"/>
      <c r="AN439" s="606"/>
      <c r="AO439" s="606"/>
    </row>
    <row r="440" spans="1:41" ht="11.25" hidden="1" customHeight="1">
      <c r="A440" s="608"/>
      <c r="B440" s="607"/>
      <c r="C440" s="607"/>
      <c r="D440" s="607"/>
      <c r="E440" s="607"/>
      <c r="F440" s="607"/>
      <c r="G440" s="606"/>
      <c r="H440" s="606"/>
      <c r="I440" s="606"/>
      <c r="J440" s="606"/>
      <c r="K440" s="606"/>
      <c r="L440" s="606"/>
      <c r="M440" s="606"/>
      <c r="N440" s="606"/>
      <c r="O440" s="606"/>
      <c r="P440" s="606"/>
      <c r="Q440" s="606"/>
      <c r="R440" s="606"/>
      <c r="S440" s="606"/>
      <c r="T440" s="606"/>
      <c r="U440" s="606"/>
      <c r="V440" s="606"/>
      <c r="W440" s="606"/>
      <c r="X440" s="640"/>
      <c r="Y440" s="607"/>
      <c r="Z440" s="607"/>
      <c r="AA440" s="607"/>
      <c r="AB440" s="607"/>
      <c r="AC440" s="607"/>
      <c r="AD440" s="607"/>
      <c r="AE440" s="607"/>
      <c r="AF440" s="607"/>
      <c r="AG440" s="607"/>
      <c r="AH440" s="607"/>
      <c r="AI440" s="607"/>
      <c r="AJ440" s="607"/>
      <c r="AK440" s="607"/>
      <c r="AL440" s="606"/>
      <c r="AM440" s="606"/>
      <c r="AN440" s="606"/>
      <c r="AO440" s="606"/>
    </row>
    <row r="441" spans="1:41" ht="11.25" hidden="1" customHeight="1">
      <c r="A441" s="608"/>
      <c r="B441" s="607"/>
      <c r="C441" s="607"/>
      <c r="D441" s="607"/>
      <c r="E441" s="607"/>
      <c r="F441" s="607"/>
      <c r="G441" s="606"/>
      <c r="H441" s="606"/>
      <c r="I441" s="606"/>
      <c r="J441" s="606"/>
      <c r="K441" s="606"/>
      <c r="L441" s="606"/>
      <c r="M441" s="606"/>
      <c r="N441" s="606"/>
      <c r="O441" s="606"/>
      <c r="P441" s="606"/>
      <c r="Q441" s="606"/>
      <c r="R441" s="606"/>
      <c r="S441" s="606"/>
      <c r="T441" s="606"/>
      <c r="U441" s="606"/>
      <c r="V441" s="606"/>
      <c r="W441" s="606"/>
      <c r="X441" s="640"/>
      <c r="Y441" s="607"/>
      <c r="Z441" s="607"/>
      <c r="AA441" s="607"/>
      <c r="AB441" s="607"/>
      <c r="AC441" s="607"/>
      <c r="AD441" s="607"/>
      <c r="AE441" s="607"/>
      <c r="AF441" s="607"/>
      <c r="AG441" s="607"/>
      <c r="AH441" s="607"/>
      <c r="AI441" s="607"/>
      <c r="AJ441" s="607"/>
      <c r="AK441" s="607"/>
      <c r="AL441" s="606"/>
      <c r="AM441" s="606"/>
      <c r="AN441" s="606"/>
      <c r="AO441" s="606"/>
    </row>
    <row r="442" spans="1:41" ht="11.25" hidden="1" customHeight="1">
      <c r="A442" s="608"/>
      <c r="B442" s="607"/>
      <c r="C442" s="607"/>
      <c r="D442" s="607"/>
      <c r="E442" s="607"/>
      <c r="F442" s="607"/>
      <c r="G442" s="606"/>
      <c r="H442" s="606"/>
      <c r="I442" s="606"/>
      <c r="J442" s="606"/>
      <c r="K442" s="606"/>
      <c r="L442" s="606"/>
      <c r="M442" s="606"/>
      <c r="N442" s="606"/>
      <c r="O442" s="606"/>
      <c r="P442" s="606"/>
      <c r="Q442" s="606"/>
      <c r="R442" s="606"/>
      <c r="S442" s="606"/>
      <c r="T442" s="606"/>
      <c r="U442" s="606"/>
      <c r="V442" s="606"/>
      <c r="W442" s="606"/>
      <c r="X442" s="640"/>
      <c r="Y442" s="607"/>
      <c r="Z442" s="607"/>
      <c r="AA442" s="607"/>
      <c r="AB442" s="607"/>
      <c r="AC442" s="607"/>
      <c r="AD442" s="607"/>
      <c r="AE442" s="607"/>
      <c r="AF442" s="607"/>
      <c r="AG442" s="607"/>
      <c r="AH442" s="607"/>
      <c r="AI442" s="607"/>
      <c r="AJ442" s="607"/>
      <c r="AK442" s="607"/>
      <c r="AL442" s="606"/>
      <c r="AM442" s="606"/>
      <c r="AN442" s="606"/>
      <c r="AO442" s="606"/>
    </row>
    <row r="443" spans="1:41" ht="11.25" hidden="1" customHeight="1">
      <c r="A443" s="608"/>
      <c r="B443" s="607"/>
      <c r="C443" s="607"/>
      <c r="D443" s="607"/>
      <c r="E443" s="607"/>
      <c r="F443" s="607"/>
      <c r="G443" s="606"/>
      <c r="H443" s="606"/>
      <c r="I443" s="606"/>
      <c r="J443" s="606"/>
      <c r="K443" s="606"/>
      <c r="L443" s="606"/>
      <c r="M443" s="606"/>
      <c r="N443" s="606"/>
      <c r="O443" s="606"/>
      <c r="P443" s="606"/>
      <c r="Q443" s="606"/>
      <c r="R443" s="606"/>
      <c r="S443" s="606"/>
      <c r="T443" s="606"/>
      <c r="U443" s="606"/>
      <c r="V443" s="606"/>
      <c r="W443" s="606"/>
      <c r="X443" s="640"/>
      <c r="Y443" s="607"/>
      <c r="Z443" s="607"/>
      <c r="AA443" s="607"/>
      <c r="AB443" s="607"/>
      <c r="AC443" s="607"/>
      <c r="AD443" s="607"/>
      <c r="AE443" s="607"/>
      <c r="AF443" s="607"/>
      <c r="AG443" s="607"/>
      <c r="AH443" s="607"/>
      <c r="AI443" s="607"/>
      <c r="AJ443" s="607"/>
      <c r="AK443" s="607"/>
      <c r="AL443" s="606"/>
      <c r="AM443" s="606"/>
      <c r="AN443" s="606"/>
      <c r="AO443" s="606"/>
    </row>
    <row r="444" spans="1:41" ht="11.25" hidden="1" customHeight="1">
      <c r="A444" s="608"/>
      <c r="B444" s="607"/>
      <c r="C444" s="607"/>
      <c r="D444" s="607"/>
      <c r="E444" s="607"/>
      <c r="F444" s="607"/>
      <c r="G444" s="606"/>
      <c r="H444" s="606"/>
      <c r="I444" s="606"/>
      <c r="J444" s="606"/>
      <c r="K444" s="606"/>
      <c r="L444" s="606"/>
      <c r="M444" s="606"/>
      <c r="N444" s="606"/>
      <c r="O444" s="606"/>
      <c r="P444" s="606"/>
      <c r="Q444" s="606"/>
      <c r="R444" s="606"/>
      <c r="S444" s="606"/>
      <c r="T444" s="606"/>
      <c r="U444" s="606"/>
      <c r="V444" s="606"/>
      <c r="W444" s="606"/>
      <c r="X444" s="640"/>
      <c r="Y444" s="607"/>
      <c r="Z444" s="607"/>
      <c r="AA444" s="607"/>
      <c r="AB444" s="607"/>
      <c r="AC444" s="607"/>
      <c r="AD444" s="607"/>
      <c r="AE444" s="607"/>
      <c r="AF444" s="607"/>
      <c r="AG444" s="607"/>
      <c r="AH444" s="607"/>
      <c r="AI444" s="607"/>
      <c r="AJ444" s="607"/>
      <c r="AK444" s="607"/>
      <c r="AL444" s="606"/>
      <c r="AM444" s="606"/>
      <c r="AN444" s="606"/>
      <c r="AO444" s="606"/>
    </row>
    <row r="445" spans="1:41" ht="11.25" hidden="1" customHeight="1">
      <c r="A445" s="608"/>
      <c r="B445" s="607"/>
      <c r="C445" s="607"/>
      <c r="D445" s="607"/>
      <c r="E445" s="607"/>
      <c r="F445" s="607"/>
      <c r="G445" s="606"/>
      <c r="H445" s="606"/>
      <c r="I445" s="606"/>
      <c r="J445" s="606"/>
      <c r="K445" s="606"/>
      <c r="L445" s="606"/>
      <c r="M445" s="606"/>
      <c r="N445" s="606"/>
      <c r="O445" s="606"/>
      <c r="P445" s="606"/>
      <c r="Q445" s="606"/>
      <c r="R445" s="606"/>
      <c r="S445" s="606"/>
      <c r="T445" s="606"/>
      <c r="U445" s="606"/>
      <c r="V445" s="606"/>
      <c r="W445" s="606"/>
      <c r="X445" s="640"/>
      <c r="Y445" s="607"/>
      <c r="Z445" s="607"/>
      <c r="AA445" s="607"/>
      <c r="AB445" s="607"/>
      <c r="AC445" s="607"/>
      <c r="AD445" s="607"/>
      <c r="AE445" s="607"/>
      <c r="AF445" s="607"/>
      <c r="AG445" s="607"/>
      <c r="AH445" s="607"/>
      <c r="AI445" s="607"/>
      <c r="AJ445" s="607"/>
      <c r="AK445" s="607"/>
      <c r="AL445" s="606"/>
      <c r="AM445" s="606"/>
      <c r="AN445" s="606"/>
      <c r="AO445" s="606"/>
    </row>
    <row r="446" spans="1:41" ht="11.25" hidden="1" customHeight="1">
      <c r="A446" s="608"/>
      <c r="B446" s="607"/>
      <c r="C446" s="607"/>
      <c r="D446" s="607"/>
      <c r="E446" s="607"/>
      <c r="F446" s="607"/>
      <c r="G446" s="606"/>
      <c r="H446" s="606"/>
      <c r="I446" s="606"/>
      <c r="J446" s="606"/>
      <c r="K446" s="606"/>
      <c r="L446" s="606"/>
      <c r="M446" s="606"/>
      <c r="N446" s="606"/>
      <c r="O446" s="606"/>
      <c r="P446" s="606"/>
      <c r="Q446" s="606"/>
      <c r="R446" s="606"/>
      <c r="S446" s="606"/>
      <c r="T446" s="606"/>
      <c r="U446" s="606"/>
      <c r="V446" s="606"/>
      <c r="W446" s="606"/>
      <c r="X446" s="640"/>
      <c r="Y446" s="607"/>
      <c r="Z446" s="607"/>
      <c r="AA446" s="607"/>
      <c r="AB446" s="607"/>
      <c r="AC446" s="607"/>
      <c r="AD446" s="607"/>
      <c r="AE446" s="607"/>
      <c r="AF446" s="607"/>
      <c r="AG446" s="607"/>
      <c r="AH446" s="607"/>
      <c r="AI446" s="607"/>
      <c r="AJ446" s="607"/>
      <c r="AK446" s="607"/>
      <c r="AL446" s="606"/>
      <c r="AM446" s="606"/>
      <c r="AN446" s="606"/>
      <c r="AO446" s="606"/>
    </row>
    <row r="447" spans="1:41" ht="11.25" hidden="1" customHeight="1">
      <c r="A447" s="608"/>
      <c r="B447" s="607"/>
      <c r="C447" s="607"/>
      <c r="D447" s="607"/>
      <c r="E447" s="607"/>
      <c r="F447" s="607"/>
      <c r="G447" s="606"/>
      <c r="H447" s="606"/>
      <c r="I447" s="606"/>
      <c r="J447" s="606"/>
      <c r="K447" s="606"/>
      <c r="L447" s="606"/>
      <c r="M447" s="606"/>
      <c r="N447" s="606"/>
      <c r="O447" s="606"/>
      <c r="P447" s="606"/>
      <c r="Q447" s="606"/>
      <c r="R447" s="606"/>
      <c r="S447" s="606"/>
      <c r="T447" s="606"/>
      <c r="U447" s="606"/>
      <c r="V447" s="606"/>
      <c r="W447" s="606"/>
      <c r="X447" s="640"/>
      <c r="Y447" s="607"/>
      <c r="Z447" s="607"/>
      <c r="AA447" s="607"/>
      <c r="AB447" s="607"/>
      <c r="AC447" s="607"/>
      <c r="AD447" s="607"/>
      <c r="AE447" s="607"/>
      <c r="AF447" s="607"/>
      <c r="AG447" s="607"/>
      <c r="AH447" s="607"/>
      <c r="AI447" s="607"/>
      <c r="AJ447" s="607"/>
      <c r="AK447" s="607"/>
      <c r="AL447" s="606"/>
      <c r="AM447" s="606"/>
      <c r="AN447" s="606"/>
      <c r="AO447" s="606"/>
    </row>
    <row r="448" spans="1:41" ht="11.25" hidden="1" customHeight="1">
      <c r="A448" s="608"/>
      <c r="B448" s="607"/>
      <c r="C448" s="607"/>
      <c r="D448" s="607"/>
      <c r="E448" s="607"/>
      <c r="F448" s="607"/>
      <c r="G448" s="606"/>
      <c r="H448" s="606"/>
      <c r="I448" s="606"/>
      <c r="J448" s="606"/>
      <c r="K448" s="606"/>
      <c r="L448" s="606"/>
      <c r="M448" s="606"/>
      <c r="N448" s="606"/>
      <c r="O448" s="606"/>
      <c r="P448" s="606"/>
      <c r="Q448" s="606"/>
      <c r="R448" s="606"/>
      <c r="S448" s="606"/>
      <c r="T448" s="606"/>
      <c r="U448" s="606"/>
      <c r="V448" s="606"/>
      <c r="W448" s="606"/>
      <c r="X448" s="640"/>
      <c r="Y448" s="607"/>
      <c r="Z448" s="607"/>
      <c r="AA448" s="607"/>
      <c r="AB448" s="607"/>
      <c r="AC448" s="607"/>
      <c r="AD448" s="607"/>
      <c r="AE448" s="607"/>
      <c r="AF448" s="607"/>
      <c r="AG448" s="607"/>
      <c r="AH448" s="607"/>
      <c r="AI448" s="607"/>
      <c r="AJ448" s="607"/>
      <c r="AK448" s="607"/>
      <c r="AL448" s="606"/>
      <c r="AM448" s="606"/>
      <c r="AN448" s="606"/>
      <c r="AO448" s="606"/>
    </row>
    <row r="449" spans="1:41" ht="11.25" hidden="1" customHeight="1">
      <c r="A449" s="608"/>
      <c r="B449" s="607"/>
      <c r="C449" s="607"/>
      <c r="D449" s="607"/>
      <c r="E449" s="607"/>
      <c r="F449" s="607"/>
      <c r="G449" s="606"/>
      <c r="H449" s="606"/>
      <c r="I449" s="606"/>
      <c r="J449" s="606"/>
      <c r="K449" s="606"/>
      <c r="L449" s="606"/>
      <c r="M449" s="606"/>
      <c r="N449" s="606"/>
      <c r="O449" s="606"/>
      <c r="P449" s="606"/>
      <c r="Q449" s="606"/>
      <c r="R449" s="606"/>
      <c r="S449" s="606"/>
      <c r="T449" s="606"/>
      <c r="U449" s="606"/>
      <c r="V449" s="606"/>
      <c r="W449" s="606"/>
      <c r="X449" s="640"/>
      <c r="Y449" s="607"/>
      <c r="Z449" s="607"/>
      <c r="AA449" s="607"/>
      <c r="AB449" s="607"/>
      <c r="AC449" s="607"/>
      <c r="AD449" s="607"/>
      <c r="AE449" s="607"/>
      <c r="AF449" s="607"/>
      <c r="AG449" s="607"/>
      <c r="AH449" s="607"/>
      <c r="AI449" s="607"/>
      <c r="AJ449" s="607"/>
      <c r="AK449" s="607"/>
      <c r="AL449" s="606"/>
      <c r="AM449" s="606"/>
      <c r="AN449" s="606"/>
      <c r="AO449" s="606"/>
    </row>
    <row r="450" spans="1:41" ht="11.25" hidden="1" customHeight="1">
      <c r="A450" s="608"/>
      <c r="B450" s="607"/>
      <c r="C450" s="607"/>
      <c r="D450" s="607"/>
      <c r="E450" s="607"/>
      <c r="F450" s="607"/>
      <c r="G450" s="606"/>
      <c r="H450" s="606"/>
      <c r="I450" s="606"/>
      <c r="J450" s="606"/>
      <c r="K450" s="606"/>
      <c r="L450" s="606"/>
      <c r="M450" s="606"/>
      <c r="N450" s="606"/>
      <c r="O450" s="606"/>
      <c r="P450" s="606"/>
      <c r="Q450" s="606"/>
      <c r="R450" s="606"/>
      <c r="S450" s="606"/>
      <c r="T450" s="606"/>
      <c r="U450" s="606"/>
      <c r="V450" s="606"/>
      <c r="W450" s="606"/>
      <c r="X450" s="640"/>
      <c r="Y450" s="607"/>
      <c r="Z450" s="607"/>
      <c r="AA450" s="607"/>
      <c r="AB450" s="607"/>
      <c r="AC450" s="607"/>
      <c r="AD450" s="607"/>
      <c r="AE450" s="607"/>
      <c r="AF450" s="607"/>
      <c r="AG450" s="607"/>
      <c r="AH450" s="607"/>
      <c r="AI450" s="607"/>
      <c r="AJ450" s="607"/>
      <c r="AK450" s="607"/>
      <c r="AL450" s="606"/>
      <c r="AM450" s="606"/>
      <c r="AN450" s="606"/>
      <c r="AO450" s="606"/>
    </row>
    <row r="451" spans="1:41" ht="11.25" hidden="1" customHeight="1">
      <c r="A451" s="608"/>
      <c r="B451" s="607"/>
      <c r="C451" s="607"/>
      <c r="D451" s="607"/>
      <c r="E451" s="607"/>
      <c r="F451" s="607"/>
      <c r="G451" s="606"/>
      <c r="H451" s="606"/>
      <c r="I451" s="606"/>
      <c r="J451" s="606"/>
      <c r="K451" s="606"/>
      <c r="L451" s="606"/>
      <c r="M451" s="606"/>
      <c r="N451" s="606"/>
      <c r="O451" s="606"/>
      <c r="P451" s="606"/>
      <c r="Q451" s="606"/>
      <c r="R451" s="606"/>
      <c r="S451" s="606"/>
      <c r="T451" s="606"/>
      <c r="U451" s="606"/>
      <c r="V451" s="606"/>
      <c r="W451" s="606"/>
      <c r="X451" s="640"/>
      <c r="Y451" s="607"/>
      <c r="Z451" s="607"/>
      <c r="AA451" s="607"/>
      <c r="AB451" s="607"/>
      <c r="AC451" s="607"/>
      <c r="AD451" s="607"/>
      <c r="AE451" s="607"/>
      <c r="AF451" s="607"/>
      <c r="AG451" s="607"/>
      <c r="AH451" s="607"/>
      <c r="AI451" s="607"/>
      <c r="AJ451" s="607"/>
      <c r="AK451" s="607"/>
      <c r="AL451" s="606"/>
      <c r="AM451" s="606"/>
      <c r="AN451" s="606"/>
      <c r="AO451" s="606"/>
    </row>
    <row r="452" spans="1:41" ht="11.25" hidden="1" customHeight="1">
      <c r="A452" s="608"/>
      <c r="B452" s="607"/>
      <c r="C452" s="607"/>
      <c r="D452" s="607"/>
      <c r="E452" s="607"/>
      <c r="F452" s="607"/>
      <c r="G452" s="606"/>
      <c r="H452" s="606"/>
      <c r="I452" s="606"/>
      <c r="J452" s="606"/>
      <c r="K452" s="606"/>
      <c r="L452" s="606"/>
      <c r="M452" s="606"/>
      <c r="N452" s="606"/>
      <c r="O452" s="606"/>
      <c r="P452" s="606"/>
      <c r="Q452" s="606"/>
      <c r="R452" s="606"/>
      <c r="S452" s="606"/>
      <c r="T452" s="606"/>
      <c r="U452" s="606"/>
      <c r="V452" s="606"/>
      <c r="W452" s="606"/>
      <c r="X452" s="640"/>
      <c r="Y452" s="607"/>
      <c r="Z452" s="607"/>
      <c r="AA452" s="607"/>
      <c r="AB452" s="607"/>
      <c r="AC452" s="607"/>
      <c r="AD452" s="607"/>
      <c r="AE452" s="607"/>
      <c r="AF452" s="607"/>
      <c r="AG452" s="607"/>
      <c r="AH452" s="607"/>
      <c r="AI452" s="607"/>
      <c r="AJ452" s="607"/>
      <c r="AK452" s="607"/>
      <c r="AL452" s="606"/>
      <c r="AM452" s="606"/>
      <c r="AN452" s="606"/>
      <c r="AO452" s="606"/>
    </row>
    <row r="453" spans="1:41" ht="11.25" hidden="1" customHeight="1">
      <c r="A453" s="608"/>
      <c r="B453" s="607"/>
      <c r="C453" s="607"/>
      <c r="D453" s="607"/>
      <c r="E453" s="607"/>
      <c r="F453" s="607"/>
      <c r="G453" s="606"/>
      <c r="H453" s="606"/>
      <c r="I453" s="606"/>
      <c r="J453" s="606"/>
      <c r="K453" s="606"/>
      <c r="L453" s="606"/>
      <c r="M453" s="606"/>
      <c r="N453" s="606"/>
      <c r="O453" s="606"/>
      <c r="P453" s="606"/>
      <c r="Q453" s="606"/>
      <c r="R453" s="606"/>
      <c r="S453" s="606"/>
      <c r="T453" s="606"/>
      <c r="U453" s="606"/>
      <c r="V453" s="606"/>
      <c r="W453" s="606"/>
      <c r="X453" s="640"/>
      <c r="Y453" s="607"/>
      <c r="Z453" s="607"/>
      <c r="AA453" s="607"/>
      <c r="AB453" s="607"/>
      <c r="AC453" s="607"/>
      <c r="AD453" s="607"/>
      <c r="AE453" s="607"/>
      <c r="AF453" s="607"/>
      <c r="AG453" s="607"/>
      <c r="AH453" s="607"/>
      <c r="AI453" s="607"/>
      <c r="AJ453" s="607"/>
      <c r="AK453" s="607"/>
      <c r="AL453" s="606"/>
      <c r="AM453" s="606"/>
      <c r="AN453" s="606"/>
      <c r="AO453" s="606"/>
    </row>
    <row r="454" spans="1:41" ht="11.25" hidden="1" customHeight="1">
      <c r="A454" s="608"/>
      <c r="B454" s="607"/>
      <c r="C454" s="607"/>
      <c r="D454" s="607"/>
      <c r="E454" s="607"/>
      <c r="F454" s="607"/>
      <c r="G454" s="606"/>
      <c r="H454" s="606"/>
      <c r="I454" s="606"/>
      <c r="J454" s="606"/>
      <c r="K454" s="606"/>
      <c r="L454" s="606"/>
      <c r="M454" s="606"/>
      <c r="N454" s="606"/>
      <c r="O454" s="606"/>
      <c r="P454" s="606"/>
      <c r="Q454" s="606"/>
      <c r="R454" s="606"/>
      <c r="S454" s="606"/>
      <c r="T454" s="606"/>
      <c r="U454" s="606"/>
      <c r="V454" s="606"/>
      <c r="W454" s="606"/>
      <c r="X454" s="640"/>
      <c r="Y454" s="607"/>
      <c r="Z454" s="607"/>
      <c r="AA454" s="607"/>
      <c r="AB454" s="607"/>
      <c r="AC454" s="607"/>
      <c r="AD454" s="607"/>
      <c r="AE454" s="607"/>
      <c r="AF454" s="607"/>
      <c r="AG454" s="607"/>
      <c r="AH454" s="607"/>
      <c r="AI454" s="607"/>
      <c r="AJ454" s="607"/>
      <c r="AK454" s="607"/>
      <c r="AL454" s="606"/>
      <c r="AM454" s="606"/>
      <c r="AN454" s="606"/>
      <c r="AO454" s="606"/>
    </row>
    <row r="455" spans="1:41" ht="11.25" hidden="1" customHeight="1">
      <c r="A455" s="608"/>
      <c r="B455" s="607"/>
      <c r="C455" s="607"/>
      <c r="D455" s="607"/>
      <c r="E455" s="607"/>
      <c r="F455" s="607"/>
      <c r="G455" s="606"/>
      <c r="H455" s="606"/>
      <c r="I455" s="606"/>
      <c r="J455" s="606"/>
      <c r="K455" s="606"/>
      <c r="L455" s="606"/>
      <c r="M455" s="606"/>
      <c r="N455" s="606"/>
      <c r="O455" s="606"/>
      <c r="P455" s="606"/>
      <c r="Q455" s="606"/>
      <c r="R455" s="606"/>
      <c r="S455" s="606"/>
      <c r="T455" s="606"/>
      <c r="U455" s="606"/>
      <c r="V455" s="606"/>
      <c r="W455" s="606"/>
      <c r="X455" s="640"/>
      <c r="Y455" s="607"/>
      <c r="Z455" s="607"/>
      <c r="AA455" s="607"/>
      <c r="AB455" s="607"/>
      <c r="AC455" s="607"/>
      <c r="AD455" s="607"/>
      <c r="AE455" s="607"/>
      <c r="AF455" s="607"/>
      <c r="AG455" s="607"/>
      <c r="AH455" s="607"/>
      <c r="AI455" s="607"/>
      <c r="AJ455" s="607"/>
      <c r="AK455" s="607"/>
      <c r="AL455" s="606"/>
      <c r="AM455" s="606"/>
      <c r="AN455" s="606"/>
      <c r="AO455" s="606"/>
    </row>
    <row r="456" spans="1:41" ht="11.25" hidden="1" customHeight="1">
      <c r="A456" s="608"/>
      <c r="B456" s="607"/>
      <c r="C456" s="607"/>
      <c r="D456" s="607"/>
      <c r="E456" s="607"/>
      <c r="F456" s="607"/>
      <c r="G456" s="606"/>
      <c r="H456" s="606"/>
      <c r="I456" s="606"/>
      <c r="J456" s="606"/>
      <c r="K456" s="606"/>
      <c r="L456" s="606"/>
      <c r="M456" s="606"/>
      <c r="N456" s="606"/>
      <c r="O456" s="606"/>
      <c r="P456" s="606"/>
      <c r="Q456" s="606"/>
      <c r="R456" s="606"/>
      <c r="S456" s="606"/>
      <c r="T456" s="606"/>
      <c r="U456" s="606"/>
      <c r="V456" s="606"/>
      <c r="W456" s="606"/>
      <c r="X456" s="640"/>
      <c r="Y456" s="607"/>
      <c r="Z456" s="607"/>
      <c r="AA456" s="607"/>
      <c r="AB456" s="607"/>
      <c r="AC456" s="607"/>
      <c r="AD456" s="607"/>
      <c r="AE456" s="607"/>
      <c r="AF456" s="607"/>
      <c r="AG456" s="607"/>
      <c r="AH456" s="607"/>
      <c r="AI456" s="607"/>
      <c r="AJ456" s="607"/>
      <c r="AK456" s="607"/>
      <c r="AL456" s="606"/>
      <c r="AM456" s="606"/>
      <c r="AN456" s="606"/>
      <c r="AO456" s="606"/>
    </row>
    <row r="457" spans="1:41" ht="11.25" hidden="1" customHeight="1">
      <c r="A457" s="608"/>
      <c r="B457" s="607"/>
      <c r="C457" s="607"/>
      <c r="D457" s="607"/>
      <c r="E457" s="607"/>
      <c r="F457" s="607"/>
      <c r="G457" s="606"/>
      <c r="H457" s="606"/>
      <c r="I457" s="606"/>
      <c r="J457" s="606"/>
      <c r="K457" s="606"/>
      <c r="L457" s="606"/>
      <c r="M457" s="606"/>
      <c r="N457" s="606"/>
      <c r="O457" s="606"/>
      <c r="P457" s="606"/>
      <c r="Q457" s="606"/>
      <c r="R457" s="606"/>
      <c r="S457" s="606"/>
      <c r="T457" s="606"/>
      <c r="U457" s="606"/>
      <c r="V457" s="606"/>
      <c r="W457" s="606"/>
      <c r="X457" s="640"/>
      <c r="Y457" s="607"/>
      <c r="Z457" s="607"/>
      <c r="AA457" s="607"/>
      <c r="AB457" s="607"/>
      <c r="AC457" s="607"/>
      <c r="AD457" s="607"/>
      <c r="AE457" s="607"/>
      <c r="AF457" s="607"/>
      <c r="AG457" s="607"/>
      <c r="AH457" s="607"/>
      <c r="AI457" s="607"/>
      <c r="AJ457" s="607"/>
      <c r="AK457" s="607"/>
      <c r="AL457" s="606"/>
      <c r="AM457" s="606"/>
      <c r="AN457" s="606"/>
      <c r="AO457" s="606"/>
    </row>
    <row r="458" spans="1:41" ht="11.25" hidden="1" customHeight="1">
      <c r="A458" s="608"/>
      <c r="B458" s="607"/>
      <c r="C458" s="607"/>
      <c r="D458" s="607"/>
      <c r="E458" s="607"/>
      <c r="F458" s="607"/>
      <c r="G458" s="606"/>
      <c r="H458" s="606"/>
      <c r="I458" s="606"/>
      <c r="J458" s="606"/>
      <c r="K458" s="606"/>
      <c r="L458" s="606"/>
      <c r="M458" s="606"/>
      <c r="N458" s="606"/>
      <c r="O458" s="606"/>
      <c r="P458" s="606"/>
      <c r="Q458" s="606"/>
      <c r="R458" s="606"/>
      <c r="S458" s="606"/>
      <c r="T458" s="606"/>
      <c r="U458" s="606"/>
      <c r="V458" s="606"/>
      <c r="W458" s="606"/>
      <c r="X458" s="640"/>
      <c r="Y458" s="607"/>
      <c r="Z458" s="607"/>
      <c r="AA458" s="607"/>
      <c r="AB458" s="607"/>
      <c r="AC458" s="607"/>
      <c r="AD458" s="607"/>
      <c r="AE458" s="607"/>
      <c r="AF458" s="607"/>
      <c r="AG458" s="607"/>
      <c r="AH458" s="607"/>
      <c r="AI458" s="607"/>
      <c r="AJ458" s="607"/>
      <c r="AK458" s="607"/>
      <c r="AL458" s="606"/>
      <c r="AM458" s="606"/>
      <c r="AN458" s="606"/>
      <c r="AO458" s="606"/>
    </row>
    <row r="459" spans="1:41" ht="11.25" hidden="1" customHeight="1">
      <c r="A459" s="608"/>
      <c r="B459" s="607"/>
      <c r="C459" s="607"/>
      <c r="D459" s="607"/>
      <c r="E459" s="607"/>
      <c r="F459" s="607"/>
      <c r="G459" s="606"/>
      <c r="H459" s="606"/>
      <c r="I459" s="606"/>
      <c r="J459" s="606"/>
      <c r="K459" s="606"/>
      <c r="L459" s="606"/>
      <c r="M459" s="606"/>
      <c r="N459" s="606"/>
      <c r="O459" s="606"/>
      <c r="P459" s="606"/>
      <c r="Q459" s="606"/>
      <c r="R459" s="606"/>
      <c r="S459" s="606"/>
      <c r="T459" s="606"/>
      <c r="U459" s="606"/>
      <c r="V459" s="606"/>
      <c r="W459" s="606"/>
      <c r="X459" s="640"/>
      <c r="Y459" s="607"/>
      <c r="Z459" s="607"/>
      <c r="AA459" s="607"/>
      <c r="AB459" s="607"/>
      <c r="AC459" s="607"/>
      <c r="AD459" s="607"/>
      <c r="AE459" s="607"/>
      <c r="AF459" s="607"/>
      <c r="AG459" s="607"/>
      <c r="AH459" s="607"/>
      <c r="AI459" s="607"/>
      <c r="AJ459" s="607"/>
      <c r="AK459" s="607"/>
      <c r="AL459" s="606"/>
      <c r="AM459" s="606"/>
      <c r="AN459" s="606"/>
      <c r="AO459" s="606"/>
    </row>
    <row r="460" spans="1:41" ht="11.25" hidden="1" customHeight="1">
      <c r="A460" s="608"/>
      <c r="B460" s="607"/>
      <c r="C460" s="607"/>
      <c r="D460" s="607"/>
      <c r="E460" s="607"/>
      <c r="F460" s="607"/>
      <c r="G460" s="606"/>
      <c r="H460" s="606"/>
      <c r="I460" s="606"/>
      <c r="J460" s="606"/>
      <c r="K460" s="606"/>
      <c r="L460" s="606"/>
      <c r="M460" s="606"/>
      <c r="N460" s="606"/>
      <c r="O460" s="606"/>
      <c r="P460" s="606"/>
      <c r="Q460" s="606"/>
      <c r="R460" s="606"/>
      <c r="S460" s="606"/>
      <c r="T460" s="606"/>
      <c r="U460" s="606"/>
      <c r="V460" s="606"/>
      <c r="W460" s="606"/>
      <c r="X460" s="640"/>
      <c r="Y460" s="607"/>
      <c r="Z460" s="607"/>
      <c r="AA460" s="607"/>
      <c r="AB460" s="607"/>
      <c r="AC460" s="607"/>
      <c r="AD460" s="607"/>
      <c r="AE460" s="607"/>
      <c r="AF460" s="607"/>
      <c r="AG460" s="607"/>
      <c r="AH460" s="607"/>
      <c r="AI460" s="607"/>
      <c r="AJ460" s="607"/>
      <c r="AK460" s="607"/>
      <c r="AL460" s="606"/>
      <c r="AM460" s="606"/>
      <c r="AN460" s="606"/>
      <c r="AO460" s="606"/>
    </row>
    <row r="461" spans="1:41" ht="11.25" hidden="1" customHeight="1">
      <c r="A461" s="608"/>
      <c r="B461" s="607"/>
      <c r="C461" s="607"/>
      <c r="D461" s="607"/>
      <c r="E461" s="607"/>
      <c r="F461" s="607"/>
      <c r="G461" s="606"/>
      <c r="H461" s="606"/>
      <c r="I461" s="606"/>
      <c r="J461" s="606"/>
      <c r="K461" s="606"/>
      <c r="L461" s="606"/>
      <c r="M461" s="606"/>
      <c r="N461" s="606"/>
      <c r="O461" s="606"/>
      <c r="P461" s="606"/>
      <c r="Q461" s="606"/>
      <c r="R461" s="606"/>
      <c r="S461" s="606"/>
      <c r="T461" s="606"/>
      <c r="U461" s="606"/>
      <c r="V461" s="606"/>
      <c r="W461" s="606"/>
      <c r="X461" s="640"/>
      <c r="Y461" s="607"/>
      <c r="Z461" s="607"/>
      <c r="AA461" s="607"/>
      <c r="AB461" s="607"/>
      <c r="AC461" s="607"/>
      <c r="AD461" s="607"/>
      <c r="AE461" s="607"/>
      <c r="AF461" s="607"/>
      <c r="AG461" s="607"/>
      <c r="AH461" s="607"/>
      <c r="AI461" s="607"/>
      <c r="AJ461" s="607"/>
      <c r="AK461" s="607"/>
      <c r="AL461" s="606"/>
      <c r="AM461" s="606"/>
      <c r="AN461" s="606"/>
      <c r="AO461" s="606"/>
    </row>
    <row r="462" spans="1:41" ht="11.25" hidden="1" customHeight="1">
      <c r="A462" s="608"/>
      <c r="B462" s="607"/>
      <c r="C462" s="607"/>
      <c r="D462" s="607"/>
      <c r="E462" s="607"/>
      <c r="F462" s="607"/>
      <c r="G462" s="606"/>
      <c r="H462" s="606"/>
      <c r="I462" s="606"/>
      <c r="J462" s="606"/>
      <c r="K462" s="606"/>
      <c r="L462" s="606"/>
      <c r="M462" s="606"/>
      <c r="N462" s="606"/>
      <c r="O462" s="606"/>
      <c r="P462" s="606"/>
      <c r="Q462" s="606"/>
      <c r="R462" s="606"/>
      <c r="S462" s="606"/>
      <c r="T462" s="606"/>
      <c r="U462" s="606"/>
      <c r="V462" s="606"/>
      <c r="W462" s="606"/>
      <c r="X462" s="640"/>
      <c r="Y462" s="607"/>
      <c r="Z462" s="607"/>
      <c r="AA462" s="607"/>
      <c r="AB462" s="607"/>
      <c r="AC462" s="607"/>
      <c r="AD462" s="607"/>
      <c r="AE462" s="607"/>
      <c r="AF462" s="607"/>
      <c r="AG462" s="607"/>
      <c r="AH462" s="607"/>
      <c r="AI462" s="607"/>
      <c r="AJ462" s="607"/>
      <c r="AK462" s="607"/>
      <c r="AL462" s="606"/>
      <c r="AM462" s="606"/>
      <c r="AN462" s="606"/>
      <c r="AO462" s="606"/>
    </row>
    <row r="463" spans="1:41" ht="11.25" hidden="1" customHeight="1">
      <c r="A463" s="608"/>
      <c r="B463" s="607"/>
      <c r="C463" s="607"/>
      <c r="D463" s="607"/>
      <c r="E463" s="607"/>
      <c r="F463" s="607"/>
      <c r="G463" s="606"/>
      <c r="H463" s="606"/>
      <c r="I463" s="606"/>
      <c r="J463" s="606"/>
      <c r="K463" s="606"/>
      <c r="L463" s="606"/>
      <c r="M463" s="606"/>
      <c r="N463" s="606"/>
      <c r="O463" s="606"/>
      <c r="P463" s="606"/>
      <c r="Q463" s="606"/>
      <c r="R463" s="606"/>
      <c r="S463" s="606"/>
      <c r="T463" s="606"/>
      <c r="U463" s="606"/>
      <c r="V463" s="606"/>
      <c r="W463" s="606"/>
      <c r="X463" s="640"/>
      <c r="Y463" s="607"/>
      <c r="Z463" s="607"/>
      <c r="AA463" s="607"/>
      <c r="AB463" s="607"/>
      <c r="AC463" s="607"/>
      <c r="AD463" s="607"/>
      <c r="AE463" s="607"/>
      <c r="AF463" s="607"/>
      <c r="AG463" s="607"/>
      <c r="AH463" s="607"/>
      <c r="AI463" s="607"/>
      <c r="AJ463" s="607"/>
      <c r="AK463" s="607"/>
      <c r="AL463" s="606"/>
      <c r="AM463" s="606"/>
      <c r="AN463" s="606"/>
      <c r="AO463" s="606"/>
    </row>
    <row r="464" spans="1:41" ht="11.25" hidden="1" customHeight="1">
      <c r="A464" s="608"/>
      <c r="B464" s="607"/>
      <c r="C464" s="607"/>
      <c r="D464" s="607"/>
      <c r="E464" s="607"/>
      <c r="F464" s="607"/>
      <c r="G464" s="606"/>
      <c r="H464" s="606"/>
      <c r="I464" s="606"/>
      <c r="J464" s="606"/>
      <c r="K464" s="606"/>
      <c r="L464" s="606"/>
      <c r="M464" s="606"/>
      <c r="N464" s="606"/>
      <c r="O464" s="606"/>
      <c r="P464" s="606"/>
      <c r="Q464" s="606"/>
      <c r="R464" s="606"/>
      <c r="S464" s="606"/>
      <c r="T464" s="606"/>
      <c r="U464" s="606"/>
      <c r="V464" s="606"/>
      <c r="W464" s="606"/>
      <c r="X464" s="640"/>
      <c r="Y464" s="607"/>
      <c r="Z464" s="607"/>
      <c r="AA464" s="607"/>
      <c r="AB464" s="607"/>
      <c r="AC464" s="607"/>
      <c r="AD464" s="607"/>
      <c r="AE464" s="607"/>
      <c r="AF464" s="607"/>
      <c r="AG464" s="607"/>
      <c r="AH464" s="607"/>
      <c r="AI464" s="607"/>
      <c r="AJ464" s="607"/>
      <c r="AK464" s="607"/>
      <c r="AL464" s="606"/>
      <c r="AM464" s="606"/>
      <c r="AN464" s="606"/>
      <c r="AO464" s="606"/>
    </row>
    <row r="465" spans="1:41" ht="11.25" hidden="1" customHeight="1">
      <c r="A465" s="608"/>
      <c r="B465" s="607"/>
      <c r="C465" s="607"/>
      <c r="D465" s="607"/>
      <c r="E465" s="607"/>
      <c r="F465" s="607"/>
      <c r="G465" s="606"/>
      <c r="H465" s="606"/>
      <c r="I465" s="606"/>
      <c r="J465" s="606"/>
      <c r="K465" s="606"/>
      <c r="L465" s="606"/>
      <c r="M465" s="606"/>
      <c r="N465" s="606"/>
      <c r="O465" s="606"/>
      <c r="P465" s="606"/>
      <c r="Q465" s="606"/>
      <c r="R465" s="606"/>
      <c r="S465" s="606"/>
      <c r="T465" s="606"/>
      <c r="U465" s="606"/>
      <c r="V465" s="606"/>
      <c r="W465" s="606"/>
      <c r="X465" s="640"/>
      <c r="Y465" s="607"/>
      <c r="Z465" s="607"/>
      <c r="AA465" s="607"/>
      <c r="AB465" s="607"/>
      <c r="AC465" s="607"/>
      <c r="AD465" s="607"/>
      <c r="AE465" s="607"/>
      <c r="AF465" s="607"/>
      <c r="AG465" s="607"/>
      <c r="AH465" s="607"/>
      <c r="AI465" s="607"/>
      <c r="AJ465" s="607"/>
      <c r="AK465" s="607"/>
      <c r="AL465" s="606"/>
      <c r="AM465" s="606"/>
      <c r="AN465" s="606"/>
      <c r="AO465" s="606"/>
    </row>
    <row r="466" spans="1:41" ht="11.25" hidden="1" customHeight="1">
      <c r="A466" s="608"/>
      <c r="B466" s="607"/>
      <c r="C466" s="607"/>
      <c r="D466" s="607"/>
      <c r="E466" s="607"/>
      <c r="F466" s="607"/>
      <c r="G466" s="606"/>
      <c r="H466" s="606"/>
      <c r="I466" s="606"/>
      <c r="J466" s="606"/>
      <c r="K466" s="606"/>
      <c r="L466" s="606"/>
      <c r="M466" s="606"/>
      <c r="N466" s="606"/>
      <c r="O466" s="606"/>
      <c r="P466" s="606"/>
      <c r="Q466" s="606"/>
      <c r="R466" s="606"/>
      <c r="S466" s="606"/>
      <c r="T466" s="606"/>
      <c r="U466" s="606"/>
      <c r="V466" s="606"/>
      <c r="W466" s="606"/>
      <c r="X466" s="640"/>
      <c r="Y466" s="607"/>
      <c r="Z466" s="607"/>
      <c r="AA466" s="607"/>
      <c r="AB466" s="607"/>
      <c r="AC466" s="607"/>
      <c r="AD466" s="607"/>
      <c r="AE466" s="607"/>
      <c r="AF466" s="607"/>
      <c r="AG466" s="607"/>
      <c r="AH466" s="607"/>
      <c r="AI466" s="607"/>
      <c r="AJ466" s="607"/>
      <c r="AK466" s="607"/>
      <c r="AL466" s="606"/>
      <c r="AM466" s="606"/>
      <c r="AN466" s="606"/>
      <c r="AO466" s="606"/>
    </row>
    <row r="467" spans="1:41" ht="11.25" hidden="1" customHeight="1">
      <c r="A467" s="608"/>
      <c r="B467" s="607"/>
      <c r="C467" s="607"/>
      <c r="D467" s="607"/>
      <c r="E467" s="607"/>
      <c r="F467" s="607"/>
      <c r="G467" s="606"/>
      <c r="H467" s="606"/>
      <c r="I467" s="606"/>
      <c r="J467" s="606"/>
      <c r="K467" s="606"/>
      <c r="L467" s="606"/>
      <c r="M467" s="606"/>
      <c r="N467" s="606"/>
      <c r="O467" s="606"/>
      <c r="P467" s="606"/>
      <c r="Q467" s="606"/>
      <c r="R467" s="606"/>
      <c r="S467" s="606"/>
      <c r="T467" s="606"/>
      <c r="U467" s="606"/>
      <c r="V467" s="606"/>
      <c r="W467" s="606"/>
      <c r="X467" s="640"/>
      <c r="Y467" s="607"/>
      <c r="Z467" s="607"/>
      <c r="AA467" s="607"/>
      <c r="AB467" s="607"/>
      <c r="AC467" s="607"/>
      <c r="AD467" s="607"/>
      <c r="AE467" s="607"/>
      <c r="AF467" s="607"/>
      <c r="AG467" s="607"/>
      <c r="AH467" s="607"/>
      <c r="AI467" s="607"/>
      <c r="AJ467" s="607"/>
      <c r="AK467" s="607"/>
      <c r="AL467" s="606"/>
      <c r="AM467" s="606"/>
      <c r="AN467" s="606"/>
      <c r="AO467" s="606"/>
    </row>
    <row r="468" spans="1:41" ht="11.25" hidden="1" customHeight="1">
      <c r="A468" s="608"/>
      <c r="B468" s="607"/>
      <c r="C468" s="607"/>
      <c r="D468" s="607"/>
      <c r="E468" s="607"/>
      <c r="F468" s="607"/>
      <c r="G468" s="606"/>
      <c r="H468" s="606"/>
      <c r="I468" s="606"/>
      <c r="J468" s="606"/>
      <c r="K468" s="606"/>
      <c r="L468" s="606"/>
      <c r="M468" s="606"/>
      <c r="N468" s="606"/>
      <c r="O468" s="606"/>
      <c r="P468" s="606"/>
      <c r="Q468" s="606"/>
      <c r="R468" s="606"/>
      <c r="S468" s="606"/>
      <c r="T468" s="606"/>
      <c r="U468" s="606"/>
      <c r="V468" s="606"/>
      <c r="W468" s="606"/>
      <c r="X468" s="640"/>
      <c r="Y468" s="607"/>
      <c r="Z468" s="607"/>
      <c r="AA468" s="607"/>
      <c r="AB468" s="607"/>
      <c r="AC468" s="607"/>
      <c r="AD468" s="607"/>
      <c r="AE468" s="607"/>
      <c r="AF468" s="607"/>
      <c r="AG468" s="607"/>
      <c r="AH468" s="607"/>
      <c r="AI468" s="607"/>
      <c r="AJ468" s="607"/>
      <c r="AK468" s="607"/>
      <c r="AL468" s="606"/>
      <c r="AM468" s="606"/>
      <c r="AN468" s="606"/>
      <c r="AO468" s="606"/>
    </row>
    <row r="469" spans="1:41" ht="11.25" hidden="1" customHeight="1">
      <c r="A469" s="608"/>
      <c r="B469" s="607"/>
      <c r="C469" s="607"/>
      <c r="D469" s="607"/>
      <c r="E469" s="607"/>
      <c r="F469" s="607"/>
      <c r="G469" s="606"/>
      <c r="H469" s="606"/>
      <c r="I469" s="606"/>
      <c r="J469" s="606"/>
      <c r="K469" s="606"/>
      <c r="L469" s="606"/>
      <c r="M469" s="606"/>
      <c r="N469" s="606"/>
      <c r="O469" s="606"/>
      <c r="P469" s="606"/>
      <c r="Q469" s="606"/>
      <c r="R469" s="606"/>
      <c r="S469" s="606"/>
      <c r="T469" s="606"/>
      <c r="U469" s="606"/>
      <c r="V469" s="606"/>
      <c r="W469" s="606"/>
      <c r="X469" s="640"/>
      <c r="Y469" s="607"/>
      <c r="Z469" s="607"/>
      <c r="AA469" s="607"/>
      <c r="AB469" s="607"/>
      <c r="AC469" s="607"/>
      <c r="AD469" s="607"/>
      <c r="AE469" s="607"/>
      <c r="AF469" s="607"/>
      <c r="AG469" s="607"/>
      <c r="AH469" s="607"/>
      <c r="AI469" s="607"/>
      <c r="AJ469" s="607"/>
      <c r="AK469" s="607"/>
      <c r="AL469" s="606"/>
      <c r="AM469" s="606"/>
      <c r="AN469" s="606"/>
      <c r="AO469" s="606"/>
    </row>
    <row r="470" spans="1:41" ht="11.25" hidden="1" customHeight="1">
      <c r="A470" s="608"/>
      <c r="B470" s="607"/>
      <c r="C470" s="607"/>
      <c r="D470" s="607"/>
      <c r="E470" s="607"/>
      <c r="F470" s="607"/>
      <c r="G470" s="606"/>
      <c r="H470" s="606"/>
      <c r="I470" s="606"/>
      <c r="J470" s="606"/>
      <c r="K470" s="606"/>
      <c r="L470" s="606"/>
      <c r="M470" s="606"/>
      <c r="N470" s="606"/>
      <c r="O470" s="606"/>
      <c r="P470" s="606"/>
      <c r="Q470" s="606"/>
      <c r="R470" s="606"/>
      <c r="S470" s="606"/>
      <c r="T470" s="606"/>
      <c r="U470" s="606"/>
      <c r="V470" s="606"/>
      <c r="W470" s="606"/>
      <c r="X470" s="640"/>
      <c r="Y470" s="607"/>
      <c r="Z470" s="607"/>
      <c r="AA470" s="607"/>
      <c r="AB470" s="607"/>
      <c r="AC470" s="607"/>
      <c r="AD470" s="607"/>
      <c r="AE470" s="607"/>
      <c r="AF470" s="607"/>
      <c r="AG470" s="607"/>
      <c r="AH470" s="607"/>
      <c r="AI470" s="607"/>
      <c r="AJ470" s="607"/>
      <c r="AK470" s="607"/>
      <c r="AL470" s="606"/>
      <c r="AM470" s="606"/>
      <c r="AN470" s="606"/>
      <c r="AO470" s="606"/>
    </row>
    <row r="471" spans="1:41" ht="11.25" hidden="1" customHeight="1">
      <c r="A471" s="608"/>
      <c r="B471" s="607"/>
      <c r="C471" s="607"/>
      <c r="D471" s="607"/>
      <c r="E471" s="607"/>
      <c r="F471" s="607"/>
      <c r="G471" s="606"/>
      <c r="H471" s="606"/>
      <c r="I471" s="606"/>
      <c r="J471" s="606"/>
      <c r="K471" s="606"/>
      <c r="L471" s="606"/>
      <c r="M471" s="606"/>
      <c r="N471" s="606"/>
      <c r="O471" s="606"/>
      <c r="P471" s="606"/>
      <c r="Q471" s="606"/>
      <c r="R471" s="606"/>
      <c r="S471" s="606"/>
      <c r="T471" s="606"/>
      <c r="U471" s="606"/>
      <c r="V471" s="606"/>
      <c r="W471" s="606"/>
      <c r="X471" s="640"/>
      <c r="Y471" s="607"/>
      <c r="Z471" s="607"/>
      <c r="AA471" s="607"/>
      <c r="AB471" s="607"/>
      <c r="AC471" s="607"/>
      <c r="AD471" s="607"/>
      <c r="AE471" s="607"/>
      <c r="AF471" s="607"/>
      <c r="AG471" s="607"/>
      <c r="AH471" s="607"/>
      <c r="AI471" s="607"/>
      <c r="AJ471" s="607"/>
      <c r="AK471" s="607"/>
      <c r="AL471" s="606"/>
      <c r="AM471" s="606"/>
      <c r="AN471" s="606"/>
      <c r="AO471" s="606"/>
    </row>
    <row r="472" spans="1:41" ht="11.25" hidden="1" customHeight="1">
      <c r="A472" s="608"/>
      <c r="B472" s="607"/>
      <c r="C472" s="607"/>
      <c r="D472" s="607"/>
      <c r="E472" s="607"/>
      <c r="F472" s="607"/>
      <c r="G472" s="606"/>
      <c r="H472" s="606"/>
      <c r="I472" s="606"/>
      <c r="J472" s="606"/>
      <c r="K472" s="606"/>
      <c r="L472" s="606"/>
      <c r="M472" s="606"/>
      <c r="N472" s="606"/>
      <c r="O472" s="606"/>
      <c r="P472" s="606"/>
      <c r="Q472" s="606"/>
      <c r="R472" s="606"/>
      <c r="S472" s="606"/>
      <c r="T472" s="606"/>
      <c r="U472" s="606"/>
      <c r="V472" s="606"/>
      <c r="W472" s="606"/>
      <c r="X472" s="640"/>
      <c r="Y472" s="607"/>
      <c r="Z472" s="607"/>
      <c r="AA472" s="607"/>
      <c r="AB472" s="607"/>
      <c r="AC472" s="607"/>
      <c r="AD472" s="607"/>
      <c r="AE472" s="607"/>
      <c r="AF472" s="607"/>
      <c r="AG472" s="607"/>
      <c r="AH472" s="607"/>
      <c r="AI472" s="607"/>
      <c r="AJ472" s="607"/>
      <c r="AK472" s="607"/>
      <c r="AL472" s="606"/>
      <c r="AM472" s="606"/>
      <c r="AN472" s="606"/>
      <c r="AO472" s="606"/>
    </row>
    <row r="473" spans="1:41" ht="11.25" hidden="1" customHeight="1">
      <c r="A473" s="608"/>
      <c r="B473" s="607"/>
      <c r="C473" s="607"/>
      <c r="D473" s="607"/>
      <c r="E473" s="607"/>
      <c r="F473" s="607"/>
      <c r="G473" s="606"/>
      <c r="H473" s="606"/>
      <c r="I473" s="606"/>
      <c r="J473" s="606"/>
      <c r="K473" s="606"/>
      <c r="L473" s="606"/>
      <c r="M473" s="606"/>
      <c r="N473" s="606"/>
      <c r="O473" s="606"/>
      <c r="P473" s="606"/>
      <c r="Q473" s="606"/>
      <c r="R473" s="606"/>
      <c r="S473" s="606"/>
      <c r="T473" s="606"/>
      <c r="U473" s="606"/>
      <c r="V473" s="606"/>
      <c r="W473" s="606"/>
      <c r="X473" s="640"/>
      <c r="Y473" s="607"/>
      <c r="Z473" s="607"/>
      <c r="AA473" s="607"/>
      <c r="AB473" s="607"/>
      <c r="AC473" s="607"/>
      <c r="AD473" s="607"/>
      <c r="AE473" s="607"/>
      <c r="AF473" s="607"/>
      <c r="AG473" s="607"/>
      <c r="AH473" s="607"/>
      <c r="AI473" s="607"/>
      <c r="AJ473" s="607"/>
      <c r="AK473" s="607"/>
      <c r="AL473" s="606"/>
      <c r="AM473" s="606"/>
      <c r="AN473" s="606"/>
      <c r="AO473" s="606"/>
    </row>
    <row r="474" spans="1:41" ht="11.25" hidden="1" customHeight="1">
      <c r="A474" s="608"/>
      <c r="B474" s="607"/>
      <c r="C474" s="607"/>
      <c r="D474" s="607"/>
      <c r="E474" s="607"/>
      <c r="F474" s="607"/>
      <c r="G474" s="606"/>
      <c r="H474" s="606"/>
      <c r="I474" s="606"/>
      <c r="J474" s="606"/>
      <c r="K474" s="606"/>
      <c r="L474" s="606"/>
      <c r="M474" s="606"/>
      <c r="N474" s="606"/>
      <c r="O474" s="606"/>
      <c r="P474" s="606"/>
      <c r="Q474" s="606"/>
      <c r="R474" s="606"/>
      <c r="S474" s="606"/>
      <c r="T474" s="606"/>
      <c r="U474" s="606"/>
      <c r="V474" s="606"/>
      <c r="W474" s="606"/>
      <c r="X474" s="640"/>
      <c r="Y474" s="607"/>
      <c r="Z474" s="607"/>
      <c r="AA474" s="607"/>
      <c r="AB474" s="607"/>
      <c r="AC474" s="607"/>
      <c r="AD474" s="607"/>
      <c r="AE474" s="607"/>
      <c r="AF474" s="607"/>
      <c r="AG474" s="607"/>
      <c r="AH474" s="607"/>
      <c r="AI474" s="607"/>
      <c r="AJ474" s="607"/>
      <c r="AK474" s="607"/>
      <c r="AL474" s="606"/>
      <c r="AM474" s="606"/>
      <c r="AN474" s="606"/>
      <c r="AO474" s="606"/>
    </row>
    <row r="475" spans="1:41" ht="11.25" hidden="1" customHeight="1">
      <c r="A475" s="608"/>
      <c r="B475" s="607"/>
      <c r="C475" s="607"/>
      <c r="D475" s="607"/>
      <c r="E475" s="607"/>
      <c r="F475" s="607"/>
      <c r="G475" s="606"/>
      <c r="H475" s="606"/>
      <c r="I475" s="606"/>
      <c r="J475" s="606"/>
      <c r="K475" s="606"/>
      <c r="L475" s="606"/>
      <c r="M475" s="606"/>
      <c r="N475" s="606"/>
      <c r="O475" s="606"/>
      <c r="P475" s="606"/>
      <c r="Q475" s="606"/>
      <c r="R475" s="606"/>
      <c r="S475" s="606"/>
      <c r="T475" s="606"/>
      <c r="U475" s="606"/>
      <c r="V475" s="606"/>
      <c r="W475" s="606"/>
      <c r="X475" s="640"/>
      <c r="Y475" s="607"/>
      <c r="Z475" s="607"/>
      <c r="AA475" s="607"/>
      <c r="AB475" s="607"/>
      <c r="AC475" s="607"/>
      <c r="AD475" s="607"/>
      <c r="AE475" s="607"/>
      <c r="AF475" s="607"/>
      <c r="AG475" s="607"/>
      <c r="AH475" s="607"/>
      <c r="AI475" s="607"/>
      <c r="AJ475" s="607"/>
      <c r="AK475" s="607"/>
      <c r="AL475" s="606"/>
      <c r="AM475" s="606"/>
      <c r="AN475" s="606"/>
      <c r="AO475" s="606"/>
    </row>
    <row r="476" spans="1:41" ht="11.25" hidden="1" customHeight="1">
      <c r="A476" s="608"/>
      <c r="B476" s="607"/>
      <c r="C476" s="607"/>
      <c r="D476" s="607"/>
      <c r="E476" s="607"/>
      <c r="F476" s="607"/>
      <c r="G476" s="606"/>
      <c r="H476" s="606"/>
      <c r="I476" s="606"/>
      <c r="J476" s="606"/>
      <c r="K476" s="606"/>
      <c r="L476" s="606"/>
      <c r="M476" s="606"/>
      <c r="N476" s="606"/>
      <c r="O476" s="606"/>
      <c r="P476" s="606"/>
      <c r="Q476" s="606"/>
      <c r="R476" s="606"/>
      <c r="S476" s="606"/>
      <c r="T476" s="606"/>
      <c r="U476" s="606"/>
      <c r="V476" s="606"/>
      <c r="W476" s="606"/>
      <c r="X476" s="640"/>
      <c r="Y476" s="607"/>
      <c r="Z476" s="607"/>
      <c r="AA476" s="607"/>
      <c r="AB476" s="607"/>
      <c r="AC476" s="607"/>
      <c r="AD476" s="607"/>
      <c r="AE476" s="607"/>
      <c r="AF476" s="607"/>
      <c r="AG476" s="607"/>
      <c r="AH476" s="607"/>
      <c r="AI476" s="607"/>
      <c r="AJ476" s="607"/>
      <c r="AK476" s="607"/>
      <c r="AL476" s="606"/>
      <c r="AM476" s="606"/>
      <c r="AN476" s="606"/>
      <c r="AO476" s="606"/>
    </row>
    <row r="477" spans="1:41" ht="11.25" hidden="1" customHeight="1">
      <c r="A477" s="608"/>
      <c r="B477" s="607"/>
      <c r="C477" s="607"/>
      <c r="D477" s="607"/>
      <c r="E477" s="607"/>
      <c r="F477" s="607"/>
      <c r="G477" s="606"/>
      <c r="H477" s="606"/>
      <c r="I477" s="606"/>
      <c r="J477" s="606"/>
      <c r="K477" s="606"/>
      <c r="L477" s="606"/>
      <c r="M477" s="606"/>
      <c r="N477" s="606"/>
      <c r="O477" s="606"/>
      <c r="P477" s="606"/>
      <c r="Q477" s="606"/>
      <c r="R477" s="606"/>
      <c r="S477" s="606"/>
      <c r="T477" s="606"/>
      <c r="U477" s="606"/>
      <c r="V477" s="606"/>
      <c r="W477" s="606"/>
      <c r="X477" s="640"/>
      <c r="Y477" s="607"/>
      <c r="Z477" s="607"/>
      <c r="AA477" s="607"/>
      <c r="AB477" s="607"/>
      <c r="AC477" s="607"/>
      <c r="AD477" s="607"/>
      <c r="AE477" s="607"/>
      <c r="AF477" s="607"/>
      <c r="AG477" s="607"/>
      <c r="AH477" s="607"/>
      <c r="AI477" s="607"/>
      <c r="AJ477" s="607"/>
      <c r="AK477" s="607"/>
      <c r="AL477" s="606"/>
      <c r="AM477" s="606"/>
      <c r="AN477" s="606"/>
      <c r="AO477" s="606"/>
    </row>
    <row r="478" spans="1:41" ht="11.25" hidden="1" customHeight="1">
      <c r="A478" s="608"/>
      <c r="B478" s="607"/>
      <c r="C478" s="607"/>
      <c r="D478" s="607"/>
      <c r="E478" s="607"/>
      <c r="F478" s="607"/>
      <c r="G478" s="606"/>
      <c r="H478" s="606"/>
      <c r="I478" s="606"/>
      <c r="J478" s="606"/>
      <c r="K478" s="606"/>
      <c r="L478" s="606"/>
      <c r="M478" s="606"/>
      <c r="N478" s="606"/>
      <c r="O478" s="606"/>
      <c r="P478" s="606"/>
      <c r="Q478" s="606"/>
      <c r="R478" s="606"/>
      <c r="S478" s="606"/>
      <c r="T478" s="606"/>
      <c r="U478" s="606"/>
      <c r="V478" s="606"/>
      <c r="W478" s="606"/>
      <c r="X478" s="640"/>
      <c r="Y478" s="607"/>
      <c r="Z478" s="607"/>
      <c r="AA478" s="607"/>
      <c r="AB478" s="607"/>
      <c r="AC478" s="607"/>
      <c r="AD478" s="607"/>
      <c r="AE478" s="607"/>
      <c r="AF478" s="607"/>
      <c r="AG478" s="607"/>
      <c r="AH478" s="607"/>
      <c r="AI478" s="607"/>
      <c r="AJ478" s="607"/>
      <c r="AK478" s="607"/>
      <c r="AL478" s="606"/>
      <c r="AM478" s="606"/>
      <c r="AN478" s="606"/>
      <c r="AO478" s="606"/>
    </row>
    <row r="479" spans="1:41" ht="11.25" hidden="1" customHeight="1">
      <c r="A479" s="608"/>
      <c r="B479" s="607"/>
      <c r="C479" s="607"/>
      <c r="D479" s="607"/>
      <c r="E479" s="607"/>
      <c r="F479" s="607"/>
      <c r="G479" s="606"/>
      <c r="H479" s="606"/>
      <c r="I479" s="606"/>
      <c r="J479" s="606"/>
      <c r="K479" s="606"/>
      <c r="L479" s="606"/>
      <c r="M479" s="606"/>
      <c r="N479" s="606"/>
      <c r="O479" s="606"/>
      <c r="P479" s="606"/>
      <c r="Q479" s="606"/>
      <c r="R479" s="606"/>
      <c r="S479" s="606"/>
      <c r="T479" s="606"/>
      <c r="U479" s="606"/>
      <c r="V479" s="606"/>
      <c r="W479" s="606"/>
      <c r="X479" s="640"/>
      <c r="Y479" s="607"/>
      <c r="Z479" s="607"/>
      <c r="AA479" s="607"/>
      <c r="AB479" s="607"/>
      <c r="AC479" s="607"/>
      <c r="AD479" s="607"/>
      <c r="AE479" s="607"/>
      <c r="AF479" s="607"/>
      <c r="AG479" s="607"/>
      <c r="AH479" s="607"/>
      <c r="AI479" s="607"/>
      <c r="AJ479" s="607"/>
      <c r="AK479" s="607"/>
      <c r="AL479" s="606"/>
      <c r="AM479" s="606"/>
      <c r="AN479" s="606"/>
      <c r="AO479" s="606"/>
    </row>
    <row r="480" spans="1:41" ht="11.25" hidden="1" customHeight="1">
      <c r="A480" s="608"/>
      <c r="B480" s="607"/>
      <c r="C480" s="607"/>
      <c r="D480" s="607"/>
      <c r="E480" s="607"/>
      <c r="F480" s="607"/>
      <c r="G480" s="606"/>
      <c r="H480" s="606"/>
      <c r="I480" s="606"/>
      <c r="J480" s="606"/>
      <c r="K480" s="606"/>
      <c r="L480" s="606"/>
      <c r="M480" s="606"/>
      <c r="N480" s="606"/>
      <c r="O480" s="606"/>
      <c r="P480" s="606"/>
      <c r="Q480" s="606"/>
      <c r="R480" s="606"/>
      <c r="S480" s="606"/>
      <c r="T480" s="606"/>
      <c r="U480" s="606"/>
      <c r="V480" s="606"/>
      <c r="W480" s="606"/>
      <c r="X480" s="640"/>
      <c r="Y480" s="607"/>
      <c r="Z480" s="607"/>
      <c r="AA480" s="607"/>
      <c r="AB480" s="607"/>
      <c r="AC480" s="607"/>
      <c r="AD480" s="607"/>
      <c r="AE480" s="607"/>
      <c r="AF480" s="607"/>
      <c r="AG480" s="607"/>
      <c r="AH480" s="607"/>
      <c r="AI480" s="607"/>
      <c r="AJ480" s="607"/>
      <c r="AK480" s="607"/>
      <c r="AL480" s="606"/>
      <c r="AM480" s="606"/>
      <c r="AN480" s="606"/>
      <c r="AO480" s="606"/>
    </row>
    <row r="481" spans="1:41" ht="11.25" hidden="1" customHeight="1">
      <c r="A481" s="608"/>
      <c r="B481" s="607"/>
      <c r="C481" s="607"/>
      <c r="D481" s="607"/>
      <c r="E481" s="607"/>
      <c r="F481" s="607"/>
      <c r="G481" s="606"/>
      <c r="H481" s="606"/>
      <c r="I481" s="606"/>
      <c r="J481" s="606"/>
      <c r="K481" s="606"/>
      <c r="L481" s="606"/>
      <c r="M481" s="606"/>
      <c r="N481" s="606"/>
      <c r="O481" s="606"/>
      <c r="P481" s="606"/>
      <c r="Q481" s="606"/>
      <c r="R481" s="606"/>
      <c r="S481" s="606"/>
      <c r="T481" s="606"/>
      <c r="U481" s="606"/>
      <c r="V481" s="606"/>
      <c r="W481" s="606"/>
      <c r="X481" s="640"/>
      <c r="Y481" s="607"/>
      <c r="Z481" s="607"/>
      <c r="AA481" s="607"/>
      <c r="AB481" s="607"/>
      <c r="AC481" s="607"/>
      <c r="AD481" s="607"/>
      <c r="AE481" s="607"/>
      <c r="AF481" s="607"/>
      <c r="AG481" s="607"/>
      <c r="AH481" s="607"/>
      <c r="AI481" s="607"/>
      <c r="AJ481" s="607"/>
      <c r="AK481" s="607"/>
      <c r="AL481" s="606"/>
      <c r="AM481" s="606"/>
      <c r="AN481" s="606"/>
      <c r="AO481" s="606"/>
    </row>
    <row r="482" spans="1:41" ht="11.25" hidden="1" customHeight="1">
      <c r="A482" s="608"/>
      <c r="B482" s="607"/>
      <c r="C482" s="607"/>
      <c r="D482" s="607"/>
      <c r="E482" s="607"/>
      <c r="F482" s="607"/>
      <c r="G482" s="606"/>
      <c r="H482" s="606"/>
      <c r="I482" s="606"/>
      <c r="J482" s="606"/>
      <c r="K482" s="606"/>
      <c r="L482" s="606"/>
      <c r="M482" s="606"/>
      <c r="N482" s="606"/>
      <c r="O482" s="606"/>
      <c r="P482" s="606"/>
      <c r="Q482" s="606"/>
      <c r="R482" s="606"/>
      <c r="S482" s="606"/>
      <c r="T482" s="606"/>
      <c r="U482" s="606"/>
      <c r="V482" s="606"/>
      <c r="W482" s="606"/>
      <c r="X482" s="640"/>
      <c r="Y482" s="607"/>
      <c r="Z482" s="607"/>
      <c r="AA482" s="607"/>
      <c r="AB482" s="607"/>
      <c r="AC482" s="607"/>
      <c r="AD482" s="607"/>
      <c r="AE482" s="607"/>
      <c r="AF482" s="607"/>
      <c r="AG482" s="607"/>
      <c r="AH482" s="607"/>
      <c r="AI482" s="607"/>
      <c r="AJ482" s="607"/>
      <c r="AK482" s="607"/>
      <c r="AL482" s="606"/>
      <c r="AM482" s="606"/>
      <c r="AN482" s="606"/>
      <c r="AO482" s="606"/>
    </row>
    <row r="483" spans="1:41" ht="11.25" hidden="1" customHeight="1">
      <c r="A483" s="608"/>
      <c r="B483" s="607"/>
      <c r="C483" s="607"/>
      <c r="D483" s="607"/>
      <c r="E483" s="607"/>
      <c r="F483" s="607"/>
      <c r="G483" s="606"/>
      <c r="H483" s="606"/>
      <c r="I483" s="606"/>
      <c r="J483" s="606"/>
      <c r="K483" s="606"/>
      <c r="L483" s="606"/>
      <c r="M483" s="606"/>
      <c r="N483" s="606"/>
      <c r="O483" s="606"/>
      <c r="P483" s="606"/>
      <c r="Q483" s="606"/>
      <c r="R483" s="606"/>
      <c r="S483" s="606"/>
      <c r="T483" s="606"/>
      <c r="U483" s="606"/>
      <c r="V483" s="606"/>
      <c r="W483" s="606"/>
      <c r="X483" s="640"/>
      <c r="Y483" s="607"/>
      <c r="Z483" s="607"/>
      <c r="AA483" s="607"/>
      <c r="AB483" s="607"/>
      <c r="AC483" s="607"/>
      <c r="AD483" s="607"/>
      <c r="AE483" s="607"/>
      <c r="AF483" s="607"/>
      <c r="AG483" s="607"/>
      <c r="AH483" s="607"/>
      <c r="AI483" s="607"/>
      <c r="AJ483" s="607"/>
      <c r="AK483" s="607"/>
      <c r="AL483" s="606"/>
      <c r="AM483" s="606"/>
      <c r="AN483" s="606"/>
      <c r="AO483" s="606"/>
    </row>
    <row r="484" spans="1:41" ht="11.25" hidden="1" customHeight="1">
      <c r="A484" s="608"/>
      <c r="B484" s="607"/>
      <c r="C484" s="607"/>
      <c r="D484" s="607"/>
      <c r="E484" s="607"/>
      <c r="F484" s="607"/>
      <c r="G484" s="606"/>
      <c r="H484" s="606"/>
      <c r="I484" s="606"/>
      <c r="J484" s="606"/>
      <c r="K484" s="606"/>
      <c r="L484" s="606"/>
      <c r="M484" s="606"/>
      <c r="N484" s="606"/>
      <c r="O484" s="606"/>
      <c r="P484" s="606"/>
      <c r="Q484" s="606"/>
      <c r="R484" s="606"/>
      <c r="S484" s="606"/>
      <c r="T484" s="606"/>
      <c r="U484" s="606"/>
      <c r="V484" s="606"/>
      <c r="W484" s="606"/>
      <c r="X484" s="640"/>
      <c r="Y484" s="607"/>
      <c r="Z484" s="607"/>
      <c r="AA484" s="607"/>
      <c r="AB484" s="607"/>
      <c r="AC484" s="607"/>
      <c r="AD484" s="607"/>
      <c r="AE484" s="607"/>
      <c r="AF484" s="607"/>
      <c r="AG484" s="607"/>
      <c r="AH484" s="607"/>
      <c r="AI484" s="607"/>
      <c r="AJ484" s="607"/>
      <c r="AK484" s="607"/>
      <c r="AL484" s="606"/>
      <c r="AM484" s="606"/>
      <c r="AN484" s="606"/>
      <c r="AO484" s="606"/>
    </row>
    <row r="485" spans="1:41" ht="11.25" hidden="1" customHeight="1">
      <c r="A485" s="608"/>
      <c r="B485" s="607"/>
      <c r="C485" s="607"/>
      <c r="D485" s="607"/>
      <c r="E485" s="607"/>
      <c r="F485" s="607"/>
      <c r="G485" s="606"/>
      <c r="H485" s="606"/>
      <c r="I485" s="606"/>
      <c r="J485" s="606"/>
      <c r="K485" s="606"/>
      <c r="L485" s="606"/>
      <c r="M485" s="606"/>
      <c r="N485" s="606"/>
      <c r="O485" s="606"/>
      <c r="P485" s="606"/>
      <c r="Q485" s="606"/>
      <c r="R485" s="606"/>
      <c r="S485" s="606"/>
      <c r="T485" s="606"/>
      <c r="U485" s="606"/>
      <c r="V485" s="606"/>
      <c r="W485" s="606"/>
      <c r="X485" s="640"/>
      <c r="Y485" s="607"/>
      <c r="Z485" s="607"/>
      <c r="AA485" s="607"/>
      <c r="AB485" s="607"/>
      <c r="AC485" s="607"/>
      <c r="AD485" s="607"/>
      <c r="AE485" s="607"/>
      <c r="AF485" s="607"/>
      <c r="AG485" s="607"/>
      <c r="AH485" s="607"/>
      <c r="AI485" s="607"/>
      <c r="AJ485" s="607"/>
      <c r="AK485" s="607"/>
      <c r="AL485" s="606"/>
      <c r="AM485" s="606"/>
      <c r="AN485" s="606"/>
      <c r="AO485" s="606"/>
    </row>
    <row r="486" spans="1:41" ht="11.25" hidden="1" customHeight="1">
      <c r="A486" s="608"/>
      <c r="B486" s="607"/>
      <c r="C486" s="607"/>
      <c r="D486" s="607"/>
      <c r="E486" s="607"/>
      <c r="F486" s="607"/>
      <c r="G486" s="606"/>
      <c r="H486" s="606"/>
      <c r="I486" s="606"/>
      <c r="J486" s="606"/>
      <c r="K486" s="606"/>
      <c r="L486" s="606"/>
      <c r="M486" s="606"/>
      <c r="N486" s="606"/>
      <c r="O486" s="606"/>
      <c r="P486" s="606"/>
      <c r="Q486" s="606"/>
      <c r="R486" s="606"/>
      <c r="S486" s="606"/>
      <c r="T486" s="606"/>
      <c r="U486" s="606"/>
      <c r="V486" s="606"/>
      <c r="W486" s="606"/>
      <c r="X486" s="640"/>
      <c r="Y486" s="607"/>
      <c r="Z486" s="607"/>
      <c r="AA486" s="607"/>
      <c r="AB486" s="607"/>
      <c r="AC486" s="607"/>
      <c r="AD486" s="607"/>
      <c r="AE486" s="607"/>
      <c r="AF486" s="607"/>
      <c r="AG486" s="607"/>
      <c r="AH486" s="607"/>
      <c r="AI486" s="607"/>
      <c r="AJ486" s="607"/>
      <c r="AK486" s="607"/>
      <c r="AL486" s="606"/>
      <c r="AM486" s="606"/>
      <c r="AN486" s="606"/>
      <c r="AO486" s="606"/>
    </row>
    <row r="487" spans="1:41" ht="11.25" hidden="1" customHeight="1">
      <c r="A487" s="608"/>
      <c r="B487" s="607"/>
      <c r="C487" s="607"/>
      <c r="D487" s="607"/>
      <c r="E487" s="607"/>
      <c r="F487" s="607"/>
      <c r="G487" s="606"/>
      <c r="H487" s="606"/>
      <c r="I487" s="606"/>
      <c r="J487" s="606"/>
      <c r="K487" s="606"/>
      <c r="L487" s="606"/>
      <c r="M487" s="606"/>
      <c r="N487" s="606"/>
      <c r="O487" s="606"/>
      <c r="P487" s="606"/>
      <c r="Q487" s="606"/>
      <c r="R487" s="606"/>
      <c r="S487" s="606"/>
      <c r="T487" s="606"/>
      <c r="U487" s="606"/>
      <c r="V487" s="606"/>
      <c r="W487" s="606"/>
      <c r="X487" s="640"/>
      <c r="Y487" s="607"/>
      <c r="Z487" s="607"/>
      <c r="AA487" s="607"/>
      <c r="AB487" s="607"/>
      <c r="AC487" s="607"/>
      <c r="AD487" s="607"/>
      <c r="AE487" s="607"/>
      <c r="AF487" s="607"/>
      <c r="AG487" s="607"/>
      <c r="AH487" s="607"/>
      <c r="AI487" s="607"/>
      <c r="AJ487" s="607"/>
      <c r="AK487" s="607"/>
      <c r="AL487" s="606"/>
      <c r="AM487" s="606"/>
      <c r="AN487" s="606"/>
      <c r="AO487" s="606"/>
    </row>
    <row r="488" spans="1:41" ht="11.25" hidden="1" customHeight="1">
      <c r="A488" s="608"/>
      <c r="B488" s="607"/>
      <c r="C488" s="607"/>
      <c r="D488" s="607"/>
      <c r="E488" s="607"/>
      <c r="F488" s="607"/>
      <c r="G488" s="606"/>
      <c r="H488" s="606"/>
      <c r="I488" s="606"/>
      <c r="J488" s="606"/>
      <c r="K488" s="606"/>
      <c r="L488" s="606"/>
      <c r="M488" s="606"/>
      <c r="N488" s="606"/>
      <c r="O488" s="606"/>
      <c r="P488" s="606"/>
      <c r="Q488" s="606"/>
      <c r="R488" s="606"/>
      <c r="S488" s="606"/>
      <c r="T488" s="606"/>
      <c r="U488" s="606"/>
      <c r="V488" s="606"/>
      <c r="W488" s="606"/>
      <c r="X488" s="640"/>
      <c r="Y488" s="607"/>
      <c r="Z488" s="607"/>
      <c r="AA488" s="607"/>
      <c r="AB488" s="607"/>
      <c r="AC488" s="607"/>
      <c r="AD488" s="607"/>
      <c r="AE488" s="607"/>
      <c r="AF488" s="607"/>
      <c r="AG488" s="607"/>
      <c r="AH488" s="607"/>
      <c r="AI488" s="607"/>
      <c r="AJ488" s="607"/>
      <c r="AK488" s="607"/>
      <c r="AL488" s="606"/>
      <c r="AM488" s="606"/>
      <c r="AN488" s="606"/>
      <c r="AO488" s="606"/>
    </row>
    <row r="489" spans="1:41" ht="11.25" hidden="1" customHeight="1">
      <c r="A489" s="608"/>
      <c r="B489" s="607"/>
      <c r="C489" s="607"/>
      <c r="D489" s="607"/>
      <c r="E489" s="607"/>
      <c r="F489" s="607"/>
      <c r="G489" s="606"/>
      <c r="H489" s="606"/>
      <c r="I489" s="606"/>
      <c r="J489" s="606"/>
      <c r="K489" s="606"/>
      <c r="L489" s="606"/>
      <c r="M489" s="606"/>
      <c r="N489" s="606"/>
      <c r="O489" s="606"/>
      <c r="P489" s="606"/>
      <c r="Q489" s="606"/>
      <c r="R489" s="606"/>
      <c r="S489" s="606"/>
      <c r="T489" s="606"/>
      <c r="U489" s="606"/>
      <c r="V489" s="606"/>
      <c r="W489" s="606"/>
      <c r="X489" s="640"/>
      <c r="Y489" s="607"/>
      <c r="Z489" s="607"/>
      <c r="AA489" s="607"/>
      <c r="AB489" s="607"/>
      <c r="AC489" s="607"/>
      <c r="AD489" s="607"/>
      <c r="AE489" s="607"/>
      <c r="AF489" s="607"/>
      <c r="AG489" s="607"/>
      <c r="AH489" s="607"/>
      <c r="AI489" s="607"/>
      <c r="AJ489" s="607"/>
      <c r="AK489" s="607"/>
      <c r="AL489" s="606"/>
      <c r="AM489" s="606"/>
      <c r="AN489" s="606"/>
      <c r="AO489" s="606"/>
    </row>
    <row r="490" spans="1:41" ht="11.25" hidden="1" customHeight="1">
      <c r="A490" s="608"/>
      <c r="B490" s="607"/>
      <c r="C490" s="607"/>
      <c r="D490" s="607"/>
      <c r="E490" s="607"/>
      <c r="F490" s="607"/>
      <c r="G490" s="606"/>
      <c r="H490" s="606"/>
      <c r="I490" s="606"/>
      <c r="J490" s="606"/>
      <c r="K490" s="606"/>
      <c r="L490" s="606"/>
      <c r="M490" s="606"/>
      <c r="N490" s="606"/>
      <c r="O490" s="606"/>
      <c r="P490" s="606"/>
      <c r="Q490" s="606"/>
      <c r="R490" s="606"/>
      <c r="S490" s="606"/>
      <c r="T490" s="606"/>
      <c r="U490" s="606"/>
      <c r="V490" s="606"/>
      <c r="W490" s="606"/>
      <c r="X490" s="640"/>
      <c r="Y490" s="607"/>
      <c r="Z490" s="607"/>
      <c r="AA490" s="607"/>
      <c r="AB490" s="607"/>
      <c r="AC490" s="607"/>
      <c r="AD490" s="607"/>
      <c r="AE490" s="607"/>
      <c r="AF490" s="607"/>
      <c r="AG490" s="607"/>
      <c r="AH490" s="607"/>
      <c r="AI490" s="607"/>
      <c r="AJ490" s="607"/>
      <c r="AK490" s="607"/>
      <c r="AL490" s="606"/>
      <c r="AM490" s="606"/>
      <c r="AN490" s="606"/>
      <c r="AO490" s="606"/>
    </row>
    <row r="491" spans="1:41" ht="11.25" hidden="1" customHeight="1">
      <c r="A491" s="608"/>
      <c r="B491" s="607"/>
      <c r="C491" s="607"/>
      <c r="D491" s="607"/>
      <c r="E491" s="607"/>
      <c r="F491" s="607"/>
      <c r="G491" s="606"/>
      <c r="H491" s="606"/>
      <c r="I491" s="606"/>
      <c r="J491" s="606"/>
      <c r="K491" s="606"/>
      <c r="L491" s="606"/>
      <c r="M491" s="606"/>
      <c r="N491" s="606"/>
      <c r="O491" s="606"/>
      <c r="P491" s="606"/>
      <c r="Q491" s="606"/>
      <c r="R491" s="606"/>
      <c r="S491" s="606"/>
      <c r="T491" s="606"/>
      <c r="U491" s="606"/>
      <c r="V491" s="606"/>
      <c r="W491" s="606"/>
      <c r="X491" s="640"/>
      <c r="Y491" s="607"/>
      <c r="Z491" s="607"/>
      <c r="AA491" s="607"/>
      <c r="AB491" s="607"/>
      <c r="AC491" s="607"/>
      <c r="AD491" s="607"/>
      <c r="AE491" s="607"/>
      <c r="AF491" s="607"/>
      <c r="AG491" s="607"/>
      <c r="AH491" s="607"/>
      <c r="AI491" s="607"/>
      <c r="AJ491" s="607"/>
      <c r="AK491" s="607"/>
      <c r="AL491" s="606"/>
      <c r="AM491" s="606"/>
      <c r="AN491" s="606"/>
      <c r="AO491" s="606"/>
    </row>
    <row r="492" spans="1:41" ht="11.25" hidden="1" customHeight="1">
      <c r="A492" s="608"/>
      <c r="B492" s="607"/>
      <c r="C492" s="607"/>
      <c r="D492" s="607"/>
      <c r="E492" s="607"/>
      <c r="F492" s="607"/>
      <c r="G492" s="606"/>
      <c r="H492" s="606"/>
      <c r="I492" s="606"/>
      <c r="J492" s="606"/>
      <c r="K492" s="606"/>
      <c r="L492" s="606"/>
      <c r="M492" s="606"/>
      <c r="N492" s="606"/>
      <c r="O492" s="606"/>
      <c r="P492" s="606"/>
      <c r="Q492" s="606"/>
      <c r="R492" s="606"/>
      <c r="S492" s="606"/>
      <c r="T492" s="606"/>
      <c r="U492" s="606"/>
      <c r="V492" s="606"/>
      <c r="W492" s="606"/>
      <c r="X492" s="640"/>
      <c r="Y492" s="607"/>
      <c r="Z492" s="607"/>
      <c r="AA492" s="607"/>
      <c r="AB492" s="607"/>
      <c r="AC492" s="607"/>
      <c r="AD492" s="607"/>
      <c r="AE492" s="607"/>
      <c r="AF492" s="607"/>
      <c r="AG492" s="607"/>
      <c r="AH492" s="607"/>
      <c r="AI492" s="607"/>
      <c r="AJ492" s="607"/>
      <c r="AK492" s="607"/>
      <c r="AL492" s="606"/>
      <c r="AM492" s="606"/>
      <c r="AN492" s="606"/>
      <c r="AO492" s="606"/>
    </row>
    <row r="493" spans="1:41" ht="11.25" hidden="1" customHeight="1">
      <c r="A493" s="608"/>
      <c r="B493" s="607"/>
      <c r="C493" s="607"/>
      <c r="D493" s="607"/>
      <c r="E493" s="607"/>
      <c r="F493" s="607"/>
      <c r="G493" s="606"/>
      <c r="H493" s="606"/>
      <c r="I493" s="606"/>
      <c r="J493" s="606"/>
      <c r="K493" s="606"/>
      <c r="L493" s="606"/>
      <c r="M493" s="606"/>
      <c r="N493" s="606"/>
      <c r="O493" s="606"/>
      <c r="P493" s="606"/>
      <c r="Q493" s="606"/>
      <c r="R493" s="606"/>
      <c r="S493" s="606"/>
      <c r="T493" s="606"/>
      <c r="U493" s="606"/>
      <c r="V493" s="606"/>
      <c r="W493" s="606"/>
      <c r="X493" s="640"/>
      <c r="Y493" s="607"/>
      <c r="Z493" s="607"/>
      <c r="AA493" s="607"/>
      <c r="AB493" s="607"/>
      <c r="AC493" s="607"/>
      <c r="AD493" s="607"/>
      <c r="AE493" s="607"/>
      <c r="AF493" s="607"/>
      <c r="AG493" s="607"/>
      <c r="AH493" s="607"/>
      <c r="AI493" s="607"/>
      <c r="AJ493" s="607"/>
      <c r="AK493" s="607"/>
      <c r="AL493" s="606"/>
      <c r="AM493" s="606"/>
      <c r="AN493" s="606"/>
      <c r="AO493" s="606"/>
    </row>
    <row r="494" spans="1:41" ht="11.25" hidden="1" customHeight="1">
      <c r="A494" s="608"/>
      <c r="B494" s="607"/>
      <c r="C494" s="607"/>
      <c r="D494" s="607"/>
      <c r="E494" s="607"/>
      <c r="F494" s="607"/>
      <c r="G494" s="606"/>
      <c r="H494" s="606"/>
      <c r="I494" s="606"/>
      <c r="J494" s="606"/>
      <c r="K494" s="606"/>
      <c r="L494" s="606"/>
      <c r="M494" s="606"/>
      <c r="N494" s="606"/>
      <c r="O494" s="606"/>
      <c r="P494" s="606"/>
      <c r="Q494" s="606"/>
      <c r="R494" s="606"/>
      <c r="S494" s="606"/>
      <c r="T494" s="606"/>
      <c r="U494" s="606"/>
      <c r="V494" s="606"/>
      <c r="W494" s="606"/>
      <c r="X494" s="640"/>
      <c r="Y494" s="607"/>
      <c r="Z494" s="607"/>
      <c r="AA494" s="607"/>
      <c r="AB494" s="607"/>
      <c r="AC494" s="607"/>
      <c r="AD494" s="607"/>
      <c r="AE494" s="607"/>
      <c r="AF494" s="607"/>
      <c r="AG494" s="607"/>
      <c r="AH494" s="607"/>
      <c r="AI494" s="607"/>
      <c r="AJ494" s="607"/>
      <c r="AK494" s="607"/>
      <c r="AL494" s="606"/>
      <c r="AM494" s="606"/>
      <c r="AN494" s="606"/>
      <c r="AO494" s="606"/>
    </row>
    <row r="495" spans="1:41" ht="11.25" hidden="1" customHeight="1">
      <c r="A495" s="608"/>
      <c r="B495" s="607"/>
      <c r="C495" s="607"/>
      <c r="D495" s="607"/>
      <c r="E495" s="607"/>
      <c r="F495" s="607"/>
      <c r="G495" s="606"/>
      <c r="H495" s="606"/>
      <c r="I495" s="606"/>
      <c r="J495" s="606"/>
      <c r="K495" s="606"/>
      <c r="L495" s="606"/>
      <c r="M495" s="606"/>
      <c r="N495" s="606"/>
      <c r="O495" s="606"/>
      <c r="P495" s="606"/>
      <c r="Q495" s="606"/>
      <c r="R495" s="606"/>
      <c r="S495" s="606"/>
      <c r="T495" s="606"/>
      <c r="U495" s="606"/>
      <c r="V495" s="606"/>
      <c r="W495" s="606"/>
      <c r="X495" s="640"/>
      <c r="Y495" s="607"/>
      <c r="Z495" s="607"/>
      <c r="AA495" s="607"/>
      <c r="AB495" s="607"/>
      <c r="AC495" s="607"/>
      <c r="AD495" s="607"/>
      <c r="AE495" s="607"/>
      <c r="AF495" s="607"/>
      <c r="AG495" s="607"/>
      <c r="AH495" s="607"/>
      <c r="AI495" s="607"/>
      <c r="AJ495" s="607"/>
      <c r="AK495" s="607"/>
      <c r="AL495" s="606"/>
      <c r="AM495" s="606"/>
      <c r="AN495" s="606"/>
      <c r="AO495" s="606"/>
    </row>
    <row r="496" spans="1:41" ht="11.25" hidden="1" customHeight="1">
      <c r="A496" s="608"/>
      <c r="B496" s="607"/>
      <c r="C496" s="607"/>
      <c r="D496" s="607"/>
      <c r="E496" s="607"/>
      <c r="F496" s="607"/>
      <c r="G496" s="606"/>
      <c r="H496" s="606"/>
      <c r="I496" s="606"/>
      <c r="J496" s="606"/>
      <c r="K496" s="606"/>
      <c r="L496" s="606"/>
      <c r="M496" s="606"/>
      <c r="N496" s="606"/>
      <c r="O496" s="606"/>
      <c r="P496" s="606"/>
      <c r="Q496" s="606"/>
      <c r="R496" s="606"/>
      <c r="S496" s="606"/>
      <c r="T496" s="606"/>
      <c r="U496" s="606"/>
      <c r="V496" s="606"/>
      <c r="W496" s="606"/>
      <c r="X496" s="640"/>
      <c r="Y496" s="607"/>
      <c r="Z496" s="607"/>
      <c r="AA496" s="607"/>
      <c r="AB496" s="607"/>
      <c r="AC496" s="607"/>
      <c r="AD496" s="607"/>
      <c r="AE496" s="607"/>
      <c r="AF496" s="607"/>
      <c r="AG496" s="607"/>
      <c r="AH496" s="607"/>
      <c r="AI496" s="607"/>
      <c r="AJ496" s="607"/>
      <c r="AK496" s="607"/>
      <c r="AL496" s="606"/>
      <c r="AM496" s="606"/>
      <c r="AN496" s="606"/>
      <c r="AO496" s="606"/>
    </row>
    <row r="497" spans="1:41" ht="11.25" hidden="1" customHeight="1">
      <c r="A497" s="608"/>
      <c r="B497" s="607"/>
      <c r="C497" s="607"/>
      <c r="D497" s="607"/>
      <c r="E497" s="607"/>
      <c r="F497" s="607"/>
      <c r="G497" s="606"/>
      <c r="H497" s="606"/>
      <c r="I497" s="606"/>
      <c r="J497" s="606"/>
      <c r="K497" s="606"/>
      <c r="L497" s="606"/>
      <c r="M497" s="606"/>
      <c r="N497" s="606"/>
      <c r="O497" s="606"/>
      <c r="P497" s="606"/>
      <c r="Q497" s="606"/>
      <c r="R497" s="606"/>
      <c r="S497" s="606"/>
      <c r="T497" s="606"/>
      <c r="U497" s="606"/>
      <c r="V497" s="606"/>
      <c r="W497" s="606"/>
      <c r="X497" s="640"/>
      <c r="Y497" s="607"/>
      <c r="Z497" s="607"/>
      <c r="AA497" s="607"/>
      <c r="AB497" s="607"/>
      <c r="AC497" s="607"/>
      <c r="AD497" s="607"/>
      <c r="AE497" s="607"/>
      <c r="AF497" s="607"/>
      <c r="AG497" s="607"/>
      <c r="AH497" s="607"/>
      <c r="AI497" s="607"/>
      <c r="AJ497" s="607"/>
      <c r="AK497" s="607"/>
      <c r="AL497" s="606"/>
      <c r="AM497" s="606"/>
      <c r="AN497" s="606"/>
      <c r="AO497" s="606"/>
    </row>
    <row r="498" spans="1:41" ht="11.25" hidden="1" customHeight="1">
      <c r="A498" s="608"/>
      <c r="B498" s="607"/>
      <c r="C498" s="607"/>
      <c r="D498" s="607"/>
      <c r="E498" s="607"/>
      <c r="F498" s="607"/>
      <c r="G498" s="606"/>
      <c r="H498" s="606"/>
      <c r="I498" s="606"/>
      <c r="J498" s="606"/>
      <c r="K498" s="606"/>
      <c r="L498" s="606"/>
      <c r="M498" s="606"/>
      <c r="N498" s="606"/>
      <c r="O498" s="606"/>
      <c r="P498" s="606"/>
      <c r="Q498" s="606"/>
      <c r="R498" s="606"/>
      <c r="S498" s="606"/>
      <c r="T498" s="606"/>
      <c r="U498" s="606"/>
      <c r="V498" s="606"/>
      <c r="W498" s="606"/>
      <c r="X498" s="640"/>
      <c r="Y498" s="607"/>
      <c r="Z498" s="607"/>
      <c r="AA498" s="607"/>
      <c r="AB498" s="607"/>
      <c r="AC498" s="607"/>
      <c r="AD498" s="607"/>
      <c r="AE498" s="607"/>
      <c r="AF498" s="607"/>
      <c r="AG498" s="607"/>
      <c r="AH498" s="607"/>
      <c r="AI498" s="607"/>
      <c r="AJ498" s="607"/>
      <c r="AK498" s="607"/>
      <c r="AL498" s="606"/>
      <c r="AM498" s="606"/>
      <c r="AN498" s="606"/>
      <c r="AO498" s="606"/>
    </row>
    <row r="499" spans="1:41" ht="11.25" hidden="1" customHeight="1">
      <c r="A499" s="608"/>
      <c r="B499" s="607"/>
      <c r="C499" s="607"/>
      <c r="D499" s="607"/>
      <c r="E499" s="607"/>
      <c r="F499" s="607"/>
      <c r="G499" s="606"/>
      <c r="H499" s="606"/>
      <c r="I499" s="606"/>
      <c r="J499" s="606"/>
      <c r="K499" s="606"/>
      <c r="L499" s="606"/>
      <c r="M499" s="606"/>
      <c r="N499" s="606"/>
      <c r="O499" s="606"/>
      <c r="P499" s="606"/>
      <c r="Q499" s="606"/>
      <c r="R499" s="606"/>
      <c r="S499" s="606"/>
      <c r="T499" s="606"/>
      <c r="U499" s="606"/>
      <c r="V499" s="606"/>
      <c r="W499" s="606"/>
      <c r="X499" s="640"/>
      <c r="Y499" s="607"/>
      <c r="Z499" s="607"/>
      <c r="AA499" s="607"/>
      <c r="AB499" s="607"/>
      <c r="AC499" s="607"/>
      <c r="AD499" s="607"/>
      <c r="AE499" s="607"/>
      <c r="AF499" s="607"/>
      <c r="AG499" s="607"/>
      <c r="AH499" s="607"/>
      <c r="AI499" s="607"/>
      <c r="AJ499" s="607"/>
      <c r="AK499" s="607"/>
      <c r="AL499" s="606"/>
      <c r="AM499" s="606"/>
      <c r="AN499" s="606"/>
      <c r="AO499" s="606"/>
    </row>
    <row r="500" spans="1:41" ht="11.25" hidden="1" customHeight="1">
      <c r="A500" s="608"/>
      <c r="B500" s="607"/>
      <c r="C500" s="607"/>
      <c r="D500" s="607"/>
      <c r="E500" s="607"/>
      <c r="F500" s="607"/>
      <c r="G500" s="606"/>
      <c r="H500" s="606"/>
      <c r="I500" s="606"/>
      <c r="J500" s="606"/>
      <c r="K500" s="606"/>
      <c r="L500" s="606"/>
      <c r="M500" s="606"/>
      <c r="N500" s="606"/>
      <c r="O500" s="606"/>
      <c r="P500" s="606"/>
      <c r="Q500" s="606"/>
      <c r="R500" s="606"/>
      <c r="S500" s="606"/>
      <c r="T500" s="606"/>
      <c r="U500" s="606"/>
      <c r="V500" s="606"/>
      <c r="W500" s="606"/>
      <c r="X500" s="640"/>
      <c r="Y500" s="607"/>
      <c r="Z500" s="607"/>
      <c r="AA500" s="607"/>
      <c r="AB500" s="607"/>
      <c r="AC500" s="607"/>
      <c r="AD500" s="607"/>
      <c r="AE500" s="607"/>
      <c r="AF500" s="607"/>
      <c r="AG500" s="607"/>
      <c r="AH500" s="607"/>
      <c r="AI500" s="607"/>
      <c r="AJ500" s="607"/>
      <c r="AK500" s="607"/>
      <c r="AL500" s="606"/>
      <c r="AM500" s="606"/>
      <c r="AN500" s="606"/>
      <c r="AO500" s="606"/>
    </row>
    <row r="501" spans="1:41" ht="11.25" hidden="1" customHeight="1">
      <c r="A501" s="608"/>
      <c r="B501" s="607"/>
      <c r="C501" s="607"/>
      <c r="D501" s="607"/>
      <c r="E501" s="607"/>
      <c r="F501" s="607"/>
      <c r="G501" s="606"/>
      <c r="H501" s="606"/>
      <c r="I501" s="606"/>
      <c r="J501" s="606"/>
      <c r="K501" s="606"/>
      <c r="L501" s="606"/>
      <c r="M501" s="606"/>
      <c r="N501" s="606"/>
      <c r="O501" s="606"/>
      <c r="P501" s="606"/>
      <c r="Q501" s="606"/>
      <c r="R501" s="606"/>
      <c r="S501" s="606"/>
      <c r="T501" s="606"/>
      <c r="U501" s="606"/>
      <c r="V501" s="606"/>
      <c r="W501" s="606"/>
      <c r="X501" s="640"/>
      <c r="Y501" s="607"/>
      <c r="Z501" s="607"/>
      <c r="AA501" s="607"/>
      <c r="AB501" s="607"/>
      <c r="AC501" s="607"/>
      <c r="AD501" s="607"/>
      <c r="AE501" s="607"/>
      <c r="AF501" s="607"/>
      <c r="AG501" s="607"/>
      <c r="AH501" s="607"/>
      <c r="AI501" s="607"/>
      <c r="AJ501" s="607"/>
      <c r="AK501" s="607"/>
      <c r="AL501" s="606"/>
      <c r="AM501" s="606"/>
      <c r="AN501" s="606"/>
      <c r="AO501" s="606"/>
    </row>
    <row r="502" spans="1:41" ht="11.25" hidden="1" customHeight="1">
      <c r="A502" s="608"/>
      <c r="B502" s="607"/>
      <c r="C502" s="607"/>
      <c r="D502" s="607"/>
      <c r="E502" s="607"/>
      <c r="F502" s="607"/>
      <c r="G502" s="606"/>
      <c r="H502" s="606"/>
      <c r="I502" s="606"/>
      <c r="J502" s="606"/>
      <c r="K502" s="606"/>
      <c r="L502" s="606"/>
      <c r="M502" s="606"/>
      <c r="N502" s="606"/>
      <c r="O502" s="606"/>
      <c r="P502" s="606"/>
      <c r="Q502" s="606"/>
      <c r="R502" s="606"/>
      <c r="S502" s="606"/>
      <c r="T502" s="606"/>
      <c r="U502" s="606"/>
      <c r="V502" s="606"/>
      <c r="W502" s="606"/>
      <c r="X502" s="640"/>
      <c r="Y502" s="607"/>
      <c r="Z502" s="607"/>
      <c r="AA502" s="607"/>
      <c r="AB502" s="607"/>
      <c r="AC502" s="607"/>
      <c r="AD502" s="607"/>
      <c r="AE502" s="607"/>
      <c r="AF502" s="607"/>
      <c r="AG502" s="607"/>
      <c r="AH502" s="607"/>
      <c r="AI502" s="607"/>
      <c r="AJ502" s="607"/>
      <c r="AK502" s="607"/>
      <c r="AL502" s="606"/>
      <c r="AM502" s="606"/>
      <c r="AN502" s="606"/>
      <c r="AO502" s="606"/>
    </row>
    <row r="503" spans="1:41" ht="11.25" hidden="1" customHeight="1">
      <c r="A503" s="608"/>
      <c r="B503" s="607"/>
      <c r="C503" s="607"/>
      <c r="D503" s="607"/>
      <c r="E503" s="607"/>
      <c r="F503" s="607"/>
      <c r="G503" s="606"/>
      <c r="H503" s="606"/>
      <c r="I503" s="606"/>
      <c r="J503" s="606"/>
      <c r="K503" s="606"/>
      <c r="L503" s="606"/>
      <c r="M503" s="606"/>
      <c r="N503" s="606"/>
      <c r="O503" s="606"/>
      <c r="P503" s="606"/>
      <c r="Q503" s="606"/>
      <c r="R503" s="606"/>
      <c r="S503" s="606"/>
      <c r="T503" s="606"/>
      <c r="U503" s="606"/>
      <c r="V503" s="606"/>
      <c r="W503" s="606"/>
      <c r="X503" s="640"/>
      <c r="Y503" s="607"/>
      <c r="Z503" s="607"/>
      <c r="AA503" s="607"/>
      <c r="AB503" s="607"/>
      <c r="AC503" s="607"/>
      <c r="AD503" s="607"/>
      <c r="AE503" s="607"/>
      <c r="AF503" s="607"/>
      <c r="AG503" s="607"/>
      <c r="AH503" s="607"/>
      <c r="AI503" s="607"/>
      <c r="AJ503" s="607"/>
      <c r="AK503" s="607"/>
      <c r="AL503" s="606"/>
      <c r="AM503" s="606"/>
      <c r="AN503" s="606"/>
      <c r="AO503" s="606"/>
    </row>
    <row r="504" spans="1:41" ht="11.25" hidden="1" customHeight="1">
      <c r="A504" s="608"/>
      <c r="B504" s="607"/>
      <c r="C504" s="607"/>
      <c r="D504" s="607"/>
      <c r="E504" s="607"/>
      <c r="F504" s="607"/>
      <c r="G504" s="606"/>
      <c r="H504" s="606"/>
      <c r="I504" s="606"/>
      <c r="J504" s="606"/>
      <c r="K504" s="606"/>
      <c r="L504" s="606"/>
      <c r="M504" s="606"/>
      <c r="N504" s="606"/>
      <c r="O504" s="606"/>
      <c r="P504" s="606"/>
      <c r="Q504" s="606"/>
      <c r="R504" s="606"/>
      <c r="S504" s="606"/>
      <c r="T504" s="606"/>
      <c r="U504" s="606"/>
      <c r="V504" s="606"/>
      <c r="W504" s="606"/>
      <c r="X504" s="640"/>
      <c r="Y504" s="607"/>
      <c r="Z504" s="607"/>
      <c r="AA504" s="607"/>
      <c r="AB504" s="607"/>
      <c r="AC504" s="607"/>
      <c r="AD504" s="607"/>
      <c r="AE504" s="607"/>
      <c r="AF504" s="607"/>
      <c r="AG504" s="607"/>
      <c r="AH504" s="607"/>
      <c r="AI504" s="607"/>
      <c r="AJ504" s="607"/>
      <c r="AK504" s="607"/>
      <c r="AL504" s="606"/>
      <c r="AM504" s="606"/>
      <c r="AN504" s="606"/>
      <c r="AO504" s="606"/>
    </row>
    <row r="505" spans="1:41" ht="11.25" hidden="1" customHeight="1">
      <c r="A505" s="608"/>
      <c r="B505" s="607"/>
      <c r="C505" s="607"/>
      <c r="D505" s="607"/>
      <c r="E505" s="607"/>
      <c r="F505" s="607"/>
      <c r="G505" s="606"/>
      <c r="H505" s="606"/>
      <c r="I505" s="606"/>
      <c r="J505" s="606"/>
      <c r="K505" s="606"/>
      <c r="L505" s="606"/>
      <c r="M505" s="606"/>
      <c r="N505" s="606"/>
      <c r="O505" s="606"/>
      <c r="P505" s="606"/>
      <c r="Q505" s="606"/>
      <c r="R505" s="606"/>
      <c r="S505" s="606"/>
      <c r="T505" s="606"/>
      <c r="U505" s="606"/>
      <c r="V505" s="606"/>
      <c r="W505" s="606"/>
      <c r="X505" s="640"/>
      <c r="Y505" s="607"/>
      <c r="Z505" s="607"/>
      <c r="AA505" s="607"/>
      <c r="AB505" s="607"/>
      <c r="AC505" s="607"/>
      <c r="AD505" s="607"/>
      <c r="AE505" s="607"/>
      <c r="AF505" s="607"/>
      <c r="AG505" s="607"/>
      <c r="AH505" s="607"/>
      <c r="AI505" s="607"/>
      <c r="AJ505" s="607"/>
      <c r="AK505" s="607"/>
      <c r="AL505" s="606"/>
      <c r="AM505" s="606"/>
      <c r="AN505" s="606"/>
      <c r="AO505" s="606"/>
    </row>
    <row r="506" spans="1:41" ht="11.25" hidden="1" customHeight="1">
      <c r="A506" s="608"/>
      <c r="B506" s="607"/>
      <c r="C506" s="607"/>
      <c r="D506" s="607"/>
      <c r="E506" s="607"/>
      <c r="F506" s="607"/>
      <c r="G506" s="606"/>
      <c r="H506" s="606"/>
      <c r="I506" s="606"/>
      <c r="J506" s="606"/>
      <c r="K506" s="606"/>
      <c r="L506" s="606"/>
      <c r="M506" s="606"/>
      <c r="N506" s="606"/>
      <c r="O506" s="606"/>
      <c r="P506" s="606"/>
      <c r="Q506" s="606"/>
      <c r="R506" s="606"/>
      <c r="S506" s="606"/>
      <c r="T506" s="606"/>
      <c r="U506" s="606"/>
      <c r="V506" s="606"/>
      <c r="W506" s="606"/>
      <c r="X506" s="640"/>
      <c r="Y506" s="607"/>
      <c r="Z506" s="607"/>
      <c r="AA506" s="607"/>
      <c r="AB506" s="607"/>
      <c r="AC506" s="607"/>
      <c r="AD506" s="607"/>
      <c r="AE506" s="607"/>
      <c r="AF506" s="607"/>
      <c r="AG506" s="607"/>
      <c r="AH506" s="607"/>
      <c r="AI506" s="607"/>
      <c r="AJ506" s="607"/>
      <c r="AK506" s="607"/>
      <c r="AL506" s="606"/>
      <c r="AM506" s="606"/>
      <c r="AN506" s="606"/>
      <c r="AO506" s="606"/>
    </row>
    <row r="507" spans="1:41" ht="11.25" hidden="1" customHeight="1">
      <c r="A507" s="608"/>
      <c r="B507" s="607"/>
      <c r="C507" s="607"/>
      <c r="D507" s="607"/>
      <c r="E507" s="607"/>
      <c r="F507" s="607"/>
      <c r="G507" s="606"/>
      <c r="H507" s="606"/>
      <c r="I507" s="606"/>
      <c r="J507" s="606"/>
      <c r="K507" s="606"/>
      <c r="L507" s="606"/>
      <c r="M507" s="606"/>
      <c r="N507" s="606"/>
      <c r="O507" s="606"/>
      <c r="P507" s="606"/>
      <c r="Q507" s="606"/>
      <c r="R507" s="606"/>
      <c r="S507" s="606"/>
      <c r="T507" s="606"/>
      <c r="U507" s="606"/>
      <c r="V507" s="606"/>
      <c r="W507" s="606"/>
      <c r="X507" s="640"/>
      <c r="Y507" s="607"/>
      <c r="Z507" s="607"/>
      <c r="AA507" s="607"/>
      <c r="AB507" s="607"/>
      <c r="AC507" s="607"/>
      <c r="AD507" s="607"/>
      <c r="AE507" s="607"/>
      <c r="AF507" s="607"/>
      <c r="AG507" s="607"/>
      <c r="AH507" s="607"/>
      <c r="AI507" s="607"/>
      <c r="AJ507" s="607"/>
      <c r="AK507" s="607"/>
      <c r="AL507" s="606"/>
      <c r="AM507" s="606"/>
      <c r="AN507" s="606"/>
      <c r="AO507" s="606"/>
    </row>
    <row r="508" spans="1:41" ht="11.25" hidden="1" customHeight="1">
      <c r="A508" s="608"/>
      <c r="B508" s="607"/>
      <c r="C508" s="607"/>
      <c r="D508" s="607"/>
      <c r="E508" s="607"/>
      <c r="F508" s="607"/>
      <c r="G508" s="606"/>
      <c r="H508" s="606"/>
      <c r="I508" s="606"/>
      <c r="J508" s="606"/>
      <c r="K508" s="606"/>
      <c r="L508" s="606"/>
      <c r="M508" s="606"/>
      <c r="N508" s="606"/>
      <c r="O508" s="606"/>
      <c r="P508" s="606"/>
      <c r="Q508" s="606"/>
      <c r="R508" s="606"/>
      <c r="S508" s="606"/>
      <c r="T508" s="606"/>
      <c r="U508" s="606"/>
      <c r="V508" s="606"/>
      <c r="W508" s="606"/>
      <c r="X508" s="640"/>
      <c r="Y508" s="607"/>
      <c r="Z508" s="607"/>
      <c r="AA508" s="607"/>
      <c r="AB508" s="607"/>
      <c r="AC508" s="607"/>
      <c r="AD508" s="607"/>
      <c r="AE508" s="607"/>
      <c r="AF508" s="607"/>
      <c r="AG508" s="607"/>
      <c r="AH508" s="607"/>
      <c r="AI508" s="607"/>
      <c r="AJ508" s="607"/>
      <c r="AK508" s="607"/>
      <c r="AL508" s="606"/>
      <c r="AM508" s="606"/>
      <c r="AN508" s="606"/>
      <c r="AO508" s="606"/>
    </row>
    <row r="509" spans="1:41" ht="11.25" hidden="1" customHeight="1">
      <c r="A509" s="608"/>
      <c r="B509" s="607"/>
      <c r="C509" s="607"/>
      <c r="D509" s="607"/>
      <c r="E509" s="607"/>
      <c r="F509" s="607"/>
      <c r="G509" s="606"/>
      <c r="H509" s="606"/>
      <c r="I509" s="606"/>
      <c r="J509" s="606"/>
      <c r="K509" s="606"/>
      <c r="L509" s="606"/>
      <c r="M509" s="606"/>
      <c r="N509" s="606"/>
      <c r="O509" s="606"/>
      <c r="P509" s="606"/>
      <c r="Q509" s="606"/>
      <c r="R509" s="606"/>
      <c r="S509" s="606"/>
      <c r="T509" s="606"/>
      <c r="U509" s="606"/>
      <c r="V509" s="606"/>
      <c r="W509" s="606"/>
      <c r="X509" s="640"/>
      <c r="Y509" s="607"/>
      <c r="Z509" s="607"/>
      <c r="AA509" s="607"/>
      <c r="AB509" s="607"/>
      <c r="AC509" s="607"/>
      <c r="AD509" s="607"/>
      <c r="AE509" s="607"/>
      <c r="AF509" s="607"/>
      <c r="AG509" s="607"/>
      <c r="AH509" s="607"/>
      <c r="AI509" s="607"/>
      <c r="AJ509" s="607"/>
      <c r="AK509" s="607"/>
      <c r="AL509" s="606"/>
      <c r="AM509" s="606"/>
      <c r="AN509" s="606"/>
      <c r="AO509" s="606"/>
    </row>
    <row r="510" spans="1:41" ht="11.25" hidden="1" customHeight="1">
      <c r="A510" s="608"/>
      <c r="B510" s="607"/>
      <c r="C510" s="607"/>
      <c r="D510" s="607"/>
      <c r="E510" s="607"/>
      <c r="F510" s="607"/>
      <c r="G510" s="606"/>
      <c r="H510" s="606"/>
      <c r="I510" s="606"/>
      <c r="J510" s="606"/>
      <c r="K510" s="606"/>
      <c r="L510" s="606"/>
      <c r="M510" s="606"/>
      <c r="N510" s="606"/>
      <c r="O510" s="606"/>
      <c r="P510" s="606"/>
      <c r="Q510" s="606"/>
      <c r="R510" s="606"/>
      <c r="S510" s="606"/>
      <c r="T510" s="606"/>
      <c r="U510" s="606"/>
      <c r="V510" s="606"/>
      <c r="W510" s="606"/>
      <c r="X510" s="640"/>
      <c r="Y510" s="607"/>
      <c r="Z510" s="607"/>
      <c r="AA510" s="607"/>
      <c r="AB510" s="607"/>
      <c r="AC510" s="607"/>
      <c r="AD510" s="607"/>
      <c r="AE510" s="607"/>
      <c r="AF510" s="607"/>
      <c r="AG510" s="607"/>
      <c r="AH510" s="607"/>
      <c r="AI510" s="607"/>
      <c r="AJ510" s="607"/>
      <c r="AK510" s="607"/>
      <c r="AL510" s="606"/>
      <c r="AM510" s="606"/>
      <c r="AN510" s="606"/>
      <c r="AO510" s="606"/>
    </row>
    <row r="511" spans="1:41" ht="11.25" hidden="1" customHeight="1">
      <c r="A511" s="608"/>
      <c r="B511" s="607"/>
      <c r="C511" s="607"/>
      <c r="D511" s="607"/>
      <c r="E511" s="607"/>
      <c r="F511" s="607"/>
      <c r="G511" s="606"/>
      <c r="H511" s="606"/>
      <c r="I511" s="606"/>
      <c r="J511" s="606"/>
      <c r="K511" s="606"/>
      <c r="L511" s="606"/>
      <c r="M511" s="606"/>
      <c r="N511" s="606"/>
      <c r="O511" s="606"/>
      <c r="P511" s="606"/>
      <c r="Q511" s="606"/>
      <c r="R511" s="606"/>
      <c r="S511" s="606"/>
      <c r="T511" s="606"/>
      <c r="U511" s="606"/>
      <c r="V511" s="606"/>
      <c r="W511" s="606"/>
      <c r="X511" s="640"/>
      <c r="Y511" s="607"/>
      <c r="Z511" s="607"/>
      <c r="AA511" s="607"/>
      <c r="AB511" s="607"/>
      <c r="AC511" s="607"/>
      <c r="AD511" s="607"/>
      <c r="AE511" s="607"/>
      <c r="AF511" s="607"/>
      <c r="AG511" s="607"/>
      <c r="AH511" s="607"/>
      <c r="AI511" s="607"/>
      <c r="AJ511" s="607"/>
      <c r="AK511" s="607"/>
      <c r="AL511" s="606"/>
      <c r="AM511" s="606"/>
      <c r="AN511" s="606"/>
      <c r="AO511" s="606"/>
    </row>
    <row r="512" spans="1:41" ht="11.25" hidden="1" customHeight="1">
      <c r="A512" s="608"/>
      <c r="B512" s="607"/>
      <c r="C512" s="607"/>
      <c r="D512" s="607"/>
      <c r="E512" s="607"/>
      <c r="F512" s="607"/>
      <c r="G512" s="606"/>
      <c r="H512" s="606"/>
      <c r="I512" s="606"/>
      <c r="J512" s="606"/>
      <c r="K512" s="606"/>
      <c r="L512" s="606"/>
      <c r="M512" s="606"/>
      <c r="N512" s="606"/>
      <c r="O512" s="606"/>
      <c r="P512" s="606"/>
      <c r="Q512" s="606"/>
      <c r="R512" s="606"/>
      <c r="S512" s="606"/>
      <c r="T512" s="606"/>
      <c r="U512" s="606"/>
      <c r="V512" s="606"/>
      <c r="W512" s="606"/>
      <c r="X512" s="640"/>
      <c r="Y512" s="607"/>
      <c r="Z512" s="607"/>
      <c r="AA512" s="607"/>
      <c r="AB512" s="607"/>
      <c r="AC512" s="607"/>
      <c r="AD512" s="607"/>
      <c r="AE512" s="607"/>
      <c r="AF512" s="607"/>
      <c r="AG512" s="607"/>
      <c r="AH512" s="607"/>
      <c r="AI512" s="607"/>
      <c r="AJ512" s="607"/>
      <c r="AK512" s="607"/>
      <c r="AL512" s="606"/>
      <c r="AM512" s="606"/>
      <c r="AN512" s="606"/>
      <c r="AO512" s="606"/>
    </row>
    <row r="513" spans="1:41" ht="11.25" hidden="1" customHeight="1">
      <c r="A513" s="608"/>
      <c r="B513" s="607"/>
      <c r="C513" s="607"/>
      <c r="D513" s="607"/>
      <c r="E513" s="607"/>
      <c r="F513" s="607"/>
      <c r="G513" s="606"/>
      <c r="H513" s="606"/>
      <c r="I513" s="606"/>
      <c r="J513" s="606"/>
      <c r="K513" s="606"/>
      <c r="L513" s="606"/>
      <c r="M513" s="606"/>
      <c r="N513" s="606"/>
      <c r="O513" s="606"/>
      <c r="P513" s="606"/>
      <c r="Q513" s="606"/>
      <c r="R513" s="606"/>
      <c r="S513" s="606"/>
      <c r="T513" s="606"/>
      <c r="U513" s="606"/>
      <c r="V513" s="606"/>
      <c r="W513" s="606"/>
      <c r="X513" s="640"/>
      <c r="Y513" s="607"/>
      <c r="Z513" s="607"/>
      <c r="AA513" s="607"/>
      <c r="AB513" s="607"/>
      <c r="AC513" s="607"/>
      <c r="AD513" s="607"/>
      <c r="AE513" s="607"/>
      <c r="AF513" s="607"/>
      <c r="AG513" s="607"/>
      <c r="AH513" s="607"/>
      <c r="AI513" s="607"/>
      <c r="AJ513" s="607"/>
      <c r="AK513" s="607"/>
      <c r="AL513" s="606"/>
      <c r="AM513" s="606"/>
      <c r="AN513" s="606"/>
      <c r="AO513" s="606"/>
    </row>
    <row r="514" spans="1:41" ht="11.25" hidden="1" customHeight="1">
      <c r="A514" s="608"/>
      <c r="B514" s="607"/>
      <c r="C514" s="607"/>
      <c r="D514" s="607"/>
      <c r="E514" s="607"/>
      <c r="F514" s="607"/>
      <c r="G514" s="606"/>
      <c r="H514" s="606"/>
      <c r="I514" s="606"/>
      <c r="J514" s="606"/>
      <c r="K514" s="606"/>
      <c r="L514" s="606"/>
      <c r="M514" s="606"/>
      <c r="N514" s="606"/>
      <c r="O514" s="606"/>
      <c r="P514" s="606"/>
      <c r="Q514" s="606"/>
      <c r="R514" s="606"/>
      <c r="S514" s="606"/>
      <c r="T514" s="606"/>
      <c r="U514" s="606"/>
      <c r="V514" s="606"/>
      <c r="W514" s="606"/>
      <c r="X514" s="640"/>
      <c r="Y514" s="607"/>
      <c r="Z514" s="607"/>
      <c r="AA514" s="607"/>
      <c r="AB514" s="607"/>
      <c r="AC514" s="607"/>
      <c r="AD514" s="607"/>
      <c r="AE514" s="607"/>
      <c r="AF514" s="607"/>
      <c r="AG514" s="607"/>
      <c r="AH514" s="607"/>
      <c r="AI514" s="607"/>
      <c r="AJ514" s="607"/>
      <c r="AK514" s="607"/>
      <c r="AL514" s="606"/>
      <c r="AM514" s="606"/>
      <c r="AN514" s="606"/>
      <c r="AO514" s="606"/>
    </row>
    <row r="515" spans="1:41" ht="11.25" hidden="1" customHeight="1">
      <c r="A515" s="608"/>
      <c r="B515" s="607"/>
      <c r="C515" s="607"/>
      <c r="D515" s="607"/>
      <c r="E515" s="607"/>
      <c r="F515" s="607"/>
      <c r="G515" s="606"/>
      <c r="H515" s="606"/>
      <c r="I515" s="606"/>
      <c r="J515" s="606"/>
      <c r="K515" s="606"/>
      <c r="L515" s="606"/>
      <c r="M515" s="606"/>
      <c r="N515" s="606"/>
      <c r="O515" s="606"/>
      <c r="P515" s="606"/>
      <c r="Q515" s="606"/>
      <c r="R515" s="606"/>
      <c r="S515" s="606"/>
      <c r="T515" s="606"/>
      <c r="U515" s="606"/>
      <c r="V515" s="606"/>
      <c r="W515" s="606"/>
      <c r="X515" s="640"/>
      <c r="Y515" s="607"/>
      <c r="Z515" s="607"/>
      <c r="AA515" s="607"/>
      <c r="AB515" s="607"/>
      <c r="AC515" s="607"/>
      <c r="AD515" s="607"/>
      <c r="AE515" s="607"/>
      <c r="AF515" s="607"/>
      <c r="AG515" s="607"/>
      <c r="AH515" s="607"/>
      <c r="AI515" s="607"/>
      <c r="AJ515" s="607"/>
      <c r="AK515" s="607"/>
      <c r="AL515" s="606"/>
      <c r="AM515" s="606"/>
      <c r="AN515" s="606"/>
      <c r="AO515" s="606"/>
    </row>
    <row r="516" spans="1:41" ht="11.25" hidden="1" customHeight="1">
      <c r="A516" s="608"/>
      <c r="B516" s="607"/>
      <c r="C516" s="607"/>
      <c r="D516" s="607"/>
      <c r="E516" s="607"/>
      <c r="F516" s="607"/>
      <c r="G516" s="606"/>
      <c r="H516" s="606"/>
      <c r="I516" s="606"/>
      <c r="J516" s="606"/>
      <c r="K516" s="606"/>
      <c r="L516" s="606"/>
      <c r="M516" s="606"/>
      <c r="N516" s="606"/>
      <c r="O516" s="606"/>
      <c r="P516" s="606"/>
      <c r="Q516" s="606"/>
      <c r="R516" s="606"/>
      <c r="S516" s="606"/>
      <c r="T516" s="606"/>
      <c r="U516" s="606"/>
      <c r="V516" s="606"/>
      <c r="W516" s="606"/>
      <c r="X516" s="640"/>
      <c r="Y516" s="607"/>
      <c r="Z516" s="607"/>
      <c r="AA516" s="607"/>
      <c r="AB516" s="607"/>
      <c r="AC516" s="607"/>
      <c r="AD516" s="607"/>
      <c r="AE516" s="607"/>
      <c r="AF516" s="607"/>
      <c r="AG516" s="607"/>
      <c r="AH516" s="607"/>
      <c r="AI516" s="607"/>
      <c r="AJ516" s="607"/>
      <c r="AK516" s="607"/>
      <c r="AL516" s="606"/>
      <c r="AM516" s="606"/>
      <c r="AN516" s="606"/>
      <c r="AO516" s="606"/>
    </row>
    <row r="517" spans="1:41" ht="11.25" hidden="1" customHeight="1">
      <c r="A517" s="608"/>
      <c r="B517" s="607"/>
      <c r="C517" s="607"/>
      <c r="D517" s="607"/>
      <c r="E517" s="607"/>
      <c r="F517" s="607"/>
      <c r="G517" s="606"/>
      <c r="H517" s="606"/>
      <c r="I517" s="606"/>
      <c r="J517" s="606"/>
      <c r="K517" s="606"/>
      <c r="L517" s="606"/>
      <c r="M517" s="606"/>
      <c r="N517" s="606"/>
      <c r="O517" s="606"/>
      <c r="P517" s="606"/>
      <c r="Q517" s="606"/>
      <c r="R517" s="606"/>
      <c r="S517" s="606"/>
      <c r="T517" s="606"/>
      <c r="U517" s="606"/>
      <c r="V517" s="606"/>
      <c r="W517" s="606"/>
      <c r="X517" s="640"/>
      <c r="Y517" s="607"/>
      <c r="Z517" s="607"/>
      <c r="AA517" s="607"/>
      <c r="AB517" s="607"/>
      <c r="AC517" s="607"/>
      <c r="AD517" s="607"/>
      <c r="AE517" s="607"/>
      <c r="AF517" s="607"/>
      <c r="AG517" s="607"/>
      <c r="AH517" s="607"/>
      <c r="AI517" s="607"/>
      <c r="AJ517" s="607"/>
      <c r="AK517" s="607"/>
      <c r="AL517" s="606"/>
      <c r="AM517" s="606"/>
      <c r="AN517" s="606"/>
      <c r="AO517" s="606"/>
    </row>
    <row r="518" spans="1:41" ht="11.25" hidden="1" customHeight="1">
      <c r="A518" s="608"/>
      <c r="B518" s="607"/>
      <c r="C518" s="607"/>
      <c r="D518" s="607"/>
      <c r="E518" s="607"/>
      <c r="F518" s="607"/>
      <c r="G518" s="606"/>
      <c r="H518" s="606"/>
      <c r="I518" s="606"/>
      <c r="J518" s="606"/>
      <c r="K518" s="606"/>
      <c r="L518" s="606"/>
      <c r="M518" s="606"/>
      <c r="N518" s="606"/>
      <c r="O518" s="606"/>
      <c r="P518" s="606"/>
      <c r="Q518" s="606"/>
      <c r="R518" s="606"/>
      <c r="S518" s="606"/>
      <c r="T518" s="606"/>
      <c r="U518" s="606"/>
      <c r="V518" s="606"/>
      <c r="W518" s="606"/>
      <c r="X518" s="640"/>
      <c r="Y518" s="607"/>
      <c r="Z518" s="607"/>
      <c r="AA518" s="607"/>
      <c r="AB518" s="607"/>
      <c r="AC518" s="607"/>
      <c r="AD518" s="607"/>
      <c r="AE518" s="607"/>
      <c r="AF518" s="607"/>
      <c r="AG518" s="607"/>
      <c r="AH518" s="607"/>
      <c r="AI518" s="607"/>
      <c r="AJ518" s="607"/>
      <c r="AK518" s="607"/>
      <c r="AL518" s="606"/>
      <c r="AM518" s="606"/>
      <c r="AN518" s="606"/>
      <c r="AO518" s="606"/>
    </row>
    <row r="519" spans="1:41" ht="11.25" hidden="1" customHeight="1">
      <c r="A519" s="608"/>
      <c r="B519" s="607"/>
      <c r="C519" s="607"/>
      <c r="D519" s="607"/>
      <c r="E519" s="607"/>
      <c r="F519" s="607"/>
      <c r="G519" s="606"/>
      <c r="H519" s="606"/>
      <c r="I519" s="606"/>
      <c r="J519" s="606"/>
      <c r="K519" s="606"/>
      <c r="L519" s="606"/>
      <c r="M519" s="606"/>
      <c r="N519" s="606"/>
      <c r="O519" s="606"/>
      <c r="P519" s="606"/>
      <c r="Q519" s="606"/>
      <c r="R519" s="606"/>
      <c r="S519" s="606"/>
      <c r="T519" s="606"/>
      <c r="U519" s="606"/>
      <c r="V519" s="606"/>
      <c r="W519" s="606"/>
      <c r="X519" s="640"/>
      <c r="Y519" s="607"/>
      <c r="Z519" s="607"/>
      <c r="AA519" s="607"/>
      <c r="AB519" s="607"/>
      <c r="AC519" s="607"/>
      <c r="AD519" s="607"/>
      <c r="AE519" s="607"/>
      <c r="AF519" s="607"/>
      <c r="AG519" s="607"/>
      <c r="AH519" s="607"/>
      <c r="AI519" s="607"/>
      <c r="AJ519" s="607"/>
      <c r="AK519" s="607"/>
      <c r="AL519" s="606"/>
      <c r="AM519" s="606"/>
      <c r="AN519" s="606"/>
      <c r="AO519" s="606"/>
    </row>
    <row r="520" spans="1:41" ht="11.25" hidden="1" customHeight="1">
      <c r="A520" s="608"/>
      <c r="B520" s="607"/>
      <c r="C520" s="607"/>
      <c r="D520" s="607"/>
      <c r="E520" s="607"/>
      <c r="F520" s="607"/>
      <c r="G520" s="606"/>
      <c r="H520" s="606"/>
      <c r="I520" s="606"/>
      <c r="J520" s="606"/>
      <c r="K520" s="606"/>
      <c r="L520" s="606"/>
      <c r="M520" s="606"/>
      <c r="N520" s="606"/>
      <c r="O520" s="606"/>
      <c r="P520" s="606"/>
      <c r="Q520" s="606"/>
      <c r="R520" s="606"/>
      <c r="S520" s="606"/>
      <c r="T520" s="606"/>
      <c r="U520" s="606"/>
      <c r="V520" s="606"/>
      <c r="W520" s="606"/>
      <c r="X520" s="640"/>
      <c r="Y520" s="607"/>
      <c r="Z520" s="607"/>
      <c r="AA520" s="607"/>
      <c r="AB520" s="607"/>
      <c r="AC520" s="607"/>
      <c r="AD520" s="607"/>
      <c r="AE520" s="607"/>
      <c r="AF520" s="607"/>
      <c r="AG520" s="607"/>
      <c r="AH520" s="607"/>
      <c r="AI520" s="607"/>
      <c r="AJ520" s="607"/>
      <c r="AK520" s="607"/>
      <c r="AL520" s="606"/>
      <c r="AM520" s="606"/>
      <c r="AN520" s="606"/>
      <c r="AO520" s="606"/>
    </row>
    <row r="521" spans="1:41" ht="11.25" hidden="1" customHeight="1">
      <c r="A521" s="608"/>
      <c r="B521" s="607"/>
      <c r="C521" s="607"/>
      <c r="D521" s="607"/>
      <c r="E521" s="607"/>
      <c r="F521" s="607"/>
      <c r="G521" s="606"/>
      <c r="H521" s="606"/>
      <c r="I521" s="606"/>
      <c r="J521" s="606"/>
      <c r="K521" s="606"/>
      <c r="L521" s="606"/>
      <c r="M521" s="606"/>
      <c r="N521" s="606"/>
      <c r="O521" s="606"/>
      <c r="P521" s="606"/>
      <c r="Q521" s="606"/>
      <c r="R521" s="606"/>
      <c r="S521" s="606"/>
      <c r="T521" s="606"/>
      <c r="U521" s="606"/>
      <c r="V521" s="606"/>
      <c r="W521" s="606"/>
      <c r="X521" s="640"/>
      <c r="Y521" s="607"/>
      <c r="Z521" s="607"/>
      <c r="AA521" s="607"/>
      <c r="AB521" s="607"/>
      <c r="AC521" s="607"/>
      <c r="AD521" s="607"/>
      <c r="AE521" s="607"/>
      <c r="AF521" s="607"/>
      <c r="AG521" s="607"/>
      <c r="AH521" s="607"/>
      <c r="AI521" s="607"/>
      <c r="AJ521" s="607"/>
      <c r="AK521" s="607"/>
      <c r="AL521" s="606"/>
      <c r="AM521" s="606"/>
      <c r="AN521" s="606"/>
      <c r="AO521" s="606"/>
    </row>
    <row r="522" spans="1:41" ht="11.25" hidden="1" customHeight="1">
      <c r="A522" s="608"/>
      <c r="B522" s="607"/>
      <c r="C522" s="607"/>
      <c r="D522" s="607"/>
      <c r="E522" s="607"/>
      <c r="F522" s="607"/>
      <c r="G522" s="606"/>
      <c r="H522" s="606"/>
      <c r="I522" s="606"/>
      <c r="J522" s="606"/>
      <c r="K522" s="606"/>
      <c r="L522" s="606"/>
      <c r="M522" s="606"/>
      <c r="N522" s="606"/>
      <c r="O522" s="606"/>
      <c r="P522" s="606"/>
      <c r="Q522" s="606"/>
      <c r="R522" s="606"/>
      <c r="S522" s="606"/>
      <c r="T522" s="606"/>
      <c r="U522" s="606"/>
      <c r="V522" s="606"/>
      <c r="W522" s="606"/>
      <c r="X522" s="640"/>
      <c r="Y522" s="607"/>
      <c r="Z522" s="607"/>
      <c r="AA522" s="607"/>
      <c r="AB522" s="607"/>
      <c r="AC522" s="607"/>
      <c r="AD522" s="607"/>
      <c r="AE522" s="607"/>
      <c r="AF522" s="607"/>
      <c r="AG522" s="607"/>
      <c r="AH522" s="607"/>
      <c r="AI522" s="607"/>
      <c r="AJ522" s="607"/>
      <c r="AK522" s="607"/>
      <c r="AL522" s="606"/>
      <c r="AM522" s="606"/>
      <c r="AN522" s="606"/>
      <c r="AO522" s="606"/>
    </row>
    <row r="523" spans="1:41" ht="11.25" hidden="1" customHeight="1">
      <c r="A523" s="608"/>
      <c r="B523" s="607"/>
      <c r="C523" s="607"/>
      <c r="D523" s="607"/>
      <c r="E523" s="607"/>
      <c r="F523" s="607"/>
      <c r="G523" s="606"/>
      <c r="H523" s="606"/>
      <c r="I523" s="606"/>
      <c r="J523" s="606"/>
      <c r="K523" s="606"/>
      <c r="L523" s="606"/>
      <c r="M523" s="606"/>
      <c r="N523" s="606"/>
      <c r="O523" s="606"/>
      <c r="P523" s="606"/>
      <c r="Q523" s="606"/>
      <c r="R523" s="606"/>
      <c r="S523" s="606"/>
      <c r="T523" s="606"/>
      <c r="U523" s="606"/>
      <c r="V523" s="606"/>
      <c r="W523" s="606"/>
      <c r="X523" s="640"/>
      <c r="Y523" s="607"/>
      <c r="Z523" s="607"/>
      <c r="AA523" s="607"/>
      <c r="AB523" s="607"/>
      <c r="AC523" s="607"/>
      <c r="AD523" s="607"/>
      <c r="AE523" s="607"/>
      <c r="AF523" s="607"/>
      <c r="AG523" s="607"/>
      <c r="AH523" s="607"/>
      <c r="AI523" s="607"/>
      <c r="AJ523" s="607"/>
      <c r="AK523" s="607"/>
      <c r="AL523" s="606"/>
      <c r="AM523" s="606"/>
      <c r="AN523" s="606"/>
      <c r="AO523" s="606"/>
    </row>
    <row r="524" spans="1:41" ht="11.25" hidden="1" customHeight="1">
      <c r="A524" s="608"/>
      <c r="B524" s="607"/>
      <c r="C524" s="607"/>
      <c r="D524" s="607"/>
      <c r="E524" s="607"/>
      <c r="F524" s="607"/>
      <c r="G524" s="606"/>
      <c r="H524" s="606"/>
      <c r="I524" s="606"/>
      <c r="J524" s="606"/>
      <c r="K524" s="606"/>
      <c r="L524" s="606"/>
      <c r="M524" s="606"/>
      <c r="N524" s="606"/>
      <c r="O524" s="606"/>
      <c r="P524" s="606"/>
      <c r="Q524" s="606"/>
      <c r="R524" s="606"/>
      <c r="S524" s="606"/>
      <c r="T524" s="606"/>
      <c r="U524" s="606"/>
      <c r="V524" s="606"/>
      <c r="W524" s="606"/>
      <c r="X524" s="640"/>
      <c r="Y524" s="607"/>
      <c r="Z524" s="607"/>
      <c r="AA524" s="607"/>
      <c r="AB524" s="607"/>
      <c r="AC524" s="607"/>
      <c r="AD524" s="607"/>
      <c r="AE524" s="607"/>
      <c r="AF524" s="607"/>
      <c r="AG524" s="607"/>
      <c r="AH524" s="607"/>
      <c r="AI524" s="607"/>
      <c r="AJ524" s="607"/>
      <c r="AK524" s="607"/>
      <c r="AL524" s="606"/>
      <c r="AM524" s="606"/>
      <c r="AN524" s="606"/>
      <c r="AO524" s="606"/>
    </row>
    <row r="525" spans="1:41" ht="11.25" hidden="1" customHeight="1">
      <c r="A525" s="608"/>
      <c r="B525" s="607"/>
      <c r="C525" s="607"/>
      <c r="D525" s="607"/>
      <c r="E525" s="607"/>
      <c r="F525" s="607"/>
      <c r="G525" s="606"/>
      <c r="H525" s="606"/>
      <c r="I525" s="606"/>
      <c r="J525" s="606"/>
      <c r="K525" s="606"/>
      <c r="L525" s="606"/>
      <c r="M525" s="606"/>
      <c r="N525" s="606"/>
      <c r="O525" s="606"/>
      <c r="P525" s="606"/>
      <c r="Q525" s="606"/>
      <c r="R525" s="606"/>
      <c r="S525" s="606"/>
      <c r="T525" s="606"/>
      <c r="U525" s="606"/>
      <c r="V525" s="606"/>
      <c r="W525" s="606"/>
      <c r="X525" s="640"/>
      <c r="Y525" s="607"/>
      <c r="Z525" s="607"/>
      <c r="AA525" s="607"/>
      <c r="AB525" s="607"/>
      <c r="AC525" s="607"/>
      <c r="AD525" s="607"/>
      <c r="AE525" s="607"/>
      <c r="AF525" s="607"/>
      <c r="AG525" s="607"/>
      <c r="AH525" s="607"/>
      <c r="AI525" s="607"/>
      <c r="AJ525" s="607"/>
      <c r="AK525" s="607"/>
      <c r="AL525" s="606"/>
      <c r="AM525" s="606"/>
      <c r="AN525" s="606"/>
      <c r="AO525" s="606"/>
    </row>
    <row r="526" spans="1:41" ht="11.25" hidden="1" customHeight="1">
      <c r="A526" s="608"/>
      <c r="B526" s="607"/>
      <c r="C526" s="607"/>
      <c r="D526" s="607"/>
      <c r="E526" s="607"/>
      <c r="F526" s="607"/>
      <c r="G526" s="606"/>
      <c r="H526" s="606"/>
      <c r="I526" s="606"/>
      <c r="J526" s="606"/>
      <c r="K526" s="606"/>
      <c r="L526" s="606"/>
      <c r="M526" s="606"/>
      <c r="N526" s="606"/>
      <c r="O526" s="606"/>
      <c r="P526" s="606"/>
      <c r="Q526" s="606"/>
      <c r="R526" s="606"/>
      <c r="S526" s="606"/>
      <c r="T526" s="606"/>
      <c r="U526" s="606"/>
      <c r="V526" s="606"/>
      <c r="W526" s="606"/>
      <c r="X526" s="640"/>
      <c r="Y526" s="607"/>
      <c r="Z526" s="607"/>
      <c r="AA526" s="607"/>
      <c r="AB526" s="607"/>
      <c r="AC526" s="607"/>
      <c r="AD526" s="607"/>
      <c r="AE526" s="607"/>
      <c r="AF526" s="607"/>
      <c r="AG526" s="607"/>
      <c r="AH526" s="607"/>
      <c r="AI526" s="607"/>
      <c r="AJ526" s="607"/>
      <c r="AK526" s="607"/>
      <c r="AL526" s="606"/>
      <c r="AM526" s="606"/>
      <c r="AN526" s="606"/>
      <c r="AO526" s="606"/>
    </row>
    <row r="527" spans="1:41" ht="11.25" hidden="1" customHeight="1">
      <c r="A527" s="608"/>
      <c r="B527" s="607"/>
      <c r="C527" s="607"/>
      <c r="D527" s="607"/>
      <c r="E527" s="607"/>
      <c r="F527" s="607"/>
      <c r="G527" s="606"/>
      <c r="H527" s="606"/>
      <c r="I527" s="606"/>
      <c r="J527" s="606"/>
      <c r="K527" s="606"/>
      <c r="L527" s="606"/>
      <c r="M527" s="606"/>
      <c r="N527" s="606"/>
      <c r="O527" s="606"/>
      <c r="P527" s="606"/>
      <c r="Q527" s="606"/>
      <c r="R527" s="606"/>
      <c r="S527" s="606"/>
      <c r="T527" s="606"/>
      <c r="U527" s="606"/>
      <c r="V527" s="606"/>
      <c r="W527" s="606"/>
      <c r="X527" s="640"/>
      <c r="Y527" s="607"/>
      <c r="Z527" s="607"/>
      <c r="AA527" s="607"/>
      <c r="AB527" s="607"/>
      <c r="AC527" s="607"/>
      <c r="AD527" s="607"/>
      <c r="AE527" s="607"/>
      <c r="AF527" s="607"/>
      <c r="AG527" s="607"/>
      <c r="AH527" s="607"/>
      <c r="AI527" s="607"/>
      <c r="AJ527" s="607"/>
      <c r="AK527" s="607"/>
      <c r="AL527" s="606"/>
      <c r="AM527" s="606"/>
      <c r="AN527" s="606"/>
      <c r="AO527" s="606"/>
    </row>
    <row r="528" spans="1:41" ht="11.25" hidden="1" customHeight="1">
      <c r="A528" s="608"/>
      <c r="B528" s="607"/>
      <c r="C528" s="607"/>
      <c r="D528" s="607"/>
      <c r="E528" s="607"/>
      <c r="F528" s="607"/>
      <c r="G528" s="606"/>
      <c r="H528" s="606"/>
      <c r="I528" s="606"/>
      <c r="J528" s="606"/>
      <c r="K528" s="606"/>
      <c r="L528" s="606"/>
      <c r="M528" s="606"/>
      <c r="N528" s="606"/>
      <c r="O528" s="606"/>
      <c r="P528" s="606"/>
      <c r="Q528" s="606"/>
      <c r="R528" s="606"/>
      <c r="S528" s="606"/>
      <c r="T528" s="606"/>
      <c r="U528" s="606"/>
      <c r="V528" s="606"/>
      <c r="W528" s="606"/>
      <c r="X528" s="640"/>
      <c r="Y528" s="607"/>
      <c r="Z528" s="607"/>
      <c r="AA528" s="607"/>
      <c r="AB528" s="607"/>
      <c r="AC528" s="607"/>
      <c r="AD528" s="607"/>
      <c r="AE528" s="607"/>
      <c r="AF528" s="607"/>
      <c r="AG528" s="607"/>
      <c r="AH528" s="607"/>
      <c r="AI528" s="607"/>
      <c r="AJ528" s="607"/>
      <c r="AK528" s="607"/>
      <c r="AL528" s="606"/>
      <c r="AM528" s="606"/>
      <c r="AN528" s="606"/>
      <c r="AO528" s="606"/>
    </row>
    <row r="529" spans="1:41" ht="11.25" hidden="1" customHeight="1">
      <c r="A529" s="608"/>
      <c r="B529" s="607"/>
      <c r="C529" s="607"/>
      <c r="D529" s="607"/>
      <c r="E529" s="607"/>
      <c r="F529" s="607"/>
      <c r="G529" s="606"/>
      <c r="H529" s="606"/>
      <c r="I529" s="606"/>
      <c r="J529" s="606"/>
      <c r="K529" s="606"/>
      <c r="L529" s="606"/>
      <c r="M529" s="606"/>
      <c r="N529" s="606"/>
      <c r="O529" s="606"/>
      <c r="P529" s="606"/>
      <c r="Q529" s="606"/>
      <c r="R529" s="606"/>
      <c r="S529" s="606"/>
      <c r="T529" s="606"/>
      <c r="U529" s="606"/>
      <c r="V529" s="606"/>
      <c r="W529" s="606"/>
      <c r="X529" s="640"/>
      <c r="Y529" s="607"/>
      <c r="Z529" s="607"/>
      <c r="AA529" s="607"/>
      <c r="AB529" s="607"/>
      <c r="AC529" s="607"/>
      <c r="AD529" s="607"/>
      <c r="AE529" s="607"/>
      <c r="AF529" s="607"/>
      <c r="AG529" s="607"/>
      <c r="AH529" s="607"/>
      <c r="AI529" s="607"/>
      <c r="AJ529" s="607"/>
      <c r="AK529" s="607"/>
      <c r="AL529" s="606"/>
      <c r="AM529" s="606"/>
      <c r="AN529" s="606"/>
      <c r="AO529" s="606"/>
    </row>
    <row r="530" spans="1:41" ht="11.25" hidden="1" customHeight="1">
      <c r="A530" s="608"/>
      <c r="B530" s="607"/>
      <c r="C530" s="607"/>
      <c r="D530" s="607"/>
      <c r="E530" s="607"/>
      <c r="F530" s="607"/>
      <c r="G530" s="606"/>
      <c r="H530" s="606"/>
      <c r="I530" s="606"/>
      <c r="J530" s="606"/>
      <c r="K530" s="606"/>
      <c r="L530" s="606"/>
      <c r="M530" s="606"/>
      <c r="N530" s="606"/>
      <c r="O530" s="606"/>
      <c r="P530" s="606"/>
      <c r="Q530" s="606"/>
      <c r="R530" s="606"/>
      <c r="S530" s="606"/>
      <c r="T530" s="606"/>
      <c r="U530" s="606"/>
      <c r="V530" s="606"/>
      <c r="W530" s="606"/>
      <c r="X530" s="640"/>
      <c r="Y530" s="607"/>
      <c r="Z530" s="607"/>
      <c r="AA530" s="607"/>
      <c r="AB530" s="607"/>
      <c r="AC530" s="607"/>
      <c r="AD530" s="607"/>
      <c r="AE530" s="607"/>
      <c r="AF530" s="607"/>
      <c r="AG530" s="607"/>
      <c r="AH530" s="607"/>
      <c r="AI530" s="607"/>
      <c r="AJ530" s="607"/>
      <c r="AK530" s="607"/>
      <c r="AL530" s="606"/>
      <c r="AM530" s="606"/>
      <c r="AN530" s="606"/>
      <c r="AO530" s="606"/>
    </row>
    <row r="531" spans="1:41" ht="11.25" hidden="1" customHeight="1">
      <c r="A531" s="608"/>
      <c r="B531" s="607"/>
      <c r="C531" s="607"/>
      <c r="D531" s="607"/>
      <c r="E531" s="607"/>
      <c r="F531" s="607"/>
      <c r="G531" s="606"/>
      <c r="H531" s="606"/>
      <c r="I531" s="606"/>
      <c r="J531" s="606"/>
      <c r="K531" s="606"/>
      <c r="L531" s="606"/>
      <c r="M531" s="606"/>
      <c r="N531" s="606"/>
      <c r="O531" s="606"/>
      <c r="P531" s="606"/>
      <c r="Q531" s="606"/>
      <c r="R531" s="606"/>
      <c r="S531" s="606"/>
      <c r="T531" s="606"/>
      <c r="U531" s="606"/>
      <c r="V531" s="606"/>
      <c r="W531" s="606"/>
      <c r="X531" s="640"/>
      <c r="Y531" s="607"/>
      <c r="Z531" s="607"/>
      <c r="AA531" s="607"/>
      <c r="AB531" s="607"/>
      <c r="AC531" s="607"/>
      <c r="AD531" s="607"/>
      <c r="AE531" s="607"/>
      <c r="AF531" s="607"/>
      <c r="AG531" s="607"/>
      <c r="AH531" s="607"/>
      <c r="AI531" s="607"/>
      <c r="AJ531" s="607"/>
      <c r="AK531" s="607"/>
      <c r="AL531" s="606"/>
      <c r="AM531" s="606"/>
      <c r="AN531" s="606"/>
      <c r="AO531" s="606"/>
    </row>
    <row r="532" spans="1:41" ht="11.25" hidden="1" customHeight="1">
      <c r="A532" s="608"/>
      <c r="B532" s="607"/>
      <c r="C532" s="607"/>
      <c r="D532" s="607"/>
      <c r="E532" s="607"/>
      <c r="F532" s="607"/>
      <c r="G532" s="606"/>
      <c r="H532" s="606"/>
      <c r="I532" s="606"/>
      <c r="J532" s="606"/>
      <c r="K532" s="606"/>
      <c r="L532" s="606"/>
      <c r="M532" s="606"/>
      <c r="N532" s="606"/>
      <c r="O532" s="606"/>
      <c r="P532" s="606"/>
      <c r="Q532" s="606"/>
      <c r="R532" s="606"/>
      <c r="S532" s="606"/>
      <c r="T532" s="606"/>
      <c r="U532" s="606"/>
      <c r="V532" s="606"/>
      <c r="W532" s="606"/>
      <c r="X532" s="640"/>
      <c r="Y532" s="607"/>
      <c r="Z532" s="607"/>
      <c r="AA532" s="607"/>
      <c r="AB532" s="607"/>
      <c r="AC532" s="607"/>
      <c r="AD532" s="607"/>
      <c r="AE532" s="607"/>
      <c r="AF532" s="607"/>
      <c r="AG532" s="607"/>
      <c r="AH532" s="607"/>
      <c r="AI532" s="607"/>
      <c r="AJ532" s="607"/>
      <c r="AK532" s="607"/>
      <c r="AL532" s="606"/>
      <c r="AM532" s="606"/>
      <c r="AN532" s="606"/>
      <c r="AO532" s="606"/>
    </row>
    <row r="533" spans="1:41" ht="11.25" hidden="1" customHeight="1">
      <c r="A533" s="608"/>
      <c r="B533" s="607"/>
      <c r="C533" s="607"/>
      <c r="D533" s="607"/>
      <c r="E533" s="607"/>
      <c r="F533" s="607"/>
      <c r="G533" s="606"/>
      <c r="H533" s="606"/>
      <c r="I533" s="606"/>
      <c r="J533" s="606"/>
      <c r="K533" s="606"/>
      <c r="L533" s="606"/>
      <c r="M533" s="606"/>
      <c r="N533" s="606"/>
      <c r="O533" s="606"/>
      <c r="P533" s="606"/>
      <c r="Q533" s="606"/>
      <c r="R533" s="606"/>
      <c r="S533" s="606"/>
      <c r="T533" s="606"/>
      <c r="U533" s="606"/>
      <c r="V533" s="606"/>
      <c r="W533" s="606"/>
      <c r="X533" s="640"/>
      <c r="Y533" s="607"/>
      <c r="Z533" s="607"/>
      <c r="AA533" s="607"/>
      <c r="AB533" s="607"/>
      <c r="AC533" s="607"/>
      <c r="AD533" s="607"/>
      <c r="AE533" s="607"/>
      <c r="AF533" s="607"/>
      <c r="AG533" s="607"/>
      <c r="AH533" s="607"/>
      <c r="AI533" s="607"/>
      <c r="AJ533" s="607"/>
      <c r="AK533" s="607"/>
      <c r="AL533" s="606"/>
      <c r="AM533" s="606"/>
      <c r="AN533" s="606"/>
      <c r="AO533" s="606"/>
    </row>
    <row r="534" spans="1:41" ht="11.25" hidden="1" customHeight="1">
      <c r="A534" s="608"/>
      <c r="B534" s="607"/>
      <c r="C534" s="607"/>
      <c r="D534" s="607"/>
      <c r="E534" s="607"/>
      <c r="F534" s="607"/>
      <c r="G534" s="606"/>
      <c r="H534" s="606"/>
      <c r="I534" s="606"/>
      <c r="J534" s="606"/>
      <c r="K534" s="606"/>
      <c r="L534" s="606"/>
      <c r="M534" s="606"/>
      <c r="N534" s="606"/>
      <c r="O534" s="606"/>
      <c r="P534" s="606"/>
      <c r="Q534" s="606"/>
      <c r="R534" s="606"/>
      <c r="S534" s="606"/>
      <c r="T534" s="606"/>
      <c r="U534" s="606"/>
      <c r="V534" s="606"/>
      <c r="W534" s="606"/>
      <c r="X534" s="640"/>
      <c r="Y534" s="607"/>
      <c r="Z534" s="607"/>
      <c r="AA534" s="607"/>
      <c r="AB534" s="607"/>
      <c r="AC534" s="607"/>
      <c r="AD534" s="607"/>
      <c r="AE534" s="607"/>
      <c r="AF534" s="607"/>
      <c r="AG534" s="607"/>
      <c r="AH534" s="607"/>
      <c r="AI534" s="607"/>
      <c r="AJ534" s="607"/>
      <c r="AK534" s="607"/>
      <c r="AL534" s="606"/>
      <c r="AM534" s="606"/>
      <c r="AN534" s="606"/>
      <c r="AO534" s="606"/>
    </row>
    <row r="535" spans="1:41" ht="11.25" hidden="1" customHeight="1">
      <c r="A535" s="608"/>
      <c r="B535" s="607"/>
      <c r="C535" s="607"/>
      <c r="D535" s="607"/>
      <c r="E535" s="607"/>
      <c r="F535" s="607"/>
      <c r="G535" s="606"/>
      <c r="H535" s="606"/>
      <c r="I535" s="606"/>
      <c r="J535" s="606"/>
      <c r="K535" s="606"/>
      <c r="L535" s="606"/>
      <c r="M535" s="606"/>
      <c r="N535" s="606"/>
      <c r="O535" s="606"/>
      <c r="P535" s="606"/>
      <c r="Q535" s="606"/>
      <c r="R535" s="606"/>
      <c r="S535" s="606"/>
      <c r="T535" s="606"/>
      <c r="U535" s="606"/>
      <c r="V535" s="606"/>
      <c r="W535" s="606"/>
      <c r="X535" s="640"/>
      <c r="Y535" s="607"/>
      <c r="Z535" s="607"/>
      <c r="AA535" s="607"/>
      <c r="AB535" s="607"/>
      <c r="AC535" s="607"/>
      <c r="AD535" s="607"/>
      <c r="AE535" s="607"/>
      <c r="AF535" s="607"/>
      <c r="AG535" s="607"/>
      <c r="AH535" s="607"/>
      <c r="AI535" s="607"/>
      <c r="AJ535" s="607"/>
      <c r="AK535" s="607"/>
      <c r="AL535" s="606"/>
      <c r="AM535" s="606"/>
      <c r="AN535" s="606"/>
      <c r="AO535" s="606"/>
    </row>
    <row r="536" spans="1:41" ht="11.25" hidden="1" customHeight="1">
      <c r="A536" s="608"/>
      <c r="B536" s="607"/>
      <c r="C536" s="607"/>
      <c r="D536" s="607"/>
      <c r="E536" s="607"/>
      <c r="F536" s="607"/>
      <c r="G536" s="606"/>
      <c r="H536" s="606"/>
      <c r="I536" s="606"/>
      <c r="J536" s="606"/>
      <c r="K536" s="606"/>
      <c r="L536" s="606"/>
      <c r="M536" s="606"/>
      <c r="N536" s="606"/>
      <c r="O536" s="606"/>
      <c r="P536" s="606"/>
      <c r="Q536" s="606"/>
      <c r="R536" s="606"/>
      <c r="S536" s="606"/>
      <c r="T536" s="606"/>
      <c r="U536" s="606"/>
      <c r="V536" s="606"/>
      <c r="W536" s="606"/>
      <c r="X536" s="640"/>
      <c r="Y536" s="607"/>
      <c r="Z536" s="607"/>
      <c r="AA536" s="607"/>
      <c r="AB536" s="607"/>
      <c r="AC536" s="607"/>
      <c r="AD536" s="607"/>
      <c r="AE536" s="607"/>
      <c r="AF536" s="607"/>
      <c r="AG536" s="607"/>
      <c r="AH536" s="607"/>
      <c r="AI536" s="607"/>
      <c r="AJ536" s="607"/>
      <c r="AK536" s="607"/>
      <c r="AL536" s="606"/>
      <c r="AM536" s="606"/>
      <c r="AN536" s="606"/>
      <c r="AO536" s="606"/>
    </row>
    <row r="537" spans="1:41" ht="11.25" hidden="1" customHeight="1">
      <c r="A537" s="608"/>
      <c r="B537" s="607"/>
      <c r="C537" s="607"/>
      <c r="D537" s="607"/>
      <c r="E537" s="607"/>
      <c r="F537" s="607"/>
      <c r="G537" s="606"/>
      <c r="H537" s="606"/>
      <c r="I537" s="606"/>
      <c r="J537" s="606"/>
      <c r="K537" s="606"/>
      <c r="L537" s="606"/>
      <c r="M537" s="606"/>
      <c r="N537" s="606"/>
      <c r="O537" s="606"/>
      <c r="P537" s="606"/>
      <c r="Q537" s="606"/>
      <c r="R537" s="606"/>
      <c r="S537" s="606"/>
      <c r="T537" s="606"/>
      <c r="U537" s="606"/>
      <c r="V537" s="606"/>
      <c r="W537" s="606"/>
      <c r="X537" s="640"/>
      <c r="Y537" s="607"/>
      <c r="Z537" s="607"/>
      <c r="AA537" s="607"/>
      <c r="AB537" s="607"/>
      <c r="AC537" s="607"/>
      <c r="AD537" s="607"/>
      <c r="AE537" s="607"/>
      <c r="AF537" s="607"/>
      <c r="AG537" s="607"/>
      <c r="AH537" s="607"/>
      <c r="AI537" s="607"/>
      <c r="AJ537" s="607"/>
      <c r="AK537" s="607"/>
      <c r="AL537" s="606"/>
      <c r="AM537" s="606"/>
      <c r="AN537" s="606"/>
      <c r="AO537" s="606"/>
    </row>
    <row r="538" spans="1:41" ht="11.25" hidden="1" customHeight="1">
      <c r="A538" s="608"/>
      <c r="B538" s="607"/>
      <c r="C538" s="607"/>
      <c r="D538" s="607"/>
      <c r="E538" s="607"/>
      <c r="F538" s="607"/>
      <c r="G538" s="606"/>
      <c r="H538" s="606"/>
      <c r="I538" s="606"/>
      <c r="J538" s="606"/>
      <c r="K538" s="606"/>
      <c r="L538" s="606"/>
      <c r="M538" s="606"/>
      <c r="N538" s="606"/>
      <c r="O538" s="606"/>
      <c r="P538" s="606"/>
      <c r="Q538" s="606"/>
      <c r="R538" s="606"/>
      <c r="S538" s="606"/>
      <c r="T538" s="606"/>
      <c r="U538" s="606"/>
      <c r="V538" s="606"/>
      <c r="W538" s="606"/>
      <c r="X538" s="640"/>
      <c r="Y538" s="607"/>
      <c r="Z538" s="607"/>
      <c r="AA538" s="607"/>
      <c r="AB538" s="607"/>
      <c r="AC538" s="607"/>
      <c r="AD538" s="607"/>
      <c r="AE538" s="607"/>
      <c r="AF538" s="607"/>
      <c r="AG538" s="607"/>
      <c r="AH538" s="607"/>
      <c r="AI538" s="607"/>
      <c r="AJ538" s="607"/>
      <c r="AK538" s="607"/>
      <c r="AL538" s="606"/>
      <c r="AM538" s="606"/>
      <c r="AN538" s="606"/>
      <c r="AO538" s="606"/>
    </row>
    <row r="539" spans="1:41" ht="11.25" hidden="1" customHeight="1">
      <c r="A539" s="608"/>
      <c r="B539" s="607"/>
      <c r="C539" s="607"/>
      <c r="D539" s="607"/>
      <c r="E539" s="607"/>
      <c r="F539" s="607"/>
      <c r="G539" s="606"/>
      <c r="H539" s="606"/>
      <c r="I539" s="606"/>
      <c r="J539" s="606"/>
      <c r="K539" s="606"/>
      <c r="L539" s="606"/>
      <c r="M539" s="606"/>
      <c r="N539" s="606"/>
      <c r="O539" s="606"/>
      <c r="P539" s="606"/>
      <c r="Q539" s="606"/>
      <c r="R539" s="606"/>
      <c r="S539" s="606"/>
      <c r="T539" s="606"/>
      <c r="U539" s="606"/>
      <c r="V539" s="606"/>
      <c r="W539" s="606"/>
      <c r="X539" s="640"/>
      <c r="Y539" s="607"/>
      <c r="Z539" s="607"/>
      <c r="AA539" s="607"/>
      <c r="AB539" s="607"/>
      <c r="AC539" s="607"/>
      <c r="AD539" s="607"/>
      <c r="AE539" s="607"/>
      <c r="AF539" s="607"/>
      <c r="AG539" s="607"/>
      <c r="AH539" s="607"/>
      <c r="AI539" s="607"/>
      <c r="AJ539" s="607"/>
      <c r="AK539" s="607"/>
      <c r="AL539" s="606"/>
      <c r="AM539" s="606"/>
      <c r="AN539" s="606"/>
      <c r="AO539" s="606"/>
    </row>
    <row r="540" spans="1:41" ht="11.25" hidden="1" customHeight="1">
      <c r="A540" s="608"/>
      <c r="B540" s="607"/>
      <c r="C540" s="607"/>
      <c r="D540" s="607"/>
      <c r="E540" s="607"/>
      <c r="F540" s="607"/>
      <c r="G540" s="606"/>
      <c r="H540" s="606"/>
      <c r="I540" s="606"/>
      <c r="J540" s="606"/>
      <c r="K540" s="606"/>
      <c r="L540" s="606"/>
      <c r="M540" s="606"/>
      <c r="N540" s="606"/>
      <c r="O540" s="606"/>
      <c r="P540" s="606"/>
      <c r="Q540" s="606"/>
      <c r="R540" s="606"/>
      <c r="S540" s="606"/>
      <c r="T540" s="606"/>
      <c r="U540" s="606"/>
      <c r="V540" s="606"/>
      <c r="W540" s="606"/>
      <c r="X540" s="640"/>
      <c r="Y540" s="607"/>
      <c r="Z540" s="607"/>
      <c r="AA540" s="607"/>
      <c r="AB540" s="607"/>
      <c r="AC540" s="607"/>
      <c r="AD540" s="607"/>
      <c r="AE540" s="607"/>
      <c r="AF540" s="607"/>
      <c r="AG540" s="607"/>
      <c r="AH540" s="607"/>
      <c r="AI540" s="607"/>
      <c r="AJ540" s="607"/>
      <c r="AK540" s="607"/>
      <c r="AL540" s="606"/>
      <c r="AM540" s="606"/>
      <c r="AN540" s="606"/>
      <c r="AO540" s="606"/>
    </row>
    <row r="541" spans="1:41" ht="11.25" hidden="1" customHeight="1">
      <c r="A541" s="608"/>
      <c r="B541" s="607"/>
      <c r="C541" s="607"/>
      <c r="D541" s="607"/>
      <c r="E541" s="607"/>
      <c r="F541" s="607"/>
      <c r="G541" s="606"/>
      <c r="H541" s="606"/>
      <c r="I541" s="606"/>
      <c r="J541" s="606"/>
      <c r="K541" s="606"/>
      <c r="L541" s="606"/>
      <c r="M541" s="606"/>
      <c r="N541" s="606"/>
      <c r="O541" s="606"/>
      <c r="P541" s="606"/>
      <c r="Q541" s="606"/>
      <c r="R541" s="606"/>
      <c r="S541" s="606"/>
      <c r="T541" s="606"/>
      <c r="U541" s="606"/>
      <c r="V541" s="606"/>
      <c r="W541" s="606"/>
      <c r="X541" s="640"/>
      <c r="Y541" s="607"/>
      <c r="Z541" s="607"/>
      <c r="AA541" s="607"/>
      <c r="AB541" s="607"/>
      <c r="AC541" s="607"/>
      <c r="AD541" s="607"/>
      <c r="AE541" s="607"/>
      <c r="AF541" s="607"/>
      <c r="AG541" s="607"/>
      <c r="AH541" s="607"/>
      <c r="AI541" s="607"/>
      <c r="AJ541" s="607"/>
      <c r="AK541" s="607"/>
      <c r="AL541" s="606"/>
      <c r="AM541" s="606"/>
      <c r="AN541" s="606"/>
      <c r="AO541" s="606"/>
    </row>
    <row r="542" spans="1:41" ht="11.25" hidden="1" customHeight="1">
      <c r="A542" s="608"/>
      <c r="B542" s="607"/>
      <c r="C542" s="607"/>
      <c r="D542" s="607"/>
      <c r="E542" s="607"/>
      <c r="F542" s="607"/>
      <c r="G542" s="606"/>
      <c r="H542" s="606"/>
      <c r="I542" s="606"/>
      <c r="J542" s="606"/>
      <c r="K542" s="606"/>
      <c r="L542" s="606"/>
      <c r="M542" s="606"/>
      <c r="N542" s="606"/>
      <c r="O542" s="606"/>
      <c r="P542" s="606"/>
      <c r="Q542" s="606"/>
      <c r="R542" s="606"/>
      <c r="S542" s="606"/>
      <c r="T542" s="606"/>
      <c r="U542" s="606"/>
      <c r="V542" s="606"/>
      <c r="W542" s="606"/>
      <c r="X542" s="640"/>
      <c r="Y542" s="607"/>
      <c r="Z542" s="607"/>
      <c r="AA542" s="607"/>
      <c r="AB542" s="607"/>
      <c r="AC542" s="607"/>
      <c r="AD542" s="607"/>
      <c r="AE542" s="607"/>
      <c r="AF542" s="607"/>
      <c r="AG542" s="607"/>
      <c r="AH542" s="607"/>
      <c r="AI542" s="607"/>
      <c r="AJ542" s="607"/>
      <c r="AK542" s="607"/>
      <c r="AL542" s="606"/>
      <c r="AM542" s="606"/>
      <c r="AN542" s="606"/>
      <c r="AO542" s="606"/>
    </row>
    <row r="543" spans="1:41" ht="11.25" hidden="1" customHeight="1">
      <c r="A543" s="608"/>
      <c r="B543" s="607"/>
      <c r="C543" s="607"/>
      <c r="D543" s="607"/>
      <c r="E543" s="607"/>
      <c r="F543" s="607"/>
      <c r="G543" s="606"/>
      <c r="H543" s="606"/>
      <c r="I543" s="606"/>
      <c r="J543" s="606"/>
      <c r="K543" s="606"/>
      <c r="L543" s="606"/>
      <c r="M543" s="606"/>
      <c r="N543" s="606"/>
      <c r="O543" s="606"/>
      <c r="P543" s="606"/>
      <c r="Q543" s="606"/>
      <c r="R543" s="606"/>
      <c r="S543" s="606"/>
      <c r="T543" s="606"/>
      <c r="U543" s="606"/>
      <c r="V543" s="606"/>
      <c r="W543" s="606"/>
      <c r="X543" s="640"/>
      <c r="Y543" s="607"/>
      <c r="Z543" s="607"/>
      <c r="AA543" s="607"/>
      <c r="AB543" s="607"/>
      <c r="AC543" s="607"/>
      <c r="AD543" s="607"/>
      <c r="AE543" s="607"/>
      <c r="AF543" s="607"/>
      <c r="AG543" s="607"/>
      <c r="AH543" s="607"/>
      <c r="AI543" s="607"/>
      <c r="AJ543" s="607"/>
      <c r="AK543" s="607"/>
      <c r="AL543" s="606"/>
      <c r="AM543" s="606"/>
      <c r="AN543" s="606"/>
      <c r="AO543" s="606"/>
    </row>
    <row r="544" spans="1:41" ht="11.25" hidden="1" customHeight="1">
      <c r="A544" s="608"/>
      <c r="B544" s="607"/>
      <c r="C544" s="607"/>
      <c r="D544" s="607"/>
      <c r="E544" s="607"/>
      <c r="F544" s="607"/>
      <c r="G544" s="606"/>
      <c r="H544" s="606"/>
      <c r="I544" s="606"/>
      <c r="J544" s="606"/>
      <c r="K544" s="606"/>
      <c r="L544" s="606"/>
      <c r="M544" s="606"/>
      <c r="N544" s="606"/>
      <c r="O544" s="606"/>
      <c r="P544" s="606"/>
      <c r="Q544" s="606"/>
      <c r="R544" s="606"/>
      <c r="S544" s="606"/>
      <c r="T544" s="606"/>
      <c r="U544" s="606"/>
      <c r="V544" s="606"/>
      <c r="W544" s="606"/>
      <c r="X544" s="640"/>
      <c r="Y544" s="607"/>
      <c r="Z544" s="607"/>
      <c r="AA544" s="607"/>
      <c r="AB544" s="607"/>
      <c r="AC544" s="607"/>
      <c r="AD544" s="607"/>
      <c r="AE544" s="607"/>
      <c r="AF544" s="607"/>
      <c r="AG544" s="607"/>
      <c r="AH544" s="607"/>
      <c r="AI544" s="607"/>
      <c r="AJ544" s="607"/>
      <c r="AK544" s="607"/>
      <c r="AL544" s="606"/>
      <c r="AM544" s="606"/>
      <c r="AN544" s="606"/>
      <c r="AO544" s="606"/>
    </row>
    <row r="545" spans="1:41" ht="11.25" hidden="1" customHeight="1">
      <c r="A545" s="608"/>
      <c r="B545" s="607"/>
      <c r="C545" s="607"/>
      <c r="D545" s="607"/>
      <c r="E545" s="607"/>
      <c r="F545" s="607"/>
      <c r="G545" s="606"/>
      <c r="H545" s="606"/>
      <c r="I545" s="606"/>
      <c r="J545" s="606"/>
      <c r="K545" s="606"/>
      <c r="L545" s="606"/>
      <c r="M545" s="606"/>
      <c r="N545" s="606"/>
      <c r="O545" s="606"/>
      <c r="P545" s="606"/>
      <c r="Q545" s="606"/>
      <c r="R545" s="606"/>
      <c r="S545" s="606"/>
      <c r="T545" s="606"/>
      <c r="U545" s="606"/>
      <c r="V545" s="606"/>
      <c r="W545" s="606"/>
      <c r="X545" s="640"/>
      <c r="Y545" s="607"/>
      <c r="Z545" s="607"/>
      <c r="AA545" s="607"/>
      <c r="AB545" s="607"/>
      <c r="AC545" s="607"/>
      <c r="AD545" s="607"/>
      <c r="AE545" s="607"/>
      <c r="AF545" s="607"/>
      <c r="AG545" s="607"/>
      <c r="AH545" s="607"/>
      <c r="AI545" s="607"/>
      <c r="AJ545" s="607"/>
      <c r="AK545" s="607"/>
      <c r="AL545" s="606"/>
      <c r="AM545" s="606"/>
      <c r="AN545" s="606"/>
      <c r="AO545" s="606"/>
    </row>
    <row r="546" spans="1:41" ht="11.25" hidden="1" customHeight="1">
      <c r="A546" s="608"/>
      <c r="B546" s="607"/>
      <c r="C546" s="607"/>
      <c r="D546" s="607"/>
      <c r="E546" s="607"/>
      <c r="F546" s="607"/>
      <c r="G546" s="606"/>
      <c r="H546" s="606"/>
      <c r="I546" s="606"/>
      <c r="J546" s="606"/>
      <c r="K546" s="606"/>
      <c r="L546" s="606"/>
      <c r="M546" s="606"/>
      <c r="N546" s="606"/>
      <c r="O546" s="606"/>
      <c r="P546" s="606"/>
      <c r="Q546" s="606"/>
      <c r="R546" s="606"/>
      <c r="S546" s="606"/>
      <c r="T546" s="606"/>
      <c r="U546" s="606"/>
      <c r="V546" s="606"/>
      <c r="W546" s="606"/>
      <c r="X546" s="640"/>
      <c r="Y546" s="607"/>
      <c r="Z546" s="607"/>
      <c r="AA546" s="607"/>
      <c r="AB546" s="607"/>
      <c r="AC546" s="607"/>
      <c r="AD546" s="607"/>
      <c r="AE546" s="607"/>
      <c r="AF546" s="607"/>
      <c r="AG546" s="607"/>
      <c r="AH546" s="607"/>
      <c r="AI546" s="607"/>
      <c r="AJ546" s="607"/>
      <c r="AK546" s="607"/>
      <c r="AL546" s="606"/>
      <c r="AM546" s="606"/>
      <c r="AN546" s="606"/>
      <c r="AO546" s="606"/>
    </row>
    <row r="547" spans="1:41" ht="11.25" hidden="1" customHeight="1">
      <c r="A547" s="608"/>
      <c r="B547" s="607"/>
      <c r="C547" s="607"/>
      <c r="D547" s="607"/>
      <c r="E547" s="607"/>
      <c r="F547" s="607"/>
      <c r="G547" s="606"/>
      <c r="H547" s="606"/>
      <c r="I547" s="606"/>
      <c r="J547" s="606"/>
      <c r="K547" s="606"/>
      <c r="L547" s="606"/>
      <c r="M547" s="606"/>
      <c r="N547" s="606"/>
      <c r="O547" s="606"/>
      <c r="P547" s="606"/>
      <c r="Q547" s="606"/>
      <c r="R547" s="606"/>
      <c r="S547" s="606"/>
      <c r="T547" s="606"/>
      <c r="U547" s="606"/>
      <c r="V547" s="606"/>
      <c r="W547" s="606"/>
      <c r="X547" s="640"/>
      <c r="Y547" s="607"/>
      <c r="Z547" s="607"/>
      <c r="AA547" s="607"/>
      <c r="AB547" s="607"/>
      <c r="AC547" s="607"/>
      <c r="AD547" s="607"/>
      <c r="AE547" s="607"/>
      <c r="AF547" s="607"/>
      <c r="AG547" s="607"/>
      <c r="AH547" s="607"/>
      <c r="AI547" s="607"/>
      <c r="AJ547" s="607"/>
      <c r="AK547" s="607"/>
      <c r="AL547" s="606"/>
      <c r="AM547" s="606"/>
      <c r="AN547" s="606"/>
      <c r="AO547" s="606"/>
    </row>
    <row r="548" spans="1:41" ht="11.25" hidden="1" customHeight="1">
      <c r="A548" s="608"/>
      <c r="B548" s="607"/>
      <c r="C548" s="607"/>
      <c r="D548" s="607"/>
      <c r="E548" s="607"/>
      <c r="F548" s="607"/>
      <c r="G548" s="606"/>
      <c r="H548" s="606"/>
      <c r="I548" s="606"/>
      <c r="J548" s="606"/>
      <c r="K548" s="606"/>
      <c r="L548" s="606"/>
      <c r="M548" s="606"/>
      <c r="N548" s="606"/>
      <c r="O548" s="606"/>
      <c r="P548" s="606"/>
      <c r="Q548" s="606"/>
      <c r="R548" s="606"/>
      <c r="S548" s="606"/>
      <c r="T548" s="606"/>
      <c r="U548" s="606"/>
      <c r="V548" s="606"/>
      <c r="W548" s="606"/>
      <c r="X548" s="640"/>
      <c r="Y548" s="607"/>
      <c r="Z548" s="607"/>
      <c r="AA548" s="607"/>
      <c r="AB548" s="607"/>
      <c r="AC548" s="607"/>
      <c r="AD548" s="607"/>
      <c r="AE548" s="607"/>
      <c r="AF548" s="607"/>
      <c r="AG548" s="607"/>
      <c r="AH548" s="607"/>
      <c r="AI548" s="607"/>
      <c r="AJ548" s="607"/>
      <c r="AK548" s="607"/>
      <c r="AL548" s="606"/>
      <c r="AM548" s="606"/>
      <c r="AN548" s="606"/>
      <c r="AO548" s="606"/>
    </row>
    <row r="549" spans="1:41" ht="11.25" hidden="1" customHeight="1">
      <c r="A549" s="608"/>
      <c r="B549" s="607"/>
      <c r="C549" s="607"/>
      <c r="D549" s="607"/>
      <c r="E549" s="607"/>
      <c r="F549" s="607"/>
      <c r="G549" s="606"/>
      <c r="H549" s="606"/>
      <c r="I549" s="606"/>
      <c r="J549" s="606"/>
      <c r="K549" s="606"/>
      <c r="L549" s="606"/>
      <c r="M549" s="606"/>
      <c r="N549" s="606"/>
      <c r="O549" s="606"/>
      <c r="P549" s="606"/>
      <c r="Q549" s="606"/>
      <c r="R549" s="606"/>
      <c r="S549" s="606"/>
      <c r="T549" s="606"/>
      <c r="U549" s="606"/>
      <c r="V549" s="606"/>
      <c r="W549" s="606"/>
      <c r="X549" s="640"/>
      <c r="Y549" s="607"/>
      <c r="Z549" s="607"/>
      <c r="AA549" s="607"/>
      <c r="AB549" s="607"/>
      <c r="AC549" s="607"/>
      <c r="AD549" s="607"/>
      <c r="AE549" s="607"/>
      <c r="AF549" s="607"/>
      <c r="AG549" s="607"/>
      <c r="AH549" s="607"/>
      <c r="AI549" s="607"/>
      <c r="AJ549" s="607"/>
      <c r="AK549" s="607"/>
      <c r="AL549" s="606"/>
      <c r="AM549" s="606"/>
      <c r="AN549" s="606"/>
      <c r="AO549" s="606"/>
    </row>
    <row r="550" spans="1:41" ht="11.25" hidden="1" customHeight="1">
      <c r="A550" s="608"/>
      <c r="B550" s="607"/>
      <c r="C550" s="607"/>
      <c r="D550" s="607"/>
      <c r="E550" s="607"/>
      <c r="F550" s="607"/>
      <c r="G550" s="606"/>
      <c r="H550" s="606"/>
      <c r="I550" s="606"/>
      <c r="J550" s="606"/>
      <c r="K550" s="606"/>
      <c r="L550" s="606"/>
      <c r="M550" s="606"/>
      <c r="N550" s="606"/>
      <c r="O550" s="606"/>
      <c r="P550" s="606"/>
      <c r="Q550" s="606"/>
      <c r="R550" s="606"/>
      <c r="S550" s="606"/>
      <c r="T550" s="606"/>
      <c r="U550" s="606"/>
      <c r="V550" s="606"/>
      <c r="W550" s="606"/>
      <c r="X550" s="640"/>
      <c r="Y550" s="607"/>
      <c r="Z550" s="607"/>
      <c r="AA550" s="607"/>
      <c r="AB550" s="607"/>
      <c r="AC550" s="607"/>
      <c r="AD550" s="607"/>
      <c r="AE550" s="607"/>
      <c r="AF550" s="607"/>
      <c r="AG550" s="607"/>
      <c r="AH550" s="607"/>
      <c r="AI550" s="607"/>
      <c r="AJ550" s="607"/>
      <c r="AK550" s="607"/>
      <c r="AL550" s="606"/>
      <c r="AM550" s="606"/>
      <c r="AN550" s="606"/>
      <c r="AO550" s="606"/>
    </row>
    <row r="551" spans="1:41" ht="11.25" hidden="1" customHeight="1">
      <c r="A551" s="608"/>
      <c r="B551" s="607"/>
      <c r="C551" s="607"/>
      <c r="D551" s="607"/>
      <c r="E551" s="607"/>
      <c r="F551" s="607"/>
      <c r="G551" s="606"/>
      <c r="H551" s="606"/>
      <c r="I551" s="606"/>
      <c r="J551" s="606"/>
      <c r="K551" s="606"/>
      <c r="L551" s="606"/>
      <c r="M551" s="606"/>
      <c r="N551" s="606"/>
      <c r="O551" s="606"/>
      <c r="P551" s="606"/>
      <c r="Q551" s="606"/>
      <c r="R551" s="606"/>
      <c r="S551" s="606"/>
      <c r="T551" s="606"/>
      <c r="U551" s="606"/>
      <c r="V551" s="606"/>
      <c r="W551" s="606"/>
      <c r="X551" s="640"/>
      <c r="Y551" s="607"/>
      <c r="Z551" s="607"/>
      <c r="AA551" s="607"/>
      <c r="AB551" s="607"/>
      <c r="AC551" s="607"/>
      <c r="AD551" s="607"/>
      <c r="AE551" s="607"/>
      <c r="AF551" s="607"/>
      <c r="AG551" s="607"/>
      <c r="AH551" s="607"/>
      <c r="AI551" s="607"/>
      <c r="AJ551" s="607"/>
      <c r="AK551" s="607"/>
      <c r="AL551" s="606"/>
      <c r="AM551" s="606"/>
      <c r="AN551" s="606"/>
      <c r="AO551" s="606"/>
    </row>
    <row r="552" spans="1:41" ht="11.25" hidden="1" customHeight="1">
      <c r="A552" s="608"/>
      <c r="B552" s="607"/>
      <c r="C552" s="607"/>
      <c r="D552" s="607"/>
      <c r="E552" s="607"/>
      <c r="F552" s="607"/>
      <c r="G552" s="606"/>
      <c r="H552" s="606"/>
      <c r="I552" s="606"/>
      <c r="J552" s="606"/>
      <c r="K552" s="606"/>
      <c r="L552" s="606"/>
      <c r="M552" s="606"/>
      <c r="N552" s="606"/>
      <c r="O552" s="606"/>
      <c r="P552" s="606"/>
      <c r="Q552" s="606"/>
      <c r="R552" s="606"/>
      <c r="S552" s="606"/>
      <c r="T552" s="606"/>
      <c r="U552" s="606"/>
      <c r="V552" s="606"/>
      <c r="W552" s="606"/>
      <c r="X552" s="640"/>
      <c r="Y552" s="607"/>
      <c r="Z552" s="607"/>
      <c r="AA552" s="607"/>
      <c r="AB552" s="607"/>
      <c r="AC552" s="607"/>
      <c r="AD552" s="607"/>
      <c r="AE552" s="607"/>
      <c r="AF552" s="607"/>
      <c r="AG552" s="607"/>
      <c r="AH552" s="607"/>
      <c r="AI552" s="607"/>
      <c r="AJ552" s="607"/>
      <c r="AK552" s="607"/>
      <c r="AL552" s="606"/>
      <c r="AM552" s="606"/>
      <c r="AN552" s="606"/>
      <c r="AO552" s="606"/>
    </row>
    <row r="553" spans="1:41" ht="11.25" hidden="1" customHeight="1">
      <c r="A553" s="608"/>
      <c r="B553" s="607"/>
      <c r="C553" s="607"/>
      <c r="D553" s="607"/>
      <c r="E553" s="607"/>
      <c r="F553" s="607"/>
      <c r="G553" s="606"/>
      <c r="H553" s="606"/>
      <c r="I553" s="606"/>
      <c r="J553" s="606"/>
      <c r="K553" s="606"/>
      <c r="L553" s="606"/>
      <c r="M553" s="606"/>
      <c r="N553" s="606"/>
      <c r="O553" s="606"/>
      <c r="P553" s="606"/>
      <c r="Q553" s="606"/>
      <c r="R553" s="606"/>
      <c r="S553" s="606"/>
      <c r="T553" s="606"/>
      <c r="U553" s="606"/>
      <c r="V553" s="606"/>
      <c r="W553" s="606"/>
      <c r="X553" s="640"/>
      <c r="Y553" s="607"/>
      <c r="Z553" s="607"/>
      <c r="AA553" s="607"/>
      <c r="AB553" s="607"/>
      <c r="AC553" s="607"/>
      <c r="AD553" s="607"/>
      <c r="AE553" s="607"/>
      <c r="AF553" s="607"/>
      <c r="AG553" s="607"/>
      <c r="AH553" s="607"/>
      <c r="AI553" s="607"/>
      <c r="AJ553" s="607"/>
      <c r="AK553" s="607"/>
      <c r="AL553" s="606"/>
      <c r="AM553" s="606"/>
      <c r="AN553" s="606"/>
      <c r="AO553" s="606"/>
    </row>
    <row r="554" spans="1:41" ht="11.25" hidden="1" customHeight="1">
      <c r="A554" s="608"/>
      <c r="B554" s="607"/>
      <c r="C554" s="607"/>
      <c r="D554" s="607"/>
      <c r="E554" s="607"/>
      <c r="F554" s="607"/>
      <c r="G554" s="606"/>
      <c r="H554" s="606"/>
      <c r="I554" s="606"/>
      <c r="J554" s="606"/>
      <c r="K554" s="606"/>
      <c r="L554" s="606"/>
      <c r="M554" s="606"/>
      <c r="N554" s="606"/>
      <c r="O554" s="606"/>
      <c r="P554" s="606"/>
      <c r="Q554" s="606"/>
      <c r="R554" s="606"/>
      <c r="S554" s="606"/>
      <c r="T554" s="606"/>
      <c r="U554" s="606"/>
      <c r="V554" s="606"/>
      <c r="W554" s="606"/>
      <c r="X554" s="640"/>
      <c r="Y554" s="607"/>
      <c r="Z554" s="607"/>
      <c r="AA554" s="607"/>
      <c r="AB554" s="607"/>
      <c r="AC554" s="607"/>
      <c r="AD554" s="607"/>
      <c r="AE554" s="607"/>
      <c r="AF554" s="607"/>
      <c r="AG554" s="607"/>
      <c r="AH554" s="607"/>
      <c r="AI554" s="607"/>
      <c r="AJ554" s="607"/>
      <c r="AK554" s="607"/>
      <c r="AL554" s="606"/>
      <c r="AM554" s="606"/>
      <c r="AN554" s="606"/>
      <c r="AO554" s="606"/>
    </row>
    <row r="555" spans="1:41" ht="11.25" hidden="1" customHeight="1">
      <c r="A555" s="608"/>
      <c r="B555" s="607"/>
      <c r="C555" s="607"/>
      <c r="D555" s="607"/>
      <c r="E555" s="607"/>
      <c r="F555" s="607"/>
      <c r="G555" s="606"/>
      <c r="H555" s="606"/>
      <c r="I555" s="606"/>
      <c r="J555" s="606"/>
      <c r="K555" s="606"/>
      <c r="L555" s="606"/>
      <c r="M555" s="606"/>
      <c r="N555" s="606"/>
      <c r="O555" s="606"/>
      <c r="P555" s="606"/>
      <c r="Q555" s="606"/>
      <c r="R555" s="606"/>
      <c r="S555" s="606"/>
      <c r="T555" s="606"/>
      <c r="U555" s="606"/>
      <c r="V555" s="606"/>
      <c r="W555" s="606"/>
      <c r="X555" s="640"/>
      <c r="Y555" s="607"/>
      <c r="Z555" s="607"/>
      <c r="AA555" s="607"/>
      <c r="AB555" s="607"/>
      <c r="AC555" s="607"/>
      <c r="AD555" s="607"/>
      <c r="AE555" s="607"/>
      <c r="AF555" s="607"/>
      <c r="AG555" s="607"/>
      <c r="AH555" s="607"/>
      <c r="AI555" s="607"/>
      <c r="AJ555" s="607"/>
      <c r="AK555" s="607"/>
      <c r="AL555" s="606"/>
      <c r="AM555" s="606"/>
      <c r="AN555" s="606"/>
      <c r="AO555" s="606"/>
    </row>
    <row r="556" spans="1:41" ht="11.25" hidden="1" customHeight="1">
      <c r="A556" s="608"/>
      <c r="B556" s="607"/>
      <c r="C556" s="607"/>
      <c r="D556" s="607"/>
      <c r="E556" s="607"/>
      <c r="F556" s="607"/>
      <c r="G556" s="606"/>
      <c r="H556" s="606"/>
      <c r="I556" s="606"/>
      <c r="J556" s="606"/>
      <c r="K556" s="606"/>
      <c r="L556" s="606"/>
      <c r="M556" s="606"/>
      <c r="N556" s="606"/>
      <c r="O556" s="606"/>
      <c r="P556" s="606"/>
      <c r="Q556" s="606"/>
      <c r="R556" s="606"/>
      <c r="S556" s="606"/>
      <c r="T556" s="606"/>
      <c r="U556" s="606"/>
      <c r="V556" s="606"/>
      <c r="W556" s="606"/>
      <c r="X556" s="640"/>
      <c r="Y556" s="607"/>
      <c r="Z556" s="607"/>
      <c r="AA556" s="607"/>
      <c r="AB556" s="607"/>
      <c r="AC556" s="607"/>
      <c r="AD556" s="607"/>
      <c r="AE556" s="607"/>
      <c r="AF556" s="607"/>
      <c r="AG556" s="607"/>
      <c r="AH556" s="607"/>
      <c r="AI556" s="607"/>
      <c r="AJ556" s="607"/>
      <c r="AK556" s="607"/>
      <c r="AL556" s="606"/>
      <c r="AM556" s="606"/>
      <c r="AN556" s="606"/>
      <c r="AO556" s="606"/>
    </row>
    <row r="557" spans="1:41" ht="11.25" hidden="1" customHeight="1">
      <c r="A557" s="608"/>
      <c r="B557" s="607"/>
      <c r="C557" s="607"/>
      <c r="D557" s="607"/>
      <c r="E557" s="607"/>
      <c r="F557" s="607"/>
      <c r="G557" s="606"/>
      <c r="H557" s="606"/>
      <c r="I557" s="606"/>
      <c r="J557" s="606"/>
      <c r="K557" s="606"/>
      <c r="L557" s="606"/>
      <c r="M557" s="606"/>
      <c r="N557" s="606"/>
      <c r="O557" s="606"/>
      <c r="P557" s="606"/>
      <c r="Q557" s="606"/>
      <c r="R557" s="606"/>
      <c r="S557" s="606"/>
      <c r="T557" s="606"/>
      <c r="U557" s="606"/>
      <c r="V557" s="606"/>
      <c r="W557" s="606"/>
      <c r="X557" s="640"/>
      <c r="Y557" s="607"/>
      <c r="Z557" s="607"/>
      <c r="AA557" s="607"/>
      <c r="AB557" s="607"/>
      <c r="AC557" s="607"/>
      <c r="AD557" s="607"/>
      <c r="AE557" s="607"/>
      <c r="AF557" s="607"/>
      <c r="AG557" s="607"/>
      <c r="AH557" s="607"/>
      <c r="AI557" s="607"/>
      <c r="AJ557" s="607"/>
      <c r="AK557" s="607"/>
      <c r="AL557" s="606"/>
      <c r="AM557" s="606"/>
      <c r="AN557" s="606"/>
      <c r="AO557" s="606"/>
    </row>
    <row r="558" spans="1:41" ht="11.25" hidden="1" customHeight="1">
      <c r="A558" s="608"/>
      <c r="B558" s="607"/>
      <c r="C558" s="607"/>
      <c r="D558" s="607"/>
      <c r="E558" s="607"/>
      <c r="F558" s="607"/>
      <c r="G558" s="606"/>
      <c r="H558" s="606"/>
      <c r="I558" s="606"/>
      <c r="J558" s="606"/>
      <c r="K558" s="606"/>
      <c r="L558" s="606"/>
      <c r="M558" s="606"/>
      <c r="N558" s="606"/>
      <c r="O558" s="606"/>
      <c r="P558" s="606"/>
      <c r="Q558" s="606"/>
      <c r="R558" s="606"/>
      <c r="S558" s="606"/>
      <c r="T558" s="606"/>
      <c r="U558" s="606"/>
      <c r="V558" s="606"/>
      <c r="W558" s="606"/>
      <c r="X558" s="640"/>
      <c r="Y558" s="607"/>
      <c r="Z558" s="607"/>
      <c r="AA558" s="607"/>
      <c r="AB558" s="607"/>
      <c r="AC558" s="607"/>
      <c r="AD558" s="607"/>
      <c r="AE558" s="607"/>
      <c r="AF558" s="607"/>
      <c r="AG558" s="607"/>
      <c r="AH558" s="607"/>
      <c r="AI558" s="607"/>
      <c r="AJ558" s="607"/>
      <c r="AK558" s="607"/>
      <c r="AL558" s="606"/>
      <c r="AM558" s="606"/>
      <c r="AN558" s="606"/>
      <c r="AO558" s="606"/>
    </row>
    <row r="559" spans="1:41" ht="11.25" hidden="1" customHeight="1">
      <c r="A559" s="608"/>
      <c r="B559" s="607"/>
      <c r="C559" s="607"/>
      <c r="D559" s="607"/>
      <c r="E559" s="607"/>
      <c r="F559" s="607"/>
      <c r="G559" s="606"/>
      <c r="H559" s="606"/>
      <c r="I559" s="606"/>
      <c r="J559" s="606"/>
      <c r="K559" s="606"/>
      <c r="L559" s="606"/>
      <c r="M559" s="606"/>
      <c r="N559" s="606"/>
      <c r="O559" s="606"/>
      <c r="P559" s="606"/>
      <c r="Q559" s="606"/>
      <c r="R559" s="606"/>
      <c r="S559" s="606"/>
      <c r="T559" s="606"/>
      <c r="U559" s="606"/>
      <c r="V559" s="606"/>
      <c r="W559" s="606"/>
      <c r="X559" s="640"/>
      <c r="Y559" s="607"/>
      <c r="Z559" s="607"/>
      <c r="AA559" s="607"/>
      <c r="AB559" s="607"/>
      <c r="AC559" s="607"/>
      <c r="AD559" s="607"/>
      <c r="AE559" s="607"/>
      <c r="AF559" s="607"/>
      <c r="AG559" s="607"/>
      <c r="AH559" s="607"/>
      <c r="AI559" s="607"/>
      <c r="AJ559" s="607"/>
      <c r="AK559" s="607"/>
      <c r="AL559" s="606"/>
      <c r="AM559" s="606"/>
      <c r="AN559" s="606"/>
      <c r="AO559" s="606"/>
    </row>
    <row r="560" spans="1:41" ht="11.25" hidden="1" customHeight="1">
      <c r="A560" s="608"/>
      <c r="B560" s="607"/>
      <c r="C560" s="607"/>
      <c r="D560" s="607"/>
      <c r="E560" s="607"/>
      <c r="F560" s="607"/>
      <c r="G560" s="606"/>
      <c r="H560" s="606"/>
      <c r="I560" s="606"/>
      <c r="J560" s="606"/>
      <c r="K560" s="606"/>
      <c r="L560" s="606"/>
      <c r="M560" s="606"/>
      <c r="N560" s="606"/>
      <c r="O560" s="606"/>
      <c r="P560" s="606"/>
      <c r="Q560" s="606"/>
      <c r="R560" s="606"/>
      <c r="S560" s="606"/>
      <c r="T560" s="606"/>
      <c r="U560" s="606"/>
      <c r="V560" s="606"/>
      <c r="W560" s="606"/>
      <c r="X560" s="640"/>
      <c r="Y560" s="607"/>
      <c r="Z560" s="607"/>
      <c r="AA560" s="607"/>
      <c r="AB560" s="607"/>
      <c r="AC560" s="607"/>
      <c r="AD560" s="607"/>
      <c r="AE560" s="607"/>
      <c r="AF560" s="607"/>
      <c r="AG560" s="607"/>
      <c r="AH560" s="607"/>
      <c r="AI560" s="607"/>
      <c r="AJ560" s="607"/>
      <c r="AK560" s="607"/>
      <c r="AL560" s="606"/>
      <c r="AM560" s="606"/>
      <c r="AN560" s="606"/>
      <c r="AO560" s="606"/>
    </row>
    <row r="561" spans="1:41" ht="11.25" hidden="1" customHeight="1">
      <c r="A561" s="608"/>
      <c r="B561" s="607"/>
      <c r="C561" s="607"/>
      <c r="D561" s="607"/>
      <c r="E561" s="607"/>
      <c r="F561" s="607"/>
      <c r="G561" s="606"/>
      <c r="H561" s="606"/>
      <c r="I561" s="606"/>
      <c r="J561" s="606"/>
      <c r="K561" s="606"/>
      <c r="L561" s="606"/>
      <c r="M561" s="606"/>
      <c r="N561" s="606"/>
      <c r="O561" s="606"/>
      <c r="P561" s="606"/>
      <c r="Q561" s="606"/>
      <c r="R561" s="606"/>
      <c r="S561" s="606"/>
      <c r="T561" s="606"/>
      <c r="U561" s="606"/>
      <c r="V561" s="606"/>
      <c r="W561" s="606"/>
      <c r="X561" s="640"/>
      <c r="Y561" s="607"/>
      <c r="Z561" s="607"/>
      <c r="AA561" s="607"/>
      <c r="AB561" s="607"/>
      <c r="AC561" s="607"/>
      <c r="AD561" s="607"/>
      <c r="AE561" s="607"/>
      <c r="AF561" s="607"/>
      <c r="AG561" s="607"/>
      <c r="AH561" s="607"/>
      <c r="AI561" s="607"/>
      <c r="AJ561" s="607"/>
      <c r="AK561" s="607"/>
      <c r="AL561" s="606"/>
      <c r="AM561" s="606"/>
      <c r="AN561" s="606"/>
      <c r="AO561" s="606"/>
    </row>
    <row r="562" spans="1:41" ht="11.25" hidden="1" customHeight="1">
      <c r="A562" s="608"/>
      <c r="B562" s="607"/>
      <c r="C562" s="607"/>
      <c r="D562" s="607"/>
      <c r="E562" s="607"/>
      <c r="F562" s="607"/>
      <c r="G562" s="606"/>
      <c r="H562" s="606"/>
      <c r="I562" s="606"/>
      <c r="J562" s="606"/>
      <c r="K562" s="606"/>
      <c r="L562" s="606"/>
      <c r="M562" s="606"/>
      <c r="N562" s="606"/>
      <c r="O562" s="606"/>
      <c r="P562" s="606"/>
      <c r="Q562" s="606"/>
      <c r="R562" s="606"/>
      <c r="S562" s="606"/>
      <c r="T562" s="606"/>
      <c r="U562" s="606"/>
      <c r="V562" s="606"/>
      <c r="W562" s="606"/>
      <c r="X562" s="640"/>
      <c r="Y562" s="607"/>
      <c r="Z562" s="607"/>
      <c r="AA562" s="607"/>
      <c r="AB562" s="607"/>
      <c r="AC562" s="607"/>
      <c r="AD562" s="607"/>
      <c r="AE562" s="607"/>
      <c r="AF562" s="607"/>
      <c r="AG562" s="607"/>
      <c r="AH562" s="607"/>
      <c r="AI562" s="607"/>
      <c r="AJ562" s="607"/>
      <c r="AK562" s="607"/>
      <c r="AL562" s="606"/>
      <c r="AM562" s="606"/>
      <c r="AN562" s="606"/>
      <c r="AO562" s="606"/>
    </row>
    <row r="563" spans="1:41" ht="11.25" hidden="1" customHeight="1">
      <c r="A563" s="608"/>
      <c r="B563" s="607"/>
      <c r="C563" s="607"/>
      <c r="D563" s="607"/>
      <c r="E563" s="607"/>
      <c r="F563" s="607"/>
      <c r="G563" s="606"/>
      <c r="H563" s="606"/>
      <c r="I563" s="606"/>
      <c r="J563" s="606"/>
      <c r="K563" s="606"/>
      <c r="L563" s="606"/>
      <c r="M563" s="606"/>
      <c r="N563" s="606"/>
      <c r="O563" s="606"/>
      <c r="P563" s="606"/>
      <c r="Q563" s="606"/>
      <c r="R563" s="606"/>
      <c r="S563" s="606"/>
      <c r="T563" s="606"/>
      <c r="U563" s="606"/>
      <c r="V563" s="606"/>
      <c r="W563" s="606"/>
      <c r="X563" s="640"/>
      <c r="Y563" s="607"/>
      <c r="Z563" s="607"/>
      <c r="AA563" s="607"/>
      <c r="AB563" s="607"/>
      <c r="AC563" s="607"/>
      <c r="AD563" s="607"/>
      <c r="AE563" s="607"/>
      <c r="AF563" s="607"/>
      <c r="AG563" s="607"/>
      <c r="AH563" s="607"/>
      <c r="AI563" s="607"/>
      <c r="AJ563" s="607"/>
      <c r="AK563" s="607"/>
      <c r="AL563" s="606"/>
      <c r="AM563" s="606"/>
      <c r="AN563" s="606"/>
      <c r="AO563" s="606"/>
    </row>
    <row r="564" spans="1:41" ht="11.25" hidden="1" customHeight="1">
      <c r="A564" s="608"/>
      <c r="B564" s="607"/>
      <c r="C564" s="607"/>
      <c r="D564" s="607"/>
      <c r="E564" s="607"/>
      <c r="F564" s="607"/>
      <c r="G564" s="606"/>
      <c r="H564" s="606"/>
      <c r="I564" s="606"/>
      <c r="J564" s="606"/>
      <c r="K564" s="606"/>
      <c r="L564" s="606"/>
      <c r="M564" s="606"/>
      <c r="N564" s="606"/>
      <c r="O564" s="606"/>
      <c r="P564" s="606"/>
      <c r="Q564" s="606"/>
      <c r="R564" s="606"/>
      <c r="S564" s="606"/>
      <c r="T564" s="606"/>
      <c r="U564" s="606"/>
      <c r="V564" s="606"/>
      <c r="W564" s="606"/>
      <c r="X564" s="640"/>
      <c r="Y564" s="607"/>
      <c r="Z564" s="607"/>
      <c r="AA564" s="607"/>
      <c r="AB564" s="607"/>
      <c r="AC564" s="607"/>
      <c r="AD564" s="607"/>
      <c r="AE564" s="607"/>
      <c r="AF564" s="607"/>
      <c r="AG564" s="607"/>
      <c r="AH564" s="607"/>
      <c r="AI564" s="607"/>
      <c r="AJ564" s="607"/>
      <c r="AK564" s="607"/>
      <c r="AL564" s="606"/>
      <c r="AM564" s="606"/>
      <c r="AN564" s="606"/>
      <c r="AO564" s="606"/>
    </row>
    <row r="565" spans="1:41" ht="11.25" hidden="1" customHeight="1">
      <c r="A565" s="608"/>
      <c r="B565" s="607"/>
      <c r="C565" s="607"/>
      <c r="D565" s="607"/>
      <c r="E565" s="607"/>
      <c r="F565" s="607"/>
      <c r="G565" s="606"/>
      <c r="H565" s="606"/>
      <c r="I565" s="606"/>
      <c r="J565" s="606"/>
      <c r="K565" s="606"/>
      <c r="L565" s="606"/>
      <c r="M565" s="606"/>
      <c r="N565" s="606"/>
      <c r="O565" s="606"/>
      <c r="P565" s="606"/>
      <c r="Q565" s="606"/>
      <c r="R565" s="606"/>
      <c r="S565" s="606"/>
      <c r="T565" s="606"/>
      <c r="U565" s="606"/>
      <c r="V565" s="606"/>
      <c r="W565" s="606"/>
      <c r="X565" s="640"/>
      <c r="Y565" s="607"/>
      <c r="Z565" s="607"/>
      <c r="AA565" s="607"/>
      <c r="AB565" s="607"/>
      <c r="AC565" s="607"/>
      <c r="AD565" s="607"/>
      <c r="AE565" s="607"/>
      <c r="AF565" s="607"/>
      <c r="AG565" s="607"/>
      <c r="AH565" s="607"/>
      <c r="AI565" s="607"/>
      <c r="AJ565" s="607"/>
      <c r="AK565" s="607"/>
      <c r="AL565" s="606"/>
      <c r="AM565" s="606"/>
      <c r="AN565" s="606"/>
      <c r="AO565" s="606"/>
    </row>
    <row r="566" spans="1:41" ht="11.25" hidden="1" customHeight="1">
      <c r="A566" s="608"/>
      <c r="B566" s="607"/>
      <c r="C566" s="607"/>
      <c r="D566" s="607"/>
      <c r="E566" s="607"/>
      <c r="F566" s="607"/>
      <c r="G566" s="606"/>
      <c r="H566" s="606"/>
      <c r="I566" s="606"/>
      <c r="J566" s="606"/>
      <c r="K566" s="606"/>
      <c r="L566" s="606"/>
      <c r="M566" s="606"/>
      <c r="N566" s="606"/>
      <c r="O566" s="606"/>
      <c r="P566" s="606"/>
      <c r="Q566" s="606"/>
      <c r="R566" s="606"/>
      <c r="S566" s="606"/>
      <c r="T566" s="606"/>
      <c r="U566" s="606"/>
      <c r="V566" s="606"/>
      <c r="W566" s="606"/>
      <c r="X566" s="640"/>
      <c r="Y566" s="607"/>
      <c r="Z566" s="607"/>
      <c r="AA566" s="607"/>
      <c r="AB566" s="607"/>
      <c r="AC566" s="607"/>
      <c r="AD566" s="607"/>
      <c r="AE566" s="607"/>
      <c r="AF566" s="607"/>
      <c r="AG566" s="607"/>
      <c r="AH566" s="607"/>
      <c r="AI566" s="607"/>
      <c r="AJ566" s="607"/>
      <c r="AK566" s="607"/>
      <c r="AL566" s="606"/>
      <c r="AM566" s="606"/>
      <c r="AN566" s="606"/>
      <c r="AO566" s="606"/>
    </row>
    <row r="567" spans="1:41" ht="11.25" hidden="1" customHeight="1">
      <c r="A567" s="608"/>
      <c r="B567" s="607"/>
      <c r="C567" s="607"/>
      <c r="D567" s="607"/>
      <c r="E567" s="607"/>
      <c r="F567" s="607"/>
      <c r="G567" s="606"/>
      <c r="H567" s="606"/>
      <c r="I567" s="606"/>
      <c r="J567" s="606"/>
      <c r="K567" s="606"/>
      <c r="L567" s="606"/>
      <c r="M567" s="606"/>
      <c r="N567" s="606"/>
      <c r="O567" s="606"/>
      <c r="P567" s="606"/>
      <c r="Q567" s="606"/>
      <c r="R567" s="606"/>
      <c r="S567" s="606"/>
      <c r="T567" s="606"/>
      <c r="U567" s="606"/>
      <c r="V567" s="606"/>
      <c r="W567" s="606"/>
      <c r="X567" s="640"/>
      <c r="Y567" s="607"/>
      <c r="Z567" s="607"/>
      <c r="AA567" s="607"/>
      <c r="AB567" s="607"/>
      <c r="AC567" s="607"/>
      <c r="AD567" s="607"/>
      <c r="AE567" s="607"/>
      <c r="AF567" s="607"/>
      <c r="AG567" s="607"/>
      <c r="AH567" s="607"/>
      <c r="AI567" s="607"/>
      <c r="AJ567" s="607"/>
      <c r="AK567" s="607"/>
      <c r="AL567" s="606"/>
      <c r="AM567" s="606"/>
      <c r="AN567" s="606"/>
      <c r="AO567" s="606"/>
    </row>
    <row r="568" spans="1:41" ht="11.25" hidden="1" customHeight="1">
      <c r="A568" s="608"/>
      <c r="B568" s="607"/>
      <c r="C568" s="607"/>
      <c r="D568" s="607"/>
      <c r="E568" s="607"/>
      <c r="F568" s="607"/>
      <c r="G568" s="606"/>
      <c r="H568" s="606"/>
      <c r="I568" s="606"/>
      <c r="J568" s="606"/>
      <c r="K568" s="606"/>
      <c r="L568" s="606"/>
      <c r="M568" s="606"/>
      <c r="N568" s="606"/>
      <c r="O568" s="606"/>
      <c r="P568" s="606"/>
      <c r="Q568" s="606"/>
      <c r="R568" s="606"/>
      <c r="S568" s="606"/>
      <c r="T568" s="606"/>
      <c r="U568" s="606"/>
      <c r="V568" s="606"/>
      <c r="W568" s="606"/>
      <c r="X568" s="640"/>
      <c r="Y568" s="607"/>
      <c r="Z568" s="607"/>
      <c r="AA568" s="607"/>
      <c r="AB568" s="607"/>
      <c r="AC568" s="607"/>
      <c r="AD568" s="607"/>
      <c r="AE568" s="607"/>
      <c r="AF568" s="607"/>
      <c r="AG568" s="607"/>
      <c r="AH568" s="607"/>
      <c r="AI568" s="607"/>
      <c r="AJ568" s="607"/>
      <c r="AK568" s="607"/>
      <c r="AL568" s="606"/>
      <c r="AM568" s="606"/>
      <c r="AN568" s="606"/>
      <c r="AO568" s="606"/>
    </row>
    <row r="569" spans="1:41" ht="11.25" hidden="1" customHeight="1">
      <c r="A569" s="608"/>
      <c r="B569" s="607"/>
      <c r="C569" s="607"/>
      <c r="D569" s="607"/>
      <c r="E569" s="607"/>
      <c r="F569" s="607"/>
      <c r="G569" s="606"/>
      <c r="H569" s="606"/>
      <c r="I569" s="606"/>
      <c r="J569" s="606"/>
      <c r="K569" s="606"/>
      <c r="L569" s="606"/>
      <c r="M569" s="606"/>
      <c r="N569" s="606"/>
      <c r="O569" s="606"/>
      <c r="P569" s="606"/>
      <c r="Q569" s="606"/>
      <c r="R569" s="606"/>
      <c r="S569" s="606"/>
      <c r="T569" s="606"/>
      <c r="U569" s="606"/>
      <c r="V569" s="606"/>
      <c r="W569" s="606"/>
      <c r="X569" s="640"/>
      <c r="Y569" s="607"/>
      <c r="Z569" s="607"/>
      <c r="AA569" s="607"/>
      <c r="AB569" s="607"/>
      <c r="AC569" s="607"/>
      <c r="AD569" s="607"/>
      <c r="AE569" s="607"/>
      <c r="AF569" s="607"/>
      <c r="AG569" s="607"/>
      <c r="AH569" s="607"/>
      <c r="AI569" s="607"/>
      <c r="AJ569" s="607"/>
      <c r="AK569" s="607"/>
      <c r="AL569" s="606"/>
      <c r="AM569" s="606"/>
      <c r="AN569" s="606"/>
      <c r="AO569" s="606"/>
    </row>
    <row r="570" spans="1:41" ht="11.25" hidden="1" customHeight="1">
      <c r="A570" s="608"/>
      <c r="B570" s="607"/>
      <c r="C570" s="607"/>
      <c r="D570" s="607"/>
      <c r="E570" s="607"/>
      <c r="F570" s="607"/>
      <c r="G570" s="606"/>
      <c r="H570" s="606"/>
      <c r="I570" s="606"/>
      <c r="J570" s="606"/>
      <c r="K570" s="606"/>
      <c r="L570" s="606"/>
      <c r="M570" s="606"/>
      <c r="N570" s="606"/>
      <c r="O570" s="606"/>
      <c r="P570" s="606"/>
      <c r="Q570" s="606"/>
      <c r="R570" s="606"/>
      <c r="S570" s="606"/>
      <c r="T570" s="606"/>
      <c r="U570" s="606"/>
      <c r="V570" s="606"/>
      <c r="W570" s="606"/>
      <c r="X570" s="640"/>
      <c r="Y570" s="607"/>
      <c r="Z570" s="607"/>
      <c r="AA570" s="607"/>
      <c r="AB570" s="607"/>
      <c r="AC570" s="607"/>
      <c r="AD570" s="607"/>
      <c r="AE570" s="607"/>
      <c r="AF570" s="607"/>
      <c r="AG570" s="607"/>
      <c r="AH570" s="607"/>
      <c r="AI570" s="607"/>
      <c r="AJ570" s="607"/>
      <c r="AK570" s="607"/>
      <c r="AL570" s="606"/>
      <c r="AM570" s="606"/>
      <c r="AN570" s="606"/>
      <c r="AO570" s="606"/>
    </row>
    <row r="571" spans="1:41" ht="11.25" hidden="1" customHeight="1">
      <c r="A571" s="608"/>
      <c r="B571" s="607"/>
      <c r="C571" s="607"/>
      <c r="D571" s="607"/>
      <c r="E571" s="607"/>
      <c r="F571" s="607"/>
      <c r="G571" s="606"/>
      <c r="H571" s="606"/>
      <c r="I571" s="606"/>
      <c r="J571" s="606"/>
      <c r="K571" s="606"/>
      <c r="L571" s="606"/>
      <c r="M571" s="606"/>
      <c r="N571" s="606"/>
      <c r="O571" s="606"/>
      <c r="P571" s="606"/>
      <c r="Q571" s="606"/>
      <c r="R571" s="606"/>
      <c r="S571" s="606"/>
      <c r="T571" s="606"/>
      <c r="U571" s="606"/>
      <c r="V571" s="606"/>
      <c r="W571" s="606"/>
      <c r="X571" s="640"/>
      <c r="Y571" s="607"/>
      <c r="Z571" s="607"/>
      <c r="AA571" s="607"/>
      <c r="AB571" s="607"/>
      <c r="AC571" s="607"/>
      <c r="AD571" s="607"/>
      <c r="AE571" s="607"/>
      <c r="AF571" s="607"/>
      <c r="AG571" s="607"/>
      <c r="AH571" s="607"/>
      <c r="AI571" s="607"/>
      <c r="AJ571" s="607"/>
      <c r="AK571" s="607"/>
      <c r="AL571" s="606"/>
      <c r="AM571" s="606"/>
      <c r="AN571" s="606"/>
      <c r="AO571" s="606"/>
    </row>
    <row r="572" spans="1:41" ht="11.25" hidden="1" customHeight="1">
      <c r="A572" s="608"/>
      <c r="B572" s="607"/>
      <c r="C572" s="607"/>
      <c r="D572" s="607"/>
      <c r="E572" s="607"/>
      <c r="F572" s="607"/>
      <c r="G572" s="606"/>
      <c r="H572" s="606"/>
      <c r="I572" s="606"/>
      <c r="J572" s="606"/>
      <c r="K572" s="606"/>
      <c r="L572" s="606"/>
      <c r="M572" s="606"/>
      <c r="N572" s="606"/>
      <c r="O572" s="606"/>
      <c r="P572" s="606"/>
      <c r="Q572" s="606"/>
      <c r="R572" s="606"/>
      <c r="S572" s="606"/>
      <c r="T572" s="606"/>
      <c r="U572" s="606"/>
      <c r="V572" s="606"/>
      <c r="W572" s="606"/>
      <c r="X572" s="640"/>
      <c r="Y572" s="607"/>
      <c r="Z572" s="607"/>
      <c r="AA572" s="607"/>
      <c r="AB572" s="607"/>
      <c r="AC572" s="607"/>
      <c r="AD572" s="607"/>
      <c r="AE572" s="607"/>
      <c r="AF572" s="607"/>
      <c r="AG572" s="607"/>
      <c r="AH572" s="607"/>
      <c r="AI572" s="607"/>
      <c r="AJ572" s="607"/>
      <c r="AK572" s="607"/>
      <c r="AL572" s="606"/>
      <c r="AM572" s="606"/>
      <c r="AN572" s="606"/>
      <c r="AO572" s="606"/>
    </row>
    <row r="573" spans="1:41" ht="11.25" hidden="1" customHeight="1">
      <c r="A573" s="608"/>
      <c r="B573" s="607"/>
      <c r="C573" s="607"/>
      <c r="D573" s="607"/>
      <c r="E573" s="607"/>
      <c r="F573" s="607"/>
      <c r="G573" s="606"/>
      <c r="H573" s="606"/>
      <c r="I573" s="606"/>
      <c r="J573" s="606"/>
      <c r="K573" s="606"/>
      <c r="L573" s="606"/>
      <c r="M573" s="606"/>
      <c r="N573" s="606"/>
      <c r="O573" s="606"/>
      <c r="P573" s="606"/>
      <c r="Q573" s="606"/>
      <c r="R573" s="606"/>
      <c r="S573" s="606"/>
      <c r="T573" s="606"/>
      <c r="U573" s="606"/>
      <c r="V573" s="606"/>
      <c r="W573" s="606"/>
      <c r="X573" s="640"/>
      <c r="Y573" s="607"/>
      <c r="Z573" s="607"/>
      <c r="AA573" s="607"/>
      <c r="AB573" s="607"/>
      <c r="AC573" s="607"/>
      <c r="AD573" s="607"/>
      <c r="AE573" s="607"/>
      <c r="AF573" s="607"/>
      <c r="AG573" s="607"/>
      <c r="AH573" s="607"/>
      <c r="AI573" s="607"/>
      <c r="AJ573" s="607"/>
      <c r="AK573" s="607"/>
      <c r="AL573" s="606"/>
      <c r="AM573" s="606"/>
      <c r="AN573" s="606"/>
      <c r="AO573" s="606"/>
    </row>
    <row r="574" spans="1:41" ht="11.25" hidden="1" customHeight="1">
      <c r="A574" s="608"/>
      <c r="B574" s="607"/>
      <c r="C574" s="607"/>
      <c r="D574" s="607"/>
      <c r="E574" s="607"/>
      <c r="F574" s="607"/>
      <c r="G574" s="606"/>
      <c r="H574" s="606"/>
      <c r="I574" s="606"/>
      <c r="J574" s="606"/>
      <c r="K574" s="606"/>
      <c r="L574" s="606"/>
      <c r="M574" s="606"/>
      <c r="N574" s="606"/>
      <c r="O574" s="606"/>
      <c r="P574" s="606"/>
      <c r="Q574" s="606"/>
      <c r="R574" s="606"/>
      <c r="S574" s="606"/>
      <c r="T574" s="606"/>
      <c r="U574" s="606"/>
      <c r="V574" s="606"/>
      <c r="W574" s="606"/>
      <c r="X574" s="640"/>
      <c r="Y574" s="607"/>
      <c r="Z574" s="607"/>
      <c r="AA574" s="607"/>
      <c r="AB574" s="607"/>
      <c r="AC574" s="607"/>
      <c r="AD574" s="607"/>
      <c r="AE574" s="607"/>
      <c r="AF574" s="607"/>
      <c r="AG574" s="607"/>
      <c r="AH574" s="607"/>
      <c r="AI574" s="607"/>
      <c r="AJ574" s="607"/>
      <c r="AK574" s="607"/>
      <c r="AL574" s="606"/>
      <c r="AM574" s="606"/>
      <c r="AN574" s="606"/>
      <c r="AO574" s="606"/>
    </row>
    <row r="575" spans="1:41" ht="11.25" hidden="1" customHeight="1">
      <c r="A575" s="608"/>
      <c r="B575" s="607"/>
      <c r="C575" s="607"/>
      <c r="D575" s="607"/>
      <c r="E575" s="607"/>
      <c r="F575" s="607"/>
      <c r="G575" s="606"/>
      <c r="H575" s="606"/>
      <c r="I575" s="606"/>
      <c r="J575" s="606"/>
      <c r="K575" s="606"/>
      <c r="L575" s="606"/>
      <c r="M575" s="606"/>
      <c r="N575" s="606"/>
      <c r="O575" s="606"/>
      <c r="P575" s="606"/>
      <c r="Q575" s="606"/>
      <c r="R575" s="606"/>
      <c r="S575" s="606"/>
      <c r="T575" s="606"/>
      <c r="U575" s="606"/>
      <c r="V575" s="606"/>
      <c r="W575" s="606"/>
      <c r="X575" s="640"/>
      <c r="Y575" s="607"/>
      <c r="Z575" s="607"/>
      <c r="AA575" s="607"/>
      <c r="AB575" s="607"/>
      <c r="AC575" s="607"/>
      <c r="AD575" s="607"/>
      <c r="AE575" s="607"/>
      <c r="AF575" s="607"/>
      <c r="AG575" s="607"/>
      <c r="AH575" s="607"/>
      <c r="AI575" s="607"/>
      <c r="AJ575" s="607"/>
      <c r="AK575" s="607"/>
      <c r="AL575" s="606"/>
      <c r="AM575" s="606"/>
      <c r="AN575" s="606"/>
      <c r="AO575" s="606"/>
    </row>
    <row r="576" spans="1:41" ht="11.25" hidden="1" customHeight="1">
      <c r="A576" s="608"/>
      <c r="B576" s="607"/>
      <c r="C576" s="607"/>
      <c r="D576" s="607"/>
      <c r="E576" s="607"/>
      <c r="F576" s="607"/>
      <c r="G576" s="606"/>
      <c r="H576" s="606"/>
      <c r="I576" s="606"/>
      <c r="J576" s="606"/>
      <c r="K576" s="606"/>
      <c r="L576" s="606"/>
      <c r="M576" s="606"/>
      <c r="N576" s="606"/>
      <c r="O576" s="606"/>
      <c r="P576" s="606"/>
      <c r="Q576" s="606"/>
      <c r="R576" s="606"/>
      <c r="S576" s="606"/>
      <c r="T576" s="606"/>
      <c r="U576" s="606"/>
      <c r="V576" s="606"/>
      <c r="W576" s="606"/>
      <c r="X576" s="640"/>
      <c r="Y576" s="607"/>
      <c r="Z576" s="607"/>
      <c r="AA576" s="607"/>
      <c r="AB576" s="607"/>
      <c r="AC576" s="607"/>
      <c r="AD576" s="607"/>
      <c r="AE576" s="607"/>
      <c r="AF576" s="607"/>
      <c r="AG576" s="607"/>
      <c r="AH576" s="607"/>
      <c r="AI576" s="607"/>
      <c r="AJ576" s="607"/>
      <c r="AK576" s="607"/>
      <c r="AL576" s="606"/>
      <c r="AM576" s="606"/>
      <c r="AN576" s="606"/>
      <c r="AO576" s="606"/>
    </row>
    <row r="577" spans="1:41" ht="11.25" hidden="1" customHeight="1">
      <c r="A577" s="608"/>
      <c r="B577" s="607"/>
      <c r="C577" s="607"/>
      <c r="D577" s="607"/>
      <c r="E577" s="607"/>
      <c r="F577" s="607"/>
      <c r="G577" s="606"/>
      <c r="H577" s="606"/>
      <c r="I577" s="606"/>
      <c r="J577" s="606"/>
      <c r="K577" s="606"/>
      <c r="L577" s="606"/>
      <c r="M577" s="606"/>
      <c r="N577" s="606"/>
      <c r="O577" s="606"/>
      <c r="P577" s="606"/>
      <c r="Q577" s="606"/>
      <c r="R577" s="606"/>
      <c r="S577" s="606"/>
      <c r="T577" s="606"/>
      <c r="U577" s="606"/>
      <c r="V577" s="606"/>
      <c r="W577" s="606"/>
      <c r="X577" s="640"/>
      <c r="Y577" s="607"/>
      <c r="Z577" s="607"/>
      <c r="AA577" s="607"/>
      <c r="AB577" s="607"/>
      <c r="AC577" s="607"/>
      <c r="AD577" s="607"/>
      <c r="AE577" s="607"/>
      <c r="AF577" s="607"/>
      <c r="AG577" s="607"/>
      <c r="AH577" s="607"/>
      <c r="AI577" s="607"/>
      <c r="AJ577" s="607"/>
      <c r="AK577" s="607"/>
      <c r="AL577" s="606"/>
      <c r="AM577" s="606"/>
      <c r="AN577" s="606"/>
      <c r="AO577" s="606"/>
    </row>
    <row r="578" spans="1:41" ht="11.25" hidden="1" customHeight="1">
      <c r="A578" s="608"/>
      <c r="B578" s="607"/>
      <c r="C578" s="607"/>
      <c r="D578" s="607"/>
      <c r="E578" s="607"/>
      <c r="F578" s="607"/>
      <c r="G578" s="606"/>
      <c r="H578" s="606"/>
      <c r="I578" s="606"/>
      <c r="J578" s="606"/>
      <c r="K578" s="606"/>
      <c r="L578" s="606"/>
      <c r="M578" s="606"/>
      <c r="N578" s="606"/>
      <c r="O578" s="606"/>
      <c r="P578" s="606"/>
      <c r="Q578" s="606"/>
      <c r="R578" s="606"/>
      <c r="S578" s="606"/>
      <c r="T578" s="606"/>
      <c r="U578" s="606"/>
      <c r="V578" s="606"/>
      <c r="W578" s="606"/>
      <c r="X578" s="640"/>
      <c r="Y578" s="607"/>
      <c r="Z578" s="607"/>
      <c r="AA578" s="607"/>
      <c r="AB578" s="607"/>
      <c r="AC578" s="607"/>
      <c r="AD578" s="607"/>
      <c r="AE578" s="607"/>
      <c r="AF578" s="607"/>
      <c r="AG578" s="607"/>
      <c r="AH578" s="607"/>
      <c r="AI578" s="607"/>
      <c r="AJ578" s="607"/>
      <c r="AK578" s="607"/>
      <c r="AL578" s="606"/>
      <c r="AM578" s="606"/>
      <c r="AN578" s="606"/>
      <c r="AO578" s="606"/>
    </row>
    <row r="579" spans="1:41" ht="11.25" hidden="1" customHeight="1">
      <c r="A579" s="608"/>
      <c r="B579" s="607"/>
      <c r="C579" s="607"/>
      <c r="D579" s="607"/>
      <c r="E579" s="607"/>
      <c r="F579" s="607"/>
      <c r="G579" s="606"/>
      <c r="H579" s="606"/>
      <c r="I579" s="606"/>
      <c r="J579" s="606"/>
      <c r="K579" s="606"/>
      <c r="L579" s="606"/>
      <c r="M579" s="606"/>
      <c r="N579" s="606"/>
      <c r="O579" s="606"/>
      <c r="P579" s="606"/>
      <c r="Q579" s="606"/>
      <c r="R579" s="606"/>
      <c r="S579" s="606"/>
      <c r="T579" s="606"/>
      <c r="U579" s="606"/>
      <c r="V579" s="606"/>
      <c r="W579" s="606"/>
      <c r="X579" s="640"/>
      <c r="Y579" s="607"/>
      <c r="Z579" s="607"/>
      <c r="AA579" s="607"/>
      <c r="AB579" s="607"/>
      <c r="AC579" s="607"/>
      <c r="AD579" s="607"/>
      <c r="AE579" s="607"/>
      <c r="AF579" s="607"/>
      <c r="AG579" s="607"/>
      <c r="AH579" s="607"/>
      <c r="AI579" s="607"/>
      <c r="AJ579" s="607"/>
      <c r="AK579" s="607"/>
      <c r="AL579" s="606"/>
      <c r="AM579" s="606"/>
      <c r="AN579" s="606"/>
      <c r="AO579" s="606"/>
    </row>
    <row r="580" spans="1:41" ht="11.25" hidden="1" customHeight="1">
      <c r="A580" s="608"/>
      <c r="B580" s="607"/>
      <c r="C580" s="607"/>
      <c r="D580" s="607"/>
      <c r="E580" s="607"/>
      <c r="F580" s="607"/>
      <c r="G580" s="606"/>
      <c r="H580" s="606"/>
      <c r="I580" s="606"/>
      <c r="J580" s="606"/>
      <c r="K580" s="606"/>
      <c r="L580" s="606"/>
      <c r="M580" s="606"/>
      <c r="N580" s="606"/>
      <c r="O580" s="606"/>
      <c r="P580" s="606"/>
      <c r="Q580" s="606"/>
      <c r="R580" s="606"/>
      <c r="S580" s="606"/>
      <c r="T580" s="606"/>
      <c r="U580" s="606"/>
      <c r="V580" s="606"/>
      <c r="W580" s="606"/>
      <c r="X580" s="640"/>
      <c r="Y580" s="607"/>
      <c r="Z580" s="607"/>
      <c r="AA580" s="607"/>
      <c r="AB580" s="607"/>
      <c r="AC580" s="607"/>
      <c r="AD580" s="607"/>
      <c r="AE580" s="607"/>
      <c r="AF580" s="607"/>
      <c r="AG580" s="607"/>
      <c r="AH580" s="607"/>
      <c r="AI580" s="607"/>
      <c r="AJ580" s="607"/>
      <c r="AK580" s="607"/>
      <c r="AL580" s="606"/>
      <c r="AM580" s="606"/>
      <c r="AN580" s="606"/>
      <c r="AO580" s="606"/>
    </row>
    <row r="581" spans="1:41" ht="11.25" hidden="1" customHeight="1">
      <c r="A581" s="608"/>
      <c r="B581" s="607"/>
      <c r="C581" s="607"/>
      <c r="D581" s="607"/>
      <c r="E581" s="607"/>
      <c r="F581" s="607"/>
      <c r="G581" s="606"/>
      <c r="H581" s="606"/>
      <c r="I581" s="606"/>
      <c r="J581" s="606"/>
      <c r="K581" s="606"/>
      <c r="L581" s="606"/>
      <c r="M581" s="606"/>
      <c r="N581" s="606"/>
      <c r="O581" s="606"/>
      <c r="P581" s="606"/>
      <c r="Q581" s="606"/>
      <c r="R581" s="606"/>
      <c r="S581" s="606"/>
      <c r="T581" s="606"/>
      <c r="U581" s="606"/>
      <c r="V581" s="606"/>
      <c r="W581" s="606"/>
      <c r="X581" s="640"/>
      <c r="Y581" s="607"/>
      <c r="Z581" s="607"/>
      <c r="AA581" s="607"/>
      <c r="AB581" s="607"/>
      <c r="AC581" s="607"/>
      <c r="AD581" s="607"/>
      <c r="AE581" s="607"/>
      <c r="AF581" s="607"/>
      <c r="AG581" s="607"/>
      <c r="AH581" s="607"/>
      <c r="AI581" s="607"/>
      <c r="AJ581" s="607"/>
      <c r="AK581" s="607"/>
      <c r="AL581" s="606"/>
      <c r="AM581" s="606"/>
      <c r="AN581" s="606"/>
      <c r="AO581" s="606"/>
    </row>
    <row r="582" spans="1:41" ht="11.25" hidden="1" customHeight="1">
      <c r="A582" s="608"/>
      <c r="B582" s="607"/>
      <c r="C582" s="607"/>
      <c r="D582" s="607"/>
      <c r="E582" s="607"/>
      <c r="F582" s="607"/>
      <c r="G582" s="606"/>
      <c r="H582" s="606"/>
      <c r="I582" s="606"/>
      <c r="J582" s="606"/>
      <c r="K582" s="606"/>
      <c r="L582" s="606"/>
      <c r="M582" s="606"/>
      <c r="N582" s="606"/>
      <c r="O582" s="606"/>
      <c r="P582" s="606"/>
      <c r="Q582" s="606"/>
      <c r="R582" s="606"/>
      <c r="S582" s="606"/>
      <c r="T582" s="606"/>
      <c r="U582" s="606"/>
      <c r="V582" s="606"/>
      <c r="W582" s="606"/>
      <c r="X582" s="640"/>
      <c r="Y582" s="607"/>
      <c r="Z582" s="607"/>
      <c r="AA582" s="607"/>
      <c r="AB582" s="607"/>
      <c r="AC582" s="607"/>
      <c r="AD582" s="607"/>
      <c r="AE582" s="607"/>
      <c r="AF582" s="607"/>
      <c r="AG582" s="607"/>
      <c r="AH582" s="607"/>
      <c r="AI582" s="607"/>
      <c r="AJ582" s="607"/>
      <c r="AK582" s="607"/>
      <c r="AL582" s="606"/>
      <c r="AM582" s="606"/>
      <c r="AN582" s="606"/>
      <c r="AO582" s="606"/>
    </row>
    <row r="583" spans="1:41" ht="11.25" hidden="1" customHeight="1">
      <c r="A583" s="608"/>
      <c r="B583" s="607"/>
      <c r="C583" s="607"/>
      <c r="D583" s="607"/>
      <c r="E583" s="607"/>
      <c r="F583" s="607"/>
      <c r="G583" s="606"/>
      <c r="H583" s="606"/>
      <c r="I583" s="606"/>
      <c r="J583" s="606"/>
      <c r="K583" s="606"/>
      <c r="L583" s="606"/>
      <c r="M583" s="606"/>
      <c r="N583" s="606"/>
      <c r="O583" s="606"/>
      <c r="P583" s="606"/>
      <c r="Q583" s="606"/>
      <c r="R583" s="606"/>
      <c r="S583" s="606"/>
      <c r="T583" s="606"/>
      <c r="U583" s="606"/>
      <c r="V583" s="606"/>
      <c r="W583" s="606"/>
      <c r="X583" s="640"/>
      <c r="Y583" s="607"/>
      <c r="Z583" s="607"/>
      <c r="AA583" s="607"/>
      <c r="AB583" s="607"/>
      <c r="AC583" s="607"/>
      <c r="AD583" s="607"/>
      <c r="AE583" s="607"/>
      <c r="AF583" s="607"/>
      <c r="AG583" s="607"/>
      <c r="AH583" s="607"/>
      <c r="AI583" s="607"/>
      <c r="AJ583" s="607"/>
      <c r="AK583" s="607"/>
      <c r="AL583" s="606"/>
      <c r="AM583" s="606"/>
      <c r="AN583" s="606"/>
      <c r="AO583" s="606"/>
    </row>
    <row r="584" spans="1:41" ht="11.25" hidden="1" customHeight="1">
      <c r="A584" s="608"/>
      <c r="B584" s="607"/>
      <c r="C584" s="607"/>
      <c r="D584" s="607"/>
      <c r="E584" s="607"/>
      <c r="F584" s="607"/>
      <c r="G584" s="606"/>
      <c r="H584" s="606"/>
      <c r="I584" s="606"/>
      <c r="J584" s="606"/>
      <c r="K584" s="606"/>
      <c r="L584" s="606"/>
      <c r="M584" s="606"/>
      <c r="N584" s="606"/>
      <c r="O584" s="606"/>
      <c r="P584" s="606"/>
      <c r="Q584" s="606"/>
      <c r="R584" s="606"/>
      <c r="S584" s="606"/>
      <c r="T584" s="606"/>
      <c r="U584" s="606"/>
      <c r="V584" s="606"/>
      <c r="W584" s="606"/>
      <c r="X584" s="640"/>
      <c r="Y584" s="607"/>
      <c r="Z584" s="607"/>
      <c r="AA584" s="607"/>
      <c r="AB584" s="607"/>
      <c r="AC584" s="607"/>
      <c r="AD584" s="607"/>
      <c r="AE584" s="607"/>
      <c r="AF584" s="607"/>
      <c r="AG584" s="607"/>
      <c r="AH584" s="607"/>
      <c r="AI584" s="607"/>
      <c r="AJ584" s="607"/>
      <c r="AK584" s="607"/>
      <c r="AL584" s="606"/>
      <c r="AM584" s="606"/>
      <c r="AN584" s="606"/>
      <c r="AO584" s="606"/>
    </row>
    <row r="585" spans="1:41" ht="11.25" hidden="1" customHeight="1">
      <c r="A585" s="608"/>
      <c r="B585" s="607"/>
      <c r="C585" s="607"/>
      <c r="D585" s="607"/>
      <c r="E585" s="607"/>
      <c r="F585" s="607"/>
      <c r="G585" s="606"/>
      <c r="H585" s="606"/>
      <c r="I585" s="606"/>
      <c r="J585" s="606"/>
      <c r="K585" s="606"/>
      <c r="L585" s="606"/>
      <c r="M585" s="606"/>
      <c r="N585" s="606"/>
      <c r="O585" s="606"/>
      <c r="P585" s="606"/>
      <c r="Q585" s="606"/>
      <c r="R585" s="606"/>
      <c r="S585" s="606"/>
      <c r="T585" s="606"/>
      <c r="U585" s="606"/>
      <c r="V585" s="606"/>
      <c r="W585" s="606"/>
      <c r="X585" s="640"/>
      <c r="Y585" s="607"/>
      <c r="Z585" s="607"/>
      <c r="AA585" s="607"/>
      <c r="AB585" s="607"/>
      <c r="AC585" s="607"/>
      <c r="AD585" s="607"/>
      <c r="AE585" s="607"/>
      <c r="AF585" s="607"/>
      <c r="AG585" s="607"/>
      <c r="AH585" s="607"/>
      <c r="AI585" s="607"/>
      <c r="AJ585" s="607"/>
      <c r="AK585" s="607"/>
      <c r="AL585" s="606"/>
      <c r="AM585" s="606"/>
      <c r="AN585" s="606"/>
      <c r="AO585" s="606"/>
    </row>
    <row r="586" spans="1:41" ht="11.25" hidden="1" customHeight="1">
      <c r="A586" s="608"/>
      <c r="B586" s="607"/>
      <c r="C586" s="607"/>
      <c r="D586" s="607"/>
      <c r="E586" s="607"/>
      <c r="F586" s="607"/>
      <c r="G586" s="606"/>
      <c r="H586" s="606"/>
      <c r="I586" s="606"/>
      <c r="J586" s="606"/>
      <c r="K586" s="606"/>
      <c r="L586" s="606"/>
      <c r="M586" s="606"/>
      <c r="N586" s="606"/>
      <c r="O586" s="606"/>
      <c r="P586" s="606"/>
      <c r="Q586" s="606"/>
      <c r="R586" s="606"/>
      <c r="S586" s="606"/>
      <c r="T586" s="606"/>
      <c r="U586" s="606"/>
      <c r="V586" s="606"/>
      <c r="W586" s="606"/>
      <c r="X586" s="640"/>
      <c r="Y586" s="607"/>
      <c r="Z586" s="607"/>
      <c r="AA586" s="607"/>
      <c r="AB586" s="607"/>
      <c r="AC586" s="607"/>
      <c r="AD586" s="607"/>
      <c r="AE586" s="607"/>
      <c r="AF586" s="607"/>
      <c r="AG586" s="607"/>
      <c r="AH586" s="607"/>
      <c r="AI586" s="607"/>
      <c r="AJ586" s="607"/>
      <c r="AK586" s="607"/>
      <c r="AL586" s="606"/>
      <c r="AM586" s="606"/>
      <c r="AN586" s="606"/>
      <c r="AO586" s="606"/>
    </row>
    <row r="587" spans="1:41" ht="11.25" hidden="1" customHeight="1">
      <c r="A587" s="608"/>
      <c r="B587" s="607"/>
      <c r="C587" s="607"/>
      <c r="D587" s="607"/>
      <c r="E587" s="607"/>
      <c r="F587" s="607"/>
      <c r="G587" s="606"/>
      <c r="H587" s="606"/>
      <c r="I587" s="606"/>
      <c r="J587" s="606"/>
      <c r="K587" s="606"/>
      <c r="L587" s="606"/>
      <c r="M587" s="606"/>
      <c r="N587" s="606"/>
      <c r="O587" s="606"/>
      <c r="P587" s="606"/>
      <c r="Q587" s="606"/>
      <c r="R587" s="606"/>
      <c r="S587" s="606"/>
      <c r="T587" s="606"/>
      <c r="U587" s="606"/>
      <c r="V587" s="606"/>
      <c r="W587" s="606"/>
      <c r="X587" s="640"/>
      <c r="Y587" s="607"/>
      <c r="Z587" s="607"/>
      <c r="AA587" s="607"/>
      <c r="AB587" s="607"/>
      <c r="AC587" s="607"/>
      <c r="AD587" s="607"/>
      <c r="AE587" s="607"/>
      <c r="AF587" s="607"/>
      <c r="AG587" s="607"/>
      <c r="AH587" s="607"/>
      <c r="AI587" s="607"/>
      <c r="AJ587" s="607"/>
      <c r="AK587" s="607"/>
      <c r="AL587" s="606"/>
      <c r="AM587" s="606"/>
      <c r="AN587" s="606"/>
      <c r="AO587" s="606"/>
    </row>
    <row r="588" spans="1:41" ht="11.25" hidden="1" customHeight="1">
      <c r="A588" s="608"/>
      <c r="B588" s="607"/>
      <c r="C588" s="607"/>
      <c r="D588" s="607"/>
      <c r="E588" s="607"/>
      <c r="F588" s="607"/>
      <c r="G588" s="606"/>
      <c r="H588" s="606"/>
      <c r="I588" s="606"/>
      <c r="J588" s="606"/>
      <c r="K588" s="606"/>
      <c r="L588" s="606"/>
      <c r="M588" s="606"/>
      <c r="N588" s="606"/>
      <c r="O588" s="606"/>
      <c r="P588" s="606"/>
      <c r="Q588" s="606"/>
      <c r="R588" s="606"/>
      <c r="S588" s="606"/>
      <c r="T588" s="606"/>
      <c r="U588" s="606"/>
      <c r="V588" s="606"/>
      <c r="W588" s="606"/>
      <c r="X588" s="640"/>
      <c r="Y588" s="607"/>
      <c r="Z588" s="607"/>
      <c r="AA588" s="607"/>
      <c r="AB588" s="607"/>
      <c r="AC588" s="607"/>
      <c r="AD588" s="607"/>
      <c r="AE588" s="607"/>
      <c r="AF588" s="607"/>
      <c r="AG588" s="607"/>
      <c r="AH588" s="607"/>
      <c r="AI588" s="607"/>
      <c r="AJ588" s="607"/>
      <c r="AK588" s="607"/>
      <c r="AL588" s="606"/>
      <c r="AM588" s="606"/>
      <c r="AN588" s="606"/>
      <c r="AO588" s="606"/>
    </row>
    <row r="589" spans="1:41" ht="11.25" hidden="1" customHeight="1">
      <c r="A589" s="608"/>
      <c r="B589" s="607"/>
      <c r="C589" s="607"/>
      <c r="D589" s="607"/>
      <c r="E589" s="607"/>
      <c r="F589" s="607"/>
      <c r="G589" s="606"/>
      <c r="H589" s="606"/>
      <c r="I589" s="606"/>
      <c r="J589" s="606"/>
      <c r="K589" s="606"/>
      <c r="L589" s="606"/>
      <c r="M589" s="606"/>
      <c r="N589" s="606"/>
      <c r="O589" s="606"/>
      <c r="P589" s="606"/>
      <c r="Q589" s="606"/>
      <c r="R589" s="606"/>
      <c r="S589" s="606"/>
      <c r="T589" s="606"/>
      <c r="U589" s="606"/>
      <c r="V589" s="606"/>
      <c r="W589" s="606"/>
      <c r="X589" s="640"/>
      <c r="Y589" s="607"/>
      <c r="Z589" s="607"/>
      <c r="AA589" s="607"/>
      <c r="AB589" s="607"/>
      <c r="AC589" s="607"/>
      <c r="AD589" s="607"/>
      <c r="AE589" s="607"/>
      <c r="AF589" s="607"/>
      <c r="AG589" s="607"/>
      <c r="AH589" s="607"/>
      <c r="AI589" s="607"/>
      <c r="AJ589" s="607"/>
      <c r="AK589" s="607"/>
      <c r="AL589" s="606"/>
      <c r="AM589" s="606"/>
      <c r="AN589" s="606"/>
      <c r="AO589" s="606"/>
    </row>
    <row r="590" spans="1:41" ht="11.25" hidden="1" customHeight="1">
      <c r="A590" s="608"/>
      <c r="B590" s="607"/>
      <c r="C590" s="607"/>
      <c r="D590" s="607"/>
      <c r="E590" s="607"/>
      <c r="F590" s="607"/>
      <c r="G590" s="606"/>
      <c r="H590" s="606"/>
      <c r="I590" s="606"/>
      <c r="J590" s="606"/>
      <c r="K590" s="606"/>
      <c r="L590" s="606"/>
      <c r="M590" s="606"/>
      <c r="N590" s="606"/>
      <c r="O590" s="606"/>
      <c r="P590" s="606"/>
      <c r="Q590" s="606"/>
      <c r="R590" s="606"/>
      <c r="S590" s="606"/>
      <c r="T590" s="606"/>
      <c r="U590" s="606"/>
      <c r="V590" s="606"/>
      <c r="W590" s="606"/>
      <c r="X590" s="640"/>
      <c r="Y590" s="607"/>
      <c r="Z590" s="607"/>
      <c r="AA590" s="607"/>
      <c r="AB590" s="607"/>
      <c r="AC590" s="607"/>
      <c r="AD590" s="607"/>
      <c r="AE590" s="607"/>
      <c r="AF590" s="607"/>
      <c r="AG590" s="607"/>
      <c r="AH590" s="607"/>
      <c r="AI590" s="607"/>
      <c r="AJ590" s="607"/>
      <c r="AK590" s="607"/>
      <c r="AL590" s="606"/>
      <c r="AM590" s="606"/>
      <c r="AN590" s="606"/>
      <c r="AO590" s="606"/>
    </row>
    <row r="591" spans="1:41" ht="11.25" hidden="1" customHeight="1">
      <c r="A591" s="608"/>
      <c r="B591" s="607"/>
      <c r="C591" s="607"/>
      <c r="D591" s="607"/>
      <c r="E591" s="607"/>
      <c r="F591" s="607"/>
      <c r="G591" s="606"/>
      <c r="H591" s="606"/>
      <c r="I591" s="606"/>
      <c r="J591" s="606"/>
      <c r="K591" s="606"/>
      <c r="L591" s="606"/>
      <c r="M591" s="606"/>
      <c r="N591" s="606"/>
      <c r="O591" s="606"/>
      <c r="P591" s="606"/>
      <c r="Q591" s="606"/>
      <c r="R591" s="606"/>
      <c r="S591" s="606"/>
      <c r="T591" s="606"/>
      <c r="U591" s="606"/>
      <c r="V591" s="606"/>
      <c r="W591" s="606"/>
      <c r="X591" s="640"/>
      <c r="Y591" s="607"/>
      <c r="Z591" s="607"/>
      <c r="AA591" s="607"/>
      <c r="AB591" s="607"/>
      <c r="AC591" s="607"/>
      <c r="AD591" s="607"/>
      <c r="AE591" s="607"/>
      <c r="AF591" s="607"/>
      <c r="AG591" s="607"/>
      <c r="AH591" s="607"/>
      <c r="AI591" s="607"/>
      <c r="AJ591" s="607"/>
      <c r="AK591" s="607"/>
      <c r="AL591" s="606"/>
      <c r="AM591" s="606"/>
      <c r="AN591" s="606"/>
      <c r="AO591" s="606"/>
    </row>
    <row r="592" spans="1:41" ht="11.25" hidden="1" customHeight="1">
      <c r="A592" s="608"/>
      <c r="B592" s="607"/>
      <c r="C592" s="607"/>
      <c r="D592" s="607"/>
      <c r="E592" s="607"/>
      <c r="F592" s="607"/>
      <c r="G592" s="606"/>
      <c r="H592" s="606"/>
      <c r="I592" s="606"/>
      <c r="J592" s="606"/>
      <c r="K592" s="606"/>
      <c r="L592" s="606"/>
      <c r="M592" s="606"/>
      <c r="N592" s="606"/>
      <c r="O592" s="606"/>
      <c r="P592" s="606"/>
      <c r="Q592" s="606"/>
      <c r="R592" s="606"/>
      <c r="S592" s="606"/>
      <c r="T592" s="606"/>
      <c r="U592" s="606"/>
      <c r="V592" s="606"/>
      <c r="W592" s="606"/>
      <c r="X592" s="640"/>
      <c r="Y592" s="607"/>
      <c r="Z592" s="607"/>
      <c r="AA592" s="607"/>
      <c r="AB592" s="607"/>
      <c r="AC592" s="607"/>
      <c r="AD592" s="607"/>
      <c r="AE592" s="607"/>
      <c r="AF592" s="607"/>
      <c r="AG592" s="607"/>
      <c r="AH592" s="607"/>
      <c r="AI592" s="607"/>
      <c r="AJ592" s="607"/>
      <c r="AK592" s="607"/>
      <c r="AL592" s="606"/>
      <c r="AM592" s="606"/>
      <c r="AN592" s="606"/>
      <c r="AO592" s="606"/>
    </row>
    <row r="593" spans="1:41" ht="11.25" hidden="1" customHeight="1">
      <c r="A593" s="608"/>
      <c r="B593" s="607"/>
      <c r="C593" s="607"/>
      <c r="D593" s="607"/>
      <c r="E593" s="607"/>
      <c r="F593" s="607"/>
      <c r="G593" s="606"/>
      <c r="H593" s="606"/>
      <c r="I593" s="606"/>
      <c r="J593" s="606"/>
      <c r="K593" s="606"/>
      <c r="L593" s="606"/>
      <c r="M593" s="606"/>
      <c r="N593" s="606"/>
      <c r="O593" s="606"/>
      <c r="P593" s="606"/>
      <c r="Q593" s="606"/>
      <c r="R593" s="606"/>
      <c r="S593" s="606"/>
      <c r="T593" s="606"/>
      <c r="U593" s="606"/>
      <c r="V593" s="606"/>
      <c r="W593" s="606"/>
      <c r="X593" s="640"/>
      <c r="Y593" s="607"/>
      <c r="Z593" s="607"/>
      <c r="AA593" s="607"/>
      <c r="AB593" s="607"/>
      <c r="AC593" s="607"/>
      <c r="AD593" s="607"/>
      <c r="AE593" s="607"/>
      <c r="AF593" s="607"/>
      <c r="AG593" s="607"/>
      <c r="AH593" s="607"/>
      <c r="AI593" s="607"/>
      <c r="AJ593" s="607"/>
      <c r="AK593" s="607"/>
      <c r="AL593" s="606"/>
      <c r="AM593" s="606"/>
      <c r="AN593" s="606"/>
      <c r="AO593" s="606"/>
    </row>
    <row r="594" spans="1:41" ht="11.25" hidden="1" customHeight="1">
      <c r="A594" s="608"/>
      <c r="B594" s="607"/>
      <c r="C594" s="607"/>
      <c r="D594" s="607"/>
      <c r="E594" s="607"/>
      <c r="F594" s="607"/>
      <c r="G594" s="606"/>
      <c r="H594" s="606"/>
      <c r="I594" s="606"/>
      <c r="J594" s="606"/>
      <c r="K594" s="606"/>
      <c r="L594" s="606"/>
      <c r="M594" s="606"/>
      <c r="N594" s="606"/>
      <c r="O594" s="606"/>
      <c r="P594" s="606"/>
      <c r="Q594" s="606"/>
      <c r="R594" s="606"/>
      <c r="S594" s="606"/>
      <c r="T594" s="606"/>
      <c r="U594" s="606"/>
      <c r="V594" s="606"/>
      <c r="W594" s="606"/>
      <c r="X594" s="640"/>
      <c r="Y594" s="607"/>
      <c r="Z594" s="607"/>
      <c r="AA594" s="607"/>
      <c r="AB594" s="607"/>
      <c r="AC594" s="607"/>
      <c r="AD594" s="607"/>
      <c r="AE594" s="607"/>
      <c r="AF594" s="607"/>
      <c r="AG594" s="607"/>
      <c r="AH594" s="607"/>
      <c r="AI594" s="607"/>
      <c r="AJ594" s="607"/>
      <c r="AK594" s="607"/>
      <c r="AL594" s="606"/>
      <c r="AM594" s="606"/>
      <c r="AN594" s="606"/>
      <c r="AO594" s="606"/>
    </row>
    <row r="595" spans="1:41" ht="11.25" hidden="1" customHeight="1">
      <c r="A595" s="608"/>
      <c r="B595" s="607"/>
      <c r="C595" s="607"/>
      <c r="D595" s="607"/>
      <c r="E595" s="607"/>
      <c r="F595" s="607"/>
      <c r="G595" s="606"/>
      <c r="H595" s="606"/>
      <c r="I595" s="606"/>
      <c r="J595" s="606"/>
      <c r="K595" s="606"/>
      <c r="L595" s="606"/>
      <c r="M595" s="606"/>
      <c r="N595" s="606"/>
      <c r="O595" s="606"/>
      <c r="P595" s="606"/>
      <c r="Q595" s="606"/>
      <c r="R595" s="606"/>
      <c r="S595" s="606"/>
      <c r="T595" s="606"/>
      <c r="U595" s="606"/>
      <c r="V595" s="606"/>
      <c r="W595" s="606"/>
      <c r="X595" s="640"/>
      <c r="Y595" s="607"/>
      <c r="Z595" s="607"/>
      <c r="AA595" s="607"/>
      <c r="AB595" s="607"/>
      <c r="AC595" s="607"/>
      <c r="AD595" s="607"/>
      <c r="AE595" s="607"/>
      <c r="AF595" s="607"/>
      <c r="AG595" s="607"/>
      <c r="AH595" s="607"/>
      <c r="AI595" s="607"/>
      <c r="AJ595" s="607"/>
      <c r="AK595" s="607"/>
      <c r="AL595" s="606"/>
      <c r="AM595" s="606"/>
      <c r="AN595" s="606"/>
      <c r="AO595" s="606"/>
    </row>
    <row r="596" spans="1:41" ht="11.25" hidden="1" customHeight="1">
      <c r="A596" s="608"/>
      <c r="B596" s="607"/>
      <c r="C596" s="607"/>
      <c r="D596" s="607"/>
      <c r="E596" s="607"/>
      <c r="F596" s="607"/>
      <c r="G596" s="606"/>
      <c r="H596" s="606"/>
      <c r="I596" s="606"/>
      <c r="J596" s="606"/>
      <c r="K596" s="606"/>
      <c r="L596" s="606"/>
      <c r="M596" s="606"/>
      <c r="N596" s="606"/>
      <c r="O596" s="606"/>
      <c r="P596" s="606"/>
      <c r="Q596" s="606"/>
      <c r="R596" s="606"/>
      <c r="S596" s="606"/>
      <c r="T596" s="606"/>
      <c r="U596" s="606"/>
      <c r="V596" s="606"/>
      <c r="W596" s="606"/>
      <c r="X596" s="640"/>
      <c r="Y596" s="607"/>
      <c r="Z596" s="607"/>
      <c r="AA596" s="607"/>
      <c r="AB596" s="607"/>
      <c r="AC596" s="607"/>
      <c r="AD596" s="607"/>
      <c r="AE596" s="607"/>
      <c r="AF596" s="607"/>
      <c r="AG596" s="607"/>
      <c r="AH596" s="607"/>
      <c r="AI596" s="607"/>
      <c r="AJ596" s="607"/>
      <c r="AK596" s="607"/>
      <c r="AL596" s="606"/>
      <c r="AM596" s="606"/>
      <c r="AN596" s="606"/>
      <c r="AO596" s="606"/>
    </row>
    <row r="597" spans="1:41" ht="11.25" hidden="1" customHeight="1">
      <c r="A597" s="608"/>
      <c r="B597" s="607"/>
      <c r="C597" s="607"/>
      <c r="D597" s="607"/>
      <c r="E597" s="607"/>
      <c r="F597" s="607"/>
      <c r="G597" s="606"/>
      <c r="H597" s="606"/>
      <c r="I597" s="606"/>
      <c r="J597" s="606"/>
      <c r="K597" s="606"/>
      <c r="L597" s="606"/>
      <c r="M597" s="606"/>
      <c r="N597" s="606"/>
      <c r="O597" s="606"/>
      <c r="P597" s="606"/>
      <c r="Q597" s="606"/>
      <c r="R597" s="606"/>
      <c r="S597" s="606"/>
      <c r="T597" s="606"/>
      <c r="U597" s="606"/>
      <c r="V597" s="606"/>
      <c r="W597" s="606"/>
      <c r="X597" s="640"/>
      <c r="Y597" s="607"/>
      <c r="Z597" s="607"/>
      <c r="AA597" s="607"/>
      <c r="AB597" s="607"/>
      <c r="AC597" s="607"/>
      <c r="AD597" s="607"/>
      <c r="AE597" s="607"/>
      <c r="AF597" s="607"/>
      <c r="AG597" s="607"/>
      <c r="AH597" s="607"/>
      <c r="AI597" s="607"/>
      <c r="AJ597" s="607"/>
      <c r="AK597" s="607"/>
      <c r="AL597" s="606"/>
      <c r="AM597" s="606"/>
      <c r="AN597" s="606"/>
      <c r="AO597" s="606"/>
    </row>
    <row r="598" spans="1:41" ht="11.25" hidden="1" customHeight="1">
      <c r="A598" s="608"/>
      <c r="B598" s="607"/>
      <c r="C598" s="607"/>
      <c r="D598" s="607"/>
      <c r="E598" s="607"/>
      <c r="F598" s="607"/>
      <c r="G598" s="606"/>
      <c r="H598" s="606"/>
      <c r="I598" s="606"/>
      <c r="J598" s="606"/>
      <c r="K598" s="606"/>
      <c r="L598" s="606"/>
      <c r="M598" s="606"/>
      <c r="N598" s="606"/>
      <c r="O598" s="606"/>
      <c r="P598" s="606"/>
      <c r="Q598" s="606"/>
      <c r="R598" s="606"/>
      <c r="S598" s="606"/>
      <c r="T598" s="606"/>
      <c r="U598" s="606"/>
      <c r="V598" s="606"/>
      <c r="W598" s="606"/>
      <c r="X598" s="640"/>
      <c r="Y598" s="607"/>
      <c r="Z598" s="607"/>
      <c r="AA598" s="607"/>
      <c r="AB598" s="607"/>
      <c r="AC598" s="607"/>
      <c r="AD598" s="607"/>
      <c r="AE598" s="607"/>
      <c r="AF598" s="607"/>
      <c r="AG598" s="607"/>
      <c r="AH598" s="607"/>
      <c r="AI598" s="607"/>
      <c r="AJ598" s="607"/>
      <c r="AK598" s="607"/>
      <c r="AL598" s="606"/>
      <c r="AM598" s="606"/>
      <c r="AN598" s="606"/>
      <c r="AO598" s="606"/>
    </row>
    <row r="599" spans="1:41" ht="11.25" hidden="1" customHeight="1">
      <c r="A599" s="608"/>
      <c r="B599" s="607"/>
      <c r="C599" s="607"/>
      <c r="D599" s="607"/>
      <c r="E599" s="607"/>
      <c r="F599" s="607"/>
      <c r="G599" s="606"/>
      <c r="H599" s="606"/>
      <c r="I599" s="606"/>
      <c r="J599" s="606"/>
      <c r="K599" s="606"/>
      <c r="L599" s="606"/>
      <c r="M599" s="606"/>
      <c r="N599" s="606"/>
      <c r="O599" s="606"/>
      <c r="P599" s="606"/>
      <c r="Q599" s="606"/>
      <c r="R599" s="606"/>
      <c r="S599" s="606"/>
      <c r="T599" s="606"/>
      <c r="U599" s="606"/>
      <c r="V599" s="606"/>
      <c r="W599" s="606"/>
      <c r="X599" s="640"/>
      <c r="Y599" s="607"/>
      <c r="Z599" s="607"/>
      <c r="AA599" s="607"/>
      <c r="AB599" s="607"/>
      <c r="AC599" s="607"/>
      <c r="AD599" s="607"/>
      <c r="AE599" s="607"/>
      <c r="AF599" s="607"/>
      <c r="AG599" s="607"/>
      <c r="AH599" s="607"/>
      <c r="AI599" s="607"/>
      <c r="AJ599" s="607"/>
      <c r="AK599" s="607"/>
      <c r="AL599" s="606"/>
      <c r="AM599" s="606"/>
      <c r="AN599" s="606"/>
      <c r="AO599" s="606"/>
    </row>
    <row r="600" spans="1:41" ht="11.25" hidden="1" customHeight="1">
      <c r="A600" s="608"/>
      <c r="B600" s="607"/>
      <c r="C600" s="607"/>
      <c r="D600" s="607"/>
      <c r="E600" s="607"/>
      <c r="F600" s="607"/>
      <c r="G600" s="606"/>
      <c r="H600" s="606"/>
      <c r="I600" s="606"/>
      <c r="J600" s="606"/>
      <c r="K600" s="606"/>
      <c r="L600" s="606"/>
      <c r="M600" s="606"/>
      <c r="N600" s="606"/>
      <c r="O600" s="606"/>
      <c r="P600" s="606"/>
      <c r="Q600" s="606"/>
      <c r="R600" s="606"/>
      <c r="S600" s="606"/>
      <c r="T600" s="606"/>
      <c r="U600" s="606"/>
      <c r="V600" s="606"/>
      <c r="W600" s="606"/>
      <c r="X600" s="640"/>
      <c r="Y600" s="607"/>
      <c r="Z600" s="607"/>
      <c r="AA600" s="607"/>
      <c r="AB600" s="607"/>
      <c r="AC600" s="607"/>
      <c r="AD600" s="607"/>
      <c r="AE600" s="607"/>
      <c r="AF600" s="607"/>
      <c r="AG600" s="607"/>
      <c r="AH600" s="607"/>
      <c r="AI600" s="607"/>
      <c r="AJ600" s="607"/>
      <c r="AK600" s="607"/>
      <c r="AL600" s="606"/>
      <c r="AM600" s="606"/>
      <c r="AN600" s="606"/>
      <c r="AO600" s="606"/>
    </row>
    <row r="601" spans="1:41" ht="11.25" hidden="1" customHeight="1">
      <c r="A601" s="608"/>
      <c r="B601" s="607"/>
      <c r="C601" s="607"/>
      <c r="D601" s="607"/>
      <c r="E601" s="607"/>
      <c r="F601" s="607"/>
      <c r="G601" s="606"/>
      <c r="H601" s="606"/>
      <c r="I601" s="606"/>
      <c r="J601" s="606"/>
      <c r="K601" s="606"/>
      <c r="L601" s="606"/>
      <c r="M601" s="606"/>
      <c r="N601" s="606"/>
      <c r="O601" s="606"/>
      <c r="P601" s="606"/>
      <c r="Q601" s="606"/>
      <c r="R601" s="606"/>
      <c r="S601" s="606"/>
      <c r="T601" s="606"/>
      <c r="U601" s="606"/>
      <c r="V601" s="606"/>
      <c r="W601" s="606"/>
      <c r="X601" s="640"/>
      <c r="Y601" s="607"/>
      <c r="Z601" s="607"/>
      <c r="AA601" s="607"/>
      <c r="AB601" s="607"/>
      <c r="AC601" s="607"/>
      <c r="AD601" s="607"/>
      <c r="AE601" s="607"/>
      <c r="AF601" s="607"/>
      <c r="AG601" s="607"/>
      <c r="AH601" s="607"/>
      <c r="AI601" s="607"/>
      <c r="AJ601" s="607"/>
      <c r="AK601" s="607"/>
      <c r="AL601" s="606"/>
      <c r="AM601" s="606"/>
      <c r="AN601" s="606"/>
      <c r="AO601" s="606"/>
    </row>
    <row r="602" spans="1:41" ht="11.25" hidden="1" customHeight="1">
      <c r="A602" s="608"/>
      <c r="B602" s="607"/>
      <c r="C602" s="607"/>
      <c r="D602" s="607"/>
      <c r="E602" s="607"/>
      <c r="F602" s="607"/>
      <c r="G602" s="606"/>
      <c r="H602" s="606"/>
      <c r="I602" s="606"/>
      <c r="J602" s="606"/>
      <c r="K602" s="606"/>
      <c r="L602" s="606"/>
      <c r="M602" s="606"/>
      <c r="N602" s="606"/>
      <c r="O602" s="606"/>
      <c r="P602" s="606"/>
      <c r="Q602" s="606"/>
      <c r="R602" s="606"/>
      <c r="S602" s="606"/>
      <c r="T602" s="606"/>
      <c r="U602" s="606"/>
      <c r="V602" s="606"/>
      <c r="W602" s="606"/>
      <c r="X602" s="640"/>
      <c r="Y602" s="607"/>
      <c r="Z602" s="607"/>
      <c r="AA602" s="607"/>
      <c r="AB602" s="607"/>
      <c r="AC602" s="607"/>
      <c r="AD602" s="607"/>
      <c r="AE602" s="607"/>
      <c r="AF602" s="607"/>
      <c r="AG602" s="607"/>
      <c r="AH602" s="607"/>
      <c r="AI602" s="607"/>
      <c r="AJ602" s="607"/>
      <c r="AK602" s="607"/>
      <c r="AL602" s="606"/>
      <c r="AM602" s="606"/>
      <c r="AN602" s="606"/>
      <c r="AO602" s="606"/>
    </row>
    <row r="603" spans="1:41" ht="11.25" hidden="1" customHeight="1">
      <c r="A603" s="608"/>
      <c r="B603" s="607"/>
      <c r="C603" s="607"/>
      <c r="D603" s="607"/>
      <c r="E603" s="607"/>
      <c r="F603" s="607"/>
      <c r="G603" s="606"/>
      <c r="H603" s="606"/>
      <c r="I603" s="606"/>
      <c r="J603" s="606"/>
      <c r="K603" s="606"/>
      <c r="L603" s="606"/>
      <c r="M603" s="606"/>
      <c r="N603" s="606"/>
      <c r="O603" s="606"/>
      <c r="P603" s="606"/>
      <c r="Q603" s="606"/>
      <c r="R603" s="606"/>
      <c r="S603" s="606"/>
      <c r="T603" s="606"/>
      <c r="U603" s="606"/>
      <c r="V603" s="606"/>
      <c r="W603" s="606"/>
      <c r="X603" s="640"/>
      <c r="Y603" s="607"/>
      <c r="Z603" s="607"/>
      <c r="AA603" s="607"/>
      <c r="AB603" s="607"/>
      <c r="AC603" s="607"/>
      <c r="AD603" s="607"/>
      <c r="AE603" s="607"/>
      <c r="AF603" s="607"/>
      <c r="AG603" s="607"/>
      <c r="AH603" s="607"/>
      <c r="AI603" s="607"/>
      <c r="AJ603" s="607"/>
      <c r="AK603" s="607"/>
      <c r="AL603" s="606"/>
      <c r="AM603" s="606"/>
      <c r="AN603" s="606"/>
      <c r="AO603" s="606"/>
    </row>
    <row r="604" spans="1:41" ht="11.25" hidden="1" customHeight="1">
      <c r="A604" s="608"/>
      <c r="B604" s="607"/>
      <c r="C604" s="607"/>
      <c r="D604" s="607"/>
      <c r="E604" s="607"/>
      <c r="F604" s="607"/>
      <c r="G604" s="606"/>
      <c r="H604" s="606"/>
      <c r="I604" s="606"/>
      <c r="J604" s="606"/>
      <c r="K604" s="606"/>
      <c r="L604" s="606"/>
      <c r="M604" s="606"/>
      <c r="N604" s="606"/>
      <c r="O604" s="606"/>
      <c r="P604" s="606"/>
      <c r="Q604" s="606"/>
      <c r="R604" s="606"/>
      <c r="S604" s="606"/>
      <c r="T604" s="606"/>
      <c r="U604" s="606"/>
      <c r="V604" s="606"/>
      <c r="W604" s="606"/>
      <c r="X604" s="640"/>
      <c r="Y604" s="607"/>
      <c r="Z604" s="607"/>
      <c r="AA604" s="607"/>
      <c r="AB604" s="607"/>
      <c r="AC604" s="607"/>
      <c r="AD604" s="607"/>
      <c r="AE604" s="607"/>
      <c r="AF604" s="607"/>
      <c r="AG604" s="607"/>
      <c r="AH604" s="607"/>
      <c r="AI604" s="607"/>
      <c r="AJ604" s="607"/>
      <c r="AK604" s="607"/>
      <c r="AL604" s="606"/>
      <c r="AM604" s="606"/>
      <c r="AN604" s="606"/>
      <c r="AO604" s="606"/>
    </row>
    <row r="605" spans="1:41" ht="11.25" hidden="1" customHeight="1">
      <c r="A605" s="608"/>
      <c r="B605" s="607"/>
      <c r="C605" s="607"/>
      <c r="D605" s="607"/>
      <c r="E605" s="607"/>
      <c r="F605" s="607"/>
      <c r="G605" s="606"/>
      <c r="H605" s="606"/>
      <c r="I605" s="606"/>
      <c r="J605" s="606"/>
      <c r="K605" s="606"/>
      <c r="L605" s="606"/>
      <c r="M605" s="606"/>
      <c r="N605" s="606"/>
      <c r="O605" s="606"/>
      <c r="P605" s="606"/>
      <c r="Q605" s="606"/>
      <c r="R605" s="606"/>
      <c r="S605" s="606"/>
      <c r="T605" s="606"/>
      <c r="U605" s="606"/>
      <c r="V605" s="606"/>
      <c r="W605" s="606"/>
      <c r="X605" s="640"/>
      <c r="Y605" s="607"/>
      <c r="Z605" s="607"/>
      <c r="AA605" s="607"/>
      <c r="AB605" s="607"/>
      <c r="AC605" s="607"/>
      <c r="AD605" s="607"/>
      <c r="AE605" s="607"/>
      <c r="AF605" s="607"/>
      <c r="AG605" s="607"/>
      <c r="AH605" s="607"/>
      <c r="AI605" s="607"/>
      <c r="AJ605" s="607"/>
      <c r="AK605" s="607"/>
      <c r="AL605" s="606"/>
      <c r="AM605" s="606"/>
      <c r="AN605" s="606"/>
      <c r="AO605" s="606"/>
    </row>
    <row r="606" spans="1:41" ht="11.25" hidden="1" customHeight="1">
      <c r="A606" s="608"/>
      <c r="B606" s="607"/>
      <c r="C606" s="607"/>
      <c r="D606" s="607"/>
      <c r="E606" s="607"/>
      <c r="F606" s="607"/>
      <c r="G606" s="606"/>
      <c r="H606" s="606"/>
      <c r="I606" s="606"/>
      <c r="J606" s="606"/>
      <c r="K606" s="606"/>
      <c r="L606" s="606"/>
      <c r="M606" s="606"/>
      <c r="N606" s="606"/>
      <c r="O606" s="606"/>
      <c r="P606" s="606"/>
      <c r="Q606" s="606"/>
      <c r="R606" s="606"/>
      <c r="S606" s="606"/>
      <c r="T606" s="606"/>
      <c r="U606" s="606"/>
      <c r="V606" s="606"/>
      <c r="W606" s="606"/>
      <c r="X606" s="640"/>
      <c r="Y606" s="607"/>
      <c r="Z606" s="607"/>
      <c r="AA606" s="607"/>
      <c r="AB606" s="607"/>
      <c r="AC606" s="607"/>
      <c r="AD606" s="607"/>
      <c r="AE606" s="607"/>
      <c r="AF606" s="607"/>
      <c r="AG606" s="607"/>
      <c r="AH606" s="607"/>
      <c r="AI606" s="607"/>
      <c r="AJ606" s="607"/>
      <c r="AK606" s="607"/>
      <c r="AL606" s="606"/>
      <c r="AM606" s="606"/>
      <c r="AN606" s="606"/>
      <c r="AO606" s="606"/>
    </row>
    <row r="607" spans="1:41" ht="11.25" hidden="1" customHeight="1">
      <c r="A607" s="608"/>
      <c r="B607" s="607"/>
      <c r="C607" s="607"/>
      <c r="D607" s="607"/>
      <c r="E607" s="607"/>
      <c r="F607" s="607"/>
      <c r="G607" s="606"/>
      <c r="H607" s="606"/>
      <c r="I607" s="606"/>
      <c r="J607" s="606"/>
      <c r="K607" s="606"/>
      <c r="L607" s="606"/>
      <c r="M607" s="606"/>
      <c r="N607" s="606"/>
      <c r="O607" s="606"/>
      <c r="P607" s="606"/>
      <c r="Q607" s="606"/>
      <c r="R607" s="606"/>
      <c r="S607" s="606"/>
      <c r="T607" s="606"/>
      <c r="U607" s="606"/>
      <c r="V607" s="606"/>
      <c r="W607" s="606"/>
      <c r="X607" s="640"/>
      <c r="Y607" s="607"/>
      <c r="Z607" s="607"/>
      <c r="AA607" s="607"/>
      <c r="AB607" s="607"/>
      <c r="AC607" s="607"/>
      <c r="AD607" s="607"/>
      <c r="AE607" s="607"/>
      <c r="AF607" s="607"/>
      <c r="AG607" s="607"/>
      <c r="AH607" s="607"/>
      <c r="AI607" s="607"/>
      <c r="AJ607" s="607"/>
      <c r="AK607" s="607"/>
      <c r="AL607" s="606"/>
      <c r="AM607" s="606"/>
      <c r="AN607" s="606"/>
      <c r="AO607" s="606"/>
    </row>
    <row r="608" spans="1:41" ht="11.25" hidden="1" customHeight="1">
      <c r="A608" s="608"/>
      <c r="B608" s="607"/>
      <c r="C608" s="607"/>
      <c r="D608" s="607"/>
      <c r="E608" s="607"/>
      <c r="F608" s="607"/>
      <c r="G608" s="606"/>
      <c r="H608" s="606"/>
      <c r="I608" s="606"/>
      <c r="J608" s="606"/>
      <c r="K608" s="606"/>
      <c r="L608" s="606"/>
      <c r="M608" s="606"/>
      <c r="N608" s="606"/>
      <c r="O608" s="606"/>
      <c r="P608" s="606"/>
      <c r="Q608" s="606"/>
      <c r="R608" s="606"/>
      <c r="S608" s="606"/>
      <c r="T608" s="606"/>
      <c r="U608" s="606"/>
      <c r="V608" s="606"/>
      <c r="W608" s="606"/>
      <c r="X608" s="640"/>
      <c r="Y608" s="607"/>
      <c r="Z608" s="607"/>
      <c r="AA608" s="607"/>
      <c r="AB608" s="607"/>
      <c r="AC608" s="607"/>
      <c r="AD608" s="607"/>
      <c r="AE608" s="607"/>
      <c r="AF608" s="607"/>
      <c r="AG608" s="607"/>
      <c r="AH608" s="607"/>
      <c r="AI608" s="607"/>
      <c r="AJ608" s="607"/>
      <c r="AK608" s="607"/>
      <c r="AL608" s="606"/>
      <c r="AM608" s="606"/>
      <c r="AN608" s="606"/>
      <c r="AO608" s="606"/>
    </row>
    <row r="609" spans="1:41" ht="11.25" hidden="1" customHeight="1">
      <c r="A609" s="608"/>
      <c r="B609" s="607"/>
      <c r="C609" s="607"/>
      <c r="D609" s="607"/>
      <c r="E609" s="607"/>
      <c r="F609" s="607"/>
      <c r="G609" s="606"/>
      <c r="H609" s="606"/>
      <c r="I609" s="606"/>
      <c r="J609" s="606"/>
      <c r="K609" s="606"/>
      <c r="L609" s="606"/>
      <c r="M609" s="606"/>
      <c r="N609" s="606"/>
      <c r="O609" s="606"/>
      <c r="P609" s="606"/>
      <c r="Q609" s="606"/>
      <c r="R609" s="606"/>
      <c r="S609" s="606"/>
      <c r="T609" s="606"/>
      <c r="U609" s="606"/>
      <c r="V609" s="606"/>
      <c r="W609" s="606"/>
      <c r="X609" s="640"/>
      <c r="Y609" s="607"/>
      <c r="Z609" s="607"/>
      <c r="AA609" s="607"/>
      <c r="AB609" s="607"/>
      <c r="AC609" s="607"/>
      <c r="AD609" s="607"/>
      <c r="AE609" s="607"/>
      <c r="AF609" s="607"/>
      <c r="AG609" s="607"/>
      <c r="AH609" s="607"/>
      <c r="AI609" s="607"/>
      <c r="AJ609" s="607"/>
      <c r="AK609" s="607"/>
      <c r="AL609" s="606"/>
      <c r="AM609" s="606"/>
      <c r="AN609" s="606"/>
      <c r="AO609" s="606"/>
    </row>
    <row r="610" spans="1:41" ht="11.25" hidden="1" customHeight="1">
      <c r="A610" s="608"/>
      <c r="B610" s="607"/>
      <c r="C610" s="607"/>
      <c r="D610" s="607"/>
      <c r="E610" s="607"/>
      <c r="F610" s="607"/>
      <c r="G610" s="606"/>
      <c r="H610" s="606"/>
      <c r="I610" s="606"/>
      <c r="J610" s="606"/>
      <c r="K610" s="606"/>
      <c r="L610" s="606"/>
      <c r="M610" s="606"/>
      <c r="N610" s="606"/>
      <c r="O610" s="606"/>
      <c r="P610" s="606"/>
      <c r="Q610" s="606"/>
      <c r="R610" s="606"/>
      <c r="S610" s="606"/>
      <c r="T610" s="606"/>
      <c r="U610" s="606"/>
      <c r="V610" s="606"/>
      <c r="W610" s="606"/>
      <c r="X610" s="640"/>
      <c r="Y610" s="607"/>
      <c r="Z610" s="607"/>
      <c r="AA610" s="607"/>
      <c r="AB610" s="607"/>
      <c r="AC610" s="607"/>
      <c r="AD610" s="607"/>
      <c r="AE610" s="607"/>
      <c r="AF610" s="607"/>
      <c r="AG610" s="607"/>
      <c r="AH610" s="607"/>
      <c r="AI610" s="607"/>
      <c r="AJ610" s="607"/>
      <c r="AK610" s="607"/>
      <c r="AL610" s="606"/>
      <c r="AM610" s="606"/>
      <c r="AN610" s="606"/>
      <c r="AO610" s="606"/>
    </row>
    <row r="611" spans="1:41" ht="11.25" hidden="1" customHeight="1">
      <c r="A611" s="608"/>
      <c r="B611" s="607"/>
      <c r="C611" s="607"/>
      <c r="D611" s="607"/>
      <c r="E611" s="607"/>
      <c r="F611" s="607"/>
      <c r="G611" s="606"/>
      <c r="H611" s="606"/>
      <c r="I611" s="606"/>
      <c r="J611" s="606"/>
      <c r="K611" s="606"/>
      <c r="L611" s="606"/>
      <c r="M611" s="606"/>
      <c r="N611" s="606"/>
      <c r="O611" s="606"/>
      <c r="P611" s="606"/>
      <c r="Q611" s="606"/>
      <c r="R611" s="606"/>
      <c r="S611" s="606"/>
      <c r="T611" s="606"/>
      <c r="U611" s="606"/>
      <c r="V611" s="606"/>
      <c r="W611" s="606"/>
      <c r="X611" s="640"/>
      <c r="Y611" s="607"/>
      <c r="Z611" s="607"/>
      <c r="AA611" s="607"/>
      <c r="AB611" s="607"/>
      <c r="AC611" s="607"/>
      <c r="AD611" s="607"/>
      <c r="AE611" s="607"/>
      <c r="AF611" s="607"/>
      <c r="AG611" s="607"/>
      <c r="AH611" s="607"/>
      <c r="AI611" s="607"/>
      <c r="AJ611" s="607"/>
      <c r="AK611" s="607"/>
      <c r="AL611" s="606"/>
      <c r="AM611" s="606"/>
      <c r="AN611" s="606"/>
      <c r="AO611" s="606"/>
    </row>
    <row r="612" spans="1:41" ht="11.25" hidden="1" customHeight="1">
      <c r="A612" s="608"/>
      <c r="B612" s="607"/>
      <c r="C612" s="607"/>
      <c r="D612" s="607"/>
      <c r="E612" s="607"/>
      <c r="F612" s="607"/>
      <c r="G612" s="606"/>
      <c r="H612" s="606"/>
      <c r="I612" s="606"/>
      <c r="J612" s="606"/>
      <c r="K612" s="606"/>
      <c r="L612" s="606"/>
      <c r="M612" s="606"/>
      <c r="N612" s="606"/>
      <c r="O612" s="606"/>
      <c r="P612" s="606"/>
      <c r="Q612" s="606"/>
      <c r="R612" s="606"/>
      <c r="S612" s="606"/>
      <c r="T612" s="606"/>
      <c r="U612" s="606"/>
      <c r="V612" s="606"/>
      <c r="W612" s="606"/>
      <c r="X612" s="640"/>
      <c r="Y612" s="607"/>
      <c r="Z612" s="607"/>
      <c r="AA612" s="607"/>
      <c r="AB612" s="607"/>
      <c r="AC612" s="607"/>
      <c r="AD612" s="607"/>
      <c r="AE612" s="607"/>
      <c r="AF612" s="607"/>
      <c r="AG612" s="607"/>
      <c r="AH612" s="607"/>
      <c r="AI612" s="607"/>
      <c r="AJ612" s="607"/>
      <c r="AK612" s="607"/>
      <c r="AL612" s="606"/>
      <c r="AM612" s="606"/>
      <c r="AN612" s="606"/>
      <c r="AO612" s="606"/>
    </row>
    <row r="613" spans="1:41" ht="11.25" hidden="1" customHeight="1">
      <c r="A613" s="608"/>
      <c r="B613" s="607"/>
      <c r="C613" s="607"/>
      <c r="D613" s="607"/>
      <c r="E613" s="607"/>
      <c r="F613" s="607"/>
      <c r="G613" s="606"/>
      <c r="H613" s="606"/>
      <c r="I613" s="606"/>
      <c r="J613" s="606"/>
      <c r="K613" s="606"/>
      <c r="L613" s="606"/>
      <c r="M613" s="606"/>
      <c r="N613" s="606"/>
      <c r="O613" s="606"/>
      <c r="P613" s="606"/>
      <c r="Q613" s="606"/>
      <c r="R613" s="606"/>
      <c r="S613" s="606"/>
      <c r="T613" s="606"/>
      <c r="U613" s="606"/>
      <c r="V613" s="606"/>
      <c r="W613" s="606"/>
      <c r="X613" s="640"/>
      <c r="Y613" s="607"/>
      <c r="Z613" s="607"/>
      <c r="AA613" s="607"/>
      <c r="AB613" s="607"/>
      <c r="AC613" s="607"/>
      <c r="AD613" s="607"/>
      <c r="AE613" s="607"/>
      <c r="AF613" s="607"/>
      <c r="AG613" s="607"/>
      <c r="AH613" s="607"/>
      <c r="AI613" s="607"/>
      <c r="AJ613" s="607"/>
      <c r="AK613" s="607"/>
      <c r="AL613" s="606"/>
      <c r="AM613" s="606"/>
      <c r="AN613" s="606"/>
      <c r="AO613" s="606"/>
    </row>
    <row r="614" spans="1:41" ht="11.25" hidden="1" customHeight="1">
      <c r="A614" s="608"/>
      <c r="B614" s="607"/>
      <c r="C614" s="607"/>
      <c r="D614" s="607"/>
      <c r="E614" s="607"/>
      <c r="F614" s="607"/>
      <c r="G614" s="606"/>
      <c r="H614" s="606"/>
      <c r="I614" s="606"/>
      <c r="J614" s="606"/>
      <c r="K614" s="606"/>
      <c r="L614" s="606"/>
      <c r="M614" s="606"/>
      <c r="N614" s="606"/>
      <c r="O614" s="606"/>
      <c r="P614" s="606"/>
      <c r="Q614" s="606"/>
      <c r="R614" s="606"/>
      <c r="S614" s="606"/>
      <c r="T614" s="606"/>
      <c r="U614" s="606"/>
      <c r="V614" s="606"/>
      <c r="W614" s="606"/>
      <c r="X614" s="640"/>
      <c r="Y614" s="607"/>
      <c r="Z614" s="607"/>
      <c r="AA614" s="607"/>
      <c r="AB614" s="607"/>
      <c r="AC614" s="607"/>
      <c r="AD614" s="607"/>
      <c r="AE614" s="607"/>
      <c r="AF614" s="607"/>
      <c r="AG614" s="607"/>
      <c r="AH614" s="607"/>
      <c r="AI614" s="607"/>
      <c r="AJ614" s="607"/>
      <c r="AK614" s="607"/>
      <c r="AL614" s="606"/>
      <c r="AM614" s="606"/>
      <c r="AN614" s="606"/>
      <c r="AO614" s="606"/>
    </row>
    <row r="615" spans="1:41" ht="11.25" hidden="1" customHeight="1">
      <c r="A615" s="608"/>
      <c r="B615" s="607"/>
      <c r="C615" s="607"/>
      <c r="D615" s="607"/>
      <c r="E615" s="607"/>
      <c r="F615" s="607"/>
      <c r="G615" s="606"/>
      <c r="H615" s="606"/>
      <c r="I615" s="606"/>
      <c r="J615" s="606"/>
      <c r="K615" s="606"/>
      <c r="L615" s="606"/>
      <c r="M615" s="606"/>
      <c r="N615" s="606"/>
      <c r="O615" s="606"/>
      <c r="P615" s="606"/>
      <c r="Q615" s="606"/>
      <c r="R615" s="606"/>
      <c r="S615" s="606"/>
      <c r="T615" s="606"/>
      <c r="U615" s="606"/>
      <c r="V615" s="606"/>
      <c r="W615" s="606"/>
      <c r="X615" s="640"/>
      <c r="Y615" s="607"/>
      <c r="Z615" s="607"/>
      <c r="AA615" s="607"/>
      <c r="AB615" s="607"/>
      <c r="AC615" s="607"/>
      <c r="AD615" s="607"/>
      <c r="AE615" s="607"/>
      <c r="AF615" s="607"/>
      <c r="AG615" s="607"/>
      <c r="AH615" s="607"/>
      <c r="AI615" s="607"/>
      <c r="AJ615" s="607"/>
      <c r="AK615" s="607"/>
      <c r="AL615" s="606"/>
      <c r="AM615" s="606"/>
      <c r="AN615" s="606"/>
      <c r="AO615" s="606"/>
    </row>
    <row r="616" spans="1:41" ht="11.25" hidden="1" customHeight="1">
      <c r="A616" s="608"/>
      <c r="B616" s="607"/>
      <c r="C616" s="607"/>
      <c r="D616" s="607"/>
      <c r="E616" s="607"/>
      <c r="F616" s="607"/>
      <c r="G616" s="606"/>
      <c r="H616" s="606"/>
      <c r="I616" s="606"/>
      <c r="J616" s="606"/>
      <c r="K616" s="606"/>
      <c r="L616" s="606"/>
      <c r="M616" s="606"/>
      <c r="N616" s="606"/>
      <c r="O616" s="606"/>
      <c r="P616" s="606"/>
      <c r="Q616" s="606"/>
      <c r="R616" s="606"/>
      <c r="S616" s="606"/>
      <c r="T616" s="606"/>
      <c r="U616" s="606"/>
      <c r="V616" s="606"/>
      <c r="W616" s="606"/>
      <c r="X616" s="640"/>
      <c r="Y616" s="607"/>
      <c r="Z616" s="607"/>
      <c r="AA616" s="607"/>
      <c r="AB616" s="607"/>
      <c r="AC616" s="607"/>
      <c r="AD616" s="607"/>
      <c r="AE616" s="607"/>
      <c r="AF616" s="607"/>
      <c r="AG616" s="607"/>
      <c r="AH616" s="607"/>
      <c r="AI616" s="607"/>
      <c r="AJ616" s="607"/>
      <c r="AK616" s="607"/>
      <c r="AL616" s="606"/>
      <c r="AM616" s="606"/>
      <c r="AN616" s="606"/>
      <c r="AO616" s="606"/>
    </row>
    <row r="617" spans="1:41" ht="11.25" hidden="1" customHeight="1">
      <c r="A617" s="608"/>
      <c r="B617" s="607"/>
      <c r="C617" s="607"/>
      <c r="D617" s="607"/>
      <c r="E617" s="607"/>
      <c r="F617" s="607"/>
      <c r="G617" s="606"/>
      <c r="H617" s="606"/>
      <c r="I617" s="606"/>
      <c r="J617" s="606"/>
      <c r="K617" s="606"/>
      <c r="L617" s="606"/>
      <c r="M617" s="606"/>
      <c r="N617" s="606"/>
      <c r="O617" s="606"/>
      <c r="P617" s="606"/>
      <c r="Q617" s="606"/>
      <c r="R617" s="606"/>
      <c r="S617" s="606"/>
      <c r="T617" s="606"/>
      <c r="U617" s="606"/>
      <c r="V617" s="606"/>
      <c r="W617" s="606"/>
      <c r="X617" s="640"/>
      <c r="Y617" s="607"/>
      <c r="Z617" s="607"/>
      <c r="AA617" s="607"/>
      <c r="AB617" s="607"/>
      <c r="AC617" s="607"/>
      <c r="AD617" s="607"/>
      <c r="AE617" s="607"/>
      <c r="AF617" s="607"/>
      <c r="AG617" s="607"/>
      <c r="AH617" s="607"/>
      <c r="AI617" s="607"/>
      <c r="AJ617" s="607"/>
      <c r="AK617" s="607"/>
      <c r="AL617" s="606"/>
      <c r="AM617" s="606"/>
      <c r="AN617" s="606"/>
      <c r="AO617" s="606"/>
    </row>
    <row r="618" spans="1:41" ht="11.25" hidden="1" customHeight="1">
      <c r="A618" s="608"/>
      <c r="B618" s="607"/>
      <c r="C618" s="607"/>
      <c r="D618" s="607"/>
      <c r="E618" s="607"/>
      <c r="F618" s="607"/>
      <c r="G618" s="606"/>
      <c r="H618" s="606"/>
      <c r="I618" s="606"/>
      <c r="J618" s="606"/>
      <c r="K618" s="606"/>
      <c r="L618" s="606"/>
      <c r="M618" s="606"/>
      <c r="N618" s="606"/>
      <c r="O618" s="606"/>
      <c r="P618" s="606"/>
      <c r="Q618" s="606"/>
      <c r="R618" s="606"/>
      <c r="S618" s="606"/>
      <c r="T618" s="606"/>
      <c r="U618" s="606"/>
      <c r="V618" s="606"/>
      <c r="W618" s="606"/>
      <c r="X618" s="640"/>
      <c r="Y618" s="607"/>
      <c r="Z618" s="607"/>
      <c r="AA618" s="607"/>
      <c r="AB618" s="607"/>
      <c r="AC618" s="607"/>
      <c r="AD618" s="607"/>
      <c r="AE618" s="607"/>
      <c r="AF618" s="607"/>
      <c r="AG618" s="607"/>
      <c r="AH618" s="607"/>
      <c r="AI618" s="607"/>
      <c r="AJ618" s="607"/>
      <c r="AK618" s="607"/>
      <c r="AL618" s="606"/>
      <c r="AM618" s="606"/>
      <c r="AN618" s="606"/>
      <c r="AO618" s="606"/>
    </row>
    <row r="619" spans="1:41" ht="11.25" hidden="1" customHeight="1">
      <c r="A619" s="608"/>
      <c r="B619" s="607"/>
      <c r="C619" s="607"/>
      <c r="D619" s="607"/>
      <c r="E619" s="607"/>
      <c r="F619" s="607"/>
      <c r="G619" s="606"/>
      <c r="H619" s="606"/>
      <c r="I619" s="606"/>
      <c r="J619" s="606"/>
      <c r="K619" s="606"/>
      <c r="L619" s="606"/>
      <c r="M619" s="606"/>
      <c r="N619" s="606"/>
      <c r="O619" s="606"/>
      <c r="P619" s="606"/>
      <c r="Q619" s="606"/>
      <c r="R619" s="606"/>
      <c r="S619" s="606"/>
      <c r="T619" s="606"/>
      <c r="U619" s="606"/>
      <c r="V619" s="606"/>
      <c r="W619" s="606"/>
      <c r="X619" s="640"/>
      <c r="Y619" s="607"/>
      <c r="Z619" s="607"/>
      <c r="AA619" s="607"/>
      <c r="AB619" s="607"/>
      <c r="AC619" s="607"/>
      <c r="AD619" s="607"/>
      <c r="AE619" s="607"/>
      <c r="AF619" s="607"/>
      <c r="AG619" s="607"/>
      <c r="AH619" s="607"/>
      <c r="AI619" s="607"/>
      <c r="AJ619" s="607"/>
      <c r="AK619" s="607"/>
      <c r="AL619" s="606"/>
      <c r="AM619" s="606"/>
      <c r="AN619" s="606"/>
      <c r="AO619" s="606"/>
    </row>
    <row r="620" spans="1:41" ht="11.25" hidden="1" customHeight="1">
      <c r="A620" s="608"/>
      <c r="B620" s="607"/>
      <c r="C620" s="607"/>
      <c r="D620" s="607"/>
      <c r="E620" s="607"/>
      <c r="F620" s="607"/>
      <c r="G620" s="606"/>
      <c r="H620" s="606"/>
      <c r="I620" s="606"/>
      <c r="J620" s="606"/>
      <c r="K620" s="606"/>
      <c r="L620" s="606"/>
      <c r="M620" s="606"/>
      <c r="N620" s="606"/>
      <c r="O620" s="606"/>
      <c r="P620" s="606"/>
      <c r="Q620" s="606"/>
      <c r="R620" s="606"/>
      <c r="S620" s="606"/>
      <c r="T620" s="606"/>
      <c r="U620" s="606"/>
      <c r="V620" s="606"/>
      <c r="W620" s="606"/>
      <c r="X620" s="640"/>
      <c r="Y620" s="607"/>
      <c r="Z620" s="607"/>
      <c r="AA620" s="607"/>
      <c r="AB620" s="607"/>
      <c r="AC620" s="607"/>
      <c r="AD620" s="607"/>
      <c r="AE620" s="607"/>
      <c r="AF620" s="607"/>
      <c r="AG620" s="607"/>
      <c r="AH620" s="607"/>
      <c r="AI620" s="607"/>
      <c r="AJ620" s="607"/>
      <c r="AK620" s="607"/>
      <c r="AL620" s="606"/>
      <c r="AM620" s="606"/>
      <c r="AN620" s="606"/>
      <c r="AO620" s="606"/>
    </row>
    <row r="621" spans="1:41" ht="11.25" hidden="1" customHeight="1">
      <c r="A621" s="608"/>
      <c r="B621" s="607"/>
      <c r="C621" s="607"/>
      <c r="D621" s="607"/>
      <c r="E621" s="607"/>
      <c r="F621" s="607"/>
      <c r="G621" s="606"/>
      <c r="H621" s="606"/>
      <c r="I621" s="606"/>
      <c r="J621" s="606"/>
      <c r="K621" s="606"/>
      <c r="L621" s="606"/>
      <c r="M621" s="606"/>
      <c r="N621" s="606"/>
      <c r="O621" s="606"/>
      <c r="P621" s="606"/>
      <c r="Q621" s="606"/>
      <c r="R621" s="606"/>
      <c r="S621" s="606"/>
      <c r="T621" s="606"/>
      <c r="U621" s="606"/>
      <c r="V621" s="606"/>
      <c r="W621" s="606"/>
      <c r="X621" s="640"/>
      <c r="Y621" s="607"/>
      <c r="Z621" s="607"/>
      <c r="AA621" s="607"/>
      <c r="AB621" s="607"/>
      <c r="AC621" s="607"/>
      <c r="AD621" s="607"/>
      <c r="AE621" s="607"/>
      <c r="AF621" s="607"/>
      <c r="AG621" s="607"/>
      <c r="AH621" s="607"/>
      <c r="AI621" s="607"/>
      <c r="AJ621" s="607"/>
      <c r="AK621" s="607"/>
      <c r="AL621" s="606"/>
      <c r="AM621" s="606"/>
      <c r="AN621" s="606"/>
      <c r="AO621" s="606"/>
    </row>
    <row r="622" spans="1:41" ht="11.25" hidden="1" customHeight="1">
      <c r="A622" s="608"/>
      <c r="B622" s="607"/>
      <c r="C622" s="607"/>
      <c r="D622" s="607"/>
      <c r="E622" s="607"/>
      <c r="F622" s="607"/>
      <c r="G622" s="606"/>
      <c r="H622" s="606"/>
      <c r="I622" s="606"/>
      <c r="J622" s="606"/>
      <c r="K622" s="606"/>
      <c r="L622" s="606"/>
      <c r="M622" s="606"/>
      <c r="N622" s="606"/>
      <c r="O622" s="606"/>
      <c r="P622" s="606"/>
      <c r="Q622" s="606"/>
      <c r="R622" s="606"/>
      <c r="S622" s="606"/>
      <c r="T622" s="606"/>
      <c r="U622" s="606"/>
      <c r="V622" s="606"/>
      <c r="W622" s="606"/>
      <c r="X622" s="640"/>
      <c r="Y622" s="607"/>
      <c r="Z622" s="607"/>
      <c r="AA622" s="607"/>
      <c r="AB622" s="607"/>
      <c r="AC622" s="607"/>
      <c r="AD622" s="607"/>
      <c r="AE622" s="607"/>
      <c r="AF622" s="607"/>
      <c r="AG622" s="607"/>
      <c r="AH622" s="607"/>
      <c r="AI622" s="607"/>
      <c r="AJ622" s="607"/>
      <c r="AK622" s="607"/>
      <c r="AL622" s="606"/>
      <c r="AM622" s="606"/>
      <c r="AN622" s="606"/>
      <c r="AO622" s="606"/>
    </row>
    <row r="623" spans="1:41" ht="11.25" hidden="1" customHeight="1">
      <c r="A623" s="608"/>
      <c r="B623" s="607"/>
      <c r="C623" s="607"/>
      <c r="D623" s="607"/>
      <c r="E623" s="607"/>
      <c r="F623" s="607"/>
      <c r="G623" s="606"/>
      <c r="H623" s="606"/>
      <c r="I623" s="606"/>
      <c r="J623" s="606"/>
      <c r="K623" s="606"/>
      <c r="L623" s="606"/>
      <c r="M623" s="606"/>
      <c r="N623" s="606"/>
      <c r="O623" s="606"/>
      <c r="P623" s="606"/>
      <c r="Q623" s="606"/>
      <c r="R623" s="606"/>
      <c r="S623" s="606"/>
      <c r="T623" s="606"/>
      <c r="U623" s="606"/>
      <c r="V623" s="606"/>
      <c r="W623" s="606"/>
      <c r="X623" s="640"/>
      <c r="Y623" s="607"/>
      <c r="Z623" s="607"/>
      <c r="AA623" s="607"/>
      <c r="AB623" s="607"/>
      <c r="AC623" s="607"/>
      <c r="AD623" s="607"/>
      <c r="AE623" s="607"/>
      <c r="AF623" s="607"/>
      <c r="AG623" s="607"/>
      <c r="AH623" s="607"/>
      <c r="AI623" s="607"/>
      <c r="AJ623" s="607"/>
      <c r="AK623" s="607"/>
      <c r="AL623" s="606"/>
      <c r="AM623" s="606"/>
      <c r="AN623" s="606"/>
      <c r="AO623" s="606"/>
    </row>
    <row r="624" spans="1:41" ht="11.25" hidden="1" customHeight="1">
      <c r="A624" s="608"/>
      <c r="B624" s="607"/>
      <c r="C624" s="607"/>
      <c r="D624" s="607"/>
      <c r="E624" s="607"/>
      <c r="F624" s="607"/>
      <c r="G624" s="606"/>
      <c r="H624" s="606"/>
      <c r="I624" s="606"/>
      <c r="J624" s="606"/>
      <c r="K624" s="606"/>
      <c r="L624" s="606"/>
      <c r="M624" s="606"/>
      <c r="N624" s="606"/>
      <c r="O624" s="606"/>
      <c r="P624" s="606"/>
      <c r="Q624" s="606"/>
      <c r="R624" s="606"/>
      <c r="S624" s="606"/>
      <c r="T624" s="606"/>
      <c r="U624" s="606"/>
      <c r="V624" s="606"/>
      <c r="W624" s="606"/>
      <c r="X624" s="640"/>
      <c r="Y624" s="607"/>
      <c r="Z624" s="607"/>
      <c r="AA624" s="607"/>
      <c r="AB624" s="607"/>
      <c r="AC624" s="607"/>
      <c r="AD624" s="607"/>
      <c r="AE624" s="607"/>
      <c r="AF624" s="607"/>
      <c r="AG624" s="607"/>
      <c r="AH624" s="607"/>
      <c r="AI624" s="607"/>
      <c r="AJ624" s="607"/>
      <c r="AK624" s="607"/>
      <c r="AL624" s="606"/>
      <c r="AM624" s="606"/>
      <c r="AN624" s="606"/>
      <c r="AO624" s="606"/>
    </row>
    <row r="625" spans="1:41" ht="11.25" hidden="1" customHeight="1">
      <c r="A625" s="608"/>
      <c r="B625" s="607"/>
      <c r="C625" s="607"/>
      <c r="D625" s="607"/>
      <c r="E625" s="607"/>
      <c r="F625" s="607"/>
      <c r="G625" s="606"/>
      <c r="H625" s="606"/>
      <c r="I625" s="606"/>
      <c r="J625" s="606"/>
      <c r="K625" s="606"/>
      <c r="L625" s="606"/>
      <c r="M625" s="606"/>
      <c r="N625" s="606"/>
      <c r="O625" s="606"/>
      <c r="P625" s="606"/>
      <c r="Q625" s="606"/>
      <c r="R625" s="606"/>
      <c r="S625" s="606"/>
      <c r="T625" s="606"/>
      <c r="U625" s="606"/>
      <c r="V625" s="606"/>
      <c r="W625" s="606"/>
      <c r="X625" s="640"/>
      <c r="Y625" s="607"/>
      <c r="Z625" s="607"/>
      <c r="AA625" s="607"/>
      <c r="AB625" s="607"/>
      <c r="AC625" s="607"/>
      <c r="AD625" s="607"/>
      <c r="AE625" s="607"/>
      <c r="AF625" s="607"/>
      <c r="AG625" s="607"/>
      <c r="AH625" s="607"/>
      <c r="AI625" s="607"/>
      <c r="AJ625" s="607"/>
      <c r="AK625" s="607"/>
      <c r="AL625" s="606"/>
      <c r="AM625" s="606"/>
      <c r="AN625" s="606"/>
      <c r="AO625" s="606"/>
    </row>
    <row r="626" spans="1:41" ht="11.25" hidden="1" customHeight="1">
      <c r="A626" s="608"/>
      <c r="B626" s="607"/>
      <c r="C626" s="607"/>
      <c r="D626" s="607"/>
      <c r="E626" s="607"/>
      <c r="F626" s="607"/>
      <c r="G626" s="606"/>
      <c r="H626" s="606"/>
      <c r="I626" s="606"/>
      <c r="J626" s="606"/>
      <c r="K626" s="606"/>
      <c r="L626" s="606"/>
      <c r="M626" s="606"/>
      <c r="N626" s="606"/>
      <c r="O626" s="606"/>
      <c r="P626" s="606"/>
      <c r="Q626" s="606"/>
      <c r="R626" s="606"/>
      <c r="S626" s="606"/>
      <c r="T626" s="606"/>
      <c r="U626" s="606"/>
      <c r="V626" s="606"/>
      <c r="W626" s="606"/>
      <c r="X626" s="640"/>
      <c r="Y626" s="607"/>
      <c r="Z626" s="607"/>
      <c r="AA626" s="607"/>
      <c r="AB626" s="607"/>
      <c r="AC626" s="607"/>
      <c r="AD626" s="607"/>
      <c r="AE626" s="607"/>
      <c r="AF626" s="607"/>
      <c r="AG626" s="607"/>
      <c r="AH626" s="607"/>
      <c r="AI626" s="607"/>
      <c r="AJ626" s="607"/>
      <c r="AK626" s="607"/>
      <c r="AL626" s="606"/>
      <c r="AM626" s="606"/>
      <c r="AN626" s="606"/>
      <c r="AO626" s="606"/>
    </row>
    <row r="627" spans="1:41" ht="11.25" hidden="1" customHeight="1">
      <c r="A627" s="608"/>
      <c r="B627" s="607"/>
      <c r="C627" s="607"/>
      <c r="D627" s="607"/>
      <c r="E627" s="607"/>
      <c r="F627" s="607"/>
      <c r="G627" s="606"/>
      <c r="H627" s="606"/>
      <c r="I627" s="606"/>
      <c r="J627" s="606"/>
      <c r="K627" s="606"/>
      <c r="L627" s="606"/>
      <c r="M627" s="606"/>
      <c r="N627" s="606"/>
      <c r="O627" s="606"/>
      <c r="P627" s="606"/>
      <c r="Q627" s="606"/>
      <c r="R627" s="606"/>
      <c r="S627" s="606"/>
      <c r="T627" s="606"/>
      <c r="U627" s="606"/>
      <c r="V627" s="606"/>
      <c r="W627" s="606"/>
      <c r="X627" s="640"/>
      <c r="Y627" s="607"/>
      <c r="Z627" s="607"/>
      <c r="AA627" s="607"/>
      <c r="AB627" s="607"/>
      <c r="AC627" s="607"/>
      <c r="AD627" s="607"/>
      <c r="AE627" s="607"/>
      <c r="AF627" s="607"/>
      <c r="AG627" s="607"/>
      <c r="AH627" s="607"/>
      <c r="AI627" s="607"/>
      <c r="AJ627" s="607"/>
      <c r="AK627" s="607"/>
      <c r="AL627" s="606"/>
      <c r="AM627" s="606"/>
      <c r="AN627" s="606"/>
      <c r="AO627" s="606"/>
    </row>
    <row r="628" spans="1:41" ht="11.25" hidden="1" customHeight="1">
      <c r="A628" s="608"/>
      <c r="B628" s="607"/>
      <c r="C628" s="607"/>
      <c r="D628" s="607"/>
      <c r="E628" s="607"/>
      <c r="F628" s="607"/>
      <c r="G628" s="606"/>
      <c r="H628" s="606"/>
      <c r="I628" s="606"/>
      <c r="J628" s="606"/>
      <c r="K628" s="606"/>
      <c r="L628" s="606"/>
      <c r="M628" s="606"/>
      <c r="N628" s="606"/>
      <c r="O628" s="606"/>
      <c r="P628" s="606"/>
      <c r="Q628" s="606"/>
      <c r="R628" s="606"/>
      <c r="S628" s="606"/>
      <c r="T628" s="606"/>
      <c r="U628" s="606"/>
      <c r="V628" s="606"/>
      <c r="W628" s="606"/>
      <c r="X628" s="640"/>
      <c r="Y628" s="607"/>
      <c r="Z628" s="607"/>
      <c r="AA628" s="607"/>
      <c r="AB628" s="607"/>
      <c r="AC628" s="607"/>
      <c r="AD628" s="607"/>
      <c r="AE628" s="607"/>
      <c r="AF628" s="607"/>
      <c r="AG628" s="607"/>
      <c r="AH628" s="607"/>
      <c r="AI628" s="607"/>
      <c r="AJ628" s="607"/>
      <c r="AK628" s="607"/>
      <c r="AL628" s="606"/>
      <c r="AM628" s="606"/>
      <c r="AN628" s="606"/>
      <c r="AO628" s="606"/>
    </row>
    <row r="629" spans="1:41" ht="11.25" hidden="1" customHeight="1">
      <c r="A629" s="608"/>
      <c r="B629" s="607"/>
      <c r="C629" s="607"/>
      <c r="D629" s="607"/>
      <c r="E629" s="607"/>
      <c r="F629" s="607"/>
      <c r="G629" s="606"/>
      <c r="H629" s="606"/>
      <c r="I629" s="606"/>
      <c r="J629" s="606"/>
      <c r="K629" s="606"/>
      <c r="L629" s="606"/>
      <c r="M629" s="606"/>
      <c r="N629" s="606"/>
      <c r="O629" s="606"/>
      <c r="P629" s="606"/>
      <c r="Q629" s="606"/>
      <c r="R629" s="606"/>
      <c r="S629" s="606"/>
      <c r="T629" s="606"/>
      <c r="U629" s="606"/>
      <c r="V629" s="606"/>
      <c r="W629" s="606"/>
      <c r="X629" s="640"/>
      <c r="Y629" s="607"/>
      <c r="Z629" s="607"/>
      <c r="AA629" s="607"/>
      <c r="AB629" s="607"/>
      <c r="AC629" s="607"/>
      <c r="AD629" s="607"/>
      <c r="AE629" s="607"/>
      <c r="AF629" s="607"/>
      <c r="AG629" s="607"/>
      <c r="AH629" s="607"/>
      <c r="AI629" s="607"/>
      <c r="AJ629" s="607"/>
      <c r="AK629" s="607"/>
      <c r="AL629" s="606"/>
      <c r="AM629" s="606"/>
      <c r="AN629" s="606"/>
      <c r="AO629" s="606"/>
    </row>
    <row r="630" spans="1:41" ht="11.25" hidden="1" customHeight="1">
      <c r="A630" s="608"/>
      <c r="B630" s="607"/>
      <c r="C630" s="607"/>
      <c r="D630" s="607"/>
      <c r="E630" s="607"/>
      <c r="F630" s="607"/>
      <c r="G630" s="606"/>
      <c r="H630" s="606"/>
      <c r="I630" s="606"/>
      <c r="J630" s="606"/>
      <c r="K630" s="606"/>
      <c r="L630" s="606"/>
      <c r="M630" s="606"/>
      <c r="N630" s="606"/>
      <c r="O630" s="606"/>
      <c r="P630" s="606"/>
      <c r="Q630" s="606"/>
      <c r="R630" s="606"/>
      <c r="S630" s="606"/>
      <c r="T630" s="606"/>
      <c r="U630" s="606"/>
      <c r="V630" s="606"/>
      <c r="W630" s="606"/>
      <c r="X630" s="640"/>
      <c r="Y630" s="607"/>
      <c r="Z630" s="607"/>
      <c r="AA630" s="607"/>
      <c r="AB630" s="607"/>
      <c r="AC630" s="607"/>
      <c r="AD630" s="607"/>
      <c r="AE630" s="607"/>
      <c r="AF630" s="607"/>
      <c r="AG630" s="607"/>
      <c r="AH630" s="607"/>
      <c r="AI630" s="607"/>
      <c r="AJ630" s="607"/>
      <c r="AK630" s="607"/>
      <c r="AL630" s="606"/>
      <c r="AM630" s="606"/>
      <c r="AN630" s="606"/>
      <c r="AO630" s="606"/>
    </row>
    <row r="631" spans="1:41" ht="11.25" hidden="1" customHeight="1">
      <c r="A631" s="608"/>
      <c r="B631" s="607"/>
      <c r="C631" s="607"/>
      <c r="D631" s="607"/>
      <c r="E631" s="607"/>
      <c r="F631" s="607"/>
      <c r="G631" s="606"/>
      <c r="H631" s="606"/>
      <c r="I631" s="606"/>
      <c r="J631" s="606"/>
      <c r="K631" s="606"/>
      <c r="L631" s="606"/>
      <c r="M631" s="606"/>
      <c r="N631" s="606"/>
      <c r="O631" s="606"/>
      <c r="P631" s="606"/>
      <c r="Q631" s="606"/>
      <c r="R631" s="606"/>
      <c r="S631" s="606"/>
      <c r="T631" s="606"/>
      <c r="U631" s="606"/>
      <c r="V631" s="606"/>
      <c r="W631" s="606"/>
      <c r="X631" s="640"/>
      <c r="Y631" s="607"/>
      <c r="Z631" s="607"/>
      <c r="AA631" s="607"/>
      <c r="AB631" s="607"/>
      <c r="AC631" s="607"/>
      <c r="AD631" s="607"/>
      <c r="AE631" s="607"/>
      <c r="AF631" s="607"/>
      <c r="AG631" s="607"/>
      <c r="AH631" s="607"/>
      <c r="AI631" s="607"/>
      <c r="AJ631" s="607"/>
      <c r="AK631" s="607"/>
      <c r="AL631" s="606"/>
      <c r="AM631" s="606"/>
      <c r="AN631" s="606"/>
      <c r="AO631" s="606"/>
    </row>
    <row r="632" spans="1:41" ht="11.25" hidden="1" customHeight="1">
      <c r="A632" s="608"/>
      <c r="B632" s="607"/>
      <c r="C632" s="607"/>
      <c r="D632" s="607"/>
      <c r="E632" s="607"/>
      <c r="F632" s="607"/>
      <c r="G632" s="606"/>
      <c r="H632" s="606"/>
      <c r="I632" s="606"/>
      <c r="J632" s="606"/>
      <c r="K632" s="606"/>
      <c r="L632" s="606"/>
      <c r="M632" s="606"/>
      <c r="N632" s="606"/>
      <c r="O632" s="606"/>
      <c r="P632" s="606"/>
      <c r="Q632" s="606"/>
      <c r="R632" s="606"/>
      <c r="S632" s="606"/>
      <c r="T632" s="606"/>
      <c r="U632" s="606"/>
      <c r="V632" s="606"/>
      <c r="W632" s="606"/>
      <c r="X632" s="640"/>
      <c r="Y632" s="607"/>
      <c r="Z632" s="607"/>
      <c r="AA632" s="607"/>
      <c r="AB632" s="607"/>
      <c r="AC632" s="607"/>
      <c r="AD632" s="607"/>
      <c r="AE632" s="607"/>
      <c r="AF632" s="607"/>
      <c r="AG632" s="607"/>
      <c r="AH632" s="607"/>
      <c r="AI632" s="607"/>
      <c r="AJ632" s="607"/>
      <c r="AK632" s="607"/>
      <c r="AL632" s="606"/>
      <c r="AM632" s="606"/>
      <c r="AN632" s="606"/>
      <c r="AO632" s="606"/>
    </row>
    <row r="633" spans="1:41" ht="11.25" hidden="1" customHeight="1">
      <c r="A633" s="608"/>
      <c r="B633" s="607"/>
      <c r="C633" s="607"/>
      <c r="D633" s="607"/>
      <c r="E633" s="607"/>
      <c r="F633" s="607"/>
      <c r="G633" s="606"/>
      <c r="H633" s="606"/>
      <c r="I633" s="606"/>
      <c r="J633" s="606"/>
      <c r="K633" s="606"/>
      <c r="L633" s="606"/>
      <c r="M633" s="606"/>
      <c r="N633" s="606"/>
      <c r="O633" s="606"/>
      <c r="P633" s="606"/>
      <c r="Q633" s="606"/>
      <c r="R633" s="606"/>
      <c r="S633" s="606"/>
      <c r="T633" s="606"/>
      <c r="U633" s="606"/>
      <c r="V633" s="606"/>
      <c r="W633" s="606"/>
      <c r="X633" s="640"/>
      <c r="Y633" s="607"/>
      <c r="Z633" s="607"/>
      <c r="AA633" s="607"/>
      <c r="AB633" s="607"/>
      <c r="AC633" s="607"/>
      <c r="AD633" s="607"/>
      <c r="AE633" s="607"/>
      <c r="AF633" s="607"/>
      <c r="AG633" s="607"/>
      <c r="AH633" s="607"/>
      <c r="AI633" s="607"/>
      <c r="AJ633" s="607"/>
      <c r="AK633" s="607"/>
      <c r="AL633" s="606"/>
      <c r="AM633" s="606"/>
      <c r="AN633" s="606"/>
      <c r="AO633" s="606"/>
    </row>
    <row r="634" spans="1:41" ht="11.25" hidden="1" customHeight="1">
      <c r="A634" s="608"/>
      <c r="B634" s="607"/>
      <c r="C634" s="607"/>
      <c r="D634" s="607"/>
      <c r="E634" s="607"/>
      <c r="F634" s="607"/>
      <c r="G634" s="606"/>
      <c r="H634" s="606"/>
      <c r="I634" s="606"/>
      <c r="J634" s="606"/>
      <c r="K634" s="606"/>
      <c r="L634" s="606"/>
      <c r="M634" s="606"/>
      <c r="N634" s="606"/>
      <c r="O634" s="606"/>
      <c r="P634" s="606"/>
      <c r="Q634" s="606"/>
      <c r="R634" s="606"/>
      <c r="S634" s="606"/>
      <c r="T634" s="606"/>
      <c r="U634" s="606"/>
      <c r="V634" s="606"/>
      <c r="W634" s="606"/>
      <c r="X634" s="640"/>
      <c r="Y634" s="607"/>
      <c r="Z634" s="607"/>
      <c r="AA634" s="607"/>
      <c r="AB634" s="607"/>
      <c r="AC634" s="607"/>
      <c r="AD634" s="607"/>
      <c r="AE634" s="607"/>
      <c r="AF634" s="607"/>
      <c r="AG634" s="607"/>
      <c r="AH634" s="607"/>
      <c r="AI634" s="607"/>
      <c r="AJ634" s="607"/>
      <c r="AK634" s="607"/>
      <c r="AL634" s="606"/>
      <c r="AM634" s="606"/>
      <c r="AN634" s="606"/>
      <c r="AO634" s="606"/>
    </row>
    <row r="635" spans="1:41" ht="11.25" hidden="1" customHeight="1">
      <c r="A635" s="608"/>
      <c r="B635" s="607"/>
      <c r="C635" s="607"/>
      <c r="D635" s="607"/>
      <c r="E635" s="607"/>
      <c r="F635" s="607"/>
      <c r="G635" s="606"/>
      <c r="H635" s="606"/>
      <c r="I635" s="606"/>
      <c r="J635" s="606"/>
      <c r="K635" s="606"/>
      <c r="L635" s="606"/>
      <c r="M635" s="606"/>
      <c r="N635" s="606"/>
      <c r="O635" s="606"/>
      <c r="P635" s="606"/>
      <c r="Q635" s="606"/>
      <c r="R635" s="606"/>
      <c r="S635" s="606"/>
      <c r="T635" s="606"/>
      <c r="U635" s="606"/>
      <c r="V635" s="606"/>
      <c r="W635" s="606"/>
      <c r="X635" s="640"/>
      <c r="Y635" s="607"/>
      <c r="Z635" s="607"/>
      <c r="AA635" s="607"/>
      <c r="AB635" s="607"/>
      <c r="AC635" s="607"/>
      <c r="AD635" s="607"/>
      <c r="AE635" s="607"/>
      <c r="AF635" s="607"/>
      <c r="AG635" s="607"/>
      <c r="AH635" s="607"/>
      <c r="AI635" s="607"/>
      <c r="AJ635" s="607"/>
      <c r="AK635" s="607"/>
      <c r="AL635" s="606"/>
      <c r="AM635" s="606"/>
      <c r="AN635" s="606"/>
      <c r="AO635" s="606"/>
    </row>
    <row r="636" spans="1:41" ht="11.25" hidden="1" customHeight="1">
      <c r="A636" s="608"/>
      <c r="B636" s="607"/>
      <c r="C636" s="607"/>
      <c r="D636" s="607"/>
      <c r="E636" s="607"/>
      <c r="F636" s="607"/>
      <c r="G636" s="606"/>
      <c r="H636" s="606"/>
      <c r="I636" s="606"/>
      <c r="J636" s="606"/>
      <c r="K636" s="606"/>
      <c r="L636" s="606"/>
      <c r="M636" s="606"/>
      <c r="N636" s="606"/>
      <c r="O636" s="606"/>
      <c r="P636" s="606"/>
      <c r="Q636" s="606"/>
      <c r="R636" s="606"/>
      <c r="S636" s="606"/>
      <c r="T636" s="606"/>
      <c r="U636" s="606"/>
      <c r="V636" s="606"/>
      <c r="W636" s="606"/>
      <c r="X636" s="640"/>
      <c r="Y636" s="607"/>
      <c r="Z636" s="607"/>
      <c r="AA636" s="607"/>
      <c r="AB636" s="607"/>
      <c r="AC636" s="607"/>
      <c r="AD636" s="607"/>
      <c r="AE636" s="607"/>
      <c r="AF636" s="607"/>
      <c r="AG636" s="607"/>
      <c r="AH636" s="607"/>
      <c r="AI636" s="607"/>
      <c r="AJ636" s="607"/>
      <c r="AK636" s="607"/>
      <c r="AL636" s="606"/>
      <c r="AM636" s="606"/>
      <c r="AN636" s="606"/>
      <c r="AO636" s="606"/>
    </row>
    <row r="637" spans="1:41" ht="11.25" hidden="1" customHeight="1">
      <c r="A637" s="608"/>
      <c r="B637" s="607"/>
      <c r="C637" s="607"/>
      <c r="D637" s="607"/>
      <c r="E637" s="607"/>
      <c r="F637" s="607"/>
      <c r="G637" s="606"/>
      <c r="H637" s="606"/>
      <c r="I637" s="606"/>
      <c r="J637" s="606"/>
      <c r="K637" s="606"/>
      <c r="L637" s="606"/>
      <c r="M637" s="606"/>
      <c r="N637" s="606"/>
      <c r="O637" s="606"/>
      <c r="P637" s="606"/>
      <c r="Q637" s="606"/>
      <c r="R637" s="606"/>
      <c r="S637" s="606"/>
      <c r="T637" s="606"/>
      <c r="U637" s="606"/>
      <c r="V637" s="606"/>
      <c r="W637" s="606"/>
      <c r="X637" s="640"/>
      <c r="Y637" s="607"/>
      <c r="Z637" s="607"/>
      <c r="AA637" s="607"/>
      <c r="AB637" s="607"/>
      <c r="AC637" s="607"/>
      <c r="AD637" s="607"/>
      <c r="AE637" s="607"/>
      <c r="AF637" s="607"/>
      <c r="AG637" s="607"/>
      <c r="AH637" s="607"/>
      <c r="AI637" s="607"/>
      <c r="AJ637" s="607"/>
      <c r="AK637" s="607"/>
      <c r="AL637" s="606"/>
      <c r="AM637" s="606"/>
      <c r="AN637" s="606"/>
      <c r="AO637" s="606"/>
    </row>
    <row r="638" spans="1:41" ht="11.25" hidden="1" customHeight="1">
      <c r="A638" s="608"/>
      <c r="B638" s="607"/>
      <c r="C638" s="607"/>
      <c r="D638" s="607"/>
      <c r="E638" s="607"/>
      <c r="F638" s="607"/>
      <c r="G638" s="606"/>
      <c r="H638" s="606"/>
      <c r="I638" s="606"/>
      <c r="J638" s="606"/>
      <c r="K638" s="606"/>
      <c r="L638" s="606"/>
      <c r="M638" s="606"/>
      <c r="N638" s="606"/>
      <c r="O638" s="606"/>
      <c r="P638" s="606"/>
      <c r="Q638" s="606"/>
      <c r="R638" s="606"/>
      <c r="S638" s="606"/>
      <c r="T638" s="606"/>
      <c r="U638" s="606"/>
      <c r="V638" s="606"/>
      <c r="W638" s="606"/>
      <c r="X638" s="640"/>
      <c r="Y638" s="607"/>
      <c r="Z638" s="607"/>
      <c r="AA638" s="607"/>
      <c r="AB638" s="607"/>
      <c r="AC638" s="607"/>
      <c r="AD638" s="607"/>
      <c r="AE638" s="607"/>
      <c r="AF638" s="607"/>
      <c r="AG638" s="607"/>
      <c r="AH638" s="607"/>
      <c r="AI638" s="607"/>
      <c r="AJ638" s="607"/>
      <c r="AK638" s="607"/>
      <c r="AL638" s="606"/>
      <c r="AM638" s="606"/>
      <c r="AN638" s="606"/>
      <c r="AO638" s="606"/>
    </row>
    <row r="639" spans="1:41" ht="11.25" hidden="1" customHeight="1">
      <c r="A639" s="608"/>
      <c r="B639" s="607"/>
      <c r="C639" s="607"/>
      <c r="D639" s="607"/>
      <c r="E639" s="607"/>
      <c r="F639" s="607"/>
      <c r="G639" s="606"/>
      <c r="H639" s="606"/>
      <c r="I639" s="606"/>
      <c r="J639" s="606"/>
      <c r="K639" s="606"/>
      <c r="L639" s="606"/>
      <c r="M639" s="606"/>
      <c r="N639" s="606"/>
      <c r="O639" s="606"/>
      <c r="P639" s="606"/>
      <c r="Q639" s="606"/>
      <c r="R639" s="606"/>
      <c r="S639" s="606"/>
      <c r="T639" s="606"/>
      <c r="U639" s="606"/>
      <c r="V639" s="606"/>
      <c r="W639" s="606"/>
      <c r="X639" s="640"/>
      <c r="Y639" s="607"/>
      <c r="Z639" s="607"/>
      <c r="AA639" s="607"/>
      <c r="AB639" s="607"/>
      <c r="AC639" s="607"/>
      <c r="AD639" s="607"/>
      <c r="AE639" s="607"/>
      <c r="AF639" s="607"/>
      <c r="AG639" s="607"/>
      <c r="AH639" s="607"/>
      <c r="AI639" s="607"/>
      <c r="AJ639" s="607"/>
      <c r="AK639" s="607"/>
      <c r="AL639" s="606"/>
      <c r="AM639" s="606"/>
      <c r="AN639" s="606"/>
      <c r="AO639" s="606"/>
    </row>
    <row r="640" spans="1:41" ht="11.25" hidden="1" customHeight="1">
      <c r="A640" s="608"/>
      <c r="B640" s="607"/>
      <c r="C640" s="607"/>
      <c r="D640" s="607"/>
      <c r="E640" s="607"/>
      <c r="F640" s="607"/>
      <c r="G640" s="606"/>
      <c r="H640" s="606"/>
      <c r="I640" s="606"/>
      <c r="J640" s="606"/>
      <c r="K640" s="606"/>
      <c r="L640" s="606"/>
      <c r="M640" s="606"/>
      <c r="N640" s="606"/>
      <c r="O640" s="606"/>
      <c r="P640" s="606"/>
      <c r="Q640" s="606"/>
      <c r="R640" s="606"/>
      <c r="S640" s="606"/>
      <c r="T640" s="606"/>
      <c r="U640" s="606"/>
      <c r="V640" s="606"/>
      <c r="W640" s="606"/>
      <c r="X640" s="640"/>
      <c r="Y640" s="607"/>
      <c r="Z640" s="607"/>
      <c r="AA640" s="607"/>
      <c r="AB640" s="607"/>
      <c r="AC640" s="607"/>
      <c r="AD640" s="607"/>
      <c r="AE640" s="607"/>
      <c r="AF640" s="607"/>
      <c r="AG640" s="607"/>
      <c r="AH640" s="607"/>
      <c r="AI640" s="607"/>
      <c r="AJ640" s="607"/>
      <c r="AK640" s="607"/>
      <c r="AL640" s="606"/>
      <c r="AM640" s="606"/>
      <c r="AN640" s="606"/>
      <c r="AO640" s="606"/>
    </row>
    <row r="641" spans="1:41" ht="11.25" hidden="1" customHeight="1">
      <c r="A641" s="608"/>
      <c r="B641" s="607"/>
      <c r="C641" s="607"/>
      <c r="D641" s="607"/>
      <c r="E641" s="607"/>
      <c r="F641" s="607"/>
      <c r="G641" s="606"/>
      <c r="H641" s="606"/>
      <c r="I641" s="606"/>
      <c r="J641" s="606"/>
      <c r="K641" s="606"/>
      <c r="L641" s="606"/>
      <c r="M641" s="606"/>
      <c r="N641" s="606"/>
      <c r="O641" s="606"/>
      <c r="P641" s="606"/>
      <c r="Q641" s="606"/>
      <c r="R641" s="606"/>
      <c r="S641" s="606"/>
      <c r="T641" s="606"/>
      <c r="U641" s="606"/>
      <c r="V641" s="606"/>
      <c r="W641" s="606"/>
      <c r="X641" s="640"/>
      <c r="Y641" s="607"/>
      <c r="Z641" s="607"/>
      <c r="AA641" s="607"/>
      <c r="AB641" s="607"/>
      <c r="AC641" s="607"/>
      <c r="AD641" s="607"/>
      <c r="AE641" s="607"/>
      <c r="AF641" s="607"/>
      <c r="AG641" s="607"/>
      <c r="AH641" s="607"/>
      <c r="AI641" s="607"/>
      <c r="AJ641" s="607"/>
      <c r="AK641" s="607"/>
      <c r="AL641" s="606"/>
      <c r="AM641" s="606"/>
      <c r="AN641" s="606"/>
      <c r="AO641" s="606"/>
    </row>
    <row r="642" spans="1:41" ht="11.25" hidden="1" customHeight="1">
      <c r="A642" s="608"/>
      <c r="B642" s="607"/>
      <c r="C642" s="607"/>
      <c r="D642" s="607"/>
      <c r="E642" s="607"/>
      <c r="F642" s="607"/>
      <c r="G642" s="606"/>
      <c r="H642" s="606"/>
      <c r="I642" s="606"/>
      <c r="J642" s="606"/>
      <c r="K642" s="606"/>
      <c r="L642" s="606"/>
      <c r="M642" s="606"/>
      <c r="N642" s="606"/>
      <c r="O642" s="606"/>
      <c r="P642" s="606"/>
      <c r="Q642" s="606"/>
      <c r="R642" s="606"/>
      <c r="S642" s="606"/>
      <c r="T642" s="606"/>
      <c r="U642" s="606"/>
      <c r="V642" s="606"/>
      <c r="W642" s="606"/>
      <c r="X642" s="640"/>
      <c r="Y642" s="607"/>
      <c r="Z642" s="607"/>
      <c r="AA642" s="607"/>
      <c r="AB642" s="607"/>
      <c r="AC642" s="607"/>
      <c r="AD642" s="607"/>
      <c r="AE642" s="607"/>
      <c r="AF642" s="607"/>
      <c r="AG642" s="607"/>
      <c r="AH642" s="607"/>
      <c r="AI642" s="607"/>
      <c r="AJ642" s="607"/>
      <c r="AK642" s="607"/>
      <c r="AL642" s="606"/>
      <c r="AM642" s="606"/>
      <c r="AN642" s="606"/>
      <c r="AO642" s="606"/>
    </row>
    <row r="643" spans="1:41" ht="11.25" hidden="1" customHeight="1">
      <c r="A643" s="608"/>
      <c r="B643" s="607"/>
      <c r="C643" s="607"/>
      <c r="D643" s="607"/>
      <c r="E643" s="607"/>
      <c r="F643" s="607"/>
      <c r="G643" s="606"/>
      <c r="H643" s="606"/>
      <c r="I643" s="606"/>
      <c r="J643" s="606"/>
      <c r="K643" s="606"/>
      <c r="L643" s="606"/>
      <c r="M643" s="606"/>
      <c r="N643" s="606"/>
      <c r="O643" s="606"/>
      <c r="P643" s="606"/>
      <c r="Q643" s="606"/>
      <c r="R643" s="606"/>
      <c r="S643" s="606"/>
      <c r="T643" s="606"/>
      <c r="U643" s="606"/>
      <c r="V643" s="606"/>
      <c r="W643" s="606"/>
      <c r="X643" s="640"/>
      <c r="Y643" s="607"/>
      <c r="Z643" s="607"/>
      <c r="AA643" s="607"/>
      <c r="AB643" s="607"/>
      <c r="AC643" s="607"/>
      <c r="AD643" s="607"/>
      <c r="AE643" s="607"/>
      <c r="AF643" s="607"/>
      <c r="AG643" s="607"/>
      <c r="AH643" s="607"/>
      <c r="AI643" s="607"/>
      <c r="AJ643" s="607"/>
      <c r="AK643" s="607"/>
      <c r="AL643" s="606"/>
      <c r="AM643" s="606"/>
      <c r="AN643" s="606"/>
      <c r="AO643" s="606"/>
    </row>
    <row r="644" spans="1:41" ht="11.25" hidden="1" customHeight="1">
      <c r="A644" s="608"/>
      <c r="B644" s="607"/>
      <c r="C644" s="607"/>
      <c r="D644" s="607"/>
      <c r="E644" s="607"/>
      <c r="F644" s="607"/>
      <c r="G644" s="606"/>
      <c r="H644" s="606"/>
      <c r="I644" s="606"/>
      <c r="J644" s="606"/>
      <c r="K644" s="606"/>
      <c r="L644" s="606"/>
      <c r="M644" s="606"/>
      <c r="N644" s="606"/>
      <c r="O644" s="606"/>
      <c r="P644" s="606"/>
      <c r="Q644" s="606"/>
      <c r="R644" s="606"/>
      <c r="S644" s="606"/>
      <c r="T644" s="606"/>
      <c r="U644" s="606"/>
      <c r="V644" s="606"/>
      <c r="W644" s="606"/>
      <c r="X644" s="640"/>
      <c r="Y644" s="607"/>
      <c r="Z644" s="607"/>
      <c r="AA644" s="607"/>
      <c r="AB644" s="607"/>
      <c r="AC644" s="607"/>
      <c r="AD644" s="607"/>
      <c r="AE644" s="607"/>
      <c r="AF644" s="607"/>
      <c r="AG644" s="607"/>
      <c r="AH644" s="607"/>
      <c r="AI644" s="607"/>
      <c r="AJ644" s="607"/>
      <c r="AK644" s="607"/>
      <c r="AL644" s="606"/>
      <c r="AM644" s="606"/>
      <c r="AN644" s="606"/>
      <c r="AO644" s="606"/>
    </row>
    <row r="645" spans="1:41" ht="11.25" hidden="1" customHeight="1">
      <c r="A645" s="608"/>
      <c r="B645" s="607"/>
      <c r="C645" s="607"/>
      <c r="D645" s="607"/>
      <c r="E645" s="607"/>
      <c r="F645" s="607"/>
      <c r="G645" s="606"/>
      <c r="H645" s="606"/>
      <c r="I645" s="606"/>
      <c r="J645" s="606"/>
      <c r="K645" s="606"/>
      <c r="L645" s="606"/>
      <c r="M645" s="606"/>
      <c r="N645" s="606"/>
      <c r="O645" s="606"/>
      <c r="P645" s="606"/>
      <c r="Q645" s="606"/>
      <c r="R645" s="606"/>
      <c r="S645" s="606"/>
      <c r="T645" s="606"/>
      <c r="U645" s="606"/>
      <c r="V645" s="606"/>
      <c r="W645" s="606"/>
      <c r="X645" s="640"/>
      <c r="Y645" s="607"/>
      <c r="Z645" s="607"/>
      <c r="AA645" s="607"/>
      <c r="AB645" s="607"/>
      <c r="AC645" s="607"/>
      <c r="AD645" s="607"/>
      <c r="AE645" s="607"/>
      <c r="AF645" s="607"/>
      <c r="AG645" s="607"/>
      <c r="AH645" s="607"/>
      <c r="AI645" s="607"/>
      <c r="AJ645" s="607"/>
      <c r="AK645" s="607"/>
      <c r="AL645" s="606"/>
      <c r="AM645" s="606"/>
      <c r="AN645" s="606"/>
      <c r="AO645" s="606"/>
    </row>
    <row r="646" spans="1:41" ht="11.25" hidden="1" customHeight="1">
      <c r="A646" s="608"/>
      <c r="B646" s="607"/>
      <c r="C646" s="607"/>
      <c r="D646" s="607"/>
      <c r="E646" s="607"/>
      <c r="F646" s="607"/>
      <c r="G646" s="606"/>
      <c r="H646" s="606"/>
      <c r="I646" s="606"/>
      <c r="J646" s="606"/>
      <c r="K646" s="606"/>
      <c r="L646" s="606"/>
      <c r="M646" s="606"/>
      <c r="N646" s="606"/>
      <c r="O646" s="606"/>
      <c r="P646" s="606"/>
      <c r="Q646" s="606"/>
      <c r="R646" s="606"/>
      <c r="S646" s="606"/>
      <c r="T646" s="606"/>
      <c r="U646" s="606"/>
      <c r="V646" s="606"/>
      <c r="W646" s="606"/>
      <c r="X646" s="640"/>
      <c r="Y646" s="607"/>
      <c r="Z646" s="607"/>
      <c r="AA646" s="607"/>
      <c r="AB646" s="607"/>
      <c r="AC646" s="607"/>
      <c r="AD646" s="607"/>
      <c r="AE646" s="607"/>
      <c r="AF646" s="607"/>
      <c r="AG646" s="607"/>
      <c r="AH646" s="607"/>
      <c r="AI646" s="607"/>
      <c r="AJ646" s="607"/>
      <c r="AK646" s="607"/>
      <c r="AL646" s="606"/>
      <c r="AM646" s="606"/>
      <c r="AN646" s="606"/>
      <c r="AO646" s="606"/>
    </row>
    <row r="647" spans="1:41" ht="11.25" hidden="1" customHeight="1">
      <c r="A647" s="608"/>
      <c r="B647" s="607"/>
      <c r="C647" s="607"/>
      <c r="D647" s="607"/>
      <c r="E647" s="607"/>
      <c r="F647" s="607"/>
      <c r="G647" s="606"/>
      <c r="H647" s="606"/>
      <c r="I647" s="606"/>
      <c r="J647" s="606"/>
      <c r="K647" s="606"/>
      <c r="L647" s="606"/>
      <c r="M647" s="606"/>
      <c r="N647" s="606"/>
      <c r="O647" s="606"/>
      <c r="P647" s="606"/>
      <c r="Q647" s="606"/>
      <c r="R647" s="606"/>
      <c r="S647" s="606"/>
      <c r="T647" s="606"/>
      <c r="U647" s="606"/>
      <c r="V647" s="606"/>
      <c r="W647" s="606"/>
      <c r="X647" s="640"/>
      <c r="Y647" s="607"/>
      <c r="Z647" s="607"/>
      <c r="AA647" s="607"/>
      <c r="AB647" s="607"/>
      <c r="AC647" s="607"/>
      <c r="AD647" s="607"/>
      <c r="AE647" s="607"/>
      <c r="AF647" s="607"/>
      <c r="AG647" s="607"/>
      <c r="AH647" s="607"/>
      <c r="AI647" s="607"/>
      <c r="AJ647" s="607"/>
      <c r="AK647" s="607"/>
      <c r="AL647" s="606"/>
      <c r="AM647" s="606"/>
      <c r="AN647" s="606"/>
      <c r="AO647" s="606"/>
    </row>
    <row r="648" spans="1:41" ht="11.25" hidden="1" customHeight="1">
      <c r="A648" s="608"/>
      <c r="B648" s="607"/>
      <c r="C648" s="607"/>
      <c r="D648" s="607"/>
      <c r="E648" s="607"/>
      <c r="F648" s="607"/>
      <c r="G648" s="606"/>
      <c r="H648" s="606"/>
      <c r="I648" s="606"/>
      <c r="J648" s="606"/>
      <c r="K648" s="606"/>
      <c r="L648" s="606"/>
      <c r="M648" s="606"/>
      <c r="N648" s="606"/>
      <c r="O648" s="606"/>
      <c r="P648" s="606"/>
      <c r="Q648" s="606"/>
      <c r="R648" s="606"/>
      <c r="S648" s="606"/>
      <c r="T648" s="606"/>
      <c r="U648" s="606"/>
      <c r="V648" s="606"/>
      <c r="W648" s="606"/>
      <c r="X648" s="640"/>
      <c r="Y648" s="607"/>
      <c r="Z648" s="607"/>
      <c r="AA648" s="607"/>
      <c r="AB648" s="607"/>
      <c r="AC648" s="607"/>
      <c r="AD648" s="607"/>
      <c r="AE648" s="607"/>
      <c r="AF648" s="607"/>
      <c r="AG648" s="607"/>
      <c r="AH648" s="607"/>
      <c r="AI648" s="607"/>
      <c r="AJ648" s="607"/>
      <c r="AK648" s="607"/>
      <c r="AL648" s="606"/>
      <c r="AM648" s="606"/>
      <c r="AN648" s="606"/>
      <c r="AO648" s="606"/>
    </row>
    <row r="649" spans="1:41" ht="11.25" hidden="1" customHeight="1">
      <c r="A649" s="608"/>
      <c r="B649" s="607"/>
      <c r="C649" s="607"/>
      <c r="D649" s="607"/>
      <c r="E649" s="607"/>
      <c r="F649" s="607"/>
      <c r="G649" s="606"/>
      <c r="H649" s="606"/>
      <c r="I649" s="606"/>
      <c r="J649" s="606"/>
      <c r="K649" s="606"/>
      <c r="L649" s="606"/>
      <c r="M649" s="606"/>
      <c r="N649" s="606"/>
      <c r="O649" s="606"/>
      <c r="P649" s="606"/>
      <c r="Q649" s="606"/>
      <c r="R649" s="606"/>
      <c r="S649" s="606"/>
      <c r="T649" s="606"/>
      <c r="U649" s="606"/>
      <c r="V649" s="606"/>
      <c r="W649" s="606"/>
      <c r="X649" s="640"/>
      <c r="Y649" s="607"/>
      <c r="Z649" s="607"/>
      <c r="AA649" s="607"/>
      <c r="AB649" s="607"/>
      <c r="AC649" s="607"/>
      <c r="AD649" s="607"/>
      <c r="AE649" s="607"/>
      <c r="AF649" s="607"/>
      <c r="AG649" s="607"/>
      <c r="AH649" s="607"/>
      <c r="AI649" s="607"/>
      <c r="AJ649" s="607"/>
      <c r="AK649" s="607"/>
      <c r="AL649" s="606"/>
      <c r="AM649" s="606"/>
      <c r="AN649" s="606"/>
      <c r="AO649" s="606"/>
    </row>
    <row r="650" spans="1:41" ht="11.25" hidden="1" customHeight="1">
      <c r="A650" s="608"/>
      <c r="B650" s="607"/>
      <c r="C650" s="607"/>
      <c r="D650" s="607"/>
      <c r="E650" s="607"/>
      <c r="F650" s="607"/>
      <c r="G650" s="606"/>
      <c r="H650" s="606"/>
      <c r="I650" s="606"/>
      <c r="J650" s="606"/>
      <c r="K650" s="606"/>
      <c r="L650" s="606"/>
      <c r="M650" s="606"/>
      <c r="N650" s="606"/>
      <c r="O650" s="606"/>
      <c r="P650" s="606"/>
      <c r="Q650" s="606"/>
      <c r="R650" s="606"/>
      <c r="S650" s="606"/>
      <c r="T650" s="606"/>
      <c r="U650" s="606"/>
      <c r="V650" s="606"/>
      <c r="W650" s="606"/>
      <c r="X650" s="640"/>
      <c r="Y650" s="607"/>
      <c r="Z650" s="607"/>
      <c r="AA650" s="607"/>
      <c r="AB650" s="607"/>
      <c r="AC650" s="607"/>
      <c r="AD650" s="607"/>
      <c r="AE650" s="607"/>
      <c r="AF650" s="607"/>
      <c r="AG650" s="607"/>
      <c r="AH650" s="607"/>
      <c r="AI650" s="607"/>
      <c r="AJ650" s="607"/>
      <c r="AK650" s="607"/>
      <c r="AL650" s="606"/>
      <c r="AM650" s="606"/>
      <c r="AN650" s="606"/>
      <c r="AO650" s="606"/>
    </row>
    <row r="651" spans="1:41" ht="11.25" hidden="1" customHeight="1">
      <c r="A651" s="608"/>
      <c r="B651" s="607"/>
      <c r="C651" s="607"/>
      <c r="D651" s="607"/>
      <c r="E651" s="607"/>
      <c r="F651" s="607"/>
      <c r="G651" s="606"/>
      <c r="H651" s="606"/>
      <c r="I651" s="606"/>
      <c r="J651" s="606"/>
      <c r="K651" s="606"/>
      <c r="L651" s="606"/>
      <c r="M651" s="606"/>
      <c r="N651" s="606"/>
      <c r="O651" s="606"/>
      <c r="P651" s="606"/>
      <c r="Q651" s="606"/>
      <c r="R651" s="606"/>
      <c r="S651" s="606"/>
      <c r="T651" s="606"/>
      <c r="U651" s="606"/>
      <c r="V651" s="606"/>
      <c r="W651" s="606"/>
      <c r="X651" s="640"/>
      <c r="Y651" s="607"/>
      <c r="Z651" s="607"/>
      <c r="AA651" s="607"/>
      <c r="AB651" s="607"/>
      <c r="AC651" s="607"/>
      <c r="AD651" s="607"/>
      <c r="AE651" s="607"/>
      <c r="AF651" s="607"/>
      <c r="AG651" s="607"/>
      <c r="AH651" s="607"/>
      <c r="AI651" s="607"/>
      <c r="AJ651" s="607"/>
      <c r="AK651" s="607"/>
      <c r="AL651" s="606"/>
      <c r="AM651" s="606"/>
      <c r="AN651" s="606"/>
      <c r="AO651" s="606"/>
    </row>
    <row r="652" spans="1:41" ht="11.25" hidden="1" customHeight="1">
      <c r="A652" s="608"/>
      <c r="B652" s="607"/>
      <c r="C652" s="607"/>
      <c r="D652" s="607"/>
      <c r="E652" s="607"/>
      <c r="F652" s="607"/>
      <c r="G652" s="606"/>
      <c r="H652" s="606"/>
      <c r="I652" s="606"/>
      <c r="J652" s="606"/>
      <c r="K652" s="606"/>
      <c r="L652" s="606"/>
      <c r="M652" s="606"/>
      <c r="N652" s="606"/>
      <c r="O652" s="606"/>
      <c r="P652" s="606"/>
      <c r="Q652" s="606"/>
      <c r="R652" s="606"/>
      <c r="S652" s="606"/>
      <c r="T652" s="606"/>
      <c r="U652" s="606"/>
      <c r="V652" s="606"/>
      <c r="W652" s="606"/>
      <c r="X652" s="640"/>
      <c r="Y652" s="607"/>
      <c r="Z652" s="607"/>
      <c r="AA652" s="607"/>
      <c r="AB652" s="607"/>
      <c r="AC652" s="607"/>
      <c r="AD652" s="607"/>
      <c r="AE652" s="607"/>
      <c r="AF652" s="607"/>
      <c r="AG652" s="607"/>
      <c r="AH652" s="607"/>
      <c r="AI652" s="607"/>
      <c r="AJ652" s="607"/>
      <c r="AK652" s="607"/>
      <c r="AL652" s="606"/>
      <c r="AM652" s="606"/>
      <c r="AN652" s="606"/>
      <c r="AO652" s="606"/>
    </row>
    <row r="653" spans="1:41" ht="11.25" hidden="1" customHeight="1">
      <c r="A653" s="608"/>
      <c r="B653" s="607"/>
      <c r="C653" s="607"/>
      <c r="D653" s="607"/>
      <c r="E653" s="607"/>
      <c r="F653" s="607"/>
      <c r="G653" s="606"/>
      <c r="H653" s="606"/>
      <c r="I653" s="606"/>
      <c r="J653" s="606"/>
      <c r="K653" s="606"/>
      <c r="L653" s="606"/>
      <c r="M653" s="606"/>
      <c r="N653" s="606"/>
      <c r="O653" s="606"/>
      <c r="P653" s="606"/>
      <c r="Q653" s="606"/>
      <c r="R653" s="606"/>
      <c r="S653" s="606"/>
      <c r="T653" s="606"/>
      <c r="U653" s="606"/>
      <c r="V653" s="606"/>
      <c r="W653" s="606"/>
      <c r="X653" s="640"/>
      <c r="Y653" s="607"/>
      <c r="Z653" s="607"/>
      <c r="AA653" s="607"/>
      <c r="AB653" s="607"/>
      <c r="AC653" s="607"/>
      <c r="AD653" s="607"/>
      <c r="AE653" s="607"/>
      <c r="AF653" s="607"/>
      <c r="AG653" s="607"/>
      <c r="AH653" s="607"/>
      <c r="AI653" s="607"/>
      <c r="AJ653" s="607"/>
      <c r="AK653" s="607"/>
      <c r="AL653" s="606"/>
      <c r="AM653" s="606"/>
      <c r="AN653" s="606"/>
      <c r="AO653" s="606"/>
    </row>
    <row r="654" spans="1:41" ht="11.25" hidden="1" customHeight="1">
      <c r="A654" s="608"/>
      <c r="B654" s="607"/>
      <c r="C654" s="607"/>
      <c r="D654" s="607"/>
      <c r="E654" s="607"/>
      <c r="F654" s="607"/>
      <c r="G654" s="606"/>
      <c r="H654" s="606"/>
      <c r="I654" s="606"/>
      <c r="J654" s="606"/>
      <c r="K654" s="606"/>
      <c r="L654" s="606"/>
      <c r="M654" s="606"/>
      <c r="N654" s="606"/>
      <c r="O654" s="606"/>
      <c r="P654" s="606"/>
      <c r="Q654" s="606"/>
      <c r="R654" s="606"/>
      <c r="S654" s="606"/>
      <c r="T654" s="606"/>
      <c r="U654" s="606"/>
      <c r="V654" s="606"/>
      <c r="W654" s="606"/>
      <c r="X654" s="640"/>
      <c r="Y654" s="607"/>
      <c r="Z654" s="607"/>
      <c r="AA654" s="607"/>
      <c r="AB654" s="607"/>
      <c r="AC654" s="607"/>
      <c r="AD654" s="607"/>
      <c r="AE654" s="607"/>
      <c r="AF654" s="607"/>
      <c r="AG654" s="607"/>
      <c r="AH654" s="607"/>
      <c r="AI654" s="607"/>
      <c r="AJ654" s="607"/>
      <c r="AK654" s="607"/>
      <c r="AL654" s="606"/>
      <c r="AM654" s="606"/>
      <c r="AN654" s="606"/>
      <c r="AO654" s="606"/>
    </row>
    <row r="655" spans="1:41" ht="11.25" hidden="1" customHeight="1">
      <c r="A655" s="608"/>
      <c r="B655" s="607"/>
      <c r="C655" s="607"/>
      <c r="D655" s="607"/>
      <c r="E655" s="607"/>
      <c r="F655" s="607"/>
      <c r="G655" s="606"/>
      <c r="H655" s="606"/>
      <c r="I655" s="606"/>
      <c r="J655" s="606"/>
      <c r="K655" s="606"/>
      <c r="L655" s="606"/>
      <c r="M655" s="606"/>
      <c r="N655" s="606"/>
      <c r="O655" s="606"/>
      <c r="P655" s="606"/>
      <c r="Q655" s="606"/>
      <c r="R655" s="606"/>
      <c r="S655" s="606"/>
      <c r="T655" s="606"/>
      <c r="U655" s="606"/>
      <c r="V655" s="606"/>
      <c r="W655" s="606"/>
      <c r="X655" s="640"/>
      <c r="Y655" s="607"/>
      <c r="Z655" s="607"/>
      <c r="AA655" s="607"/>
      <c r="AB655" s="607"/>
      <c r="AC655" s="607"/>
      <c r="AD655" s="607"/>
      <c r="AE655" s="607"/>
      <c r="AF655" s="607"/>
      <c r="AG655" s="607"/>
      <c r="AH655" s="607"/>
      <c r="AI655" s="607"/>
      <c r="AJ655" s="607"/>
      <c r="AK655" s="607"/>
      <c r="AL655" s="606"/>
      <c r="AM655" s="606"/>
      <c r="AN655" s="606"/>
      <c r="AO655" s="606"/>
    </row>
    <row r="656" spans="1:41" ht="11.25" hidden="1" customHeight="1">
      <c r="A656" s="608"/>
      <c r="B656" s="607"/>
      <c r="C656" s="607"/>
      <c r="D656" s="607"/>
      <c r="E656" s="607"/>
      <c r="F656" s="607"/>
      <c r="G656" s="606"/>
      <c r="H656" s="606"/>
      <c r="I656" s="606"/>
      <c r="J656" s="606"/>
      <c r="K656" s="606"/>
      <c r="L656" s="606"/>
      <c r="M656" s="606"/>
      <c r="N656" s="606"/>
      <c r="O656" s="606"/>
      <c r="P656" s="606"/>
      <c r="Q656" s="606"/>
      <c r="R656" s="606"/>
      <c r="S656" s="606"/>
      <c r="T656" s="606"/>
      <c r="U656" s="606"/>
      <c r="V656" s="606"/>
      <c r="W656" s="606"/>
      <c r="X656" s="640"/>
      <c r="Y656" s="607"/>
      <c r="Z656" s="607"/>
      <c r="AA656" s="607"/>
      <c r="AB656" s="607"/>
      <c r="AC656" s="607"/>
      <c r="AD656" s="607"/>
      <c r="AE656" s="607"/>
      <c r="AF656" s="607"/>
      <c r="AG656" s="607"/>
      <c r="AH656" s="607"/>
      <c r="AI656" s="607"/>
      <c r="AJ656" s="607"/>
      <c r="AK656" s="607"/>
      <c r="AL656" s="606"/>
      <c r="AM656" s="606"/>
      <c r="AN656" s="606"/>
      <c r="AO656" s="606"/>
    </row>
    <row r="657" spans="1:41" ht="11.25" hidden="1" customHeight="1">
      <c r="A657" s="608"/>
      <c r="B657" s="607"/>
      <c r="C657" s="607"/>
      <c r="D657" s="607"/>
      <c r="E657" s="607"/>
      <c r="F657" s="607"/>
      <c r="G657" s="606"/>
      <c r="H657" s="606"/>
      <c r="I657" s="606"/>
      <c r="J657" s="606"/>
      <c r="K657" s="606"/>
      <c r="L657" s="606"/>
      <c r="M657" s="606"/>
      <c r="N657" s="606"/>
      <c r="O657" s="606"/>
      <c r="P657" s="606"/>
      <c r="Q657" s="606"/>
      <c r="R657" s="606"/>
      <c r="S657" s="606"/>
      <c r="T657" s="606"/>
      <c r="U657" s="606"/>
      <c r="V657" s="606"/>
      <c r="W657" s="606"/>
      <c r="X657" s="640"/>
      <c r="Y657" s="607"/>
      <c r="Z657" s="607"/>
      <c r="AA657" s="607"/>
      <c r="AB657" s="607"/>
      <c r="AC657" s="607"/>
      <c r="AD657" s="607"/>
      <c r="AE657" s="607"/>
      <c r="AF657" s="607"/>
      <c r="AG657" s="607"/>
      <c r="AH657" s="607"/>
      <c r="AI657" s="607"/>
      <c r="AJ657" s="607"/>
      <c r="AK657" s="607"/>
      <c r="AL657" s="606"/>
      <c r="AM657" s="606"/>
      <c r="AN657" s="606"/>
      <c r="AO657" s="606"/>
    </row>
    <row r="658" spans="1:41" ht="11.25" hidden="1" customHeight="1">
      <c r="A658" s="608"/>
      <c r="B658" s="607"/>
      <c r="C658" s="607"/>
      <c r="D658" s="607"/>
      <c r="E658" s="607"/>
      <c r="F658" s="607"/>
      <c r="G658" s="606"/>
      <c r="H658" s="606"/>
      <c r="I658" s="606"/>
      <c r="J658" s="606"/>
      <c r="K658" s="606"/>
      <c r="L658" s="606"/>
      <c r="M658" s="606"/>
      <c r="N658" s="606"/>
      <c r="O658" s="606"/>
      <c r="P658" s="606"/>
      <c r="Q658" s="606"/>
      <c r="R658" s="606"/>
      <c r="S658" s="606"/>
      <c r="T658" s="606"/>
      <c r="U658" s="606"/>
      <c r="V658" s="606"/>
      <c r="W658" s="606"/>
      <c r="X658" s="640"/>
      <c r="Y658" s="607"/>
      <c r="Z658" s="607"/>
      <c r="AA658" s="607"/>
      <c r="AB658" s="607"/>
      <c r="AC658" s="607"/>
      <c r="AD658" s="607"/>
      <c r="AE658" s="607"/>
      <c r="AF658" s="607"/>
      <c r="AG658" s="607"/>
      <c r="AH658" s="607"/>
      <c r="AI658" s="607"/>
      <c r="AJ658" s="607"/>
      <c r="AK658" s="607"/>
      <c r="AL658" s="606"/>
      <c r="AM658" s="606"/>
      <c r="AN658" s="606"/>
      <c r="AO658" s="606"/>
    </row>
    <row r="659" spans="1:41" ht="11.25" hidden="1" customHeight="1">
      <c r="A659" s="608"/>
      <c r="B659" s="607"/>
      <c r="C659" s="607"/>
      <c r="D659" s="607"/>
      <c r="E659" s="607"/>
      <c r="F659" s="607"/>
      <c r="G659" s="606"/>
      <c r="H659" s="606"/>
      <c r="I659" s="606"/>
      <c r="J659" s="606"/>
      <c r="K659" s="606"/>
      <c r="L659" s="606"/>
      <c r="M659" s="606"/>
      <c r="N659" s="606"/>
      <c r="O659" s="606"/>
      <c r="P659" s="606"/>
      <c r="Q659" s="606"/>
      <c r="R659" s="606"/>
      <c r="S659" s="606"/>
      <c r="T659" s="606"/>
      <c r="U659" s="606"/>
      <c r="V659" s="606"/>
      <c r="W659" s="606"/>
      <c r="X659" s="640"/>
      <c r="Y659" s="607"/>
      <c r="Z659" s="607"/>
      <c r="AA659" s="607"/>
      <c r="AB659" s="607"/>
      <c r="AC659" s="607"/>
      <c r="AD659" s="607"/>
      <c r="AE659" s="607"/>
      <c r="AF659" s="607"/>
      <c r="AG659" s="607"/>
      <c r="AH659" s="607"/>
      <c r="AI659" s="607"/>
      <c r="AJ659" s="607"/>
      <c r="AK659" s="607"/>
      <c r="AL659" s="606"/>
      <c r="AM659" s="606"/>
      <c r="AN659" s="606"/>
      <c r="AO659" s="606"/>
    </row>
    <row r="660" spans="1:41" ht="11.25" hidden="1" customHeight="1">
      <c r="A660" s="608"/>
      <c r="B660" s="607"/>
      <c r="C660" s="607"/>
      <c r="D660" s="607"/>
      <c r="E660" s="607"/>
      <c r="F660" s="607"/>
      <c r="G660" s="606"/>
      <c r="H660" s="606"/>
      <c r="I660" s="606"/>
      <c r="J660" s="606"/>
      <c r="K660" s="606"/>
      <c r="L660" s="606"/>
      <c r="M660" s="606"/>
      <c r="N660" s="606"/>
      <c r="O660" s="606"/>
      <c r="P660" s="606"/>
      <c r="Q660" s="606"/>
      <c r="R660" s="606"/>
      <c r="S660" s="606"/>
      <c r="T660" s="606"/>
      <c r="U660" s="606"/>
      <c r="V660" s="606"/>
      <c r="W660" s="606"/>
      <c r="X660" s="640"/>
      <c r="Y660" s="607"/>
      <c r="Z660" s="607"/>
      <c r="AA660" s="607"/>
      <c r="AB660" s="607"/>
      <c r="AC660" s="607"/>
      <c r="AD660" s="607"/>
      <c r="AE660" s="607"/>
      <c r="AF660" s="607"/>
      <c r="AG660" s="607"/>
      <c r="AH660" s="607"/>
      <c r="AI660" s="607"/>
      <c r="AJ660" s="607"/>
      <c r="AK660" s="607"/>
      <c r="AL660" s="606"/>
      <c r="AM660" s="606"/>
      <c r="AN660" s="606"/>
      <c r="AO660" s="606"/>
    </row>
    <row r="661" spans="1:41" ht="11.25" hidden="1" customHeight="1">
      <c r="A661" s="608"/>
      <c r="B661" s="607"/>
      <c r="C661" s="607"/>
      <c r="D661" s="607"/>
      <c r="E661" s="607"/>
      <c r="F661" s="607"/>
      <c r="G661" s="606"/>
      <c r="H661" s="606"/>
      <c r="I661" s="606"/>
      <c r="J661" s="606"/>
      <c r="K661" s="606"/>
      <c r="L661" s="606"/>
      <c r="M661" s="606"/>
      <c r="N661" s="606"/>
      <c r="O661" s="606"/>
      <c r="P661" s="606"/>
      <c r="Q661" s="606"/>
      <c r="R661" s="606"/>
      <c r="S661" s="606"/>
      <c r="T661" s="606"/>
      <c r="U661" s="606"/>
      <c r="V661" s="606"/>
      <c r="W661" s="606"/>
      <c r="X661" s="640"/>
      <c r="Y661" s="607"/>
      <c r="Z661" s="607"/>
      <c r="AA661" s="607"/>
      <c r="AB661" s="607"/>
      <c r="AC661" s="607"/>
      <c r="AD661" s="607"/>
      <c r="AE661" s="607"/>
      <c r="AF661" s="607"/>
      <c r="AG661" s="607"/>
      <c r="AH661" s="607"/>
      <c r="AI661" s="607"/>
      <c r="AJ661" s="607"/>
      <c r="AK661" s="607"/>
      <c r="AL661" s="606"/>
      <c r="AM661" s="606"/>
      <c r="AN661" s="606"/>
      <c r="AO661" s="606"/>
    </row>
    <row r="662" spans="1:41" ht="11.25" hidden="1" customHeight="1">
      <c r="A662" s="608"/>
      <c r="B662" s="607"/>
      <c r="C662" s="607"/>
      <c r="D662" s="607"/>
      <c r="E662" s="607"/>
      <c r="F662" s="607"/>
      <c r="G662" s="606"/>
      <c r="H662" s="606"/>
      <c r="I662" s="606"/>
      <c r="J662" s="606"/>
      <c r="K662" s="606"/>
      <c r="L662" s="606"/>
      <c r="M662" s="606"/>
      <c r="N662" s="606"/>
      <c r="O662" s="606"/>
      <c r="P662" s="606"/>
      <c r="Q662" s="606"/>
      <c r="R662" s="606"/>
      <c r="S662" s="606"/>
      <c r="T662" s="606"/>
      <c r="U662" s="606"/>
      <c r="V662" s="606"/>
      <c r="W662" s="606"/>
      <c r="X662" s="640"/>
      <c r="Y662" s="607"/>
      <c r="Z662" s="607"/>
      <c r="AA662" s="607"/>
      <c r="AB662" s="607"/>
      <c r="AC662" s="607"/>
      <c r="AD662" s="607"/>
      <c r="AE662" s="607"/>
      <c r="AF662" s="607"/>
      <c r="AG662" s="607"/>
      <c r="AH662" s="607"/>
      <c r="AI662" s="607"/>
      <c r="AJ662" s="607"/>
      <c r="AK662" s="607"/>
      <c r="AL662" s="606"/>
      <c r="AM662" s="606"/>
      <c r="AN662" s="606"/>
      <c r="AO662" s="606"/>
    </row>
    <row r="663" spans="1:41" ht="11.25" hidden="1" customHeight="1">
      <c r="A663" s="608"/>
      <c r="B663" s="607"/>
      <c r="C663" s="607"/>
      <c r="D663" s="607"/>
      <c r="E663" s="607"/>
      <c r="F663" s="607"/>
      <c r="G663" s="606"/>
      <c r="H663" s="606"/>
      <c r="I663" s="606"/>
      <c r="J663" s="606"/>
      <c r="K663" s="606"/>
      <c r="L663" s="606"/>
      <c r="M663" s="606"/>
      <c r="N663" s="606"/>
      <c r="O663" s="606"/>
      <c r="P663" s="606"/>
      <c r="Q663" s="606"/>
      <c r="R663" s="606"/>
      <c r="S663" s="606"/>
      <c r="T663" s="606"/>
      <c r="U663" s="606"/>
      <c r="V663" s="606"/>
      <c r="W663" s="606"/>
      <c r="X663" s="640"/>
      <c r="Y663" s="607"/>
      <c r="Z663" s="607"/>
      <c r="AA663" s="607"/>
      <c r="AB663" s="607"/>
      <c r="AC663" s="607"/>
      <c r="AD663" s="607"/>
      <c r="AE663" s="607"/>
      <c r="AF663" s="607"/>
      <c r="AG663" s="607"/>
      <c r="AH663" s="607"/>
      <c r="AI663" s="607"/>
      <c r="AJ663" s="607"/>
      <c r="AK663" s="607"/>
      <c r="AL663" s="606"/>
      <c r="AM663" s="606"/>
      <c r="AN663" s="606"/>
      <c r="AO663" s="606"/>
    </row>
    <row r="664" spans="1:41" ht="11.25" hidden="1" customHeight="1">
      <c r="A664" s="608"/>
      <c r="B664" s="607"/>
      <c r="C664" s="607"/>
      <c r="D664" s="607"/>
      <c r="E664" s="607"/>
      <c r="F664" s="607"/>
      <c r="G664" s="606"/>
      <c r="H664" s="606"/>
      <c r="I664" s="606"/>
      <c r="J664" s="606"/>
      <c r="K664" s="606"/>
      <c r="L664" s="606"/>
      <c r="M664" s="606"/>
      <c r="N664" s="606"/>
      <c r="O664" s="606"/>
      <c r="P664" s="606"/>
      <c r="Q664" s="606"/>
      <c r="R664" s="606"/>
      <c r="S664" s="606"/>
      <c r="T664" s="606"/>
      <c r="U664" s="606"/>
      <c r="V664" s="606"/>
      <c r="W664" s="606"/>
      <c r="X664" s="640"/>
      <c r="Y664" s="607"/>
      <c r="Z664" s="607"/>
      <c r="AA664" s="607"/>
      <c r="AB664" s="607"/>
      <c r="AC664" s="607"/>
      <c r="AD664" s="607"/>
      <c r="AE664" s="607"/>
      <c r="AF664" s="607"/>
      <c r="AG664" s="607"/>
      <c r="AH664" s="607"/>
      <c r="AI664" s="607"/>
      <c r="AJ664" s="607"/>
      <c r="AK664" s="607"/>
      <c r="AL664" s="606"/>
      <c r="AM664" s="606"/>
      <c r="AN664" s="606"/>
      <c r="AO664" s="606"/>
    </row>
    <row r="665" spans="1:41" ht="11.25" hidden="1" customHeight="1">
      <c r="A665" s="608"/>
      <c r="B665" s="607"/>
      <c r="C665" s="607"/>
      <c r="D665" s="607"/>
      <c r="E665" s="607"/>
      <c r="F665" s="607"/>
      <c r="G665" s="606"/>
      <c r="H665" s="606"/>
      <c r="I665" s="606"/>
      <c r="J665" s="606"/>
      <c r="K665" s="606"/>
      <c r="L665" s="606"/>
      <c r="M665" s="606"/>
      <c r="N665" s="606"/>
      <c r="O665" s="606"/>
      <c r="P665" s="606"/>
      <c r="Q665" s="606"/>
      <c r="R665" s="606"/>
      <c r="S665" s="606"/>
      <c r="T665" s="606"/>
      <c r="U665" s="606"/>
      <c r="V665" s="606"/>
      <c r="W665" s="606"/>
      <c r="X665" s="640"/>
      <c r="Y665" s="607"/>
      <c r="Z665" s="607"/>
      <c r="AA665" s="607"/>
      <c r="AB665" s="607"/>
      <c r="AC665" s="607"/>
      <c r="AD665" s="607"/>
      <c r="AE665" s="607"/>
      <c r="AF665" s="607"/>
      <c r="AG665" s="607"/>
      <c r="AH665" s="607"/>
      <c r="AI665" s="607"/>
      <c r="AJ665" s="607"/>
      <c r="AK665" s="607"/>
      <c r="AL665" s="606"/>
      <c r="AM665" s="606"/>
      <c r="AN665" s="606"/>
      <c r="AO665" s="606"/>
    </row>
    <row r="666" spans="1:41" ht="11.25" hidden="1" customHeight="1">
      <c r="A666" s="608"/>
      <c r="B666" s="607"/>
      <c r="C666" s="607"/>
      <c r="D666" s="607"/>
      <c r="E666" s="607"/>
      <c r="F666" s="607"/>
      <c r="G666" s="606"/>
      <c r="H666" s="606"/>
      <c r="I666" s="606"/>
      <c r="J666" s="606"/>
      <c r="K666" s="606"/>
      <c r="L666" s="606"/>
      <c r="M666" s="606"/>
      <c r="N666" s="606"/>
      <c r="O666" s="606"/>
      <c r="P666" s="606"/>
      <c r="Q666" s="606"/>
      <c r="R666" s="606"/>
      <c r="S666" s="606"/>
      <c r="T666" s="606"/>
      <c r="U666" s="606"/>
      <c r="V666" s="606"/>
      <c r="W666" s="606"/>
      <c r="X666" s="640"/>
      <c r="Y666" s="607"/>
      <c r="Z666" s="607"/>
      <c r="AA666" s="607"/>
      <c r="AB666" s="607"/>
      <c r="AC666" s="607"/>
      <c r="AD666" s="607"/>
      <c r="AE666" s="607"/>
      <c r="AF666" s="607"/>
      <c r="AG666" s="607"/>
      <c r="AH666" s="607"/>
      <c r="AI666" s="607"/>
      <c r="AJ666" s="607"/>
      <c r="AK666" s="607"/>
      <c r="AL666" s="606"/>
      <c r="AM666" s="606"/>
      <c r="AN666" s="606"/>
      <c r="AO666" s="606"/>
    </row>
    <row r="667" spans="1:41" ht="11.25" hidden="1" customHeight="1">
      <c r="A667" s="608"/>
      <c r="B667" s="607"/>
      <c r="C667" s="607"/>
      <c r="D667" s="607"/>
      <c r="E667" s="607"/>
      <c r="F667" s="607"/>
      <c r="G667" s="606"/>
      <c r="H667" s="606"/>
      <c r="I667" s="606"/>
      <c r="J667" s="606"/>
      <c r="K667" s="606"/>
      <c r="L667" s="606"/>
      <c r="M667" s="606"/>
      <c r="N667" s="606"/>
      <c r="O667" s="606"/>
      <c r="P667" s="606"/>
      <c r="Q667" s="606"/>
      <c r="R667" s="606"/>
      <c r="S667" s="606"/>
      <c r="T667" s="606"/>
      <c r="U667" s="606"/>
      <c r="V667" s="606"/>
      <c r="W667" s="606"/>
      <c r="X667" s="640"/>
      <c r="Y667" s="607"/>
      <c r="Z667" s="607"/>
      <c r="AA667" s="607"/>
      <c r="AB667" s="607"/>
      <c r="AC667" s="607"/>
      <c r="AD667" s="607"/>
      <c r="AE667" s="607"/>
      <c r="AF667" s="607"/>
      <c r="AG667" s="607"/>
      <c r="AH667" s="607"/>
      <c r="AI667" s="607"/>
      <c r="AJ667" s="607"/>
      <c r="AK667" s="607"/>
      <c r="AL667" s="606"/>
      <c r="AM667" s="606"/>
      <c r="AN667" s="606"/>
      <c r="AO667" s="606"/>
    </row>
    <row r="668" spans="1:41" ht="11.25" hidden="1" customHeight="1">
      <c r="A668" s="608"/>
      <c r="B668" s="607"/>
      <c r="C668" s="607"/>
      <c r="D668" s="607"/>
      <c r="E668" s="607"/>
      <c r="F668" s="607"/>
      <c r="G668" s="606"/>
      <c r="H668" s="606"/>
      <c r="I668" s="606"/>
      <c r="J668" s="606"/>
      <c r="K668" s="606"/>
      <c r="L668" s="606"/>
      <c r="M668" s="606"/>
      <c r="N668" s="606"/>
      <c r="O668" s="606"/>
      <c r="P668" s="606"/>
      <c r="Q668" s="606"/>
      <c r="R668" s="606"/>
      <c r="S668" s="606"/>
      <c r="T668" s="606"/>
      <c r="U668" s="606"/>
      <c r="V668" s="606"/>
      <c r="W668" s="606"/>
      <c r="X668" s="640"/>
      <c r="Y668" s="607"/>
      <c r="Z668" s="607"/>
      <c r="AA668" s="607"/>
      <c r="AB668" s="607"/>
      <c r="AC668" s="607"/>
      <c r="AD668" s="607"/>
      <c r="AE668" s="607"/>
      <c r="AF668" s="607"/>
      <c r="AG668" s="607"/>
      <c r="AH668" s="607"/>
      <c r="AI668" s="607"/>
      <c r="AJ668" s="607"/>
      <c r="AK668" s="607"/>
      <c r="AL668" s="606"/>
      <c r="AM668" s="606"/>
      <c r="AN668" s="606"/>
      <c r="AO668" s="606"/>
    </row>
    <row r="669" spans="1:41" ht="11.25" hidden="1" customHeight="1">
      <c r="A669" s="608"/>
      <c r="B669" s="607"/>
      <c r="C669" s="607"/>
      <c r="D669" s="607"/>
      <c r="E669" s="607"/>
      <c r="F669" s="607"/>
      <c r="G669" s="606"/>
      <c r="H669" s="606"/>
      <c r="I669" s="606"/>
      <c r="J669" s="606"/>
      <c r="K669" s="606"/>
      <c r="L669" s="606"/>
      <c r="M669" s="606"/>
      <c r="N669" s="606"/>
      <c r="O669" s="606"/>
      <c r="P669" s="606"/>
      <c r="Q669" s="606"/>
      <c r="R669" s="606"/>
      <c r="S669" s="606"/>
      <c r="T669" s="606"/>
      <c r="U669" s="606"/>
      <c r="V669" s="606"/>
      <c r="W669" s="606"/>
      <c r="X669" s="640"/>
      <c r="Y669" s="607"/>
      <c r="Z669" s="607"/>
      <c r="AA669" s="607"/>
      <c r="AB669" s="607"/>
      <c r="AC669" s="607"/>
      <c r="AD669" s="607"/>
      <c r="AE669" s="607"/>
      <c r="AF669" s="607"/>
      <c r="AG669" s="607"/>
      <c r="AH669" s="607"/>
      <c r="AI669" s="607"/>
      <c r="AJ669" s="607"/>
      <c r="AK669" s="607"/>
      <c r="AL669" s="606"/>
      <c r="AM669" s="606"/>
      <c r="AN669" s="606"/>
      <c r="AO669" s="606"/>
    </row>
    <row r="670" spans="1:41" ht="11.25" hidden="1" customHeight="1">
      <c r="A670" s="608"/>
      <c r="B670" s="607"/>
      <c r="C670" s="607"/>
      <c r="D670" s="607"/>
      <c r="E670" s="607"/>
      <c r="F670" s="607"/>
      <c r="G670" s="606"/>
      <c r="H670" s="606"/>
      <c r="I670" s="606"/>
      <c r="J670" s="606"/>
      <c r="K670" s="606"/>
      <c r="L670" s="606"/>
      <c r="M670" s="606"/>
      <c r="N670" s="606"/>
      <c r="O670" s="606"/>
      <c r="P670" s="606"/>
      <c r="Q670" s="606"/>
      <c r="R670" s="606"/>
      <c r="S670" s="606"/>
      <c r="T670" s="606"/>
      <c r="U670" s="606"/>
      <c r="V670" s="606"/>
      <c r="W670" s="606"/>
      <c r="X670" s="640"/>
      <c r="Y670" s="607"/>
      <c r="Z670" s="607"/>
      <c r="AA670" s="607"/>
      <c r="AB670" s="607"/>
      <c r="AC670" s="607"/>
      <c r="AD670" s="607"/>
      <c r="AE670" s="607"/>
      <c r="AF670" s="607"/>
      <c r="AG670" s="607"/>
      <c r="AH670" s="607"/>
      <c r="AI670" s="607"/>
      <c r="AJ670" s="607"/>
      <c r="AK670" s="607"/>
      <c r="AL670" s="606"/>
      <c r="AM670" s="606"/>
      <c r="AN670" s="606"/>
      <c r="AO670" s="606"/>
    </row>
    <row r="671" spans="1:41" ht="11.25" hidden="1" customHeight="1">
      <c r="A671" s="608"/>
      <c r="B671" s="607"/>
      <c r="C671" s="607"/>
      <c r="D671" s="607"/>
      <c r="E671" s="607"/>
      <c r="F671" s="607"/>
      <c r="G671" s="606"/>
      <c r="H671" s="606"/>
      <c r="I671" s="606"/>
      <c r="J671" s="606"/>
      <c r="K671" s="606"/>
      <c r="L671" s="606"/>
      <c r="M671" s="606"/>
      <c r="N671" s="606"/>
      <c r="O671" s="606"/>
      <c r="P671" s="606"/>
      <c r="Q671" s="606"/>
      <c r="R671" s="606"/>
      <c r="S671" s="606"/>
      <c r="T671" s="606"/>
      <c r="U671" s="606"/>
      <c r="V671" s="606"/>
      <c r="W671" s="606"/>
      <c r="X671" s="640"/>
      <c r="Y671" s="607"/>
      <c r="Z671" s="607"/>
      <c r="AA671" s="607"/>
      <c r="AB671" s="607"/>
      <c r="AC671" s="607"/>
      <c r="AD671" s="607"/>
      <c r="AE671" s="607"/>
      <c r="AF671" s="607"/>
      <c r="AG671" s="607"/>
      <c r="AH671" s="607"/>
      <c r="AI671" s="607"/>
      <c r="AJ671" s="607"/>
      <c r="AK671" s="607"/>
      <c r="AL671" s="606"/>
      <c r="AM671" s="606"/>
      <c r="AN671" s="606"/>
      <c r="AO671" s="606"/>
    </row>
    <row r="672" spans="1:41" ht="11.25" hidden="1" customHeight="1">
      <c r="A672" s="608"/>
      <c r="B672" s="607"/>
      <c r="C672" s="607"/>
      <c r="D672" s="607"/>
      <c r="E672" s="607"/>
      <c r="F672" s="607"/>
      <c r="G672" s="606"/>
      <c r="H672" s="606"/>
      <c r="I672" s="606"/>
      <c r="J672" s="606"/>
      <c r="K672" s="606"/>
      <c r="L672" s="606"/>
      <c r="M672" s="606"/>
      <c r="N672" s="606"/>
      <c r="O672" s="606"/>
      <c r="P672" s="606"/>
      <c r="Q672" s="606"/>
      <c r="R672" s="606"/>
      <c r="S672" s="606"/>
      <c r="T672" s="606"/>
      <c r="U672" s="606"/>
      <c r="V672" s="606"/>
      <c r="W672" s="606"/>
      <c r="X672" s="640"/>
      <c r="Y672" s="607"/>
      <c r="Z672" s="607"/>
      <c r="AA672" s="607"/>
      <c r="AB672" s="607"/>
      <c r="AC672" s="607"/>
      <c r="AD672" s="607"/>
      <c r="AE672" s="607"/>
      <c r="AF672" s="607"/>
      <c r="AG672" s="607"/>
      <c r="AH672" s="607"/>
      <c r="AI672" s="607"/>
      <c r="AJ672" s="607"/>
      <c r="AK672" s="607"/>
      <c r="AL672" s="606"/>
      <c r="AM672" s="606"/>
      <c r="AN672" s="606"/>
      <c r="AO672" s="606"/>
    </row>
    <row r="673" spans="1:41" ht="11.25" hidden="1" customHeight="1">
      <c r="A673" s="608"/>
      <c r="B673" s="607"/>
      <c r="C673" s="607"/>
      <c r="D673" s="607"/>
      <c r="E673" s="607"/>
      <c r="F673" s="607"/>
      <c r="G673" s="606"/>
      <c r="H673" s="606"/>
      <c r="I673" s="606"/>
      <c r="J673" s="606"/>
      <c r="K673" s="606"/>
      <c r="L673" s="606"/>
      <c r="M673" s="606"/>
      <c r="N673" s="606"/>
      <c r="O673" s="606"/>
      <c r="P673" s="606"/>
      <c r="Q673" s="606"/>
      <c r="R673" s="606"/>
      <c r="S673" s="606"/>
      <c r="T673" s="606"/>
      <c r="U673" s="606"/>
      <c r="V673" s="606"/>
      <c r="W673" s="606"/>
      <c r="X673" s="640"/>
      <c r="Y673" s="607"/>
      <c r="Z673" s="607"/>
      <c r="AA673" s="607"/>
      <c r="AB673" s="607"/>
      <c r="AC673" s="607"/>
      <c r="AD673" s="607"/>
      <c r="AE673" s="607"/>
      <c r="AF673" s="607"/>
      <c r="AG673" s="607"/>
      <c r="AH673" s="607"/>
      <c r="AI673" s="607"/>
      <c r="AJ673" s="607"/>
      <c r="AK673" s="607"/>
      <c r="AL673" s="606"/>
      <c r="AM673" s="606"/>
      <c r="AN673" s="606"/>
      <c r="AO673" s="606"/>
    </row>
    <row r="674" spans="1:41" ht="11.25" hidden="1" customHeight="1">
      <c r="A674" s="608"/>
      <c r="B674" s="607"/>
      <c r="C674" s="607"/>
      <c r="D674" s="607"/>
      <c r="E674" s="607"/>
      <c r="F674" s="607"/>
      <c r="G674" s="606"/>
      <c r="H674" s="606"/>
      <c r="I674" s="606"/>
      <c r="J674" s="606"/>
      <c r="K674" s="606"/>
      <c r="L674" s="606"/>
      <c r="M674" s="606"/>
      <c r="N674" s="606"/>
      <c r="O674" s="606"/>
      <c r="P674" s="606"/>
      <c r="Q674" s="606"/>
      <c r="R674" s="606"/>
      <c r="S674" s="606"/>
      <c r="T674" s="606"/>
      <c r="U674" s="606"/>
      <c r="V674" s="606"/>
      <c r="W674" s="606"/>
      <c r="X674" s="640"/>
      <c r="Y674" s="607"/>
      <c r="Z674" s="607"/>
      <c r="AA674" s="607"/>
      <c r="AB674" s="607"/>
      <c r="AC674" s="607"/>
      <c r="AD674" s="607"/>
      <c r="AE674" s="607"/>
      <c r="AF674" s="607"/>
      <c r="AG674" s="607"/>
      <c r="AH674" s="607"/>
      <c r="AI674" s="607"/>
      <c r="AJ674" s="607"/>
      <c r="AK674" s="607"/>
      <c r="AL674" s="606"/>
      <c r="AM674" s="606"/>
      <c r="AN674" s="606"/>
      <c r="AO674" s="606"/>
    </row>
    <row r="675" spans="1:41" ht="11.25" hidden="1" customHeight="1">
      <c r="A675" s="608"/>
      <c r="B675" s="607"/>
      <c r="C675" s="607"/>
      <c r="D675" s="607"/>
      <c r="E675" s="607"/>
      <c r="F675" s="607"/>
      <c r="G675" s="606"/>
      <c r="H675" s="606"/>
      <c r="I675" s="606"/>
      <c r="J675" s="606"/>
      <c r="K675" s="606"/>
      <c r="L675" s="606"/>
      <c r="M675" s="606"/>
      <c r="N675" s="606"/>
      <c r="O675" s="606"/>
      <c r="P675" s="606"/>
      <c r="Q675" s="606"/>
      <c r="R675" s="606"/>
      <c r="S675" s="606"/>
      <c r="T675" s="606"/>
      <c r="U675" s="606"/>
      <c r="V675" s="606"/>
      <c r="W675" s="606"/>
      <c r="X675" s="640"/>
      <c r="Y675" s="607"/>
      <c r="Z675" s="607"/>
      <c r="AA675" s="607"/>
      <c r="AB675" s="607"/>
      <c r="AC675" s="607"/>
      <c r="AD675" s="607"/>
      <c r="AE675" s="607"/>
      <c r="AF675" s="607"/>
      <c r="AG675" s="607"/>
      <c r="AH675" s="607"/>
      <c r="AI675" s="607"/>
      <c r="AJ675" s="607"/>
      <c r="AK675" s="607"/>
      <c r="AL675" s="606"/>
      <c r="AM675" s="606"/>
      <c r="AN675" s="606"/>
      <c r="AO675" s="606"/>
    </row>
    <row r="676" spans="1:41" ht="11.25" hidden="1" customHeight="1">
      <c r="A676" s="608"/>
      <c r="B676" s="607"/>
      <c r="C676" s="607"/>
      <c r="D676" s="607"/>
      <c r="E676" s="607"/>
      <c r="F676" s="607"/>
      <c r="G676" s="606"/>
      <c r="H676" s="606"/>
      <c r="I676" s="606"/>
      <c r="J676" s="606"/>
      <c r="K676" s="606"/>
      <c r="L676" s="606"/>
      <c r="M676" s="606"/>
      <c r="N676" s="606"/>
      <c r="O676" s="606"/>
      <c r="P676" s="606"/>
      <c r="Q676" s="606"/>
      <c r="R676" s="606"/>
      <c r="S676" s="606"/>
      <c r="T676" s="606"/>
      <c r="U676" s="606"/>
      <c r="V676" s="606"/>
      <c r="W676" s="606"/>
      <c r="X676" s="640"/>
      <c r="Y676" s="607"/>
      <c r="Z676" s="607"/>
      <c r="AA676" s="607"/>
      <c r="AB676" s="607"/>
      <c r="AC676" s="607"/>
      <c r="AD676" s="607"/>
      <c r="AE676" s="607"/>
      <c r="AF676" s="607"/>
      <c r="AG676" s="607"/>
      <c r="AH676" s="607"/>
      <c r="AI676" s="607"/>
      <c r="AJ676" s="607"/>
      <c r="AK676" s="607"/>
      <c r="AL676" s="606"/>
      <c r="AM676" s="606"/>
      <c r="AN676" s="606"/>
      <c r="AO676" s="606"/>
    </row>
    <row r="677" spans="1:41" ht="11.25" hidden="1" customHeight="1">
      <c r="A677" s="608"/>
      <c r="B677" s="607"/>
      <c r="C677" s="607"/>
      <c r="D677" s="607"/>
      <c r="E677" s="607"/>
      <c r="F677" s="607"/>
      <c r="G677" s="606"/>
      <c r="H677" s="606"/>
      <c r="I677" s="606"/>
      <c r="J677" s="606"/>
      <c r="K677" s="606"/>
      <c r="L677" s="606"/>
      <c r="M677" s="606"/>
      <c r="N677" s="606"/>
      <c r="O677" s="606"/>
      <c r="P677" s="606"/>
      <c r="Q677" s="606"/>
      <c r="R677" s="606"/>
      <c r="S677" s="606"/>
      <c r="T677" s="606"/>
      <c r="U677" s="606"/>
      <c r="V677" s="606"/>
      <c r="W677" s="606"/>
      <c r="X677" s="640"/>
      <c r="Y677" s="607"/>
      <c r="Z677" s="607"/>
      <c r="AA677" s="607"/>
      <c r="AB677" s="607"/>
      <c r="AC677" s="607"/>
      <c r="AD677" s="607"/>
      <c r="AE677" s="607"/>
      <c r="AF677" s="607"/>
      <c r="AG677" s="607"/>
      <c r="AH677" s="607"/>
      <c r="AI677" s="607"/>
      <c r="AJ677" s="607"/>
      <c r="AK677" s="607"/>
      <c r="AL677" s="606"/>
      <c r="AM677" s="606"/>
      <c r="AN677" s="606"/>
      <c r="AO677" s="606"/>
    </row>
    <row r="678" spans="1:41" ht="11.25" hidden="1" customHeight="1">
      <c r="A678" s="608"/>
      <c r="B678" s="607"/>
      <c r="C678" s="607"/>
      <c r="D678" s="607"/>
      <c r="E678" s="607"/>
      <c r="F678" s="607"/>
      <c r="G678" s="606"/>
      <c r="H678" s="606"/>
      <c r="I678" s="606"/>
      <c r="J678" s="606"/>
      <c r="K678" s="606"/>
      <c r="L678" s="606"/>
      <c r="M678" s="606"/>
      <c r="N678" s="606"/>
      <c r="O678" s="606"/>
      <c r="P678" s="606"/>
      <c r="Q678" s="606"/>
      <c r="R678" s="606"/>
      <c r="S678" s="606"/>
      <c r="T678" s="606"/>
      <c r="U678" s="606"/>
      <c r="V678" s="606"/>
      <c r="W678" s="606"/>
      <c r="X678" s="640"/>
      <c r="Y678" s="607"/>
      <c r="Z678" s="607"/>
      <c r="AA678" s="607"/>
      <c r="AB678" s="607"/>
      <c r="AC678" s="607"/>
      <c r="AD678" s="607"/>
      <c r="AE678" s="607"/>
      <c r="AF678" s="607"/>
      <c r="AG678" s="607"/>
      <c r="AH678" s="607"/>
      <c r="AI678" s="607"/>
      <c r="AJ678" s="607"/>
      <c r="AK678" s="607"/>
      <c r="AL678" s="606"/>
      <c r="AM678" s="606"/>
      <c r="AN678" s="606"/>
      <c r="AO678" s="606"/>
    </row>
    <row r="679" spans="1:41" ht="11.25" hidden="1" customHeight="1">
      <c r="A679" s="608"/>
      <c r="B679" s="607"/>
      <c r="C679" s="607"/>
      <c r="D679" s="607"/>
      <c r="E679" s="607"/>
      <c r="F679" s="607"/>
      <c r="G679" s="606"/>
      <c r="H679" s="606"/>
      <c r="I679" s="606"/>
      <c r="J679" s="606"/>
      <c r="K679" s="606"/>
      <c r="L679" s="606"/>
      <c r="M679" s="606"/>
      <c r="N679" s="606"/>
      <c r="O679" s="606"/>
      <c r="P679" s="606"/>
      <c r="Q679" s="606"/>
      <c r="R679" s="606"/>
      <c r="S679" s="606"/>
      <c r="T679" s="606"/>
      <c r="U679" s="606"/>
      <c r="V679" s="606"/>
      <c r="W679" s="606"/>
      <c r="X679" s="640"/>
      <c r="Y679" s="607"/>
      <c r="Z679" s="607"/>
      <c r="AA679" s="607"/>
      <c r="AB679" s="607"/>
      <c r="AC679" s="607"/>
      <c r="AD679" s="607"/>
      <c r="AE679" s="607"/>
      <c r="AF679" s="607"/>
      <c r="AG679" s="607"/>
      <c r="AH679" s="607"/>
      <c r="AI679" s="607"/>
      <c r="AJ679" s="607"/>
      <c r="AK679" s="607"/>
      <c r="AL679" s="606"/>
      <c r="AM679" s="606"/>
      <c r="AN679" s="606"/>
      <c r="AO679" s="606"/>
    </row>
    <row r="680" spans="1:41" ht="11.25" hidden="1" customHeight="1">
      <c r="A680" s="608"/>
      <c r="B680" s="607"/>
      <c r="C680" s="607"/>
      <c r="D680" s="607"/>
      <c r="E680" s="607"/>
      <c r="F680" s="607"/>
      <c r="G680" s="606"/>
      <c r="H680" s="606"/>
      <c r="I680" s="606"/>
      <c r="J680" s="606"/>
      <c r="K680" s="606"/>
      <c r="L680" s="606"/>
      <c r="M680" s="606"/>
      <c r="N680" s="606"/>
      <c r="O680" s="606"/>
      <c r="P680" s="606"/>
      <c r="Q680" s="606"/>
      <c r="R680" s="606"/>
      <c r="S680" s="606"/>
      <c r="T680" s="606"/>
      <c r="U680" s="606"/>
      <c r="V680" s="606"/>
      <c r="W680" s="606"/>
      <c r="X680" s="640"/>
      <c r="Y680" s="607"/>
      <c r="Z680" s="607"/>
      <c r="AA680" s="607"/>
      <c r="AB680" s="607"/>
      <c r="AC680" s="607"/>
      <c r="AD680" s="607"/>
      <c r="AE680" s="607"/>
      <c r="AF680" s="607"/>
      <c r="AG680" s="607"/>
      <c r="AH680" s="607"/>
      <c r="AI680" s="607"/>
      <c r="AJ680" s="607"/>
      <c r="AK680" s="607"/>
      <c r="AL680" s="606"/>
      <c r="AM680" s="606"/>
      <c r="AN680" s="606"/>
      <c r="AO680" s="606"/>
    </row>
    <row r="681" spans="1:41" ht="11.25" hidden="1" customHeight="1">
      <c r="A681" s="608"/>
      <c r="B681" s="607"/>
      <c r="C681" s="607"/>
      <c r="D681" s="607"/>
      <c r="E681" s="607"/>
      <c r="F681" s="607"/>
      <c r="G681" s="606"/>
      <c r="H681" s="606"/>
      <c r="I681" s="606"/>
      <c r="J681" s="606"/>
      <c r="K681" s="606"/>
      <c r="L681" s="606"/>
      <c r="M681" s="606"/>
      <c r="N681" s="606"/>
      <c r="O681" s="606"/>
      <c r="P681" s="606"/>
      <c r="Q681" s="606"/>
      <c r="R681" s="606"/>
      <c r="S681" s="606"/>
      <c r="T681" s="606"/>
      <c r="U681" s="606"/>
      <c r="V681" s="606"/>
      <c r="W681" s="606"/>
      <c r="X681" s="640"/>
      <c r="Y681" s="607"/>
      <c r="Z681" s="607"/>
      <c r="AA681" s="607"/>
      <c r="AB681" s="607"/>
      <c r="AC681" s="607"/>
      <c r="AD681" s="607"/>
      <c r="AE681" s="607"/>
      <c r="AF681" s="607"/>
      <c r="AG681" s="607"/>
      <c r="AH681" s="607"/>
      <c r="AI681" s="607"/>
      <c r="AJ681" s="607"/>
      <c r="AK681" s="607"/>
      <c r="AL681" s="606"/>
      <c r="AM681" s="606"/>
      <c r="AN681" s="606"/>
      <c r="AO681" s="606"/>
    </row>
    <row r="682" spans="1:41" ht="11.25" hidden="1" customHeight="1">
      <c r="A682" s="608"/>
      <c r="B682" s="607"/>
      <c r="C682" s="607"/>
      <c r="D682" s="607"/>
      <c r="E682" s="607"/>
      <c r="F682" s="607"/>
      <c r="G682" s="606"/>
      <c r="H682" s="606"/>
      <c r="I682" s="606"/>
      <c r="J682" s="606"/>
      <c r="K682" s="606"/>
      <c r="L682" s="606"/>
      <c r="M682" s="606"/>
      <c r="N682" s="606"/>
      <c r="O682" s="606"/>
      <c r="P682" s="606"/>
      <c r="Q682" s="606"/>
      <c r="R682" s="606"/>
      <c r="S682" s="606"/>
      <c r="T682" s="606"/>
      <c r="U682" s="606"/>
      <c r="V682" s="606"/>
      <c r="W682" s="606"/>
      <c r="X682" s="640"/>
      <c r="Y682" s="607"/>
      <c r="Z682" s="607"/>
      <c r="AA682" s="607"/>
      <c r="AB682" s="607"/>
      <c r="AC682" s="607"/>
      <c r="AD682" s="607"/>
      <c r="AE682" s="607"/>
      <c r="AF682" s="607"/>
      <c r="AG682" s="607"/>
      <c r="AH682" s="607"/>
      <c r="AI682" s="607"/>
      <c r="AJ682" s="607"/>
      <c r="AK682" s="607"/>
      <c r="AL682" s="606"/>
      <c r="AM682" s="606"/>
      <c r="AN682" s="606"/>
      <c r="AO682" s="606"/>
    </row>
    <row r="683" spans="1:41" ht="11.25" hidden="1" customHeight="1">
      <c r="A683" s="608"/>
      <c r="B683" s="607"/>
      <c r="C683" s="607"/>
      <c r="D683" s="607"/>
      <c r="E683" s="607"/>
      <c r="F683" s="607"/>
      <c r="G683" s="606"/>
      <c r="H683" s="606"/>
      <c r="I683" s="606"/>
      <c r="J683" s="606"/>
      <c r="K683" s="606"/>
      <c r="L683" s="606"/>
      <c r="M683" s="606"/>
      <c r="N683" s="606"/>
      <c r="O683" s="606"/>
      <c r="P683" s="606"/>
      <c r="Q683" s="606"/>
      <c r="R683" s="606"/>
      <c r="S683" s="606"/>
      <c r="T683" s="606"/>
      <c r="U683" s="606"/>
      <c r="V683" s="606"/>
      <c r="W683" s="606"/>
      <c r="X683" s="640"/>
      <c r="Y683" s="607"/>
      <c r="Z683" s="607"/>
      <c r="AA683" s="607"/>
      <c r="AB683" s="607"/>
      <c r="AC683" s="607"/>
      <c r="AD683" s="607"/>
      <c r="AE683" s="607"/>
      <c r="AF683" s="607"/>
      <c r="AG683" s="607"/>
      <c r="AH683" s="607"/>
      <c r="AI683" s="607"/>
      <c r="AJ683" s="607"/>
      <c r="AK683" s="607"/>
      <c r="AL683" s="606"/>
      <c r="AM683" s="606"/>
      <c r="AN683" s="606"/>
      <c r="AO683" s="606"/>
    </row>
    <row r="684" spans="1:41" ht="11.25" hidden="1" customHeight="1">
      <c r="A684" s="608"/>
      <c r="B684" s="607"/>
      <c r="C684" s="607"/>
      <c r="D684" s="607"/>
      <c r="E684" s="607"/>
      <c r="F684" s="607"/>
      <c r="G684" s="606"/>
      <c r="H684" s="606"/>
      <c r="I684" s="606"/>
      <c r="J684" s="606"/>
      <c r="K684" s="606"/>
      <c r="L684" s="606"/>
      <c r="M684" s="606"/>
      <c r="N684" s="606"/>
      <c r="O684" s="606"/>
      <c r="P684" s="606"/>
      <c r="Q684" s="606"/>
      <c r="R684" s="606"/>
      <c r="S684" s="606"/>
      <c r="T684" s="606"/>
      <c r="U684" s="606"/>
      <c r="V684" s="606"/>
      <c r="W684" s="606"/>
      <c r="X684" s="640"/>
      <c r="Y684" s="607"/>
      <c r="Z684" s="607"/>
      <c r="AA684" s="607"/>
      <c r="AB684" s="607"/>
      <c r="AC684" s="607"/>
      <c r="AD684" s="607"/>
      <c r="AE684" s="607"/>
      <c r="AF684" s="607"/>
      <c r="AG684" s="607"/>
      <c r="AH684" s="607"/>
      <c r="AI684" s="607"/>
      <c r="AJ684" s="607"/>
      <c r="AK684" s="607"/>
      <c r="AL684" s="606"/>
      <c r="AM684" s="606"/>
      <c r="AN684" s="606"/>
      <c r="AO684" s="606"/>
    </row>
    <row r="685" spans="1:41" ht="11.25" hidden="1" customHeight="1">
      <c r="A685" s="608"/>
      <c r="B685" s="607"/>
      <c r="C685" s="607"/>
      <c r="D685" s="607"/>
      <c r="E685" s="607"/>
      <c r="F685" s="607"/>
      <c r="G685" s="606"/>
      <c r="H685" s="606"/>
      <c r="I685" s="606"/>
      <c r="J685" s="606"/>
      <c r="K685" s="606"/>
      <c r="L685" s="606"/>
      <c r="M685" s="606"/>
      <c r="N685" s="606"/>
      <c r="O685" s="606"/>
      <c r="P685" s="606"/>
      <c r="Q685" s="606"/>
      <c r="R685" s="606"/>
      <c r="S685" s="606"/>
      <c r="T685" s="606"/>
      <c r="U685" s="606"/>
      <c r="V685" s="606"/>
      <c r="W685" s="606"/>
      <c r="X685" s="640"/>
      <c r="Y685" s="607"/>
      <c r="Z685" s="607"/>
      <c r="AA685" s="607"/>
      <c r="AB685" s="607"/>
      <c r="AC685" s="607"/>
      <c r="AD685" s="607"/>
      <c r="AE685" s="607"/>
      <c r="AF685" s="607"/>
      <c r="AG685" s="607"/>
      <c r="AH685" s="607"/>
      <c r="AI685" s="607"/>
      <c r="AJ685" s="607"/>
      <c r="AK685" s="607"/>
      <c r="AL685" s="606"/>
      <c r="AM685" s="606"/>
      <c r="AN685" s="606"/>
      <c r="AO685" s="606"/>
    </row>
    <row r="686" spans="1:41" ht="11.25" hidden="1" customHeight="1">
      <c r="A686" s="608"/>
      <c r="B686" s="607"/>
      <c r="C686" s="607"/>
      <c r="D686" s="607"/>
      <c r="E686" s="607"/>
      <c r="F686" s="607"/>
      <c r="G686" s="606"/>
      <c r="H686" s="606"/>
      <c r="I686" s="606"/>
      <c r="J686" s="606"/>
      <c r="K686" s="606"/>
      <c r="L686" s="606"/>
      <c r="M686" s="606"/>
      <c r="N686" s="606"/>
      <c r="O686" s="606"/>
      <c r="P686" s="606"/>
      <c r="Q686" s="606"/>
      <c r="R686" s="606"/>
      <c r="S686" s="606"/>
      <c r="T686" s="606"/>
      <c r="U686" s="606"/>
      <c r="V686" s="606"/>
      <c r="W686" s="606"/>
      <c r="X686" s="640"/>
      <c r="Y686" s="607"/>
      <c r="Z686" s="607"/>
      <c r="AA686" s="607"/>
      <c r="AB686" s="607"/>
      <c r="AC686" s="607"/>
      <c r="AD686" s="607"/>
      <c r="AE686" s="607"/>
      <c r="AF686" s="607"/>
      <c r="AG686" s="607"/>
      <c r="AH686" s="607"/>
      <c r="AI686" s="607"/>
      <c r="AJ686" s="607"/>
      <c r="AK686" s="607"/>
      <c r="AL686" s="606"/>
      <c r="AM686" s="606"/>
      <c r="AN686" s="606"/>
      <c r="AO686" s="606"/>
    </row>
    <row r="687" spans="1:41" ht="11.25" hidden="1" customHeight="1">
      <c r="A687" s="608"/>
      <c r="B687" s="607"/>
      <c r="C687" s="607"/>
      <c r="D687" s="607"/>
      <c r="E687" s="607"/>
      <c r="F687" s="607"/>
      <c r="G687" s="606"/>
      <c r="H687" s="606"/>
      <c r="I687" s="606"/>
      <c r="J687" s="606"/>
      <c r="K687" s="606"/>
      <c r="L687" s="606"/>
      <c r="M687" s="606"/>
      <c r="N687" s="606"/>
      <c r="O687" s="606"/>
      <c r="P687" s="606"/>
      <c r="Q687" s="606"/>
      <c r="R687" s="606"/>
      <c r="S687" s="606"/>
      <c r="T687" s="606"/>
      <c r="U687" s="606"/>
      <c r="V687" s="606"/>
      <c r="W687" s="606"/>
      <c r="X687" s="640"/>
      <c r="Y687" s="607"/>
      <c r="Z687" s="607"/>
      <c r="AA687" s="607"/>
      <c r="AB687" s="607"/>
      <c r="AC687" s="607"/>
      <c r="AD687" s="607"/>
      <c r="AE687" s="607"/>
      <c r="AF687" s="607"/>
      <c r="AG687" s="607"/>
      <c r="AH687" s="607"/>
      <c r="AI687" s="607"/>
      <c r="AJ687" s="607"/>
      <c r="AK687" s="607"/>
      <c r="AL687" s="606"/>
      <c r="AM687" s="606"/>
      <c r="AN687" s="606"/>
      <c r="AO687" s="606"/>
    </row>
    <row r="688" spans="1:41" ht="11.25" hidden="1" customHeight="1">
      <c r="A688" s="608"/>
      <c r="B688" s="607"/>
      <c r="C688" s="607"/>
      <c r="D688" s="607"/>
      <c r="E688" s="607"/>
      <c r="F688" s="607"/>
      <c r="G688" s="606"/>
      <c r="H688" s="606"/>
      <c r="I688" s="606"/>
      <c r="J688" s="606"/>
      <c r="K688" s="606"/>
      <c r="L688" s="606"/>
      <c r="M688" s="606"/>
      <c r="N688" s="606"/>
      <c r="O688" s="606"/>
      <c r="P688" s="606"/>
      <c r="Q688" s="606"/>
      <c r="R688" s="606"/>
      <c r="S688" s="606"/>
      <c r="T688" s="606"/>
      <c r="U688" s="606"/>
      <c r="V688" s="606"/>
      <c r="W688" s="606"/>
      <c r="X688" s="640"/>
      <c r="Y688" s="607"/>
      <c r="Z688" s="607"/>
      <c r="AA688" s="607"/>
      <c r="AB688" s="607"/>
      <c r="AC688" s="607"/>
      <c r="AD688" s="607"/>
      <c r="AE688" s="607"/>
      <c r="AF688" s="607"/>
      <c r="AG688" s="607"/>
      <c r="AH688" s="607"/>
      <c r="AI688" s="607"/>
      <c r="AJ688" s="607"/>
      <c r="AK688" s="607"/>
      <c r="AL688" s="606"/>
      <c r="AM688" s="606"/>
      <c r="AN688" s="606"/>
      <c r="AO688" s="606"/>
    </row>
    <row r="689" spans="1:41" ht="11.25" hidden="1" customHeight="1">
      <c r="A689" s="608"/>
      <c r="B689" s="607"/>
      <c r="C689" s="607"/>
      <c r="D689" s="607"/>
      <c r="E689" s="607"/>
      <c r="F689" s="607"/>
      <c r="G689" s="606"/>
      <c r="H689" s="606"/>
      <c r="I689" s="606"/>
      <c r="J689" s="606"/>
      <c r="K689" s="606"/>
      <c r="L689" s="606"/>
      <c r="M689" s="606"/>
      <c r="N689" s="606"/>
      <c r="O689" s="606"/>
      <c r="P689" s="606"/>
      <c r="Q689" s="606"/>
      <c r="R689" s="606"/>
      <c r="S689" s="606"/>
      <c r="T689" s="606"/>
      <c r="U689" s="606"/>
      <c r="V689" s="606"/>
      <c r="W689" s="606"/>
      <c r="X689" s="640"/>
      <c r="Y689" s="607"/>
      <c r="Z689" s="607"/>
      <c r="AA689" s="607"/>
      <c r="AB689" s="607"/>
      <c r="AC689" s="607"/>
      <c r="AD689" s="607"/>
      <c r="AE689" s="607"/>
      <c r="AF689" s="607"/>
      <c r="AG689" s="607"/>
      <c r="AH689" s="607"/>
      <c r="AI689" s="607"/>
      <c r="AJ689" s="607"/>
      <c r="AK689" s="607"/>
      <c r="AL689" s="606"/>
      <c r="AM689" s="606"/>
      <c r="AN689" s="606"/>
      <c r="AO689" s="606"/>
    </row>
    <row r="690" spans="1:41" ht="11.25" hidden="1" customHeight="1">
      <c r="A690" s="608"/>
      <c r="B690" s="607"/>
      <c r="C690" s="607"/>
      <c r="D690" s="607"/>
      <c r="E690" s="607"/>
      <c r="F690" s="607"/>
      <c r="G690" s="606"/>
      <c r="H690" s="606"/>
      <c r="I690" s="606"/>
      <c r="J690" s="606"/>
      <c r="K690" s="606"/>
      <c r="L690" s="606"/>
      <c r="M690" s="606"/>
      <c r="N690" s="606"/>
      <c r="O690" s="606"/>
      <c r="P690" s="606"/>
      <c r="Q690" s="606"/>
      <c r="R690" s="606"/>
      <c r="S690" s="606"/>
      <c r="T690" s="606"/>
      <c r="U690" s="606"/>
      <c r="V690" s="606"/>
      <c r="W690" s="606"/>
      <c r="X690" s="640"/>
      <c r="Y690" s="607"/>
      <c r="Z690" s="607"/>
      <c r="AA690" s="607"/>
      <c r="AB690" s="607"/>
      <c r="AC690" s="607"/>
      <c r="AD690" s="607"/>
      <c r="AE690" s="607"/>
      <c r="AF690" s="607"/>
      <c r="AG690" s="607"/>
      <c r="AH690" s="607"/>
      <c r="AI690" s="607"/>
      <c r="AJ690" s="607"/>
      <c r="AK690" s="607"/>
      <c r="AL690" s="606"/>
      <c r="AM690" s="606"/>
      <c r="AN690" s="606"/>
      <c r="AO690" s="606"/>
    </row>
    <row r="691" spans="1:41" ht="11.25" hidden="1" customHeight="1">
      <c r="A691" s="608"/>
      <c r="B691" s="607"/>
      <c r="C691" s="607"/>
      <c r="D691" s="607"/>
      <c r="E691" s="607"/>
      <c r="F691" s="607"/>
      <c r="G691" s="606"/>
      <c r="H691" s="606"/>
      <c r="I691" s="606"/>
      <c r="J691" s="606"/>
      <c r="K691" s="606"/>
      <c r="L691" s="606"/>
      <c r="M691" s="606"/>
      <c r="N691" s="606"/>
      <c r="O691" s="606"/>
      <c r="P691" s="606"/>
      <c r="Q691" s="606"/>
      <c r="R691" s="606"/>
      <c r="S691" s="606"/>
      <c r="T691" s="606"/>
      <c r="U691" s="606"/>
      <c r="V691" s="606"/>
      <c r="W691" s="606"/>
      <c r="X691" s="640"/>
      <c r="Y691" s="607"/>
      <c r="Z691" s="607"/>
      <c r="AA691" s="607"/>
      <c r="AB691" s="607"/>
      <c r="AC691" s="607"/>
      <c r="AD691" s="607"/>
      <c r="AE691" s="607"/>
      <c r="AF691" s="607"/>
      <c r="AG691" s="607"/>
      <c r="AH691" s="607"/>
      <c r="AI691" s="607"/>
      <c r="AJ691" s="607"/>
      <c r="AK691" s="607"/>
      <c r="AL691" s="606"/>
      <c r="AM691" s="606"/>
      <c r="AN691" s="606"/>
      <c r="AO691" s="606"/>
    </row>
    <row r="692" spans="1:41" ht="11.25" hidden="1" customHeight="1">
      <c r="A692" s="608"/>
      <c r="B692" s="607"/>
      <c r="C692" s="607"/>
      <c r="D692" s="607"/>
      <c r="E692" s="607"/>
      <c r="F692" s="607"/>
      <c r="G692" s="606"/>
      <c r="H692" s="606"/>
      <c r="I692" s="606"/>
      <c r="J692" s="606"/>
      <c r="K692" s="606"/>
      <c r="L692" s="606"/>
      <c r="M692" s="606"/>
      <c r="N692" s="606"/>
      <c r="O692" s="606"/>
      <c r="P692" s="606"/>
      <c r="Q692" s="606"/>
      <c r="R692" s="606"/>
      <c r="S692" s="606"/>
      <c r="T692" s="606"/>
      <c r="U692" s="606"/>
      <c r="V692" s="606"/>
      <c r="W692" s="606"/>
      <c r="X692" s="640"/>
      <c r="Y692" s="607"/>
      <c r="Z692" s="607"/>
      <c r="AA692" s="607"/>
      <c r="AB692" s="607"/>
      <c r="AC692" s="607"/>
      <c r="AD692" s="607"/>
      <c r="AE692" s="607"/>
      <c r="AF692" s="607"/>
      <c r="AG692" s="607"/>
      <c r="AH692" s="607"/>
      <c r="AI692" s="607"/>
      <c r="AJ692" s="607"/>
      <c r="AK692" s="607"/>
      <c r="AL692" s="606"/>
      <c r="AM692" s="606"/>
      <c r="AN692" s="606"/>
      <c r="AO692" s="606"/>
    </row>
    <row r="693" spans="1:41" ht="11.25" hidden="1" customHeight="1">
      <c r="A693" s="608"/>
      <c r="B693" s="607"/>
      <c r="C693" s="607"/>
      <c r="D693" s="607"/>
      <c r="E693" s="607"/>
      <c r="F693" s="607"/>
      <c r="G693" s="606"/>
      <c r="H693" s="606"/>
      <c r="I693" s="606"/>
      <c r="J693" s="606"/>
      <c r="K693" s="606"/>
      <c r="L693" s="606"/>
      <c r="M693" s="606"/>
      <c r="N693" s="606"/>
      <c r="O693" s="606"/>
      <c r="P693" s="606"/>
      <c r="Q693" s="606"/>
      <c r="R693" s="606"/>
      <c r="S693" s="606"/>
      <c r="T693" s="606"/>
      <c r="U693" s="606"/>
      <c r="V693" s="606"/>
      <c r="W693" s="606"/>
      <c r="X693" s="640"/>
      <c r="Y693" s="607"/>
      <c r="Z693" s="607"/>
      <c r="AA693" s="607"/>
      <c r="AB693" s="607"/>
      <c r="AC693" s="607"/>
      <c r="AD693" s="607"/>
      <c r="AE693" s="607"/>
      <c r="AF693" s="607"/>
      <c r="AG693" s="607"/>
      <c r="AH693" s="607"/>
      <c r="AI693" s="607"/>
      <c r="AJ693" s="607"/>
      <c r="AK693" s="607"/>
      <c r="AL693" s="606"/>
      <c r="AM693" s="606"/>
      <c r="AN693" s="606"/>
      <c r="AO693" s="606"/>
    </row>
    <row r="694" spans="1:41" ht="11.25" hidden="1" customHeight="1">
      <c r="A694" s="608"/>
      <c r="B694" s="607"/>
      <c r="C694" s="607"/>
      <c r="D694" s="607"/>
      <c r="E694" s="607"/>
      <c r="F694" s="607"/>
      <c r="G694" s="606"/>
      <c r="H694" s="606"/>
      <c r="I694" s="606"/>
      <c r="J694" s="606"/>
      <c r="K694" s="606"/>
      <c r="L694" s="606"/>
      <c r="M694" s="606"/>
      <c r="N694" s="606"/>
      <c r="O694" s="606"/>
      <c r="P694" s="606"/>
      <c r="Q694" s="606"/>
      <c r="R694" s="606"/>
      <c r="S694" s="606"/>
      <c r="T694" s="606"/>
      <c r="U694" s="606"/>
      <c r="V694" s="606"/>
      <c r="W694" s="606"/>
      <c r="X694" s="640"/>
      <c r="Y694" s="607"/>
      <c r="Z694" s="607"/>
      <c r="AA694" s="607"/>
      <c r="AB694" s="607"/>
      <c r="AC694" s="607"/>
      <c r="AD694" s="607"/>
      <c r="AE694" s="607"/>
      <c r="AF694" s="607"/>
      <c r="AG694" s="607"/>
      <c r="AH694" s="607"/>
      <c r="AI694" s="607"/>
      <c r="AJ694" s="607"/>
      <c r="AK694" s="607"/>
      <c r="AL694" s="606"/>
      <c r="AM694" s="606"/>
      <c r="AN694" s="606"/>
      <c r="AO694" s="606"/>
    </row>
    <row r="695" spans="1:41" ht="11.25" hidden="1" customHeight="1">
      <c r="A695" s="608"/>
      <c r="B695" s="607"/>
      <c r="C695" s="607"/>
      <c r="D695" s="607"/>
      <c r="E695" s="607"/>
      <c r="F695" s="607"/>
      <c r="G695" s="606"/>
      <c r="H695" s="606"/>
      <c r="I695" s="606"/>
      <c r="J695" s="606"/>
      <c r="K695" s="606"/>
      <c r="L695" s="606"/>
      <c r="M695" s="606"/>
      <c r="N695" s="606"/>
      <c r="O695" s="606"/>
      <c r="P695" s="606"/>
      <c r="Q695" s="606"/>
      <c r="R695" s="606"/>
      <c r="S695" s="606"/>
      <c r="T695" s="606"/>
      <c r="U695" s="606"/>
      <c r="V695" s="606"/>
      <c r="W695" s="606"/>
      <c r="X695" s="640"/>
      <c r="Y695" s="607"/>
      <c r="Z695" s="607"/>
      <c r="AA695" s="607"/>
      <c r="AB695" s="607"/>
      <c r="AC695" s="607"/>
      <c r="AD695" s="607"/>
      <c r="AE695" s="607"/>
      <c r="AF695" s="607"/>
      <c r="AG695" s="607"/>
      <c r="AH695" s="607"/>
      <c r="AI695" s="607"/>
      <c r="AJ695" s="607"/>
      <c r="AK695" s="607"/>
      <c r="AL695" s="606"/>
      <c r="AM695" s="606"/>
      <c r="AN695" s="606"/>
      <c r="AO695" s="606"/>
    </row>
    <row r="696" spans="1:41" ht="11.25" hidden="1" customHeight="1">
      <c r="A696" s="608"/>
      <c r="B696" s="607"/>
      <c r="C696" s="607"/>
      <c r="D696" s="607"/>
      <c r="E696" s="607"/>
      <c r="F696" s="607"/>
      <c r="G696" s="606"/>
      <c r="H696" s="606"/>
      <c r="I696" s="606"/>
      <c r="J696" s="606"/>
      <c r="K696" s="606"/>
      <c r="L696" s="606"/>
      <c r="M696" s="606"/>
      <c r="N696" s="606"/>
      <c r="O696" s="606"/>
      <c r="P696" s="606"/>
      <c r="Q696" s="606"/>
      <c r="R696" s="606"/>
      <c r="S696" s="606"/>
      <c r="T696" s="606"/>
      <c r="U696" s="606"/>
      <c r="V696" s="606"/>
      <c r="W696" s="606"/>
      <c r="X696" s="640"/>
      <c r="Y696" s="607"/>
      <c r="Z696" s="607"/>
      <c r="AA696" s="607"/>
      <c r="AB696" s="607"/>
      <c r="AC696" s="607"/>
      <c r="AD696" s="607"/>
      <c r="AE696" s="607"/>
      <c r="AF696" s="607"/>
      <c r="AG696" s="607"/>
      <c r="AH696" s="607"/>
      <c r="AI696" s="607"/>
      <c r="AJ696" s="607"/>
      <c r="AK696" s="607"/>
      <c r="AL696" s="606"/>
      <c r="AM696" s="606"/>
      <c r="AN696" s="606"/>
      <c r="AO696" s="606"/>
    </row>
    <row r="697" spans="1:41" ht="11.25" hidden="1" customHeight="1">
      <c r="A697" s="608"/>
      <c r="B697" s="607"/>
      <c r="C697" s="607"/>
      <c r="D697" s="607"/>
      <c r="E697" s="607"/>
      <c r="F697" s="607"/>
      <c r="G697" s="606"/>
      <c r="H697" s="606"/>
      <c r="I697" s="606"/>
      <c r="J697" s="606"/>
      <c r="K697" s="606"/>
      <c r="L697" s="606"/>
      <c r="M697" s="606"/>
      <c r="N697" s="606"/>
      <c r="O697" s="606"/>
      <c r="P697" s="606"/>
      <c r="Q697" s="606"/>
      <c r="R697" s="606"/>
      <c r="S697" s="606"/>
      <c r="T697" s="606"/>
      <c r="U697" s="606"/>
      <c r="V697" s="606"/>
      <c r="W697" s="606"/>
      <c r="X697" s="640"/>
      <c r="Y697" s="607"/>
      <c r="Z697" s="607"/>
      <c r="AA697" s="607"/>
      <c r="AB697" s="607"/>
      <c r="AC697" s="607"/>
      <c r="AD697" s="607"/>
      <c r="AE697" s="607"/>
      <c r="AF697" s="607"/>
      <c r="AG697" s="607"/>
      <c r="AH697" s="607"/>
      <c r="AI697" s="607"/>
      <c r="AJ697" s="607"/>
      <c r="AK697" s="607"/>
      <c r="AL697" s="606"/>
      <c r="AM697" s="606"/>
      <c r="AN697" s="606"/>
      <c r="AO697" s="606"/>
    </row>
    <row r="698" spans="1:41" ht="11.25" hidden="1" customHeight="1">
      <c r="A698" s="608"/>
      <c r="B698" s="607"/>
      <c r="C698" s="607"/>
      <c r="D698" s="607"/>
      <c r="E698" s="607"/>
      <c r="F698" s="607"/>
      <c r="G698" s="606"/>
      <c r="H698" s="606"/>
      <c r="I698" s="606"/>
      <c r="J698" s="606"/>
      <c r="K698" s="606"/>
      <c r="L698" s="606"/>
      <c r="M698" s="606"/>
      <c r="N698" s="606"/>
      <c r="O698" s="606"/>
      <c r="P698" s="606"/>
      <c r="Q698" s="606"/>
      <c r="R698" s="606"/>
      <c r="S698" s="606"/>
      <c r="T698" s="606"/>
      <c r="U698" s="606"/>
      <c r="V698" s="606"/>
      <c r="W698" s="606"/>
      <c r="X698" s="640"/>
      <c r="Y698" s="607"/>
      <c r="Z698" s="607"/>
      <c r="AA698" s="607"/>
      <c r="AB698" s="607"/>
      <c r="AC698" s="607"/>
      <c r="AD698" s="607"/>
      <c r="AE698" s="607"/>
      <c r="AF698" s="607"/>
      <c r="AG698" s="607"/>
      <c r="AH698" s="607"/>
      <c r="AI698" s="607"/>
      <c r="AJ698" s="607"/>
      <c r="AK698" s="607"/>
      <c r="AL698" s="606"/>
      <c r="AM698" s="606"/>
      <c r="AN698" s="606"/>
      <c r="AO698" s="606"/>
    </row>
    <row r="699" spans="1:41" ht="11.25" hidden="1" customHeight="1">
      <c r="A699" s="608"/>
      <c r="B699" s="607"/>
      <c r="C699" s="607"/>
      <c r="D699" s="607"/>
      <c r="E699" s="607"/>
      <c r="F699" s="607"/>
      <c r="G699" s="606"/>
      <c r="H699" s="606"/>
      <c r="I699" s="606"/>
      <c r="J699" s="606"/>
      <c r="K699" s="606"/>
      <c r="L699" s="606"/>
      <c r="M699" s="606"/>
      <c r="N699" s="606"/>
      <c r="O699" s="606"/>
      <c r="P699" s="606"/>
      <c r="Q699" s="606"/>
      <c r="R699" s="606"/>
      <c r="S699" s="606"/>
      <c r="T699" s="606"/>
      <c r="U699" s="606"/>
      <c r="V699" s="606"/>
      <c r="W699" s="606"/>
      <c r="X699" s="640"/>
      <c r="Y699" s="607"/>
      <c r="Z699" s="607"/>
      <c r="AA699" s="607"/>
      <c r="AB699" s="607"/>
      <c r="AC699" s="607"/>
      <c r="AD699" s="607"/>
      <c r="AE699" s="607"/>
      <c r="AF699" s="607"/>
      <c r="AG699" s="607"/>
      <c r="AH699" s="607"/>
      <c r="AI699" s="607"/>
      <c r="AJ699" s="607"/>
      <c r="AK699" s="607"/>
      <c r="AL699" s="606"/>
      <c r="AM699" s="606"/>
      <c r="AN699" s="606"/>
      <c r="AO699" s="606"/>
    </row>
    <row r="700" spans="1:41" ht="11.25" hidden="1" customHeight="1">
      <c r="A700" s="608"/>
      <c r="B700" s="607"/>
      <c r="C700" s="607"/>
      <c r="D700" s="607"/>
      <c r="E700" s="607"/>
      <c r="F700" s="607"/>
      <c r="G700" s="606"/>
      <c r="H700" s="606"/>
      <c r="I700" s="606"/>
      <c r="J700" s="606"/>
      <c r="K700" s="606"/>
      <c r="L700" s="606"/>
      <c r="M700" s="606"/>
      <c r="N700" s="606"/>
      <c r="O700" s="606"/>
      <c r="P700" s="606"/>
      <c r="Q700" s="606"/>
      <c r="R700" s="606"/>
      <c r="S700" s="606"/>
      <c r="T700" s="606"/>
      <c r="U700" s="606"/>
      <c r="V700" s="606"/>
      <c r="W700" s="606"/>
      <c r="X700" s="640"/>
      <c r="Y700" s="607"/>
      <c r="Z700" s="607"/>
      <c r="AA700" s="607"/>
      <c r="AB700" s="607"/>
      <c r="AC700" s="607"/>
      <c r="AD700" s="607"/>
      <c r="AE700" s="607"/>
      <c r="AF700" s="607"/>
      <c r="AG700" s="607"/>
      <c r="AH700" s="607"/>
      <c r="AI700" s="607"/>
      <c r="AJ700" s="607"/>
      <c r="AK700" s="607"/>
      <c r="AL700" s="606"/>
      <c r="AM700" s="606"/>
      <c r="AN700" s="606"/>
      <c r="AO700" s="606"/>
    </row>
    <row r="701" spans="1:41" ht="11.25" hidden="1" customHeight="1">
      <c r="A701" s="608"/>
      <c r="B701" s="607"/>
      <c r="C701" s="607"/>
      <c r="D701" s="607"/>
      <c r="E701" s="607"/>
      <c r="F701" s="607"/>
      <c r="G701" s="606"/>
      <c r="H701" s="606"/>
      <c r="I701" s="606"/>
      <c r="J701" s="606"/>
      <c r="K701" s="606"/>
      <c r="L701" s="606"/>
      <c r="M701" s="606"/>
      <c r="N701" s="606"/>
      <c r="O701" s="606"/>
      <c r="P701" s="606"/>
      <c r="Q701" s="606"/>
      <c r="R701" s="606"/>
      <c r="S701" s="606"/>
      <c r="T701" s="606"/>
      <c r="U701" s="606"/>
      <c r="V701" s="606"/>
      <c r="W701" s="606"/>
      <c r="X701" s="640"/>
      <c r="Y701" s="607"/>
      <c r="Z701" s="607"/>
      <c r="AA701" s="607"/>
      <c r="AB701" s="607"/>
      <c r="AC701" s="607"/>
      <c r="AD701" s="607"/>
      <c r="AE701" s="607"/>
      <c r="AF701" s="607"/>
      <c r="AG701" s="607"/>
      <c r="AH701" s="607"/>
      <c r="AI701" s="607"/>
      <c r="AJ701" s="607"/>
      <c r="AK701" s="607"/>
      <c r="AL701" s="606"/>
      <c r="AM701" s="606"/>
      <c r="AN701" s="606"/>
      <c r="AO701" s="606"/>
    </row>
    <row r="702" spans="1:41" ht="11.25" hidden="1" customHeight="1">
      <c r="A702" s="608"/>
      <c r="B702" s="607"/>
      <c r="C702" s="607"/>
      <c r="D702" s="607"/>
      <c r="E702" s="607"/>
      <c r="F702" s="607"/>
      <c r="G702" s="606"/>
      <c r="H702" s="606"/>
      <c r="I702" s="606"/>
      <c r="J702" s="606"/>
      <c r="K702" s="606"/>
      <c r="L702" s="606"/>
      <c r="M702" s="606"/>
      <c r="N702" s="606"/>
      <c r="O702" s="606"/>
      <c r="P702" s="606"/>
      <c r="Q702" s="606"/>
      <c r="R702" s="606"/>
      <c r="S702" s="606"/>
      <c r="T702" s="606"/>
      <c r="U702" s="606"/>
      <c r="V702" s="606"/>
      <c r="W702" s="606"/>
      <c r="X702" s="640"/>
      <c r="Y702" s="607"/>
      <c r="Z702" s="607"/>
      <c r="AA702" s="607"/>
      <c r="AB702" s="607"/>
      <c r="AC702" s="607"/>
      <c r="AD702" s="607"/>
      <c r="AE702" s="607"/>
      <c r="AF702" s="607"/>
      <c r="AG702" s="607"/>
      <c r="AH702" s="607"/>
      <c r="AI702" s="607"/>
      <c r="AJ702" s="607"/>
      <c r="AK702" s="607"/>
      <c r="AL702" s="606"/>
      <c r="AM702" s="606"/>
      <c r="AN702" s="606"/>
      <c r="AO702" s="606"/>
    </row>
    <row r="703" spans="1:41" ht="11.25" hidden="1" customHeight="1">
      <c r="A703" s="608"/>
      <c r="B703" s="607"/>
      <c r="C703" s="607"/>
      <c r="D703" s="607"/>
      <c r="E703" s="607"/>
      <c r="F703" s="607"/>
      <c r="G703" s="606"/>
      <c r="H703" s="606"/>
      <c r="I703" s="606"/>
      <c r="J703" s="606"/>
      <c r="K703" s="606"/>
      <c r="L703" s="606"/>
      <c r="M703" s="606"/>
      <c r="N703" s="606"/>
      <c r="O703" s="606"/>
      <c r="P703" s="606"/>
      <c r="Q703" s="606"/>
      <c r="R703" s="606"/>
      <c r="S703" s="606"/>
      <c r="T703" s="606"/>
      <c r="U703" s="606"/>
      <c r="V703" s="606"/>
      <c r="W703" s="606"/>
      <c r="X703" s="640"/>
      <c r="Y703" s="607"/>
      <c r="Z703" s="607"/>
      <c r="AA703" s="607"/>
      <c r="AB703" s="607"/>
      <c r="AC703" s="607"/>
      <c r="AD703" s="607"/>
      <c r="AE703" s="607"/>
      <c r="AF703" s="607"/>
      <c r="AG703" s="607"/>
      <c r="AH703" s="607"/>
      <c r="AI703" s="607"/>
      <c r="AJ703" s="607"/>
      <c r="AK703" s="607"/>
      <c r="AL703" s="606"/>
      <c r="AM703" s="606"/>
      <c r="AN703" s="606"/>
      <c r="AO703" s="606"/>
    </row>
    <row r="704" spans="1:41" ht="11.25" hidden="1" customHeight="1">
      <c r="A704" s="608"/>
      <c r="B704" s="607"/>
      <c r="C704" s="607"/>
      <c r="D704" s="607"/>
      <c r="E704" s="607"/>
      <c r="F704" s="607"/>
      <c r="G704" s="606"/>
      <c r="H704" s="606"/>
      <c r="I704" s="606"/>
      <c r="J704" s="606"/>
      <c r="K704" s="606"/>
      <c r="L704" s="606"/>
      <c r="M704" s="606"/>
      <c r="N704" s="606"/>
      <c r="O704" s="606"/>
      <c r="P704" s="606"/>
      <c r="Q704" s="606"/>
      <c r="R704" s="606"/>
      <c r="S704" s="606"/>
      <c r="T704" s="606"/>
      <c r="U704" s="606"/>
      <c r="V704" s="606"/>
      <c r="W704" s="606"/>
      <c r="X704" s="640"/>
      <c r="Y704" s="607"/>
      <c r="Z704" s="607"/>
      <c r="AA704" s="607"/>
      <c r="AB704" s="607"/>
      <c r="AC704" s="607"/>
      <c r="AD704" s="607"/>
      <c r="AE704" s="607"/>
      <c r="AF704" s="607"/>
      <c r="AG704" s="607"/>
      <c r="AH704" s="607"/>
      <c r="AI704" s="607"/>
      <c r="AJ704" s="607"/>
      <c r="AK704" s="607"/>
      <c r="AL704" s="606"/>
      <c r="AM704" s="606"/>
      <c r="AN704" s="606"/>
      <c r="AO704" s="606"/>
    </row>
    <row r="705" spans="1:41" ht="11.25" hidden="1" customHeight="1">
      <c r="A705" s="608"/>
      <c r="B705" s="607"/>
      <c r="C705" s="607"/>
      <c r="D705" s="607"/>
      <c r="E705" s="607"/>
      <c r="F705" s="607"/>
      <c r="G705" s="606"/>
      <c r="H705" s="606"/>
      <c r="I705" s="606"/>
      <c r="J705" s="606"/>
      <c r="K705" s="606"/>
      <c r="L705" s="606"/>
      <c r="M705" s="606"/>
      <c r="N705" s="606"/>
      <c r="O705" s="606"/>
      <c r="P705" s="606"/>
      <c r="Q705" s="606"/>
      <c r="R705" s="606"/>
      <c r="S705" s="606"/>
      <c r="T705" s="606"/>
      <c r="U705" s="606"/>
      <c r="V705" s="606"/>
      <c r="W705" s="606"/>
      <c r="X705" s="640"/>
      <c r="Y705" s="607"/>
      <c r="Z705" s="607"/>
      <c r="AA705" s="607"/>
      <c r="AB705" s="607"/>
      <c r="AC705" s="607"/>
      <c r="AD705" s="607"/>
      <c r="AE705" s="607"/>
      <c r="AF705" s="607"/>
      <c r="AG705" s="607"/>
      <c r="AH705" s="607"/>
      <c r="AI705" s="607"/>
      <c r="AJ705" s="607"/>
      <c r="AK705" s="607"/>
      <c r="AL705" s="606"/>
      <c r="AM705" s="606"/>
      <c r="AN705" s="606"/>
      <c r="AO705" s="606"/>
    </row>
    <row r="706" spans="1:41" ht="11.25" hidden="1" customHeight="1">
      <c r="A706" s="608"/>
      <c r="B706" s="607"/>
      <c r="C706" s="607"/>
      <c r="D706" s="607"/>
      <c r="E706" s="607"/>
      <c r="F706" s="607"/>
      <c r="G706" s="606"/>
      <c r="H706" s="606"/>
      <c r="I706" s="606"/>
      <c r="J706" s="606"/>
      <c r="K706" s="606"/>
      <c r="L706" s="606"/>
      <c r="M706" s="606"/>
      <c r="N706" s="606"/>
      <c r="O706" s="606"/>
      <c r="P706" s="606"/>
      <c r="Q706" s="606"/>
      <c r="R706" s="606"/>
      <c r="S706" s="606"/>
      <c r="T706" s="606"/>
      <c r="U706" s="606"/>
      <c r="V706" s="606"/>
      <c r="W706" s="606"/>
      <c r="X706" s="640"/>
      <c r="Y706" s="607"/>
      <c r="Z706" s="607"/>
      <c r="AA706" s="607"/>
      <c r="AB706" s="607"/>
      <c r="AC706" s="607"/>
      <c r="AD706" s="607"/>
      <c r="AE706" s="607"/>
      <c r="AF706" s="607"/>
      <c r="AG706" s="607"/>
      <c r="AH706" s="607"/>
      <c r="AI706" s="607"/>
      <c r="AJ706" s="607"/>
      <c r="AK706" s="607"/>
      <c r="AL706" s="606"/>
      <c r="AM706" s="606"/>
      <c r="AN706" s="606"/>
      <c r="AO706" s="606"/>
    </row>
    <row r="707" spans="1:41" ht="11.25" hidden="1" customHeight="1">
      <c r="A707" s="608"/>
      <c r="B707" s="607"/>
      <c r="C707" s="607"/>
      <c r="D707" s="607"/>
      <c r="E707" s="607"/>
      <c r="F707" s="607"/>
      <c r="G707" s="606"/>
      <c r="H707" s="606"/>
      <c r="I707" s="606"/>
      <c r="J707" s="606"/>
      <c r="K707" s="606"/>
      <c r="L707" s="606"/>
      <c r="M707" s="606"/>
      <c r="N707" s="606"/>
      <c r="O707" s="606"/>
      <c r="P707" s="606"/>
      <c r="Q707" s="606"/>
      <c r="R707" s="606"/>
      <c r="S707" s="606"/>
      <c r="T707" s="606"/>
      <c r="U707" s="606"/>
      <c r="V707" s="606"/>
      <c r="W707" s="606"/>
      <c r="X707" s="640"/>
      <c r="Y707" s="607"/>
      <c r="Z707" s="607"/>
      <c r="AA707" s="607"/>
      <c r="AB707" s="607"/>
      <c r="AC707" s="607"/>
      <c r="AD707" s="607"/>
      <c r="AE707" s="607"/>
      <c r="AF707" s="607"/>
      <c r="AG707" s="607"/>
      <c r="AH707" s="607"/>
      <c r="AI707" s="607"/>
      <c r="AJ707" s="607"/>
      <c r="AK707" s="607"/>
      <c r="AL707" s="606"/>
      <c r="AM707" s="606"/>
      <c r="AN707" s="606"/>
      <c r="AO707" s="606"/>
    </row>
    <row r="708" spans="1:41" ht="11.25" hidden="1" customHeight="1">
      <c r="A708" s="608"/>
      <c r="B708" s="607"/>
      <c r="C708" s="607"/>
      <c r="D708" s="607"/>
      <c r="E708" s="607"/>
      <c r="F708" s="607"/>
      <c r="G708" s="606"/>
      <c r="H708" s="606"/>
      <c r="I708" s="606"/>
      <c r="J708" s="606"/>
      <c r="K708" s="606"/>
      <c r="L708" s="606"/>
      <c r="M708" s="606"/>
      <c r="N708" s="606"/>
      <c r="O708" s="606"/>
      <c r="P708" s="606"/>
      <c r="Q708" s="606"/>
      <c r="R708" s="606"/>
      <c r="S708" s="606"/>
      <c r="T708" s="606"/>
      <c r="U708" s="606"/>
      <c r="V708" s="606"/>
      <c r="W708" s="606"/>
      <c r="X708" s="640"/>
      <c r="Y708" s="607"/>
      <c r="Z708" s="607"/>
      <c r="AA708" s="607"/>
      <c r="AB708" s="607"/>
      <c r="AC708" s="607"/>
      <c r="AD708" s="607"/>
      <c r="AE708" s="607"/>
      <c r="AF708" s="607"/>
      <c r="AG708" s="607"/>
      <c r="AH708" s="607"/>
      <c r="AI708" s="607"/>
      <c r="AJ708" s="607"/>
      <c r="AK708" s="607"/>
      <c r="AL708" s="606"/>
      <c r="AM708" s="606"/>
      <c r="AN708" s="606"/>
      <c r="AO708" s="606"/>
    </row>
    <row r="709" spans="1:41" ht="11.25" hidden="1" customHeight="1">
      <c r="A709" s="608"/>
      <c r="B709" s="607"/>
      <c r="C709" s="607"/>
      <c r="D709" s="607"/>
      <c r="E709" s="607"/>
      <c r="F709" s="607"/>
      <c r="G709" s="606"/>
      <c r="H709" s="606"/>
      <c r="I709" s="606"/>
      <c r="J709" s="606"/>
      <c r="K709" s="606"/>
      <c r="L709" s="606"/>
      <c r="M709" s="606"/>
      <c r="N709" s="606"/>
      <c r="O709" s="606"/>
      <c r="P709" s="606"/>
      <c r="Q709" s="606"/>
      <c r="R709" s="606"/>
      <c r="S709" s="606"/>
      <c r="T709" s="606"/>
      <c r="U709" s="606"/>
      <c r="V709" s="606"/>
      <c r="W709" s="606"/>
      <c r="X709" s="640"/>
      <c r="Y709" s="607"/>
      <c r="Z709" s="607"/>
      <c r="AA709" s="607"/>
      <c r="AB709" s="607"/>
      <c r="AC709" s="607"/>
      <c r="AD709" s="607"/>
      <c r="AE709" s="607"/>
      <c r="AF709" s="607"/>
      <c r="AG709" s="607"/>
      <c r="AH709" s="607"/>
      <c r="AI709" s="607"/>
      <c r="AJ709" s="607"/>
      <c r="AK709" s="607"/>
      <c r="AL709" s="606"/>
      <c r="AM709" s="606"/>
      <c r="AN709" s="606"/>
      <c r="AO709" s="606"/>
    </row>
    <row r="710" spans="1:41" ht="11.25" hidden="1" customHeight="1">
      <c r="A710" s="608"/>
      <c r="B710" s="607"/>
      <c r="C710" s="607"/>
      <c r="D710" s="607"/>
      <c r="E710" s="607"/>
      <c r="F710" s="607"/>
      <c r="G710" s="606"/>
      <c r="H710" s="606"/>
      <c r="I710" s="606"/>
      <c r="J710" s="606"/>
      <c r="K710" s="606"/>
      <c r="L710" s="606"/>
      <c r="M710" s="606"/>
      <c r="N710" s="606"/>
      <c r="O710" s="606"/>
      <c r="P710" s="606"/>
      <c r="Q710" s="606"/>
      <c r="R710" s="606"/>
      <c r="S710" s="606"/>
      <c r="T710" s="606"/>
      <c r="U710" s="606"/>
      <c r="V710" s="606"/>
      <c r="W710" s="606"/>
      <c r="X710" s="640"/>
      <c r="Y710" s="607"/>
      <c r="Z710" s="607"/>
      <c r="AA710" s="607"/>
      <c r="AB710" s="607"/>
      <c r="AC710" s="607"/>
      <c r="AD710" s="607"/>
      <c r="AE710" s="607"/>
      <c r="AF710" s="607"/>
      <c r="AG710" s="607"/>
      <c r="AH710" s="607"/>
      <c r="AI710" s="607"/>
      <c r="AJ710" s="607"/>
      <c r="AK710" s="607"/>
      <c r="AL710" s="606"/>
      <c r="AM710" s="606"/>
      <c r="AN710" s="606"/>
      <c r="AO710" s="606"/>
    </row>
    <row r="711" spans="1:41" ht="11.25" hidden="1" customHeight="1">
      <c r="A711" s="608"/>
      <c r="B711" s="607"/>
      <c r="C711" s="607"/>
      <c r="D711" s="607"/>
      <c r="E711" s="607"/>
      <c r="F711" s="607"/>
      <c r="G711" s="606"/>
      <c r="H711" s="606"/>
      <c r="I711" s="606"/>
      <c r="J711" s="606"/>
      <c r="K711" s="606"/>
      <c r="L711" s="606"/>
      <c r="M711" s="606"/>
      <c r="N711" s="606"/>
      <c r="O711" s="606"/>
      <c r="P711" s="606"/>
      <c r="Q711" s="606"/>
      <c r="R711" s="606"/>
      <c r="S711" s="606"/>
      <c r="T711" s="606"/>
      <c r="U711" s="606"/>
      <c r="V711" s="606"/>
      <c r="W711" s="606"/>
      <c r="X711" s="640"/>
      <c r="Y711" s="607"/>
      <c r="Z711" s="607"/>
      <c r="AA711" s="607"/>
      <c r="AB711" s="607"/>
      <c r="AC711" s="607"/>
      <c r="AD711" s="607"/>
      <c r="AE711" s="607"/>
      <c r="AF711" s="607"/>
      <c r="AG711" s="607"/>
      <c r="AH711" s="607"/>
      <c r="AI711" s="607"/>
      <c r="AJ711" s="607"/>
      <c r="AK711" s="607"/>
      <c r="AL711" s="606"/>
      <c r="AM711" s="606"/>
      <c r="AN711" s="606"/>
      <c r="AO711" s="606"/>
    </row>
    <row r="712" spans="1:41" ht="11.25" hidden="1" customHeight="1">
      <c r="A712" s="608"/>
      <c r="B712" s="607"/>
      <c r="C712" s="607"/>
      <c r="D712" s="607"/>
      <c r="E712" s="607"/>
      <c r="F712" s="607"/>
      <c r="G712" s="606"/>
      <c r="H712" s="606"/>
      <c r="I712" s="606"/>
      <c r="J712" s="606"/>
      <c r="K712" s="606"/>
      <c r="L712" s="606"/>
      <c r="M712" s="606"/>
      <c r="N712" s="606"/>
      <c r="O712" s="606"/>
      <c r="P712" s="606"/>
      <c r="Q712" s="606"/>
      <c r="R712" s="606"/>
      <c r="S712" s="606"/>
      <c r="T712" s="606"/>
      <c r="U712" s="606"/>
      <c r="V712" s="606"/>
      <c r="W712" s="606"/>
      <c r="X712" s="640"/>
      <c r="Y712" s="607"/>
      <c r="Z712" s="607"/>
      <c r="AA712" s="607"/>
      <c r="AB712" s="607"/>
      <c r="AC712" s="607"/>
      <c r="AD712" s="607"/>
      <c r="AE712" s="607"/>
      <c r="AF712" s="607"/>
      <c r="AG712" s="607"/>
      <c r="AH712" s="607"/>
      <c r="AI712" s="607"/>
      <c r="AJ712" s="607"/>
      <c r="AK712" s="607"/>
      <c r="AL712" s="606"/>
      <c r="AM712" s="606"/>
      <c r="AN712" s="606"/>
      <c r="AO712" s="606"/>
    </row>
    <row r="713" spans="1:41" ht="11.25" hidden="1" customHeight="1">
      <c r="A713" s="608"/>
      <c r="B713" s="607"/>
      <c r="C713" s="607"/>
      <c r="D713" s="607"/>
      <c r="E713" s="607"/>
      <c r="F713" s="607"/>
      <c r="G713" s="606"/>
      <c r="H713" s="606"/>
      <c r="I713" s="606"/>
      <c r="J713" s="606"/>
      <c r="K713" s="606"/>
      <c r="L713" s="606"/>
      <c r="M713" s="606"/>
      <c r="N713" s="606"/>
      <c r="O713" s="606"/>
      <c r="P713" s="606"/>
      <c r="Q713" s="606"/>
      <c r="R713" s="606"/>
      <c r="S713" s="606"/>
      <c r="T713" s="606"/>
      <c r="U713" s="606"/>
      <c r="V713" s="606"/>
      <c r="W713" s="606"/>
      <c r="X713" s="640"/>
      <c r="Y713" s="607"/>
      <c r="Z713" s="607"/>
      <c r="AA713" s="607"/>
      <c r="AB713" s="607"/>
      <c r="AC713" s="607"/>
      <c r="AD713" s="607"/>
      <c r="AE713" s="607"/>
      <c r="AF713" s="607"/>
      <c r="AG713" s="607"/>
      <c r="AH713" s="607"/>
      <c r="AI713" s="607"/>
      <c r="AJ713" s="607"/>
      <c r="AK713" s="607"/>
      <c r="AL713" s="606"/>
      <c r="AM713" s="606"/>
      <c r="AN713" s="606"/>
      <c r="AO713" s="606"/>
    </row>
    <row r="714" spans="1:41" ht="11.25" hidden="1" customHeight="1">
      <c r="A714" s="608"/>
      <c r="B714" s="607"/>
      <c r="C714" s="607"/>
      <c r="D714" s="607"/>
      <c r="E714" s="607"/>
      <c r="F714" s="607"/>
      <c r="G714" s="606"/>
      <c r="H714" s="606"/>
      <c r="I714" s="606"/>
      <c r="J714" s="606"/>
      <c r="K714" s="606"/>
      <c r="L714" s="606"/>
      <c r="M714" s="606"/>
      <c r="N714" s="606"/>
      <c r="O714" s="606"/>
      <c r="P714" s="606"/>
      <c r="Q714" s="606"/>
      <c r="R714" s="606"/>
      <c r="S714" s="606"/>
      <c r="T714" s="606"/>
      <c r="U714" s="606"/>
      <c r="V714" s="606"/>
      <c r="W714" s="606"/>
      <c r="X714" s="640"/>
      <c r="Y714" s="607"/>
      <c r="Z714" s="607"/>
      <c r="AA714" s="607"/>
      <c r="AB714" s="607"/>
      <c r="AC714" s="607"/>
      <c r="AD714" s="607"/>
      <c r="AE714" s="607"/>
      <c r="AF714" s="607"/>
      <c r="AG714" s="607"/>
      <c r="AH714" s="607"/>
      <c r="AI714" s="607"/>
      <c r="AJ714" s="607"/>
      <c r="AK714" s="607"/>
      <c r="AL714" s="606"/>
      <c r="AM714" s="606"/>
      <c r="AN714" s="606"/>
      <c r="AO714" s="606"/>
    </row>
    <row r="715" spans="1:41" ht="11.25" hidden="1" customHeight="1">
      <c r="A715" s="608"/>
      <c r="B715" s="607"/>
      <c r="C715" s="607"/>
      <c r="D715" s="607"/>
      <c r="E715" s="607"/>
      <c r="F715" s="607"/>
      <c r="G715" s="606"/>
      <c r="H715" s="606"/>
      <c r="I715" s="606"/>
      <c r="J715" s="606"/>
      <c r="K715" s="606"/>
      <c r="L715" s="606"/>
      <c r="M715" s="606"/>
      <c r="N715" s="606"/>
      <c r="O715" s="606"/>
      <c r="P715" s="606"/>
      <c r="Q715" s="606"/>
      <c r="R715" s="606"/>
      <c r="S715" s="606"/>
      <c r="T715" s="606"/>
      <c r="U715" s="606"/>
      <c r="V715" s="606"/>
      <c r="W715" s="606"/>
      <c r="X715" s="640"/>
      <c r="Y715" s="607"/>
      <c r="Z715" s="607"/>
      <c r="AA715" s="607"/>
      <c r="AB715" s="607"/>
      <c r="AC715" s="607"/>
      <c r="AD715" s="607"/>
      <c r="AE715" s="607"/>
      <c r="AF715" s="607"/>
      <c r="AG715" s="607"/>
      <c r="AH715" s="607"/>
      <c r="AI715" s="607"/>
      <c r="AJ715" s="607"/>
      <c r="AK715" s="607"/>
      <c r="AL715" s="606"/>
      <c r="AM715" s="606"/>
      <c r="AN715" s="606"/>
      <c r="AO715" s="606"/>
    </row>
    <row r="716" spans="1:41" ht="11.25" hidden="1" customHeight="1">
      <c r="A716" s="608"/>
      <c r="B716" s="607"/>
      <c r="C716" s="607"/>
      <c r="D716" s="607"/>
      <c r="E716" s="607"/>
      <c r="F716" s="607"/>
      <c r="G716" s="606"/>
      <c r="H716" s="606"/>
      <c r="I716" s="606"/>
      <c r="J716" s="606"/>
      <c r="K716" s="606"/>
      <c r="L716" s="606"/>
      <c r="M716" s="606"/>
      <c r="N716" s="606"/>
      <c r="O716" s="606"/>
      <c r="P716" s="606"/>
      <c r="Q716" s="606"/>
      <c r="R716" s="606"/>
      <c r="S716" s="606"/>
      <c r="T716" s="606"/>
      <c r="U716" s="606"/>
      <c r="V716" s="606"/>
      <c r="W716" s="606"/>
      <c r="X716" s="640"/>
      <c r="Y716" s="607"/>
      <c r="Z716" s="607"/>
      <c r="AA716" s="607"/>
      <c r="AB716" s="607"/>
      <c r="AC716" s="607"/>
      <c r="AD716" s="607"/>
      <c r="AE716" s="607"/>
      <c r="AF716" s="607"/>
      <c r="AG716" s="607"/>
      <c r="AH716" s="607"/>
      <c r="AI716" s="607"/>
      <c r="AJ716" s="607"/>
      <c r="AK716" s="607"/>
      <c r="AL716" s="606"/>
      <c r="AM716" s="606"/>
      <c r="AN716" s="606"/>
      <c r="AO716" s="606"/>
    </row>
    <row r="717" spans="1:41" ht="11.25" hidden="1" customHeight="1">
      <c r="A717" s="608"/>
      <c r="B717" s="607"/>
      <c r="C717" s="607"/>
      <c r="D717" s="607"/>
      <c r="E717" s="607"/>
      <c r="F717" s="607"/>
      <c r="G717" s="606"/>
      <c r="H717" s="606"/>
      <c r="I717" s="606"/>
      <c r="J717" s="606"/>
      <c r="K717" s="606"/>
      <c r="L717" s="606"/>
      <c r="M717" s="606"/>
      <c r="N717" s="606"/>
      <c r="O717" s="606"/>
      <c r="P717" s="606"/>
      <c r="Q717" s="606"/>
      <c r="R717" s="606"/>
      <c r="S717" s="606"/>
      <c r="T717" s="606"/>
      <c r="U717" s="606"/>
      <c r="V717" s="606"/>
      <c r="W717" s="606"/>
      <c r="X717" s="640"/>
      <c r="Y717" s="607"/>
      <c r="Z717" s="607"/>
      <c r="AA717" s="607"/>
      <c r="AB717" s="607"/>
      <c r="AC717" s="607"/>
      <c r="AD717" s="607"/>
      <c r="AE717" s="607"/>
      <c r="AF717" s="607"/>
      <c r="AG717" s="607"/>
      <c r="AH717" s="607"/>
      <c r="AI717" s="607"/>
      <c r="AJ717" s="607"/>
      <c r="AK717" s="607"/>
      <c r="AL717" s="606"/>
      <c r="AM717" s="606"/>
      <c r="AN717" s="606"/>
      <c r="AO717" s="606"/>
    </row>
    <row r="718" spans="1:41" ht="11.25" hidden="1" customHeight="1">
      <c r="A718" s="608"/>
      <c r="B718" s="607"/>
      <c r="C718" s="607"/>
      <c r="D718" s="607"/>
      <c r="E718" s="607"/>
      <c r="F718" s="607"/>
      <c r="G718" s="606"/>
      <c r="H718" s="606"/>
      <c r="I718" s="606"/>
      <c r="J718" s="606"/>
      <c r="K718" s="606"/>
      <c r="L718" s="606"/>
      <c r="M718" s="606"/>
      <c r="N718" s="606"/>
      <c r="O718" s="606"/>
      <c r="P718" s="606"/>
      <c r="Q718" s="606"/>
      <c r="R718" s="606"/>
      <c r="S718" s="606"/>
      <c r="T718" s="606"/>
      <c r="U718" s="606"/>
      <c r="V718" s="606"/>
      <c r="W718" s="606"/>
      <c r="X718" s="640"/>
      <c r="Y718" s="607"/>
      <c r="Z718" s="607"/>
      <c r="AA718" s="607"/>
      <c r="AB718" s="607"/>
      <c r="AC718" s="607"/>
      <c r="AD718" s="607"/>
      <c r="AE718" s="607"/>
      <c r="AF718" s="607"/>
      <c r="AG718" s="607"/>
      <c r="AH718" s="607"/>
      <c r="AI718" s="607"/>
      <c r="AJ718" s="607"/>
      <c r="AK718" s="607"/>
      <c r="AL718" s="606"/>
      <c r="AM718" s="606"/>
      <c r="AN718" s="606"/>
      <c r="AO718" s="606"/>
    </row>
    <row r="719" spans="1:41" ht="11.25" hidden="1" customHeight="1">
      <c r="A719" s="608"/>
      <c r="B719" s="607"/>
      <c r="C719" s="607"/>
      <c r="D719" s="607"/>
      <c r="E719" s="607"/>
      <c r="F719" s="607"/>
      <c r="G719" s="606"/>
      <c r="H719" s="606"/>
      <c r="I719" s="606"/>
      <c r="J719" s="606"/>
      <c r="K719" s="606"/>
      <c r="L719" s="606"/>
      <c r="M719" s="606"/>
      <c r="N719" s="606"/>
      <c r="O719" s="606"/>
      <c r="P719" s="606"/>
      <c r="Q719" s="606"/>
      <c r="R719" s="606"/>
      <c r="S719" s="606"/>
      <c r="T719" s="606"/>
      <c r="U719" s="606"/>
      <c r="V719" s="606"/>
      <c r="W719" s="606"/>
      <c r="X719" s="640"/>
      <c r="Y719" s="607"/>
      <c r="Z719" s="607"/>
      <c r="AA719" s="607"/>
      <c r="AB719" s="607"/>
      <c r="AC719" s="607"/>
      <c r="AD719" s="607"/>
      <c r="AE719" s="607"/>
      <c r="AF719" s="607"/>
      <c r="AG719" s="607"/>
      <c r="AH719" s="607"/>
      <c r="AI719" s="607"/>
      <c r="AJ719" s="607"/>
      <c r="AK719" s="607"/>
      <c r="AL719" s="606"/>
      <c r="AM719" s="606"/>
      <c r="AN719" s="606"/>
      <c r="AO719" s="606"/>
    </row>
    <row r="720" spans="1:41" ht="11.25" hidden="1" customHeight="1">
      <c r="A720" s="608"/>
      <c r="B720" s="607"/>
      <c r="C720" s="607"/>
      <c r="D720" s="607"/>
      <c r="E720" s="607"/>
      <c r="F720" s="607"/>
      <c r="G720" s="606"/>
      <c r="H720" s="606"/>
      <c r="I720" s="606"/>
      <c r="J720" s="606"/>
      <c r="K720" s="606"/>
      <c r="L720" s="606"/>
      <c r="M720" s="606"/>
      <c r="N720" s="606"/>
      <c r="O720" s="606"/>
      <c r="P720" s="606"/>
      <c r="Q720" s="606"/>
      <c r="R720" s="606"/>
      <c r="S720" s="606"/>
      <c r="T720" s="606"/>
      <c r="U720" s="606"/>
      <c r="V720" s="606"/>
      <c r="W720" s="606"/>
      <c r="X720" s="640"/>
      <c r="Y720" s="607"/>
      <c r="Z720" s="607"/>
      <c r="AA720" s="607"/>
      <c r="AB720" s="607"/>
      <c r="AC720" s="607"/>
      <c r="AD720" s="607"/>
      <c r="AE720" s="607"/>
      <c r="AF720" s="607"/>
      <c r="AG720" s="607"/>
      <c r="AH720" s="607"/>
      <c r="AI720" s="607"/>
      <c r="AJ720" s="607"/>
      <c r="AK720" s="607"/>
      <c r="AL720" s="606"/>
      <c r="AM720" s="606"/>
      <c r="AN720" s="606"/>
      <c r="AO720" s="606"/>
    </row>
    <row r="721" spans="1:41" ht="11.25" hidden="1" customHeight="1">
      <c r="A721" s="608"/>
      <c r="B721" s="607"/>
      <c r="C721" s="607"/>
      <c r="D721" s="607"/>
      <c r="E721" s="607"/>
      <c r="F721" s="607"/>
      <c r="G721" s="606"/>
      <c r="H721" s="606"/>
      <c r="I721" s="606"/>
      <c r="J721" s="606"/>
      <c r="K721" s="606"/>
      <c r="L721" s="606"/>
      <c r="M721" s="606"/>
      <c r="N721" s="606"/>
      <c r="O721" s="606"/>
      <c r="P721" s="606"/>
      <c r="Q721" s="606"/>
      <c r="R721" s="606"/>
      <c r="S721" s="606"/>
      <c r="T721" s="606"/>
      <c r="U721" s="606"/>
      <c r="V721" s="606"/>
      <c r="W721" s="606"/>
      <c r="X721" s="640"/>
      <c r="Y721" s="607"/>
      <c r="Z721" s="607"/>
      <c r="AA721" s="607"/>
      <c r="AB721" s="607"/>
      <c r="AC721" s="607"/>
      <c r="AD721" s="607"/>
      <c r="AE721" s="607"/>
      <c r="AF721" s="607"/>
      <c r="AG721" s="607"/>
      <c r="AH721" s="607"/>
      <c r="AI721" s="607"/>
      <c r="AJ721" s="607"/>
      <c r="AK721" s="607"/>
      <c r="AL721" s="606"/>
      <c r="AM721" s="606"/>
      <c r="AN721" s="606"/>
      <c r="AO721" s="606"/>
    </row>
    <row r="722" spans="1:41" ht="11.25" hidden="1" customHeight="1">
      <c r="A722" s="608"/>
      <c r="B722" s="607"/>
      <c r="C722" s="607"/>
      <c r="D722" s="607"/>
      <c r="E722" s="607"/>
      <c r="F722" s="607"/>
      <c r="G722" s="606"/>
      <c r="H722" s="606"/>
      <c r="I722" s="606"/>
      <c r="J722" s="606"/>
      <c r="K722" s="606"/>
      <c r="L722" s="606"/>
      <c r="M722" s="606"/>
      <c r="N722" s="606"/>
      <c r="O722" s="606"/>
      <c r="P722" s="606"/>
      <c r="Q722" s="606"/>
      <c r="R722" s="606"/>
      <c r="S722" s="606"/>
      <c r="T722" s="606"/>
      <c r="U722" s="606"/>
      <c r="V722" s="606"/>
      <c r="W722" s="606"/>
      <c r="X722" s="640"/>
      <c r="Y722" s="607"/>
      <c r="Z722" s="607"/>
      <c r="AA722" s="607"/>
      <c r="AB722" s="607"/>
      <c r="AC722" s="607"/>
      <c r="AD722" s="607"/>
      <c r="AE722" s="607"/>
      <c r="AF722" s="607"/>
      <c r="AG722" s="607"/>
      <c r="AH722" s="607"/>
      <c r="AI722" s="607"/>
      <c r="AJ722" s="607"/>
      <c r="AK722" s="607"/>
      <c r="AL722" s="606"/>
      <c r="AM722" s="606"/>
      <c r="AN722" s="606"/>
      <c r="AO722" s="606"/>
    </row>
    <row r="723" spans="1:41" ht="11.25" hidden="1" customHeight="1">
      <c r="A723" s="608"/>
      <c r="B723" s="607"/>
      <c r="C723" s="607"/>
      <c r="D723" s="607"/>
      <c r="E723" s="607"/>
      <c r="F723" s="607"/>
      <c r="G723" s="606"/>
      <c r="H723" s="606"/>
      <c r="I723" s="606"/>
      <c r="J723" s="606"/>
      <c r="K723" s="606"/>
      <c r="L723" s="606"/>
      <c r="M723" s="606"/>
      <c r="N723" s="606"/>
      <c r="O723" s="606"/>
      <c r="P723" s="606"/>
      <c r="Q723" s="606"/>
      <c r="R723" s="606"/>
      <c r="S723" s="606"/>
      <c r="T723" s="606"/>
      <c r="U723" s="606"/>
      <c r="V723" s="606"/>
      <c r="W723" s="606"/>
      <c r="X723" s="640"/>
      <c r="Y723" s="607"/>
      <c r="Z723" s="607"/>
      <c r="AA723" s="607"/>
      <c r="AB723" s="607"/>
      <c r="AC723" s="607"/>
      <c r="AD723" s="607"/>
      <c r="AE723" s="607"/>
      <c r="AF723" s="607"/>
      <c r="AG723" s="607"/>
      <c r="AH723" s="607"/>
      <c r="AI723" s="607"/>
      <c r="AJ723" s="607"/>
      <c r="AK723" s="607"/>
      <c r="AL723" s="606"/>
      <c r="AM723" s="606"/>
      <c r="AN723" s="606"/>
      <c r="AO723" s="606"/>
    </row>
    <row r="724" spans="1:41" ht="11.25" hidden="1" customHeight="1">
      <c r="A724" s="608"/>
      <c r="B724" s="607"/>
      <c r="C724" s="607"/>
      <c r="D724" s="607"/>
      <c r="E724" s="607"/>
      <c r="F724" s="607"/>
      <c r="G724" s="606"/>
      <c r="H724" s="606"/>
      <c r="I724" s="606"/>
      <c r="J724" s="606"/>
      <c r="K724" s="606"/>
      <c r="L724" s="606"/>
      <c r="M724" s="606"/>
      <c r="N724" s="606"/>
      <c r="O724" s="606"/>
      <c r="P724" s="606"/>
      <c r="Q724" s="606"/>
      <c r="R724" s="606"/>
      <c r="S724" s="606"/>
      <c r="T724" s="606"/>
      <c r="U724" s="606"/>
      <c r="V724" s="606"/>
      <c r="W724" s="606"/>
      <c r="X724" s="640"/>
      <c r="Y724" s="607"/>
      <c r="Z724" s="607"/>
      <c r="AA724" s="607"/>
      <c r="AB724" s="607"/>
      <c r="AC724" s="607"/>
      <c r="AD724" s="607"/>
      <c r="AE724" s="607"/>
      <c r="AF724" s="607"/>
      <c r="AG724" s="607"/>
      <c r="AH724" s="607"/>
      <c r="AI724" s="607"/>
      <c r="AJ724" s="607"/>
      <c r="AK724" s="607"/>
      <c r="AL724" s="606"/>
      <c r="AM724" s="606"/>
      <c r="AN724" s="606"/>
      <c r="AO724" s="606"/>
    </row>
    <row r="725" spans="1:41" ht="11.25" hidden="1" customHeight="1">
      <c r="A725" s="608"/>
      <c r="B725" s="607"/>
      <c r="C725" s="607"/>
      <c r="D725" s="607"/>
      <c r="E725" s="607"/>
      <c r="F725" s="607"/>
      <c r="G725" s="606"/>
      <c r="H725" s="606"/>
      <c r="I725" s="606"/>
      <c r="J725" s="606"/>
      <c r="K725" s="606"/>
      <c r="L725" s="606"/>
      <c r="M725" s="606"/>
      <c r="N725" s="606"/>
      <c r="O725" s="606"/>
      <c r="P725" s="606"/>
      <c r="Q725" s="606"/>
      <c r="R725" s="606"/>
      <c r="S725" s="606"/>
      <c r="T725" s="606"/>
      <c r="U725" s="606"/>
      <c r="V725" s="606"/>
      <c r="W725" s="606"/>
      <c r="X725" s="640"/>
      <c r="Y725" s="607"/>
      <c r="Z725" s="607"/>
      <c r="AA725" s="607"/>
      <c r="AB725" s="607"/>
      <c r="AC725" s="607"/>
      <c r="AD725" s="607"/>
      <c r="AE725" s="607"/>
      <c r="AF725" s="607"/>
      <c r="AG725" s="607"/>
      <c r="AH725" s="607"/>
      <c r="AI725" s="607"/>
      <c r="AJ725" s="607"/>
      <c r="AK725" s="607"/>
      <c r="AL725" s="606"/>
      <c r="AM725" s="606"/>
      <c r="AN725" s="606"/>
      <c r="AO725" s="606"/>
    </row>
    <row r="726" spans="1:41" ht="11.25" hidden="1" customHeight="1">
      <c r="A726" s="608"/>
      <c r="B726" s="607"/>
      <c r="C726" s="607"/>
      <c r="D726" s="607"/>
      <c r="E726" s="607"/>
      <c r="F726" s="607"/>
      <c r="G726" s="606"/>
      <c r="H726" s="606"/>
      <c r="I726" s="606"/>
      <c r="J726" s="606"/>
      <c r="K726" s="606"/>
      <c r="L726" s="606"/>
      <c r="M726" s="606"/>
      <c r="N726" s="606"/>
      <c r="O726" s="606"/>
      <c r="P726" s="606"/>
      <c r="Q726" s="606"/>
      <c r="R726" s="606"/>
      <c r="S726" s="606"/>
      <c r="T726" s="606"/>
      <c r="U726" s="606"/>
      <c r="V726" s="606"/>
      <c r="W726" s="606"/>
      <c r="X726" s="640"/>
      <c r="Y726" s="607"/>
      <c r="Z726" s="607"/>
      <c r="AA726" s="607"/>
      <c r="AB726" s="607"/>
      <c r="AC726" s="607"/>
      <c r="AD726" s="607"/>
      <c r="AE726" s="607"/>
      <c r="AF726" s="607"/>
      <c r="AG726" s="607"/>
      <c r="AH726" s="607"/>
      <c r="AI726" s="607"/>
      <c r="AJ726" s="607"/>
      <c r="AK726" s="607"/>
      <c r="AL726" s="606"/>
      <c r="AM726" s="606"/>
      <c r="AN726" s="606"/>
      <c r="AO726" s="606"/>
    </row>
    <row r="727" spans="1:41" ht="11.25" hidden="1" customHeight="1">
      <c r="A727" s="608"/>
      <c r="B727" s="607"/>
      <c r="C727" s="607"/>
      <c r="D727" s="607"/>
      <c r="E727" s="607"/>
      <c r="F727" s="607"/>
      <c r="G727" s="606"/>
      <c r="H727" s="606"/>
      <c r="I727" s="606"/>
      <c r="J727" s="606"/>
      <c r="K727" s="606"/>
      <c r="L727" s="606"/>
      <c r="M727" s="606"/>
      <c r="N727" s="606"/>
      <c r="O727" s="606"/>
      <c r="P727" s="606"/>
      <c r="Q727" s="606"/>
      <c r="R727" s="606"/>
      <c r="S727" s="606"/>
      <c r="T727" s="606"/>
      <c r="U727" s="606"/>
      <c r="V727" s="606"/>
      <c r="W727" s="606"/>
      <c r="X727" s="640"/>
      <c r="Y727" s="607"/>
      <c r="Z727" s="607"/>
      <c r="AA727" s="607"/>
      <c r="AB727" s="607"/>
      <c r="AC727" s="607"/>
      <c r="AD727" s="607"/>
      <c r="AE727" s="607"/>
      <c r="AF727" s="607"/>
      <c r="AG727" s="607"/>
      <c r="AH727" s="607"/>
      <c r="AI727" s="607"/>
      <c r="AJ727" s="607"/>
      <c r="AK727" s="607"/>
      <c r="AL727" s="606"/>
      <c r="AM727" s="606"/>
      <c r="AN727" s="606"/>
      <c r="AO727" s="606"/>
    </row>
    <row r="728" spans="1:41" ht="11.25" hidden="1" customHeight="1">
      <c r="A728" s="608"/>
      <c r="B728" s="607"/>
      <c r="C728" s="607"/>
      <c r="D728" s="607"/>
      <c r="E728" s="607"/>
      <c r="F728" s="607"/>
      <c r="G728" s="606"/>
      <c r="H728" s="606"/>
      <c r="I728" s="606"/>
      <c r="J728" s="606"/>
      <c r="K728" s="606"/>
      <c r="L728" s="606"/>
      <c r="M728" s="606"/>
      <c r="N728" s="606"/>
      <c r="O728" s="606"/>
      <c r="P728" s="606"/>
      <c r="Q728" s="606"/>
      <c r="R728" s="606"/>
      <c r="S728" s="606"/>
      <c r="T728" s="606"/>
      <c r="U728" s="606"/>
      <c r="V728" s="606"/>
      <c r="W728" s="606"/>
      <c r="X728" s="640"/>
      <c r="Y728" s="607"/>
      <c r="Z728" s="607"/>
      <c r="AA728" s="607"/>
      <c r="AB728" s="607"/>
      <c r="AC728" s="607"/>
      <c r="AD728" s="607"/>
      <c r="AE728" s="607"/>
      <c r="AF728" s="607"/>
      <c r="AG728" s="607"/>
      <c r="AH728" s="607"/>
      <c r="AI728" s="607"/>
      <c r="AJ728" s="607"/>
      <c r="AK728" s="607"/>
      <c r="AL728" s="606"/>
      <c r="AM728" s="606"/>
      <c r="AN728" s="606"/>
      <c r="AO728" s="606"/>
    </row>
    <row r="729" spans="1:41" ht="11.25" hidden="1" customHeight="1">
      <c r="A729" s="608"/>
      <c r="B729" s="607"/>
      <c r="C729" s="607"/>
      <c r="D729" s="607"/>
      <c r="E729" s="607"/>
      <c r="F729" s="607"/>
      <c r="G729" s="606"/>
      <c r="H729" s="606"/>
      <c r="I729" s="606"/>
      <c r="J729" s="606"/>
      <c r="K729" s="606"/>
      <c r="L729" s="606"/>
      <c r="M729" s="606"/>
      <c r="N729" s="606"/>
      <c r="O729" s="606"/>
      <c r="P729" s="606"/>
      <c r="Q729" s="606"/>
      <c r="R729" s="606"/>
      <c r="S729" s="606"/>
      <c r="T729" s="606"/>
      <c r="U729" s="606"/>
      <c r="V729" s="606"/>
      <c r="W729" s="606"/>
      <c r="X729" s="640"/>
      <c r="Y729" s="607"/>
      <c r="Z729" s="607"/>
      <c r="AA729" s="607"/>
      <c r="AB729" s="607"/>
      <c r="AC729" s="607"/>
      <c r="AD729" s="607"/>
      <c r="AE729" s="607"/>
      <c r="AF729" s="607"/>
      <c r="AG729" s="607"/>
      <c r="AH729" s="607"/>
      <c r="AI729" s="607"/>
      <c r="AJ729" s="607"/>
      <c r="AK729" s="607"/>
      <c r="AL729" s="606"/>
      <c r="AM729" s="606"/>
      <c r="AN729" s="606"/>
      <c r="AO729" s="606"/>
    </row>
    <row r="730" spans="1:41" ht="11.25" hidden="1" customHeight="1">
      <c r="A730" s="608"/>
      <c r="B730" s="607"/>
      <c r="C730" s="607"/>
      <c r="D730" s="607"/>
      <c r="E730" s="607"/>
      <c r="F730" s="607"/>
      <c r="G730" s="606"/>
      <c r="H730" s="606"/>
      <c r="I730" s="606"/>
      <c r="J730" s="606"/>
      <c r="K730" s="606"/>
      <c r="L730" s="606"/>
      <c r="M730" s="606"/>
      <c r="N730" s="606"/>
      <c r="O730" s="606"/>
      <c r="P730" s="606"/>
      <c r="Q730" s="606"/>
      <c r="R730" s="606"/>
      <c r="S730" s="606"/>
      <c r="T730" s="606"/>
      <c r="U730" s="606"/>
      <c r="V730" s="606"/>
      <c r="W730" s="606"/>
      <c r="X730" s="640"/>
      <c r="Y730" s="607"/>
      <c r="Z730" s="607"/>
      <c r="AA730" s="607"/>
      <c r="AB730" s="607"/>
      <c r="AC730" s="607"/>
      <c r="AD730" s="607"/>
      <c r="AE730" s="607"/>
      <c r="AF730" s="607"/>
      <c r="AG730" s="607"/>
      <c r="AH730" s="607"/>
      <c r="AI730" s="607"/>
      <c r="AJ730" s="607"/>
      <c r="AK730" s="607"/>
      <c r="AL730" s="606"/>
      <c r="AM730" s="606"/>
      <c r="AN730" s="606"/>
      <c r="AO730" s="606"/>
    </row>
    <row r="731" spans="1:41" ht="11.25" hidden="1" customHeight="1">
      <c r="A731" s="608"/>
      <c r="B731" s="607"/>
      <c r="C731" s="607"/>
      <c r="D731" s="607"/>
      <c r="E731" s="607"/>
      <c r="F731" s="607"/>
      <c r="G731" s="606"/>
      <c r="H731" s="606"/>
      <c r="I731" s="606"/>
      <c r="J731" s="606"/>
      <c r="K731" s="606"/>
      <c r="L731" s="606"/>
      <c r="M731" s="606"/>
      <c r="N731" s="606"/>
      <c r="O731" s="606"/>
      <c r="P731" s="606"/>
      <c r="Q731" s="606"/>
      <c r="R731" s="606"/>
      <c r="S731" s="606"/>
      <c r="T731" s="606"/>
      <c r="U731" s="606"/>
      <c r="V731" s="606"/>
      <c r="W731" s="606"/>
      <c r="X731" s="640"/>
      <c r="Y731" s="607"/>
      <c r="Z731" s="607"/>
      <c r="AA731" s="607"/>
      <c r="AB731" s="607"/>
      <c r="AC731" s="607"/>
      <c r="AD731" s="607"/>
      <c r="AE731" s="607"/>
      <c r="AF731" s="607"/>
      <c r="AG731" s="607"/>
      <c r="AH731" s="607"/>
      <c r="AI731" s="607"/>
      <c r="AJ731" s="607"/>
      <c r="AK731" s="607"/>
      <c r="AL731" s="606"/>
      <c r="AM731" s="606"/>
      <c r="AN731" s="606"/>
      <c r="AO731" s="606"/>
    </row>
    <row r="732" spans="1:41" ht="11.25" hidden="1" customHeight="1">
      <c r="A732" s="608"/>
      <c r="B732" s="607"/>
      <c r="C732" s="607"/>
      <c r="D732" s="607"/>
      <c r="E732" s="607"/>
      <c r="F732" s="607"/>
      <c r="G732" s="606"/>
      <c r="H732" s="606"/>
      <c r="I732" s="606"/>
      <c r="J732" s="606"/>
      <c r="K732" s="606"/>
      <c r="L732" s="606"/>
      <c r="M732" s="606"/>
      <c r="N732" s="606"/>
      <c r="O732" s="606"/>
      <c r="P732" s="606"/>
      <c r="Q732" s="606"/>
      <c r="R732" s="606"/>
      <c r="S732" s="606"/>
      <c r="T732" s="606"/>
      <c r="U732" s="606"/>
      <c r="V732" s="606"/>
      <c r="W732" s="606"/>
      <c r="X732" s="640"/>
      <c r="Y732" s="607"/>
      <c r="Z732" s="607"/>
      <c r="AA732" s="607"/>
      <c r="AB732" s="607"/>
      <c r="AC732" s="607"/>
      <c r="AD732" s="607"/>
      <c r="AE732" s="607"/>
      <c r="AF732" s="607"/>
      <c r="AG732" s="607"/>
      <c r="AH732" s="607"/>
      <c r="AI732" s="607"/>
      <c r="AJ732" s="607"/>
      <c r="AK732" s="607"/>
      <c r="AL732" s="606"/>
      <c r="AM732" s="606"/>
      <c r="AN732" s="606"/>
      <c r="AO732" s="606"/>
    </row>
    <row r="733" spans="1:41" ht="11.25" hidden="1" customHeight="1">
      <c r="A733" s="608"/>
      <c r="B733" s="607"/>
      <c r="C733" s="607"/>
      <c r="D733" s="607"/>
      <c r="E733" s="607"/>
      <c r="F733" s="607"/>
      <c r="G733" s="606"/>
      <c r="H733" s="606"/>
      <c r="I733" s="606"/>
      <c r="J733" s="606"/>
      <c r="K733" s="606"/>
      <c r="L733" s="606"/>
      <c r="M733" s="606"/>
      <c r="N733" s="606"/>
      <c r="O733" s="606"/>
      <c r="P733" s="606"/>
      <c r="Q733" s="606"/>
      <c r="R733" s="606"/>
      <c r="S733" s="606"/>
      <c r="T733" s="606"/>
      <c r="U733" s="606"/>
      <c r="V733" s="606"/>
      <c r="W733" s="606"/>
      <c r="X733" s="640"/>
      <c r="Y733" s="607"/>
      <c r="Z733" s="607"/>
      <c r="AA733" s="607"/>
      <c r="AB733" s="607"/>
      <c r="AC733" s="607"/>
      <c r="AD733" s="607"/>
      <c r="AE733" s="607"/>
      <c r="AF733" s="607"/>
      <c r="AG733" s="607"/>
      <c r="AH733" s="607"/>
      <c r="AI733" s="607"/>
      <c r="AJ733" s="607"/>
      <c r="AK733" s="607"/>
      <c r="AL733" s="606"/>
      <c r="AM733" s="606"/>
      <c r="AN733" s="606"/>
      <c r="AO733" s="606"/>
    </row>
    <row r="734" spans="1:41" ht="11.25" hidden="1" customHeight="1">
      <c r="A734" s="608"/>
      <c r="B734" s="607"/>
      <c r="C734" s="607"/>
      <c r="D734" s="607"/>
      <c r="E734" s="607"/>
      <c r="F734" s="607"/>
      <c r="G734" s="606"/>
      <c r="H734" s="606"/>
      <c r="I734" s="606"/>
      <c r="J734" s="606"/>
      <c r="K734" s="606"/>
      <c r="L734" s="606"/>
      <c r="M734" s="606"/>
      <c r="N734" s="606"/>
      <c r="O734" s="606"/>
      <c r="P734" s="606"/>
      <c r="Q734" s="606"/>
      <c r="R734" s="606"/>
      <c r="S734" s="606"/>
      <c r="T734" s="606"/>
      <c r="U734" s="606"/>
      <c r="V734" s="606"/>
      <c r="W734" s="606"/>
      <c r="X734" s="640"/>
      <c r="Y734" s="607"/>
      <c r="Z734" s="607"/>
      <c r="AA734" s="607"/>
      <c r="AB734" s="607"/>
      <c r="AC734" s="607"/>
      <c r="AD734" s="607"/>
      <c r="AE734" s="607"/>
      <c r="AF734" s="607"/>
      <c r="AG734" s="607"/>
      <c r="AH734" s="607"/>
      <c r="AI734" s="607"/>
      <c r="AJ734" s="607"/>
      <c r="AK734" s="607"/>
      <c r="AL734" s="606"/>
      <c r="AM734" s="606"/>
      <c r="AN734" s="606"/>
      <c r="AO734" s="606"/>
    </row>
    <row r="735" spans="1:41" ht="11.25" hidden="1" customHeight="1">
      <c r="A735" s="608"/>
      <c r="B735" s="607"/>
      <c r="C735" s="607"/>
      <c r="D735" s="607"/>
      <c r="E735" s="607"/>
      <c r="F735" s="607"/>
      <c r="G735" s="606"/>
      <c r="H735" s="606"/>
      <c r="I735" s="606"/>
      <c r="J735" s="606"/>
      <c r="K735" s="606"/>
      <c r="L735" s="606"/>
      <c r="M735" s="606"/>
      <c r="N735" s="606"/>
      <c r="O735" s="606"/>
      <c r="P735" s="606"/>
      <c r="Q735" s="606"/>
      <c r="R735" s="606"/>
      <c r="S735" s="606"/>
      <c r="T735" s="606"/>
      <c r="U735" s="606"/>
      <c r="V735" s="606"/>
      <c r="W735" s="606"/>
      <c r="X735" s="640"/>
      <c r="Y735" s="607"/>
      <c r="Z735" s="607"/>
      <c r="AA735" s="607"/>
      <c r="AB735" s="607"/>
      <c r="AC735" s="607"/>
      <c r="AD735" s="607"/>
      <c r="AE735" s="607"/>
      <c r="AF735" s="607"/>
      <c r="AG735" s="607"/>
      <c r="AH735" s="607"/>
      <c r="AI735" s="607"/>
      <c r="AJ735" s="607"/>
      <c r="AK735" s="607"/>
      <c r="AL735" s="606"/>
      <c r="AM735" s="606"/>
      <c r="AN735" s="606"/>
      <c r="AO735" s="606"/>
    </row>
    <row r="736" spans="1:41" ht="11.25" hidden="1" customHeight="1">
      <c r="A736" s="608"/>
      <c r="B736" s="607"/>
      <c r="C736" s="607"/>
      <c r="D736" s="607"/>
      <c r="E736" s="607"/>
      <c r="F736" s="607"/>
      <c r="G736" s="606"/>
      <c r="H736" s="606"/>
      <c r="I736" s="606"/>
      <c r="J736" s="606"/>
      <c r="K736" s="606"/>
      <c r="L736" s="606"/>
      <c r="M736" s="606"/>
      <c r="N736" s="606"/>
      <c r="O736" s="606"/>
      <c r="P736" s="606"/>
      <c r="Q736" s="606"/>
      <c r="R736" s="606"/>
      <c r="S736" s="606"/>
      <c r="T736" s="606"/>
      <c r="U736" s="606"/>
      <c r="V736" s="606"/>
      <c r="W736" s="606"/>
      <c r="X736" s="640"/>
      <c r="Y736" s="607"/>
      <c r="Z736" s="607"/>
      <c r="AA736" s="607"/>
      <c r="AB736" s="607"/>
      <c r="AC736" s="607"/>
      <c r="AD736" s="607"/>
      <c r="AE736" s="607"/>
      <c r="AF736" s="607"/>
      <c r="AG736" s="607"/>
      <c r="AH736" s="607"/>
      <c r="AI736" s="607"/>
      <c r="AJ736" s="607"/>
      <c r="AK736" s="607"/>
      <c r="AL736" s="606"/>
      <c r="AM736" s="606"/>
      <c r="AN736" s="606"/>
      <c r="AO736" s="606"/>
    </row>
    <row r="737" spans="1:41" ht="11.25" hidden="1" customHeight="1">
      <c r="A737" s="608"/>
      <c r="B737" s="607"/>
      <c r="C737" s="607"/>
      <c r="D737" s="607"/>
      <c r="E737" s="607"/>
      <c r="F737" s="607"/>
      <c r="G737" s="606"/>
      <c r="H737" s="606"/>
      <c r="I737" s="606"/>
      <c r="J737" s="606"/>
      <c r="K737" s="606"/>
      <c r="L737" s="606"/>
      <c r="M737" s="606"/>
      <c r="N737" s="606"/>
      <c r="O737" s="606"/>
      <c r="P737" s="606"/>
      <c r="Q737" s="606"/>
      <c r="R737" s="606"/>
      <c r="S737" s="606"/>
      <c r="T737" s="606"/>
      <c r="U737" s="606"/>
      <c r="V737" s="606"/>
      <c r="W737" s="606"/>
      <c r="X737" s="640"/>
      <c r="Y737" s="607"/>
      <c r="Z737" s="607"/>
      <c r="AA737" s="607"/>
      <c r="AB737" s="607"/>
      <c r="AC737" s="607"/>
      <c r="AD737" s="607"/>
      <c r="AE737" s="607"/>
      <c r="AF737" s="607"/>
      <c r="AG737" s="607"/>
      <c r="AH737" s="607"/>
      <c r="AI737" s="607"/>
      <c r="AJ737" s="607"/>
      <c r="AK737" s="607"/>
      <c r="AL737" s="606"/>
      <c r="AM737" s="606"/>
      <c r="AN737" s="606"/>
      <c r="AO737" s="606"/>
    </row>
    <row r="738" spans="1:41" ht="11.25" hidden="1" customHeight="1">
      <c r="A738" s="608"/>
      <c r="B738" s="607"/>
      <c r="C738" s="607"/>
      <c r="D738" s="607"/>
      <c r="E738" s="607"/>
      <c r="F738" s="607"/>
      <c r="G738" s="606"/>
      <c r="H738" s="606"/>
      <c r="I738" s="606"/>
      <c r="J738" s="606"/>
      <c r="K738" s="606"/>
      <c r="L738" s="606"/>
      <c r="M738" s="606"/>
      <c r="N738" s="606"/>
      <c r="O738" s="606"/>
      <c r="P738" s="606"/>
      <c r="Q738" s="606"/>
      <c r="R738" s="606"/>
      <c r="S738" s="606"/>
      <c r="T738" s="606"/>
      <c r="U738" s="606"/>
      <c r="V738" s="606"/>
      <c r="W738" s="606"/>
      <c r="X738" s="640"/>
      <c r="Y738" s="607"/>
      <c r="Z738" s="607"/>
      <c r="AA738" s="607"/>
      <c r="AB738" s="607"/>
      <c r="AC738" s="607"/>
      <c r="AD738" s="607"/>
      <c r="AE738" s="607"/>
      <c r="AF738" s="607"/>
      <c r="AG738" s="607"/>
      <c r="AH738" s="607"/>
      <c r="AI738" s="607"/>
      <c r="AJ738" s="607"/>
      <c r="AK738" s="607"/>
      <c r="AL738" s="606"/>
      <c r="AM738" s="606"/>
      <c r="AN738" s="606"/>
      <c r="AO738" s="606"/>
    </row>
    <row r="739" spans="1:41" ht="11.25" hidden="1" customHeight="1">
      <c r="A739" s="608"/>
      <c r="B739" s="607"/>
      <c r="C739" s="607"/>
      <c r="D739" s="607"/>
      <c r="E739" s="607"/>
      <c r="F739" s="607"/>
      <c r="G739" s="606"/>
      <c r="H739" s="606"/>
      <c r="I739" s="606"/>
      <c r="J739" s="606"/>
      <c r="K739" s="606"/>
      <c r="L739" s="606"/>
      <c r="M739" s="606"/>
      <c r="N739" s="606"/>
      <c r="O739" s="606"/>
      <c r="P739" s="606"/>
      <c r="Q739" s="606"/>
      <c r="R739" s="606"/>
      <c r="S739" s="606"/>
      <c r="T739" s="606"/>
      <c r="U739" s="606"/>
      <c r="V739" s="606"/>
      <c r="W739" s="606"/>
      <c r="X739" s="640"/>
      <c r="Y739" s="607"/>
      <c r="Z739" s="607"/>
      <c r="AA739" s="607"/>
      <c r="AB739" s="607"/>
      <c r="AC739" s="607"/>
      <c r="AD739" s="607"/>
      <c r="AE739" s="607"/>
      <c r="AF739" s="607"/>
      <c r="AG739" s="607"/>
      <c r="AH739" s="607"/>
      <c r="AI739" s="607"/>
      <c r="AJ739" s="607"/>
      <c r="AK739" s="607"/>
      <c r="AL739" s="606"/>
      <c r="AM739" s="606"/>
      <c r="AN739" s="606"/>
      <c r="AO739" s="606"/>
    </row>
    <row r="740" spans="1:41" ht="11.25" hidden="1" customHeight="1">
      <c r="A740" s="608"/>
      <c r="B740" s="607"/>
      <c r="C740" s="607"/>
      <c r="D740" s="607"/>
      <c r="E740" s="607"/>
      <c r="F740" s="607"/>
      <c r="G740" s="606"/>
      <c r="H740" s="606"/>
      <c r="I740" s="606"/>
      <c r="J740" s="606"/>
      <c r="K740" s="606"/>
      <c r="L740" s="606"/>
      <c r="M740" s="606"/>
      <c r="N740" s="606"/>
      <c r="O740" s="606"/>
      <c r="P740" s="606"/>
      <c r="Q740" s="606"/>
      <c r="R740" s="606"/>
      <c r="S740" s="606"/>
      <c r="T740" s="606"/>
      <c r="U740" s="606"/>
      <c r="V740" s="606"/>
      <c r="W740" s="606"/>
      <c r="X740" s="640"/>
      <c r="Y740" s="607"/>
      <c r="Z740" s="607"/>
      <c r="AA740" s="607"/>
      <c r="AB740" s="607"/>
      <c r="AC740" s="607"/>
      <c r="AD740" s="607"/>
      <c r="AE740" s="607"/>
      <c r="AF740" s="607"/>
      <c r="AG740" s="607"/>
      <c r="AH740" s="607"/>
      <c r="AI740" s="607"/>
      <c r="AJ740" s="607"/>
      <c r="AK740" s="607"/>
      <c r="AL740" s="606"/>
      <c r="AM740" s="606"/>
      <c r="AN740" s="606"/>
      <c r="AO740" s="606"/>
    </row>
    <row r="741" spans="1:41" ht="11.25" hidden="1" customHeight="1">
      <c r="A741" s="608"/>
      <c r="B741" s="607"/>
      <c r="C741" s="607"/>
      <c r="D741" s="607"/>
      <c r="E741" s="607"/>
      <c r="F741" s="607"/>
      <c r="G741" s="606"/>
      <c r="H741" s="606"/>
      <c r="I741" s="606"/>
      <c r="J741" s="606"/>
      <c r="K741" s="606"/>
      <c r="L741" s="606"/>
      <c r="M741" s="606"/>
      <c r="N741" s="606"/>
      <c r="O741" s="606"/>
      <c r="P741" s="606"/>
      <c r="Q741" s="606"/>
      <c r="R741" s="606"/>
      <c r="S741" s="606"/>
      <c r="T741" s="606"/>
      <c r="U741" s="606"/>
      <c r="V741" s="606"/>
      <c r="W741" s="606"/>
      <c r="X741" s="640"/>
      <c r="Y741" s="607"/>
      <c r="Z741" s="607"/>
      <c r="AA741" s="607"/>
      <c r="AB741" s="607"/>
      <c r="AC741" s="607"/>
      <c r="AD741" s="607"/>
      <c r="AE741" s="607"/>
      <c r="AF741" s="607"/>
      <c r="AG741" s="607"/>
      <c r="AH741" s="607"/>
      <c r="AI741" s="607"/>
      <c r="AJ741" s="607"/>
      <c r="AK741" s="607"/>
      <c r="AL741" s="606"/>
      <c r="AM741" s="606"/>
      <c r="AN741" s="606"/>
      <c r="AO741" s="606"/>
    </row>
    <row r="742" spans="1:41" ht="11.25" hidden="1" customHeight="1">
      <c r="A742" s="608"/>
      <c r="B742" s="607"/>
      <c r="C742" s="607"/>
      <c r="D742" s="607"/>
      <c r="E742" s="607"/>
      <c r="F742" s="607"/>
      <c r="G742" s="606"/>
      <c r="H742" s="606"/>
      <c r="I742" s="606"/>
      <c r="J742" s="606"/>
      <c r="K742" s="606"/>
      <c r="L742" s="606"/>
      <c r="M742" s="606"/>
      <c r="N742" s="606"/>
      <c r="O742" s="606"/>
      <c r="P742" s="606"/>
      <c r="Q742" s="606"/>
      <c r="R742" s="606"/>
      <c r="S742" s="606"/>
      <c r="T742" s="606"/>
      <c r="U742" s="606"/>
      <c r="V742" s="606"/>
      <c r="W742" s="606"/>
      <c r="X742" s="640"/>
      <c r="Y742" s="607"/>
      <c r="Z742" s="607"/>
      <c r="AA742" s="607"/>
      <c r="AB742" s="607"/>
      <c r="AC742" s="607"/>
      <c r="AD742" s="607"/>
      <c r="AE742" s="607"/>
      <c r="AF742" s="607"/>
      <c r="AG742" s="607"/>
      <c r="AH742" s="607"/>
      <c r="AI742" s="607"/>
      <c r="AJ742" s="607"/>
      <c r="AK742" s="607"/>
      <c r="AL742" s="606"/>
      <c r="AM742" s="606"/>
      <c r="AN742" s="606"/>
      <c r="AO742" s="606"/>
    </row>
    <row r="743" spans="1:41" ht="11.25" hidden="1" customHeight="1">
      <c r="A743" s="608"/>
      <c r="B743" s="607"/>
      <c r="C743" s="607"/>
      <c r="D743" s="607"/>
      <c r="E743" s="607"/>
      <c r="F743" s="607"/>
      <c r="G743" s="606"/>
      <c r="H743" s="606"/>
      <c r="I743" s="606"/>
      <c r="J743" s="606"/>
      <c r="K743" s="606"/>
      <c r="L743" s="606"/>
      <c r="M743" s="606"/>
      <c r="N743" s="606"/>
      <c r="O743" s="606"/>
      <c r="P743" s="606"/>
      <c r="Q743" s="606"/>
      <c r="R743" s="606"/>
      <c r="S743" s="606"/>
      <c r="T743" s="606"/>
      <c r="U743" s="606"/>
      <c r="V743" s="606"/>
      <c r="W743" s="606"/>
      <c r="X743" s="640"/>
      <c r="Y743" s="607"/>
      <c r="Z743" s="607"/>
      <c r="AA743" s="607"/>
      <c r="AB743" s="607"/>
      <c r="AC743" s="607"/>
      <c r="AD743" s="607"/>
      <c r="AE743" s="607"/>
      <c r="AF743" s="607"/>
      <c r="AG743" s="607"/>
      <c r="AH743" s="607"/>
      <c r="AI743" s="607"/>
      <c r="AJ743" s="607"/>
      <c r="AK743" s="607"/>
      <c r="AL743" s="606"/>
      <c r="AM743" s="606"/>
      <c r="AN743" s="606"/>
      <c r="AO743" s="606"/>
    </row>
    <row r="744" spans="1:41" ht="11.25" hidden="1" customHeight="1">
      <c r="A744" s="608"/>
      <c r="B744" s="607"/>
      <c r="C744" s="607"/>
      <c r="D744" s="607"/>
      <c r="E744" s="607"/>
      <c r="F744" s="607"/>
      <c r="G744" s="606"/>
      <c r="H744" s="606"/>
      <c r="I744" s="606"/>
      <c r="J744" s="606"/>
      <c r="K744" s="606"/>
      <c r="L744" s="606"/>
      <c r="M744" s="606"/>
      <c r="N744" s="606"/>
      <c r="O744" s="606"/>
      <c r="P744" s="606"/>
      <c r="Q744" s="606"/>
      <c r="R744" s="606"/>
      <c r="S744" s="606"/>
      <c r="T744" s="606"/>
      <c r="U744" s="606"/>
      <c r="V744" s="606"/>
      <c r="W744" s="606"/>
      <c r="X744" s="640"/>
      <c r="Y744" s="607"/>
      <c r="Z744" s="607"/>
      <c r="AA744" s="607"/>
      <c r="AB744" s="607"/>
      <c r="AC744" s="607"/>
      <c r="AD744" s="607"/>
      <c r="AE744" s="607"/>
      <c r="AF744" s="607"/>
      <c r="AG744" s="607"/>
      <c r="AH744" s="607"/>
      <c r="AI744" s="607"/>
      <c r="AJ744" s="607"/>
      <c r="AK744" s="607"/>
      <c r="AL744" s="606"/>
      <c r="AM744" s="606"/>
      <c r="AN744" s="606"/>
      <c r="AO744" s="606"/>
    </row>
    <row r="745" spans="1:41" ht="11.25" hidden="1" customHeight="1">
      <c r="A745" s="608"/>
      <c r="B745" s="607"/>
      <c r="C745" s="607"/>
      <c r="D745" s="607"/>
      <c r="E745" s="607"/>
      <c r="F745" s="607"/>
      <c r="G745" s="606"/>
      <c r="H745" s="606"/>
      <c r="I745" s="606"/>
      <c r="J745" s="606"/>
      <c r="K745" s="606"/>
      <c r="L745" s="606"/>
      <c r="M745" s="606"/>
      <c r="N745" s="606"/>
      <c r="O745" s="606"/>
      <c r="P745" s="606"/>
      <c r="Q745" s="606"/>
      <c r="R745" s="606"/>
      <c r="S745" s="606"/>
      <c r="T745" s="606"/>
      <c r="U745" s="606"/>
      <c r="V745" s="606"/>
      <c r="W745" s="606"/>
      <c r="X745" s="640"/>
      <c r="Y745" s="607"/>
      <c r="Z745" s="607"/>
      <c r="AA745" s="607"/>
      <c r="AB745" s="607"/>
      <c r="AC745" s="607"/>
      <c r="AD745" s="607"/>
      <c r="AE745" s="607"/>
      <c r="AF745" s="607"/>
      <c r="AG745" s="607"/>
      <c r="AH745" s="607"/>
      <c r="AI745" s="607"/>
      <c r="AJ745" s="607"/>
      <c r="AK745" s="607"/>
      <c r="AL745" s="606"/>
      <c r="AM745" s="606"/>
      <c r="AN745" s="606"/>
      <c r="AO745" s="606"/>
    </row>
    <row r="746" spans="1:41" ht="11.25" hidden="1" customHeight="1">
      <c r="A746" s="608"/>
      <c r="B746" s="607"/>
      <c r="C746" s="607"/>
      <c r="D746" s="607"/>
      <c r="E746" s="607"/>
      <c r="F746" s="607"/>
      <c r="G746" s="606"/>
      <c r="H746" s="606"/>
      <c r="I746" s="606"/>
      <c r="J746" s="606"/>
      <c r="K746" s="606"/>
      <c r="L746" s="606"/>
      <c r="M746" s="606"/>
      <c r="N746" s="606"/>
      <c r="O746" s="606"/>
      <c r="P746" s="606"/>
      <c r="Q746" s="606"/>
      <c r="R746" s="606"/>
      <c r="S746" s="606"/>
      <c r="T746" s="606"/>
      <c r="U746" s="606"/>
      <c r="V746" s="606"/>
      <c r="W746" s="606"/>
      <c r="X746" s="640"/>
      <c r="Y746" s="607"/>
      <c r="Z746" s="607"/>
      <c r="AA746" s="607"/>
      <c r="AB746" s="607"/>
      <c r="AC746" s="607"/>
      <c r="AD746" s="607"/>
      <c r="AE746" s="607"/>
      <c r="AF746" s="607"/>
      <c r="AG746" s="607"/>
      <c r="AH746" s="607"/>
      <c r="AI746" s="607"/>
      <c r="AJ746" s="607"/>
      <c r="AK746" s="607"/>
      <c r="AL746" s="606"/>
      <c r="AM746" s="606"/>
      <c r="AN746" s="606"/>
      <c r="AO746" s="606"/>
    </row>
    <row r="747" spans="1:41" ht="11.25" hidden="1" customHeight="1">
      <c r="A747" s="608"/>
      <c r="B747" s="607"/>
      <c r="C747" s="607"/>
      <c r="D747" s="607"/>
      <c r="E747" s="607"/>
      <c r="F747" s="607"/>
      <c r="G747" s="606"/>
      <c r="H747" s="606"/>
      <c r="I747" s="606"/>
      <c r="J747" s="606"/>
      <c r="K747" s="606"/>
      <c r="L747" s="606"/>
      <c r="M747" s="606"/>
      <c r="N747" s="606"/>
      <c r="O747" s="606"/>
      <c r="P747" s="606"/>
      <c r="Q747" s="606"/>
      <c r="R747" s="606"/>
      <c r="S747" s="606"/>
      <c r="T747" s="606"/>
      <c r="U747" s="606"/>
      <c r="V747" s="606"/>
      <c r="W747" s="606"/>
      <c r="X747" s="640"/>
      <c r="Y747" s="607"/>
      <c r="Z747" s="607"/>
      <c r="AA747" s="607"/>
      <c r="AB747" s="607"/>
      <c r="AC747" s="607"/>
      <c r="AD747" s="607"/>
      <c r="AE747" s="607"/>
      <c r="AF747" s="607"/>
      <c r="AG747" s="607"/>
      <c r="AH747" s="607"/>
      <c r="AI747" s="607"/>
      <c r="AJ747" s="607"/>
      <c r="AK747" s="607"/>
      <c r="AL747" s="606"/>
      <c r="AM747" s="606"/>
      <c r="AN747" s="606"/>
      <c r="AO747" s="606"/>
    </row>
    <row r="748" spans="1:41" ht="11.25" hidden="1" customHeight="1">
      <c r="A748" s="608"/>
      <c r="B748" s="607"/>
      <c r="C748" s="607"/>
      <c r="D748" s="607"/>
      <c r="E748" s="607"/>
      <c r="F748" s="607"/>
      <c r="G748" s="606"/>
      <c r="H748" s="606"/>
      <c r="I748" s="606"/>
      <c r="J748" s="606"/>
      <c r="K748" s="606"/>
      <c r="L748" s="606"/>
      <c r="M748" s="606"/>
      <c r="N748" s="606"/>
      <c r="O748" s="606"/>
      <c r="P748" s="606"/>
      <c r="Q748" s="606"/>
      <c r="R748" s="606"/>
      <c r="S748" s="606"/>
      <c r="T748" s="606"/>
      <c r="U748" s="606"/>
      <c r="V748" s="606"/>
      <c r="W748" s="606"/>
      <c r="X748" s="640"/>
      <c r="Y748" s="607"/>
      <c r="Z748" s="607"/>
      <c r="AA748" s="607"/>
      <c r="AB748" s="607"/>
      <c r="AC748" s="607"/>
      <c r="AD748" s="607"/>
      <c r="AE748" s="607"/>
      <c r="AF748" s="607"/>
      <c r="AG748" s="607"/>
      <c r="AH748" s="607"/>
      <c r="AI748" s="607"/>
      <c r="AJ748" s="607"/>
      <c r="AK748" s="607"/>
      <c r="AL748" s="606"/>
      <c r="AM748" s="606"/>
      <c r="AN748" s="606"/>
      <c r="AO748" s="606"/>
    </row>
    <row r="749" spans="1:41" ht="11.25" hidden="1" customHeight="1">
      <c r="A749" s="608"/>
      <c r="B749" s="607"/>
      <c r="C749" s="607"/>
      <c r="D749" s="607"/>
      <c r="E749" s="607"/>
      <c r="F749" s="607"/>
      <c r="G749" s="606"/>
      <c r="H749" s="606"/>
      <c r="I749" s="606"/>
      <c r="J749" s="606"/>
      <c r="K749" s="606"/>
      <c r="L749" s="606"/>
      <c r="M749" s="606"/>
      <c r="N749" s="606"/>
      <c r="O749" s="606"/>
      <c r="P749" s="606"/>
      <c r="Q749" s="606"/>
      <c r="R749" s="606"/>
      <c r="S749" s="606"/>
      <c r="T749" s="606"/>
      <c r="U749" s="606"/>
      <c r="V749" s="606"/>
      <c r="W749" s="606"/>
      <c r="X749" s="640"/>
      <c r="Y749" s="607"/>
      <c r="Z749" s="607"/>
      <c r="AA749" s="607"/>
      <c r="AB749" s="607"/>
      <c r="AC749" s="607"/>
      <c r="AD749" s="607"/>
      <c r="AE749" s="607"/>
      <c r="AF749" s="607"/>
      <c r="AG749" s="607"/>
      <c r="AH749" s="607"/>
      <c r="AI749" s="607"/>
      <c r="AJ749" s="607"/>
      <c r="AK749" s="607"/>
      <c r="AL749" s="606"/>
      <c r="AM749" s="606"/>
      <c r="AN749" s="606"/>
      <c r="AO749" s="606"/>
    </row>
    <row r="750" spans="1:41" ht="11.25" hidden="1" customHeight="1">
      <c r="A750" s="608"/>
      <c r="B750" s="607"/>
      <c r="C750" s="607"/>
      <c r="D750" s="607"/>
      <c r="E750" s="607"/>
      <c r="F750" s="607"/>
      <c r="G750" s="606"/>
      <c r="H750" s="606"/>
      <c r="I750" s="606"/>
      <c r="J750" s="606"/>
      <c r="K750" s="606"/>
      <c r="L750" s="606"/>
      <c r="M750" s="606"/>
      <c r="N750" s="606"/>
      <c r="O750" s="606"/>
      <c r="P750" s="606"/>
      <c r="Q750" s="606"/>
      <c r="R750" s="606"/>
      <c r="S750" s="606"/>
      <c r="T750" s="606"/>
      <c r="U750" s="606"/>
      <c r="V750" s="606"/>
      <c r="W750" s="606"/>
      <c r="X750" s="640"/>
      <c r="Y750" s="607"/>
      <c r="Z750" s="607"/>
      <c r="AA750" s="607"/>
      <c r="AB750" s="607"/>
      <c r="AC750" s="607"/>
      <c r="AD750" s="607"/>
      <c r="AE750" s="607"/>
      <c r="AF750" s="607"/>
      <c r="AG750" s="607"/>
      <c r="AH750" s="607"/>
      <c r="AI750" s="607"/>
      <c r="AJ750" s="607"/>
      <c r="AK750" s="607"/>
      <c r="AL750" s="606"/>
      <c r="AM750" s="606"/>
      <c r="AN750" s="606"/>
      <c r="AO750" s="606"/>
    </row>
    <row r="751" spans="1:41" ht="11.25" hidden="1" customHeight="1">
      <c r="A751" s="608"/>
      <c r="B751" s="607"/>
      <c r="C751" s="607"/>
      <c r="D751" s="607"/>
      <c r="E751" s="607"/>
      <c r="F751" s="607"/>
      <c r="G751" s="606"/>
      <c r="H751" s="606"/>
      <c r="I751" s="606"/>
      <c r="J751" s="606"/>
      <c r="K751" s="606"/>
      <c r="L751" s="606"/>
      <c r="M751" s="606"/>
      <c r="N751" s="606"/>
      <c r="O751" s="606"/>
      <c r="P751" s="606"/>
      <c r="Q751" s="606"/>
      <c r="R751" s="606"/>
      <c r="S751" s="606"/>
      <c r="T751" s="606"/>
      <c r="U751" s="606"/>
      <c r="V751" s="606"/>
      <c r="W751" s="606"/>
      <c r="X751" s="640"/>
      <c r="Y751" s="607"/>
      <c r="Z751" s="607"/>
      <c r="AA751" s="607"/>
      <c r="AB751" s="607"/>
      <c r="AC751" s="607"/>
      <c r="AD751" s="607"/>
      <c r="AE751" s="607"/>
      <c r="AF751" s="607"/>
      <c r="AG751" s="607"/>
      <c r="AH751" s="607"/>
      <c r="AI751" s="607"/>
      <c r="AJ751" s="607"/>
      <c r="AK751" s="607"/>
      <c r="AL751" s="606"/>
      <c r="AM751" s="606"/>
      <c r="AN751" s="606"/>
      <c r="AO751" s="606"/>
    </row>
    <row r="752" spans="1:41" ht="11.25" hidden="1" customHeight="1">
      <c r="A752" s="608"/>
      <c r="B752" s="607"/>
      <c r="C752" s="607"/>
      <c r="D752" s="607"/>
      <c r="E752" s="607"/>
      <c r="F752" s="607"/>
      <c r="G752" s="606"/>
      <c r="H752" s="606"/>
      <c r="I752" s="606"/>
      <c r="J752" s="606"/>
      <c r="K752" s="606"/>
      <c r="L752" s="606"/>
      <c r="M752" s="606"/>
      <c r="N752" s="606"/>
      <c r="O752" s="606"/>
      <c r="P752" s="606"/>
      <c r="Q752" s="606"/>
      <c r="R752" s="606"/>
      <c r="S752" s="606"/>
      <c r="T752" s="606"/>
      <c r="U752" s="606"/>
      <c r="V752" s="606"/>
      <c r="W752" s="606"/>
      <c r="X752" s="640"/>
      <c r="Y752" s="607"/>
      <c r="Z752" s="607"/>
      <c r="AA752" s="607"/>
      <c r="AB752" s="607"/>
      <c r="AC752" s="607"/>
      <c r="AD752" s="607"/>
      <c r="AE752" s="607"/>
      <c r="AF752" s="607"/>
      <c r="AG752" s="607"/>
      <c r="AH752" s="607"/>
      <c r="AI752" s="607"/>
      <c r="AJ752" s="607"/>
      <c r="AK752" s="607"/>
      <c r="AL752" s="606"/>
      <c r="AM752" s="606"/>
      <c r="AN752" s="606"/>
      <c r="AO752" s="606"/>
    </row>
    <row r="753" spans="1:41" ht="11.25" hidden="1" customHeight="1">
      <c r="A753" s="608"/>
      <c r="B753" s="607"/>
      <c r="C753" s="607"/>
      <c r="D753" s="607"/>
      <c r="E753" s="607"/>
      <c r="F753" s="607"/>
      <c r="G753" s="606"/>
      <c r="H753" s="606"/>
      <c r="I753" s="606"/>
      <c r="J753" s="606"/>
      <c r="K753" s="606"/>
      <c r="L753" s="606"/>
      <c r="M753" s="606"/>
      <c r="N753" s="606"/>
      <c r="O753" s="606"/>
      <c r="P753" s="606"/>
      <c r="Q753" s="606"/>
      <c r="R753" s="606"/>
      <c r="S753" s="606"/>
      <c r="T753" s="606"/>
      <c r="U753" s="606"/>
      <c r="V753" s="606"/>
      <c r="W753" s="606"/>
      <c r="X753" s="640"/>
      <c r="Y753" s="607"/>
      <c r="Z753" s="607"/>
      <c r="AA753" s="607"/>
      <c r="AB753" s="607"/>
      <c r="AC753" s="607"/>
      <c r="AD753" s="607"/>
      <c r="AE753" s="607"/>
      <c r="AF753" s="607"/>
      <c r="AG753" s="607"/>
      <c r="AH753" s="607"/>
      <c r="AI753" s="607"/>
      <c r="AJ753" s="607"/>
      <c r="AK753" s="607"/>
      <c r="AL753" s="606"/>
      <c r="AM753" s="606"/>
      <c r="AN753" s="606"/>
      <c r="AO753" s="606"/>
    </row>
    <row r="754" spans="1:41" ht="11.25" hidden="1" customHeight="1">
      <c r="A754" s="608"/>
      <c r="B754" s="607"/>
      <c r="C754" s="607"/>
      <c r="D754" s="607"/>
      <c r="E754" s="607"/>
      <c r="F754" s="607"/>
      <c r="G754" s="606"/>
      <c r="H754" s="606"/>
      <c r="I754" s="606"/>
      <c r="J754" s="606"/>
      <c r="K754" s="606"/>
      <c r="L754" s="606"/>
      <c r="M754" s="606"/>
      <c r="N754" s="606"/>
      <c r="O754" s="606"/>
      <c r="P754" s="606"/>
      <c r="Q754" s="606"/>
      <c r="R754" s="606"/>
      <c r="S754" s="606"/>
      <c r="T754" s="606"/>
      <c r="U754" s="606"/>
      <c r="V754" s="606"/>
      <c r="W754" s="606"/>
      <c r="X754" s="640"/>
      <c r="Y754" s="607"/>
      <c r="Z754" s="607"/>
      <c r="AA754" s="607"/>
      <c r="AB754" s="607"/>
      <c r="AC754" s="607"/>
      <c r="AD754" s="607"/>
      <c r="AE754" s="607"/>
      <c r="AF754" s="607"/>
      <c r="AG754" s="607"/>
      <c r="AH754" s="607"/>
      <c r="AI754" s="607"/>
      <c r="AJ754" s="607"/>
      <c r="AK754" s="607"/>
      <c r="AL754" s="606"/>
      <c r="AM754" s="606"/>
      <c r="AN754" s="606"/>
      <c r="AO754" s="606"/>
    </row>
    <row r="755" spans="1:41" ht="11.25" hidden="1" customHeight="1">
      <c r="A755" s="608"/>
      <c r="B755" s="607"/>
      <c r="C755" s="607"/>
      <c r="D755" s="607"/>
      <c r="E755" s="607"/>
      <c r="F755" s="607"/>
      <c r="G755" s="606"/>
      <c r="H755" s="606"/>
      <c r="I755" s="606"/>
      <c r="J755" s="606"/>
      <c r="K755" s="606"/>
      <c r="L755" s="606"/>
      <c r="M755" s="606"/>
      <c r="N755" s="606"/>
      <c r="O755" s="606"/>
      <c r="P755" s="606"/>
      <c r="Q755" s="606"/>
      <c r="R755" s="606"/>
      <c r="S755" s="606"/>
      <c r="T755" s="606"/>
      <c r="U755" s="606"/>
      <c r="V755" s="606"/>
      <c r="W755" s="606"/>
      <c r="X755" s="640"/>
      <c r="Y755" s="607"/>
      <c r="Z755" s="607"/>
      <c r="AA755" s="607"/>
      <c r="AB755" s="607"/>
      <c r="AC755" s="607"/>
      <c r="AD755" s="607"/>
      <c r="AE755" s="607"/>
      <c r="AF755" s="607"/>
      <c r="AG755" s="607"/>
      <c r="AH755" s="607"/>
      <c r="AI755" s="607"/>
      <c r="AJ755" s="607"/>
      <c r="AK755" s="607"/>
      <c r="AL755" s="606"/>
      <c r="AM755" s="606"/>
      <c r="AN755" s="606"/>
      <c r="AO755" s="606"/>
    </row>
    <row r="756" spans="1:41" ht="11.25" hidden="1" customHeight="1">
      <c r="A756" s="608"/>
      <c r="B756" s="607"/>
      <c r="C756" s="607"/>
      <c r="D756" s="607"/>
      <c r="E756" s="607"/>
      <c r="F756" s="607"/>
      <c r="G756" s="606"/>
      <c r="H756" s="606"/>
      <c r="I756" s="606"/>
      <c r="J756" s="606"/>
      <c r="K756" s="606"/>
      <c r="L756" s="606"/>
      <c r="M756" s="606"/>
      <c r="N756" s="606"/>
      <c r="O756" s="606"/>
      <c r="P756" s="606"/>
      <c r="Q756" s="606"/>
      <c r="R756" s="606"/>
      <c r="S756" s="606"/>
      <c r="T756" s="606"/>
      <c r="U756" s="606"/>
      <c r="V756" s="606"/>
      <c r="W756" s="606"/>
      <c r="X756" s="640"/>
      <c r="Y756" s="607"/>
      <c r="Z756" s="607"/>
      <c r="AA756" s="607"/>
      <c r="AB756" s="607"/>
      <c r="AC756" s="607"/>
      <c r="AD756" s="607"/>
      <c r="AE756" s="607"/>
      <c r="AF756" s="607"/>
      <c r="AG756" s="607"/>
      <c r="AH756" s="607"/>
      <c r="AI756" s="607"/>
      <c r="AJ756" s="607"/>
      <c r="AK756" s="607"/>
      <c r="AL756" s="606"/>
      <c r="AM756" s="606"/>
      <c r="AN756" s="606"/>
      <c r="AO756" s="606"/>
    </row>
    <row r="757" spans="1:41" ht="11.25" hidden="1" customHeight="1">
      <c r="A757" s="608"/>
      <c r="B757" s="607"/>
      <c r="C757" s="607"/>
      <c r="D757" s="607"/>
      <c r="E757" s="607"/>
      <c r="F757" s="607"/>
      <c r="G757" s="606"/>
      <c r="H757" s="606"/>
      <c r="I757" s="606"/>
      <c r="J757" s="606"/>
      <c r="K757" s="606"/>
      <c r="L757" s="606"/>
      <c r="M757" s="606"/>
      <c r="N757" s="606"/>
      <c r="O757" s="606"/>
      <c r="P757" s="606"/>
      <c r="Q757" s="606"/>
      <c r="R757" s="606"/>
      <c r="S757" s="606"/>
      <c r="T757" s="606"/>
      <c r="U757" s="606"/>
      <c r="V757" s="606"/>
      <c r="W757" s="606"/>
      <c r="X757" s="640"/>
      <c r="Y757" s="607"/>
      <c r="Z757" s="607"/>
      <c r="AA757" s="607"/>
      <c r="AB757" s="607"/>
      <c r="AC757" s="607"/>
      <c r="AD757" s="607"/>
      <c r="AE757" s="607"/>
      <c r="AF757" s="607"/>
      <c r="AG757" s="607"/>
      <c r="AH757" s="607"/>
      <c r="AI757" s="607"/>
      <c r="AJ757" s="607"/>
      <c r="AK757" s="607"/>
      <c r="AL757" s="606"/>
      <c r="AM757" s="606"/>
      <c r="AN757" s="606"/>
      <c r="AO757" s="606"/>
    </row>
    <row r="758" spans="1:41" ht="11.25" hidden="1" customHeight="1">
      <c r="A758" s="608"/>
      <c r="B758" s="607"/>
      <c r="C758" s="607"/>
      <c r="D758" s="607"/>
      <c r="E758" s="607"/>
      <c r="F758" s="607"/>
      <c r="G758" s="606"/>
      <c r="H758" s="606"/>
      <c r="I758" s="606"/>
      <c r="J758" s="606"/>
      <c r="K758" s="606"/>
      <c r="L758" s="606"/>
      <c r="M758" s="606"/>
      <c r="N758" s="606"/>
      <c r="O758" s="606"/>
      <c r="P758" s="606"/>
      <c r="Q758" s="606"/>
      <c r="R758" s="606"/>
      <c r="S758" s="606"/>
      <c r="T758" s="606"/>
      <c r="U758" s="606"/>
      <c r="V758" s="606"/>
      <c r="W758" s="606"/>
      <c r="X758" s="640"/>
      <c r="Y758" s="607"/>
      <c r="Z758" s="607"/>
      <c r="AA758" s="607"/>
      <c r="AB758" s="607"/>
      <c r="AC758" s="607"/>
      <c r="AD758" s="607"/>
      <c r="AE758" s="607"/>
      <c r="AF758" s="607"/>
      <c r="AG758" s="607"/>
      <c r="AH758" s="607"/>
      <c r="AI758" s="607"/>
      <c r="AJ758" s="607"/>
      <c r="AK758" s="607"/>
      <c r="AL758" s="606"/>
      <c r="AM758" s="606"/>
      <c r="AN758" s="606"/>
      <c r="AO758" s="606"/>
    </row>
    <row r="759" spans="1:41" ht="11.25" hidden="1" customHeight="1">
      <c r="A759" s="608"/>
      <c r="B759" s="607"/>
      <c r="C759" s="607"/>
      <c r="D759" s="607"/>
      <c r="E759" s="607"/>
      <c r="F759" s="607"/>
      <c r="G759" s="606"/>
      <c r="H759" s="606"/>
      <c r="I759" s="606"/>
      <c r="J759" s="606"/>
      <c r="K759" s="606"/>
      <c r="L759" s="606"/>
      <c r="M759" s="606"/>
      <c r="N759" s="606"/>
      <c r="O759" s="606"/>
      <c r="P759" s="606"/>
      <c r="Q759" s="606"/>
      <c r="R759" s="606"/>
      <c r="S759" s="606"/>
      <c r="T759" s="606"/>
      <c r="U759" s="606"/>
      <c r="V759" s="606"/>
      <c r="W759" s="606"/>
      <c r="X759" s="640"/>
      <c r="Y759" s="607"/>
      <c r="Z759" s="607"/>
      <c r="AA759" s="607"/>
      <c r="AB759" s="607"/>
      <c r="AC759" s="607"/>
      <c r="AD759" s="607"/>
      <c r="AE759" s="607"/>
      <c r="AF759" s="607"/>
      <c r="AG759" s="607"/>
      <c r="AH759" s="607"/>
      <c r="AI759" s="607"/>
      <c r="AJ759" s="607"/>
      <c r="AK759" s="607"/>
      <c r="AL759" s="606"/>
      <c r="AM759" s="606"/>
      <c r="AN759" s="606"/>
      <c r="AO759" s="606"/>
    </row>
    <row r="760" spans="1:41" ht="11.25" hidden="1" customHeight="1">
      <c r="A760" s="608"/>
      <c r="B760" s="607"/>
      <c r="C760" s="607"/>
      <c r="D760" s="607"/>
      <c r="E760" s="607"/>
      <c r="F760" s="607"/>
      <c r="G760" s="606"/>
      <c r="H760" s="606"/>
      <c r="I760" s="606"/>
      <c r="J760" s="606"/>
      <c r="K760" s="606"/>
      <c r="L760" s="606"/>
      <c r="M760" s="606"/>
      <c r="N760" s="606"/>
      <c r="O760" s="606"/>
      <c r="P760" s="606"/>
      <c r="Q760" s="606"/>
      <c r="R760" s="606"/>
      <c r="S760" s="606"/>
      <c r="T760" s="606"/>
      <c r="U760" s="606"/>
      <c r="V760" s="606"/>
      <c r="W760" s="606"/>
      <c r="X760" s="640"/>
      <c r="Y760" s="607"/>
      <c r="Z760" s="607"/>
      <c r="AA760" s="607"/>
      <c r="AB760" s="607"/>
      <c r="AC760" s="607"/>
      <c r="AD760" s="607"/>
      <c r="AE760" s="607"/>
      <c r="AF760" s="607"/>
      <c r="AG760" s="607"/>
      <c r="AH760" s="607"/>
      <c r="AI760" s="607"/>
      <c r="AJ760" s="607"/>
      <c r="AK760" s="607"/>
      <c r="AL760" s="606"/>
      <c r="AM760" s="606"/>
      <c r="AN760" s="606"/>
      <c r="AO760" s="606"/>
    </row>
    <row r="761" spans="1:41" ht="11.25" hidden="1" customHeight="1">
      <c r="A761" s="608"/>
      <c r="B761" s="607"/>
      <c r="C761" s="607"/>
      <c r="D761" s="607"/>
      <c r="E761" s="607"/>
      <c r="F761" s="607"/>
      <c r="G761" s="606"/>
      <c r="H761" s="606"/>
      <c r="I761" s="606"/>
      <c r="J761" s="606"/>
      <c r="K761" s="606"/>
      <c r="L761" s="606"/>
      <c r="M761" s="606"/>
      <c r="N761" s="606"/>
      <c r="O761" s="606"/>
      <c r="P761" s="606"/>
      <c r="Q761" s="606"/>
      <c r="R761" s="606"/>
      <c r="S761" s="606"/>
      <c r="T761" s="606"/>
      <c r="U761" s="606"/>
      <c r="V761" s="606"/>
      <c r="W761" s="606"/>
      <c r="X761" s="640"/>
      <c r="Y761" s="607"/>
      <c r="Z761" s="607"/>
      <c r="AA761" s="607"/>
      <c r="AB761" s="607"/>
      <c r="AC761" s="607"/>
      <c r="AD761" s="607"/>
      <c r="AE761" s="607"/>
      <c r="AF761" s="607"/>
      <c r="AG761" s="607"/>
      <c r="AH761" s="607"/>
      <c r="AI761" s="607"/>
      <c r="AJ761" s="607"/>
      <c r="AK761" s="607"/>
      <c r="AL761" s="606"/>
      <c r="AM761" s="606"/>
      <c r="AN761" s="606"/>
      <c r="AO761" s="606"/>
    </row>
    <row r="762" spans="1:41" ht="11.25" hidden="1" customHeight="1">
      <c r="A762" s="608"/>
      <c r="B762" s="607"/>
      <c r="C762" s="607"/>
      <c r="D762" s="607"/>
      <c r="E762" s="607"/>
      <c r="F762" s="607"/>
      <c r="G762" s="606"/>
      <c r="H762" s="606"/>
      <c r="I762" s="606"/>
      <c r="J762" s="606"/>
      <c r="K762" s="606"/>
      <c r="L762" s="606"/>
      <c r="M762" s="606"/>
      <c r="N762" s="606"/>
      <c r="O762" s="606"/>
      <c r="P762" s="606"/>
      <c r="Q762" s="606"/>
      <c r="R762" s="606"/>
      <c r="S762" s="606"/>
      <c r="T762" s="606"/>
      <c r="U762" s="606"/>
      <c r="V762" s="606"/>
      <c r="W762" s="606"/>
      <c r="X762" s="640"/>
      <c r="Y762" s="607"/>
      <c r="Z762" s="607"/>
      <c r="AA762" s="607"/>
      <c r="AB762" s="607"/>
      <c r="AC762" s="607"/>
      <c r="AD762" s="607"/>
      <c r="AE762" s="607"/>
      <c r="AF762" s="607"/>
      <c r="AG762" s="607"/>
      <c r="AH762" s="607"/>
      <c r="AI762" s="607"/>
      <c r="AJ762" s="607"/>
      <c r="AK762" s="607"/>
      <c r="AL762" s="606"/>
      <c r="AM762" s="606"/>
      <c r="AN762" s="606"/>
      <c r="AO762" s="606"/>
    </row>
    <row r="763" spans="1:41" ht="11.25" hidden="1" customHeight="1">
      <c r="A763" s="608"/>
      <c r="B763" s="607"/>
      <c r="C763" s="607"/>
      <c r="D763" s="607"/>
      <c r="E763" s="607"/>
      <c r="F763" s="607"/>
      <c r="G763" s="606"/>
      <c r="H763" s="606"/>
      <c r="I763" s="606"/>
      <c r="J763" s="606"/>
      <c r="K763" s="606"/>
      <c r="L763" s="606"/>
      <c r="M763" s="606"/>
      <c r="N763" s="606"/>
      <c r="O763" s="606"/>
      <c r="P763" s="606"/>
      <c r="Q763" s="606"/>
      <c r="R763" s="606"/>
      <c r="S763" s="606"/>
      <c r="T763" s="606"/>
      <c r="U763" s="606"/>
      <c r="V763" s="606"/>
      <c r="W763" s="606"/>
      <c r="X763" s="640"/>
      <c r="Y763" s="607"/>
      <c r="Z763" s="607"/>
      <c r="AA763" s="607"/>
      <c r="AB763" s="607"/>
      <c r="AC763" s="607"/>
      <c r="AD763" s="607"/>
      <c r="AE763" s="607"/>
      <c r="AF763" s="607"/>
      <c r="AG763" s="607"/>
      <c r="AH763" s="607"/>
      <c r="AI763" s="607"/>
      <c r="AJ763" s="607"/>
      <c r="AK763" s="607"/>
      <c r="AL763" s="606"/>
      <c r="AM763" s="606"/>
      <c r="AN763" s="606"/>
      <c r="AO763" s="606"/>
    </row>
    <row r="764" spans="1:41" ht="11.25" hidden="1" customHeight="1">
      <c r="A764" s="608"/>
      <c r="B764" s="607"/>
      <c r="C764" s="607"/>
      <c r="D764" s="607"/>
      <c r="E764" s="607"/>
      <c r="F764" s="607"/>
      <c r="G764" s="606"/>
      <c r="H764" s="606"/>
      <c r="I764" s="606"/>
      <c r="J764" s="606"/>
      <c r="K764" s="606"/>
      <c r="L764" s="606"/>
      <c r="M764" s="606"/>
      <c r="N764" s="606"/>
      <c r="O764" s="606"/>
      <c r="P764" s="606"/>
      <c r="Q764" s="606"/>
      <c r="R764" s="606"/>
      <c r="S764" s="606"/>
      <c r="T764" s="606"/>
      <c r="U764" s="606"/>
      <c r="V764" s="606"/>
      <c r="W764" s="606"/>
      <c r="X764" s="640"/>
      <c r="Y764" s="607"/>
      <c r="Z764" s="607"/>
      <c r="AA764" s="607"/>
      <c r="AB764" s="607"/>
      <c r="AC764" s="607"/>
      <c r="AD764" s="607"/>
      <c r="AE764" s="607"/>
      <c r="AF764" s="607"/>
      <c r="AG764" s="607"/>
      <c r="AH764" s="607"/>
      <c r="AI764" s="607"/>
      <c r="AJ764" s="607"/>
      <c r="AK764" s="607"/>
      <c r="AL764" s="606"/>
      <c r="AM764" s="606"/>
      <c r="AN764" s="606"/>
      <c r="AO764" s="606"/>
    </row>
    <row r="765" spans="1:41" ht="11.25" hidden="1" customHeight="1">
      <c r="A765" s="608"/>
      <c r="B765" s="607"/>
      <c r="C765" s="607"/>
      <c r="D765" s="607"/>
      <c r="E765" s="607"/>
      <c r="F765" s="607"/>
      <c r="G765" s="606"/>
      <c r="H765" s="606"/>
      <c r="I765" s="606"/>
      <c r="J765" s="606"/>
      <c r="K765" s="606"/>
      <c r="L765" s="606"/>
      <c r="M765" s="606"/>
      <c r="N765" s="606"/>
      <c r="O765" s="606"/>
      <c r="P765" s="606"/>
      <c r="Q765" s="606"/>
      <c r="R765" s="606"/>
      <c r="S765" s="606"/>
      <c r="T765" s="606"/>
      <c r="U765" s="606"/>
      <c r="V765" s="606"/>
      <c r="W765" s="606"/>
      <c r="X765" s="640"/>
      <c r="Y765" s="607"/>
      <c r="Z765" s="607"/>
      <c r="AA765" s="607"/>
      <c r="AB765" s="607"/>
      <c r="AC765" s="607"/>
      <c r="AD765" s="607"/>
      <c r="AE765" s="607"/>
      <c r="AF765" s="607"/>
      <c r="AG765" s="607"/>
      <c r="AH765" s="607"/>
      <c r="AI765" s="607"/>
      <c r="AJ765" s="607"/>
      <c r="AK765" s="607"/>
      <c r="AL765" s="606"/>
      <c r="AM765" s="606"/>
      <c r="AN765" s="606"/>
      <c r="AO765" s="606"/>
    </row>
    <row r="766" spans="1:41" ht="11.25" hidden="1" customHeight="1">
      <c r="A766" s="608"/>
      <c r="B766" s="607"/>
      <c r="C766" s="607"/>
      <c r="D766" s="607"/>
      <c r="E766" s="607"/>
      <c r="F766" s="607"/>
      <c r="G766" s="606"/>
      <c r="H766" s="606"/>
      <c r="I766" s="606"/>
      <c r="J766" s="606"/>
      <c r="K766" s="606"/>
      <c r="L766" s="606"/>
      <c r="M766" s="606"/>
      <c r="N766" s="606"/>
      <c r="O766" s="606"/>
      <c r="P766" s="606"/>
      <c r="Q766" s="606"/>
      <c r="R766" s="606"/>
      <c r="S766" s="606"/>
      <c r="T766" s="606"/>
      <c r="U766" s="606"/>
      <c r="V766" s="606"/>
      <c r="W766" s="606"/>
      <c r="X766" s="640"/>
      <c r="Y766" s="607"/>
      <c r="Z766" s="607"/>
      <c r="AA766" s="607"/>
      <c r="AB766" s="607"/>
      <c r="AC766" s="607"/>
      <c r="AD766" s="607"/>
      <c r="AE766" s="607"/>
      <c r="AF766" s="607"/>
      <c r="AG766" s="607"/>
      <c r="AH766" s="607"/>
      <c r="AI766" s="607"/>
      <c r="AJ766" s="607"/>
      <c r="AK766" s="607"/>
      <c r="AL766" s="606"/>
      <c r="AM766" s="606"/>
      <c r="AN766" s="606"/>
      <c r="AO766" s="606"/>
    </row>
    <row r="767" spans="1:41" ht="11.25" hidden="1" customHeight="1">
      <c r="A767" s="608"/>
      <c r="B767" s="607"/>
      <c r="C767" s="607"/>
      <c r="D767" s="607"/>
      <c r="E767" s="607"/>
      <c r="F767" s="607"/>
      <c r="G767" s="606"/>
      <c r="H767" s="606"/>
      <c r="I767" s="606"/>
      <c r="J767" s="606"/>
      <c r="K767" s="606"/>
      <c r="L767" s="606"/>
      <c r="M767" s="606"/>
      <c r="N767" s="606"/>
      <c r="O767" s="606"/>
      <c r="P767" s="606"/>
      <c r="Q767" s="606"/>
      <c r="R767" s="606"/>
      <c r="S767" s="606"/>
      <c r="T767" s="606"/>
      <c r="U767" s="606"/>
      <c r="V767" s="606"/>
      <c r="W767" s="606"/>
      <c r="X767" s="640"/>
      <c r="Y767" s="607"/>
      <c r="Z767" s="607"/>
      <c r="AA767" s="607"/>
      <c r="AB767" s="607"/>
      <c r="AC767" s="607"/>
      <c r="AD767" s="607"/>
      <c r="AE767" s="607"/>
      <c r="AF767" s="607"/>
      <c r="AG767" s="607"/>
      <c r="AH767" s="607"/>
      <c r="AI767" s="607"/>
      <c r="AJ767" s="607"/>
      <c r="AK767" s="607"/>
      <c r="AL767" s="606"/>
      <c r="AM767" s="606"/>
      <c r="AN767" s="606"/>
      <c r="AO767" s="606"/>
    </row>
    <row r="768" spans="1:41" ht="11.25" hidden="1" customHeight="1">
      <c r="A768" s="608"/>
      <c r="B768" s="607"/>
      <c r="C768" s="607"/>
      <c r="D768" s="607"/>
      <c r="E768" s="607"/>
      <c r="F768" s="607"/>
      <c r="G768" s="606"/>
      <c r="H768" s="606"/>
      <c r="I768" s="606"/>
      <c r="J768" s="606"/>
      <c r="K768" s="606"/>
      <c r="L768" s="606"/>
      <c r="M768" s="606"/>
      <c r="N768" s="606"/>
      <c r="O768" s="606"/>
      <c r="P768" s="606"/>
      <c r="Q768" s="606"/>
      <c r="R768" s="606"/>
      <c r="S768" s="606"/>
      <c r="T768" s="606"/>
      <c r="U768" s="606"/>
      <c r="V768" s="606"/>
      <c r="W768" s="606"/>
      <c r="X768" s="640"/>
      <c r="Y768" s="607"/>
      <c r="Z768" s="607"/>
      <c r="AA768" s="607"/>
      <c r="AB768" s="607"/>
      <c r="AC768" s="607"/>
      <c r="AD768" s="607"/>
      <c r="AE768" s="607"/>
      <c r="AF768" s="607"/>
      <c r="AG768" s="607"/>
      <c r="AH768" s="607"/>
      <c r="AI768" s="607"/>
      <c r="AJ768" s="607"/>
      <c r="AK768" s="607"/>
      <c r="AL768" s="606"/>
      <c r="AM768" s="606"/>
      <c r="AN768" s="606"/>
      <c r="AO768" s="606"/>
    </row>
    <row r="769" spans="1:41" ht="11.25" hidden="1" customHeight="1">
      <c r="A769" s="608"/>
      <c r="B769" s="607"/>
      <c r="C769" s="607"/>
      <c r="D769" s="607"/>
      <c r="E769" s="607"/>
      <c r="F769" s="607"/>
      <c r="G769" s="606"/>
      <c r="H769" s="606"/>
      <c r="I769" s="606"/>
      <c r="J769" s="606"/>
      <c r="K769" s="606"/>
      <c r="L769" s="606"/>
      <c r="M769" s="606"/>
      <c r="N769" s="606"/>
      <c r="O769" s="606"/>
      <c r="P769" s="606"/>
      <c r="Q769" s="606"/>
      <c r="R769" s="606"/>
      <c r="S769" s="606"/>
      <c r="T769" s="606"/>
      <c r="U769" s="606"/>
      <c r="V769" s="606"/>
      <c r="W769" s="606"/>
      <c r="X769" s="640"/>
      <c r="Y769" s="607"/>
      <c r="Z769" s="607"/>
      <c r="AA769" s="607"/>
      <c r="AB769" s="607"/>
      <c r="AC769" s="607"/>
      <c r="AD769" s="607"/>
      <c r="AE769" s="607"/>
      <c r="AF769" s="607"/>
      <c r="AG769" s="607"/>
      <c r="AH769" s="607"/>
      <c r="AI769" s="607"/>
      <c r="AJ769" s="607"/>
      <c r="AK769" s="607"/>
      <c r="AL769" s="606"/>
      <c r="AM769" s="606"/>
      <c r="AN769" s="606"/>
      <c r="AO769" s="606"/>
    </row>
    <row r="770" spans="1:41" ht="11.25" hidden="1" customHeight="1">
      <c r="A770" s="608"/>
      <c r="B770" s="607"/>
      <c r="C770" s="607"/>
      <c r="D770" s="607"/>
      <c r="E770" s="607"/>
      <c r="F770" s="607"/>
      <c r="G770" s="606"/>
      <c r="H770" s="606"/>
      <c r="I770" s="606"/>
      <c r="J770" s="606"/>
      <c r="K770" s="606"/>
      <c r="L770" s="606"/>
      <c r="M770" s="606"/>
      <c r="N770" s="606"/>
      <c r="O770" s="606"/>
      <c r="P770" s="606"/>
      <c r="Q770" s="606"/>
      <c r="R770" s="606"/>
      <c r="S770" s="606"/>
      <c r="T770" s="606"/>
      <c r="U770" s="606"/>
      <c r="V770" s="606"/>
      <c r="W770" s="606"/>
      <c r="X770" s="640"/>
      <c r="Y770" s="607"/>
      <c r="Z770" s="607"/>
      <c r="AA770" s="607"/>
      <c r="AB770" s="607"/>
      <c r="AC770" s="607"/>
      <c r="AD770" s="607"/>
      <c r="AE770" s="607"/>
      <c r="AF770" s="607"/>
      <c r="AG770" s="607"/>
      <c r="AH770" s="607"/>
      <c r="AI770" s="607"/>
      <c r="AJ770" s="607"/>
      <c r="AK770" s="607"/>
      <c r="AL770" s="606"/>
      <c r="AM770" s="606"/>
      <c r="AN770" s="606"/>
      <c r="AO770" s="606"/>
    </row>
    <row r="771" spans="1:41" ht="11.25" hidden="1" customHeight="1">
      <c r="A771" s="608"/>
      <c r="B771" s="607"/>
      <c r="C771" s="607"/>
      <c r="D771" s="607"/>
      <c r="E771" s="607"/>
      <c r="F771" s="607"/>
      <c r="G771" s="606"/>
      <c r="H771" s="606"/>
      <c r="I771" s="606"/>
      <c r="J771" s="606"/>
      <c r="K771" s="606"/>
      <c r="L771" s="606"/>
      <c r="M771" s="606"/>
      <c r="N771" s="606"/>
      <c r="O771" s="606"/>
      <c r="P771" s="606"/>
      <c r="Q771" s="606"/>
      <c r="R771" s="606"/>
      <c r="S771" s="606"/>
      <c r="T771" s="606"/>
      <c r="U771" s="606"/>
      <c r="V771" s="606"/>
      <c r="W771" s="606"/>
      <c r="X771" s="640"/>
      <c r="Y771" s="607"/>
      <c r="Z771" s="607"/>
      <c r="AA771" s="607"/>
      <c r="AB771" s="607"/>
      <c r="AC771" s="607"/>
      <c r="AD771" s="607"/>
      <c r="AE771" s="607"/>
      <c r="AF771" s="607"/>
      <c r="AG771" s="607"/>
      <c r="AH771" s="607"/>
      <c r="AI771" s="607"/>
      <c r="AJ771" s="607"/>
      <c r="AK771" s="607"/>
      <c r="AL771" s="606"/>
      <c r="AM771" s="606"/>
      <c r="AN771" s="606"/>
      <c r="AO771" s="606"/>
    </row>
    <row r="772" spans="1:41" ht="11.25" hidden="1" customHeight="1">
      <c r="A772" s="608"/>
      <c r="B772" s="607"/>
      <c r="C772" s="607"/>
      <c r="D772" s="607"/>
      <c r="E772" s="607"/>
      <c r="F772" s="607"/>
      <c r="G772" s="606"/>
      <c r="H772" s="606"/>
      <c r="I772" s="606"/>
      <c r="J772" s="606"/>
      <c r="K772" s="606"/>
      <c r="L772" s="606"/>
      <c r="M772" s="606"/>
      <c r="N772" s="606"/>
      <c r="O772" s="606"/>
      <c r="P772" s="606"/>
      <c r="Q772" s="606"/>
      <c r="R772" s="606"/>
      <c r="S772" s="606"/>
      <c r="T772" s="606"/>
      <c r="U772" s="606"/>
      <c r="V772" s="606"/>
      <c r="W772" s="606"/>
      <c r="X772" s="640"/>
      <c r="Y772" s="607"/>
      <c r="Z772" s="607"/>
      <c r="AA772" s="607"/>
      <c r="AB772" s="607"/>
      <c r="AC772" s="607"/>
      <c r="AD772" s="607"/>
      <c r="AE772" s="607"/>
      <c r="AF772" s="607"/>
      <c r="AG772" s="607"/>
      <c r="AH772" s="607"/>
      <c r="AI772" s="607"/>
      <c r="AJ772" s="607"/>
      <c r="AK772" s="607"/>
      <c r="AL772" s="606"/>
      <c r="AM772" s="606"/>
      <c r="AN772" s="606"/>
      <c r="AO772" s="606"/>
    </row>
    <row r="773" spans="1:41" ht="11.25" hidden="1" customHeight="1">
      <c r="A773" s="608"/>
      <c r="B773" s="607"/>
      <c r="C773" s="607"/>
      <c r="D773" s="607"/>
      <c r="E773" s="607"/>
      <c r="F773" s="607"/>
      <c r="G773" s="606"/>
      <c r="H773" s="606"/>
      <c r="I773" s="606"/>
      <c r="J773" s="606"/>
      <c r="K773" s="606"/>
      <c r="L773" s="606"/>
      <c r="M773" s="606"/>
      <c r="N773" s="606"/>
      <c r="O773" s="606"/>
      <c r="P773" s="606"/>
      <c r="Q773" s="606"/>
      <c r="R773" s="606"/>
      <c r="S773" s="606"/>
      <c r="T773" s="606"/>
      <c r="U773" s="606"/>
      <c r="V773" s="606"/>
      <c r="W773" s="606"/>
      <c r="X773" s="640"/>
      <c r="Y773" s="607"/>
      <c r="Z773" s="607"/>
      <c r="AA773" s="607"/>
      <c r="AB773" s="607"/>
      <c r="AC773" s="607"/>
      <c r="AD773" s="607"/>
      <c r="AE773" s="607"/>
      <c r="AF773" s="607"/>
      <c r="AG773" s="607"/>
      <c r="AH773" s="607"/>
      <c r="AI773" s="607"/>
      <c r="AJ773" s="607"/>
      <c r="AK773" s="607"/>
      <c r="AL773" s="606"/>
      <c r="AM773" s="606"/>
      <c r="AN773" s="606"/>
      <c r="AO773" s="606"/>
    </row>
    <row r="774" spans="1:41" ht="11.25" hidden="1" customHeight="1">
      <c r="A774" s="608"/>
      <c r="B774" s="607"/>
      <c r="C774" s="607"/>
      <c r="D774" s="607"/>
      <c r="E774" s="607"/>
      <c r="F774" s="607"/>
      <c r="G774" s="606"/>
      <c r="H774" s="606"/>
      <c r="I774" s="606"/>
      <c r="J774" s="606"/>
      <c r="K774" s="606"/>
      <c r="L774" s="606"/>
      <c r="M774" s="606"/>
      <c r="N774" s="606"/>
      <c r="O774" s="606"/>
      <c r="P774" s="606"/>
      <c r="Q774" s="606"/>
      <c r="R774" s="606"/>
      <c r="S774" s="606"/>
      <c r="T774" s="606"/>
      <c r="U774" s="606"/>
      <c r="V774" s="606"/>
      <c r="W774" s="606"/>
      <c r="X774" s="640"/>
      <c r="Y774" s="607"/>
      <c r="Z774" s="607"/>
      <c r="AA774" s="607"/>
      <c r="AB774" s="607"/>
      <c r="AC774" s="607"/>
      <c r="AD774" s="607"/>
      <c r="AE774" s="607"/>
      <c r="AF774" s="607"/>
      <c r="AG774" s="607"/>
      <c r="AH774" s="607"/>
      <c r="AI774" s="607"/>
      <c r="AJ774" s="607"/>
      <c r="AK774" s="607"/>
      <c r="AL774" s="606"/>
      <c r="AM774" s="606"/>
      <c r="AN774" s="606"/>
      <c r="AO774" s="606"/>
    </row>
    <row r="775" spans="1:41" ht="11.25" hidden="1" customHeight="1">
      <c r="A775" s="608"/>
      <c r="B775" s="607"/>
      <c r="C775" s="607"/>
      <c r="D775" s="607"/>
      <c r="E775" s="607"/>
      <c r="F775" s="607"/>
      <c r="G775" s="606"/>
      <c r="H775" s="606"/>
      <c r="I775" s="606"/>
      <c r="J775" s="606"/>
      <c r="K775" s="606"/>
      <c r="L775" s="606"/>
      <c r="M775" s="606"/>
      <c r="N775" s="606"/>
      <c r="O775" s="606"/>
      <c r="P775" s="606"/>
      <c r="Q775" s="606"/>
      <c r="R775" s="606"/>
      <c r="S775" s="606"/>
      <c r="T775" s="606"/>
      <c r="U775" s="606"/>
      <c r="V775" s="606"/>
      <c r="W775" s="606"/>
      <c r="X775" s="640"/>
      <c r="Y775" s="607"/>
      <c r="Z775" s="607"/>
      <c r="AA775" s="607"/>
      <c r="AB775" s="607"/>
      <c r="AC775" s="607"/>
      <c r="AD775" s="607"/>
      <c r="AE775" s="607"/>
      <c r="AF775" s="607"/>
      <c r="AG775" s="607"/>
      <c r="AH775" s="607"/>
      <c r="AI775" s="607"/>
      <c r="AJ775" s="607"/>
      <c r="AK775" s="607"/>
      <c r="AL775" s="606"/>
      <c r="AM775" s="606"/>
      <c r="AN775" s="606"/>
      <c r="AO775" s="606"/>
    </row>
    <row r="776" spans="1:41" ht="11.25" hidden="1" customHeight="1">
      <c r="A776" s="608"/>
      <c r="B776" s="607"/>
      <c r="C776" s="607"/>
      <c r="D776" s="607"/>
      <c r="E776" s="607"/>
      <c r="F776" s="607"/>
      <c r="G776" s="606"/>
      <c r="H776" s="606"/>
      <c r="I776" s="606"/>
      <c r="J776" s="606"/>
      <c r="K776" s="606"/>
      <c r="L776" s="606"/>
      <c r="M776" s="606"/>
      <c r="N776" s="606"/>
      <c r="O776" s="606"/>
      <c r="P776" s="606"/>
      <c r="Q776" s="606"/>
      <c r="R776" s="606"/>
      <c r="S776" s="606"/>
      <c r="T776" s="606"/>
      <c r="U776" s="606"/>
      <c r="V776" s="606"/>
      <c r="W776" s="606"/>
      <c r="X776" s="640"/>
      <c r="Y776" s="607"/>
      <c r="Z776" s="607"/>
      <c r="AA776" s="607"/>
      <c r="AB776" s="607"/>
      <c r="AC776" s="607"/>
      <c r="AD776" s="607"/>
      <c r="AE776" s="607"/>
      <c r="AF776" s="607"/>
      <c r="AG776" s="607"/>
      <c r="AH776" s="607"/>
      <c r="AI776" s="607"/>
      <c r="AJ776" s="607"/>
      <c r="AK776" s="607"/>
      <c r="AL776" s="606"/>
      <c r="AM776" s="606"/>
      <c r="AN776" s="606"/>
      <c r="AO776" s="606"/>
    </row>
    <row r="777" spans="1:41" ht="11.25" hidden="1" customHeight="1">
      <c r="A777" s="608"/>
      <c r="B777" s="607"/>
      <c r="C777" s="607"/>
      <c r="D777" s="607"/>
      <c r="E777" s="607"/>
      <c r="F777" s="607"/>
      <c r="G777" s="606"/>
      <c r="H777" s="606"/>
      <c r="I777" s="606"/>
      <c r="J777" s="606"/>
      <c r="K777" s="606"/>
      <c r="L777" s="606"/>
      <c r="M777" s="606"/>
      <c r="N777" s="606"/>
      <c r="O777" s="606"/>
      <c r="P777" s="606"/>
      <c r="Q777" s="606"/>
      <c r="R777" s="606"/>
      <c r="S777" s="606"/>
      <c r="T777" s="606"/>
      <c r="U777" s="606"/>
      <c r="V777" s="606"/>
      <c r="W777" s="606"/>
      <c r="X777" s="640"/>
      <c r="Y777" s="607"/>
      <c r="Z777" s="607"/>
      <c r="AA777" s="607"/>
      <c r="AB777" s="607"/>
      <c r="AC777" s="607"/>
      <c r="AD777" s="607"/>
      <c r="AE777" s="607"/>
      <c r="AF777" s="607"/>
      <c r="AG777" s="607"/>
      <c r="AH777" s="607"/>
      <c r="AI777" s="607"/>
      <c r="AJ777" s="607"/>
      <c r="AK777" s="607"/>
      <c r="AL777" s="606"/>
      <c r="AM777" s="606"/>
      <c r="AN777" s="606"/>
      <c r="AO777" s="606"/>
    </row>
    <row r="778" spans="1:41" ht="11.25" hidden="1" customHeight="1">
      <c r="A778" s="608"/>
      <c r="B778" s="607"/>
      <c r="C778" s="607"/>
      <c r="D778" s="607"/>
      <c r="E778" s="607"/>
      <c r="F778" s="607"/>
      <c r="G778" s="606"/>
      <c r="H778" s="606"/>
      <c r="I778" s="606"/>
      <c r="J778" s="606"/>
      <c r="K778" s="606"/>
      <c r="L778" s="606"/>
      <c r="M778" s="606"/>
      <c r="N778" s="606"/>
      <c r="O778" s="606"/>
      <c r="P778" s="606"/>
      <c r="Q778" s="606"/>
      <c r="R778" s="606"/>
      <c r="S778" s="606"/>
      <c r="T778" s="606"/>
      <c r="U778" s="606"/>
      <c r="V778" s="606"/>
      <c r="W778" s="606"/>
      <c r="X778" s="640"/>
      <c r="Y778" s="607"/>
      <c r="Z778" s="607"/>
      <c r="AA778" s="607"/>
      <c r="AB778" s="607"/>
      <c r="AC778" s="607"/>
      <c r="AD778" s="607"/>
      <c r="AE778" s="607"/>
      <c r="AF778" s="607"/>
      <c r="AG778" s="607"/>
      <c r="AH778" s="607"/>
      <c r="AI778" s="607"/>
      <c r="AJ778" s="607"/>
      <c r="AK778" s="607"/>
      <c r="AL778" s="606"/>
      <c r="AM778" s="606"/>
      <c r="AN778" s="606"/>
      <c r="AO778" s="606"/>
    </row>
    <row r="779" spans="1:41" ht="11.25" hidden="1" customHeight="1">
      <c r="A779" s="608"/>
      <c r="B779" s="607"/>
      <c r="C779" s="607"/>
      <c r="D779" s="607"/>
      <c r="E779" s="607"/>
      <c r="F779" s="607"/>
      <c r="G779" s="606"/>
      <c r="H779" s="606"/>
      <c r="I779" s="606"/>
      <c r="J779" s="606"/>
      <c r="K779" s="606"/>
      <c r="L779" s="606"/>
      <c r="M779" s="606"/>
      <c r="N779" s="606"/>
      <c r="O779" s="606"/>
      <c r="P779" s="606"/>
      <c r="Q779" s="606"/>
      <c r="R779" s="606"/>
      <c r="S779" s="606"/>
      <c r="T779" s="606"/>
      <c r="U779" s="606"/>
      <c r="V779" s="606"/>
      <c r="W779" s="606"/>
      <c r="X779" s="640"/>
      <c r="Y779" s="607"/>
      <c r="Z779" s="607"/>
      <c r="AA779" s="607"/>
      <c r="AB779" s="607"/>
      <c r="AC779" s="607"/>
      <c r="AD779" s="607"/>
      <c r="AE779" s="607"/>
      <c r="AF779" s="607"/>
      <c r="AG779" s="607"/>
      <c r="AH779" s="607"/>
      <c r="AI779" s="607"/>
      <c r="AJ779" s="607"/>
      <c r="AK779" s="607"/>
      <c r="AL779" s="606"/>
      <c r="AM779" s="606"/>
      <c r="AN779" s="606"/>
      <c r="AO779" s="606"/>
    </row>
    <row r="780" spans="1:41" ht="11.25" hidden="1" customHeight="1">
      <c r="A780" s="608"/>
      <c r="B780" s="607"/>
      <c r="C780" s="607"/>
      <c r="D780" s="607"/>
      <c r="E780" s="607"/>
      <c r="F780" s="607"/>
      <c r="G780" s="606"/>
      <c r="H780" s="606"/>
      <c r="I780" s="606"/>
      <c r="J780" s="606"/>
      <c r="K780" s="606"/>
      <c r="L780" s="606"/>
      <c r="M780" s="606"/>
      <c r="N780" s="606"/>
      <c r="O780" s="606"/>
      <c r="P780" s="606"/>
      <c r="Q780" s="606"/>
      <c r="R780" s="606"/>
      <c r="S780" s="606"/>
      <c r="T780" s="606"/>
      <c r="U780" s="606"/>
      <c r="V780" s="606"/>
      <c r="W780" s="606"/>
      <c r="X780" s="640"/>
      <c r="Y780" s="607"/>
      <c r="Z780" s="607"/>
      <c r="AA780" s="607"/>
      <c r="AB780" s="607"/>
      <c r="AC780" s="607"/>
      <c r="AD780" s="607"/>
      <c r="AE780" s="607"/>
      <c r="AF780" s="607"/>
      <c r="AG780" s="607"/>
      <c r="AH780" s="607"/>
      <c r="AI780" s="607"/>
      <c r="AJ780" s="607"/>
      <c r="AK780" s="607"/>
      <c r="AL780" s="606"/>
      <c r="AM780" s="606"/>
      <c r="AN780" s="606"/>
      <c r="AO780" s="606"/>
    </row>
    <row r="781" spans="1:41" ht="11.25" hidden="1" customHeight="1">
      <c r="A781" s="608"/>
      <c r="B781" s="607"/>
      <c r="C781" s="607"/>
      <c r="D781" s="607"/>
      <c r="E781" s="607"/>
      <c r="F781" s="607"/>
      <c r="G781" s="606"/>
      <c r="H781" s="606"/>
      <c r="I781" s="606"/>
      <c r="J781" s="606"/>
      <c r="K781" s="606"/>
      <c r="L781" s="606"/>
      <c r="M781" s="606"/>
      <c r="N781" s="606"/>
      <c r="O781" s="606"/>
      <c r="P781" s="606"/>
      <c r="Q781" s="606"/>
      <c r="R781" s="606"/>
      <c r="S781" s="606"/>
      <c r="T781" s="606"/>
      <c r="U781" s="606"/>
      <c r="V781" s="606"/>
      <c r="W781" s="606"/>
      <c r="X781" s="640"/>
      <c r="Y781" s="607"/>
      <c r="Z781" s="607"/>
      <c r="AA781" s="607"/>
      <c r="AB781" s="607"/>
      <c r="AC781" s="607"/>
      <c r="AD781" s="607"/>
      <c r="AE781" s="607"/>
      <c r="AF781" s="607"/>
      <c r="AG781" s="607"/>
      <c r="AH781" s="607"/>
      <c r="AI781" s="607"/>
      <c r="AJ781" s="607"/>
      <c r="AK781" s="607"/>
      <c r="AL781" s="606"/>
      <c r="AM781" s="606"/>
      <c r="AN781" s="606"/>
      <c r="AO781" s="606"/>
    </row>
    <row r="782" spans="1:41" ht="11.25" hidden="1" customHeight="1">
      <c r="A782" s="608"/>
      <c r="B782" s="607"/>
      <c r="C782" s="607"/>
      <c r="D782" s="607"/>
      <c r="E782" s="607"/>
      <c r="F782" s="607"/>
      <c r="G782" s="606"/>
      <c r="H782" s="606"/>
      <c r="I782" s="606"/>
      <c r="J782" s="606"/>
      <c r="K782" s="606"/>
      <c r="L782" s="606"/>
      <c r="M782" s="606"/>
      <c r="N782" s="606"/>
      <c r="O782" s="606"/>
      <c r="P782" s="606"/>
      <c r="Q782" s="606"/>
      <c r="R782" s="606"/>
      <c r="S782" s="606"/>
      <c r="T782" s="606"/>
      <c r="U782" s="606"/>
      <c r="V782" s="606"/>
      <c r="W782" s="606"/>
      <c r="X782" s="640"/>
      <c r="Y782" s="607"/>
      <c r="Z782" s="607"/>
      <c r="AA782" s="607"/>
      <c r="AB782" s="607"/>
      <c r="AC782" s="607"/>
      <c r="AD782" s="607"/>
      <c r="AE782" s="607"/>
      <c r="AF782" s="607"/>
      <c r="AG782" s="607"/>
      <c r="AH782" s="607"/>
      <c r="AI782" s="607"/>
      <c r="AJ782" s="607"/>
      <c r="AK782" s="607"/>
      <c r="AL782" s="606"/>
      <c r="AM782" s="606"/>
      <c r="AN782" s="606"/>
      <c r="AO782" s="606"/>
    </row>
    <row r="783" spans="1:41" ht="11.25" hidden="1" customHeight="1">
      <c r="A783" s="608"/>
      <c r="B783" s="607"/>
      <c r="C783" s="607"/>
      <c r="D783" s="607"/>
      <c r="E783" s="607"/>
      <c r="F783" s="607"/>
      <c r="G783" s="606"/>
      <c r="H783" s="606"/>
      <c r="I783" s="606"/>
      <c r="J783" s="606"/>
      <c r="K783" s="606"/>
      <c r="L783" s="606"/>
      <c r="M783" s="606"/>
      <c r="N783" s="606"/>
      <c r="O783" s="606"/>
      <c r="P783" s="606"/>
      <c r="Q783" s="606"/>
      <c r="R783" s="606"/>
      <c r="S783" s="606"/>
      <c r="T783" s="606"/>
      <c r="U783" s="606"/>
      <c r="V783" s="606"/>
      <c r="W783" s="606"/>
      <c r="X783" s="640"/>
      <c r="Y783" s="607"/>
      <c r="Z783" s="607"/>
      <c r="AA783" s="607"/>
      <c r="AB783" s="607"/>
      <c r="AC783" s="607"/>
      <c r="AD783" s="607"/>
      <c r="AE783" s="607"/>
      <c r="AF783" s="607"/>
      <c r="AG783" s="607"/>
      <c r="AH783" s="607"/>
      <c r="AI783" s="607"/>
      <c r="AJ783" s="607"/>
      <c r="AK783" s="607"/>
      <c r="AL783" s="606"/>
      <c r="AM783" s="606"/>
      <c r="AN783" s="606"/>
      <c r="AO783" s="606"/>
    </row>
    <row r="784" spans="1:41" ht="11.25" hidden="1" customHeight="1">
      <c r="A784" s="608"/>
      <c r="B784" s="607"/>
      <c r="C784" s="607"/>
      <c r="D784" s="607"/>
      <c r="E784" s="607"/>
      <c r="F784" s="607"/>
      <c r="G784" s="606"/>
      <c r="H784" s="606"/>
      <c r="I784" s="606"/>
      <c r="J784" s="606"/>
      <c r="K784" s="606"/>
      <c r="L784" s="606"/>
      <c r="M784" s="606"/>
      <c r="N784" s="606"/>
      <c r="O784" s="606"/>
      <c r="P784" s="606"/>
      <c r="Q784" s="606"/>
      <c r="R784" s="606"/>
      <c r="S784" s="606"/>
      <c r="T784" s="606"/>
      <c r="U784" s="606"/>
      <c r="V784" s="606"/>
      <c r="W784" s="606"/>
      <c r="X784" s="640"/>
      <c r="Y784" s="607"/>
      <c r="Z784" s="607"/>
      <c r="AA784" s="607"/>
      <c r="AB784" s="607"/>
      <c r="AC784" s="607"/>
      <c r="AD784" s="607"/>
      <c r="AE784" s="607"/>
      <c r="AF784" s="607"/>
      <c r="AG784" s="607"/>
      <c r="AH784" s="607"/>
      <c r="AI784" s="607"/>
      <c r="AJ784" s="607"/>
      <c r="AK784" s="607"/>
      <c r="AL784" s="606"/>
      <c r="AM784" s="606"/>
      <c r="AN784" s="606"/>
      <c r="AO784" s="606"/>
    </row>
    <row r="785" spans="1:41" ht="11.25" hidden="1" customHeight="1">
      <c r="A785" s="608"/>
      <c r="B785" s="607"/>
      <c r="C785" s="607"/>
      <c r="D785" s="607"/>
      <c r="E785" s="607"/>
      <c r="F785" s="607"/>
      <c r="G785" s="606"/>
      <c r="H785" s="606"/>
      <c r="I785" s="606"/>
      <c r="J785" s="606"/>
      <c r="K785" s="606"/>
      <c r="L785" s="606"/>
      <c r="M785" s="606"/>
      <c r="N785" s="606"/>
      <c r="O785" s="606"/>
      <c r="P785" s="606"/>
      <c r="Q785" s="606"/>
      <c r="R785" s="606"/>
      <c r="S785" s="606"/>
      <c r="T785" s="606"/>
      <c r="U785" s="606"/>
      <c r="V785" s="606"/>
      <c r="W785" s="606"/>
      <c r="X785" s="640"/>
      <c r="Y785" s="607"/>
      <c r="Z785" s="607"/>
      <c r="AA785" s="607"/>
      <c r="AB785" s="607"/>
      <c r="AC785" s="607"/>
      <c r="AD785" s="607"/>
      <c r="AE785" s="607"/>
      <c r="AF785" s="607"/>
      <c r="AG785" s="607"/>
      <c r="AH785" s="607"/>
      <c r="AI785" s="607"/>
      <c r="AJ785" s="607"/>
      <c r="AK785" s="607"/>
      <c r="AL785" s="606"/>
      <c r="AM785" s="606"/>
      <c r="AN785" s="606"/>
      <c r="AO785" s="606"/>
    </row>
    <row r="786" spans="1:41" ht="11.25" hidden="1" customHeight="1">
      <c r="A786" s="608"/>
      <c r="B786" s="607"/>
      <c r="C786" s="607"/>
      <c r="D786" s="607"/>
      <c r="E786" s="607"/>
      <c r="F786" s="607"/>
      <c r="G786" s="606"/>
      <c r="H786" s="606"/>
      <c r="I786" s="606"/>
      <c r="J786" s="606"/>
      <c r="K786" s="606"/>
      <c r="L786" s="606"/>
      <c r="M786" s="606"/>
      <c r="N786" s="606"/>
      <c r="O786" s="606"/>
      <c r="P786" s="606"/>
      <c r="Q786" s="606"/>
      <c r="R786" s="606"/>
      <c r="S786" s="606"/>
      <c r="T786" s="606"/>
      <c r="U786" s="606"/>
      <c r="V786" s="606"/>
      <c r="W786" s="606"/>
      <c r="X786" s="640"/>
      <c r="Y786" s="607"/>
      <c r="Z786" s="607"/>
      <c r="AA786" s="607"/>
      <c r="AB786" s="607"/>
      <c r="AC786" s="607"/>
      <c r="AD786" s="607"/>
      <c r="AE786" s="607"/>
      <c r="AF786" s="607"/>
      <c r="AG786" s="607"/>
      <c r="AH786" s="607"/>
      <c r="AI786" s="607"/>
      <c r="AJ786" s="607"/>
      <c r="AK786" s="607"/>
      <c r="AL786" s="606"/>
      <c r="AM786" s="606"/>
      <c r="AN786" s="606"/>
      <c r="AO786" s="606"/>
    </row>
    <row r="787" spans="1:41" ht="11.25" hidden="1" customHeight="1">
      <c r="A787" s="608"/>
      <c r="B787" s="607"/>
      <c r="C787" s="607"/>
      <c r="D787" s="607"/>
      <c r="E787" s="607"/>
      <c r="F787" s="607"/>
      <c r="G787" s="606"/>
      <c r="H787" s="606"/>
      <c r="I787" s="606"/>
      <c r="J787" s="606"/>
      <c r="K787" s="606"/>
      <c r="L787" s="606"/>
      <c r="M787" s="606"/>
      <c r="N787" s="606"/>
      <c r="O787" s="606"/>
      <c r="P787" s="606"/>
      <c r="Q787" s="606"/>
      <c r="R787" s="606"/>
      <c r="S787" s="606"/>
      <c r="T787" s="606"/>
      <c r="U787" s="606"/>
      <c r="V787" s="606"/>
      <c r="W787" s="606"/>
      <c r="X787" s="640"/>
      <c r="Y787" s="607"/>
      <c r="Z787" s="607"/>
      <c r="AA787" s="607"/>
      <c r="AB787" s="607"/>
      <c r="AC787" s="607"/>
      <c r="AD787" s="607"/>
      <c r="AE787" s="607"/>
      <c r="AF787" s="607"/>
      <c r="AG787" s="607"/>
      <c r="AH787" s="607"/>
      <c r="AI787" s="607"/>
      <c r="AJ787" s="607"/>
      <c r="AK787" s="607"/>
      <c r="AL787" s="606"/>
      <c r="AM787" s="606"/>
      <c r="AN787" s="606"/>
      <c r="AO787" s="606"/>
    </row>
    <row r="788" spans="1:41" ht="11.25" hidden="1" customHeight="1">
      <c r="A788" s="608"/>
      <c r="B788" s="607"/>
      <c r="C788" s="607"/>
      <c r="D788" s="607"/>
      <c r="E788" s="607"/>
      <c r="F788" s="607"/>
      <c r="G788" s="606"/>
      <c r="H788" s="606"/>
      <c r="I788" s="606"/>
      <c r="J788" s="606"/>
      <c r="K788" s="606"/>
      <c r="L788" s="606"/>
      <c r="M788" s="606"/>
      <c r="N788" s="606"/>
      <c r="O788" s="606"/>
      <c r="P788" s="606"/>
      <c r="Q788" s="606"/>
      <c r="R788" s="606"/>
      <c r="S788" s="606"/>
      <c r="T788" s="606"/>
      <c r="U788" s="606"/>
      <c r="V788" s="606"/>
      <c r="W788" s="606"/>
      <c r="X788" s="640"/>
      <c r="Y788" s="607"/>
      <c r="Z788" s="607"/>
      <c r="AA788" s="607"/>
      <c r="AB788" s="607"/>
      <c r="AC788" s="607"/>
      <c r="AD788" s="607"/>
      <c r="AE788" s="607"/>
      <c r="AF788" s="607"/>
      <c r="AG788" s="607"/>
      <c r="AH788" s="607"/>
      <c r="AI788" s="607"/>
      <c r="AJ788" s="607"/>
      <c r="AK788" s="607"/>
      <c r="AL788" s="606"/>
      <c r="AM788" s="606"/>
      <c r="AN788" s="606"/>
      <c r="AO788" s="606"/>
    </row>
    <row r="789" spans="1:41" ht="11.25" hidden="1" customHeight="1">
      <c r="A789" s="608"/>
      <c r="B789" s="607"/>
      <c r="C789" s="607"/>
      <c r="D789" s="607"/>
      <c r="E789" s="607"/>
      <c r="F789" s="607"/>
      <c r="G789" s="606"/>
      <c r="H789" s="606"/>
      <c r="I789" s="606"/>
      <c r="J789" s="606"/>
      <c r="K789" s="606"/>
      <c r="L789" s="606"/>
      <c r="M789" s="606"/>
      <c r="N789" s="606"/>
      <c r="O789" s="606"/>
      <c r="P789" s="606"/>
      <c r="Q789" s="606"/>
      <c r="R789" s="606"/>
      <c r="S789" s="606"/>
      <c r="T789" s="606"/>
      <c r="U789" s="606"/>
      <c r="V789" s="606"/>
      <c r="W789" s="606"/>
      <c r="X789" s="640"/>
      <c r="Y789" s="607"/>
      <c r="Z789" s="607"/>
      <c r="AA789" s="607"/>
      <c r="AB789" s="607"/>
      <c r="AC789" s="607"/>
      <c r="AD789" s="607"/>
      <c r="AE789" s="607"/>
      <c r="AF789" s="607"/>
      <c r="AG789" s="607"/>
      <c r="AH789" s="607"/>
      <c r="AI789" s="607"/>
      <c r="AJ789" s="607"/>
      <c r="AK789" s="607"/>
      <c r="AL789" s="606"/>
      <c r="AM789" s="606"/>
      <c r="AN789" s="606"/>
      <c r="AO789" s="606"/>
    </row>
    <row r="790" spans="1:41" ht="11.25" hidden="1" customHeight="1">
      <c r="A790" s="608"/>
      <c r="B790" s="607"/>
      <c r="C790" s="607"/>
      <c r="D790" s="607"/>
      <c r="E790" s="607"/>
      <c r="F790" s="607"/>
      <c r="G790" s="606"/>
      <c r="H790" s="606"/>
      <c r="I790" s="606"/>
      <c r="J790" s="606"/>
      <c r="K790" s="606"/>
      <c r="L790" s="606"/>
      <c r="M790" s="606"/>
      <c r="N790" s="606"/>
      <c r="O790" s="606"/>
      <c r="P790" s="606"/>
      <c r="Q790" s="606"/>
      <c r="R790" s="606"/>
      <c r="S790" s="606"/>
      <c r="T790" s="606"/>
      <c r="U790" s="606"/>
      <c r="V790" s="606"/>
      <c r="W790" s="606"/>
      <c r="X790" s="640"/>
      <c r="Y790" s="607"/>
      <c r="Z790" s="607"/>
      <c r="AA790" s="607"/>
      <c r="AB790" s="607"/>
      <c r="AC790" s="607"/>
      <c r="AD790" s="607"/>
      <c r="AE790" s="607"/>
      <c r="AF790" s="607"/>
      <c r="AG790" s="607"/>
      <c r="AH790" s="607"/>
      <c r="AI790" s="607"/>
      <c r="AJ790" s="607"/>
      <c r="AK790" s="607"/>
      <c r="AL790" s="606"/>
      <c r="AM790" s="606"/>
      <c r="AN790" s="606"/>
      <c r="AO790" s="606"/>
    </row>
    <row r="791" spans="1:41" ht="11.25" hidden="1" customHeight="1">
      <c r="A791" s="608"/>
      <c r="B791" s="607"/>
      <c r="C791" s="607"/>
      <c r="D791" s="607"/>
      <c r="E791" s="607"/>
      <c r="F791" s="607"/>
      <c r="G791" s="606"/>
      <c r="H791" s="606"/>
      <c r="I791" s="606"/>
      <c r="J791" s="606"/>
      <c r="K791" s="606"/>
      <c r="L791" s="606"/>
      <c r="M791" s="606"/>
      <c r="N791" s="606"/>
      <c r="O791" s="606"/>
      <c r="P791" s="606"/>
      <c r="Q791" s="606"/>
      <c r="R791" s="606"/>
      <c r="S791" s="606"/>
      <c r="T791" s="606"/>
      <c r="U791" s="606"/>
      <c r="V791" s="606"/>
      <c r="W791" s="606"/>
      <c r="X791" s="640"/>
      <c r="Y791" s="607"/>
      <c r="Z791" s="607"/>
      <c r="AA791" s="607"/>
      <c r="AB791" s="607"/>
      <c r="AC791" s="607"/>
      <c r="AD791" s="607"/>
      <c r="AE791" s="607"/>
      <c r="AF791" s="607"/>
      <c r="AG791" s="607"/>
      <c r="AH791" s="607"/>
      <c r="AI791" s="607"/>
      <c r="AJ791" s="607"/>
      <c r="AK791" s="607"/>
      <c r="AL791" s="606"/>
      <c r="AM791" s="606"/>
      <c r="AN791" s="606"/>
      <c r="AO791" s="606"/>
    </row>
    <row r="792" spans="1:41" ht="11.25" hidden="1" customHeight="1">
      <c r="A792" s="608"/>
      <c r="B792" s="607"/>
      <c r="C792" s="607"/>
      <c r="D792" s="607"/>
      <c r="E792" s="607"/>
      <c r="F792" s="607"/>
      <c r="G792" s="606"/>
      <c r="H792" s="606"/>
      <c r="I792" s="606"/>
      <c r="J792" s="606"/>
      <c r="K792" s="606"/>
      <c r="L792" s="606"/>
      <c r="M792" s="606"/>
      <c r="N792" s="606"/>
      <c r="O792" s="606"/>
      <c r="P792" s="606"/>
      <c r="Q792" s="606"/>
      <c r="R792" s="606"/>
      <c r="S792" s="606"/>
      <c r="T792" s="606"/>
      <c r="U792" s="606"/>
      <c r="V792" s="606"/>
      <c r="W792" s="606"/>
      <c r="X792" s="640"/>
      <c r="Y792" s="607"/>
      <c r="Z792" s="607"/>
      <c r="AA792" s="607"/>
      <c r="AB792" s="607"/>
      <c r="AC792" s="607"/>
      <c r="AD792" s="607"/>
      <c r="AE792" s="607"/>
      <c r="AF792" s="607"/>
      <c r="AG792" s="607"/>
      <c r="AH792" s="607"/>
      <c r="AI792" s="607"/>
      <c r="AJ792" s="607"/>
      <c r="AK792" s="607"/>
      <c r="AL792" s="606"/>
      <c r="AM792" s="606"/>
      <c r="AN792" s="606"/>
      <c r="AO792" s="606"/>
    </row>
    <row r="793" spans="1:41" ht="11.25" hidden="1" customHeight="1">
      <c r="A793" s="608"/>
      <c r="B793" s="607"/>
      <c r="C793" s="607"/>
      <c r="D793" s="607"/>
      <c r="E793" s="607"/>
      <c r="F793" s="607"/>
      <c r="G793" s="606"/>
      <c r="H793" s="606"/>
      <c r="I793" s="606"/>
      <c r="J793" s="606"/>
      <c r="K793" s="606"/>
      <c r="L793" s="606"/>
      <c r="M793" s="606"/>
      <c r="N793" s="606"/>
      <c r="O793" s="606"/>
      <c r="P793" s="606"/>
      <c r="Q793" s="606"/>
      <c r="R793" s="606"/>
      <c r="S793" s="606"/>
      <c r="T793" s="606"/>
      <c r="U793" s="606"/>
      <c r="V793" s="606"/>
      <c r="W793" s="606"/>
      <c r="X793" s="640"/>
      <c r="Y793" s="607"/>
      <c r="Z793" s="607"/>
      <c r="AA793" s="607"/>
      <c r="AB793" s="607"/>
      <c r="AC793" s="607"/>
      <c r="AD793" s="607"/>
      <c r="AE793" s="607"/>
      <c r="AF793" s="607"/>
      <c r="AG793" s="607"/>
      <c r="AH793" s="607"/>
      <c r="AI793" s="607"/>
      <c r="AJ793" s="607"/>
      <c r="AK793" s="607"/>
      <c r="AL793" s="606"/>
      <c r="AM793" s="606"/>
      <c r="AN793" s="606"/>
      <c r="AO793" s="606"/>
    </row>
    <row r="794" spans="1:41" ht="11.25" hidden="1" customHeight="1">
      <c r="A794" s="608"/>
      <c r="B794" s="607"/>
      <c r="C794" s="607"/>
      <c r="D794" s="607"/>
      <c r="E794" s="607"/>
      <c r="F794" s="607"/>
      <c r="G794" s="606"/>
      <c r="H794" s="606"/>
      <c r="I794" s="606"/>
      <c r="J794" s="606"/>
      <c r="K794" s="606"/>
      <c r="L794" s="606"/>
      <c r="M794" s="606"/>
      <c r="N794" s="606"/>
      <c r="O794" s="606"/>
      <c r="P794" s="606"/>
      <c r="Q794" s="606"/>
      <c r="R794" s="606"/>
      <c r="S794" s="606"/>
      <c r="T794" s="606"/>
      <c r="U794" s="606"/>
      <c r="V794" s="606"/>
      <c r="W794" s="606"/>
      <c r="X794" s="640"/>
      <c r="Y794" s="607"/>
      <c r="Z794" s="607"/>
      <c r="AA794" s="607"/>
      <c r="AB794" s="607"/>
      <c r="AC794" s="607"/>
      <c r="AD794" s="607"/>
      <c r="AE794" s="607"/>
      <c r="AF794" s="607"/>
      <c r="AG794" s="607"/>
      <c r="AH794" s="607"/>
      <c r="AI794" s="607"/>
      <c r="AJ794" s="607"/>
      <c r="AK794" s="607"/>
      <c r="AL794" s="606"/>
      <c r="AM794" s="606"/>
      <c r="AN794" s="606"/>
      <c r="AO794" s="606"/>
    </row>
    <row r="795" spans="1:41" ht="11.25" hidden="1" customHeight="1">
      <c r="A795" s="608"/>
      <c r="B795" s="607"/>
      <c r="C795" s="607"/>
      <c r="D795" s="607"/>
      <c r="E795" s="607"/>
      <c r="F795" s="607"/>
      <c r="G795" s="606"/>
      <c r="H795" s="606"/>
      <c r="I795" s="606"/>
      <c r="J795" s="606"/>
      <c r="K795" s="606"/>
      <c r="L795" s="606"/>
      <c r="M795" s="606"/>
      <c r="N795" s="606"/>
      <c r="O795" s="606"/>
      <c r="P795" s="606"/>
      <c r="Q795" s="606"/>
      <c r="R795" s="606"/>
      <c r="S795" s="606"/>
      <c r="T795" s="606"/>
      <c r="U795" s="606"/>
      <c r="V795" s="606"/>
      <c r="W795" s="606"/>
      <c r="X795" s="640"/>
      <c r="Y795" s="607"/>
      <c r="Z795" s="607"/>
      <c r="AA795" s="607"/>
      <c r="AB795" s="607"/>
      <c r="AC795" s="607"/>
      <c r="AD795" s="607"/>
      <c r="AE795" s="607"/>
      <c r="AF795" s="607"/>
      <c r="AG795" s="607"/>
      <c r="AH795" s="607"/>
      <c r="AI795" s="607"/>
      <c r="AJ795" s="607"/>
      <c r="AK795" s="607"/>
      <c r="AL795" s="606"/>
      <c r="AM795" s="606"/>
      <c r="AN795" s="606"/>
      <c r="AO795" s="606"/>
    </row>
    <row r="796" spans="1:41" ht="11.25" hidden="1" customHeight="1">
      <c r="A796" s="608"/>
      <c r="B796" s="607"/>
      <c r="C796" s="607"/>
      <c r="D796" s="607"/>
      <c r="E796" s="607"/>
      <c r="F796" s="607"/>
      <c r="G796" s="606"/>
      <c r="H796" s="606"/>
      <c r="I796" s="606"/>
      <c r="J796" s="606"/>
      <c r="K796" s="606"/>
      <c r="L796" s="606"/>
      <c r="M796" s="606"/>
      <c r="N796" s="606"/>
      <c r="O796" s="606"/>
      <c r="P796" s="606"/>
      <c r="Q796" s="606"/>
      <c r="R796" s="606"/>
      <c r="S796" s="606"/>
      <c r="T796" s="606"/>
      <c r="U796" s="606"/>
      <c r="V796" s="606"/>
      <c r="W796" s="606"/>
      <c r="X796" s="640"/>
      <c r="Y796" s="607"/>
      <c r="Z796" s="607"/>
      <c r="AA796" s="607"/>
      <c r="AB796" s="607"/>
      <c r="AC796" s="607"/>
      <c r="AD796" s="607"/>
      <c r="AE796" s="607"/>
      <c r="AF796" s="607"/>
      <c r="AG796" s="607"/>
      <c r="AH796" s="607"/>
      <c r="AI796" s="607"/>
      <c r="AJ796" s="607"/>
      <c r="AK796" s="607"/>
      <c r="AL796" s="606"/>
      <c r="AM796" s="606"/>
      <c r="AN796" s="606"/>
      <c r="AO796" s="606"/>
    </row>
    <row r="797" spans="1:41" ht="11.25" hidden="1" customHeight="1">
      <c r="A797" s="608"/>
      <c r="B797" s="607"/>
      <c r="C797" s="607"/>
      <c r="D797" s="607"/>
      <c r="E797" s="607"/>
      <c r="F797" s="607"/>
      <c r="G797" s="606"/>
      <c r="H797" s="606"/>
      <c r="I797" s="606"/>
      <c r="J797" s="606"/>
      <c r="K797" s="606"/>
      <c r="L797" s="606"/>
      <c r="M797" s="606"/>
      <c r="N797" s="606"/>
      <c r="O797" s="606"/>
      <c r="P797" s="606"/>
      <c r="Q797" s="606"/>
      <c r="R797" s="606"/>
      <c r="S797" s="606"/>
      <c r="T797" s="606"/>
      <c r="U797" s="606"/>
      <c r="V797" s="606"/>
      <c r="W797" s="606"/>
      <c r="X797" s="640"/>
      <c r="Y797" s="607"/>
      <c r="Z797" s="607"/>
      <c r="AA797" s="607"/>
      <c r="AB797" s="607"/>
      <c r="AC797" s="607"/>
      <c r="AD797" s="607"/>
      <c r="AE797" s="607"/>
      <c r="AF797" s="607"/>
      <c r="AG797" s="607"/>
      <c r="AH797" s="607"/>
      <c r="AI797" s="607"/>
      <c r="AJ797" s="607"/>
      <c r="AK797" s="607"/>
      <c r="AL797" s="606"/>
      <c r="AM797" s="606"/>
      <c r="AN797" s="606"/>
      <c r="AO797" s="606"/>
    </row>
    <row r="798" spans="1:41" ht="11.25" hidden="1" customHeight="1">
      <c r="A798" s="608"/>
      <c r="B798" s="607"/>
      <c r="C798" s="607"/>
      <c r="D798" s="607"/>
      <c r="E798" s="607"/>
      <c r="F798" s="607"/>
      <c r="G798" s="606"/>
      <c r="H798" s="606"/>
      <c r="I798" s="606"/>
      <c r="J798" s="606"/>
      <c r="K798" s="606"/>
      <c r="L798" s="606"/>
      <c r="M798" s="606"/>
      <c r="N798" s="606"/>
      <c r="O798" s="606"/>
      <c r="P798" s="606"/>
      <c r="Q798" s="606"/>
      <c r="R798" s="606"/>
      <c r="S798" s="606"/>
      <c r="T798" s="606"/>
      <c r="U798" s="606"/>
      <c r="V798" s="606"/>
      <c r="W798" s="606"/>
      <c r="X798" s="640"/>
      <c r="Y798" s="607"/>
      <c r="Z798" s="607"/>
      <c r="AA798" s="607"/>
      <c r="AB798" s="607"/>
      <c r="AC798" s="607"/>
      <c r="AD798" s="607"/>
      <c r="AE798" s="607"/>
      <c r="AF798" s="607"/>
      <c r="AG798" s="607"/>
      <c r="AH798" s="607"/>
      <c r="AI798" s="607"/>
      <c r="AJ798" s="607"/>
      <c r="AK798" s="607"/>
      <c r="AL798" s="606"/>
      <c r="AM798" s="606"/>
      <c r="AN798" s="606"/>
      <c r="AO798" s="606"/>
    </row>
    <row r="799" spans="1:41" ht="11.25" hidden="1" customHeight="1">
      <c r="A799" s="608"/>
      <c r="B799" s="607"/>
      <c r="C799" s="607"/>
      <c r="D799" s="607"/>
      <c r="E799" s="607"/>
      <c r="F799" s="607"/>
      <c r="G799" s="606"/>
      <c r="H799" s="606"/>
      <c r="I799" s="606"/>
      <c r="J799" s="606"/>
      <c r="K799" s="606"/>
      <c r="L799" s="606"/>
      <c r="M799" s="606"/>
      <c r="N799" s="606"/>
      <c r="O799" s="606"/>
      <c r="P799" s="606"/>
      <c r="Q799" s="606"/>
      <c r="R799" s="606"/>
      <c r="S799" s="606"/>
      <c r="T799" s="606"/>
      <c r="U799" s="606"/>
      <c r="V799" s="606"/>
      <c r="W799" s="606"/>
      <c r="X799" s="640"/>
      <c r="Y799" s="607"/>
      <c r="Z799" s="607"/>
      <c r="AA799" s="607"/>
      <c r="AB799" s="607"/>
      <c r="AC799" s="607"/>
      <c r="AD799" s="607"/>
      <c r="AE799" s="607"/>
      <c r="AF799" s="607"/>
      <c r="AG799" s="607"/>
      <c r="AH799" s="607"/>
      <c r="AI799" s="607"/>
      <c r="AJ799" s="607"/>
      <c r="AK799" s="607"/>
      <c r="AL799" s="606"/>
      <c r="AM799" s="606"/>
      <c r="AN799" s="606"/>
      <c r="AO799" s="606"/>
    </row>
    <row r="800" spans="1:41" ht="11.25" hidden="1" customHeight="1">
      <c r="A800" s="608"/>
      <c r="B800" s="607"/>
      <c r="C800" s="607"/>
      <c r="D800" s="607"/>
      <c r="E800" s="607"/>
      <c r="F800" s="607"/>
      <c r="G800" s="606"/>
      <c r="H800" s="606"/>
      <c r="I800" s="606"/>
      <c r="J800" s="606"/>
      <c r="K800" s="606"/>
      <c r="L800" s="606"/>
      <c r="M800" s="606"/>
      <c r="N800" s="606"/>
      <c r="O800" s="606"/>
      <c r="P800" s="606"/>
      <c r="Q800" s="606"/>
      <c r="R800" s="606"/>
      <c r="S800" s="606"/>
      <c r="T800" s="606"/>
      <c r="U800" s="606"/>
      <c r="V800" s="606"/>
      <c r="W800" s="606"/>
      <c r="X800" s="640"/>
      <c r="Y800" s="607"/>
      <c r="Z800" s="607"/>
      <c r="AA800" s="607"/>
      <c r="AB800" s="607"/>
      <c r="AC800" s="607"/>
      <c r="AD800" s="607"/>
      <c r="AE800" s="607"/>
      <c r="AF800" s="607"/>
      <c r="AG800" s="607"/>
      <c r="AH800" s="607"/>
      <c r="AI800" s="607"/>
      <c r="AJ800" s="607"/>
      <c r="AK800" s="607"/>
      <c r="AL800" s="606"/>
      <c r="AM800" s="606"/>
      <c r="AN800" s="606"/>
      <c r="AO800" s="606"/>
    </row>
    <row r="801" spans="1:41" ht="11.25" hidden="1" customHeight="1">
      <c r="A801" s="608"/>
      <c r="B801" s="607"/>
      <c r="C801" s="607"/>
      <c r="D801" s="607"/>
      <c r="E801" s="607"/>
      <c r="F801" s="607"/>
      <c r="G801" s="606"/>
      <c r="H801" s="606"/>
      <c r="I801" s="606"/>
      <c r="J801" s="606"/>
      <c r="K801" s="606"/>
      <c r="L801" s="606"/>
      <c r="M801" s="606"/>
      <c r="N801" s="606"/>
      <c r="O801" s="606"/>
      <c r="P801" s="606"/>
      <c r="Q801" s="606"/>
      <c r="R801" s="606"/>
      <c r="S801" s="606"/>
      <c r="T801" s="606"/>
      <c r="U801" s="606"/>
      <c r="V801" s="606"/>
      <c r="W801" s="606"/>
      <c r="X801" s="640"/>
      <c r="Y801" s="607"/>
      <c r="Z801" s="607"/>
      <c r="AA801" s="607"/>
      <c r="AB801" s="607"/>
      <c r="AC801" s="607"/>
      <c r="AD801" s="607"/>
      <c r="AE801" s="607"/>
      <c r="AF801" s="607"/>
      <c r="AG801" s="607"/>
      <c r="AH801" s="607"/>
      <c r="AI801" s="607"/>
      <c r="AJ801" s="607"/>
      <c r="AK801" s="607"/>
      <c r="AL801" s="606"/>
      <c r="AM801" s="606"/>
      <c r="AN801" s="606"/>
      <c r="AO801" s="606"/>
    </row>
    <row r="802" spans="1:41" ht="11.25" hidden="1" customHeight="1">
      <c r="A802" s="608"/>
      <c r="B802" s="607"/>
      <c r="C802" s="607"/>
      <c r="D802" s="607"/>
      <c r="E802" s="607"/>
      <c r="F802" s="607"/>
      <c r="G802" s="606"/>
      <c r="H802" s="606"/>
      <c r="I802" s="606"/>
      <c r="J802" s="606"/>
      <c r="K802" s="606"/>
      <c r="L802" s="606"/>
      <c r="M802" s="606"/>
      <c r="N802" s="606"/>
      <c r="O802" s="606"/>
      <c r="P802" s="606"/>
      <c r="Q802" s="606"/>
      <c r="R802" s="606"/>
      <c r="S802" s="606"/>
      <c r="T802" s="606"/>
      <c r="U802" s="606"/>
      <c r="V802" s="606"/>
      <c r="W802" s="606"/>
      <c r="X802" s="640"/>
      <c r="Y802" s="607"/>
      <c r="Z802" s="607"/>
      <c r="AA802" s="607"/>
      <c r="AB802" s="607"/>
      <c r="AC802" s="607"/>
      <c r="AD802" s="607"/>
      <c r="AE802" s="607"/>
      <c r="AF802" s="607"/>
      <c r="AG802" s="607"/>
      <c r="AH802" s="607"/>
      <c r="AI802" s="607"/>
      <c r="AJ802" s="607"/>
      <c r="AK802" s="607"/>
      <c r="AL802" s="606"/>
      <c r="AM802" s="606"/>
      <c r="AN802" s="606"/>
      <c r="AO802" s="606"/>
    </row>
    <row r="803" spans="1:41" ht="11.25" hidden="1" customHeight="1">
      <c r="A803" s="608"/>
      <c r="B803" s="607"/>
      <c r="C803" s="607"/>
      <c r="D803" s="607"/>
      <c r="E803" s="607"/>
      <c r="F803" s="607"/>
      <c r="G803" s="606"/>
      <c r="H803" s="606"/>
      <c r="I803" s="606"/>
      <c r="J803" s="606"/>
      <c r="K803" s="606"/>
      <c r="L803" s="606"/>
      <c r="M803" s="606"/>
      <c r="N803" s="606"/>
      <c r="O803" s="606"/>
      <c r="P803" s="606"/>
      <c r="Q803" s="606"/>
      <c r="R803" s="606"/>
      <c r="S803" s="606"/>
      <c r="T803" s="606"/>
      <c r="U803" s="606"/>
      <c r="V803" s="606"/>
      <c r="W803" s="606"/>
      <c r="X803" s="640"/>
      <c r="Y803" s="607"/>
      <c r="Z803" s="607"/>
      <c r="AA803" s="607"/>
      <c r="AB803" s="607"/>
      <c r="AC803" s="607"/>
      <c r="AD803" s="607"/>
      <c r="AE803" s="607"/>
      <c r="AF803" s="607"/>
      <c r="AG803" s="607"/>
      <c r="AH803" s="607"/>
      <c r="AI803" s="607"/>
      <c r="AJ803" s="607"/>
      <c r="AK803" s="607"/>
      <c r="AL803" s="606"/>
      <c r="AM803" s="606"/>
      <c r="AN803" s="606"/>
      <c r="AO803" s="606"/>
    </row>
    <row r="804" spans="1:41" ht="11.25" hidden="1" customHeight="1">
      <c r="A804" s="608"/>
      <c r="B804" s="607"/>
      <c r="C804" s="607"/>
      <c r="D804" s="607"/>
      <c r="E804" s="607"/>
      <c r="F804" s="607"/>
      <c r="G804" s="606"/>
      <c r="H804" s="606"/>
      <c r="I804" s="606"/>
      <c r="J804" s="606"/>
      <c r="K804" s="606"/>
      <c r="L804" s="606"/>
      <c r="M804" s="606"/>
      <c r="N804" s="606"/>
      <c r="O804" s="606"/>
      <c r="P804" s="606"/>
      <c r="Q804" s="606"/>
      <c r="R804" s="606"/>
      <c r="S804" s="606"/>
      <c r="T804" s="606"/>
      <c r="U804" s="606"/>
      <c r="V804" s="606"/>
      <c r="W804" s="606"/>
      <c r="X804" s="640"/>
      <c r="Y804" s="607"/>
      <c r="Z804" s="607"/>
      <c r="AA804" s="607"/>
      <c r="AB804" s="607"/>
      <c r="AC804" s="607"/>
      <c r="AD804" s="607"/>
      <c r="AE804" s="607"/>
      <c r="AF804" s="607"/>
      <c r="AG804" s="607"/>
      <c r="AH804" s="607"/>
      <c r="AI804" s="607"/>
      <c r="AJ804" s="607"/>
      <c r="AK804" s="607"/>
      <c r="AL804" s="606"/>
      <c r="AM804" s="606"/>
      <c r="AN804" s="606"/>
      <c r="AO804" s="606"/>
    </row>
    <row r="805" spans="1:41" ht="11.25" hidden="1" customHeight="1">
      <c r="A805" s="608"/>
      <c r="B805" s="607"/>
      <c r="C805" s="607"/>
      <c r="D805" s="607"/>
      <c r="E805" s="607"/>
      <c r="F805" s="607"/>
      <c r="G805" s="606"/>
      <c r="H805" s="606"/>
      <c r="I805" s="606"/>
      <c r="J805" s="606"/>
      <c r="K805" s="606"/>
      <c r="L805" s="606"/>
      <c r="M805" s="606"/>
      <c r="N805" s="606"/>
      <c r="O805" s="606"/>
      <c r="P805" s="606"/>
      <c r="Q805" s="606"/>
      <c r="R805" s="606"/>
      <c r="S805" s="606"/>
      <c r="T805" s="606"/>
      <c r="U805" s="606"/>
      <c r="V805" s="606"/>
      <c r="W805" s="606"/>
      <c r="X805" s="640"/>
      <c r="Y805" s="607"/>
      <c r="Z805" s="607"/>
      <c r="AA805" s="607"/>
      <c r="AB805" s="607"/>
      <c r="AC805" s="607"/>
      <c r="AD805" s="607"/>
      <c r="AE805" s="607"/>
      <c r="AF805" s="607"/>
      <c r="AG805" s="607"/>
      <c r="AH805" s="607"/>
      <c r="AI805" s="607"/>
      <c r="AJ805" s="607"/>
      <c r="AK805" s="607"/>
      <c r="AL805" s="606"/>
      <c r="AM805" s="606"/>
      <c r="AN805" s="606"/>
      <c r="AO805" s="606"/>
    </row>
    <row r="806" spans="1:41" ht="11.25" hidden="1" customHeight="1">
      <c r="A806" s="608"/>
      <c r="B806" s="607"/>
      <c r="C806" s="607"/>
      <c r="D806" s="607"/>
      <c r="E806" s="607"/>
      <c r="F806" s="607"/>
      <c r="G806" s="606"/>
      <c r="H806" s="606"/>
      <c r="I806" s="606"/>
      <c r="J806" s="606"/>
      <c r="K806" s="606"/>
      <c r="L806" s="606"/>
      <c r="M806" s="606"/>
      <c r="N806" s="606"/>
      <c r="O806" s="606"/>
      <c r="P806" s="606"/>
      <c r="Q806" s="606"/>
      <c r="R806" s="606"/>
      <c r="S806" s="606"/>
      <c r="T806" s="606"/>
      <c r="U806" s="606"/>
      <c r="V806" s="606"/>
      <c r="W806" s="606"/>
      <c r="X806" s="640"/>
      <c r="Y806" s="607"/>
      <c r="Z806" s="607"/>
      <c r="AA806" s="607"/>
      <c r="AB806" s="607"/>
      <c r="AC806" s="607"/>
      <c r="AD806" s="607"/>
      <c r="AE806" s="607"/>
      <c r="AF806" s="607"/>
      <c r="AG806" s="607"/>
      <c r="AH806" s="607"/>
      <c r="AI806" s="607"/>
      <c r="AJ806" s="607"/>
      <c r="AK806" s="607"/>
      <c r="AL806" s="606"/>
      <c r="AM806" s="606"/>
      <c r="AN806" s="606"/>
      <c r="AO806" s="606"/>
    </row>
    <row r="807" spans="1:41" ht="11.25" hidden="1" customHeight="1">
      <c r="A807" s="608"/>
      <c r="B807" s="607"/>
      <c r="C807" s="607"/>
      <c r="D807" s="607"/>
      <c r="E807" s="607"/>
      <c r="F807" s="607"/>
      <c r="G807" s="606"/>
      <c r="H807" s="606"/>
      <c r="I807" s="606"/>
      <c r="J807" s="606"/>
      <c r="K807" s="606"/>
      <c r="L807" s="606"/>
      <c r="M807" s="606"/>
      <c r="N807" s="606"/>
      <c r="O807" s="606"/>
      <c r="P807" s="606"/>
      <c r="Q807" s="606"/>
      <c r="R807" s="606"/>
      <c r="S807" s="606"/>
      <c r="T807" s="606"/>
      <c r="U807" s="606"/>
      <c r="V807" s="606"/>
      <c r="W807" s="606"/>
      <c r="X807" s="640"/>
      <c r="Y807" s="607"/>
      <c r="Z807" s="607"/>
      <c r="AA807" s="607"/>
      <c r="AB807" s="607"/>
      <c r="AC807" s="607"/>
      <c r="AD807" s="607"/>
      <c r="AE807" s="607"/>
      <c r="AF807" s="607"/>
      <c r="AG807" s="607"/>
      <c r="AH807" s="607"/>
      <c r="AI807" s="607"/>
      <c r="AJ807" s="607"/>
      <c r="AK807" s="607"/>
      <c r="AL807" s="606"/>
      <c r="AM807" s="606"/>
      <c r="AN807" s="606"/>
      <c r="AO807" s="606"/>
    </row>
    <row r="808" spans="1:41" ht="11.25" hidden="1" customHeight="1">
      <c r="A808" s="608"/>
      <c r="B808" s="607"/>
      <c r="C808" s="607"/>
      <c r="D808" s="607"/>
      <c r="E808" s="607"/>
      <c r="F808" s="607"/>
      <c r="G808" s="606"/>
      <c r="H808" s="606"/>
      <c r="I808" s="606"/>
      <c r="J808" s="606"/>
      <c r="K808" s="606"/>
      <c r="L808" s="606"/>
      <c r="M808" s="606"/>
      <c r="N808" s="606"/>
      <c r="O808" s="606"/>
      <c r="P808" s="606"/>
      <c r="Q808" s="606"/>
      <c r="R808" s="606"/>
      <c r="S808" s="606"/>
      <c r="T808" s="606"/>
      <c r="U808" s="606"/>
      <c r="V808" s="606"/>
      <c r="W808" s="606"/>
      <c r="X808" s="640"/>
      <c r="Y808" s="607"/>
      <c r="Z808" s="607"/>
      <c r="AA808" s="607"/>
      <c r="AB808" s="607"/>
      <c r="AC808" s="607"/>
      <c r="AD808" s="607"/>
      <c r="AE808" s="607"/>
      <c r="AF808" s="607"/>
      <c r="AG808" s="607"/>
      <c r="AH808" s="607"/>
      <c r="AI808" s="607"/>
      <c r="AJ808" s="607"/>
      <c r="AK808" s="607"/>
      <c r="AL808" s="606"/>
      <c r="AM808" s="606"/>
      <c r="AN808" s="606"/>
      <c r="AO808" s="606"/>
    </row>
    <row r="809" spans="1:41" ht="11.25" hidden="1" customHeight="1">
      <c r="A809" s="608"/>
      <c r="B809" s="607"/>
      <c r="C809" s="607"/>
      <c r="D809" s="607"/>
      <c r="E809" s="607"/>
      <c r="F809" s="607"/>
      <c r="G809" s="606"/>
      <c r="H809" s="606"/>
      <c r="I809" s="606"/>
      <c r="J809" s="606"/>
      <c r="K809" s="606"/>
      <c r="L809" s="606"/>
      <c r="M809" s="606"/>
      <c r="N809" s="606"/>
      <c r="O809" s="606"/>
      <c r="P809" s="606"/>
      <c r="Q809" s="606"/>
      <c r="R809" s="606"/>
      <c r="S809" s="606"/>
      <c r="T809" s="606"/>
      <c r="U809" s="606"/>
      <c r="V809" s="606"/>
      <c r="W809" s="606"/>
      <c r="X809" s="640"/>
      <c r="Y809" s="607"/>
      <c r="Z809" s="607"/>
      <c r="AA809" s="607"/>
      <c r="AB809" s="607"/>
      <c r="AC809" s="607"/>
      <c r="AD809" s="607"/>
      <c r="AE809" s="607"/>
      <c r="AF809" s="607"/>
      <c r="AG809" s="607"/>
      <c r="AH809" s="607"/>
      <c r="AI809" s="607"/>
      <c r="AJ809" s="607"/>
      <c r="AK809" s="607"/>
      <c r="AL809" s="606"/>
      <c r="AM809" s="606"/>
      <c r="AN809" s="606"/>
      <c r="AO809" s="606"/>
    </row>
    <row r="810" spans="1:41" ht="11.25" hidden="1" customHeight="1">
      <c r="A810" s="608"/>
      <c r="B810" s="607"/>
      <c r="C810" s="607"/>
      <c r="D810" s="607"/>
      <c r="E810" s="607"/>
      <c r="F810" s="607"/>
      <c r="G810" s="606"/>
      <c r="H810" s="606"/>
      <c r="I810" s="606"/>
      <c r="J810" s="606"/>
      <c r="K810" s="606"/>
      <c r="L810" s="606"/>
      <c r="M810" s="606"/>
      <c r="N810" s="606"/>
      <c r="O810" s="606"/>
      <c r="P810" s="606"/>
      <c r="Q810" s="606"/>
      <c r="R810" s="606"/>
      <c r="S810" s="606"/>
      <c r="T810" s="606"/>
      <c r="U810" s="606"/>
      <c r="V810" s="606"/>
      <c r="W810" s="606"/>
      <c r="X810" s="640"/>
      <c r="Y810" s="607"/>
      <c r="Z810" s="607"/>
      <c r="AA810" s="607"/>
      <c r="AB810" s="607"/>
      <c r="AC810" s="607"/>
      <c r="AD810" s="607"/>
      <c r="AE810" s="607"/>
      <c r="AF810" s="607"/>
      <c r="AG810" s="607"/>
      <c r="AH810" s="607"/>
      <c r="AI810" s="607"/>
      <c r="AJ810" s="607"/>
      <c r="AK810" s="607"/>
      <c r="AL810" s="606"/>
      <c r="AM810" s="606"/>
      <c r="AN810" s="606"/>
      <c r="AO810" s="606"/>
    </row>
    <row r="811" spans="1:41" ht="11.25" hidden="1" customHeight="1">
      <c r="A811" s="608"/>
      <c r="B811" s="607"/>
      <c r="C811" s="607"/>
      <c r="D811" s="607"/>
      <c r="E811" s="607"/>
      <c r="F811" s="607"/>
      <c r="G811" s="606"/>
      <c r="H811" s="606"/>
      <c r="I811" s="606"/>
      <c r="J811" s="606"/>
      <c r="K811" s="606"/>
      <c r="L811" s="606"/>
      <c r="M811" s="606"/>
      <c r="N811" s="606"/>
      <c r="O811" s="606"/>
      <c r="P811" s="606"/>
      <c r="Q811" s="606"/>
      <c r="R811" s="606"/>
      <c r="S811" s="606"/>
      <c r="T811" s="606"/>
      <c r="U811" s="606"/>
      <c r="V811" s="606"/>
      <c r="W811" s="606"/>
      <c r="X811" s="640"/>
      <c r="Y811" s="607"/>
      <c r="Z811" s="607"/>
      <c r="AA811" s="607"/>
      <c r="AB811" s="607"/>
      <c r="AC811" s="607"/>
      <c r="AD811" s="607"/>
      <c r="AE811" s="607"/>
      <c r="AF811" s="607"/>
      <c r="AG811" s="607"/>
      <c r="AH811" s="607"/>
      <c r="AI811" s="607"/>
      <c r="AJ811" s="607"/>
      <c r="AK811" s="607"/>
      <c r="AL811" s="606"/>
      <c r="AM811" s="606"/>
      <c r="AN811" s="606"/>
      <c r="AO811" s="606"/>
    </row>
    <row r="812" spans="1:41" ht="11.25" hidden="1" customHeight="1">
      <c r="A812" s="608"/>
      <c r="B812" s="607"/>
      <c r="C812" s="607"/>
      <c r="D812" s="607"/>
      <c r="E812" s="607"/>
      <c r="F812" s="607"/>
      <c r="G812" s="606"/>
      <c r="H812" s="606"/>
      <c r="I812" s="606"/>
      <c r="J812" s="606"/>
      <c r="K812" s="606"/>
      <c r="L812" s="606"/>
      <c r="M812" s="606"/>
      <c r="N812" s="606"/>
      <c r="O812" s="606"/>
      <c r="P812" s="606"/>
      <c r="Q812" s="606"/>
      <c r="R812" s="606"/>
      <c r="S812" s="606"/>
      <c r="T812" s="606"/>
      <c r="U812" s="606"/>
      <c r="V812" s="606"/>
      <c r="W812" s="606"/>
      <c r="X812" s="640"/>
      <c r="Y812" s="607"/>
      <c r="Z812" s="607"/>
      <c r="AA812" s="607"/>
      <c r="AB812" s="607"/>
      <c r="AC812" s="607"/>
      <c r="AD812" s="607"/>
      <c r="AE812" s="607"/>
      <c r="AF812" s="607"/>
      <c r="AG812" s="607"/>
      <c r="AH812" s="607"/>
      <c r="AI812" s="607"/>
      <c r="AJ812" s="607"/>
      <c r="AK812" s="607"/>
      <c r="AL812" s="606"/>
      <c r="AM812" s="606"/>
      <c r="AN812" s="606"/>
      <c r="AO812" s="606"/>
    </row>
    <row r="813" spans="1:41" ht="11.25" hidden="1" customHeight="1">
      <c r="A813" s="608"/>
      <c r="B813" s="607"/>
      <c r="C813" s="607"/>
      <c r="D813" s="607"/>
      <c r="E813" s="607"/>
      <c r="F813" s="607"/>
      <c r="G813" s="606"/>
      <c r="H813" s="606"/>
      <c r="I813" s="606"/>
      <c r="J813" s="606"/>
      <c r="K813" s="606"/>
      <c r="L813" s="606"/>
      <c r="M813" s="606"/>
      <c r="N813" s="606"/>
      <c r="O813" s="606"/>
      <c r="P813" s="606"/>
      <c r="Q813" s="606"/>
      <c r="R813" s="606"/>
      <c r="S813" s="606"/>
      <c r="T813" s="606"/>
      <c r="U813" s="606"/>
      <c r="V813" s="606"/>
      <c r="W813" s="606"/>
      <c r="X813" s="640"/>
      <c r="Y813" s="607"/>
      <c r="Z813" s="607"/>
      <c r="AA813" s="607"/>
      <c r="AB813" s="607"/>
      <c r="AC813" s="607"/>
      <c r="AD813" s="607"/>
      <c r="AE813" s="607"/>
      <c r="AF813" s="607"/>
      <c r="AG813" s="607"/>
      <c r="AH813" s="607"/>
      <c r="AI813" s="607"/>
      <c r="AJ813" s="607"/>
      <c r="AK813" s="607"/>
      <c r="AL813" s="606"/>
      <c r="AM813" s="606"/>
      <c r="AN813" s="606"/>
      <c r="AO813" s="606"/>
    </row>
    <row r="814" spans="1:41" ht="11.25" hidden="1" customHeight="1">
      <c r="A814" s="608"/>
      <c r="B814" s="607"/>
      <c r="C814" s="607"/>
      <c r="D814" s="607"/>
      <c r="E814" s="607"/>
      <c r="F814" s="607"/>
      <c r="G814" s="606"/>
      <c r="H814" s="606"/>
      <c r="I814" s="606"/>
      <c r="J814" s="606"/>
      <c r="K814" s="606"/>
      <c r="L814" s="606"/>
      <c r="M814" s="606"/>
      <c r="N814" s="606"/>
      <c r="O814" s="606"/>
      <c r="P814" s="606"/>
      <c r="Q814" s="606"/>
      <c r="R814" s="606"/>
      <c r="S814" s="606"/>
      <c r="T814" s="606"/>
      <c r="U814" s="606"/>
      <c r="V814" s="606"/>
      <c r="W814" s="606"/>
      <c r="X814" s="640"/>
      <c r="Y814" s="607"/>
      <c r="Z814" s="607"/>
      <c r="AA814" s="607"/>
      <c r="AB814" s="607"/>
      <c r="AC814" s="607"/>
      <c r="AD814" s="607"/>
      <c r="AE814" s="607"/>
      <c r="AF814" s="607"/>
      <c r="AG814" s="607"/>
      <c r="AH814" s="607"/>
      <c r="AI814" s="607"/>
      <c r="AJ814" s="607"/>
      <c r="AK814" s="607"/>
      <c r="AL814" s="606"/>
      <c r="AM814" s="606"/>
      <c r="AN814" s="606"/>
      <c r="AO814" s="606"/>
    </row>
    <row r="815" spans="1:41" ht="11.25" hidden="1" customHeight="1">
      <c r="A815" s="608"/>
      <c r="B815" s="607"/>
      <c r="C815" s="607"/>
      <c r="D815" s="607"/>
      <c r="E815" s="607"/>
      <c r="F815" s="607"/>
      <c r="G815" s="606"/>
      <c r="H815" s="606"/>
      <c r="I815" s="606"/>
      <c r="J815" s="606"/>
      <c r="K815" s="606"/>
      <c r="L815" s="606"/>
      <c r="M815" s="606"/>
      <c r="N815" s="606"/>
      <c r="O815" s="606"/>
      <c r="P815" s="606"/>
      <c r="Q815" s="606"/>
      <c r="R815" s="606"/>
      <c r="S815" s="606"/>
      <c r="T815" s="606"/>
      <c r="U815" s="606"/>
      <c r="V815" s="606"/>
      <c r="W815" s="606"/>
      <c r="X815" s="640"/>
      <c r="Y815" s="607"/>
      <c r="Z815" s="607"/>
      <c r="AA815" s="607"/>
      <c r="AB815" s="607"/>
      <c r="AC815" s="607"/>
      <c r="AD815" s="607"/>
      <c r="AE815" s="607"/>
      <c r="AF815" s="607"/>
      <c r="AG815" s="607"/>
      <c r="AH815" s="607"/>
      <c r="AI815" s="607"/>
      <c r="AJ815" s="607"/>
      <c r="AK815" s="607"/>
      <c r="AL815" s="606"/>
      <c r="AM815" s="606"/>
      <c r="AN815" s="606"/>
      <c r="AO815" s="606"/>
    </row>
    <row r="816" spans="1:41" ht="11.25" hidden="1" customHeight="1">
      <c r="A816" s="608"/>
      <c r="B816" s="607"/>
      <c r="C816" s="607"/>
      <c r="D816" s="607"/>
      <c r="E816" s="607"/>
      <c r="F816" s="607"/>
      <c r="G816" s="606"/>
      <c r="H816" s="606"/>
      <c r="I816" s="606"/>
      <c r="J816" s="606"/>
      <c r="K816" s="606"/>
      <c r="L816" s="606"/>
      <c r="M816" s="606"/>
      <c r="N816" s="606"/>
      <c r="O816" s="606"/>
      <c r="P816" s="606"/>
      <c r="Q816" s="606"/>
      <c r="R816" s="606"/>
      <c r="S816" s="606"/>
      <c r="T816" s="606"/>
      <c r="U816" s="606"/>
      <c r="V816" s="606"/>
      <c r="W816" s="606"/>
      <c r="X816" s="640"/>
      <c r="Y816" s="607"/>
      <c r="Z816" s="607"/>
      <c r="AA816" s="607"/>
      <c r="AB816" s="607"/>
      <c r="AC816" s="607"/>
      <c r="AD816" s="607"/>
      <c r="AE816" s="607"/>
      <c r="AF816" s="607"/>
      <c r="AG816" s="607"/>
      <c r="AH816" s="607"/>
      <c r="AI816" s="607"/>
      <c r="AJ816" s="607"/>
      <c r="AK816" s="607"/>
      <c r="AL816" s="606"/>
      <c r="AM816" s="606"/>
      <c r="AN816" s="606"/>
      <c r="AO816" s="606"/>
    </row>
    <row r="817" spans="1:41" ht="11.25" hidden="1" customHeight="1">
      <c r="A817" s="608"/>
      <c r="B817" s="607"/>
      <c r="C817" s="607"/>
      <c r="D817" s="607"/>
      <c r="E817" s="607"/>
      <c r="F817" s="607"/>
      <c r="G817" s="606"/>
      <c r="H817" s="606"/>
      <c r="I817" s="606"/>
      <c r="J817" s="606"/>
      <c r="K817" s="606"/>
      <c r="L817" s="606"/>
      <c r="M817" s="606"/>
      <c r="N817" s="606"/>
      <c r="O817" s="606"/>
      <c r="P817" s="606"/>
      <c r="Q817" s="606"/>
      <c r="R817" s="606"/>
      <c r="S817" s="606"/>
      <c r="T817" s="606"/>
      <c r="U817" s="606"/>
      <c r="V817" s="606"/>
      <c r="W817" s="606"/>
      <c r="X817" s="640"/>
      <c r="Y817" s="607"/>
      <c r="Z817" s="607"/>
      <c r="AA817" s="607"/>
      <c r="AB817" s="607"/>
      <c r="AC817" s="607"/>
      <c r="AD817" s="607"/>
      <c r="AE817" s="607"/>
      <c r="AF817" s="607"/>
      <c r="AG817" s="607"/>
      <c r="AH817" s="607"/>
      <c r="AI817" s="607"/>
      <c r="AJ817" s="607"/>
      <c r="AK817" s="607"/>
      <c r="AL817" s="606"/>
      <c r="AM817" s="606"/>
      <c r="AN817" s="606"/>
      <c r="AO817" s="606"/>
    </row>
    <row r="818" spans="1:41" ht="11.25" hidden="1" customHeight="1">
      <c r="A818" s="608"/>
      <c r="B818" s="607"/>
      <c r="C818" s="607"/>
      <c r="D818" s="607"/>
      <c r="E818" s="607"/>
      <c r="F818" s="607"/>
      <c r="G818" s="606"/>
      <c r="H818" s="606"/>
      <c r="I818" s="606"/>
      <c r="J818" s="606"/>
      <c r="K818" s="606"/>
      <c r="L818" s="606"/>
      <c r="M818" s="606"/>
      <c r="N818" s="606"/>
      <c r="O818" s="606"/>
      <c r="P818" s="606"/>
      <c r="Q818" s="606"/>
      <c r="R818" s="606"/>
      <c r="S818" s="606"/>
      <c r="T818" s="606"/>
      <c r="U818" s="606"/>
      <c r="V818" s="606"/>
      <c r="W818" s="606"/>
      <c r="X818" s="640"/>
      <c r="Y818" s="607"/>
      <c r="Z818" s="607"/>
      <c r="AA818" s="607"/>
      <c r="AB818" s="607"/>
      <c r="AC818" s="607"/>
      <c r="AD818" s="607"/>
      <c r="AE818" s="607"/>
      <c r="AF818" s="607"/>
      <c r="AG818" s="607"/>
      <c r="AH818" s="607"/>
      <c r="AI818" s="607"/>
      <c r="AJ818" s="607"/>
      <c r="AK818" s="607"/>
      <c r="AL818" s="606"/>
      <c r="AM818" s="606"/>
      <c r="AN818" s="606"/>
      <c r="AO818" s="606"/>
    </row>
    <row r="819" spans="1:41" ht="11.25" hidden="1" customHeight="1">
      <c r="A819" s="608"/>
      <c r="B819" s="607"/>
      <c r="C819" s="607"/>
      <c r="D819" s="607"/>
      <c r="E819" s="607"/>
      <c r="F819" s="607"/>
      <c r="G819" s="606"/>
      <c r="H819" s="606"/>
      <c r="I819" s="606"/>
      <c r="J819" s="606"/>
      <c r="K819" s="606"/>
      <c r="L819" s="606"/>
      <c r="M819" s="606"/>
      <c r="N819" s="606"/>
      <c r="O819" s="606"/>
      <c r="P819" s="606"/>
      <c r="Q819" s="606"/>
      <c r="R819" s="606"/>
      <c r="S819" s="606"/>
      <c r="T819" s="606"/>
      <c r="U819" s="606"/>
      <c r="V819" s="606"/>
      <c r="W819" s="606"/>
      <c r="X819" s="640"/>
      <c r="Y819" s="607"/>
      <c r="Z819" s="607"/>
      <c r="AA819" s="607"/>
      <c r="AB819" s="607"/>
      <c r="AC819" s="607"/>
      <c r="AD819" s="607"/>
      <c r="AE819" s="607"/>
      <c r="AF819" s="607"/>
      <c r="AG819" s="607"/>
      <c r="AH819" s="607"/>
      <c r="AI819" s="607"/>
      <c r="AJ819" s="607"/>
      <c r="AK819" s="607"/>
      <c r="AL819" s="606"/>
      <c r="AM819" s="606"/>
      <c r="AN819" s="606"/>
      <c r="AO819" s="606"/>
    </row>
    <row r="820" spans="1:41" ht="11.25" hidden="1" customHeight="1">
      <c r="A820" s="608"/>
      <c r="B820" s="607"/>
      <c r="C820" s="607"/>
      <c r="D820" s="607"/>
      <c r="E820" s="607"/>
      <c r="F820" s="607"/>
      <c r="G820" s="606"/>
      <c r="H820" s="606"/>
      <c r="I820" s="606"/>
      <c r="J820" s="606"/>
      <c r="K820" s="606"/>
      <c r="L820" s="606"/>
      <c r="M820" s="606"/>
      <c r="N820" s="606"/>
      <c r="O820" s="606"/>
      <c r="P820" s="606"/>
      <c r="Q820" s="606"/>
      <c r="R820" s="606"/>
      <c r="S820" s="606"/>
      <c r="T820" s="606"/>
      <c r="U820" s="606"/>
      <c r="V820" s="606"/>
      <c r="W820" s="606"/>
      <c r="X820" s="640"/>
      <c r="Y820" s="607"/>
      <c r="Z820" s="607"/>
      <c r="AA820" s="607"/>
      <c r="AB820" s="607"/>
      <c r="AC820" s="607"/>
      <c r="AD820" s="607"/>
      <c r="AE820" s="607"/>
      <c r="AF820" s="607"/>
      <c r="AG820" s="607"/>
      <c r="AH820" s="607"/>
      <c r="AI820" s="607"/>
      <c r="AJ820" s="607"/>
      <c r="AK820" s="607"/>
      <c r="AL820" s="606"/>
      <c r="AM820" s="606"/>
      <c r="AN820" s="606"/>
      <c r="AO820" s="606"/>
    </row>
    <row r="821" spans="1:41" ht="11.25" hidden="1" customHeight="1">
      <c r="A821" s="608"/>
      <c r="B821" s="607"/>
      <c r="C821" s="607"/>
      <c r="D821" s="607"/>
      <c r="E821" s="607"/>
      <c r="F821" s="607"/>
      <c r="G821" s="606"/>
      <c r="H821" s="606"/>
      <c r="I821" s="606"/>
      <c r="J821" s="606"/>
      <c r="K821" s="606"/>
      <c r="L821" s="606"/>
      <c r="M821" s="606"/>
      <c r="N821" s="606"/>
      <c r="O821" s="606"/>
      <c r="P821" s="606"/>
      <c r="Q821" s="606"/>
      <c r="R821" s="606"/>
      <c r="S821" s="606"/>
      <c r="T821" s="606"/>
      <c r="U821" s="606"/>
      <c r="V821" s="606"/>
      <c r="W821" s="606"/>
      <c r="X821" s="640"/>
      <c r="Y821" s="607"/>
      <c r="Z821" s="607"/>
      <c r="AA821" s="607"/>
      <c r="AB821" s="607"/>
      <c r="AC821" s="607"/>
      <c r="AD821" s="607"/>
      <c r="AE821" s="607"/>
      <c r="AF821" s="607"/>
      <c r="AG821" s="607"/>
      <c r="AH821" s="607"/>
      <c r="AI821" s="607"/>
      <c r="AJ821" s="607"/>
      <c r="AK821" s="607"/>
      <c r="AL821" s="606"/>
      <c r="AM821" s="606"/>
      <c r="AN821" s="606"/>
      <c r="AO821" s="606"/>
    </row>
    <row r="822" spans="1:41" ht="11.25" hidden="1" customHeight="1">
      <c r="A822" s="608"/>
      <c r="B822" s="607"/>
      <c r="C822" s="607"/>
      <c r="D822" s="607"/>
      <c r="E822" s="607"/>
      <c r="F822" s="607"/>
      <c r="G822" s="606"/>
      <c r="H822" s="606"/>
      <c r="I822" s="606"/>
      <c r="J822" s="606"/>
      <c r="K822" s="606"/>
      <c r="L822" s="606"/>
      <c r="M822" s="606"/>
      <c r="N822" s="606"/>
      <c r="O822" s="606"/>
      <c r="P822" s="606"/>
      <c r="Q822" s="606"/>
      <c r="R822" s="606"/>
      <c r="S822" s="606"/>
      <c r="T822" s="606"/>
      <c r="U822" s="606"/>
      <c r="V822" s="606"/>
      <c r="W822" s="606"/>
      <c r="X822" s="640"/>
      <c r="Y822" s="607"/>
      <c r="Z822" s="607"/>
      <c r="AA822" s="607"/>
      <c r="AB822" s="607"/>
      <c r="AC822" s="607"/>
      <c r="AD822" s="607"/>
      <c r="AE822" s="607"/>
      <c r="AF822" s="607"/>
      <c r="AG822" s="607"/>
      <c r="AH822" s="607"/>
      <c r="AI822" s="607"/>
      <c r="AJ822" s="607"/>
      <c r="AK822" s="607"/>
      <c r="AL822" s="606"/>
      <c r="AM822" s="606"/>
      <c r="AN822" s="606"/>
      <c r="AO822" s="606"/>
    </row>
    <row r="823" spans="1:41" ht="11.25" hidden="1" customHeight="1">
      <c r="A823" s="608"/>
      <c r="B823" s="607"/>
      <c r="C823" s="607"/>
      <c r="D823" s="607"/>
      <c r="E823" s="607"/>
      <c r="F823" s="607"/>
      <c r="G823" s="606"/>
      <c r="H823" s="606"/>
      <c r="I823" s="606"/>
      <c r="J823" s="606"/>
      <c r="K823" s="606"/>
      <c r="L823" s="606"/>
      <c r="M823" s="606"/>
      <c r="N823" s="606"/>
      <c r="O823" s="606"/>
      <c r="P823" s="606"/>
      <c r="Q823" s="606"/>
      <c r="R823" s="606"/>
      <c r="S823" s="606"/>
      <c r="T823" s="606"/>
      <c r="U823" s="606"/>
      <c r="V823" s="606"/>
      <c r="W823" s="606"/>
      <c r="X823" s="640"/>
      <c r="Y823" s="607"/>
      <c r="Z823" s="607"/>
      <c r="AA823" s="607"/>
      <c r="AB823" s="607"/>
      <c r="AC823" s="607"/>
      <c r="AD823" s="607"/>
      <c r="AE823" s="607"/>
      <c r="AF823" s="607"/>
      <c r="AG823" s="607"/>
      <c r="AH823" s="607"/>
      <c r="AI823" s="607"/>
      <c r="AJ823" s="607"/>
      <c r="AK823" s="607"/>
      <c r="AL823" s="606"/>
      <c r="AM823" s="606"/>
      <c r="AN823" s="606"/>
      <c r="AO823" s="606"/>
    </row>
    <row r="824" spans="1:41" ht="11.25" hidden="1" customHeight="1">
      <c r="A824" s="608"/>
      <c r="B824" s="607"/>
      <c r="C824" s="607"/>
      <c r="D824" s="607"/>
      <c r="E824" s="607"/>
      <c r="F824" s="607"/>
      <c r="G824" s="606"/>
      <c r="H824" s="606"/>
      <c r="I824" s="606"/>
      <c r="J824" s="606"/>
      <c r="K824" s="606"/>
      <c r="L824" s="606"/>
      <c r="M824" s="606"/>
      <c r="N824" s="606"/>
      <c r="O824" s="606"/>
      <c r="P824" s="606"/>
      <c r="Q824" s="606"/>
      <c r="R824" s="606"/>
      <c r="S824" s="606"/>
      <c r="T824" s="606"/>
      <c r="U824" s="606"/>
      <c r="V824" s="606"/>
      <c r="W824" s="606"/>
      <c r="X824" s="640"/>
      <c r="Y824" s="607"/>
      <c r="Z824" s="607"/>
      <c r="AA824" s="607"/>
      <c r="AB824" s="607"/>
      <c r="AC824" s="607"/>
      <c r="AD824" s="607"/>
      <c r="AE824" s="607"/>
      <c r="AF824" s="607"/>
      <c r="AG824" s="607"/>
      <c r="AH824" s="607"/>
      <c r="AI824" s="607"/>
      <c r="AJ824" s="607"/>
      <c r="AK824" s="607"/>
      <c r="AL824" s="606"/>
      <c r="AM824" s="606"/>
      <c r="AN824" s="606"/>
      <c r="AO824" s="606"/>
    </row>
    <row r="825" spans="1:41" ht="11.25" hidden="1" customHeight="1">
      <c r="A825" s="608"/>
      <c r="B825" s="607"/>
      <c r="C825" s="607"/>
      <c r="D825" s="607"/>
      <c r="E825" s="607"/>
      <c r="F825" s="607"/>
      <c r="G825" s="606"/>
      <c r="H825" s="606"/>
      <c r="I825" s="606"/>
      <c r="J825" s="606"/>
      <c r="K825" s="606"/>
      <c r="L825" s="606"/>
      <c r="M825" s="606"/>
      <c r="N825" s="606"/>
      <c r="O825" s="606"/>
      <c r="P825" s="606"/>
      <c r="Q825" s="606"/>
      <c r="R825" s="606"/>
      <c r="S825" s="606"/>
      <c r="T825" s="606"/>
      <c r="U825" s="606"/>
      <c r="V825" s="606"/>
      <c r="W825" s="606"/>
      <c r="X825" s="640"/>
      <c r="Y825" s="607"/>
      <c r="Z825" s="607"/>
      <c r="AA825" s="607"/>
      <c r="AB825" s="607"/>
      <c r="AC825" s="607"/>
      <c r="AD825" s="607"/>
      <c r="AE825" s="607"/>
      <c r="AF825" s="607"/>
      <c r="AG825" s="607"/>
      <c r="AH825" s="607"/>
      <c r="AI825" s="607"/>
      <c r="AJ825" s="607"/>
      <c r="AK825" s="607"/>
      <c r="AL825" s="606"/>
      <c r="AM825" s="606"/>
      <c r="AN825" s="606"/>
      <c r="AO825" s="606"/>
    </row>
    <row r="826" spans="1:41" ht="11.25" hidden="1" customHeight="1">
      <c r="A826" s="608"/>
      <c r="B826" s="607"/>
      <c r="C826" s="607"/>
      <c r="D826" s="607"/>
      <c r="E826" s="607"/>
      <c r="F826" s="607"/>
      <c r="G826" s="606"/>
      <c r="H826" s="606"/>
      <c r="I826" s="606"/>
      <c r="J826" s="606"/>
      <c r="K826" s="606"/>
      <c r="L826" s="606"/>
      <c r="M826" s="606"/>
      <c r="N826" s="606"/>
      <c r="O826" s="606"/>
      <c r="P826" s="606"/>
      <c r="Q826" s="606"/>
      <c r="R826" s="606"/>
      <c r="S826" s="606"/>
      <c r="T826" s="606"/>
      <c r="U826" s="606"/>
      <c r="V826" s="606"/>
      <c r="W826" s="606"/>
      <c r="X826" s="640"/>
      <c r="Y826" s="607"/>
      <c r="Z826" s="607"/>
      <c r="AA826" s="607"/>
      <c r="AB826" s="607"/>
      <c r="AC826" s="607"/>
      <c r="AD826" s="607"/>
      <c r="AE826" s="607"/>
      <c r="AF826" s="607"/>
      <c r="AG826" s="607"/>
      <c r="AH826" s="607"/>
      <c r="AI826" s="607"/>
      <c r="AJ826" s="607"/>
      <c r="AK826" s="607"/>
      <c r="AL826" s="606"/>
      <c r="AM826" s="606"/>
      <c r="AN826" s="606"/>
      <c r="AO826" s="606"/>
    </row>
    <row r="827" spans="1:41" ht="11.25" hidden="1" customHeight="1">
      <c r="A827" s="608"/>
      <c r="B827" s="607"/>
      <c r="C827" s="607"/>
      <c r="D827" s="607"/>
      <c r="E827" s="607"/>
      <c r="F827" s="607"/>
      <c r="G827" s="606"/>
      <c r="H827" s="606"/>
      <c r="I827" s="606"/>
      <c r="J827" s="606"/>
      <c r="K827" s="606"/>
      <c r="L827" s="606"/>
      <c r="M827" s="606"/>
      <c r="N827" s="606"/>
      <c r="O827" s="606"/>
      <c r="P827" s="606"/>
      <c r="Q827" s="606"/>
      <c r="R827" s="606"/>
      <c r="S827" s="606"/>
      <c r="T827" s="606"/>
      <c r="U827" s="606"/>
      <c r="V827" s="606"/>
      <c r="W827" s="606"/>
      <c r="X827" s="640"/>
      <c r="Y827" s="607"/>
      <c r="Z827" s="607"/>
      <c r="AA827" s="607"/>
      <c r="AB827" s="607"/>
      <c r="AC827" s="607"/>
      <c r="AD827" s="607"/>
      <c r="AE827" s="607"/>
      <c r="AF827" s="607"/>
      <c r="AG827" s="607"/>
      <c r="AH827" s="607"/>
      <c r="AI827" s="607"/>
      <c r="AJ827" s="607"/>
      <c r="AK827" s="607"/>
      <c r="AL827" s="606"/>
      <c r="AM827" s="606"/>
      <c r="AN827" s="606"/>
      <c r="AO827" s="606"/>
    </row>
    <row r="828" spans="1:41" ht="11.25" hidden="1" customHeight="1">
      <c r="A828" s="608"/>
      <c r="B828" s="607"/>
      <c r="C828" s="607"/>
      <c r="D828" s="607"/>
      <c r="E828" s="607"/>
      <c r="F828" s="607"/>
      <c r="G828" s="606"/>
      <c r="H828" s="606"/>
      <c r="I828" s="606"/>
      <c r="J828" s="606"/>
      <c r="K828" s="606"/>
      <c r="L828" s="606"/>
      <c r="M828" s="606"/>
      <c r="N828" s="606"/>
      <c r="O828" s="606"/>
      <c r="P828" s="606"/>
      <c r="Q828" s="606"/>
      <c r="R828" s="606"/>
      <c r="S828" s="606"/>
      <c r="T828" s="606"/>
      <c r="U828" s="606"/>
      <c r="V828" s="606"/>
      <c r="W828" s="606"/>
      <c r="X828" s="640"/>
      <c r="Y828" s="607"/>
      <c r="Z828" s="607"/>
      <c r="AA828" s="607"/>
      <c r="AB828" s="607"/>
      <c r="AC828" s="607"/>
      <c r="AD828" s="607"/>
      <c r="AE828" s="607"/>
      <c r="AF828" s="607"/>
      <c r="AG828" s="607"/>
      <c r="AH828" s="607"/>
      <c r="AI828" s="607"/>
      <c r="AJ828" s="607"/>
      <c r="AK828" s="607"/>
      <c r="AL828" s="606"/>
      <c r="AM828" s="606"/>
      <c r="AN828" s="606"/>
      <c r="AO828" s="606"/>
    </row>
    <row r="829" spans="1:41" ht="11.25" hidden="1" customHeight="1">
      <c r="A829" s="608"/>
      <c r="B829" s="607"/>
      <c r="C829" s="607"/>
      <c r="D829" s="607"/>
      <c r="E829" s="607"/>
      <c r="F829" s="607"/>
      <c r="G829" s="606"/>
      <c r="H829" s="606"/>
      <c r="I829" s="606"/>
      <c r="J829" s="606"/>
      <c r="K829" s="606"/>
      <c r="L829" s="606"/>
      <c r="M829" s="606"/>
      <c r="N829" s="606"/>
      <c r="O829" s="606"/>
      <c r="P829" s="606"/>
      <c r="Q829" s="606"/>
      <c r="R829" s="606"/>
      <c r="S829" s="606"/>
      <c r="T829" s="606"/>
      <c r="U829" s="606"/>
      <c r="V829" s="606"/>
      <c r="W829" s="606"/>
      <c r="X829" s="640"/>
      <c r="Y829" s="607"/>
      <c r="Z829" s="607"/>
      <c r="AA829" s="607"/>
      <c r="AB829" s="607"/>
      <c r="AC829" s="607"/>
      <c r="AD829" s="607"/>
      <c r="AE829" s="607"/>
      <c r="AF829" s="607"/>
      <c r="AG829" s="607"/>
      <c r="AH829" s="607"/>
      <c r="AI829" s="607"/>
      <c r="AJ829" s="607"/>
      <c r="AK829" s="607"/>
      <c r="AL829" s="606"/>
      <c r="AM829" s="606"/>
      <c r="AN829" s="606"/>
      <c r="AO829" s="606"/>
    </row>
    <row r="830" spans="1:41" ht="11.25" hidden="1" customHeight="1">
      <c r="A830" s="608"/>
      <c r="B830" s="607"/>
      <c r="C830" s="607"/>
      <c r="D830" s="607"/>
      <c r="E830" s="607"/>
      <c r="F830" s="607"/>
      <c r="G830" s="606"/>
      <c r="H830" s="606"/>
      <c r="I830" s="606"/>
      <c r="J830" s="606"/>
      <c r="K830" s="606"/>
      <c r="L830" s="606"/>
      <c r="M830" s="606"/>
      <c r="N830" s="606"/>
      <c r="O830" s="606"/>
      <c r="P830" s="606"/>
      <c r="Q830" s="606"/>
      <c r="R830" s="606"/>
      <c r="S830" s="606"/>
      <c r="T830" s="606"/>
      <c r="U830" s="606"/>
      <c r="V830" s="606"/>
      <c r="W830" s="606"/>
      <c r="X830" s="640"/>
      <c r="Y830" s="607"/>
      <c r="Z830" s="607"/>
      <c r="AA830" s="607"/>
      <c r="AB830" s="607"/>
      <c r="AC830" s="607"/>
      <c r="AD830" s="607"/>
      <c r="AE830" s="607"/>
      <c r="AF830" s="607"/>
      <c r="AG830" s="607"/>
      <c r="AH830" s="607"/>
      <c r="AI830" s="607"/>
      <c r="AJ830" s="607"/>
      <c r="AK830" s="607"/>
      <c r="AL830" s="606"/>
      <c r="AM830" s="606"/>
      <c r="AN830" s="606"/>
      <c r="AO830" s="606"/>
    </row>
    <row r="831" spans="1:41" ht="11.25" hidden="1" customHeight="1">
      <c r="A831" s="608"/>
      <c r="B831" s="607"/>
      <c r="C831" s="607"/>
      <c r="D831" s="607"/>
      <c r="E831" s="607"/>
      <c r="F831" s="607"/>
      <c r="G831" s="606"/>
      <c r="H831" s="606"/>
      <c r="I831" s="606"/>
      <c r="J831" s="606"/>
      <c r="K831" s="606"/>
      <c r="L831" s="606"/>
      <c r="M831" s="606"/>
      <c r="N831" s="606"/>
      <c r="O831" s="606"/>
      <c r="P831" s="606"/>
      <c r="Q831" s="606"/>
      <c r="R831" s="606"/>
      <c r="S831" s="606"/>
      <c r="T831" s="606"/>
      <c r="U831" s="606"/>
      <c r="V831" s="606"/>
      <c r="W831" s="606"/>
      <c r="X831" s="640"/>
      <c r="Y831" s="607"/>
      <c r="Z831" s="607"/>
      <c r="AA831" s="607"/>
      <c r="AB831" s="607"/>
      <c r="AC831" s="607"/>
      <c r="AD831" s="607"/>
      <c r="AE831" s="607"/>
      <c r="AF831" s="607"/>
      <c r="AG831" s="607"/>
      <c r="AH831" s="607"/>
      <c r="AI831" s="607"/>
      <c r="AJ831" s="607"/>
      <c r="AK831" s="607"/>
      <c r="AL831" s="606"/>
      <c r="AM831" s="606"/>
      <c r="AN831" s="606"/>
      <c r="AO831" s="606"/>
    </row>
    <row r="832" spans="1:41" ht="11.25" hidden="1" customHeight="1">
      <c r="A832" s="608"/>
      <c r="B832" s="607"/>
      <c r="C832" s="607"/>
      <c r="D832" s="607"/>
      <c r="E832" s="607"/>
      <c r="F832" s="607"/>
      <c r="G832" s="606"/>
      <c r="H832" s="606"/>
      <c r="I832" s="606"/>
      <c r="J832" s="606"/>
      <c r="K832" s="606"/>
      <c r="L832" s="606"/>
      <c r="M832" s="606"/>
      <c r="N832" s="606"/>
      <c r="O832" s="606"/>
      <c r="P832" s="606"/>
      <c r="Q832" s="606"/>
      <c r="R832" s="606"/>
      <c r="S832" s="606"/>
      <c r="T832" s="606"/>
      <c r="U832" s="606"/>
      <c r="V832" s="606"/>
      <c r="W832" s="606"/>
      <c r="X832" s="640"/>
      <c r="Y832" s="607"/>
      <c r="Z832" s="607"/>
      <c r="AA832" s="607"/>
      <c r="AB832" s="607"/>
      <c r="AC832" s="607"/>
      <c r="AD832" s="607"/>
      <c r="AE832" s="607"/>
      <c r="AF832" s="607"/>
      <c r="AG832" s="607"/>
      <c r="AH832" s="607"/>
      <c r="AI832" s="607"/>
      <c r="AJ832" s="607"/>
      <c r="AK832" s="607"/>
      <c r="AL832" s="606"/>
      <c r="AM832" s="606"/>
      <c r="AN832" s="606"/>
      <c r="AO832" s="606"/>
    </row>
    <row r="833" spans="1:41" ht="11.25" hidden="1" customHeight="1">
      <c r="A833" s="608"/>
      <c r="B833" s="607"/>
      <c r="C833" s="607"/>
      <c r="D833" s="607"/>
      <c r="E833" s="607"/>
      <c r="F833" s="607"/>
      <c r="G833" s="606"/>
      <c r="H833" s="606"/>
      <c r="I833" s="606"/>
      <c r="J833" s="606"/>
      <c r="K833" s="606"/>
      <c r="L833" s="606"/>
      <c r="M833" s="606"/>
      <c r="N833" s="606"/>
      <c r="O833" s="606"/>
      <c r="P833" s="606"/>
      <c r="Q833" s="606"/>
      <c r="R833" s="606"/>
      <c r="S833" s="606"/>
      <c r="T833" s="606"/>
      <c r="U833" s="606"/>
      <c r="V833" s="606"/>
      <c r="W833" s="606"/>
      <c r="X833" s="640"/>
      <c r="Y833" s="607"/>
      <c r="Z833" s="607"/>
      <c r="AA833" s="607"/>
      <c r="AB833" s="607"/>
      <c r="AC833" s="607"/>
      <c r="AD833" s="607"/>
      <c r="AE833" s="607"/>
      <c r="AF833" s="607"/>
      <c r="AG833" s="607"/>
      <c r="AH833" s="607"/>
      <c r="AI833" s="607"/>
      <c r="AJ833" s="607"/>
      <c r="AK833" s="607"/>
      <c r="AL833" s="606"/>
      <c r="AM833" s="606"/>
      <c r="AN833" s="606"/>
      <c r="AO833" s="606"/>
    </row>
    <row r="834" spans="1:41" ht="11.25" hidden="1" customHeight="1">
      <c r="A834" s="608"/>
      <c r="B834" s="607"/>
      <c r="C834" s="607"/>
      <c r="D834" s="607"/>
      <c r="E834" s="607"/>
      <c r="F834" s="607"/>
      <c r="G834" s="606"/>
      <c r="H834" s="606"/>
      <c r="I834" s="606"/>
      <c r="J834" s="606"/>
      <c r="K834" s="606"/>
      <c r="L834" s="606"/>
      <c r="M834" s="606"/>
      <c r="N834" s="606"/>
      <c r="O834" s="606"/>
      <c r="P834" s="606"/>
      <c r="Q834" s="606"/>
      <c r="R834" s="606"/>
      <c r="S834" s="606"/>
      <c r="T834" s="606"/>
      <c r="U834" s="606"/>
      <c r="V834" s="606"/>
      <c r="W834" s="606"/>
      <c r="X834" s="640"/>
      <c r="Y834" s="607"/>
      <c r="Z834" s="607"/>
      <c r="AA834" s="607"/>
      <c r="AB834" s="607"/>
      <c r="AC834" s="607"/>
      <c r="AD834" s="607"/>
      <c r="AE834" s="607"/>
      <c r="AF834" s="607"/>
      <c r="AG834" s="607"/>
      <c r="AH834" s="607"/>
      <c r="AI834" s="607"/>
      <c r="AJ834" s="607"/>
      <c r="AK834" s="607"/>
      <c r="AL834" s="606"/>
      <c r="AM834" s="606"/>
      <c r="AN834" s="606"/>
      <c r="AO834" s="606"/>
    </row>
    <row r="835" spans="1:41" ht="11.25" hidden="1" customHeight="1">
      <c r="A835" s="608"/>
      <c r="B835" s="607"/>
      <c r="C835" s="607"/>
      <c r="D835" s="607"/>
      <c r="E835" s="607"/>
      <c r="F835" s="607"/>
      <c r="G835" s="606"/>
      <c r="H835" s="606"/>
      <c r="I835" s="606"/>
      <c r="J835" s="606"/>
      <c r="K835" s="606"/>
      <c r="L835" s="606"/>
      <c r="M835" s="606"/>
      <c r="N835" s="606"/>
      <c r="O835" s="606"/>
      <c r="P835" s="606"/>
      <c r="Q835" s="606"/>
      <c r="R835" s="606"/>
      <c r="S835" s="606"/>
      <c r="T835" s="606"/>
      <c r="U835" s="606"/>
      <c r="V835" s="606"/>
      <c r="W835" s="606"/>
      <c r="X835" s="640"/>
      <c r="Y835" s="607"/>
      <c r="Z835" s="607"/>
      <c r="AA835" s="607"/>
      <c r="AB835" s="607"/>
      <c r="AC835" s="607"/>
      <c r="AD835" s="607"/>
      <c r="AE835" s="607"/>
      <c r="AF835" s="607"/>
      <c r="AG835" s="607"/>
      <c r="AH835" s="607"/>
      <c r="AI835" s="607"/>
      <c r="AJ835" s="607"/>
      <c r="AK835" s="607"/>
      <c r="AL835" s="606"/>
      <c r="AM835" s="606"/>
      <c r="AN835" s="606"/>
      <c r="AO835" s="606"/>
    </row>
    <row r="836" spans="1:41" ht="11.25" hidden="1" customHeight="1">
      <c r="A836" s="608"/>
      <c r="B836" s="607"/>
      <c r="C836" s="607"/>
      <c r="D836" s="607"/>
      <c r="E836" s="607"/>
      <c r="F836" s="607"/>
      <c r="G836" s="606"/>
      <c r="H836" s="606"/>
      <c r="I836" s="606"/>
      <c r="J836" s="606"/>
      <c r="K836" s="606"/>
      <c r="L836" s="606"/>
      <c r="M836" s="606"/>
      <c r="N836" s="606"/>
      <c r="O836" s="606"/>
      <c r="P836" s="606"/>
      <c r="Q836" s="606"/>
      <c r="R836" s="606"/>
      <c r="S836" s="606"/>
      <c r="T836" s="606"/>
      <c r="U836" s="606"/>
      <c r="V836" s="606"/>
      <c r="W836" s="606"/>
      <c r="X836" s="640"/>
      <c r="Y836" s="607"/>
      <c r="Z836" s="607"/>
      <c r="AA836" s="607"/>
      <c r="AB836" s="607"/>
      <c r="AC836" s="607"/>
      <c r="AD836" s="607"/>
      <c r="AE836" s="607"/>
      <c r="AF836" s="607"/>
      <c r="AG836" s="607"/>
      <c r="AH836" s="607"/>
      <c r="AI836" s="607"/>
      <c r="AJ836" s="607"/>
      <c r="AK836" s="607"/>
      <c r="AL836" s="606"/>
      <c r="AM836" s="606"/>
      <c r="AN836" s="606"/>
      <c r="AO836" s="606"/>
    </row>
    <row r="837" spans="1:41" ht="11.25" hidden="1" customHeight="1">
      <c r="A837" s="608"/>
      <c r="B837" s="607"/>
      <c r="C837" s="607"/>
      <c r="D837" s="607"/>
      <c r="E837" s="607"/>
      <c r="F837" s="607"/>
      <c r="G837" s="606"/>
      <c r="H837" s="606"/>
      <c r="I837" s="606"/>
      <c r="J837" s="606"/>
      <c r="K837" s="606"/>
      <c r="L837" s="606"/>
      <c r="M837" s="606"/>
      <c r="N837" s="606"/>
      <c r="O837" s="606"/>
      <c r="P837" s="606"/>
      <c r="Q837" s="606"/>
      <c r="R837" s="606"/>
      <c r="S837" s="606"/>
      <c r="T837" s="606"/>
      <c r="U837" s="606"/>
      <c r="V837" s="606"/>
      <c r="W837" s="606"/>
      <c r="X837" s="640"/>
      <c r="Y837" s="607"/>
      <c r="Z837" s="607"/>
      <c r="AA837" s="607"/>
      <c r="AB837" s="607"/>
      <c r="AC837" s="607"/>
      <c r="AD837" s="607"/>
      <c r="AE837" s="607"/>
      <c r="AF837" s="607"/>
      <c r="AG837" s="607"/>
      <c r="AH837" s="607"/>
      <c r="AI837" s="607"/>
      <c r="AJ837" s="607"/>
      <c r="AK837" s="607"/>
      <c r="AL837" s="606"/>
      <c r="AM837" s="606"/>
      <c r="AN837" s="606"/>
      <c r="AO837" s="606"/>
    </row>
    <row r="838" spans="1:41" ht="11.25" hidden="1" customHeight="1">
      <c r="A838" s="608"/>
      <c r="B838" s="607"/>
      <c r="C838" s="607"/>
      <c r="D838" s="607"/>
      <c r="E838" s="607"/>
      <c r="F838" s="607"/>
      <c r="G838" s="606"/>
      <c r="H838" s="606"/>
      <c r="I838" s="606"/>
      <c r="J838" s="606"/>
      <c r="K838" s="606"/>
      <c r="L838" s="606"/>
      <c r="M838" s="606"/>
      <c r="N838" s="606"/>
      <c r="O838" s="606"/>
      <c r="P838" s="606"/>
      <c r="Q838" s="606"/>
      <c r="R838" s="606"/>
      <c r="S838" s="606"/>
      <c r="T838" s="606"/>
      <c r="U838" s="606"/>
      <c r="V838" s="606"/>
      <c r="W838" s="606"/>
      <c r="X838" s="640"/>
      <c r="Y838" s="607"/>
      <c r="Z838" s="607"/>
      <c r="AA838" s="607"/>
      <c r="AB838" s="607"/>
      <c r="AC838" s="607"/>
      <c r="AD838" s="607"/>
      <c r="AE838" s="607"/>
      <c r="AF838" s="607"/>
      <c r="AG838" s="607"/>
      <c r="AH838" s="607"/>
      <c r="AI838" s="607"/>
      <c r="AJ838" s="607"/>
      <c r="AK838" s="607"/>
      <c r="AL838" s="606"/>
      <c r="AM838" s="606"/>
      <c r="AN838" s="606"/>
      <c r="AO838" s="606"/>
    </row>
    <row r="839" spans="1:41" ht="11.25" hidden="1" customHeight="1">
      <c r="A839" s="608"/>
      <c r="B839" s="607"/>
      <c r="C839" s="607"/>
      <c r="D839" s="607"/>
      <c r="E839" s="607"/>
      <c r="F839" s="607"/>
      <c r="G839" s="606"/>
      <c r="H839" s="606"/>
      <c r="I839" s="606"/>
      <c r="J839" s="606"/>
      <c r="K839" s="606"/>
      <c r="L839" s="606"/>
      <c r="M839" s="606"/>
      <c r="N839" s="606"/>
      <c r="O839" s="606"/>
      <c r="P839" s="606"/>
      <c r="Q839" s="606"/>
      <c r="R839" s="606"/>
      <c r="S839" s="606"/>
      <c r="T839" s="606"/>
      <c r="U839" s="606"/>
      <c r="V839" s="606"/>
      <c r="W839" s="606"/>
      <c r="X839" s="640"/>
      <c r="Y839" s="607"/>
      <c r="Z839" s="607"/>
      <c r="AA839" s="607"/>
      <c r="AB839" s="607"/>
      <c r="AC839" s="607"/>
      <c r="AD839" s="607"/>
      <c r="AE839" s="607"/>
      <c r="AF839" s="607"/>
      <c r="AG839" s="607"/>
      <c r="AH839" s="607"/>
      <c r="AI839" s="607"/>
      <c r="AJ839" s="607"/>
      <c r="AK839" s="607"/>
      <c r="AL839" s="606"/>
      <c r="AM839" s="606"/>
      <c r="AN839" s="606"/>
      <c r="AO839" s="606"/>
    </row>
    <row r="840" spans="1:41" ht="11.25" hidden="1" customHeight="1">
      <c r="A840" s="608"/>
      <c r="B840" s="607"/>
      <c r="C840" s="607"/>
      <c r="D840" s="607"/>
      <c r="E840" s="607"/>
      <c r="F840" s="607"/>
      <c r="G840" s="606"/>
      <c r="H840" s="606"/>
      <c r="I840" s="606"/>
      <c r="J840" s="606"/>
      <c r="K840" s="606"/>
      <c r="L840" s="606"/>
      <c r="M840" s="606"/>
      <c r="N840" s="606"/>
      <c r="O840" s="606"/>
      <c r="P840" s="606"/>
      <c r="Q840" s="606"/>
      <c r="R840" s="606"/>
      <c r="S840" s="606"/>
      <c r="T840" s="606"/>
      <c r="U840" s="606"/>
      <c r="V840" s="606"/>
      <c r="W840" s="606"/>
      <c r="X840" s="640"/>
      <c r="Y840" s="607"/>
      <c r="Z840" s="607"/>
      <c r="AA840" s="607"/>
      <c r="AB840" s="607"/>
      <c r="AC840" s="607"/>
      <c r="AD840" s="607"/>
      <c r="AE840" s="607"/>
      <c r="AF840" s="607"/>
      <c r="AG840" s="607"/>
      <c r="AH840" s="607"/>
      <c r="AI840" s="607"/>
      <c r="AJ840" s="607"/>
      <c r="AK840" s="607"/>
      <c r="AL840" s="606"/>
      <c r="AM840" s="606"/>
      <c r="AN840" s="606"/>
      <c r="AO840" s="606"/>
    </row>
    <row r="841" spans="1:41" ht="11.25" hidden="1" customHeight="1">
      <c r="A841" s="608"/>
      <c r="B841" s="607"/>
      <c r="C841" s="607"/>
      <c r="D841" s="607"/>
      <c r="E841" s="607"/>
      <c r="F841" s="607"/>
      <c r="G841" s="606"/>
      <c r="H841" s="606"/>
      <c r="I841" s="606"/>
      <c r="J841" s="606"/>
      <c r="K841" s="606"/>
      <c r="L841" s="606"/>
      <c r="M841" s="606"/>
      <c r="N841" s="606"/>
      <c r="O841" s="606"/>
      <c r="P841" s="606"/>
      <c r="Q841" s="606"/>
      <c r="R841" s="606"/>
      <c r="S841" s="606"/>
      <c r="T841" s="606"/>
      <c r="U841" s="606"/>
      <c r="V841" s="606"/>
      <c r="W841" s="606"/>
      <c r="X841" s="640"/>
      <c r="Y841" s="607"/>
      <c r="Z841" s="607"/>
      <c r="AA841" s="607"/>
      <c r="AB841" s="607"/>
      <c r="AC841" s="607"/>
      <c r="AD841" s="607"/>
      <c r="AE841" s="607"/>
      <c r="AF841" s="607"/>
      <c r="AG841" s="607"/>
      <c r="AH841" s="607"/>
      <c r="AI841" s="607"/>
      <c r="AJ841" s="607"/>
      <c r="AK841" s="607"/>
      <c r="AL841" s="606"/>
      <c r="AM841" s="606"/>
      <c r="AN841" s="606"/>
      <c r="AO841" s="606"/>
    </row>
    <row r="842" spans="1:41" ht="11.25" hidden="1" customHeight="1">
      <c r="A842" s="608"/>
      <c r="B842" s="607"/>
      <c r="C842" s="607"/>
      <c r="D842" s="607"/>
      <c r="E842" s="607"/>
      <c r="F842" s="607"/>
      <c r="G842" s="606"/>
      <c r="H842" s="606"/>
      <c r="I842" s="606"/>
      <c r="J842" s="606"/>
      <c r="K842" s="606"/>
      <c r="L842" s="606"/>
      <c r="M842" s="606"/>
      <c r="N842" s="606"/>
      <c r="O842" s="606"/>
      <c r="P842" s="606"/>
      <c r="Q842" s="606"/>
      <c r="R842" s="606"/>
      <c r="S842" s="606"/>
      <c r="T842" s="606"/>
      <c r="U842" s="606"/>
      <c r="V842" s="606"/>
      <c r="W842" s="606"/>
      <c r="X842" s="640"/>
      <c r="Y842" s="607"/>
      <c r="Z842" s="607"/>
      <c r="AA842" s="607"/>
      <c r="AB842" s="607"/>
      <c r="AC842" s="607"/>
      <c r="AD842" s="607"/>
      <c r="AE842" s="607"/>
      <c r="AF842" s="607"/>
      <c r="AG842" s="607"/>
      <c r="AH842" s="607"/>
      <c r="AI842" s="607"/>
      <c r="AJ842" s="607"/>
      <c r="AK842" s="607"/>
      <c r="AL842" s="606"/>
      <c r="AM842" s="606"/>
      <c r="AN842" s="606"/>
      <c r="AO842" s="606"/>
    </row>
    <row r="843" spans="1:41" ht="11.25" hidden="1" customHeight="1">
      <c r="A843" s="608"/>
      <c r="B843" s="607"/>
      <c r="C843" s="607"/>
      <c r="D843" s="607"/>
      <c r="E843" s="607"/>
      <c r="F843" s="607"/>
      <c r="G843" s="606"/>
      <c r="H843" s="606"/>
      <c r="I843" s="606"/>
      <c r="J843" s="606"/>
      <c r="K843" s="606"/>
      <c r="L843" s="606"/>
      <c r="M843" s="606"/>
      <c r="N843" s="606"/>
      <c r="O843" s="606"/>
      <c r="P843" s="606"/>
      <c r="Q843" s="606"/>
      <c r="R843" s="606"/>
      <c r="S843" s="606"/>
      <c r="T843" s="606"/>
      <c r="U843" s="606"/>
      <c r="V843" s="606"/>
      <c r="W843" s="606"/>
      <c r="X843" s="640"/>
      <c r="Y843" s="607"/>
      <c r="Z843" s="607"/>
      <c r="AA843" s="607"/>
      <c r="AB843" s="607"/>
      <c r="AC843" s="607"/>
      <c r="AD843" s="607"/>
      <c r="AE843" s="607"/>
      <c r="AF843" s="607"/>
      <c r="AG843" s="607"/>
      <c r="AH843" s="607"/>
      <c r="AI843" s="607"/>
      <c r="AJ843" s="607"/>
      <c r="AK843" s="607"/>
      <c r="AL843" s="606"/>
      <c r="AM843" s="606"/>
      <c r="AN843" s="606"/>
      <c r="AO843" s="606"/>
    </row>
    <row r="844" spans="1:41" ht="11.25" hidden="1" customHeight="1">
      <c r="A844" s="608"/>
      <c r="B844" s="607"/>
      <c r="C844" s="607"/>
      <c r="D844" s="607"/>
      <c r="E844" s="607"/>
      <c r="F844" s="607"/>
      <c r="G844" s="606"/>
      <c r="H844" s="606"/>
      <c r="I844" s="606"/>
      <c r="J844" s="606"/>
      <c r="K844" s="606"/>
      <c r="L844" s="606"/>
      <c r="M844" s="606"/>
      <c r="N844" s="606"/>
      <c r="O844" s="606"/>
      <c r="P844" s="606"/>
      <c r="Q844" s="606"/>
      <c r="R844" s="606"/>
      <c r="S844" s="606"/>
      <c r="T844" s="606"/>
      <c r="U844" s="606"/>
      <c r="V844" s="606"/>
      <c r="W844" s="606"/>
      <c r="X844" s="640"/>
      <c r="Y844" s="607"/>
      <c r="Z844" s="607"/>
      <c r="AA844" s="607"/>
      <c r="AB844" s="607"/>
      <c r="AC844" s="607"/>
      <c r="AD844" s="607"/>
      <c r="AE844" s="607"/>
      <c r="AF844" s="607"/>
      <c r="AG844" s="607"/>
      <c r="AH844" s="607"/>
      <c r="AI844" s="607"/>
      <c r="AJ844" s="607"/>
      <c r="AK844" s="607"/>
      <c r="AL844" s="606"/>
      <c r="AM844" s="606"/>
      <c r="AN844" s="606"/>
      <c r="AO844" s="606"/>
    </row>
    <row r="845" spans="1:41" ht="11.25" hidden="1" customHeight="1">
      <c r="A845" s="608"/>
      <c r="B845" s="607"/>
      <c r="C845" s="607"/>
      <c r="D845" s="607"/>
      <c r="E845" s="607"/>
      <c r="F845" s="607"/>
      <c r="G845" s="606"/>
      <c r="H845" s="606"/>
      <c r="I845" s="606"/>
      <c r="J845" s="606"/>
      <c r="K845" s="606"/>
      <c r="L845" s="606"/>
      <c r="M845" s="606"/>
      <c r="N845" s="606"/>
      <c r="O845" s="606"/>
      <c r="P845" s="606"/>
      <c r="Q845" s="606"/>
      <c r="R845" s="606"/>
      <c r="S845" s="606"/>
      <c r="T845" s="606"/>
      <c r="U845" s="606"/>
      <c r="V845" s="606"/>
      <c r="W845" s="606"/>
      <c r="X845" s="640"/>
      <c r="Y845" s="607"/>
      <c r="Z845" s="607"/>
      <c r="AA845" s="607"/>
      <c r="AB845" s="607"/>
      <c r="AC845" s="607"/>
      <c r="AD845" s="607"/>
      <c r="AE845" s="607"/>
      <c r="AF845" s="607"/>
      <c r="AG845" s="607"/>
      <c r="AH845" s="607"/>
      <c r="AI845" s="607"/>
      <c r="AJ845" s="607"/>
      <c r="AK845" s="607"/>
      <c r="AL845" s="606"/>
      <c r="AM845" s="606"/>
      <c r="AN845" s="606"/>
      <c r="AO845" s="606"/>
    </row>
    <row r="846" spans="1:41" ht="11.25" hidden="1" customHeight="1">
      <c r="A846" s="608"/>
      <c r="B846" s="607"/>
      <c r="C846" s="607"/>
      <c r="D846" s="607"/>
      <c r="E846" s="607"/>
      <c r="F846" s="607"/>
      <c r="G846" s="606"/>
      <c r="H846" s="606"/>
      <c r="I846" s="606"/>
      <c r="J846" s="606"/>
      <c r="K846" s="606"/>
      <c r="L846" s="606"/>
      <c r="M846" s="606"/>
      <c r="N846" s="606"/>
      <c r="O846" s="606"/>
      <c r="P846" s="606"/>
      <c r="Q846" s="606"/>
      <c r="R846" s="606"/>
      <c r="S846" s="606"/>
      <c r="T846" s="606"/>
      <c r="U846" s="606"/>
      <c r="V846" s="606"/>
      <c r="W846" s="606"/>
      <c r="X846" s="640"/>
      <c r="Y846" s="607"/>
      <c r="Z846" s="607"/>
      <c r="AA846" s="607"/>
      <c r="AB846" s="607"/>
      <c r="AC846" s="607"/>
      <c r="AD846" s="607"/>
      <c r="AE846" s="607"/>
      <c r="AF846" s="607"/>
      <c r="AG846" s="607"/>
      <c r="AH846" s="607"/>
      <c r="AI846" s="607"/>
      <c r="AJ846" s="607"/>
      <c r="AK846" s="607"/>
      <c r="AL846" s="606"/>
      <c r="AM846" s="606"/>
      <c r="AN846" s="606"/>
      <c r="AO846" s="606"/>
    </row>
    <row r="847" spans="1:41" ht="11.25" hidden="1" customHeight="1">
      <c r="A847" s="608"/>
      <c r="B847" s="607"/>
      <c r="C847" s="607"/>
      <c r="D847" s="607"/>
      <c r="E847" s="607"/>
      <c r="F847" s="607"/>
      <c r="G847" s="606"/>
      <c r="H847" s="606"/>
      <c r="I847" s="606"/>
      <c r="J847" s="606"/>
      <c r="K847" s="606"/>
      <c r="L847" s="606"/>
      <c r="M847" s="606"/>
      <c r="N847" s="606"/>
      <c r="O847" s="606"/>
      <c r="P847" s="606"/>
      <c r="Q847" s="606"/>
      <c r="R847" s="606"/>
      <c r="S847" s="606"/>
      <c r="T847" s="606"/>
      <c r="U847" s="606"/>
      <c r="V847" s="606"/>
      <c r="W847" s="606"/>
      <c r="X847" s="640"/>
      <c r="Y847" s="607"/>
      <c r="Z847" s="607"/>
      <c r="AA847" s="607"/>
      <c r="AB847" s="607"/>
      <c r="AC847" s="607"/>
      <c r="AD847" s="607"/>
      <c r="AE847" s="607"/>
      <c r="AF847" s="607"/>
      <c r="AG847" s="607"/>
      <c r="AH847" s="607"/>
      <c r="AI847" s="607"/>
      <c r="AJ847" s="607"/>
      <c r="AK847" s="607"/>
      <c r="AL847" s="606"/>
      <c r="AM847" s="606"/>
      <c r="AN847" s="606"/>
      <c r="AO847" s="606"/>
    </row>
    <row r="848" spans="1:41" ht="11.25" hidden="1" customHeight="1">
      <c r="A848" s="608"/>
      <c r="B848" s="607"/>
      <c r="C848" s="607"/>
      <c r="D848" s="607"/>
      <c r="E848" s="607"/>
      <c r="F848" s="607"/>
      <c r="G848" s="606"/>
      <c r="H848" s="606"/>
      <c r="I848" s="606"/>
      <c r="J848" s="606"/>
      <c r="K848" s="606"/>
      <c r="L848" s="606"/>
      <c r="M848" s="606"/>
      <c r="N848" s="606"/>
      <c r="O848" s="606"/>
      <c r="P848" s="606"/>
      <c r="Q848" s="606"/>
      <c r="R848" s="606"/>
      <c r="S848" s="606"/>
      <c r="T848" s="606"/>
      <c r="U848" s="606"/>
      <c r="V848" s="606"/>
      <c r="W848" s="606"/>
      <c r="X848" s="640"/>
      <c r="Y848" s="607"/>
      <c r="Z848" s="607"/>
      <c r="AA848" s="607"/>
      <c r="AB848" s="607"/>
      <c r="AC848" s="607"/>
      <c r="AD848" s="607"/>
      <c r="AE848" s="607"/>
      <c r="AF848" s="607"/>
      <c r="AG848" s="607"/>
      <c r="AH848" s="607"/>
      <c r="AI848" s="607"/>
      <c r="AJ848" s="607"/>
      <c r="AK848" s="607"/>
      <c r="AL848" s="606"/>
      <c r="AM848" s="606"/>
      <c r="AN848" s="606"/>
      <c r="AO848" s="606"/>
    </row>
    <row r="849" spans="1:41" ht="11.25" hidden="1" customHeight="1">
      <c r="A849" s="608"/>
      <c r="B849" s="607"/>
      <c r="C849" s="607"/>
      <c r="D849" s="607"/>
      <c r="E849" s="607"/>
      <c r="F849" s="607"/>
      <c r="G849" s="606"/>
      <c r="H849" s="606"/>
      <c r="I849" s="606"/>
      <c r="J849" s="606"/>
      <c r="K849" s="606"/>
      <c r="L849" s="606"/>
      <c r="M849" s="606"/>
      <c r="N849" s="606"/>
      <c r="O849" s="606"/>
      <c r="P849" s="606"/>
      <c r="Q849" s="606"/>
      <c r="R849" s="606"/>
      <c r="S849" s="606"/>
      <c r="T849" s="606"/>
      <c r="U849" s="606"/>
      <c r="V849" s="606"/>
      <c r="W849" s="606"/>
      <c r="X849" s="640"/>
      <c r="Y849" s="607"/>
      <c r="Z849" s="607"/>
      <c r="AA849" s="607"/>
      <c r="AB849" s="607"/>
      <c r="AC849" s="607"/>
      <c r="AD849" s="607"/>
      <c r="AE849" s="607"/>
      <c r="AF849" s="607"/>
      <c r="AG849" s="607"/>
      <c r="AH849" s="607"/>
      <c r="AI849" s="607"/>
      <c r="AJ849" s="607"/>
      <c r="AK849" s="607"/>
      <c r="AL849" s="606"/>
      <c r="AM849" s="606"/>
      <c r="AN849" s="606"/>
      <c r="AO849" s="606"/>
    </row>
    <row r="850" spans="1:41" ht="11.25" hidden="1" customHeight="1">
      <c r="A850" s="608"/>
      <c r="B850" s="607"/>
      <c r="C850" s="607"/>
      <c r="D850" s="607"/>
      <c r="E850" s="607"/>
      <c r="F850" s="607"/>
      <c r="G850" s="606"/>
      <c r="H850" s="606"/>
      <c r="I850" s="606"/>
      <c r="J850" s="606"/>
      <c r="K850" s="606"/>
      <c r="L850" s="606"/>
      <c r="M850" s="606"/>
      <c r="N850" s="606"/>
      <c r="O850" s="606"/>
      <c r="P850" s="606"/>
      <c r="Q850" s="606"/>
      <c r="R850" s="606"/>
      <c r="S850" s="606"/>
      <c r="T850" s="606"/>
      <c r="U850" s="606"/>
      <c r="V850" s="606"/>
      <c r="W850" s="606"/>
      <c r="X850" s="640"/>
      <c r="Y850" s="607"/>
      <c r="Z850" s="607"/>
      <c r="AA850" s="607"/>
      <c r="AB850" s="607"/>
      <c r="AC850" s="607"/>
      <c r="AD850" s="607"/>
      <c r="AE850" s="607"/>
      <c r="AF850" s="607"/>
      <c r="AG850" s="607"/>
      <c r="AH850" s="607"/>
      <c r="AI850" s="607"/>
      <c r="AJ850" s="607"/>
      <c r="AK850" s="607"/>
      <c r="AL850" s="606"/>
      <c r="AM850" s="606"/>
      <c r="AN850" s="606"/>
      <c r="AO850" s="606"/>
    </row>
    <row r="851" spans="1:41" ht="11.25" hidden="1" customHeight="1">
      <c r="A851" s="608"/>
      <c r="B851" s="607"/>
      <c r="C851" s="607"/>
      <c r="D851" s="607"/>
      <c r="E851" s="607"/>
      <c r="F851" s="607"/>
      <c r="G851" s="606"/>
      <c r="H851" s="606"/>
      <c r="I851" s="606"/>
      <c r="J851" s="606"/>
      <c r="K851" s="606"/>
      <c r="L851" s="606"/>
      <c r="M851" s="606"/>
      <c r="N851" s="606"/>
      <c r="O851" s="606"/>
      <c r="P851" s="606"/>
      <c r="Q851" s="606"/>
      <c r="R851" s="606"/>
      <c r="S851" s="606"/>
      <c r="T851" s="606"/>
      <c r="U851" s="606"/>
      <c r="V851" s="606"/>
      <c r="W851" s="606"/>
      <c r="X851" s="640"/>
      <c r="Y851" s="607"/>
      <c r="Z851" s="607"/>
      <c r="AA851" s="607"/>
      <c r="AB851" s="607"/>
      <c r="AC851" s="607"/>
      <c r="AD851" s="607"/>
      <c r="AE851" s="607"/>
      <c r="AF851" s="607"/>
      <c r="AG851" s="607"/>
      <c r="AH851" s="607"/>
      <c r="AI851" s="607"/>
      <c r="AJ851" s="607"/>
      <c r="AK851" s="607"/>
      <c r="AL851" s="606"/>
      <c r="AM851" s="606"/>
      <c r="AN851" s="606"/>
      <c r="AO851" s="606"/>
    </row>
    <row r="852" spans="1:41" ht="11.25" hidden="1" customHeight="1">
      <c r="A852" s="608"/>
      <c r="B852" s="607"/>
      <c r="C852" s="607"/>
      <c r="D852" s="607"/>
      <c r="E852" s="607"/>
      <c r="F852" s="607"/>
      <c r="G852" s="606"/>
      <c r="H852" s="606"/>
      <c r="I852" s="606"/>
      <c r="J852" s="606"/>
      <c r="K852" s="606"/>
      <c r="L852" s="606"/>
      <c r="M852" s="606"/>
      <c r="N852" s="606"/>
      <c r="O852" s="606"/>
      <c r="P852" s="606"/>
      <c r="Q852" s="606"/>
      <c r="R852" s="606"/>
      <c r="S852" s="606"/>
      <c r="T852" s="606"/>
      <c r="U852" s="606"/>
      <c r="V852" s="606"/>
      <c r="W852" s="606"/>
      <c r="X852" s="640"/>
      <c r="Y852" s="607"/>
      <c r="Z852" s="607"/>
      <c r="AA852" s="607"/>
      <c r="AB852" s="607"/>
      <c r="AC852" s="607"/>
      <c r="AD852" s="607"/>
      <c r="AE852" s="607"/>
      <c r="AF852" s="607"/>
      <c r="AG852" s="607"/>
      <c r="AH852" s="607"/>
      <c r="AI852" s="607"/>
      <c r="AJ852" s="607"/>
      <c r="AK852" s="607"/>
      <c r="AL852" s="606"/>
      <c r="AM852" s="606"/>
      <c r="AN852" s="606"/>
      <c r="AO852" s="606"/>
    </row>
    <row r="853" spans="1:41" ht="11.25" hidden="1" customHeight="1">
      <c r="A853" s="608"/>
      <c r="B853" s="607"/>
      <c r="C853" s="607"/>
      <c r="D853" s="607"/>
      <c r="E853" s="607"/>
      <c r="F853" s="607"/>
      <c r="G853" s="606"/>
      <c r="H853" s="606"/>
      <c r="I853" s="606"/>
      <c r="J853" s="606"/>
      <c r="K853" s="606"/>
      <c r="L853" s="606"/>
      <c r="M853" s="606"/>
      <c r="N853" s="606"/>
      <c r="O853" s="606"/>
      <c r="P853" s="606"/>
      <c r="Q853" s="606"/>
      <c r="R853" s="606"/>
      <c r="S853" s="606"/>
      <c r="T853" s="606"/>
      <c r="U853" s="606"/>
      <c r="V853" s="606"/>
      <c r="W853" s="606"/>
      <c r="X853" s="640"/>
      <c r="Y853" s="607"/>
      <c r="Z853" s="607"/>
      <c r="AA853" s="607"/>
      <c r="AB853" s="607"/>
      <c r="AC853" s="607"/>
      <c r="AD853" s="607"/>
      <c r="AE853" s="607"/>
      <c r="AF853" s="607"/>
      <c r="AG853" s="607"/>
      <c r="AH853" s="607"/>
      <c r="AI853" s="607"/>
      <c r="AJ853" s="607"/>
      <c r="AK853" s="607"/>
      <c r="AL853" s="606"/>
      <c r="AM853" s="606"/>
      <c r="AN853" s="606"/>
      <c r="AO853" s="606"/>
    </row>
    <row r="854" spans="1:41" ht="11.25" hidden="1" customHeight="1">
      <c r="A854" s="608"/>
      <c r="B854" s="607"/>
      <c r="C854" s="607"/>
      <c r="D854" s="607"/>
      <c r="E854" s="607"/>
      <c r="F854" s="607"/>
      <c r="G854" s="606"/>
      <c r="H854" s="606"/>
      <c r="I854" s="606"/>
      <c r="J854" s="606"/>
      <c r="K854" s="606"/>
      <c r="L854" s="606"/>
      <c r="M854" s="606"/>
      <c r="N854" s="606"/>
      <c r="O854" s="606"/>
      <c r="P854" s="606"/>
      <c r="Q854" s="606"/>
      <c r="R854" s="606"/>
      <c r="S854" s="606"/>
      <c r="T854" s="606"/>
      <c r="U854" s="606"/>
      <c r="V854" s="606"/>
      <c r="W854" s="606"/>
      <c r="X854" s="640"/>
      <c r="Y854" s="607"/>
      <c r="Z854" s="607"/>
      <c r="AA854" s="607"/>
      <c r="AB854" s="607"/>
      <c r="AC854" s="607"/>
      <c r="AD854" s="607"/>
      <c r="AE854" s="607"/>
      <c r="AF854" s="607"/>
      <c r="AG854" s="607"/>
      <c r="AH854" s="607"/>
      <c r="AI854" s="607"/>
      <c r="AJ854" s="607"/>
      <c r="AK854" s="607"/>
      <c r="AL854" s="606"/>
      <c r="AM854" s="606"/>
      <c r="AN854" s="606"/>
      <c r="AO854" s="606"/>
    </row>
    <row r="855" spans="1:41" ht="11.25" hidden="1" customHeight="1">
      <c r="A855" s="608"/>
      <c r="B855" s="607"/>
      <c r="C855" s="607"/>
      <c r="D855" s="607"/>
      <c r="E855" s="607"/>
      <c r="F855" s="607"/>
      <c r="G855" s="606"/>
      <c r="H855" s="606"/>
      <c r="I855" s="606"/>
      <c r="J855" s="606"/>
      <c r="K855" s="606"/>
      <c r="L855" s="606"/>
      <c r="M855" s="606"/>
      <c r="N855" s="606"/>
      <c r="O855" s="606"/>
      <c r="P855" s="606"/>
      <c r="Q855" s="606"/>
      <c r="R855" s="606"/>
      <c r="S855" s="606"/>
      <c r="T855" s="606"/>
      <c r="U855" s="606"/>
      <c r="V855" s="606"/>
      <c r="W855" s="606"/>
      <c r="X855" s="640"/>
      <c r="Y855" s="607"/>
      <c r="Z855" s="607"/>
      <c r="AA855" s="607"/>
      <c r="AB855" s="607"/>
      <c r="AC855" s="607"/>
      <c r="AD855" s="607"/>
      <c r="AE855" s="607"/>
      <c r="AF855" s="607"/>
      <c r="AG855" s="607"/>
      <c r="AH855" s="607"/>
      <c r="AI855" s="607"/>
      <c r="AJ855" s="607"/>
      <c r="AK855" s="607"/>
      <c r="AL855" s="606"/>
      <c r="AM855" s="606"/>
      <c r="AN855" s="606"/>
      <c r="AO855" s="606"/>
    </row>
    <row r="856" spans="1:41" ht="11.25" hidden="1" customHeight="1">
      <c r="A856" s="608"/>
      <c r="B856" s="607"/>
      <c r="C856" s="607"/>
      <c r="D856" s="607"/>
      <c r="E856" s="607"/>
      <c r="F856" s="607"/>
      <c r="G856" s="606"/>
      <c r="H856" s="606"/>
      <c r="I856" s="606"/>
      <c r="J856" s="606"/>
      <c r="K856" s="606"/>
      <c r="L856" s="606"/>
      <c r="M856" s="606"/>
      <c r="N856" s="606"/>
      <c r="O856" s="606"/>
      <c r="P856" s="606"/>
      <c r="Q856" s="606"/>
      <c r="R856" s="606"/>
      <c r="S856" s="606"/>
      <c r="T856" s="606"/>
      <c r="U856" s="606"/>
      <c r="V856" s="606"/>
      <c r="W856" s="606"/>
      <c r="X856" s="640"/>
      <c r="Y856" s="607"/>
      <c r="Z856" s="607"/>
      <c r="AA856" s="607"/>
      <c r="AB856" s="607"/>
      <c r="AC856" s="607"/>
      <c r="AD856" s="607"/>
      <c r="AE856" s="607"/>
      <c r="AF856" s="607"/>
      <c r="AG856" s="607"/>
      <c r="AH856" s="607"/>
      <c r="AI856" s="607"/>
      <c r="AJ856" s="607"/>
      <c r="AK856" s="607"/>
      <c r="AL856" s="606"/>
      <c r="AM856" s="606"/>
      <c r="AN856" s="606"/>
      <c r="AO856" s="606"/>
    </row>
    <row r="857" spans="1:41" ht="11.25" hidden="1" customHeight="1">
      <c r="A857" s="608"/>
      <c r="B857" s="607"/>
      <c r="C857" s="607"/>
      <c r="D857" s="607"/>
      <c r="E857" s="607"/>
      <c r="F857" s="607"/>
      <c r="G857" s="606"/>
      <c r="H857" s="606"/>
      <c r="I857" s="606"/>
      <c r="J857" s="606"/>
      <c r="K857" s="606"/>
      <c r="L857" s="606"/>
      <c r="M857" s="606"/>
      <c r="N857" s="606"/>
      <c r="O857" s="606"/>
      <c r="P857" s="606"/>
      <c r="Q857" s="606"/>
      <c r="R857" s="606"/>
      <c r="S857" s="606"/>
      <c r="T857" s="606"/>
      <c r="U857" s="606"/>
      <c r="V857" s="606"/>
      <c r="W857" s="606"/>
      <c r="X857" s="640"/>
      <c r="Y857" s="607"/>
      <c r="Z857" s="607"/>
      <c r="AA857" s="607"/>
      <c r="AB857" s="607"/>
      <c r="AC857" s="607"/>
      <c r="AD857" s="607"/>
      <c r="AE857" s="607"/>
      <c r="AF857" s="607"/>
      <c r="AG857" s="607"/>
      <c r="AH857" s="607"/>
      <c r="AI857" s="607"/>
      <c r="AJ857" s="607"/>
      <c r="AK857" s="607"/>
      <c r="AL857" s="606"/>
      <c r="AM857" s="606"/>
      <c r="AN857" s="606"/>
      <c r="AO857" s="606"/>
    </row>
    <row r="858" spans="1:41" ht="11.25" hidden="1" customHeight="1">
      <c r="A858" s="608"/>
      <c r="B858" s="607"/>
      <c r="C858" s="607"/>
      <c r="D858" s="607"/>
      <c r="E858" s="607"/>
      <c r="F858" s="607"/>
      <c r="G858" s="606"/>
      <c r="H858" s="606"/>
      <c r="I858" s="606"/>
      <c r="J858" s="606"/>
      <c r="K858" s="606"/>
      <c r="L858" s="606"/>
      <c r="M858" s="606"/>
      <c r="N858" s="606"/>
      <c r="O858" s="606"/>
      <c r="P858" s="606"/>
      <c r="Q858" s="606"/>
      <c r="R858" s="606"/>
      <c r="S858" s="606"/>
      <c r="T858" s="606"/>
      <c r="U858" s="606"/>
      <c r="V858" s="606"/>
      <c r="W858" s="606"/>
      <c r="X858" s="640"/>
      <c r="Y858" s="607"/>
      <c r="Z858" s="607"/>
      <c r="AA858" s="607"/>
      <c r="AB858" s="607"/>
      <c r="AC858" s="607"/>
      <c r="AD858" s="607"/>
      <c r="AE858" s="607"/>
      <c r="AF858" s="607"/>
      <c r="AG858" s="607"/>
      <c r="AH858" s="607"/>
      <c r="AI858" s="607"/>
      <c r="AJ858" s="607"/>
      <c r="AK858" s="607"/>
      <c r="AL858" s="606"/>
      <c r="AM858" s="606"/>
      <c r="AN858" s="606"/>
      <c r="AO858" s="606"/>
    </row>
    <row r="859" spans="1:41" ht="11.25" hidden="1" customHeight="1">
      <c r="A859" s="608"/>
      <c r="B859" s="607"/>
      <c r="C859" s="607"/>
      <c r="D859" s="607"/>
      <c r="E859" s="607"/>
      <c r="F859" s="607"/>
      <c r="G859" s="606"/>
      <c r="H859" s="606"/>
      <c r="I859" s="606"/>
      <c r="J859" s="606"/>
      <c r="K859" s="606"/>
      <c r="L859" s="606"/>
      <c r="M859" s="606"/>
      <c r="N859" s="606"/>
      <c r="O859" s="606"/>
      <c r="P859" s="606"/>
      <c r="Q859" s="606"/>
      <c r="R859" s="606"/>
      <c r="S859" s="606"/>
      <c r="T859" s="606"/>
      <c r="U859" s="606"/>
      <c r="V859" s="606"/>
      <c r="W859" s="606"/>
      <c r="X859" s="640"/>
      <c r="Y859" s="607"/>
      <c r="Z859" s="607"/>
      <c r="AA859" s="607"/>
      <c r="AB859" s="607"/>
      <c r="AC859" s="607"/>
      <c r="AD859" s="607"/>
      <c r="AE859" s="607"/>
      <c r="AF859" s="607"/>
      <c r="AG859" s="607"/>
      <c r="AH859" s="607"/>
      <c r="AI859" s="607"/>
      <c r="AJ859" s="607"/>
      <c r="AK859" s="607"/>
      <c r="AL859" s="606"/>
      <c r="AM859" s="606"/>
      <c r="AN859" s="606"/>
      <c r="AO859" s="606"/>
    </row>
    <row r="860" spans="1:41" ht="11.25" hidden="1" customHeight="1">
      <c r="A860" s="608"/>
      <c r="B860" s="607"/>
      <c r="C860" s="607"/>
      <c r="D860" s="607"/>
      <c r="E860" s="607"/>
      <c r="F860" s="607"/>
      <c r="G860" s="606"/>
      <c r="H860" s="606"/>
      <c r="I860" s="606"/>
      <c r="J860" s="606"/>
      <c r="K860" s="606"/>
      <c r="L860" s="606"/>
      <c r="M860" s="606"/>
      <c r="N860" s="606"/>
      <c r="O860" s="606"/>
      <c r="P860" s="606"/>
      <c r="Q860" s="606"/>
      <c r="R860" s="606"/>
      <c r="S860" s="606"/>
      <c r="T860" s="606"/>
      <c r="U860" s="606"/>
      <c r="V860" s="606"/>
      <c r="W860" s="606"/>
      <c r="X860" s="640"/>
      <c r="Y860" s="607"/>
      <c r="Z860" s="607"/>
      <c r="AA860" s="607"/>
      <c r="AB860" s="607"/>
      <c r="AC860" s="607"/>
      <c r="AD860" s="607"/>
      <c r="AE860" s="607"/>
      <c r="AF860" s="607"/>
      <c r="AG860" s="607"/>
      <c r="AH860" s="607"/>
      <c r="AI860" s="607"/>
      <c r="AJ860" s="607"/>
      <c r="AK860" s="607"/>
      <c r="AL860" s="606"/>
      <c r="AM860" s="606"/>
      <c r="AN860" s="606"/>
      <c r="AO860" s="606"/>
    </row>
    <row r="861" spans="1:41" ht="11.25" hidden="1" customHeight="1">
      <c r="A861" s="608"/>
      <c r="B861" s="607"/>
      <c r="C861" s="607"/>
      <c r="D861" s="607"/>
      <c r="E861" s="607"/>
      <c r="F861" s="607"/>
      <c r="G861" s="606"/>
      <c r="H861" s="606"/>
      <c r="I861" s="606"/>
      <c r="J861" s="606"/>
      <c r="K861" s="606"/>
      <c r="L861" s="606"/>
      <c r="M861" s="606"/>
      <c r="N861" s="606"/>
      <c r="O861" s="606"/>
      <c r="P861" s="606"/>
      <c r="Q861" s="606"/>
      <c r="R861" s="606"/>
      <c r="S861" s="606"/>
      <c r="T861" s="606"/>
      <c r="U861" s="606"/>
      <c r="V861" s="606"/>
      <c r="W861" s="606"/>
      <c r="X861" s="640"/>
      <c r="Y861" s="607"/>
      <c r="Z861" s="607"/>
      <c r="AA861" s="607"/>
      <c r="AB861" s="607"/>
      <c r="AC861" s="607"/>
      <c r="AD861" s="607"/>
      <c r="AE861" s="607"/>
      <c r="AF861" s="607"/>
      <c r="AG861" s="607"/>
      <c r="AH861" s="607"/>
      <c r="AI861" s="607"/>
      <c r="AJ861" s="607"/>
      <c r="AK861" s="607"/>
      <c r="AL861" s="606"/>
      <c r="AM861" s="606"/>
      <c r="AN861" s="606"/>
      <c r="AO861" s="606"/>
    </row>
    <row r="862" spans="1:41" ht="11.25" hidden="1" customHeight="1">
      <c r="A862" s="608"/>
      <c r="B862" s="607"/>
      <c r="C862" s="607"/>
      <c r="D862" s="607"/>
      <c r="E862" s="607"/>
      <c r="F862" s="607"/>
      <c r="G862" s="606"/>
      <c r="H862" s="606"/>
      <c r="I862" s="606"/>
      <c r="J862" s="606"/>
      <c r="K862" s="606"/>
      <c r="L862" s="606"/>
      <c r="M862" s="606"/>
      <c r="N862" s="606"/>
      <c r="O862" s="606"/>
      <c r="P862" s="606"/>
      <c r="Q862" s="606"/>
      <c r="R862" s="606"/>
      <c r="S862" s="606"/>
      <c r="T862" s="606"/>
      <c r="U862" s="606"/>
      <c r="V862" s="606"/>
      <c r="W862" s="606"/>
      <c r="X862" s="640"/>
      <c r="Y862" s="607"/>
      <c r="Z862" s="607"/>
      <c r="AA862" s="607"/>
      <c r="AB862" s="607"/>
      <c r="AC862" s="607"/>
      <c r="AD862" s="607"/>
      <c r="AE862" s="607"/>
      <c r="AF862" s="607"/>
      <c r="AG862" s="607"/>
      <c r="AH862" s="607"/>
      <c r="AI862" s="607"/>
      <c r="AJ862" s="607"/>
      <c r="AK862" s="607"/>
      <c r="AL862" s="606"/>
      <c r="AM862" s="606"/>
      <c r="AN862" s="606"/>
      <c r="AO862" s="606"/>
    </row>
    <row r="863" spans="1:41" ht="11.25" hidden="1" customHeight="1">
      <c r="A863" s="608"/>
      <c r="B863" s="607"/>
      <c r="C863" s="607"/>
      <c r="D863" s="607"/>
      <c r="E863" s="607"/>
      <c r="F863" s="607"/>
      <c r="G863" s="606"/>
      <c r="H863" s="606"/>
      <c r="I863" s="606"/>
      <c r="J863" s="606"/>
      <c r="K863" s="606"/>
      <c r="L863" s="606"/>
      <c r="M863" s="606"/>
      <c r="N863" s="606"/>
      <c r="O863" s="606"/>
      <c r="P863" s="606"/>
      <c r="Q863" s="606"/>
      <c r="R863" s="606"/>
      <c r="S863" s="606"/>
      <c r="T863" s="606"/>
      <c r="U863" s="606"/>
      <c r="V863" s="606"/>
      <c r="W863" s="606"/>
      <c r="X863" s="640"/>
      <c r="Y863" s="607"/>
      <c r="Z863" s="607"/>
      <c r="AA863" s="607"/>
      <c r="AB863" s="607"/>
      <c r="AC863" s="607"/>
      <c r="AD863" s="607"/>
      <c r="AE863" s="607"/>
      <c r="AF863" s="607"/>
      <c r="AG863" s="607"/>
      <c r="AH863" s="607"/>
      <c r="AI863" s="607"/>
      <c r="AJ863" s="607"/>
      <c r="AK863" s="607"/>
      <c r="AL863" s="606"/>
      <c r="AM863" s="606"/>
      <c r="AN863" s="606"/>
      <c r="AO863" s="606"/>
    </row>
    <row r="864" spans="1:41" ht="11.25" hidden="1" customHeight="1">
      <c r="A864" s="608"/>
      <c r="B864" s="607"/>
      <c r="C864" s="607"/>
      <c r="D864" s="607"/>
      <c r="E864" s="607"/>
      <c r="F864" s="607"/>
      <c r="G864" s="606"/>
      <c r="H864" s="606"/>
      <c r="I864" s="606"/>
      <c r="J864" s="606"/>
      <c r="K864" s="606"/>
      <c r="L864" s="606"/>
      <c r="M864" s="606"/>
      <c r="N864" s="606"/>
      <c r="O864" s="606"/>
      <c r="P864" s="606"/>
      <c r="Q864" s="606"/>
      <c r="R864" s="606"/>
      <c r="S864" s="606"/>
      <c r="T864" s="606"/>
      <c r="U864" s="606"/>
      <c r="V864" s="606"/>
      <c r="W864" s="606"/>
      <c r="X864" s="640"/>
      <c r="Y864" s="607"/>
      <c r="Z864" s="607"/>
      <c r="AA864" s="607"/>
      <c r="AB864" s="607"/>
      <c r="AC864" s="607"/>
      <c r="AD864" s="607"/>
      <c r="AE864" s="607"/>
      <c r="AF864" s="607"/>
      <c r="AG864" s="607"/>
      <c r="AH864" s="607"/>
      <c r="AI864" s="607"/>
      <c r="AJ864" s="607"/>
      <c r="AK864" s="607"/>
      <c r="AL864" s="606"/>
      <c r="AM864" s="606"/>
      <c r="AN864" s="606"/>
      <c r="AO864" s="606"/>
    </row>
    <row r="865" spans="1:41" ht="11.25" hidden="1" customHeight="1">
      <c r="A865" s="608"/>
      <c r="B865" s="607"/>
      <c r="C865" s="607"/>
      <c r="D865" s="607"/>
      <c r="E865" s="607"/>
      <c r="F865" s="607"/>
      <c r="G865" s="606"/>
      <c r="H865" s="606"/>
      <c r="I865" s="606"/>
      <c r="J865" s="606"/>
      <c r="K865" s="606"/>
      <c r="L865" s="606"/>
      <c r="M865" s="606"/>
      <c r="N865" s="606"/>
      <c r="O865" s="606"/>
      <c r="P865" s="606"/>
      <c r="Q865" s="606"/>
      <c r="R865" s="606"/>
      <c r="S865" s="606"/>
      <c r="T865" s="606"/>
      <c r="U865" s="606"/>
      <c r="V865" s="606"/>
      <c r="W865" s="606"/>
      <c r="X865" s="640"/>
      <c r="Y865" s="607"/>
      <c r="Z865" s="607"/>
      <c r="AA865" s="607"/>
      <c r="AB865" s="607"/>
      <c r="AC865" s="607"/>
      <c r="AD865" s="607"/>
      <c r="AE865" s="607"/>
      <c r="AF865" s="607"/>
      <c r="AG865" s="607"/>
      <c r="AH865" s="607"/>
      <c r="AI865" s="607"/>
      <c r="AJ865" s="607"/>
      <c r="AK865" s="607"/>
      <c r="AL865" s="606"/>
      <c r="AM865" s="606"/>
      <c r="AN865" s="606"/>
      <c r="AO865" s="606"/>
    </row>
    <row r="866" spans="1:41" ht="11.25" hidden="1" customHeight="1">
      <c r="A866" s="608"/>
      <c r="B866" s="607"/>
      <c r="C866" s="607"/>
      <c r="D866" s="607"/>
      <c r="E866" s="607"/>
      <c r="F866" s="607"/>
      <c r="G866" s="606"/>
      <c r="H866" s="606"/>
      <c r="I866" s="606"/>
      <c r="J866" s="606"/>
      <c r="K866" s="606"/>
      <c r="L866" s="606"/>
      <c r="M866" s="606"/>
      <c r="N866" s="606"/>
      <c r="O866" s="606"/>
      <c r="P866" s="606"/>
      <c r="Q866" s="606"/>
      <c r="R866" s="606"/>
      <c r="S866" s="606"/>
      <c r="T866" s="606"/>
      <c r="U866" s="606"/>
      <c r="V866" s="606"/>
      <c r="W866" s="606"/>
      <c r="X866" s="640"/>
      <c r="Y866" s="607"/>
      <c r="Z866" s="607"/>
      <c r="AA866" s="607"/>
      <c r="AB866" s="607"/>
      <c r="AC866" s="607"/>
      <c r="AD866" s="607"/>
      <c r="AE866" s="607"/>
      <c r="AF866" s="607"/>
      <c r="AG866" s="607"/>
      <c r="AH866" s="607"/>
      <c r="AI866" s="607"/>
      <c r="AJ866" s="607"/>
      <c r="AK866" s="607"/>
      <c r="AL866" s="606"/>
      <c r="AM866" s="606"/>
      <c r="AN866" s="606"/>
      <c r="AO866" s="606"/>
    </row>
    <row r="867" spans="1:41" ht="11.25" hidden="1" customHeight="1">
      <c r="A867" s="608"/>
      <c r="B867" s="607"/>
      <c r="C867" s="607"/>
      <c r="D867" s="607"/>
      <c r="E867" s="607"/>
      <c r="F867" s="607"/>
      <c r="G867" s="606"/>
      <c r="H867" s="606"/>
      <c r="I867" s="606"/>
      <c r="J867" s="606"/>
      <c r="K867" s="606"/>
      <c r="L867" s="606"/>
      <c r="M867" s="606"/>
      <c r="N867" s="606"/>
      <c r="O867" s="606"/>
      <c r="P867" s="606"/>
      <c r="Q867" s="606"/>
      <c r="R867" s="606"/>
      <c r="S867" s="606"/>
      <c r="T867" s="606"/>
      <c r="U867" s="606"/>
      <c r="V867" s="606"/>
      <c r="W867" s="606"/>
      <c r="X867" s="640"/>
      <c r="Y867" s="607"/>
      <c r="Z867" s="607"/>
      <c r="AA867" s="607"/>
      <c r="AB867" s="607"/>
      <c r="AC867" s="607"/>
      <c r="AD867" s="607"/>
      <c r="AE867" s="607"/>
      <c r="AF867" s="607"/>
      <c r="AG867" s="607"/>
      <c r="AH867" s="607"/>
      <c r="AI867" s="607"/>
      <c r="AJ867" s="607"/>
      <c r="AK867" s="607"/>
      <c r="AL867" s="606"/>
      <c r="AM867" s="606"/>
      <c r="AN867" s="606"/>
      <c r="AO867" s="606"/>
    </row>
    <row r="868" spans="1:41" ht="11.25" hidden="1" customHeight="1">
      <c r="A868" s="608"/>
      <c r="B868" s="607"/>
      <c r="C868" s="607"/>
      <c r="D868" s="607"/>
      <c r="E868" s="607"/>
      <c r="F868" s="607"/>
      <c r="G868" s="606"/>
      <c r="H868" s="606"/>
      <c r="I868" s="606"/>
      <c r="J868" s="606"/>
      <c r="K868" s="606"/>
      <c r="L868" s="606"/>
      <c r="M868" s="606"/>
      <c r="N868" s="606"/>
      <c r="O868" s="606"/>
      <c r="P868" s="606"/>
      <c r="Q868" s="606"/>
      <c r="R868" s="606"/>
      <c r="S868" s="606"/>
      <c r="T868" s="606"/>
      <c r="U868" s="606"/>
      <c r="V868" s="606"/>
      <c r="W868" s="606"/>
      <c r="X868" s="640"/>
      <c r="Y868" s="607"/>
      <c r="Z868" s="607"/>
      <c r="AA868" s="607"/>
      <c r="AB868" s="607"/>
      <c r="AC868" s="607"/>
      <c r="AD868" s="607"/>
      <c r="AE868" s="607"/>
      <c r="AF868" s="607"/>
      <c r="AG868" s="607"/>
      <c r="AH868" s="607"/>
      <c r="AI868" s="607"/>
      <c r="AJ868" s="607"/>
      <c r="AK868" s="607"/>
      <c r="AL868" s="606"/>
      <c r="AM868" s="606"/>
      <c r="AN868" s="606"/>
      <c r="AO868" s="606"/>
    </row>
    <row r="869" spans="1:41" ht="11.25" hidden="1" customHeight="1">
      <c r="A869" s="608"/>
      <c r="B869" s="607"/>
      <c r="C869" s="607"/>
      <c r="D869" s="607"/>
      <c r="E869" s="607"/>
      <c r="F869" s="607"/>
      <c r="G869" s="606"/>
      <c r="H869" s="606"/>
      <c r="I869" s="606"/>
      <c r="J869" s="606"/>
      <c r="K869" s="606"/>
      <c r="L869" s="606"/>
      <c r="M869" s="606"/>
      <c r="N869" s="606"/>
      <c r="O869" s="606"/>
      <c r="P869" s="606"/>
      <c r="Q869" s="606"/>
      <c r="R869" s="606"/>
      <c r="S869" s="606"/>
      <c r="T869" s="606"/>
      <c r="U869" s="606"/>
      <c r="V869" s="606"/>
      <c r="W869" s="606"/>
      <c r="X869" s="640"/>
      <c r="Y869" s="607"/>
      <c r="Z869" s="607"/>
      <c r="AA869" s="607"/>
      <c r="AB869" s="607"/>
      <c r="AC869" s="607"/>
      <c r="AD869" s="607"/>
      <c r="AE869" s="607"/>
      <c r="AF869" s="607"/>
      <c r="AG869" s="607"/>
      <c r="AH869" s="607"/>
      <c r="AI869" s="607"/>
      <c r="AJ869" s="607"/>
      <c r="AK869" s="607"/>
      <c r="AL869" s="606"/>
      <c r="AM869" s="606"/>
      <c r="AN869" s="606"/>
      <c r="AO869" s="606"/>
    </row>
    <row r="870" spans="1:41" ht="11.25" hidden="1" customHeight="1">
      <c r="A870" s="608"/>
      <c r="B870" s="607"/>
      <c r="C870" s="607"/>
      <c r="D870" s="607"/>
      <c r="E870" s="607"/>
      <c r="F870" s="607"/>
      <c r="G870" s="606"/>
      <c r="H870" s="606"/>
      <c r="I870" s="606"/>
      <c r="J870" s="606"/>
      <c r="K870" s="606"/>
      <c r="L870" s="606"/>
      <c r="M870" s="606"/>
      <c r="N870" s="606"/>
      <c r="O870" s="606"/>
      <c r="P870" s="606"/>
      <c r="Q870" s="606"/>
      <c r="R870" s="606"/>
      <c r="S870" s="606"/>
      <c r="T870" s="606"/>
      <c r="U870" s="606"/>
      <c r="V870" s="606"/>
      <c r="W870" s="606"/>
      <c r="X870" s="640"/>
      <c r="Y870" s="607"/>
      <c r="Z870" s="607"/>
      <c r="AA870" s="607"/>
      <c r="AB870" s="607"/>
      <c r="AC870" s="607"/>
      <c r="AD870" s="607"/>
      <c r="AE870" s="607"/>
      <c r="AF870" s="607"/>
      <c r="AG870" s="607"/>
      <c r="AH870" s="607"/>
      <c r="AI870" s="607"/>
      <c r="AJ870" s="607"/>
      <c r="AK870" s="607"/>
      <c r="AL870" s="606"/>
      <c r="AM870" s="606"/>
      <c r="AN870" s="606"/>
      <c r="AO870" s="606"/>
    </row>
    <row r="871" spans="1:41" ht="11.25" hidden="1" customHeight="1">
      <c r="A871" s="608"/>
      <c r="B871" s="607"/>
      <c r="C871" s="607"/>
      <c r="D871" s="607"/>
      <c r="E871" s="607"/>
      <c r="F871" s="607"/>
      <c r="G871" s="606"/>
      <c r="H871" s="606"/>
      <c r="I871" s="606"/>
      <c r="J871" s="606"/>
      <c r="K871" s="606"/>
      <c r="L871" s="606"/>
      <c r="M871" s="606"/>
      <c r="N871" s="606"/>
      <c r="O871" s="606"/>
      <c r="P871" s="606"/>
      <c r="Q871" s="606"/>
      <c r="R871" s="606"/>
      <c r="S871" s="606"/>
      <c r="T871" s="606"/>
      <c r="U871" s="606"/>
      <c r="V871" s="606"/>
      <c r="W871" s="606"/>
      <c r="X871" s="640"/>
      <c r="Y871" s="607"/>
      <c r="Z871" s="607"/>
      <c r="AA871" s="607"/>
      <c r="AB871" s="607"/>
      <c r="AC871" s="607"/>
      <c r="AD871" s="607"/>
      <c r="AE871" s="607"/>
      <c r="AF871" s="607"/>
      <c r="AG871" s="607"/>
      <c r="AH871" s="607"/>
      <c r="AI871" s="607"/>
      <c r="AJ871" s="607"/>
      <c r="AK871" s="607"/>
      <c r="AL871" s="606"/>
      <c r="AM871" s="606"/>
      <c r="AN871" s="606"/>
      <c r="AO871" s="606"/>
    </row>
    <row r="872" spans="1:41" ht="11.25" hidden="1" customHeight="1">
      <c r="A872" s="608"/>
      <c r="B872" s="607"/>
      <c r="C872" s="607"/>
      <c r="D872" s="607"/>
      <c r="E872" s="607"/>
      <c r="F872" s="607"/>
      <c r="G872" s="606"/>
      <c r="H872" s="606"/>
      <c r="I872" s="606"/>
      <c r="J872" s="606"/>
      <c r="K872" s="606"/>
      <c r="L872" s="606"/>
      <c r="M872" s="606"/>
      <c r="N872" s="606"/>
      <c r="O872" s="606"/>
      <c r="P872" s="606"/>
      <c r="Q872" s="606"/>
      <c r="R872" s="606"/>
      <c r="S872" s="606"/>
      <c r="T872" s="606"/>
      <c r="U872" s="606"/>
      <c r="V872" s="606"/>
      <c r="W872" s="606"/>
      <c r="X872" s="640"/>
      <c r="Y872" s="607"/>
      <c r="Z872" s="607"/>
      <c r="AA872" s="607"/>
      <c r="AB872" s="607"/>
      <c r="AC872" s="607"/>
      <c r="AD872" s="607"/>
      <c r="AE872" s="607"/>
      <c r="AF872" s="607"/>
      <c r="AG872" s="607"/>
      <c r="AH872" s="607"/>
      <c r="AI872" s="607"/>
      <c r="AJ872" s="607"/>
      <c r="AK872" s="607"/>
      <c r="AL872" s="606"/>
      <c r="AM872" s="606"/>
      <c r="AN872" s="606"/>
      <c r="AO872" s="606"/>
    </row>
    <row r="873" spans="1:41" ht="11.25" hidden="1" customHeight="1">
      <c r="A873" s="608"/>
      <c r="B873" s="607"/>
      <c r="C873" s="607"/>
      <c r="D873" s="607"/>
      <c r="E873" s="607"/>
      <c r="F873" s="607"/>
      <c r="G873" s="606"/>
      <c r="H873" s="606"/>
      <c r="I873" s="606"/>
      <c r="J873" s="606"/>
      <c r="K873" s="606"/>
      <c r="L873" s="606"/>
      <c r="M873" s="606"/>
      <c r="N873" s="606"/>
      <c r="O873" s="606"/>
      <c r="P873" s="606"/>
      <c r="Q873" s="606"/>
      <c r="R873" s="606"/>
      <c r="S873" s="606"/>
      <c r="T873" s="606"/>
      <c r="U873" s="606"/>
      <c r="V873" s="606"/>
      <c r="W873" s="606"/>
      <c r="X873" s="640"/>
      <c r="Y873" s="607"/>
      <c r="Z873" s="607"/>
      <c r="AA873" s="607"/>
      <c r="AB873" s="607"/>
      <c r="AC873" s="607"/>
      <c r="AD873" s="607"/>
      <c r="AE873" s="607"/>
      <c r="AF873" s="607"/>
      <c r="AG873" s="607"/>
      <c r="AH873" s="607"/>
      <c r="AI873" s="607"/>
      <c r="AJ873" s="607"/>
      <c r="AK873" s="607"/>
      <c r="AL873" s="606"/>
      <c r="AM873" s="606"/>
      <c r="AN873" s="606"/>
      <c r="AO873" s="606"/>
    </row>
    <row r="874" spans="1:41" ht="11.25" hidden="1" customHeight="1">
      <c r="A874" s="608"/>
      <c r="B874" s="607"/>
      <c r="C874" s="607"/>
      <c r="D874" s="607"/>
      <c r="E874" s="607"/>
      <c r="F874" s="607"/>
      <c r="G874" s="606"/>
      <c r="H874" s="606"/>
      <c r="I874" s="606"/>
      <c r="J874" s="606"/>
      <c r="K874" s="606"/>
      <c r="L874" s="606"/>
      <c r="M874" s="606"/>
      <c r="N874" s="606"/>
      <c r="O874" s="606"/>
      <c r="P874" s="606"/>
      <c r="Q874" s="606"/>
      <c r="R874" s="606"/>
      <c r="S874" s="606"/>
      <c r="T874" s="606"/>
      <c r="U874" s="606"/>
      <c r="V874" s="606"/>
      <c r="W874" s="606"/>
      <c r="X874" s="640"/>
      <c r="Y874" s="607"/>
      <c r="Z874" s="607"/>
      <c r="AA874" s="607"/>
      <c r="AB874" s="607"/>
      <c r="AC874" s="607"/>
      <c r="AD874" s="607"/>
      <c r="AE874" s="607"/>
      <c r="AF874" s="607"/>
      <c r="AG874" s="607"/>
      <c r="AH874" s="607"/>
      <c r="AI874" s="607"/>
      <c r="AJ874" s="607"/>
      <c r="AK874" s="607"/>
      <c r="AL874" s="606"/>
      <c r="AM874" s="606"/>
      <c r="AN874" s="606"/>
      <c r="AO874" s="606"/>
    </row>
    <row r="875" spans="1:41" ht="11.25" hidden="1" customHeight="1">
      <c r="A875" s="608"/>
      <c r="B875" s="607"/>
      <c r="C875" s="607"/>
      <c r="D875" s="607"/>
      <c r="E875" s="607"/>
      <c r="F875" s="607"/>
      <c r="G875" s="606"/>
      <c r="H875" s="606"/>
      <c r="I875" s="606"/>
      <c r="J875" s="606"/>
      <c r="K875" s="606"/>
      <c r="L875" s="606"/>
      <c r="M875" s="606"/>
      <c r="N875" s="606"/>
      <c r="O875" s="606"/>
      <c r="P875" s="606"/>
      <c r="Q875" s="606"/>
      <c r="R875" s="606"/>
      <c r="S875" s="606"/>
      <c r="T875" s="606"/>
      <c r="U875" s="606"/>
      <c r="V875" s="606"/>
      <c r="W875" s="606"/>
      <c r="X875" s="640"/>
      <c r="Y875" s="607"/>
      <c r="Z875" s="607"/>
      <c r="AA875" s="607"/>
      <c r="AB875" s="607"/>
      <c r="AC875" s="607"/>
      <c r="AD875" s="607"/>
      <c r="AE875" s="607"/>
      <c r="AF875" s="607"/>
      <c r="AG875" s="607"/>
      <c r="AH875" s="607"/>
      <c r="AI875" s="607"/>
      <c r="AJ875" s="607"/>
      <c r="AK875" s="607"/>
      <c r="AL875" s="606"/>
      <c r="AM875" s="606"/>
      <c r="AN875" s="606"/>
      <c r="AO875" s="606"/>
    </row>
    <row r="876" spans="1:41" ht="11.25" hidden="1" customHeight="1">
      <c r="A876" s="608"/>
      <c r="B876" s="607"/>
      <c r="C876" s="607"/>
      <c r="D876" s="607"/>
      <c r="E876" s="607"/>
      <c r="F876" s="607"/>
      <c r="G876" s="606"/>
      <c r="H876" s="606"/>
      <c r="I876" s="606"/>
      <c r="J876" s="606"/>
      <c r="K876" s="606"/>
      <c r="L876" s="606"/>
      <c r="M876" s="606"/>
      <c r="N876" s="606"/>
      <c r="O876" s="606"/>
      <c r="P876" s="606"/>
      <c r="Q876" s="606"/>
      <c r="R876" s="606"/>
      <c r="S876" s="606"/>
      <c r="T876" s="606"/>
      <c r="U876" s="606"/>
      <c r="V876" s="606"/>
      <c r="W876" s="606"/>
      <c r="X876" s="640"/>
      <c r="Y876" s="607"/>
      <c r="Z876" s="607"/>
      <c r="AA876" s="607"/>
      <c r="AB876" s="607"/>
      <c r="AC876" s="607"/>
      <c r="AD876" s="607"/>
      <c r="AE876" s="607"/>
      <c r="AF876" s="607"/>
      <c r="AG876" s="607"/>
      <c r="AH876" s="607"/>
      <c r="AI876" s="607"/>
      <c r="AJ876" s="607"/>
      <c r="AK876" s="607"/>
      <c r="AL876" s="606"/>
      <c r="AM876" s="606"/>
      <c r="AN876" s="606"/>
      <c r="AO876" s="606"/>
    </row>
    <row r="877" spans="1:41" ht="11.25" hidden="1" customHeight="1">
      <c r="A877" s="608"/>
      <c r="B877" s="607"/>
      <c r="C877" s="607"/>
      <c r="D877" s="607"/>
      <c r="E877" s="607"/>
      <c r="F877" s="607"/>
      <c r="G877" s="606"/>
      <c r="H877" s="606"/>
      <c r="I877" s="606"/>
      <c r="J877" s="606"/>
      <c r="K877" s="606"/>
      <c r="L877" s="606"/>
      <c r="M877" s="606"/>
      <c r="N877" s="606"/>
      <c r="O877" s="606"/>
      <c r="P877" s="606"/>
      <c r="Q877" s="606"/>
      <c r="R877" s="606"/>
      <c r="S877" s="606"/>
      <c r="T877" s="606"/>
      <c r="U877" s="606"/>
      <c r="V877" s="606"/>
      <c r="W877" s="606"/>
      <c r="X877" s="640"/>
      <c r="Y877" s="607"/>
      <c r="Z877" s="607"/>
      <c r="AA877" s="607"/>
      <c r="AB877" s="607"/>
      <c r="AC877" s="607"/>
      <c r="AD877" s="607"/>
      <c r="AE877" s="607"/>
      <c r="AF877" s="607"/>
      <c r="AG877" s="607"/>
      <c r="AH877" s="607"/>
      <c r="AI877" s="607"/>
      <c r="AJ877" s="607"/>
      <c r="AK877" s="607"/>
      <c r="AL877" s="606"/>
      <c r="AM877" s="606"/>
      <c r="AN877" s="606"/>
      <c r="AO877" s="606"/>
    </row>
    <row r="878" spans="1:41" ht="11.25" hidden="1" customHeight="1">
      <c r="A878" s="608"/>
      <c r="B878" s="607"/>
      <c r="C878" s="607"/>
      <c r="D878" s="607"/>
      <c r="E878" s="607"/>
      <c r="F878" s="607"/>
      <c r="G878" s="606"/>
      <c r="H878" s="606"/>
      <c r="I878" s="606"/>
      <c r="J878" s="606"/>
      <c r="K878" s="606"/>
      <c r="L878" s="606"/>
      <c r="M878" s="606"/>
      <c r="N878" s="606"/>
      <c r="O878" s="606"/>
      <c r="P878" s="606"/>
      <c r="Q878" s="606"/>
      <c r="R878" s="606"/>
      <c r="S878" s="606"/>
      <c r="T878" s="606"/>
      <c r="U878" s="606"/>
      <c r="V878" s="606"/>
      <c r="W878" s="606"/>
      <c r="X878" s="640"/>
      <c r="Y878" s="607"/>
      <c r="Z878" s="607"/>
      <c r="AA878" s="607"/>
      <c r="AB878" s="607"/>
      <c r="AC878" s="607"/>
      <c r="AD878" s="607"/>
      <c r="AE878" s="607"/>
      <c r="AF878" s="607"/>
      <c r="AG878" s="607"/>
      <c r="AH878" s="607"/>
      <c r="AI878" s="607"/>
      <c r="AJ878" s="607"/>
      <c r="AK878" s="607"/>
      <c r="AL878" s="606"/>
      <c r="AM878" s="606"/>
      <c r="AN878" s="606"/>
      <c r="AO878" s="606"/>
    </row>
    <row r="879" spans="1:41" ht="11.25" hidden="1" customHeight="1">
      <c r="A879" s="608"/>
      <c r="B879" s="607"/>
      <c r="C879" s="607"/>
      <c r="D879" s="607"/>
      <c r="E879" s="607"/>
      <c r="F879" s="607"/>
      <c r="G879" s="606"/>
      <c r="H879" s="606"/>
      <c r="I879" s="606"/>
      <c r="J879" s="606"/>
      <c r="K879" s="606"/>
      <c r="L879" s="606"/>
      <c r="M879" s="606"/>
      <c r="N879" s="606"/>
      <c r="O879" s="606"/>
      <c r="P879" s="606"/>
      <c r="Q879" s="606"/>
      <c r="R879" s="606"/>
      <c r="S879" s="606"/>
      <c r="T879" s="606"/>
      <c r="U879" s="606"/>
      <c r="V879" s="606"/>
      <c r="W879" s="606"/>
      <c r="X879" s="640"/>
      <c r="Y879" s="607"/>
      <c r="Z879" s="607"/>
      <c r="AA879" s="607"/>
      <c r="AB879" s="607"/>
      <c r="AC879" s="607"/>
      <c r="AD879" s="607"/>
      <c r="AE879" s="607"/>
      <c r="AF879" s="607"/>
      <c r="AG879" s="607"/>
      <c r="AH879" s="607"/>
      <c r="AI879" s="607"/>
      <c r="AJ879" s="607"/>
      <c r="AK879" s="607"/>
      <c r="AL879" s="606"/>
      <c r="AM879" s="606"/>
      <c r="AN879" s="606"/>
      <c r="AO879" s="606"/>
    </row>
    <row r="880" spans="1:41" ht="11.25" hidden="1" customHeight="1">
      <c r="A880" s="608"/>
      <c r="B880" s="607"/>
      <c r="C880" s="607"/>
      <c r="D880" s="607"/>
      <c r="E880" s="607"/>
      <c r="F880" s="607"/>
      <c r="G880" s="606"/>
      <c r="H880" s="606"/>
      <c r="I880" s="606"/>
      <c r="J880" s="606"/>
      <c r="K880" s="606"/>
      <c r="L880" s="606"/>
      <c r="M880" s="606"/>
      <c r="N880" s="606"/>
      <c r="O880" s="606"/>
      <c r="P880" s="606"/>
      <c r="Q880" s="606"/>
      <c r="R880" s="606"/>
      <c r="S880" s="606"/>
      <c r="T880" s="606"/>
      <c r="U880" s="606"/>
      <c r="V880" s="606"/>
      <c r="W880" s="606"/>
      <c r="X880" s="640"/>
      <c r="Y880" s="607"/>
      <c r="Z880" s="607"/>
      <c r="AA880" s="607"/>
      <c r="AB880" s="607"/>
      <c r="AC880" s="607"/>
      <c r="AD880" s="607"/>
      <c r="AE880" s="607"/>
      <c r="AF880" s="607"/>
      <c r="AG880" s="607"/>
      <c r="AH880" s="607"/>
      <c r="AI880" s="607"/>
      <c r="AJ880" s="607"/>
      <c r="AK880" s="607"/>
      <c r="AL880" s="606"/>
      <c r="AM880" s="606"/>
      <c r="AN880" s="606"/>
      <c r="AO880" s="606"/>
    </row>
    <row r="881" spans="1:41" ht="11.25" hidden="1" customHeight="1">
      <c r="A881" s="608"/>
      <c r="B881" s="607"/>
      <c r="C881" s="607"/>
      <c r="D881" s="607"/>
      <c r="E881" s="607"/>
      <c r="F881" s="607"/>
      <c r="G881" s="606"/>
      <c r="H881" s="606"/>
      <c r="I881" s="606"/>
      <c r="J881" s="606"/>
      <c r="K881" s="606"/>
      <c r="L881" s="606"/>
      <c r="M881" s="606"/>
      <c r="N881" s="606"/>
      <c r="O881" s="606"/>
      <c r="P881" s="606"/>
      <c r="Q881" s="606"/>
      <c r="R881" s="606"/>
      <c r="S881" s="606"/>
      <c r="T881" s="606"/>
      <c r="U881" s="606"/>
      <c r="V881" s="606"/>
      <c r="W881" s="606"/>
      <c r="X881" s="640"/>
      <c r="Y881" s="607"/>
      <c r="Z881" s="607"/>
      <c r="AA881" s="607"/>
      <c r="AB881" s="607"/>
      <c r="AC881" s="607"/>
      <c r="AD881" s="607"/>
      <c r="AE881" s="607"/>
      <c r="AF881" s="607"/>
      <c r="AG881" s="607"/>
      <c r="AH881" s="607"/>
      <c r="AI881" s="607"/>
      <c r="AJ881" s="607"/>
      <c r="AK881" s="607"/>
      <c r="AL881" s="606"/>
      <c r="AM881" s="606"/>
      <c r="AN881" s="606"/>
      <c r="AO881" s="606"/>
    </row>
    <row r="882" spans="1:41" ht="11.25" hidden="1" customHeight="1">
      <c r="A882" s="608"/>
      <c r="B882" s="607"/>
      <c r="C882" s="607"/>
      <c r="D882" s="607"/>
      <c r="E882" s="607"/>
      <c r="F882" s="607"/>
      <c r="G882" s="606"/>
      <c r="H882" s="606"/>
      <c r="I882" s="606"/>
      <c r="J882" s="606"/>
      <c r="K882" s="606"/>
      <c r="L882" s="606"/>
      <c r="M882" s="606"/>
      <c r="N882" s="606"/>
      <c r="O882" s="606"/>
      <c r="P882" s="606"/>
      <c r="Q882" s="606"/>
      <c r="R882" s="606"/>
      <c r="S882" s="606"/>
      <c r="T882" s="606"/>
      <c r="U882" s="606"/>
      <c r="V882" s="606"/>
      <c r="W882" s="606"/>
      <c r="X882" s="640"/>
      <c r="Y882" s="607"/>
      <c r="Z882" s="607"/>
      <c r="AA882" s="607"/>
      <c r="AB882" s="607"/>
      <c r="AC882" s="607"/>
      <c r="AD882" s="607"/>
      <c r="AE882" s="607"/>
      <c r="AF882" s="607"/>
      <c r="AG882" s="607"/>
      <c r="AH882" s="607"/>
      <c r="AI882" s="607"/>
      <c r="AJ882" s="607"/>
      <c r="AK882" s="607"/>
      <c r="AL882" s="606"/>
      <c r="AM882" s="606"/>
      <c r="AN882" s="606"/>
      <c r="AO882" s="606"/>
    </row>
    <row r="883" spans="1:41" ht="11.25" hidden="1" customHeight="1">
      <c r="A883" s="608"/>
      <c r="B883" s="607"/>
      <c r="C883" s="607"/>
      <c r="D883" s="607"/>
      <c r="E883" s="607"/>
      <c r="F883" s="607"/>
      <c r="G883" s="606"/>
      <c r="H883" s="606"/>
      <c r="I883" s="606"/>
      <c r="J883" s="606"/>
      <c r="K883" s="606"/>
      <c r="L883" s="606"/>
      <c r="M883" s="606"/>
      <c r="N883" s="606"/>
      <c r="O883" s="606"/>
      <c r="P883" s="606"/>
      <c r="Q883" s="606"/>
      <c r="R883" s="606"/>
      <c r="S883" s="606"/>
      <c r="T883" s="606"/>
      <c r="U883" s="606"/>
      <c r="V883" s="606"/>
      <c r="W883" s="606"/>
      <c r="X883" s="640"/>
      <c r="Y883" s="607"/>
      <c r="Z883" s="607"/>
      <c r="AA883" s="607"/>
      <c r="AB883" s="607"/>
      <c r="AC883" s="607"/>
      <c r="AD883" s="607"/>
      <c r="AE883" s="607"/>
      <c r="AF883" s="607"/>
      <c r="AG883" s="607"/>
      <c r="AH883" s="607"/>
      <c r="AI883" s="607"/>
      <c r="AJ883" s="607"/>
      <c r="AK883" s="607"/>
      <c r="AL883" s="606"/>
      <c r="AM883" s="606"/>
      <c r="AN883" s="606"/>
      <c r="AO883" s="606"/>
    </row>
    <row r="884" spans="1:41" ht="11.25" hidden="1" customHeight="1">
      <c r="A884" s="608"/>
      <c r="B884" s="607"/>
      <c r="C884" s="607"/>
      <c r="D884" s="607"/>
      <c r="E884" s="607"/>
      <c r="F884" s="607"/>
      <c r="G884" s="606"/>
      <c r="H884" s="606"/>
      <c r="I884" s="606"/>
      <c r="J884" s="606"/>
      <c r="K884" s="606"/>
      <c r="L884" s="606"/>
      <c r="M884" s="606"/>
      <c r="N884" s="606"/>
      <c r="O884" s="606"/>
      <c r="P884" s="606"/>
      <c r="Q884" s="606"/>
      <c r="R884" s="606"/>
      <c r="S884" s="606"/>
      <c r="T884" s="606"/>
      <c r="U884" s="606"/>
      <c r="V884" s="606"/>
      <c r="W884" s="606"/>
      <c r="X884" s="640"/>
      <c r="Y884" s="607"/>
      <c r="Z884" s="607"/>
      <c r="AA884" s="607"/>
      <c r="AB884" s="607"/>
      <c r="AC884" s="607"/>
      <c r="AD884" s="607"/>
      <c r="AE884" s="607"/>
      <c r="AF884" s="607"/>
      <c r="AG884" s="607"/>
      <c r="AH884" s="607"/>
      <c r="AI884" s="607"/>
      <c r="AJ884" s="607"/>
      <c r="AK884" s="607"/>
      <c r="AL884" s="606"/>
      <c r="AM884" s="606"/>
      <c r="AN884" s="606"/>
      <c r="AO884" s="606"/>
    </row>
    <row r="885" spans="1:41" ht="11.25" hidden="1" customHeight="1">
      <c r="A885" s="608"/>
      <c r="B885" s="607"/>
      <c r="C885" s="607"/>
      <c r="D885" s="607"/>
      <c r="E885" s="607"/>
      <c r="F885" s="607"/>
      <c r="G885" s="606"/>
      <c r="H885" s="606"/>
      <c r="I885" s="606"/>
      <c r="J885" s="606"/>
      <c r="K885" s="606"/>
      <c r="L885" s="606"/>
      <c r="M885" s="606"/>
      <c r="N885" s="606"/>
      <c r="O885" s="606"/>
      <c r="P885" s="606"/>
      <c r="Q885" s="606"/>
      <c r="R885" s="606"/>
      <c r="S885" s="606"/>
      <c r="T885" s="606"/>
      <c r="U885" s="606"/>
      <c r="V885" s="606"/>
      <c r="W885" s="606"/>
      <c r="X885" s="640"/>
      <c r="Y885" s="607"/>
      <c r="Z885" s="607"/>
      <c r="AA885" s="607"/>
      <c r="AB885" s="607"/>
      <c r="AC885" s="607"/>
      <c r="AD885" s="607"/>
      <c r="AE885" s="607"/>
      <c r="AF885" s="607"/>
      <c r="AG885" s="607"/>
      <c r="AH885" s="607"/>
      <c r="AI885" s="607"/>
      <c r="AJ885" s="607"/>
      <c r="AK885" s="607"/>
      <c r="AL885" s="606"/>
      <c r="AM885" s="606"/>
      <c r="AN885" s="606"/>
      <c r="AO885" s="606"/>
    </row>
    <row r="886" spans="1:41" ht="11.25" hidden="1" customHeight="1">
      <c r="A886" s="608"/>
      <c r="B886" s="607"/>
      <c r="C886" s="607"/>
      <c r="D886" s="607"/>
      <c r="E886" s="607"/>
      <c r="F886" s="607"/>
      <c r="G886" s="606"/>
      <c r="H886" s="606"/>
      <c r="I886" s="606"/>
      <c r="J886" s="606"/>
      <c r="K886" s="606"/>
      <c r="L886" s="606"/>
      <c r="M886" s="606"/>
      <c r="N886" s="606"/>
      <c r="O886" s="606"/>
      <c r="P886" s="606"/>
      <c r="Q886" s="606"/>
      <c r="R886" s="606"/>
      <c r="S886" s="606"/>
      <c r="T886" s="606"/>
      <c r="U886" s="606"/>
      <c r="V886" s="606"/>
      <c r="W886" s="606"/>
      <c r="X886" s="640"/>
      <c r="Y886" s="607"/>
      <c r="Z886" s="607"/>
      <c r="AA886" s="607"/>
      <c r="AB886" s="607"/>
      <c r="AC886" s="607"/>
      <c r="AD886" s="607"/>
      <c r="AE886" s="607"/>
      <c r="AF886" s="607"/>
      <c r="AG886" s="607"/>
      <c r="AH886" s="607"/>
      <c r="AI886" s="607"/>
      <c r="AJ886" s="607"/>
      <c r="AK886" s="607"/>
      <c r="AL886" s="606"/>
      <c r="AM886" s="606"/>
      <c r="AN886" s="606"/>
      <c r="AO886" s="606"/>
    </row>
    <row r="887" spans="1:41" ht="11.25" hidden="1" customHeight="1">
      <c r="A887" s="608"/>
      <c r="B887" s="607"/>
      <c r="C887" s="607"/>
      <c r="D887" s="607"/>
      <c r="E887" s="607"/>
      <c r="F887" s="607"/>
      <c r="G887" s="606"/>
      <c r="H887" s="606"/>
      <c r="I887" s="606"/>
      <c r="J887" s="606"/>
      <c r="K887" s="606"/>
      <c r="L887" s="606"/>
      <c r="M887" s="606"/>
      <c r="N887" s="606"/>
      <c r="O887" s="606"/>
      <c r="P887" s="606"/>
      <c r="Q887" s="606"/>
      <c r="R887" s="606"/>
      <c r="S887" s="606"/>
      <c r="T887" s="606"/>
      <c r="U887" s="606"/>
      <c r="V887" s="606"/>
      <c r="W887" s="606"/>
      <c r="X887" s="640"/>
      <c r="Y887" s="607"/>
      <c r="Z887" s="607"/>
      <c r="AA887" s="607"/>
      <c r="AB887" s="607"/>
      <c r="AC887" s="607"/>
      <c r="AD887" s="607"/>
      <c r="AE887" s="607"/>
      <c r="AF887" s="607"/>
      <c r="AG887" s="607"/>
      <c r="AH887" s="607"/>
      <c r="AI887" s="607"/>
      <c r="AJ887" s="607"/>
      <c r="AK887" s="607"/>
      <c r="AL887" s="606"/>
      <c r="AM887" s="606"/>
      <c r="AN887" s="606"/>
      <c r="AO887" s="606"/>
    </row>
    <row r="888" spans="1:41" ht="11.25" hidden="1" customHeight="1">
      <c r="A888" s="608"/>
      <c r="B888" s="607"/>
      <c r="C888" s="607"/>
      <c r="D888" s="607"/>
      <c r="E888" s="607"/>
      <c r="F888" s="607"/>
      <c r="G888" s="606"/>
      <c r="H888" s="606"/>
      <c r="I888" s="606"/>
      <c r="J888" s="606"/>
      <c r="K888" s="606"/>
      <c r="L888" s="606"/>
      <c r="M888" s="606"/>
      <c r="N888" s="606"/>
      <c r="O888" s="606"/>
      <c r="P888" s="606"/>
      <c r="Q888" s="606"/>
      <c r="R888" s="606"/>
      <c r="S888" s="606"/>
      <c r="T888" s="606"/>
      <c r="U888" s="606"/>
      <c r="V888" s="606"/>
      <c r="W888" s="606"/>
      <c r="X888" s="640"/>
      <c r="Y888" s="607"/>
      <c r="Z888" s="607"/>
      <c r="AA888" s="607"/>
      <c r="AB888" s="607"/>
      <c r="AC888" s="607"/>
      <c r="AD888" s="607"/>
      <c r="AE888" s="607"/>
      <c r="AF888" s="607"/>
      <c r="AG888" s="607"/>
      <c r="AH888" s="607"/>
      <c r="AI888" s="607"/>
      <c r="AJ888" s="607"/>
      <c r="AK888" s="607"/>
      <c r="AL888" s="606"/>
      <c r="AM888" s="606"/>
      <c r="AN888" s="606"/>
      <c r="AO888" s="606"/>
    </row>
    <row r="889" spans="1:41" ht="11.25" hidden="1" customHeight="1">
      <c r="A889" s="608"/>
      <c r="B889" s="607"/>
      <c r="C889" s="607"/>
      <c r="D889" s="607"/>
      <c r="E889" s="607"/>
      <c r="F889" s="607"/>
      <c r="G889" s="606"/>
      <c r="H889" s="606"/>
      <c r="I889" s="606"/>
      <c r="J889" s="606"/>
      <c r="K889" s="606"/>
      <c r="L889" s="606"/>
      <c r="M889" s="606"/>
      <c r="N889" s="606"/>
      <c r="O889" s="606"/>
      <c r="P889" s="606"/>
      <c r="Q889" s="606"/>
      <c r="R889" s="606"/>
      <c r="S889" s="606"/>
      <c r="T889" s="606"/>
      <c r="U889" s="606"/>
      <c r="V889" s="606"/>
      <c r="W889" s="606"/>
      <c r="X889" s="640"/>
      <c r="Y889" s="607"/>
      <c r="Z889" s="607"/>
      <c r="AA889" s="607"/>
      <c r="AB889" s="607"/>
      <c r="AC889" s="607"/>
      <c r="AD889" s="607"/>
      <c r="AE889" s="607"/>
      <c r="AF889" s="607"/>
      <c r="AG889" s="607"/>
      <c r="AH889" s="607"/>
      <c r="AI889" s="607"/>
      <c r="AJ889" s="607"/>
      <c r="AK889" s="607"/>
      <c r="AL889" s="606"/>
      <c r="AM889" s="606"/>
      <c r="AN889" s="606"/>
      <c r="AO889" s="606"/>
    </row>
    <row r="890" spans="1:41" ht="11.25" hidden="1" customHeight="1">
      <c r="A890" s="608"/>
      <c r="B890" s="607"/>
      <c r="C890" s="607"/>
      <c r="D890" s="607"/>
      <c r="E890" s="607"/>
      <c r="F890" s="607"/>
      <c r="G890" s="606"/>
      <c r="H890" s="606"/>
      <c r="I890" s="606"/>
      <c r="J890" s="606"/>
      <c r="K890" s="606"/>
      <c r="L890" s="606"/>
      <c r="M890" s="606"/>
      <c r="N890" s="606"/>
      <c r="O890" s="606"/>
      <c r="P890" s="606"/>
      <c r="Q890" s="606"/>
      <c r="R890" s="606"/>
      <c r="S890" s="606"/>
      <c r="T890" s="606"/>
      <c r="U890" s="606"/>
      <c r="V890" s="606"/>
      <c r="W890" s="606"/>
      <c r="X890" s="640"/>
      <c r="Y890" s="607"/>
      <c r="Z890" s="607"/>
      <c r="AA890" s="607"/>
      <c r="AB890" s="607"/>
      <c r="AC890" s="607"/>
      <c r="AD890" s="607"/>
      <c r="AE890" s="607"/>
      <c r="AF890" s="607"/>
      <c r="AG890" s="607"/>
      <c r="AH890" s="607"/>
      <c r="AI890" s="607"/>
      <c r="AJ890" s="607"/>
      <c r="AK890" s="607"/>
      <c r="AL890" s="606"/>
      <c r="AM890" s="606"/>
      <c r="AN890" s="606"/>
      <c r="AO890" s="606"/>
    </row>
    <row r="891" spans="1:41" ht="11.25" hidden="1" customHeight="1">
      <c r="A891" s="608"/>
      <c r="B891" s="607"/>
      <c r="C891" s="607"/>
      <c r="D891" s="607"/>
      <c r="E891" s="607"/>
      <c r="F891" s="607"/>
      <c r="G891" s="606"/>
      <c r="H891" s="606"/>
      <c r="I891" s="606"/>
      <c r="J891" s="606"/>
      <c r="K891" s="606"/>
      <c r="L891" s="606"/>
      <c r="M891" s="606"/>
      <c r="N891" s="606"/>
      <c r="O891" s="606"/>
      <c r="P891" s="606"/>
      <c r="Q891" s="606"/>
      <c r="R891" s="606"/>
      <c r="S891" s="606"/>
      <c r="T891" s="606"/>
      <c r="U891" s="606"/>
      <c r="V891" s="606"/>
      <c r="W891" s="606"/>
      <c r="X891" s="640"/>
      <c r="Y891" s="607"/>
      <c r="Z891" s="607"/>
      <c r="AA891" s="607"/>
      <c r="AB891" s="607"/>
      <c r="AC891" s="607"/>
      <c r="AD891" s="607"/>
      <c r="AE891" s="607"/>
      <c r="AF891" s="607"/>
      <c r="AG891" s="607"/>
      <c r="AH891" s="607"/>
      <c r="AI891" s="607"/>
      <c r="AJ891" s="607"/>
      <c r="AK891" s="607"/>
      <c r="AL891" s="606"/>
      <c r="AM891" s="606"/>
      <c r="AN891" s="606"/>
      <c r="AO891" s="606"/>
    </row>
    <row r="892" spans="1:41" ht="11.25" hidden="1" customHeight="1">
      <c r="A892" s="608"/>
      <c r="B892" s="607"/>
      <c r="C892" s="607"/>
      <c r="D892" s="607"/>
      <c r="E892" s="607"/>
      <c r="F892" s="607"/>
      <c r="G892" s="606"/>
      <c r="H892" s="606"/>
      <c r="I892" s="606"/>
      <c r="J892" s="606"/>
      <c r="K892" s="606"/>
      <c r="L892" s="606"/>
      <c r="M892" s="606"/>
      <c r="N892" s="606"/>
      <c r="O892" s="606"/>
      <c r="P892" s="606"/>
      <c r="Q892" s="606"/>
      <c r="R892" s="606"/>
      <c r="S892" s="606"/>
      <c r="T892" s="606"/>
      <c r="U892" s="606"/>
      <c r="V892" s="606"/>
      <c r="W892" s="606"/>
      <c r="X892" s="640"/>
      <c r="Y892" s="607"/>
      <c r="Z892" s="607"/>
      <c r="AA892" s="607"/>
      <c r="AB892" s="607"/>
      <c r="AC892" s="607"/>
      <c r="AD892" s="607"/>
      <c r="AE892" s="607"/>
      <c r="AF892" s="607"/>
      <c r="AG892" s="607"/>
      <c r="AH892" s="607"/>
      <c r="AI892" s="607"/>
      <c r="AJ892" s="607"/>
      <c r="AK892" s="607"/>
      <c r="AL892" s="606"/>
      <c r="AM892" s="606"/>
      <c r="AN892" s="606"/>
      <c r="AO892" s="606"/>
    </row>
    <row r="893" spans="1:41" ht="11.25" hidden="1" customHeight="1">
      <c r="A893" s="608"/>
      <c r="B893" s="607"/>
      <c r="C893" s="607"/>
      <c r="D893" s="607"/>
      <c r="E893" s="607"/>
      <c r="F893" s="607"/>
      <c r="G893" s="606"/>
      <c r="H893" s="606"/>
      <c r="I893" s="606"/>
      <c r="J893" s="606"/>
      <c r="K893" s="606"/>
      <c r="L893" s="606"/>
      <c r="M893" s="606"/>
      <c r="N893" s="606"/>
      <c r="O893" s="606"/>
      <c r="P893" s="606"/>
      <c r="Q893" s="606"/>
      <c r="R893" s="606"/>
      <c r="S893" s="606"/>
      <c r="T893" s="606"/>
      <c r="U893" s="606"/>
      <c r="V893" s="606"/>
      <c r="W893" s="606"/>
      <c r="X893" s="640"/>
      <c r="Y893" s="607"/>
      <c r="Z893" s="607"/>
      <c r="AA893" s="607"/>
      <c r="AB893" s="607"/>
      <c r="AC893" s="607"/>
      <c r="AD893" s="607"/>
      <c r="AE893" s="607"/>
      <c r="AF893" s="607"/>
      <c r="AG893" s="607"/>
      <c r="AH893" s="607"/>
      <c r="AI893" s="607"/>
      <c r="AJ893" s="607"/>
      <c r="AK893" s="607"/>
      <c r="AL893" s="606"/>
      <c r="AM893" s="606"/>
      <c r="AN893" s="606"/>
      <c r="AO893" s="606"/>
    </row>
    <row r="894" spans="1:41" ht="11.25" hidden="1" customHeight="1">
      <c r="A894" s="608"/>
      <c r="B894" s="607"/>
      <c r="C894" s="607"/>
      <c r="D894" s="607"/>
      <c r="E894" s="607"/>
      <c r="F894" s="607"/>
      <c r="G894" s="606"/>
      <c r="H894" s="606"/>
      <c r="I894" s="606"/>
      <c r="J894" s="606"/>
      <c r="K894" s="606"/>
      <c r="L894" s="606"/>
      <c r="M894" s="606"/>
      <c r="N894" s="606"/>
      <c r="O894" s="606"/>
      <c r="P894" s="606"/>
      <c r="Q894" s="606"/>
      <c r="R894" s="606"/>
      <c r="S894" s="606"/>
      <c r="T894" s="606"/>
      <c r="U894" s="606"/>
      <c r="V894" s="606"/>
      <c r="W894" s="606"/>
      <c r="X894" s="640"/>
      <c r="Y894" s="607"/>
      <c r="Z894" s="607"/>
      <c r="AA894" s="607"/>
      <c r="AB894" s="607"/>
      <c r="AC894" s="607"/>
      <c r="AD894" s="607"/>
      <c r="AE894" s="607"/>
      <c r="AF894" s="607"/>
      <c r="AG894" s="607"/>
      <c r="AH894" s="607"/>
      <c r="AI894" s="607"/>
      <c r="AJ894" s="607"/>
      <c r="AK894" s="607"/>
      <c r="AL894" s="606"/>
      <c r="AM894" s="606"/>
      <c r="AN894" s="606"/>
      <c r="AO894" s="606"/>
    </row>
    <row r="895" spans="1:41" ht="11.25" hidden="1" customHeight="1">
      <c r="A895" s="608"/>
      <c r="B895" s="607"/>
      <c r="C895" s="607"/>
      <c r="D895" s="607"/>
      <c r="E895" s="607"/>
      <c r="F895" s="607"/>
      <c r="G895" s="606"/>
      <c r="H895" s="606"/>
      <c r="I895" s="606"/>
      <c r="J895" s="606"/>
      <c r="K895" s="606"/>
      <c r="L895" s="606"/>
      <c r="M895" s="606"/>
      <c r="N895" s="606"/>
      <c r="O895" s="606"/>
      <c r="P895" s="606"/>
      <c r="Q895" s="606"/>
      <c r="R895" s="606"/>
      <c r="S895" s="606"/>
      <c r="T895" s="606"/>
      <c r="U895" s="606"/>
      <c r="V895" s="606"/>
      <c r="W895" s="606"/>
      <c r="X895" s="640"/>
      <c r="Y895" s="607"/>
      <c r="Z895" s="607"/>
      <c r="AA895" s="607"/>
      <c r="AB895" s="607"/>
      <c r="AC895" s="607"/>
      <c r="AD895" s="607"/>
      <c r="AE895" s="607"/>
      <c r="AF895" s="607"/>
      <c r="AG895" s="607"/>
      <c r="AH895" s="607"/>
      <c r="AI895" s="607"/>
      <c r="AJ895" s="607"/>
      <c r="AK895" s="607"/>
      <c r="AL895" s="606"/>
      <c r="AM895" s="606"/>
      <c r="AN895" s="606"/>
      <c r="AO895" s="606"/>
    </row>
    <row r="896" spans="1:41" ht="11.25" hidden="1" customHeight="1">
      <c r="A896" s="608"/>
      <c r="B896" s="607"/>
      <c r="C896" s="607"/>
      <c r="D896" s="607"/>
      <c r="E896" s="607"/>
      <c r="F896" s="607"/>
      <c r="G896" s="606"/>
      <c r="H896" s="606"/>
      <c r="I896" s="606"/>
      <c r="J896" s="606"/>
      <c r="K896" s="606"/>
      <c r="L896" s="606"/>
      <c r="M896" s="606"/>
      <c r="N896" s="606"/>
      <c r="O896" s="606"/>
      <c r="P896" s="606"/>
      <c r="Q896" s="606"/>
      <c r="R896" s="606"/>
      <c r="S896" s="606"/>
      <c r="T896" s="606"/>
      <c r="U896" s="606"/>
      <c r="V896" s="606"/>
      <c r="W896" s="606"/>
      <c r="X896" s="640"/>
      <c r="Y896" s="607"/>
      <c r="Z896" s="607"/>
      <c r="AA896" s="607"/>
      <c r="AB896" s="607"/>
      <c r="AC896" s="607"/>
      <c r="AD896" s="607"/>
      <c r="AE896" s="607"/>
      <c r="AF896" s="607"/>
      <c r="AG896" s="607"/>
      <c r="AH896" s="607"/>
      <c r="AI896" s="607"/>
      <c r="AJ896" s="607"/>
      <c r="AK896" s="607"/>
      <c r="AL896" s="606"/>
      <c r="AM896" s="606"/>
      <c r="AN896" s="606"/>
      <c r="AO896" s="606"/>
    </row>
    <row r="897" spans="1:41" ht="11.25" hidden="1" customHeight="1">
      <c r="A897" s="608"/>
      <c r="B897" s="607"/>
      <c r="C897" s="607"/>
      <c r="D897" s="607"/>
      <c r="E897" s="607"/>
      <c r="F897" s="607"/>
      <c r="G897" s="606"/>
      <c r="H897" s="606"/>
      <c r="I897" s="606"/>
      <c r="J897" s="606"/>
      <c r="K897" s="606"/>
      <c r="L897" s="606"/>
      <c r="M897" s="606"/>
      <c r="N897" s="606"/>
      <c r="O897" s="606"/>
      <c r="P897" s="606"/>
      <c r="Q897" s="606"/>
      <c r="R897" s="606"/>
      <c r="S897" s="606"/>
      <c r="T897" s="606"/>
      <c r="U897" s="606"/>
      <c r="V897" s="606"/>
      <c r="W897" s="606"/>
      <c r="X897" s="640"/>
      <c r="Y897" s="607"/>
      <c r="Z897" s="607"/>
      <c r="AA897" s="607"/>
      <c r="AB897" s="607"/>
      <c r="AC897" s="607"/>
      <c r="AD897" s="607"/>
      <c r="AE897" s="607"/>
      <c r="AF897" s="607"/>
      <c r="AG897" s="607"/>
      <c r="AH897" s="607"/>
      <c r="AI897" s="607"/>
      <c r="AJ897" s="607"/>
      <c r="AK897" s="607"/>
      <c r="AL897" s="606"/>
      <c r="AM897" s="606"/>
      <c r="AN897" s="606"/>
      <c r="AO897" s="606"/>
    </row>
    <row r="898" spans="1:41" ht="11.25" hidden="1" customHeight="1">
      <c r="A898" s="608"/>
      <c r="B898" s="607"/>
      <c r="C898" s="607"/>
      <c r="D898" s="607"/>
      <c r="E898" s="607"/>
      <c r="F898" s="607"/>
      <c r="G898" s="606"/>
      <c r="H898" s="606"/>
      <c r="I898" s="606"/>
      <c r="J898" s="606"/>
      <c r="K898" s="606"/>
      <c r="L898" s="606"/>
      <c r="M898" s="606"/>
      <c r="N898" s="606"/>
      <c r="O898" s="606"/>
      <c r="P898" s="606"/>
      <c r="Q898" s="606"/>
      <c r="R898" s="606"/>
      <c r="S898" s="606"/>
      <c r="T898" s="606"/>
      <c r="U898" s="606"/>
      <c r="V898" s="606"/>
      <c r="W898" s="606"/>
      <c r="X898" s="640"/>
      <c r="Y898" s="607"/>
      <c r="Z898" s="607"/>
      <c r="AA898" s="607"/>
      <c r="AB898" s="607"/>
      <c r="AC898" s="607"/>
      <c r="AD898" s="607"/>
      <c r="AE898" s="607"/>
      <c r="AF898" s="607"/>
      <c r="AG898" s="607"/>
      <c r="AH898" s="607"/>
      <c r="AI898" s="607"/>
      <c r="AJ898" s="607"/>
      <c r="AK898" s="607"/>
      <c r="AL898" s="606"/>
      <c r="AM898" s="606"/>
      <c r="AN898" s="606"/>
      <c r="AO898" s="606"/>
    </row>
    <row r="899" spans="1:41" ht="11.25" hidden="1" customHeight="1">
      <c r="A899" s="608"/>
      <c r="B899" s="607"/>
      <c r="C899" s="607"/>
      <c r="D899" s="607"/>
      <c r="E899" s="607"/>
      <c r="F899" s="607"/>
      <c r="G899" s="606"/>
      <c r="H899" s="606"/>
      <c r="I899" s="606"/>
      <c r="J899" s="606"/>
      <c r="K899" s="606"/>
      <c r="L899" s="606"/>
      <c r="M899" s="606"/>
      <c r="N899" s="606"/>
      <c r="O899" s="606"/>
      <c r="P899" s="606"/>
      <c r="Q899" s="606"/>
      <c r="R899" s="606"/>
      <c r="S899" s="606"/>
      <c r="T899" s="606"/>
      <c r="U899" s="606"/>
      <c r="V899" s="606"/>
      <c r="W899" s="606"/>
      <c r="X899" s="640"/>
      <c r="Y899" s="607"/>
      <c r="Z899" s="607"/>
      <c r="AA899" s="607"/>
      <c r="AB899" s="607"/>
      <c r="AC899" s="607"/>
      <c r="AD899" s="607"/>
      <c r="AE899" s="607"/>
      <c r="AF899" s="607"/>
      <c r="AG899" s="607"/>
      <c r="AH899" s="607"/>
      <c r="AI899" s="607"/>
      <c r="AJ899" s="607"/>
      <c r="AK899" s="607"/>
      <c r="AL899" s="606"/>
      <c r="AM899" s="606"/>
      <c r="AN899" s="606"/>
      <c r="AO899" s="606"/>
    </row>
    <row r="900" spans="1:41" ht="11.25" hidden="1" customHeight="1">
      <c r="A900" s="608"/>
      <c r="B900" s="607"/>
      <c r="C900" s="607"/>
      <c r="D900" s="607"/>
      <c r="E900" s="607"/>
      <c r="F900" s="607"/>
      <c r="G900" s="606"/>
      <c r="H900" s="606"/>
      <c r="I900" s="606"/>
      <c r="J900" s="606"/>
      <c r="K900" s="606"/>
      <c r="L900" s="606"/>
      <c r="M900" s="606"/>
      <c r="N900" s="606"/>
      <c r="O900" s="606"/>
      <c r="P900" s="606"/>
      <c r="Q900" s="606"/>
      <c r="R900" s="606"/>
      <c r="S900" s="606"/>
      <c r="T900" s="606"/>
      <c r="U900" s="606"/>
      <c r="V900" s="606"/>
      <c r="W900" s="606"/>
      <c r="X900" s="640"/>
      <c r="Y900" s="607"/>
      <c r="Z900" s="607"/>
      <c r="AA900" s="607"/>
      <c r="AB900" s="607"/>
      <c r="AC900" s="607"/>
      <c r="AD900" s="607"/>
      <c r="AE900" s="607"/>
      <c r="AF900" s="607"/>
      <c r="AG900" s="607"/>
      <c r="AH900" s="607"/>
      <c r="AI900" s="607"/>
      <c r="AJ900" s="607"/>
      <c r="AK900" s="607"/>
      <c r="AL900" s="606"/>
      <c r="AM900" s="606"/>
      <c r="AN900" s="606"/>
      <c r="AO900" s="606"/>
    </row>
    <row r="901" spans="1:41" ht="11.25" hidden="1" customHeight="1">
      <c r="A901" s="608"/>
      <c r="B901" s="607"/>
      <c r="C901" s="607"/>
      <c r="D901" s="607"/>
      <c r="E901" s="607"/>
      <c r="F901" s="607"/>
      <c r="G901" s="606"/>
      <c r="H901" s="606"/>
      <c r="I901" s="606"/>
      <c r="J901" s="606"/>
      <c r="K901" s="606"/>
      <c r="L901" s="606"/>
      <c r="M901" s="606"/>
      <c r="N901" s="606"/>
      <c r="O901" s="606"/>
      <c r="P901" s="606"/>
      <c r="Q901" s="606"/>
      <c r="R901" s="606"/>
      <c r="S901" s="606"/>
      <c r="T901" s="606"/>
      <c r="U901" s="606"/>
      <c r="V901" s="606"/>
      <c r="W901" s="606"/>
      <c r="X901" s="640"/>
      <c r="Y901" s="607"/>
      <c r="Z901" s="607"/>
      <c r="AA901" s="607"/>
      <c r="AB901" s="607"/>
      <c r="AC901" s="607"/>
      <c r="AD901" s="607"/>
      <c r="AE901" s="607"/>
      <c r="AF901" s="607"/>
      <c r="AG901" s="607"/>
      <c r="AH901" s="607"/>
      <c r="AI901" s="607"/>
      <c r="AJ901" s="607"/>
      <c r="AK901" s="607"/>
      <c r="AL901" s="606"/>
      <c r="AM901" s="606"/>
      <c r="AN901" s="606"/>
      <c r="AO901" s="606"/>
    </row>
    <row r="902" spans="1:41" ht="11.25" hidden="1" customHeight="1">
      <c r="A902" s="608"/>
      <c r="B902" s="607"/>
      <c r="C902" s="607"/>
      <c r="D902" s="607"/>
      <c r="E902" s="607"/>
      <c r="F902" s="607"/>
      <c r="G902" s="606"/>
      <c r="H902" s="606"/>
      <c r="I902" s="606"/>
      <c r="J902" s="606"/>
      <c r="K902" s="606"/>
      <c r="L902" s="606"/>
      <c r="M902" s="606"/>
      <c r="N902" s="606"/>
      <c r="O902" s="606"/>
      <c r="P902" s="606"/>
      <c r="Q902" s="606"/>
      <c r="R902" s="606"/>
      <c r="S902" s="606"/>
      <c r="T902" s="606"/>
      <c r="U902" s="606"/>
      <c r="V902" s="606"/>
      <c r="W902" s="606"/>
      <c r="X902" s="640"/>
      <c r="Y902" s="607"/>
      <c r="Z902" s="607"/>
      <c r="AA902" s="607"/>
      <c r="AB902" s="607"/>
      <c r="AC902" s="607"/>
      <c r="AD902" s="607"/>
      <c r="AE902" s="607"/>
      <c r="AF902" s="607"/>
      <c r="AG902" s="607"/>
      <c r="AH902" s="607"/>
      <c r="AI902" s="607"/>
      <c r="AJ902" s="607"/>
      <c r="AK902" s="607"/>
      <c r="AL902" s="606"/>
      <c r="AM902" s="606"/>
      <c r="AN902" s="606"/>
      <c r="AO902" s="606"/>
    </row>
    <row r="903" spans="1:41" ht="11.25" hidden="1" customHeight="1">
      <c r="A903" s="608"/>
      <c r="B903" s="607"/>
      <c r="C903" s="607"/>
      <c r="D903" s="607"/>
      <c r="E903" s="607"/>
      <c r="F903" s="607"/>
      <c r="G903" s="606"/>
      <c r="H903" s="606"/>
      <c r="I903" s="606"/>
      <c r="J903" s="606"/>
      <c r="K903" s="606"/>
      <c r="L903" s="606"/>
      <c r="M903" s="606"/>
      <c r="N903" s="606"/>
      <c r="O903" s="606"/>
      <c r="P903" s="606"/>
      <c r="Q903" s="606"/>
      <c r="R903" s="606"/>
      <c r="S903" s="606"/>
      <c r="T903" s="606"/>
      <c r="U903" s="606"/>
      <c r="V903" s="606"/>
      <c r="W903" s="606"/>
      <c r="X903" s="640"/>
      <c r="Y903" s="607"/>
      <c r="Z903" s="607"/>
      <c r="AA903" s="607"/>
      <c r="AB903" s="607"/>
      <c r="AC903" s="607"/>
      <c r="AD903" s="607"/>
      <c r="AE903" s="607"/>
      <c r="AF903" s="607"/>
      <c r="AG903" s="607"/>
      <c r="AH903" s="607"/>
      <c r="AI903" s="607"/>
      <c r="AJ903" s="607"/>
      <c r="AK903" s="607"/>
      <c r="AL903" s="606"/>
      <c r="AM903" s="606"/>
      <c r="AN903" s="606"/>
      <c r="AO903" s="606"/>
    </row>
    <row r="904" spans="1:41" ht="11.25" hidden="1" customHeight="1">
      <c r="A904" s="608"/>
      <c r="B904" s="607"/>
      <c r="C904" s="607"/>
      <c r="D904" s="607"/>
      <c r="E904" s="607"/>
      <c r="F904" s="607"/>
      <c r="G904" s="606"/>
      <c r="H904" s="606"/>
      <c r="I904" s="606"/>
      <c r="J904" s="606"/>
      <c r="K904" s="606"/>
      <c r="L904" s="606"/>
      <c r="M904" s="606"/>
      <c r="N904" s="606"/>
      <c r="O904" s="606"/>
      <c r="P904" s="606"/>
      <c r="Q904" s="606"/>
      <c r="R904" s="606"/>
      <c r="S904" s="606"/>
      <c r="T904" s="606"/>
      <c r="U904" s="606"/>
      <c r="V904" s="606"/>
      <c r="W904" s="606"/>
      <c r="X904" s="640"/>
      <c r="Y904" s="607"/>
      <c r="Z904" s="607"/>
      <c r="AA904" s="607"/>
      <c r="AB904" s="607"/>
      <c r="AC904" s="607"/>
      <c r="AD904" s="607"/>
      <c r="AE904" s="607"/>
      <c r="AF904" s="607"/>
      <c r="AG904" s="607"/>
      <c r="AH904" s="607"/>
      <c r="AI904" s="607"/>
      <c r="AJ904" s="607"/>
      <c r="AK904" s="607"/>
      <c r="AL904" s="606"/>
      <c r="AM904" s="606"/>
      <c r="AN904" s="606"/>
      <c r="AO904" s="606"/>
    </row>
    <row r="905" spans="1:41" ht="11.25" hidden="1" customHeight="1">
      <c r="A905" s="608"/>
      <c r="B905" s="607"/>
      <c r="C905" s="607"/>
      <c r="D905" s="607"/>
      <c r="E905" s="607"/>
      <c r="F905" s="607"/>
      <c r="G905" s="606"/>
      <c r="H905" s="606"/>
      <c r="I905" s="606"/>
      <c r="J905" s="606"/>
      <c r="K905" s="606"/>
      <c r="L905" s="606"/>
      <c r="M905" s="606"/>
      <c r="N905" s="606"/>
      <c r="O905" s="606"/>
      <c r="P905" s="606"/>
      <c r="Q905" s="606"/>
      <c r="R905" s="606"/>
      <c r="S905" s="606"/>
      <c r="T905" s="606"/>
      <c r="U905" s="606"/>
      <c r="V905" s="606"/>
      <c r="W905" s="606"/>
      <c r="X905" s="640"/>
      <c r="Y905" s="607"/>
      <c r="Z905" s="607"/>
      <c r="AA905" s="607"/>
      <c r="AB905" s="607"/>
      <c r="AC905" s="607"/>
      <c r="AD905" s="607"/>
      <c r="AE905" s="607"/>
      <c r="AF905" s="607"/>
      <c r="AG905" s="607"/>
      <c r="AH905" s="607"/>
      <c r="AI905" s="607"/>
      <c r="AJ905" s="607"/>
      <c r="AK905" s="607"/>
      <c r="AL905" s="606"/>
      <c r="AM905" s="606"/>
      <c r="AN905" s="606"/>
      <c r="AO905" s="606"/>
    </row>
    <row r="906" spans="1:41" ht="11.25" hidden="1" customHeight="1">
      <c r="A906" s="608"/>
      <c r="B906" s="607"/>
      <c r="C906" s="607"/>
      <c r="D906" s="607"/>
      <c r="E906" s="607"/>
      <c r="F906" s="607"/>
      <c r="G906" s="606"/>
      <c r="H906" s="606"/>
      <c r="I906" s="606"/>
      <c r="J906" s="606"/>
      <c r="K906" s="606"/>
      <c r="L906" s="606"/>
      <c r="M906" s="606"/>
      <c r="N906" s="606"/>
      <c r="O906" s="606"/>
      <c r="P906" s="606"/>
      <c r="Q906" s="606"/>
      <c r="R906" s="606"/>
      <c r="S906" s="606"/>
      <c r="T906" s="606"/>
      <c r="U906" s="606"/>
      <c r="V906" s="606"/>
      <c r="W906" s="606"/>
      <c r="X906" s="640"/>
      <c r="Y906" s="607"/>
      <c r="Z906" s="607"/>
      <c r="AA906" s="607"/>
      <c r="AB906" s="607"/>
      <c r="AC906" s="607"/>
      <c r="AD906" s="607"/>
      <c r="AE906" s="607"/>
      <c r="AF906" s="607"/>
      <c r="AG906" s="607"/>
      <c r="AH906" s="607"/>
      <c r="AI906" s="607"/>
      <c r="AJ906" s="607"/>
      <c r="AK906" s="607"/>
      <c r="AL906" s="606"/>
      <c r="AM906" s="606"/>
      <c r="AN906" s="606"/>
      <c r="AO906" s="606"/>
    </row>
    <row r="907" spans="1:41" ht="11.25" hidden="1" customHeight="1">
      <c r="A907" s="608"/>
      <c r="B907" s="607"/>
      <c r="C907" s="607"/>
      <c r="D907" s="607"/>
      <c r="E907" s="607"/>
      <c r="F907" s="607"/>
      <c r="G907" s="606"/>
      <c r="H907" s="606"/>
      <c r="I907" s="606"/>
      <c r="J907" s="606"/>
      <c r="K907" s="606"/>
      <c r="L907" s="606"/>
      <c r="M907" s="606"/>
      <c r="N907" s="606"/>
      <c r="O907" s="606"/>
      <c r="P907" s="606"/>
      <c r="Q907" s="606"/>
      <c r="R907" s="606"/>
      <c r="S907" s="606"/>
      <c r="T907" s="606"/>
      <c r="U907" s="606"/>
      <c r="V907" s="606"/>
      <c r="W907" s="606"/>
      <c r="X907" s="640"/>
      <c r="Y907" s="607"/>
      <c r="Z907" s="607"/>
      <c r="AA907" s="607"/>
      <c r="AB907" s="607"/>
      <c r="AC907" s="607"/>
      <c r="AD907" s="607"/>
      <c r="AE907" s="607"/>
      <c r="AF907" s="607"/>
      <c r="AG907" s="607"/>
      <c r="AH907" s="607"/>
      <c r="AI907" s="607"/>
      <c r="AJ907" s="607"/>
      <c r="AK907" s="607"/>
      <c r="AL907" s="606"/>
      <c r="AM907" s="606"/>
      <c r="AN907" s="606"/>
      <c r="AO907" s="606"/>
    </row>
    <row r="908" spans="1:41" ht="11.25" hidden="1" customHeight="1">
      <c r="A908" s="608"/>
      <c r="B908" s="607"/>
      <c r="C908" s="607"/>
      <c r="D908" s="607"/>
      <c r="E908" s="607"/>
      <c r="F908" s="607"/>
      <c r="G908" s="606"/>
      <c r="H908" s="606"/>
      <c r="I908" s="606"/>
      <c r="J908" s="606"/>
      <c r="K908" s="606"/>
      <c r="L908" s="606"/>
      <c r="M908" s="606"/>
      <c r="N908" s="606"/>
      <c r="O908" s="606"/>
      <c r="P908" s="606"/>
      <c r="Q908" s="606"/>
      <c r="R908" s="606"/>
      <c r="S908" s="606"/>
      <c r="T908" s="606"/>
      <c r="U908" s="606"/>
      <c r="V908" s="606"/>
      <c r="W908" s="606"/>
      <c r="X908" s="640"/>
      <c r="Y908" s="607"/>
      <c r="Z908" s="607"/>
      <c r="AA908" s="607"/>
      <c r="AB908" s="607"/>
      <c r="AC908" s="607"/>
      <c r="AD908" s="607"/>
      <c r="AE908" s="607"/>
      <c r="AF908" s="607"/>
      <c r="AG908" s="607"/>
      <c r="AH908" s="607"/>
      <c r="AI908" s="607"/>
      <c r="AJ908" s="607"/>
      <c r="AK908" s="607"/>
      <c r="AL908" s="606"/>
      <c r="AM908" s="606"/>
      <c r="AN908" s="606"/>
      <c r="AO908" s="606"/>
    </row>
    <row r="909" spans="1:41" ht="11.25" hidden="1" customHeight="1">
      <c r="A909" s="608"/>
      <c r="B909" s="607"/>
      <c r="C909" s="607"/>
      <c r="D909" s="607"/>
      <c r="E909" s="607"/>
      <c r="F909" s="607"/>
      <c r="G909" s="606"/>
      <c r="H909" s="606"/>
      <c r="I909" s="606"/>
      <c r="J909" s="606"/>
      <c r="K909" s="606"/>
      <c r="L909" s="606"/>
      <c r="M909" s="606"/>
      <c r="N909" s="606"/>
      <c r="O909" s="606"/>
      <c r="P909" s="606"/>
      <c r="Q909" s="606"/>
      <c r="R909" s="606"/>
      <c r="S909" s="606"/>
      <c r="T909" s="606"/>
      <c r="U909" s="606"/>
      <c r="V909" s="606"/>
      <c r="W909" s="606"/>
      <c r="X909" s="640"/>
      <c r="Y909" s="607"/>
      <c r="Z909" s="607"/>
      <c r="AA909" s="607"/>
      <c r="AB909" s="607"/>
      <c r="AC909" s="607"/>
      <c r="AD909" s="607"/>
      <c r="AE909" s="607"/>
      <c r="AF909" s="607"/>
      <c r="AG909" s="607"/>
      <c r="AH909" s="607"/>
      <c r="AI909" s="607"/>
      <c r="AJ909" s="607"/>
      <c r="AK909" s="607"/>
      <c r="AL909" s="606"/>
      <c r="AM909" s="606"/>
      <c r="AN909" s="606"/>
      <c r="AO909" s="606"/>
    </row>
    <row r="910" spans="1:41" ht="11.25" hidden="1" customHeight="1">
      <c r="A910" s="608"/>
      <c r="B910" s="607"/>
      <c r="C910" s="607"/>
      <c r="D910" s="607"/>
      <c r="E910" s="607"/>
      <c r="F910" s="607"/>
      <c r="G910" s="606"/>
      <c r="H910" s="606"/>
      <c r="I910" s="606"/>
      <c r="J910" s="606"/>
      <c r="K910" s="606"/>
      <c r="L910" s="606"/>
      <c r="M910" s="606"/>
      <c r="N910" s="606"/>
      <c r="O910" s="606"/>
      <c r="P910" s="606"/>
      <c r="Q910" s="606"/>
      <c r="R910" s="606"/>
      <c r="S910" s="606"/>
      <c r="T910" s="606"/>
      <c r="U910" s="606"/>
      <c r="V910" s="606"/>
      <c r="W910" s="606"/>
      <c r="X910" s="640"/>
      <c r="Y910" s="607"/>
      <c r="Z910" s="607"/>
      <c r="AA910" s="607"/>
      <c r="AB910" s="607"/>
      <c r="AC910" s="607"/>
      <c r="AD910" s="607"/>
      <c r="AE910" s="607"/>
      <c r="AF910" s="607"/>
      <c r="AG910" s="607"/>
      <c r="AH910" s="607"/>
      <c r="AI910" s="607"/>
      <c r="AJ910" s="607"/>
      <c r="AK910" s="607"/>
      <c r="AL910" s="606"/>
      <c r="AM910" s="606"/>
      <c r="AN910" s="606"/>
      <c r="AO910" s="606"/>
    </row>
    <row r="911" spans="1:41" ht="11.25" hidden="1" customHeight="1">
      <c r="A911" s="608"/>
      <c r="B911" s="607"/>
      <c r="C911" s="607"/>
      <c r="D911" s="607"/>
      <c r="E911" s="607"/>
      <c r="F911" s="607"/>
      <c r="G911" s="606"/>
      <c r="H911" s="606"/>
      <c r="I911" s="606"/>
      <c r="J911" s="606"/>
      <c r="K911" s="606"/>
      <c r="L911" s="606"/>
      <c r="M911" s="606"/>
      <c r="N911" s="606"/>
      <c r="O911" s="606"/>
      <c r="P911" s="606"/>
      <c r="Q911" s="606"/>
      <c r="R911" s="606"/>
      <c r="S911" s="606"/>
      <c r="T911" s="606"/>
      <c r="U911" s="606"/>
      <c r="V911" s="606"/>
      <c r="W911" s="606"/>
      <c r="X911" s="640"/>
      <c r="Y911" s="607"/>
      <c r="Z911" s="607"/>
      <c r="AA911" s="607"/>
      <c r="AB911" s="607"/>
      <c r="AC911" s="607"/>
      <c r="AD911" s="607"/>
      <c r="AE911" s="607"/>
      <c r="AF911" s="607"/>
      <c r="AG911" s="607"/>
      <c r="AH911" s="607"/>
      <c r="AI911" s="607"/>
      <c r="AJ911" s="607"/>
      <c r="AK911" s="607"/>
      <c r="AL911" s="606"/>
      <c r="AM911" s="606"/>
      <c r="AN911" s="606"/>
      <c r="AO911" s="606"/>
    </row>
    <row r="912" spans="1:41" ht="11.25" hidden="1" customHeight="1">
      <c r="A912" s="608"/>
      <c r="B912" s="607"/>
      <c r="C912" s="607"/>
      <c r="D912" s="607"/>
      <c r="E912" s="607"/>
      <c r="F912" s="607"/>
      <c r="G912" s="606"/>
      <c r="H912" s="606"/>
      <c r="I912" s="606"/>
      <c r="J912" s="606"/>
      <c r="K912" s="606"/>
      <c r="L912" s="606"/>
      <c r="M912" s="606"/>
      <c r="N912" s="606"/>
      <c r="O912" s="606"/>
      <c r="P912" s="606"/>
      <c r="Q912" s="606"/>
      <c r="R912" s="606"/>
      <c r="S912" s="606"/>
      <c r="T912" s="606"/>
      <c r="U912" s="606"/>
      <c r="V912" s="606"/>
      <c r="W912" s="606"/>
      <c r="X912" s="640"/>
      <c r="Y912" s="607"/>
      <c r="Z912" s="607"/>
      <c r="AA912" s="607"/>
      <c r="AB912" s="607"/>
      <c r="AC912" s="607"/>
      <c r="AD912" s="607"/>
      <c r="AE912" s="607"/>
      <c r="AF912" s="607"/>
      <c r="AG912" s="607"/>
      <c r="AH912" s="607"/>
      <c r="AI912" s="607"/>
      <c r="AJ912" s="607"/>
      <c r="AK912" s="607"/>
      <c r="AL912" s="606"/>
      <c r="AM912" s="606"/>
      <c r="AN912" s="606"/>
      <c r="AO912" s="606"/>
    </row>
    <row r="913" spans="1:41" ht="11.25" hidden="1" customHeight="1">
      <c r="A913" s="608"/>
      <c r="B913" s="607"/>
      <c r="C913" s="607"/>
      <c r="D913" s="607"/>
      <c r="E913" s="607"/>
      <c r="F913" s="607"/>
      <c r="G913" s="606"/>
      <c r="H913" s="606"/>
      <c r="I913" s="606"/>
      <c r="J913" s="606"/>
      <c r="K913" s="606"/>
      <c r="L913" s="606"/>
      <c r="M913" s="606"/>
      <c r="N913" s="606"/>
      <c r="O913" s="606"/>
      <c r="P913" s="606"/>
      <c r="Q913" s="606"/>
      <c r="R913" s="606"/>
      <c r="S913" s="606"/>
      <c r="T913" s="606"/>
      <c r="U913" s="606"/>
      <c r="V913" s="606"/>
      <c r="W913" s="606"/>
      <c r="X913" s="640"/>
      <c r="Y913" s="607"/>
      <c r="Z913" s="607"/>
      <c r="AA913" s="607"/>
      <c r="AB913" s="607"/>
      <c r="AC913" s="607"/>
      <c r="AD913" s="607"/>
      <c r="AE913" s="607"/>
      <c r="AF913" s="607"/>
      <c r="AG913" s="607"/>
      <c r="AH913" s="607"/>
      <c r="AI913" s="607"/>
      <c r="AJ913" s="607"/>
      <c r="AK913" s="607"/>
      <c r="AL913" s="606"/>
      <c r="AM913" s="606"/>
      <c r="AN913" s="606"/>
      <c r="AO913" s="606"/>
    </row>
    <row r="914" spans="1:41" ht="11.25" hidden="1" customHeight="1">
      <c r="A914" s="608"/>
      <c r="B914" s="607"/>
      <c r="C914" s="607"/>
      <c r="D914" s="607"/>
      <c r="E914" s="607"/>
      <c r="F914" s="607"/>
      <c r="G914" s="606"/>
      <c r="H914" s="606"/>
      <c r="I914" s="606"/>
      <c r="J914" s="606"/>
      <c r="K914" s="606"/>
      <c r="L914" s="606"/>
      <c r="M914" s="606"/>
      <c r="N914" s="606"/>
      <c r="O914" s="606"/>
      <c r="P914" s="606"/>
      <c r="Q914" s="606"/>
      <c r="R914" s="606"/>
      <c r="S914" s="606"/>
      <c r="T914" s="606"/>
      <c r="U914" s="606"/>
      <c r="V914" s="606"/>
      <c r="W914" s="606"/>
      <c r="X914" s="640"/>
      <c r="Y914" s="607"/>
      <c r="Z914" s="607"/>
      <c r="AA914" s="607"/>
      <c r="AB914" s="607"/>
      <c r="AC914" s="607"/>
      <c r="AD914" s="607"/>
      <c r="AE914" s="607"/>
      <c r="AF914" s="607"/>
      <c r="AG914" s="607"/>
      <c r="AH914" s="607"/>
      <c r="AI914" s="607"/>
      <c r="AJ914" s="607"/>
      <c r="AK914" s="607"/>
      <c r="AL914" s="606"/>
      <c r="AM914" s="606"/>
      <c r="AN914" s="606"/>
      <c r="AO914" s="606"/>
    </row>
    <row r="915" spans="1:41" ht="11.25" hidden="1" customHeight="1">
      <c r="A915" s="608"/>
      <c r="B915" s="607"/>
      <c r="C915" s="607"/>
      <c r="D915" s="607"/>
      <c r="E915" s="607"/>
      <c r="F915" s="607"/>
      <c r="G915" s="606"/>
      <c r="H915" s="606"/>
      <c r="I915" s="606"/>
      <c r="J915" s="606"/>
      <c r="K915" s="606"/>
      <c r="L915" s="606"/>
      <c r="M915" s="606"/>
      <c r="N915" s="606"/>
      <c r="O915" s="606"/>
      <c r="P915" s="606"/>
      <c r="Q915" s="606"/>
      <c r="R915" s="606"/>
      <c r="S915" s="606"/>
      <c r="T915" s="606"/>
      <c r="U915" s="606"/>
      <c r="V915" s="606"/>
      <c r="W915" s="606"/>
      <c r="X915" s="640"/>
      <c r="Y915" s="607"/>
      <c r="Z915" s="607"/>
      <c r="AA915" s="607"/>
      <c r="AB915" s="607"/>
      <c r="AC915" s="607"/>
      <c r="AD915" s="607"/>
      <c r="AE915" s="607"/>
      <c r="AF915" s="607"/>
      <c r="AG915" s="607"/>
      <c r="AH915" s="607"/>
      <c r="AI915" s="607"/>
      <c r="AJ915" s="607"/>
      <c r="AK915" s="607"/>
      <c r="AL915" s="606"/>
      <c r="AM915" s="606"/>
      <c r="AN915" s="606"/>
      <c r="AO915" s="606"/>
    </row>
    <row r="916" spans="1:41" ht="11.25" hidden="1" customHeight="1">
      <c r="A916" s="608"/>
      <c r="B916" s="607"/>
      <c r="C916" s="607"/>
      <c r="D916" s="607"/>
      <c r="E916" s="607"/>
      <c r="F916" s="607"/>
      <c r="G916" s="606"/>
      <c r="H916" s="606"/>
      <c r="I916" s="606"/>
      <c r="J916" s="606"/>
      <c r="K916" s="606"/>
      <c r="L916" s="606"/>
      <c r="M916" s="606"/>
      <c r="N916" s="606"/>
      <c r="O916" s="606"/>
      <c r="P916" s="606"/>
      <c r="Q916" s="606"/>
      <c r="R916" s="606"/>
      <c r="S916" s="606"/>
      <c r="T916" s="606"/>
      <c r="U916" s="606"/>
      <c r="V916" s="606"/>
      <c r="W916" s="606"/>
      <c r="X916" s="640"/>
      <c r="Y916" s="607"/>
      <c r="Z916" s="607"/>
      <c r="AA916" s="607"/>
      <c r="AB916" s="607"/>
      <c r="AC916" s="607"/>
      <c r="AD916" s="607"/>
      <c r="AE916" s="607"/>
      <c r="AF916" s="607"/>
      <c r="AG916" s="607"/>
      <c r="AH916" s="607"/>
      <c r="AI916" s="607"/>
      <c r="AJ916" s="607"/>
      <c r="AK916" s="607"/>
      <c r="AL916" s="606"/>
      <c r="AM916" s="606"/>
      <c r="AN916" s="606"/>
      <c r="AO916" s="606"/>
    </row>
    <row r="917" spans="1:41" ht="11.25" hidden="1" customHeight="1">
      <c r="A917" s="608"/>
      <c r="B917" s="607"/>
      <c r="C917" s="607"/>
      <c r="D917" s="607"/>
      <c r="E917" s="607"/>
      <c r="F917" s="607"/>
      <c r="G917" s="606"/>
      <c r="H917" s="606"/>
      <c r="I917" s="606"/>
      <c r="J917" s="606"/>
      <c r="K917" s="606"/>
      <c r="L917" s="606"/>
      <c r="M917" s="606"/>
      <c r="N917" s="606"/>
      <c r="O917" s="606"/>
      <c r="P917" s="606"/>
      <c r="Q917" s="606"/>
      <c r="R917" s="606"/>
      <c r="S917" s="606"/>
      <c r="T917" s="606"/>
      <c r="U917" s="606"/>
      <c r="V917" s="606"/>
      <c r="W917" s="606"/>
      <c r="X917" s="640"/>
      <c r="Y917" s="607"/>
      <c r="Z917" s="607"/>
      <c r="AA917" s="607"/>
      <c r="AB917" s="607"/>
      <c r="AC917" s="607"/>
      <c r="AD917" s="607"/>
      <c r="AE917" s="607"/>
      <c r="AF917" s="607"/>
      <c r="AG917" s="607"/>
      <c r="AH917" s="607"/>
      <c r="AI917" s="607"/>
      <c r="AJ917" s="607"/>
      <c r="AK917" s="607"/>
      <c r="AL917" s="606"/>
      <c r="AM917" s="606"/>
      <c r="AN917" s="606"/>
      <c r="AO917" s="606"/>
    </row>
    <row r="918" spans="1:41" ht="11.25" hidden="1" customHeight="1">
      <c r="A918" s="608"/>
      <c r="B918" s="607"/>
      <c r="C918" s="607"/>
      <c r="D918" s="607"/>
      <c r="E918" s="607"/>
      <c r="F918" s="607"/>
      <c r="G918" s="606"/>
      <c r="H918" s="606"/>
      <c r="I918" s="606"/>
      <c r="J918" s="606"/>
      <c r="K918" s="606"/>
      <c r="L918" s="606"/>
      <c r="M918" s="606"/>
      <c r="N918" s="606"/>
      <c r="O918" s="606"/>
      <c r="P918" s="606"/>
      <c r="Q918" s="606"/>
      <c r="R918" s="606"/>
      <c r="S918" s="606"/>
      <c r="T918" s="606"/>
      <c r="U918" s="606"/>
      <c r="V918" s="606"/>
      <c r="W918" s="606"/>
      <c r="X918" s="640"/>
      <c r="Y918" s="607"/>
      <c r="Z918" s="607"/>
      <c r="AA918" s="607"/>
      <c r="AB918" s="607"/>
      <c r="AC918" s="607"/>
      <c r="AD918" s="607"/>
      <c r="AE918" s="607"/>
      <c r="AF918" s="607"/>
      <c r="AG918" s="607"/>
      <c r="AH918" s="607"/>
      <c r="AI918" s="607"/>
      <c r="AJ918" s="607"/>
      <c r="AK918" s="607"/>
      <c r="AL918" s="606"/>
      <c r="AM918" s="606"/>
      <c r="AN918" s="606"/>
      <c r="AO918" s="606"/>
    </row>
    <row r="919" spans="1:41" ht="11.25" hidden="1" customHeight="1">
      <c r="A919" s="608"/>
      <c r="B919" s="607"/>
      <c r="C919" s="607"/>
      <c r="D919" s="607"/>
      <c r="E919" s="607"/>
      <c r="F919" s="607"/>
      <c r="G919" s="606"/>
      <c r="H919" s="606"/>
      <c r="I919" s="606"/>
      <c r="J919" s="606"/>
      <c r="K919" s="606"/>
      <c r="L919" s="606"/>
      <c r="M919" s="606"/>
      <c r="N919" s="606"/>
      <c r="O919" s="606"/>
      <c r="P919" s="606"/>
      <c r="Q919" s="606"/>
      <c r="R919" s="606"/>
      <c r="S919" s="606"/>
      <c r="T919" s="606"/>
      <c r="U919" s="606"/>
      <c r="V919" s="606"/>
      <c r="W919" s="606"/>
      <c r="X919" s="640"/>
      <c r="Y919" s="607"/>
      <c r="Z919" s="607"/>
      <c r="AA919" s="607"/>
      <c r="AB919" s="607"/>
      <c r="AC919" s="607"/>
      <c r="AD919" s="607"/>
      <c r="AE919" s="607"/>
      <c r="AF919" s="607"/>
      <c r="AG919" s="607"/>
      <c r="AH919" s="607"/>
      <c r="AI919" s="607"/>
      <c r="AJ919" s="607"/>
      <c r="AK919" s="607"/>
      <c r="AL919" s="606"/>
      <c r="AM919" s="606"/>
      <c r="AN919" s="606"/>
      <c r="AO919" s="606"/>
    </row>
    <row r="920" spans="1:41" ht="11.25" hidden="1" customHeight="1">
      <c r="A920" s="608"/>
      <c r="B920" s="607"/>
      <c r="C920" s="607"/>
      <c r="D920" s="607"/>
      <c r="E920" s="607"/>
      <c r="F920" s="607"/>
      <c r="G920" s="606"/>
      <c r="H920" s="606"/>
      <c r="I920" s="606"/>
      <c r="J920" s="606"/>
      <c r="K920" s="606"/>
      <c r="L920" s="606"/>
      <c r="M920" s="606"/>
      <c r="N920" s="606"/>
      <c r="O920" s="606"/>
      <c r="P920" s="606"/>
      <c r="Q920" s="606"/>
      <c r="R920" s="606"/>
      <c r="S920" s="606"/>
      <c r="T920" s="606"/>
      <c r="U920" s="606"/>
      <c r="V920" s="606"/>
      <c r="W920" s="606"/>
      <c r="X920" s="640"/>
      <c r="Y920" s="607"/>
      <c r="Z920" s="607"/>
      <c r="AA920" s="607"/>
      <c r="AB920" s="607"/>
      <c r="AC920" s="607"/>
      <c r="AD920" s="607"/>
      <c r="AE920" s="607"/>
      <c r="AF920" s="607"/>
      <c r="AG920" s="607"/>
      <c r="AH920" s="607"/>
      <c r="AI920" s="607"/>
      <c r="AJ920" s="607"/>
      <c r="AK920" s="607"/>
      <c r="AL920" s="606"/>
      <c r="AM920" s="606"/>
      <c r="AN920" s="606"/>
      <c r="AO920" s="606"/>
    </row>
    <row r="921" spans="1:41" ht="11.25" hidden="1" customHeight="1">
      <c r="A921" s="608"/>
      <c r="B921" s="607"/>
      <c r="C921" s="607"/>
      <c r="D921" s="607"/>
      <c r="E921" s="607"/>
      <c r="F921" s="607"/>
      <c r="G921" s="606"/>
      <c r="H921" s="606"/>
      <c r="I921" s="606"/>
      <c r="J921" s="606"/>
      <c r="K921" s="606"/>
      <c r="L921" s="606"/>
      <c r="M921" s="606"/>
      <c r="N921" s="606"/>
      <c r="O921" s="606"/>
      <c r="P921" s="606"/>
      <c r="Q921" s="606"/>
      <c r="R921" s="606"/>
      <c r="S921" s="606"/>
      <c r="T921" s="606"/>
      <c r="U921" s="606"/>
      <c r="V921" s="606"/>
      <c r="W921" s="606"/>
      <c r="X921" s="640"/>
      <c r="Y921" s="607"/>
      <c r="Z921" s="607"/>
      <c r="AA921" s="607"/>
      <c r="AB921" s="607"/>
      <c r="AC921" s="607"/>
      <c r="AD921" s="607"/>
      <c r="AE921" s="607"/>
      <c r="AF921" s="607"/>
      <c r="AG921" s="607"/>
      <c r="AH921" s="607"/>
      <c r="AI921" s="607"/>
      <c r="AJ921" s="607"/>
      <c r="AK921" s="607"/>
      <c r="AL921" s="606"/>
      <c r="AM921" s="606"/>
      <c r="AN921" s="606"/>
      <c r="AO921" s="606"/>
    </row>
    <row r="922" spans="1:41" ht="11.25" hidden="1" customHeight="1">
      <c r="A922" s="608"/>
      <c r="B922" s="607"/>
      <c r="C922" s="607"/>
      <c r="D922" s="607"/>
      <c r="E922" s="607"/>
      <c r="F922" s="607"/>
      <c r="G922" s="606"/>
      <c r="H922" s="606"/>
      <c r="I922" s="606"/>
      <c r="J922" s="606"/>
      <c r="K922" s="606"/>
      <c r="L922" s="606"/>
      <c r="M922" s="606"/>
      <c r="N922" s="606"/>
      <c r="O922" s="606"/>
      <c r="P922" s="606"/>
      <c r="Q922" s="606"/>
      <c r="R922" s="606"/>
      <c r="S922" s="606"/>
      <c r="T922" s="606"/>
      <c r="U922" s="606"/>
      <c r="V922" s="606"/>
      <c r="W922" s="606"/>
      <c r="X922" s="640"/>
      <c r="Y922" s="607"/>
      <c r="Z922" s="607"/>
      <c r="AA922" s="607"/>
      <c r="AB922" s="607"/>
      <c r="AC922" s="607"/>
      <c r="AD922" s="607"/>
      <c r="AE922" s="607"/>
      <c r="AF922" s="607"/>
      <c r="AG922" s="607"/>
      <c r="AH922" s="607"/>
      <c r="AI922" s="607"/>
      <c r="AJ922" s="607"/>
      <c r="AK922" s="607"/>
      <c r="AL922" s="606"/>
      <c r="AM922" s="606"/>
      <c r="AN922" s="606"/>
      <c r="AO922" s="606"/>
    </row>
    <row r="923" spans="1:41" ht="11.25" hidden="1" customHeight="1">
      <c r="A923" s="608"/>
      <c r="B923" s="607"/>
      <c r="C923" s="607"/>
      <c r="D923" s="607"/>
      <c r="E923" s="607"/>
      <c r="F923" s="607"/>
      <c r="G923" s="606"/>
      <c r="H923" s="606"/>
      <c r="I923" s="606"/>
      <c r="J923" s="606"/>
      <c r="K923" s="606"/>
      <c r="L923" s="606"/>
      <c r="M923" s="606"/>
      <c r="N923" s="606"/>
      <c r="O923" s="606"/>
      <c r="P923" s="606"/>
      <c r="Q923" s="606"/>
      <c r="R923" s="606"/>
      <c r="S923" s="606"/>
      <c r="T923" s="606"/>
      <c r="U923" s="606"/>
      <c r="V923" s="606"/>
      <c r="W923" s="606"/>
      <c r="X923" s="640"/>
      <c r="Y923" s="607"/>
      <c r="Z923" s="607"/>
      <c r="AA923" s="607"/>
      <c r="AB923" s="607"/>
      <c r="AC923" s="607"/>
      <c r="AD923" s="607"/>
      <c r="AE923" s="607"/>
      <c r="AF923" s="607"/>
      <c r="AG923" s="607"/>
      <c r="AH923" s="607"/>
      <c r="AI923" s="607"/>
      <c r="AJ923" s="607"/>
      <c r="AK923" s="607"/>
      <c r="AL923" s="606"/>
      <c r="AM923" s="606"/>
      <c r="AN923" s="606"/>
      <c r="AO923" s="606"/>
    </row>
    <row r="924" spans="1:41" ht="11.25" hidden="1" customHeight="1">
      <c r="A924" s="608"/>
      <c r="B924" s="607"/>
      <c r="C924" s="607"/>
      <c r="D924" s="607"/>
      <c r="E924" s="607"/>
      <c r="F924" s="607"/>
      <c r="G924" s="606"/>
      <c r="H924" s="606"/>
      <c r="I924" s="606"/>
      <c r="J924" s="606"/>
      <c r="K924" s="606"/>
      <c r="L924" s="606"/>
      <c r="M924" s="606"/>
      <c r="N924" s="606"/>
      <c r="O924" s="606"/>
      <c r="P924" s="606"/>
      <c r="Q924" s="606"/>
      <c r="R924" s="606"/>
      <c r="S924" s="606"/>
      <c r="T924" s="606"/>
      <c r="U924" s="606"/>
      <c r="V924" s="606"/>
      <c r="W924" s="606"/>
      <c r="X924" s="640"/>
      <c r="Y924" s="607"/>
      <c r="Z924" s="607"/>
      <c r="AA924" s="607"/>
      <c r="AB924" s="607"/>
      <c r="AC924" s="607"/>
      <c r="AD924" s="607"/>
      <c r="AE924" s="607"/>
      <c r="AF924" s="607"/>
      <c r="AG924" s="607"/>
      <c r="AH924" s="607"/>
      <c r="AI924" s="607"/>
      <c r="AJ924" s="607"/>
      <c r="AK924" s="607"/>
      <c r="AL924" s="606"/>
      <c r="AM924" s="606"/>
      <c r="AN924" s="606"/>
      <c r="AO924" s="606"/>
    </row>
    <row r="925" spans="1:41" ht="11.25" hidden="1" customHeight="1">
      <c r="A925" s="608"/>
      <c r="B925" s="607"/>
      <c r="C925" s="607"/>
      <c r="D925" s="607"/>
      <c r="E925" s="607"/>
      <c r="F925" s="607"/>
      <c r="G925" s="606"/>
      <c r="H925" s="606"/>
      <c r="I925" s="606"/>
      <c r="J925" s="606"/>
      <c r="K925" s="606"/>
      <c r="L925" s="606"/>
      <c r="M925" s="606"/>
      <c r="N925" s="606"/>
      <c r="O925" s="606"/>
      <c r="P925" s="606"/>
      <c r="Q925" s="606"/>
      <c r="R925" s="606"/>
      <c r="S925" s="606"/>
      <c r="T925" s="606"/>
      <c r="U925" s="606"/>
      <c r="V925" s="606"/>
      <c r="W925" s="606"/>
      <c r="X925" s="640"/>
      <c r="Y925" s="607"/>
      <c r="Z925" s="607"/>
      <c r="AA925" s="607"/>
      <c r="AB925" s="607"/>
      <c r="AC925" s="607"/>
      <c r="AD925" s="607"/>
      <c r="AE925" s="607"/>
      <c r="AF925" s="607"/>
      <c r="AG925" s="607"/>
      <c r="AH925" s="607"/>
      <c r="AI925" s="607"/>
      <c r="AJ925" s="607"/>
      <c r="AK925" s="607"/>
      <c r="AL925" s="606"/>
      <c r="AM925" s="606"/>
      <c r="AN925" s="606"/>
      <c r="AO925" s="606"/>
    </row>
    <row r="926" spans="1:41" ht="11.25" hidden="1" customHeight="1">
      <c r="A926" s="608"/>
      <c r="B926" s="607"/>
      <c r="C926" s="607"/>
      <c r="D926" s="607"/>
      <c r="E926" s="607"/>
      <c r="F926" s="607"/>
      <c r="G926" s="606"/>
      <c r="H926" s="606"/>
      <c r="I926" s="606"/>
      <c r="J926" s="606"/>
      <c r="K926" s="606"/>
      <c r="L926" s="606"/>
      <c r="M926" s="606"/>
      <c r="N926" s="606"/>
      <c r="O926" s="606"/>
      <c r="P926" s="606"/>
      <c r="Q926" s="606"/>
      <c r="R926" s="606"/>
      <c r="S926" s="606"/>
      <c r="T926" s="606"/>
      <c r="U926" s="606"/>
      <c r="V926" s="606"/>
      <c r="W926" s="606"/>
      <c r="X926" s="640"/>
      <c r="Y926" s="607"/>
      <c r="Z926" s="607"/>
      <c r="AA926" s="607"/>
      <c r="AB926" s="607"/>
      <c r="AC926" s="607"/>
      <c r="AD926" s="607"/>
      <c r="AE926" s="607"/>
      <c r="AF926" s="607"/>
      <c r="AG926" s="607"/>
      <c r="AH926" s="607"/>
      <c r="AI926" s="607"/>
      <c r="AJ926" s="607"/>
      <c r="AK926" s="607"/>
      <c r="AL926" s="606"/>
      <c r="AM926" s="606"/>
      <c r="AN926" s="606"/>
      <c r="AO926" s="606"/>
    </row>
    <row r="927" spans="1:41" ht="11.25" hidden="1" customHeight="1">
      <c r="A927" s="608"/>
      <c r="B927" s="607"/>
      <c r="C927" s="607"/>
      <c r="D927" s="607"/>
      <c r="E927" s="607"/>
      <c r="F927" s="607"/>
      <c r="G927" s="606"/>
      <c r="H927" s="606"/>
      <c r="I927" s="606"/>
      <c r="J927" s="606"/>
      <c r="K927" s="606"/>
      <c r="L927" s="606"/>
      <c r="M927" s="606"/>
      <c r="N927" s="606"/>
      <c r="O927" s="606"/>
      <c r="P927" s="606"/>
      <c r="Q927" s="606"/>
      <c r="R927" s="606"/>
      <c r="S927" s="606"/>
      <c r="T927" s="606"/>
      <c r="U927" s="606"/>
      <c r="V927" s="606"/>
      <c r="W927" s="606"/>
      <c r="X927" s="640"/>
      <c r="Y927" s="607"/>
      <c r="Z927" s="607"/>
      <c r="AA927" s="607"/>
      <c r="AB927" s="607"/>
      <c r="AC927" s="607"/>
      <c r="AD927" s="607"/>
      <c r="AE927" s="607"/>
      <c r="AF927" s="607"/>
      <c r="AG927" s="607"/>
      <c r="AH927" s="607"/>
      <c r="AI927" s="607"/>
      <c r="AJ927" s="607"/>
      <c r="AK927" s="607"/>
      <c r="AL927" s="606"/>
      <c r="AM927" s="606"/>
      <c r="AN927" s="606"/>
      <c r="AO927" s="606"/>
    </row>
    <row r="928" spans="1:41" ht="11.25" hidden="1" customHeight="1">
      <c r="A928" s="608"/>
      <c r="B928" s="607"/>
      <c r="C928" s="607"/>
      <c r="D928" s="607"/>
      <c r="E928" s="607"/>
      <c r="F928" s="607"/>
      <c r="G928" s="606"/>
      <c r="H928" s="606"/>
      <c r="I928" s="606"/>
      <c r="J928" s="606"/>
      <c r="K928" s="606"/>
      <c r="L928" s="606"/>
      <c r="M928" s="606"/>
      <c r="N928" s="606"/>
      <c r="O928" s="606"/>
      <c r="P928" s="606"/>
      <c r="Q928" s="606"/>
      <c r="R928" s="606"/>
      <c r="S928" s="606"/>
      <c r="T928" s="606"/>
      <c r="U928" s="606"/>
      <c r="V928" s="606"/>
      <c r="W928" s="606"/>
      <c r="X928" s="640"/>
      <c r="Y928" s="607"/>
      <c r="Z928" s="607"/>
      <c r="AA928" s="607"/>
      <c r="AB928" s="607"/>
      <c r="AC928" s="607"/>
      <c r="AD928" s="607"/>
      <c r="AE928" s="607"/>
      <c r="AF928" s="607"/>
      <c r="AG928" s="607"/>
      <c r="AH928" s="607"/>
      <c r="AI928" s="607"/>
      <c r="AJ928" s="607"/>
      <c r="AK928" s="607"/>
      <c r="AL928" s="606"/>
      <c r="AM928" s="606"/>
      <c r="AN928" s="606"/>
      <c r="AO928" s="606"/>
    </row>
    <row r="929" spans="1:41" ht="11.25" hidden="1" customHeight="1">
      <c r="A929" s="608"/>
      <c r="B929" s="607"/>
      <c r="C929" s="607"/>
      <c r="D929" s="607"/>
      <c r="E929" s="607"/>
      <c r="F929" s="607"/>
      <c r="G929" s="606"/>
      <c r="H929" s="606"/>
      <c r="I929" s="606"/>
      <c r="J929" s="606"/>
      <c r="K929" s="606"/>
      <c r="L929" s="606"/>
      <c r="M929" s="606"/>
      <c r="N929" s="606"/>
      <c r="O929" s="606"/>
      <c r="P929" s="606"/>
      <c r="Q929" s="606"/>
      <c r="R929" s="606"/>
      <c r="S929" s="606"/>
      <c r="T929" s="606"/>
      <c r="U929" s="606"/>
      <c r="V929" s="606"/>
      <c r="W929" s="606"/>
      <c r="X929" s="640"/>
      <c r="Y929" s="607"/>
      <c r="Z929" s="607"/>
      <c r="AA929" s="607"/>
      <c r="AB929" s="607"/>
      <c r="AC929" s="607"/>
      <c r="AD929" s="607"/>
      <c r="AE929" s="607"/>
      <c r="AF929" s="607"/>
      <c r="AG929" s="607"/>
      <c r="AH929" s="607"/>
      <c r="AI929" s="607"/>
      <c r="AJ929" s="607"/>
      <c r="AK929" s="607"/>
      <c r="AL929" s="606"/>
      <c r="AM929" s="606"/>
      <c r="AN929" s="606"/>
      <c r="AO929" s="606"/>
    </row>
    <row r="930" spans="1:41" ht="11.25" hidden="1" customHeight="1">
      <c r="A930" s="608"/>
      <c r="B930" s="607"/>
      <c r="C930" s="607"/>
      <c r="D930" s="607"/>
      <c r="E930" s="607"/>
      <c r="F930" s="607"/>
      <c r="G930" s="606"/>
      <c r="H930" s="606"/>
      <c r="I930" s="606"/>
      <c r="J930" s="606"/>
      <c r="K930" s="606"/>
      <c r="L930" s="606"/>
      <c r="M930" s="606"/>
      <c r="N930" s="606"/>
      <c r="O930" s="606"/>
      <c r="P930" s="606"/>
      <c r="Q930" s="606"/>
      <c r="R930" s="606"/>
      <c r="S930" s="606"/>
      <c r="T930" s="606"/>
      <c r="U930" s="606"/>
      <c r="V930" s="606"/>
      <c r="W930" s="606"/>
      <c r="X930" s="640"/>
      <c r="Y930" s="607"/>
      <c r="Z930" s="607"/>
      <c r="AA930" s="607"/>
      <c r="AB930" s="607"/>
      <c r="AC930" s="607"/>
      <c r="AD930" s="607"/>
      <c r="AE930" s="607"/>
      <c r="AF930" s="607"/>
      <c r="AG930" s="607"/>
      <c r="AH930" s="607"/>
      <c r="AI930" s="607"/>
      <c r="AJ930" s="607"/>
      <c r="AK930" s="607"/>
      <c r="AL930" s="606"/>
      <c r="AM930" s="606"/>
      <c r="AN930" s="606"/>
      <c r="AO930" s="606"/>
    </row>
    <row r="931" spans="1:41" ht="11.25" hidden="1" customHeight="1">
      <c r="A931" s="608"/>
      <c r="B931" s="607"/>
      <c r="C931" s="607"/>
      <c r="D931" s="607"/>
      <c r="E931" s="607"/>
      <c r="F931" s="607"/>
      <c r="G931" s="606"/>
      <c r="H931" s="606"/>
      <c r="I931" s="606"/>
      <c r="J931" s="606"/>
      <c r="K931" s="606"/>
      <c r="L931" s="606"/>
      <c r="M931" s="606"/>
      <c r="N931" s="606"/>
      <c r="O931" s="606"/>
      <c r="P931" s="606"/>
      <c r="Q931" s="606"/>
      <c r="R931" s="606"/>
      <c r="S931" s="606"/>
      <c r="T931" s="606"/>
      <c r="U931" s="606"/>
      <c r="V931" s="606"/>
      <c r="W931" s="606"/>
      <c r="X931" s="640"/>
      <c r="Y931" s="607"/>
      <c r="Z931" s="607"/>
      <c r="AA931" s="607"/>
      <c r="AB931" s="607"/>
      <c r="AC931" s="607"/>
      <c r="AD931" s="607"/>
      <c r="AE931" s="607"/>
      <c r="AF931" s="607"/>
      <c r="AG931" s="607"/>
      <c r="AH931" s="607"/>
      <c r="AI931" s="607"/>
      <c r="AJ931" s="607"/>
      <c r="AK931" s="607"/>
      <c r="AL931" s="606"/>
      <c r="AM931" s="606"/>
      <c r="AN931" s="606"/>
      <c r="AO931" s="606"/>
    </row>
    <row r="932" spans="1:41" ht="11.25" hidden="1" customHeight="1">
      <c r="A932" s="608"/>
      <c r="B932" s="607"/>
      <c r="C932" s="607"/>
      <c r="D932" s="607"/>
      <c r="E932" s="607"/>
      <c r="F932" s="607"/>
      <c r="G932" s="606"/>
      <c r="H932" s="606"/>
      <c r="I932" s="606"/>
      <c r="J932" s="606"/>
      <c r="K932" s="606"/>
      <c r="L932" s="606"/>
      <c r="M932" s="606"/>
      <c r="N932" s="606"/>
      <c r="O932" s="606"/>
      <c r="P932" s="606"/>
      <c r="Q932" s="606"/>
      <c r="R932" s="606"/>
      <c r="S932" s="606"/>
      <c r="T932" s="606"/>
      <c r="U932" s="606"/>
      <c r="V932" s="606"/>
      <c r="W932" s="606"/>
      <c r="X932" s="640"/>
      <c r="Y932" s="607"/>
      <c r="Z932" s="607"/>
      <c r="AA932" s="607"/>
      <c r="AB932" s="607"/>
      <c r="AC932" s="607"/>
      <c r="AD932" s="607"/>
      <c r="AE932" s="607"/>
      <c r="AF932" s="607"/>
      <c r="AG932" s="607"/>
      <c r="AH932" s="607"/>
      <c r="AI932" s="607"/>
      <c r="AJ932" s="607"/>
      <c r="AK932" s="607"/>
      <c r="AL932" s="606"/>
      <c r="AM932" s="606"/>
      <c r="AN932" s="606"/>
      <c r="AO932" s="606"/>
    </row>
    <row r="933" spans="1:41" ht="11.25" hidden="1" customHeight="1">
      <c r="A933" s="608"/>
      <c r="B933" s="607"/>
      <c r="C933" s="607"/>
      <c r="D933" s="607"/>
      <c r="E933" s="607"/>
      <c r="F933" s="607"/>
      <c r="G933" s="606"/>
      <c r="H933" s="606"/>
      <c r="I933" s="606"/>
      <c r="J933" s="606"/>
      <c r="K933" s="606"/>
      <c r="L933" s="606"/>
      <c r="M933" s="606"/>
      <c r="N933" s="606"/>
      <c r="O933" s="606"/>
      <c r="P933" s="606"/>
      <c r="Q933" s="606"/>
      <c r="R933" s="606"/>
      <c r="S933" s="606"/>
      <c r="T933" s="606"/>
      <c r="U933" s="606"/>
      <c r="V933" s="606"/>
      <c r="W933" s="606"/>
      <c r="X933" s="640"/>
      <c r="Y933" s="607"/>
      <c r="Z933" s="607"/>
      <c r="AA933" s="607"/>
      <c r="AB933" s="607"/>
      <c r="AC933" s="607"/>
      <c r="AD933" s="607"/>
      <c r="AE933" s="607"/>
      <c r="AF933" s="607"/>
      <c r="AG933" s="607"/>
      <c r="AH933" s="607"/>
      <c r="AI933" s="607"/>
      <c r="AJ933" s="607"/>
      <c r="AK933" s="607"/>
      <c r="AL933" s="606"/>
      <c r="AM933" s="606"/>
      <c r="AN933" s="606"/>
      <c r="AO933" s="606"/>
    </row>
    <row r="934" spans="1:41" ht="11.25" hidden="1" customHeight="1">
      <c r="A934" s="608"/>
      <c r="B934" s="607"/>
      <c r="C934" s="607"/>
      <c r="D934" s="607"/>
      <c r="E934" s="607"/>
      <c r="F934" s="607"/>
      <c r="G934" s="606"/>
      <c r="H934" s="606"/>
      <c r="I934" s="606"/>
      <c r="J934" s="606"/>
      <c r="K934" s="606"/>
      <c r="L934" s="606"/>
      <c r="M934" s="606"/>
      <c r="N934" s="606"/>
      <c r="O934" s="606"/>
      <c r="P934" s="606"/>
      <c r="Q934" s="606"/>
      <c r="R934" s="606"/>
      <c r="S934" s="606"/>
      <c r="T934" s="606"/>
      <c r="U934" s="606"/>
      <c r="V934" s="606"/>
      <c r="W934" s="606"/>
      <c r="X934" s="640"/>
      <c r="Y934" s="607"/>
      <c r="Z934" s="607"/>
      <c r="AA934" s="607"/>
      <c r="AB934" s="607"/>
      <c r="AC934" s="607"/>
      <c r="AD934" s="607"/>
      <c r="AE934" s="607"/>
      <c r="AF934" s="607"/>
      <c r="AG934" s="607"/>
      <c r="AH934" s="607"/>
      <c r="AI934" s="607"/>
      <c r="AJ934" s="607"/>
      <c r="AK934" s="607"/>
      <c r="AL934" s="606"/>
      <c r="AM934" s="606"/>
      <c r="AN934" s="606"/>
      <c r="AO934" s="606"/>
    </row>
    <row r="935" spans="1:41" ht="11.25" hidden="1" customHeight="1">
      <c r="A935" s="608"/>
      <c r="B935" s="607"/>
      <c r="C935" s="607"/>
      <c r="D935" s="607"/>
      <c r="E935" s="607"/>
      <c r="F935" s="607"/>
      <c r="G935" s="606"/>
      <c r="H935" s="606"/>
      <c r="I935" s="606"/>
      <c r="J935" s="606"/>
      <c r="K935" s="606"/>
      <c r="L935" s="606"/>
      <c r="M935" s="606"/>
      <c r="N935" s="606"/>
      <c r="O935" s="606"/>
      <c r="P935" s="606"/>
      <c r="Q935" s="606"/>
      <c r="R935" s="606"/>
      <c r="S935" s="606"/>
      <c r="T935" s="606"/>
      <c r="U935" s="606"/>
      <c r="V935" s="606"/>
      <c r="W935" s="606"/>
      <c r="X935" s="640"/>
      <c r="Y935" s="607"/>
      <c r="Z935" s="607"/>
      <c r="AA935" s="607"/>
      <c r="AB935" s="607"/>
      <c r="AC935" s="607"/>
      <c r="AD935" s="607"/>
      <c r="AE935" s="607"/>
      <c r="AF935" s="607"/>
      <c r="AG935" s="607"/>
      <c r="AH935" s="607"/>
      <c r="AI935" s="607"/>
      <c r="AJ935" s="607"/>
      <c r="AK935" s="607"/>
      <c r="AL935" s="606"/>
      <c r="AM935" s="606"/>
      <c r="AN935" s="606"/>
      <c r="AO935" s="606"/>
    </row>
    <row r="936" spans="1:41" ht="11.25" hidden="1" customHeight="1">
      <c r="A936" s="608"/>
      <c r="B936" s="607"/>
      <c r="C936" s="607"/>
      <c r="D936" s="607"/>
      <c r="E936" s="607"/>
      <c r="F936" s="607"/>
      <c r="G936" s="606"/>
      <c r="H936" s="606"/>
      <c r="I936" s="606"/>
      <c r="J936" s="606"/>
      <c r="K936" s="606"/>
      <c r="L936" s="606"/>
      <c r="M936" s="606"/>
      <c r="N936" s="606"/>
      <c r="O936" s="606"/>
      <c r="P936" s="606"/>
      <c r="Q936" s="606"/>
      <c r="R936" s="606"/>
      <c r="S936" s="606"/>
      <c r="T936" s="606"/>
      <c r="U936" s="606"/>
      <c r="V936" s="606"/>
      <c r="W936" s="606"/>
      <c r="X936" s="640"/>
      <c r="Y936" s="607"/>
      <c r="Z936" s="607"/>
      <c r="AA936" s="607"/>
      <c r="AB936" s="607"/>
      <c r="AC936" s="607"/>
      <c r="AD936" s="607"/>
      <c r="AE936" s="607"/>
      <c r="AF936" s="607"/>
      <c r="AG936" s="607"/>
      <c r="AH936" s="607"/>
      <c r="AI936" s="607"/>
      <c r="AJ936" s="607"/>
      <c r="AK936" s="607"/>
      <c r="AL936" s="606"/>
      <c r="AM936" s="606"/>
      <c r="AN936" s="606"/>
      <c r="AO936" s="606"/>
    </row>
    <row r="937" spans="1:41" ht="11.25" hidden="1" customHeight="1">
      <c r="A937" s="608"/>
      <c r="B937" s="607"/>
      <c r="C937" s="607"/>
      <c r="D937" s="607"/>
      <c r="E937" s="607"/>
      <c r="F937" s="607"/>
      <c r="G937" s="606"/>
      <c r="H937" s="606"/>
      <c r="I937" s="606"/>
      <c r="J937" s="606"/>
      <c r="K937" s="606"/>
      <c r="L937" s="606"/>
      <c r="M937" s="606"/>
      <c r="N937" s="606"/>
      <c r="O937" s="606"/>
      <c r="P937" s="606"/>
      <c r="Q937" s="606"/>
      <c r="R937" s="606"/>
      <c r="S937" s="606"/>
      <c r="T937" s="606"/>
      <c r="U937" s="606"/>
      <c r="V937" s="606"/>
      <c r="W937" s="606"/>
      <c r="X937" s="640"/>
      <c r="Y937" s="607"/>
      <c r="Z937" s="607"/>
      <c r="AA937" s="607"/>
      <c r="AB937" s="607"/>
      <c r="AC937" s="607"/>
      <c r="AD937" s="607"/>
      <c r="AE937" s="607"/>
      <c r="AF937" s="607"/>
      <c r="AG937" s="607"/>
      <c r="AH937" s="607"/>
      <c r="AI937" s="607"/>
      <c r="AJ937" s="607"/>
      <c r="AK937" s="607"/>
      <c r="AL937" s="606"/>
      <c r="AM937" s="606"/>
      <c r="AN937" s="606"/>
      <c r="AO937" s="606"/>
    </row>
    <row r="938" spans="1:41" ht="11.25" hidden="1" customHeight="1">
      <c r="A938" s="608"/>
      <c r="B938" s="607"/>
      <c r="C938" s="607"/>
      <c r="D938" s="607"/>
      <c r="E938" s="607"/>
      <c r="F938" s="607"/>
      <c r="G938" s="606"/>
      <c r="H938" s="606"/>
      <c r="I938" s="606"/>
      <c r="J938" s="606"/>
      <c r="K938" s="606"/>
      <c r="L938" s="606"/>
      <c r="M938" s="606"/>
      <c r="N938" s="606"/>
      <c r="O938" s="606"/>
      <c r="P938" s="606"/>
      <c r="Q938" s="606"/>
      <c r="R938" s="606"/>
      <c r="S938" s="606"/>
      <c r="T938" s="606"/>
      <c r="U938" s="606"/>
      <c r="V938" s="606"/>
      <c r="W938" s="606"/>
      <c r="X938" s="640"/>
      <c r="Y938" s="607"/>
      <c r="Z938" s="607"/>
      <c r="AA938" s="607"/>
      <c r="AB938" s="607"/>
      <c r="AC938" s="607"/>
      <c r="AD938" s="607"/>
      <c r="AE938" s="607"/>
      <c r="AF938" s="607"/>
      <c r="AG938" s="607"/>
      <c r="AH938" s="607"/>
      <c r="AI938" s="607"/>
      <c r="AJ938" s="607"/>
      <c r="AK938" s="607"/>
      <c r="AL938" s="606"/>
      <c r="AM938" s="606"/>
      <c r="AN938" s="606"/>
      <c r="AO938" s="606"/>
    </row>
    <row r="939" spans="1:41" ht="11.25" hidden="1" customHeight="1">
      <c r="A939" s="608"/>
      <c r="B939" s="607"/>
      <c r="C939" s="607"/>
      <c r="D939" s="607"/>
      <c r="E939" s="607"/>
      <c r="F939" s="607"/>
      <c r="G939" s="606"/>
      <c r="H939" s="606"/>
      <c r="I939" s="606"/>
      <c r="J939" s="606"/>
      <c r="K939" s="606"/>
      <c r="L939" s="606"/>
      <c r="M939" s="606"/>
      <c r="N939" s="606"/>
      <c r="O939" s="606"/>
      <c r="P939" s="606"/>
      <c r="Q939" s="606"/>
      <c r="R939" s="606"/>
      <c r="S939" s="606"/>
      <c r="T939" s="606"/>
      <c r="U939" s="606"/>
      <c r="V939" s="606"/>
      <c r="W939" s="606"/>
      <c r="X939" s="640"/>
      <c r="Y939" s="607"/>
      <c r="Z939" s="607"/>
      <c r="AA939" s="607"/>
      <c r="AB939" s="607"/>
      <c r="AC939" s="607"/>
      <c r="AD939" s="607"/>
      <c r="AE939" s="607"/>
      <c r="AF939" s="607"/>
      <c r="AG939" s="607"/>
      <c r="AH939" s="607"/>
      <c r="AI939" s="607"/>
      <c r="AJ939" s="607"/>
      <c r="AK939" s="607"/>
      <c r="AL939" s="606"/>
      <c r="AM939" s="606"/>
      <c r="AN939" s="606"/>
      <c r="AO939" s="606"/>
    </row>
    <row r="940" spans="1:41" ht="11.25" hidden="1" customHeight="1">
      <c r="A940" s="608"/>
      <c r="B940" s="607"/>
      <c r="C940" s="607"/>
      <c r="D940" s="607"/>
      <c r="E940" s="607"/>
      <c r="F940" s="607"/>
      <c r="G940" s="606"/>
      <c r="H940" s="606"/>
      <c r="I940" s="606"/>
      <c r="J940" s="606"/>
      <c r="K940" s="606"/>
      <c r="L940" s="606"/>
      <c r="M940" s="606"/>
      <c r="N940" s="606"/>
      <c r="O940" s="606"/>
      <c r="P940" s="606"/>
      <c r="Q940" s="606"/>
      <c r="R940" s="606"/>
      <c r="S940" s="606"/>
      <c r="T940" s="606"/>
      <c r="U940" s="606"/>
      <c r="V940" s="606"/>
      <c r="W940" s="606"/>
      <c r="X940" s="640"/>
      <c r="Y940" s="607"/>
      <c r="Z940" s="607"/>
      <c r="AA940" s="607"/>
      <c r="AB940" s="607"/>
      <c r="AC940" s="607"/>
      <c r="AD940" s="607"/>
      <c r="AE940" s="607"/>
      <c r="AF940" s="607"/>
      <c r="AG940" s="607"/>
      <c r="AH940" s="607"/>
      <c r="AI940" s="607"/>
      <c r="AJ940" s="607"/>
      <c r="AK940" s="607"/>
      <c r="AL940" s="606"/>
      <c r="AM940" s="606"/>
      <c r="AN940" s="606"/>
      <c r="AO940" s="606"/>
    </row>
    <row r="941" spans="1:41" ht="11.25" hidden="1" customHeight="1">
      <c r="A941" s="608"/>
      <c r="B941" s="607"/>
      <c r="C941" s="607"/>
      <c r="D941" s="607"/>
      <c r="E941" s="607"/>
      <c r="F941" s="607"/>
      <c r="G941" s="606"/>
      <c r="H941" s="606"/>
      <c r="I941" s="606"/>
      <c r="J941" s="606"/>
      <c r="K941" s="606"/>
      <c r="L941" s="606"/>
      <c r="M941" s="606"/>
      <c r="N941" s="606"/>
      <c r="O941" s="606"/>
      <c r="P941" s="606"/>
      <c r="Q941" s="606"/>
      <c r="R941" s="606"/>
      <c r="S941" s="606"/>
      <c r="T941" s="606"/>
      <c r="U941" s="606"/>
      <c r="V941" s="606"/>
      <c r="W941" s="606"/>
      <c r="X941" s="640"/>
      <c r="Y941" s="607"/>
      <c r="Z941" s="607"/>
      <c r="AA941" s="607"/>
      <c r="AB941" s="607"/>
      <c r="AC941" s="607"/>
      <c r="AD941" s="607"/>
      <c r="AE941" s="607"/>
      <c r="AF941" s="607"/>
      <c r="AG941" s="607"/>
      <c r="AH941" s="607"/>
      <c r="AI941" s="607"/>
      <c r="AJ941" s="607"/>
      <c r="AK941" s="607"/>
      <c r="AL941" s="606"/>
      <c r="AM941" s="606"/>
      <c r="AN941" s="606"/>
      <c r="AO941" s="606"/>
    </row>
    <row r="942" spans="1:41" ht="11.25" hidden="1" customHeight="1">
      <c r="A942" s="608"/>
      <c r="B942" s="607"/>
      <c r="C942" s="607"/>
      <c r="D942" s="607"/>
      <c r="E942" s="607"/>
      <c r="F942" s="607"/>
      <c r="G942" s="606"/>
      <c r="H942" s="606"/>
      <c r="I942" s="606"/>
      <c r="J942" s="606"/>
      <c r="K942" s="606"/>
      <c r="L942" s="606"/>
      <c r="M942" s="606"/>
      <c r="N942" s="606"/>
      <c r="O942" s="606"/>
      <c r="P942" s="606"/>
      <c r="Q942" s="606"/>
      <c r="R942" s="606"/>
      <c r="S942" s="606"/>
      <c r="T942" s="606"/>
      <c r="U942" s="606"/>
      <c r="V942" s="606"/>
      <c r="W942" s="606"/>
      <c r="X942" s="640"/>
      <c r="Y942" s="607"/>
      <c r="Z942" s="607"/>
      <c r="AA942" s="607"/>
      <c r="AB942" s="607"/>
      <c r="AC942" s="607"/>
      <c r="AD942" s="607"/>
      <c r="AE942" s="607"/>
      <c r="AF942" s="607"/>
      <c r="AG942" s="607"/>
      <c r="AH942" s="607"/>
      <c r="AI942" s="607"/>
      <c r="AJ942" s="607"/>
      <c r="AK942" s="607"/>
      <c r="AL942" s="606"/>
      <c r="AM942" s="606"/>
      <c r="AN942" s="606"/>
      <c r="AO942" s="606"/>
    </row>
    <row r="943" spans="1:41" ht="11.25" hidden="1" customHeight="1">
      <c r="A943" s="608"/>
      <c r="B943" s="607"/>
      <c r="C943" s="607"/>
      <c r="D943" s="607"/>
      <c r="E943" s="607"/>
      <c r="F943" s="607"/>
      <c r="G943" s="606"/>
      <c r="H943" s="606"/>
      <c r="I943" s="606"/>
      <c r="J943" s="606"/>
      <c r="K943" s="606"/>
      <c r="L943" s="606"/>
      <c r="M943" s="606"/>
      <c r="N943" s="606"/>
      <c r="O943" s="606"/>
      <c r="P943" s="606"/>
      <c r="Q943" s="606"/>
      <c r="R943" s="606"/>
      <c r="S943" s="606"/>
      <c r="T943" s="606"/>
      <c r="U943" s="606"/>
      <c r="V943" s="606"/>
      <c r="W943" s="606"/>
      <c r="X943" s="640"/>
      <c r="Y943" s="607"/>
      <c r="Z943" s="607"/>
      <c r="AA943" s="607"/>
      <c r="AB943" s="607"/>
      <c r="AC943" s="607"/>
      <c r="AD943" s="607"/>
      <c r="AE943" s="607"/>
      <c r="AF943" s="607"/>
      <c r="AG943" s="607"/>
      <c r="AH943" s="607"/>
      <c r="AI943" s="607"/>
      <c r="AJ943" s="607"/>
      <c r="AK943" s="607"/>
      <c r="AL943" s="606"/>
      <c r="AM943" s="606"/>
      <c r="AN943" s="606"/>
      <c r="AO943" s="606"/>
    </row>
    <row r="944" spans="1:41" ht="11.25" hidden="1" customHeight="1">
      <c r="A944" s="608"/>
      <c r="B944" s="607"/>
      <c r="C944" s="607"/>
      <c r="D944" s="607"/>
      <c r="E944" s="607"/>
      <c r="F944" s="607"/>
      <c r="G944" s="606"/>
      <c r="H944" s="606"/>
      <c r="I944" s="606"/>
      <c r="J944" s="606"/>
      <c r="K944" s="606"/>
      <c r="L944" s="606"/>
      <c r="M944" s="606"/>
      <c r="N944" s="606"/>
      <c r="O944" s="606"/>
      <c r="P944" s="606"/>
      <c r="Q944" s="606"/>
      <c r="R944" s="606"/>
      <c r="S944" s="606"/>
      <c r="T944" s="606"/>
      <c r="U944" s="606"/>
      <c r="V944" s="606"/>
      <c r="W944" s="606"/>
      <c r="X944" s="640"/>
      <c r="Y944" s="607"/>
      <c r="Z944" s="607"/>
      <c r="AA944" s="607"/>
      <c r="AB944" s="607"/>
      <c r="AC944" s="607"/>
      <c r="AD944" s="607"/>
      <c r="AE944" s="607"/>
      <c r="AF944" s="607"/>
      <c r="AG944" s="607"/>
      <c r="AH944" s="607"/>
      <c r="AI944" s="607"/>
      <c r="AJ944" s="607"/>
      <c r="AK944" s="607"/>
      <c r="AL944" s="606"/>
      <c r="AM944" s="606"/>
      <c r="AN944" s="606"/>
      <c r="AO944" s="606"/>
    </row>
    <row r="945" spans="1:41" ht="11.25" hidden="1" customHeight="1">
      <c r="A945" s="608"/>
      <c r="B945" s="607"/>
      <c r="C945" s="607"/>
      <c r="D945" s="607"/>
      <c r="E945" s="607"/>
      <c r="F945" s="607"/>
      <c r="G945" s="606"/>
      <c r="H945" s="606"/>
      <c r="I945" s="606"/>
      <c r="J945" s="606"/>
      <c r="K945" s="606"/>
      <c r="L945" s="606"/>
      <c r="M945" s="606"/>
      <c r="N945" s="606"/>
      <c r="O945" s="606"/>
      <c r="P945" s="606"/>
      <c r="Q945" s="606"/>
      <c r="R945" s="606"/>
      <c r="S945" s="606"/>
      <c r="T945" s="606"/>
      <c r="U945" s="606"/>
      <c r="V945" s="606"/>
      <c r="W945" s="606"/>
      <c r="X945" s="640"/>
      <c r="Y945" s="607"/>
      <c r="Z945" s="607"/>
      <c r="AA945" s="607"/>
      <c r="AB945" s="607"/>
      <c r="AC945" s="607"/>
      <c r="AD945" s="607"/>
      <c r="AE945" s="607"/>
      <c r="AF945" s="607"/>
      <c r="AG945" s="607"/>
      <c r="AH945" s="607"/>
      <c r="AI945" s="607"/>
      <c r="AJ945" s="607"/>
      <c r="AK945" s="607"/>
      <c r="AL945" s="606"/>
      <c r="AM945" s="606"/>
      <c r="AN945" s="606"/>
      <c r="AO945" s="606"/>
    </row>
    <row r="946" spans="1:41" ht="11.25" hidden="1" customHeight="1">
      <c r="A946" s="608"/>
      <c r="B946" s="607"/>
      <c r="C946" s="607"/>
      <c r="D946" s="607"/>
      <c r="E946" s="607"/>
      <c r="F946" s="607"/>
      <c r="G946" s="606"/>
      <c r="H946" s="606"/>
      <c r="I946" s="606"/>
      <c r="J946" s="606"/>
      <c r="K946" s="606"/>
      <c r="L946" s="606"/>
      <c r="M946" s="606"/>
      <c r="N946" s="606"/>
      <c r="O946" s="606"/>
      <c r="P946" s="606"/>
      <c r="Q946" s="606"/>
      <c r="R946" s="606"/>
      <c r="S946" s="606"/>
      <c r="T946" s="606"/>
      <c r="U946" s="606"/>
      <c r="V946" s="606"/>
      <c r="W946" s="606"/>
      <c r="X946" s="640"/>
      <c r="Y946" s="607"/>
      <c r="Z946" s="607"/>
      <c r="AA946" s="607"/>
      <c r="AB946" s="607"/>
      <c r="AC946" s="607"/>
      <c r="AD946" s="607"/>
      <c r="AE946" s="607"/>
      <c r="AF946" s="607"/>
      <c r="AG946" s="607"/>
      <c r="AH946" s="607"/>
      <c r="AI946" s="607"/>
      <c r="AJ946" s="607"/>
      <c r="AK946" s="607"/>
      <c r="AL946" s="606"/>
      <c r="AM946" s="606"/>
      <c r="AN946" s="606"/>
      <c r="AO946" s="606"/>
    </row>
    <row r="947" spans="1:41" ht="11.25" hidden="1" customHeight="1">
      <c r="A947" s="608"/>
      <c r="B947" s="607"/>
      <c r="C947" s="607"/>
      <c r="D947" s="607"/>
      <c r="E947" s="607"/>
      <c r="F947" s="607"/>
      <c r="G947" s="606"/>
      <c r="H947" s="606"/>
      <c r="I947" s="606"/>
      <c r="J947" s="606"/>
      <c r="K947" s="606"/>
      <c r="L947" s="606"/>
      <c r="M947" s="606"/>
      <c r="N947" s="606"/>
      <c r="O947" s="606"/>
      <c r="P947" s="606"/>
      <c r="Q947" s="606"/>
      <c r="R947" s="606"/>
      <c r="S947" s="606"/>
      <c r="T947" s="606"/>
      <c r="U947" s="606"/>
      <c r="V947" s="606"/>
      <c r="W947" s="606"/>
      <c r="X947" s="640"/>
      <c r="Y947" s="607"/>
      <c r="Z947" s="607"/>
      <c r="AA947" s="607"/>
      <c r="AB947" s="607"/>
      <c r="AC947" s="607"/>
      <c r="AD947" s="607"/>
      <c r="AE947" s="607"/>
      <c r="AF947" s="607"/>
      <c r="AG947" s="607"/>
      <c r="AH947" s="607"/>
      <c r="AI947" s="607"/>
      <c r="AJ947" s="607"/>
      <c r="AK947" s="607"/>
      <c r="AL947" s="606"/>
      <c r="AM947" s="606"/>
      <c r="AN947" s="606"/>
      <c r="AO947" s="606"/>
    </row>
    <row r="948" spans="1:41" ht="11.25" hidden="1" customHeight="1">
      <c r="A948" s="608"/>
      <c r="B948" s="607"/>
      <c r="C948" s="607"/>
      <c r="D948" s="607"/>
      <c r="E948" s="607"/>
      <c r="F948" s="607"/>
      <c r="G948" s="606"/>
      <c r="H948" s="606"/>
      <c r="I948" s="606"/>
      <c r="J948" s="606"/>
      <c r="K948" s="606"/>
      <c r="L948" s="606"/>
      <c r="M948" s="606"/>
      <c r="N948" s="606"/>
      <c r="O948" s="606"/>
      <c r="P948" s="606"/>
      <c r="Q948" s="606"/>
      <c r="R948" s="606"/>
      <c r="S948" s="606"/>
      <c r="T948" s="606"/>
      <c r="U948" s="606"/>
      <c r="V948" s="606"/>
      <c r="W948" s="606"/>
      <c r="X948" s="640"/>
      <c r="Y948" s="607"/>
      <c r="Z948" s="607"/>
      <c r="AA948" s="607"/>
      <c r="AB948" s="607"/>
      <c r="AC948" s="607"/>
      <c r="AD948" s="607"/>
      <c r="AE948" s="607"/>
      <c r="AF948" s="607"/>
      <c r="AG948" s="607"/>
      <c r="AH948" s="607"/>
      <c r="AI948" s="607"/>
      <c r="AJ948" s="607"/>
      <c r="AK948" s="607"/>
      <c r="AL948" s="606"/>
      <c r="AM948" s="606"/>
      <c r="AN948" s="606"/>
      <c r="AO948" s="606"/>
    </row>
    <row r="949" spans="1:41" ht="11.25" hidden="1" customHeight="1">
      <c r="A949" s="608"/>
      <c r="B949" s="607"/>
      <c r="C949" s="607"/>
      <c r="D949" s="607"/>
      <c r="E949" s="607"/>
      <c r="F949" s="607"/>
      <c r="G949" s="606"/>
      <c r="H949" s="606"/>
      <c r="I949" s="606"/>
      <c r="J949" s="606"/>
      <c r="K949" s="606"/>
      <c r="L949" s="606"/>
      <c r="M949" s="606"/>
      <c r="N949" s="606"/>
      <c r="O949" s="606"/>
      <c r="P949" s="606"/>
      <c r="Q949" s="606"/>
      <c r="R949" s="606"/>
      <c r="S949" s="606"/>
      <c r="T949" s="606"/>
      <c r="U949" s="606"/>
      <c r="V949" s="606"/>
      <c r="W949" s="606"/>
      <c r="X949" s="640"/>
      <c r="Y949" s="607"/>
      <c r="Z949" s="607"/>
      <c r="AA949" s="607"/>
      <c r="AB949" s="607"/>
      <c r="AC949" s="607"/>
      <c r="AD949" s="607"/>
      <c r="AE949" s="607"/>
      <c r="AF949" s="607"/>
      <c r="AG949" s="607"/>
      <c r="AH949" s="607"/>
      <c r="AI949" s="607"/>
      <c r="AJ949" s="607"/>
      <c r="AK949" s="607"/>
      <c r="AL949" s="606"/>
      <c r="AM949" s="606"/>
      <c r="AN949" s="606"/>
      <c r="AO949" s="606"/>
    </row>
    <row r="950" spans="1:41" ht="11.25" hidden="1" customHeight="1">
      <c r="A950" s="608"/>
      <c r="B950" s="607"/>
      <c r="C950" s="607"/>
      <c r="D950" s="607"/>
      <c r="E950" s="607"/>
      <c r="F950" s="607"/>
      <c r="G950" s="606"/>
      <c r="H950" s="606"/>
      <c r="I950" s="606"/>
      <c r="J950" s="606"/>
      <c r="K950" s="606"/>
      <c r="L950" s="606"/>
      <c r="M950" s="606"/>
      <c r="N950" s="606"/>
      <c r="O950" s="606"/>
      <c r="P950" s="606"/>
      <c r="Q950" s="606"/>
      <c r="R950" s="606"/>
      <c r="S950" s="606"/>
      <c r="T950" s="606"/>
      <c r="U950" s="606"/>
      <c r="V950" s="606"/>
      <c r="W950" s="606"/>
      <c r="X950" s="640"/>
      <c r="Y950" s="607"/>
      <c r="Z950" s="607"/>
      <c r="AA950" s="607"/>
      <c r="AB950" s="607"/>
      <c r="AC950" s="607"/>
      <c r="AD950" s="607"/>
      <c r="AE950" s="607"/>
      <c r="AF950" s="607"/>
      <c r="AG950" s="607"/>
      <c r="AH950" s="607"/>
      <c r="AI950" s="607"/>
      <c r="AJ950" s="607"/>
      <c r="AK950" s="607"/>
      <c r="AL950" s="606"/>
      <c r="AM950" s="606"/>
      <c r="AN950" s="606"/>
      <c r="AO950" s="606"/>
    </row>
    <row r="951" spans="1:41" ht="11.25" hidden="1" customHeight="1">
      <c r="A951" s="608"/>
      <c r="B951" s="607"/>
      <c r="C951" s="607"/>
      <c r="D951" s="607"/>
      <c r="E951" s="607"/>
      <c r="F951" s="607"/>
      <c r="G951" s="606"/>
      <c r="H951" s="606"/>
      <c r="I951" s="606"/>
      <c r="J951" s="606"/>
      <c r="K951" s="606"/>
      <c r="L951" s="606"/>
      <c r="M951" s="606"/>
      <c r="N951" s="606"/>
      <c r="O951" s="606"/>
      <c r="P951" s="606"/>
      <c r="Q951" s="606"/>
      <c r="R951" s="606"/>
      <c r="S951" s="606"/>
      <c r="T951" s="606"/>
      <c r="U951" s="606"/>
      <c r="V951" s="606"/>
      <c r="W951" s="606"/>
      <c r="X951" s="640"/>
      <c r="Y951" s="607"/>
      <c r="Z951" s="607"/>
      <c r="AA951" s="607"/>
      <c r="AB951" s="607"/>
      <c r="AC951" s="607"/>
      <c r="AD951" s="607"/>
      <c r="AE951" s="607"/>
      <c r="AF951" s="607"/>
      <c r="AG951" s="607"/>
      <c r="AH951" s="607"/>
      <c r="AI951" s="607"/>
      <c r="AJ951" s="607"/>
      <c r="AK951" s="607"/>
      <c r="AL951" s="606"/>
      <c r="AM951" s="606"/>
      <c r="AN951" s="606"/>
      <c r="AO951" s="606"/>
    </row>
    <row r="952" spans="1:41" ht="11.25" hidden="1" customHeight="1">
      <c r="A952" s="608"/>
      <c r="B952" s="607"/>
      <c r="C952" s="607"/>
      <c r="D952" s="607"/>
      <c r="E952" s="607"/>
      <c r="F952" s="607"/>
      <c r="G952" s="606"/>
      <c r="H952" s="606"/>
      <c r="I952" s="606"/>
      <c r="J952" s="606"/>
      <c r="K952" s="606"/>
      <c r="L952" s="606"/>
      <c r="M952" s="606"/>
      <c r="N952" s="606"/>
      <c r="O952" s="606"/>
      <c r="P952" s="606"/>
      <c r="Q952" s="606"/>
      <c r="R952" s="606"/>
      <c r="S952" s="606"/>
      <c r="T952" s="606"/>
      <c r="U952" s="606"/>
      <c r="V952" s="606"/>
      <c r="W952" s="606"/>
      <c r="X952" s="640"/>
      <c r="Y952" s="607"/>
      <c r="Z952" s="607"/>
      <c r="AA952" s="607"/>
      <c r="AB952" s="607"/>
      <c r="AC952" s="607"/>
      <c r="AD952" s="607"/>
      <c r="AE952" s="607"/>
      <c r="AF952" s="607"/>
      <c r="AG952" s="607"/>
      <c r="AH952" s="607"/>
      <c r="AI952" s="607"/>
      <c r="AJ952" s="607"/>
      <c r="AK952" s="607"/>
      <c r="AL952" s="606"/>
      <c r="AM952" s="606"/>
      <c r="AN952" s="606"/>
      <c r="AO952" s="606"/>
    </row>
    <row r="953" spans="1:41" ht="11.25" hidden="1" customHeight="1">
      <c r="A953" s="608"/>
      <c r="B953" s="607"/>
      <c r="C953" s="607"/>
      <c r="D953" s="607"/>
      <c r="E953" s="607"/>
      <c r="F953" s="607"/>
      <c r="G953" s="606"/>
      <c r="H953" s="606"/>
      <c r="I953" s="606"/>
      <c r="J953" s="606"/>
      <c r="K953" s="606"/>
      <c r="L953" s="606"/>
      <c r="M953" s="606"/>
      <c r="N953" s="606"/>
      <c r="O953" s="606"/>
      <c r="P953" s="606"/>
      <c r="Q953" s="606"/>
      <c r="R953" s="606"/>
      <c r="S953" s="606"/>
      <c r="T953" s="606"/>
      <c r="U953" s="606"/>
      <c r="V953" s="606"/>
      <c r="W953" s="606"/>
      <c r="X953" s="640"/>
      <c r="Y953" s="607"/>
      <c r="Z953" s="607"/>
      <c r="AA953" s="607"/>
      <c r="AB953" s="607"/>
      <c r="AC953" s="607"/>
      <c r="AD953" s="607"/>
      <c r="AE953" s="607"/>
      <c r="AF953" s="607"/>
      <c r="AG953" s="607"/>
      <c r="AH953" s="607"/>
      <c r="AI953" s="607"/>
      <c r="AJ953" s="607"/>
      <c r="AK953" s="607"/>
      <c r="AL953" s="606"/>
      <c r="AM953" s="606"/>
      <c r="AN953" s="606"/>
      <c r="AO953" s="606"/>
    </row>
    <row r="954" spans="1:41" ht="11.25" hidden="1" customHeight="1">
      <c r="A954" s="608"/>
      <c r="B954" s="607"/>
      <c r="C954" s="607"/>
      <c r="D954" s="607"/>
      <c r="E954" s="607"/>
      <c r="F954" s="607"/>
      <c r="G954" s="606"/>
      <c r="H954" s="606"/>
      <c r="I954" s="606"/>
      <c r="J954" s="606"/>
      <c r="K954" s="606"/>
      <c r="L954" s="606"/>
      <c r="M954" s="606"/>
      <c r="N954" s="606"/>
      <c r="O954" s="606"/>
      <c r="P954" s="606"/>
      <c r="Q954" s="606"/>
      <c r="R954" s="606"/>
      <c r="S954" s="606"/>
      <c r="T954" s="606"/>
      <c r="U954" s="606"/>
      <c r="V954" s="606"/>
      <c r="W954" s="606"/>
      <c r="X954" s="640"/>
      <c r="Y954" s="607"/>
      <c r="Z954" s="607"/>
      <c r="AA954" s="607"/>
      <c r="AB954" s="607"/>
      <c r="AC954" s="607"/>
      <c r="AD954" s="607"/>
      <c r="AE954" s="607"/>
      <c r="AF954" s="607"/>
      <c r="AG954" s="607"/>
      <c r="AH954" s="607"/>
      <c r="AI954" s="607"/>
      <c r="AJ954" s="607"/>
      <c r="AK954" s="607"/>
      <c r="AL954" s="606"/>
      <c r="AM954" s="606"/>
      <c r="AN954" s="606"/>
      <c r="AO954" s="606"/>
    </row>
    <row r="955" spans="1:41" ht="11.25" hidden="1" customHeight="1">
      <c r="A955" s="608"/>
      <c r="B955" s="607"/>
      <c r="C955" s="607"/>
      <c r="D955" s="607"/>
      <c r="E955" s="607"/>
      <c r="F955" s="607"/>
      <c r="G955" s="606"/>
      <c r="H955" s="606"/>
      <c r="I955" s="606"/>
      <c r="J955" s="606"/>
      <c r="K955" s="606"/>
      <c r="L955" s="606"/>
      <c r="M955" s="606"/>
      <c r="N955" s="606"/>
      <c r="O955" s="606"/>
      <c r="P955" s="606"/>
      <c r="Q955" s="606"/>
      <c r="R955" s="606"/>
      <c r="S955" s="606"/>
      <c r="T955" s="606"/>
      <c r="U955" s="606"/>
      <c r="V955" s="606"/>
      <c r="W955" s="606"/>
      <c r="X955" s="640"/>
      <c r="Y955" s="607"/>
      <c r="Z955" s="607"/>
      <c r="AA955" s="607"/>
      <c r="AB955" s="607"/>
      <c r="AC955" s="607"/>
      <c r="AD955" s="607"/>
      <c r="AE955" s="607"/>
      <c r="AF955" s="607"/>
      <c r="AG955" s="607"/>
      <c r="AH955" s="607"/>
      <c r="AI955" s="607"/>
      <c r="AJ955" s="607"/>
      <c r="AK955" s="607"/>
      <c r="AL955" s="606"/>
      <c r="AM955" s="606"/>
      <c r="AN955" s="606"/>
      <c r="AO955" s="606"/>
    </row>
    <row r="956" spans="1:41" ht="11.25" hidden="1" customHeight="1">
      <c r="A956" s="608"/>
      <c r="B956" s="607"/>
      <c r="C956" s="607"/>
      <c r="D956" s="607"/>
      <c r="E956" s="607"/>
      <c r="F956" s="607"/>
      <c r="G956" s="606"/>
      <c r="H956" s="606"/>
      <c r="I956" s="606"/>
      <c r="J956" s="606"/>
      <c r="K956" s="606"/>
      <c r="L956" s="606"/>
      <c r="M956" s="606"/>
      <c r="N956" s="606"/>
      <c r="O956" s="606"/>
      <c r="P956" s="606"/>
      <c r="Q956" s="606"/>
      <c r="R956" s="606"/>
      <c r="S956" s="606"/>
      <c r="T956" s="606"/>
      <c r="U956" s="606"/>
      <c r="V956" s="606"/>
      <c r="W956" s="606"/>
      <c r="X956" s="640"/>
      <c r="Y956" s="607"/>
      <c r="Z956" s="607"/>
      <c r="AA956" s="607"/>
      <c r="AB956" s="607"/>
      <c r="AC956" s="607"/>
      <c r="AD956" s="607"/>
      <c r="AE956" s="607"/>
      <c r="AF956" s="607"/>
      <c r="AG956" s="607"/>
      <c r="AH956" s="607"/>
      <c r="AI956" s="607"/>
      <c r="AJ956" s="607"/>
      <c r="AK956" s="607"/>
      <c r="AL956" s="606"/>
      <c r="AM956" s="606"/>
      <c r="AN956" s="606"/>
      <c r="AO956" s="606"/>
    </row>
    <row r="957" spans="1:41" ht="11.25" hidden="1" customHeight="1">
      <c r="A957" s="608"/>
      <c r="B957" s="607"/>
      <c r="C957" s="607"/>
      <c r="D957" s="607"/>
      <c r="E957" s="607"/>
      <c r="F957" s="607"/>
      <c r="G957" s="606"/>
      <c r="H957" s="606"/>
      <c r="I957" s="606"/>
      <c r="J957" s="606"/>
      <c r="K957" s="606"/>
      <c r="L957" s="606"/>
      <c r="M957" s="606"/>
      <c r="N957" s="606"/>
      <c r="O957" s="606"/>
      <c r="P957" s="606"/>
      <c r="Q957" s="606"/>
      <c r="R957" s="606"/>
      <c r="S957" s="606"/>
      <c r="T957" s="606"/>
      <c r="U957" s="606"/>
      <c r="V957" s="606"/>
      <c r="W957" s="606"/>
      <c r="X957" s="640"/>
      <c r="Y957" s="607"/>
      <c r="Z957" s="607"/>
      <c r="AA957" s="607"/>
      <c r="AB957" s="607"/>
      <c r="AC957" s="607"/>
      <c r="AD957" s="607"/>
      <c r="AE957" s="607"/>
      <c r="AF957" s="607"/>
      <c r="AG957" s="607"/>
      <c r="AH957" s="607"/>
      <c r="AI957" s="607"/>
      <c r="AJ957" s="607"/>
      <c r="AK957" s="607"/>
      <c r="AL957" s="606"/>
      <c r="AM957" s="606"/>
      <c r="AN957" s="606"/>
      <c r="AO957" s="606"/>
    </row>
    <row r="958" spans="1:41" ht="11.25" hidden="1" customHeight="1">
      <c r="A958" s="608"/>
      <c r="B958" s="607"/>
      <c r="C958" s="607"/>
      <c r="D958" s="607"/>
      <c r="E958" s="607"/>
      <c r="F958" s="607"/>
      <c r="G958" s="606"/>
      <c r="H958" s="606"/>
      <c r="I958" s="606"/>
      <c r="J958" s="606"/>
      <c r="K958" s="606"/>
      <c r="L958" s="606"/>
      <c r="M958" s="606"/>
      <c r="N958" s="606"/>
      <c r="O958" s="606"/>
      <c r="P958" s="606"/>
      <c r="Q958" s="606"/>
      <c r="R958" s="606"/>
      <c r="S958" s="606"/>
      <c r="T958" s="606"/>
      <c r="U958" s="606"/>
      <c r="V958" s="606"/>
      <c r="W958" s="606"/>
      <c r="X958" s="640"/>
      <c r="Y958" s="607"/>
      <c r="Z958" s="607"/>
      <c r="AA958" s="607"/>
      <c r="AB958" s="607"/>
      <c r="AC958" s="607"/>
      <c r="AD958" s="607"/>
      <c r="AE958" s="607"/>
      <c r="AF958" s="607"/>
      <c r="AG958" s="607"/>
      <c r="AH958" s="607"/>
      <c r="AI958" s="607"/>
      <c r="AJ958" s="607"/>
      <c r="AK958" s="607"/>
      <c r="AL958" s="606"/>
      <c r="AM958" s="606"/>
      <c r="AN958" s="606"/>
      <c r="AO958" s="606"/>
    </row>
    <row r="959" spans="1:41" ht="11.25" hidden="1" customHeight="1">
      <c r="A959" s="608"/>
      <c r="B959" s="607"/>
      <c r="C959" s="607"/>
      <c r="D959" s="607"/>
      <c r="E959" s="607"/>
      <c r="F959" s="607"/>
      <c r="G959" s="606"/>
      <c r="H959" s="606"/>
      <c r="I959" s="606"/>
      <c r="J959" s="606"/>
      <c r="K959" s="606"/>
      <c r="L959" s="606"/>
      <c r="M959" s="606"/>
      <c r="N959" s="606"/>
      <c r="O959" s="606"/>
      <c r="P959" s="606"/>
      <c r="Q959" s="606"/>
      <c r="R959" s="606"/>
      <c r="S959" s="606"/>
      <c r="T959" s="606"/>
      <c r="U959" s="606"/>
      <c r="V959" s="606"/>
      <c r="W959" s="606"/>
      <c r="X959" s="640"/>
      <c r="Y959" s="607"/>
      <c r="Z959" s="607"/>
      <c r="AA959" s="607"/>
      <c r="AB959" s="607"/>
      <c r="AC959" s="607"/>
      <c r="AD959" s="607"/>
      <c r="AE959" s="607"/>
      <c r="AF959" s="607"/>
      <c r="AG959" s="607"/>
      <c r="AH959" s="607"/>
      <c r="AI959" s="607"/>
      <c r="AJ959" s="607"/>
      <c r="AK959" s="607"/>
      <c r="AL959" s="606"/>
      <c r="AM959" s="606"/>
      <c r="AN959" s="606"/>
      <c r="AO959" s="606"/>
    </row>
    <row r="960" spans="1:41" ht="11.25" hidden="1" customHeight="1">
      <c r="A960" s="608"/>
      <c r="B960" s="607"/>
      <c r="C960" s="607"/>
      <c r="D960" s="607"/>
      <c r="E960" s="607"/>
      <c r="F960" s="607"/>
      <c r="G960" s="606"/>
      <c r="H960" s="606"/>
      <c r="I960" s="606"/>
      <c r="J960" s="606"/>
      <c r="K960" s="606"/>
      <c r="L960" s="606"/>
      <c r="M960" s="606"/>
      <c r="N960" s="606"/>
      <c r="O960" s="606"/>
      <c r="P960" s="606"/>
      <c r="Q960" s="606"/>
      <c r="R960" s="606"/>
      <c r="S960" s="606"/>
      <c r="T960" s="606"/>
      <c r="U960" s="606"/>
      <c r="V960" s="606"/>
      <c r="W960" s="606"/>
      <c r="X960" s="640"/>
      <c r="Y960" s="607"/>
      <c r="Z960" s="607"/>
      <c r="AA960" s="607"/>
      <c r="AB960" s="607"/>
      <c r="AC960" s="607"/>
      <c r="AD960" s="607"/>
      <c r="AE960" s="607"/>
      <c r="AF960" s="607"/>
      <c r="AG960" s="607"/>
      <c r="AH960" s="607"/>
      <c r="AI960" s="607"/>
      <c r="AJ960" s="607"/>
      <c r="AK960" s="607"/>
      <c r="AL960" s="606"/>
      <c r="AM960" s="606"/>
      <c r="AN960" s="606"/>
      <c r="AO960" s="606"/>
    </row>
    <row r="961" spans="1:41" ht="11.25" hidden="1" customHeight="1">
      <c r="A961" s="608"/>
      <c r="B961" s="607"/>
      <c r="C961" s="607"/>
      <c r="D961" s="607"/>
      <c r="E961" s="607"/>
      <c r="F961" s="607"/>
      <c r="G961" s="606"/>
      <c r="H961" s="606"/>
      <c r="I961" s="606"/>
      <c r="J961" s="606"/>
      <c r="K961" s="606"/>
      <c r="L961" s="606"/>
      <c r="M961" s="606"/>
      <c r="N961" s="606"/>
      <c r="O961" s="606"/>
      <c r="P961" s="606"/>
      <c r="Q961" s="606"/>
      <c r="R961" s="606"/>
      <c r="S961" s="606"/>
      <c r="T961" s="606"/>
      <c r="U961" s="606"/>
      <c r="V961" s="606"/>
      <c r="W961" s="606"/>
      <c r="X961" s="640"/>
      <c r="Y961" s="607"/>
      <c r="Z961" s="607"/>
      <c r="AA961" s="607"/>
      <c r="AB961" s="607"/>
      <c r="AC961" s="607"/>
      <c r="AD961" s="607"/>
      <c r="AE961" s="607"/>
      <c r="AF961" s="607"/>
      <c r="AG961" s="607"/>
      <c r="AH961" s="607"/>
      <c r="AI961" s="607"/>
      <c r="AJ961" s="607"/>
      <c r="AK961" s="607"/>
      <c r="AL961" s="606"/>
      <c r="AM961" s="606"/>
      <c r="AN961" s="606"/>
      <c r="AO961" s="606"/>
    </row>
    <row r="962" spans="1:41" ht="11.25" hidden="1" customHeight="1">
      <c r="A962" s="608"/>
      <c r="B962" s="607"/>
      <c r="C962" s="607"/>
      <c r="D962" s="607"/>
      <c r="E962" s="607"/>
      <c r="F962" s="607"/>
      <c r="G962" s="606"/>
      <c r="H962" s="606"/>
      <c r="I962" s="606"/>
      <c r="J962" s="606"/>
      <c r="K962" s="606"/>
      <c r="L962" s="606"/>
      <c r="M962" s="606"/>
      <c r="N962" s="606"/>
      <c r="O962" s="606"/>
      <c r="P962" s="606"/>
      <c r="Q962" s="606"/>
      <c r="R962" s="606"/>
      <c r="S962" s="606"/>
      <c r="T962" s="606"/>
      <c r="U962" s="606"/>
      <c r="V962" s="606"/>
      <c r="W962" s="606"/>
      <c r="X962" s="640"/>
      <c r="Y962" s="607"/>
      <c r="Z962" s="607"/>
      <c r="AA962" s="607"/>
      <c r="AB962" s="607"/>
      <c r="AC962" s="607"/>
      <c r="AD962" s="607"/>
      <c r="AE962" s="607"/>
      <c r="AF962" s="607"/>
      <c r="AG962" s="607"/>
      <c r="AH962" s="607"/>
      <c r="AI962" s="607"/>
      <c r="AJ962" s="607"/>
      <c r="AK962" s="607"/>
      <c r="AL962" s="606"/>
      <c r="AM962" s="606"/>
      <c r="AN962" s="606"/>
      <c r="AO962" s="606"/>
    </row>
    <row r="963" spans="1:41" ht="11.25" hidden="1" customHeight="1">
      <c r="A963" s="608"/>
      <c r="B963" s="607"/>
      <c r="C963" s="607"/>
      <c r="D963" s="607"/>
      <c r="E963" s="607"/>
      <c r="F963" s="607"/>
      <c r="G963" s="606"/>
      <c r="H963" s="606"/>
      <c r="I963" s="606"/>
      <c r="J963" s="606"/>
      <c r="K963" s="606"/>
      <c r="L963" s="606"/>
      <c r="M963" s="606"/>
      <c r="N963" s="606"/>
      <c r="O963" s="606"/>
      <c r="P963" s="606"/>
      <c r="Q963" s="606"/>
      <c r="R963" s="606"/>
      <c r="S963" s="606"/>
      <c r="T963" s="606"/>
      <c r="U963" s="606"/>
      <c r="V963" s="606"/>
      <c r="W963" s="606"/>
      <c r="X963" s="640"/>
      <c r="Y963" s="607"/>
      <c r="Z963" s="607"/>
      <c r="AA963" s="607"/>
      <c r="AB963" s="607"/>
      <c r="AC963" s="607"/>
      <c r="AD963" s="607"/>
      <c r="AE963" s="607"/>
      <c r="AF963" s="607"/>
      <c r="AG963" s="607"/>
      <c r="AH963" s="607"/>
      <c r="AI963" s="607"/>
      <c r="AJ963" s="607"/>
      <c r="AK963" s="607"/>
      <c r="AL963" s="606"/>
      <c r="AM963" s="606"/>
      <c r="AN963" s="606"/>
      <c r="AO963" s="606"/>
    </row>
    <row r="964" spans="1:41" ht="11.25" hidden="1" customHeight="1">
      <c r="A964" s="608"/>
      <c r="B964" s="607"/>
      <c r="C964" s="607"/>
      <c r="D964" s="607"/>
      <c r="E964" s="607"/>
      <c r="F964" s="607"/>
      <c r="G964" s="606"/>
      <c r="H964" s="606"/>
      <c r="I964" s="606"/>
      <c r="J964" s="606"/>
      <c r="K964" s="606"/>
      <c r="L964" s="606"/>
      <c r="M964" s="606"/>
      <c r="N964" s="606"/>
      <c r="O964" s="606"/>
      <c r="P964" s="606"/>
      <c r="Q964" s="606"/>
      <c r="R964" s="606"/>
      <c r="S964" s="606"/>
      <c r="T964" s="606"/>
      <c r="U964" s="606"/>
      <c r="V964" s="606"/>
      <c r="W964" s="606"/>
      <c r="X964" s="640"/>
      <c r="Y964" s="607"/>
      <c r="Z964" s="607"/>
      <c r="AA964" s="607"/>
      <c r="AB964" s="607"/>
      <c r="AC964" s="607"/>
      <c r="AD964" s="607"/>
      <c r="AE964" s="607"/>
      <c r="AF964" s="607"/>
      <c r="AG964" s="607"/>
      <c r="AH964" s="607"/>
      <c r="AI964" s="607"/>
      <c r="AJ964" s="607"/>
      <c r="AK964" s="607"/>
      <c r="AL964" s="606"/>
      <c r="AM964" s="606"/>
      <c r="AN964" s="606"/>
      <c r="AO964" s="606"/>
    </row>
    <row r="965" spans="1:41" ht="11.25" hidden="1" customHeight="1">
      <c r="A965" s="608"/>
      <c r="B965" s="607"/>
      <c r="C965" s="607"/>
      <c r="D965" s="607"/>
      <c r="E965" s="607"/>
      <c r="F965" s="607"/>
      <c r="G965" s="606"/>
      <c r="H965" s="606"/>
      <c r="I965" s="606"/>
      <c r="J965" s="606"/>
      <c r="K965" s="606"/>
      <c r="L965" s="606"/>
      <c r="M965" s="606"/>
      <c r="N965" s="606"/>
      <c r="O965" s="606"/>
      <c r="P965" s="606"/>
      <c r="Q965" s="606"/>
      <c r="R965" s="606"/>
      <c r="S965" s="606"/>
      <c r="T965" s="606"/>
      <c r="U965" s="606"/>
      <c r="V965" s="606"/>
      <c r="W965" s="606"/>
      <c r="X965" s="640"/>
      <c r="Y965" s="607"/>
      <c r="Z965" s="607"/>
      <c r="AA965" s="607"/>
      <c r="AB965" s="607"/>
      <c r="AC965" s="607"/>
      <c r="AD965" s="607"/>
      <c r="AE965" s="607"/>
      <c r="AF965" s="607"/>
      <c r="AG965" s="607"/>
      <c r="AH965" s="607"/>
      <c r="AI965" s="607"/>
      <c r="AJ965" s="607"/>
      <c r="AK965" s="607"/>
      <c r="AL965" s="606"/>
      <c r="AM965" s="606"/>
      <c r="AN965" s="606"/>
      <c r="AO965" s="606"/>
    </row>
    <row r="966" spans="1:41" ht="11.25" hidden="1" customHeight="1">
      <c r="A966" s="608"/>
      <c r="B966" s="607"/>
      <c r="C966" s="607"/>
      <c r="D966" s="607"/>
      <c r="E966" s="607"/>
      <c r="F966" s="607"/>
      <c r="G966" s="606"/>
      <c r="H966" s="606"/>
      <c r="I966" s="606"/>
      <c r="J966" s="606"/>
      <c r="K966" s="606"/>
      <c r="L966" s="606"/>
      <c r="M966" s="606"/>
      <c r="N966" s="606"/>
      <c r="O966" s="606"/>
      <c r="P966" s="606"/>
      <c r="Q966" s="606"/>
      <c r="R966" s="606"/>
      <c r="S966" s="606"/>
      <c r="T966" s="606"/>
      <c r="U966" s="606"/>
      <c r="V966" s="606"/>
      <c r="W966" s="606"/>
      <c r="X966" s="640"/>
      <c r="Y966" s="607"/>
      <c r="Z966" s="607"/>
      <c r="AA966" s="607"/>
      <c r="AB966" s="607"/>
      <c r="AC966" s="607"/>
      <c r="AD966" s="607"/>
      <c r="AE966" s="607"/>
      <c r="AF966" s="607"/>
      <c r="AG966" s="607"/>
      <c r="AH966" s="607"/>
      <c r="AI966" s="607"/>
      <c r="AJ966" s="607"/>
      <c r="AK966" s="607"/>
      <c r="AL966" s="606"/>
      <c r="AM966" s="606"/>
      <c r="AN966" s="606"/>
      <c r="AO966" s="606"/>
    </row>
    <row r="967" spans="1:41" ht="11.25" hidden="1" customHeight="1">
      <c r="A967" s="608"/>
      <c r="B967" s="607"/>
      <c r="C967" s="607"/>
      <c r="D967" s="607"/>
      <c r="E967" s="607"/>
      <c r="F967" s="607"/>
      <c r="G967" s="606"/>
      <c r="H967" s="606"/>
      <c r="I967" s="606"/>
      <c r="J967" s="606"/>
      <c r="K967" s="606"/>
      <c r="L967" s="606"/>
      <c r="M967" s="606"/>
      <c r="N967" s="606"/>
      <c r="O967" s="606"/>
      <c r="P967" s="606"/>
      <c r="Q967" s="606"/>
      <c r="R967" s="606"/>
      <c r="S967" s="606"/>
      <c r="T967" s="606"/>
      <c r="U967" s="606"/>
      <c r="V967" s="606"/>
      <c r="W967" s="606"/>
      <c r="X967" s="640"/>
      <c r="Y967" s="607"/>
      <c r="Z967" s="607"/>
      <c r="AA967" s="607"/>
      <c r="AB967" s="607"/>
      <c r="AC967" s="607"/>
      <c r="AD967" s="607"/>
      <c r="AE967" s="607"/>
      <c r="AF967" s="607"/>
      <c r="AG967" s="607"/>
      <c r="AH967" s="607"/>
      <c r="AI967" s="607"/>
      <c r="AJ967" s="607"/>
      <c r="AK967" s="607"/>
      <c r="AL967" s="606"/>
      <c r="AM967" s="606"/>
      <c r="AN967" s="606"/>
      <c r="AO967" s="606"/>
    </row>
    <row r="968" spans="1:41" ht="11.25" hidden="1" customHeight="1">
      <c r="A968" s="608"/>
      <c r="B968" s="607"/>
      <c r="C968" s="607"/>
      <c r="D968" s="607"/>
      <c r="E968" s="607"/>
      <c r="F968" s="607"/>
      <c r="G968" s="606"/>
      <c r="H968" s="606"/>
      <c r="I968" s="606"/>
      <c r="J968" s="606"/>
      <c r="K968" s="606"/>
      <c r="L968" s="606"/>
      <c r="M968" s="606"/>
      <c r="N968" s="606"/>
      <c r="O968" s="606"/>
      <c r="P968" s="606"/>
      <c r="Q968" s="606"/>
      <c r="R968" s="606"/>
      <c r="S968" s="606"/>
      <c r="T968" s="606"/>
      <c r="U968" s="606"/>
      <c r="V968" s="606"/>
      <c r="W968" s="606"/>
      <c r="X968" s="640"/>
      <c r="Y968" s="607"/>
      <c r="Z968" s="607"/>
      <c r="AA968" s="607"/>
      <c r="AB968" s="607"/>
      <c r="AC968" s="607"/>
      <c r="AD968" s="607"/>
      <c r="AE968" s="607"/>
      <c r="AF968" s="607"/>
      <c r="AG968" s="607"/>
      <c r="AH968" s="607"/>
      <c r="AI968" s="607"/>
      <c r="AJ968" s="607"/>
      <c r="AK968" s="607"/>
      <c r="AL968" s="606"/>
      <c r="AM968" s="606"/>
      <c r="AN968" s="606"/>
      <c r="AO968" s="606"/>
    </row>
    <row r="969" spans="1:41" ht="11.25" hidden="1" customHeight="1">
      <c r="A969" s="608"/>
      <c r="B969" s="607"/>
      <c r="C969" s="607"/>
      <c r="D969" s="607"/>
      <c r="E969" s="607"/>
      <c r="F969" s="607"/>
      <c r="G969" s="606"/>
      <c r="H969" s="606"/>
      <c r="I969" s="606"/>
      <c r="J969" s="606"/>
      <c r="K969" s="606"/>
      <c r="L969" s="606"/>
      <c r="M969" s="606"/>
      <c r="N969" s="606"/>
      <c r="O969" s="606"/>
      <c r="P969" s="606"/>
      <c r="Q969" s="606"/>
      <c r="R969" s="606"/>
      <c r="S969" s="606"/>
      <c r="T969" s="606"/>
      <c r="U969" s="606"/>
      <c r="V969" s="606"/>
      <c r="W969" s="606"/>
      <c r="X969" s="640"/>
      <c r="Y969" s="607"/>
      <c r="Z969" s="607"/>
      <c r="AA969" s="607"/>
      <c r="AB969" s="607"/>
      <c r="AC969" s="607"/>
      <c r="AD969" s="607"/>
      <c r="AE969" s="607"/>
      <c r="AF969" s="607"/>
      <c r="AG969" s="607"/>
      <c r="AH969" s="607"/>
      <c r="AI969" s="607"/>
      <c r="AJ969" s="607"/>
      <c r="AK969" s="607"/>
      <c r="AL969" s="606"/>
      <c r="AM969" s="606"/>
      <c r="AN969" s="606"/>
      <c r="AO969" s="606"/>
    </row>
    <row r="970" spans="1:41" ht="11.25" hidden="1" customHeight="1">
      <c r="A970" s="608"/>
      <c r="B970" s="607"/>
      <c r="C970" s="607"/>
      <c r="D970" s="607"/>
      <c r="E970" s="607"/>
      <c r="F970" s="607"/>
      <c r="G970" s="606"/>
      <c r="H970" s="606"/>
      <c r="I970" s="606"/>
      <c r="J970" s="606"/>
      <c r="K970" s="606"/>
      <c r="L970" s="606"/>
      <c r="M970" s="606"/>
      <c r="N970" s="606"/>
      <c r="O970" s="606"/>
      <c r="P970" s="606"/>
      <c r="Q970" s="606"/>
      <c r="R970" s="606"/>
      <c r="S970" s="606"/>
      <c r="T970" s="606"/>
      <c r="U970" s="606"/>
      <c r="V970" s="606"/>
      <c r="W970" s="606"/>
      <c r="X970" s="640"/>
      <c r="Y970" s="607"/>
      <c r="Z970" s="607"/>
      <c r="AA970" s="607"/>
      <c r="AB970" s="607"/>
      <c r="AC970" s="607"/>
      <c r="AD970" s="607"/>
      <c r="AE970" s="607"/>
      <c r="AF970" s="607"/>
      <c r="AG970" s="607"/>
      <c r="AH970" s="607"/>
      <c r="AI970" s="607"/>
      <c r="AJ970" s="607"/>
      <c r="AK970" s="607"/>
      <c r="AL970" s="606"/>
      <c r="AM970" s="606"/>
      <c r="AN970" s="606"/>
      <c r="AO970" s="606"/>
    </row>
    <row r="971" spans="1:41" ht="11.25" hidden="1" customHeight="1">
      <c r="A971" s="608"/>
      <c r="B971" s="607"/>
      <c r="C971" s="607"/>
      <c r="D971" s="607"/>
      <c r="E971" s="607"/>
      <c r="F971" s="607"/>
      <c r="G971" s="606"/>
      <c r="H971" s="606"/>
      <c r="I971" s="606"/>
      <c r="J971" s="606"/>
      <c r="K971" s="606"/>
      <c r="L971" s="606"/>
      <c r="M971" s="606"/>
      <c r="N971" s="606"/>
      <c r="O971" s="606"/>
      <c r="P971" s="606"/>
      <c r="Q971" s="606"/>
      <c r="R971" s="606"/>
      <c r="S971" s="606"/>
      <c r="T971" s="606"/>
      <c r="U971" s="606"/>
      <c r="V971" s="606"/>
      <c r="W971" s="606"/>
      <c r="X971" s="640"/>
      <c r="Y971" s="607"/>
      <c r="Z971" s="607"/>
      <c r="AA971" s="607"/>
      <c r="AB971" s="607"/>
      <c r="AC971" s="607"/>
      <c r="AD971" s="607"/>
      <c r="AE971" s="607"/>
      <c r="AF971" s="607"/>
      <c r="AG971" s="607"/>
      <c r="AH971" s="607"/>
      <c r="AI971" s="607"/>
      <c r="AJ971" s="607"/>
      <c r="AK971" s="607"/>
      <c r="AL971" s="606"/>
      <c r="AM971" s="606"/>
      <c r="AN971" s="606"/>
      <c r="AO971" s="606"/>
    </row>
    <row r="972" spans="1:41" ht="11.25" hidden="1" customHeight="1">
      <c r="A972" s="608"/>
      <c r="B972" s="607"/>
      <c r="C972" s="607"/>
      <c r="D972" s="607"/>
      <c r="E972" s="607"/>
      <c r="F972" s="607"/>
      <c r="G972" s="606"/>
      <c r="H972" s="606"/>
      <c r="I972" s="606"/>
      <c r="J972" s="606"/>
      <c r="K972" s="606"/>
      <c r="L972" s="606"/>
      <c r="M972" s="606"/>
      <c r="N972" s="606"/>
      <c r="O972" s="606"/>
      <c r="P972" s="606"/>
      <c r="Q972" s="606"/>
      <c r="R972" s="606"/>
      <c r="S972" s="606"/>
      <c r="T972" s="606"/>
      <c r="U972" s="606"/>
      <c r="V972" s="606"/>
      <c r="W972" s="606"/>
      <c r="X972" s="640"/>
      <c r="Y972" s="607"/>
      <c r="Z972" s="607"/>
      <c r="AA972" s="607"/>
      <c r="AB972" s="607"/>
      <c r="AC972" s="607"/>
      <c r="AD972" s="607"/>
      <c r="AE972" s="607"/>
      <c r="AF972" s="607"/>
      <c r="AG972" s="607"/>
      <c r="AH972" s="607"/>
      <c r="AI972" s="607"/>
      <c r="AJ972" s="607"/>
      <c r="AK972" s="607"/>
      <c r="AL972" s="606"/>
      <c r="AM972" s="606"/>
      <c r="AN972" s="606"/>
      <c r="AO972" s="606"/>
    </row>
    <row r="973" spans="1:41" ht="11.25" hidden="1" customHeight="1">
      <c r="A973" s="608"/>
      <c r="B973" s="607"/>
      <c r="C973" s="607"/>
      <c r="D973" s="607"/>
      <c r="E973" s="607"/>
      <c r="F973" s="607"/>
      <c r="G973" s="606"/>
      <c r="H973" s="606"/>
      <c r="I973" s="606"/>
      <c r="J973" s="606"/>
      <c r="K973" s="606"/>
      <c r="L973" s="606"/>
      <c r="M973" s="606"/>
      <c r="N973" s="606"/>
      <c r="O973" s="606"/>
      <c r="P973" s="606"/>
      <c r="Q973" s="606"/>
      <c r="R973" s="606"/>
      <c r="S973" s="606"/>
      <c r="T973" s="606"/>
      <c r="U973" s="606"/>
      <c r="V973" s="606"/>
      <c r="W973" s="606"/>
      <c r="X973" s="640"/>
      <c r="Y973" s="607"/>
      <c r="Z973" s="607"/>
      <c r="AA973" s="607"/>
      <c r="AB973" s="607"/>
      <c r="AC973" s="607"/>
      <c r="AD973" s="607"/>
      <c r="AE973" s="607"/>
      <c r="AF973" s="607"/>
      <c r="AG973" s="607"/>
      <c r="AH973" s="607"/>
      <c r="AI973" s="607"/>
      <c r="AJ973" s="607"/>
      <c r="AK973" s="607"/>
      <c r="AL973" s="606"/>
      <c r="AM973" s="606"/>
      <c r="AN973" s="606"/>
      <c r="AO973" s="606"/>
    </row>
    <row r="974" spans="1:41" ht="11.25" hidden="1" customHeight="1">
      <c r="A974" s="608"/>
      <c r="B974" s="607"/>
      <c r="C974" s="607"/>
      <c r="D974" s="607"/>
      <c r="E974" s="607"/>
      <c r="F974" s="607"/>
      <c r="G974" s="606"/>
      <c r="H974" s="606"/>
      <c r="I974" s="606"/>
      <c r="J974" s="606"/>
      <c r="K974" s="606"/>
      <c r="L974" s="606"/>
      <c r="M974" s="606"/>
      <c r="N974" s="606"/>
      <c r="O974" s="606"/>
      <c r="P974" s="606"/>
      <c r="Q974" s="606"/>
      <c r="R974" s="606"/>
      <c r="S974" s="606"/>
      <c r="T974" s="606"/>
      <c r="U974" s="606"/>
      <c r="V974" s="606"/>
      <c r="W974" s="606"/>
      <c r="X974" s="640"/>
      <c r="Y974" s="607"/>
      <c r="Z974" s="607"/>
      <c r="AA974" s="607"/>
      <c r="AB974" s="607"/>
      <c r="AC974" s="607"/>
      <c r="AD974" s="607"/>
      <c r="AE974" s="607"/>
      <c r="AF974" s="607"/>
      <c r="AG974" s="607"/>
      <c r="AH974" s="607"/>
      <c r="AI974" s="607"/>
      <c r="AJ974" s="607"/>
      <c r="AK974" s="607"/>
      <c r="AL974" s="606"/>
      <c r="AM974" s="606"/>
      <c r="AN974" s="606"/>
      <c r="AO974" s="606"/>
    </row>
    <row r="975" spans="1:41" ht="11.25" hidden="1" customHeight="1">
      <c r="A975" s="608"/>
      <c r="B975" s="607"/>
      <c r="C975" s="607"/>
      <c r="D975" s="607"/>
      <c r="E975" s="607"/>
      <c r="F975" s="607"/>
      <c r="G975" s="606"/>
      <c r="H975" s="606"/>
      <c r="I975" s="606"/>
      <c r="J975" s="606"/>
      <c r="K975" s="606"/>
      <c r="L975" s="606"/>
      <c r="M975" s="606"/>
      <c r="N975" s="606"/>
      <c r="O975" s="606"/>
      <c r="P975" s="606"/>
      <c r="Q975" s="606"/>
      <c r="R975" s="606"/>
      <c r="S975" s="606"/>
      <c r="T975" s="606"/>
      <c r="U975" s="606"/>
      <c r="V975" s="606"/>
      <c r="W975" s="606"/>
      <c r="X975" s="640"/>
      <c r="Y975" s="607"/>
      <c r="Z975" s="607"/>
      <c r="AA975" s="607"/>
      <c r="AB975" s="607"/>
      <c r="AC975" s="607"/>
      <c r="AD975" s="607"/>
      <c r="AE975" s="607"/>
      <c r="AF975" s="607"/>
      <c r="AG975" s="607"/>
      <c r="AH975" s="607"/>
      <c r="AI975" s="607"/>
      <c r="AJ975" s="607"/>
      <c r="AK975" s="607"/>
      <c r="AL975" s="606"/>
      <c r="AM975" s="606"/>
      <c r="AN975" s="606"/>
      <c r="AO975" s="606"/>
    </row>
    <row r="976" spans="1:41" ht="11.25" hidden="1" customHeight="1">
      <c r="A976" s="608"/>
      <c r="B976" s="607"/>
      <c r="C976" s="607"/>
      <c r="D976" s="607"/>
      <c r="E976" s="607"/>
      <c r="F976" s="607"/>
      <c r="G976" s="606"/>
      <c r="H976" s="606"/>
      <c r="I976" s="606"/>
      <c r="J976" s="606"/>
      <c r="K976" s="606"/>
      <c r="L976" s="606"/>
      <c r="M976" s="606"/>
      <c r="N976" s="606"/>
      <c r="O976" s="606"/>
      <c r="P976" s="606"/>
      <c r="Q976" s="606"/>
      <c r="R976" s="606"/>
      <c r="S976" s="606"/>
      <c r="T976" s="606"/>
      <c r="U976" s="606"/>
      <c r="V976" s="606"/>
      <c r="W976" s="606"/>
      <c r="X976" s="640"/>
      <c r="Y976" s="607"/>
      <c r="Z976" s="607"/>
      <c r="AA976" s="607"/>
      <c r="AB976" s="607"/>
      <c r="AC976" s="607"/>
      <c r="AD976" s="607"/>
      <c r="AE976" s="607"/>
      <c r="AF976" s="607"/>
      <c r="AG976" s="607"/>
      <c r="AH976" s="607"/>
      <c r="AI976" s="607"/>
      <c r="AJ976" s="607"/>
      <c r="AK976" s="607"/>
      <c r="AL976" s="606"/>
      <c r="AM976" s="606"/>
      <c r="AN976" s="606"/>
      <c r="AO976" s="606"/>
    </row>
    <row r="977" spans="1:41" ht="11.25" hidden="1" customHeight="1">
      <c r="A977" s="608"/>
      <c r="B977" s="607"/>
      <c r="C977" s="607"/>
      <c r="D977" s="607"/>
      <c r="E977" s="607"/>
      <c r="F977" s="607"/>
      <c r="G977" s="606"/>
      <c r="H977" s="606"/>
      <c r="I977" s="606"/>
      <c r="J977" s="606"/>
      <c r="K977" s="606"/>
      <c r="L977" s="606"/>
      <c r="M977" s="606"/>
      <c r="N977" s="606"/>
      <c r="O977" s="606"/>
      <c r="P977" s="606"/>
      <c r="Q977" s="606"/>
      <c r="R977" s="606"/>
      <c r="S977" s="606"/>
      <c r="T977" s="606"/>
      <c r="U977" s="606"/>
      <c r="V977" s="606"/>
      <c r="W977" s="606"/>
      <c r="X977" s="640"/>
      <c r="Y977" s="607"/>
      <c r="Z977" s="607"/>
      <c r="AA977" s="607"/>
      <c r="AB977" s="607"/>
      <c r="AC977" s="607"/>
      <c r="AD977" s="607"/>
      <c r="AE977" s="607"/>
      <c r="AF977" s="607"/>
      <c r="AG977" s="607"/>
      <c r="AH977" s="607"/>
      <c r="AI977" s="607"/>
      <c r="AJ977" s="607"/>
      <c r="AK977" s="607"/>
      <c r="AL977" s="606"/>
      <c r="AM977" s="606"/>
      <c r="AN977" s="606"/>
      <c r="AO977" s="606"/>
    </row>
    <row r="978" spans="1:41" ht="11.25" hidden="1" customHeight="1">
      <c r="A978" s="608"/>
      <c r="B978" s="607"/>
      <c r="C978" s="607"/>
      <c r="D978" s="607"/>
      <c r="E978" s="607"/>
      <c r="F978" s="607"/>
      <c r="G978" s="606"/>
      <c r="H978" s="606"/>
      <c r="I978" s="606"/>
      <c r="J978" s="606"/>
      <c r="K978" s="606"/>
      <c r="L978" s="606"/>
      <c r="M978" s="606"/>
      <c r="N978" s="606"/>
      <c r="O978" s="606"/>
      <c r="P978" s="606"/>
      <c r="Q978" s="606"/>
      <c r="R978" s="606"/>
      <c r="S978" s="606"/>
      <c r="T978" s="606"/>
      <c r="U978" s="606"/>
      <c r="V978" s="606"/>
      <c r="W978" s="606"/>
      <c r="X978" s="640"/>
      <c r="Y978" s="607"/>
      <c r="Z978" s="607"/>
      <c r="AA978" s="607"/>
      <c r="AB978" s="607"/>
      <c r="AC978" s="607"/>
      <c r="AD978" s="607"/>
      <c r="AE978" s="607"/>
      <c r="AF978" s="607"/>
      <c r="AG978" s="607"/>
      <c r="AH978" s="607"/>
      <c r="AI978" s="607"/>
      <c r="AJ978" s="607"/>
      <c r="AK978" s="607"/>
      <c r="AL978" s="606"/>
      <c r="AM978" s="606"/>
      <c r="AN978" s="606"/>
      <c r="AO978" s="606"/>
    </row>
    <row r="979" spans="1:41" ht="11.25" hidden="1" customHeight="1">
      <c r="A979" s="608"/>
      <c r="B979" s="607"/>
      <c r="C979" s="607"/>
      <c r="D979" s="607"/>
      <c r="E979" s="607"/>
      <c r="F979" s="607"/>
      <c r="G979" s="606"/>
      <c r="H979" s="606"/>
      <c r="I979" s="606"/>
      <c r="J979" s="606"/>
      <c r="K979" s="606"/>
      <c r="L979" s="606"/>
      <c r="M979" s="606"/>
      <c r="N979" s="606"/>
      <c r="O979" s="606"/>
      <c r="P979" s="606"/>
      <c r="Q979" s="606"/>
      <c r="R979" s="606"/>
      <c r="S979" s="606"/>
      <c r="T979" s="606"/>
      <c r="U979" s="606"/>
      <c r="V979" s="606"/>
      <c r="W979" s="606"/>
      <c r="X979" s="640"/>
      <c r="Y979" s="607"/>
      <c r="Z979" s="607"/>
      <c r="AA979" s="607"/>
      <c r="AB979" s="607"/>
      <c r="AC979" s="607"/>
      <c r="AD979" s="607"/>
      <c r="AE979" s="607"/>
      <c r="AF979" s="607"/>
      <c r="AG979" s="607"/>
      <c r="AH979" s="607"/>
      <c r="AI979" s="607"/>
      <c r="AJ979" s="607"/>
      <c r="AK979" s="607"/>
      <c r="AL979" s="606"/>
      <c r="AM979" s="606"/>
      <c r="AN979" s="606"/>
      <c r="AO979" s="606"/>
    </row>
    <row r="980" spans="1:41" ht="11.25" hidden="1" customHeight="1">
      <c r="A980" s="608"/>
      <c r="B980" s="607"/>
      <c r="C980" s="607"/>
      <c r="D980" s="607"/>
      <c r="E980" s="607"/>
      <c r="F980" s="607"/>
      <c r="G980" s="606"/>
      <c r="H980" s="606"/>
      <c r="I980" s="606"/>
      <c r="J980" s="606"/>
      <c r="K980" s="606"/>
      <c r="L980" s="606"/>
      <c r="M980" s="606"/>
      <c r="N980" s="606"/>
      <c r="O980" s="606"/>
      <c r="P980" s="606"/>
      <c r="Q980" s="606"/>
      <c r="R980" s="606"/>
      <c r="S980" s="606"/>
      <c r="T980" s="606"/>
      <c r="U980" s="606"/>
      <c r="V980" s="606"/>
      <c r="W980" s="606"/>
      <c r="X980" s="640"/>
      <c r="Y980" s="607"/>
      <c r="Z980" s="607"/>
      <c r="AA980" s="607"/>
      <c r="AB980" s="607"/>
      <c r="AC980" s="607"/>
      <c r="AD980" s="607"/>
      <c r="AE980" s="607"/>
      <c r="AF980" s="607"/>
      <c r="AG980" s="607"/>
      <c r="AH980" s="607"/>
      <c r="AI980" s="607"/>
      <c r="AJ980" s="607"/>
      <c r="AK980" s="607"/>
      <c r="AL980" s="606"/>
      <c r="AM980" s="606"/>
      <c r="AN980" s="606"/>
      <c r="AO980" s="606"/>
    </row>
    <row r="981" spans="1:41" ht="11.25" hidden="1" customHeight="1">
      <c r="A981" s="608"/>
      <c r="B981" s="607"/>
      <c r="C981" s="607"/>
      <c r="D981" s="607"/>
      <c r="E981" s="607"/>
      <c r="F981" s="607"/>
      <c r="G981" s="606"/>
      <c r="H981" s="606"/>
      <c r="I981" s="606"/>
      <c r="J981" s="606"/>
      <c r="K981" s="606"/>
      <c r="L981" s="606"/>
      <c r="M981" s="606"/>
      <c r="N981" s="606"/>
      <c r="O981" s="606"/>
      <c r="P981" s="606"/>
      <c r="Q981" s="606"/>
      <c r="R981" s="606"/>
      <c r="S981" s="606"/>
      <c r="T981" s="606"/>
      <c r="U981" s="606"/>
      <c r="V981" s="606"/>
      <c r="W981" s="606"/>
      <c r="X981" s="640"/>
      <c r="Y981" s="607"/>
      <c r="Z981" s="607"/>
      <c r="AA981" s="607"/>
      <c r="AB981" s="607"/>
      <c r="AC981" s="607"/>
      <c r="AD981" s="607"/>
      <c r="AE981" s="607"/>
      <c r="AF981" s="607"/>
      <c r="AG981" s="607"/>
      <c r="AH981" s="607"/>
      <c r="AI981" s="607"/>
      <c r="AJ981" s="607"/>
      <c r="AK981" s="607"/>
      <c r="AL981" s="606"/>
      <c r="AM981" s="606"/>
      <c r="AN981" s="606"/>
      <c r="AO981" s="606"/>
    </row>
    <row r="982" spans="1:41" ht="11.25" hidden="1" customHeight="1">
      <c r="A982" s="608"/>
      <c r="B982" s="607"/>
      <c r="C982" s="607"/>
      <c r="D982" s="607"/>
      <c r="E982" s="607"/>
      <c r="F982" s="607"/>
      <c r="G982" s="606"/>
      <c r="H982" s="606"/>
      <c r="I982" s="606"/>
      <c r="J982" s="606"/>
      <c r="K982" s="606"/>
      <c r="L982" s="606"/>
      <c r="M982" s="606"/>
      <c r="N982" s="606"/>
      <c r="O982" s="606"/>
      <c r="P982" s="606"/>
      <c r="Q982" s="606"/>
      <c r="R982" s="606"/>
      <c r="S982" s="606"/>
      <c r="T982" s="606"/>
      <c r="U982" s="606"/>
      <c r="V982" s="606"/>
      <c r="W982" s="606"/>
      <c r="X982" s="640"/>
      <c r="Y982" s="607"/>
      <c r="Z982" s="607"/>
      <c r="AA982" s="607"/>
      <c r="AB982" s="607"/>
      <c r="AC982" s="607"/>
      <c r="AD982" s="607"/>
      <c r="AE982" s="607"/>
      <c r="AF982" s="607"/>
      <c r="AG982" s="607"/>
      <c r="AH982" s="607"/>
      <c r="AI982" s="607"/>
      <c r="AJ982" s="607"/>
      <c r="AK982" s="607"/>
      <c r="AL982" s="606"/>
      <c r="AM982" s="606"/>
      <c r="AN982" s="606"/>
      <c r="AO982" s="606"/>
    </row>
    <row r="983" spans="1:41" ht="11.25" hidden="1" customHeight="1">
      <c r="A983" s="608"/>
      <c r="B983" s="607"/>
      <c r="C983" s="607"/>
      <c r="D983" s="607"/>
      <c r="E983" s="607"/>
      <c r="F983" s="607"/>
      <c r="G983" s="606"/>
      <c r="H983" s="606"/>
      <c r="I983" s="606"/>
      <c r="J983" s="606"/>
      <c r="K983" s="606"/>
      <c r="L983" s="606"/>
      <c r="M983" s="606"/>
      <c r="N983" s="606"/>
      <c r="O983" s="606"/>
      <c r="P983" s="606"/>
      <c r="Q983" s="606"/>
      <c r="R983" s="606"/>
      <c r="S983" s="606"/>
      <c r="T983" s="606"/>
      <c r="U983" s="606"/>
      <c r="V983" s="606"/>
      <c r="W983" s="606"/>
      <c r="X983" s="640"/>
      <c r="Y983" s="607"/>
      <c r="Z983" s="607"/>
      <c r="AA983" s="607"/>
      <c r="AB983" s="607"/>
      <c r="AC983" s="607"/>
      <c r="AD983" s="607"/>
      <c r="AE983" s="607"/>
      <c r="AF983" s="607"/>
      <c r="AG983" s="607"/>
      <c r="AH983" s="607"/>
      <c r="AI983" s="607"/>
      <c r="AJ983" s="607"/>
      <c r="AK983" s="607"/>
      <c r="AL983" s="606"/>
      <c r="AM983" s="606"/>
      <c r="AN983" s="606"/>
      <c r="AO983" s="606"/>
    </row>
    <row r="984" spans="1:41" ht="11.25" hidden="1" customHeight="1">
      <c r="A984" s="608"/>
      <c r="B984" s="607"/>
      <c r="C984" s="607"/>
      <c r="D984" s="607"/>
      <c r="E984" s="607"/>
      <c r="F984" s="607"/>
      <c r="G984" s="606"/>
      <c r="H984" s="606"/>
      <c r="I984" s="606"/>
      <c r="J984" s="606"/>
      <c r="K984" s="606"/>
      <c r="L984" s="606"/>
      <c r="M984" s="606"/>
      <c r="N984" s="606"/>
      <c r="O984" s="606"/>
      <c r="P984" s="606"/>
      <c r="Q984" s="606"/>
      <c r="R984" s="606"/>
      <c r="S984" s="606"/>
      <c r="T984" s="606"/>
      <c r="U984" s="606"/>
      <c r="V984" s="606"/>
      <c r="W984" s="606"/>
      <c r="X984" s="640"/>
      <c r="Y984" s="607"/>
      <c r="Z984" s="607"/>
      <c r="AA984" s="607"/>
      <c r="AB984" s="607"/>
      <c r="AC984" s="607"/>
      <c r="AD984" s="607"/>
      <c r="AE984" s="607"/>
      <c r="AF984" s="607"/>
      <c r="AG984" s="607"/>
      <c r="AH984" s="607"/>
      <c r="AI984" s="607"/>
      <c r="AJ984" s="607"/>
      <c r="AK984" s="607"/>
      <c r="AL984" s="606"/>
      <c r="AM984" s="606"/>
      <c r="AN984" s="606"/>
      <c r="AO984" s="606"/>
    </row>
    <row r="985" spans="1:41" ht="11.25" hidden="1" customHeight="1">
      <c r="A985" s="608"/>
      <c r="B985" s="607"/>
      <c r="C985" s="607"/>
      <c r="D985" s="607"/>
      <c r="E985" s="607"/>
      <c r="F985" s="607"/>
      <c r="G985" s="606"/>
      <c r="H985" s="606"/>
      <c r="I985" s="606"/>
      <c r="J985" s="606"/>
      <c r="K985" s="606"/>
      <c r="L985" s="606"/>
      <c r="M985" s="606"/>
      <c r="N985" s="606"/>
      <c r="O985" s="606"/>
      <c r="P985" s="606"/>
      <c r="Q985" s="606"/>
      <c r="R985" s="606"/>
      <c r="S985" s="606"/>
      <c r="T985" s="606"/>
      <c r="U985" s="606"/>
      <c r="V985" s="606"/>
      <c r="W985" s="606"/>
      <c r="X985" s="640"/>
      <c r="Y985" s="607"/>
      <c r="Z985" s="607"/>
      <c r="AA985" s="607"/>
      <c r="AB985" s="607"/>
      <c r="AC985" s="607"/>
      <c r="AD985" s="607"/>
      <c r="AE985" s="607"/>
      <c r="AF985" s="607"/>
      <c r="AG985" s="607"/>
      <c r="AH985" s="607"/>
      <c r="AI985" s="607"/>
      <c r="AJ985" s="607"/>
      <c r="AK985" s="607"/>
      <c r="AL985" s="606"/>
      <c r="AM985" s="606"/>
      <c r="AN985" s="606"/>
      <c r="AO985" s="606"/>
    </row>
    <row r="986" spans="1:41" ht="11.25" hidden="1" customHeight="1">
      <c r="A986" s="608"/>
      <c r="B986" s="607"/>
      <c r="C986" s="607"/>
      <c r="D986" s="607"/>
      <c r="E986" s="607"/>
      <c r="F986" s="607"/>
      <c r="G986" s="606"/>
      <c r="H986" s="606"/>
      <c r="I986" s="606"/>
      <c r="J986" s="606"/>
      <c r="K986" s="606"/>
      <c r="L986" s="606"/>
      <c r="M986" s="606"/>
      <c r="N986" s="606"/>
      <c r="O986" s="606"/>
      <c r="P986" s="606"/>
      <c r="Q986" s="606"/>
      <c r="R986" s="606"/>
      <c r="S986" s="606"/>
      <c r="T986" s="606"/>
      <c r="U986" s="606"/>
      <c r="V986" s="606"/>
      <c r="W986" s="606"/>
      <c r="X986" s="640"/>
      <c r="Y986" s="607"/>
      <c r="Z986" s="607"/>
      <c r="AA986" s="607"/>
      <c r="AB986" s="607"/>
      <c r="AC986" s="607"/>
      <c r="AD986" s="607"/>
      <c r="AE986" s="607"/>
      <c r="AF986" s="607"/>
      <c r="AG986" s="607"/>
      <c r="AH986" s="607"/>
      <c r="AI986" s="607"/>
      <c r="AJ986" s="607"/>
      <c r="AK986" s="607"/>
      <c r="AL986" s="606"/>
      <c r="AM986" s="606"/>
      <c r="AN986" s="606"/>
      <c r="AO986" s="606"/>
    </row>
    <row r="987" spans="1:41" ht="11.25" hidden="1" customHeight="1">
      <c r="A987" s="608"/>
      <c r="B987" s="607"/>
      <c r="C987" s="607"/>
      <c r="D987" s="607"/>
      <c r="E987" s="607"/>
      <c r="F987" s="607"/>
      <c r="G987" s="606"/>
      <c r="H987" s="606"/>
      <c r="I987" s="606"/>
      <c r="J987" s="606"/>
      <c r="K987" s="606"/>
      <c r="L987" s="606"/>
      <c r="M987" s="606"/>
      <c r="N987" s="606"/>
      <c r="O987" s="606"/>
      <c r="P987" s="606"/>
      <c r="Q987" s="606"/>
      <c r="R987" s="606"/>
      <c r="S987" s="606"/>
      <c r="T987" s="606"/>
      <c r="U987" s="606"/>
      <c r="V987" s="606"/>
      <c r="W987" s="606"/>
      <c r="X987" s="640"/>
      <c r="Y987" s="607"/>
      <c r="Z987" s="607"/>
      <c r="AA987" s="607"/>
      <c r="AB987" s="607"/>
      <c r="AC987" s="607"/>
      <c r="AD987" s="607"/>
      <c r="AE987" s="607"/>
      <c r="AF987" s="607"/>
      <c r="AG987" s="607"/>
      <c r="AH987" s="607"/>
      <c r="AI987" s="607"/>
      <c r="AJ987" s="607"/>
      <c r="AK987" s="607"/>
      <c r="AL987" s="606"/>
      <c r="AM987" s="606"/>
      <c r="AN987" s="606"/>
      <c r="AO987" s="606"/>
    </row>
    <row r="988" spans="1:41" ht="11.25" hidden="1" customHeight="1">
      <c r="A988" s="608"/>
      <c r="B988" s="607"/>
      <c r="C988" s="607"/>
      <c r="D988" s="607"/>
      <c r="E988" s="607"/>
      <c r="F988" s="607"/>
      <c r="G988" s="606"/>
      <c r="H988" s="606"/>
      <c r="I988" s="606"/>
      <c r="J988" s="606"/>
      <c r="K988" s="606"/>
      <c r="L988" s="606"/>
      <c r="M988" s="606"/>
      <c r="N988" s="606"/>
      <c r="O988" s="606"/>
      <c r="P988" s="606"/>
      <c r="Q988" s="606"/>
      <c r="R988" s="606"/>
      <c r="S988" s="606"/>
      <c r="T988" s="606"/>
      <c r="U988" s="606"/>
      <c r="V988" s="606"/>
      <c r="W988" s="606"/>
      <c r="X988" s="640"/>
      <c r="Y988" s="607"/>
      <c r="Z988" s="607"/>
      <c r="AA988" s="607"/>
      <c r="AB988" s="607"/>
      <c r="AC988" s="607"/>
      <c r="AD988" s="607"/>
      <c r="AE988" s="607"/>
      <c r="AF988" s="607"/>
      <c r="AG988" s="607"/>
      <c r="AH988" s="607"/>
      <c r="AI988" s="607"/>
      <c r="AJ988" s="607"/>
      <c r="AK988" s="607"/>
      <c r="AL988" s="606"/>
      <c r="AM988" s="606"/>
      <c r="AN988" s="606"/>
      <c r="AO988" s="606"/>
    </row>
    <row r="989" spans="1:41" ht="11.25" hidden="1" customHeight="1">
      <c r="A989" s="608"/>
      <c r="B989" s="607"/>
      <c r="C989" s="607"/>
      <c r="D989" s="607"/>
      <c r="E989" s="607"/>
      <c r="F989" s="607"/>
      <c r="G989" s="606"/>
      <c r="H989" s="606"/>
      <c r="I989" s="606"/>
      <c r="J989" s="606"/>
      <c r="K989" s="606"/>
      <c r="L989" s="606"/>
      <c r="M989" s="606"/>
      <c r="N989" s="606"/>
      <c r="O989" s="606"/>
      <c r="P989" s="606"/>
      <c r="Q989" s="606"/>
      <c r="R989" s="606"/>
      <c r="S989" s="606"/>
      <c r="T989" s="606"/>
      <c r="U989" s="606"/>
      <c r="V989" s="606"/>
      <c r="W989" s="606"/>
      <c r="X989" s="640"/>
      <c r="Y989" s="607"/>
      <c r="Z989" s="607"/>
      <c r="AA989" s="607"/>
      <c r="AB989" s="607"/>
      <c r="AC989" s="607"/>
      <c r="AD989" s="607"/>
      <c r="AE989" s="607"/>
      <c r="AF989" s="607"/>
      <c r="AG989" s="607"/>
      <c r="AH989" s="607"/>
      <c r="AI989" s="607"/>
      <c r="AJ989" s="607"/>
      <c r="AK989" s="607"/>
      <c r="AL989" s="606"/>
      <c r="AM989" s="606"/>
      <c r="AN989" s="606"/>
      <c r="AO989" s="606"/>
    </row>
    <row r="990" spans="1:41" ht="11.25" hidden="1" customHeight="1">
      <c r="A990" s="608"/>
      <c r="B990" s="607"/>
      <c r="C990" s="607"/>
      <c r="D990" s="607"/>
      <c r="E990" s="607"/>
      <c r="F990" s="607"/>
      <c r="G990" s="606"/>
      <c r="H990" s="606"/>
      <c r="I990" s="606"/>
      <c r="J990" s="606"/>
      <c r="K990" s="606"/>
      <c r="L990" s="606"/>
      <c r="M990" s="606"/>
      <c r="N990" s="606"/>
      <c r="O990" s="606"/>
      <c r="P990" s="606"/>
      <c r="Q990" s="606"/>
      <c r="R990" s="606"/>
      <c r="S990" s="606"/>
      <c r="T990" s="606"/>
      <c r="U990" s="606"/>
      <c r="V990" s="606"/>
      <c r="W990" s="606"/>
      <c r="X990" s="640"/>
      <c r="Y990" s="607"/>
      <c r="Z990" s="607"/>
      <c r="AA990" s="607"/>
      <c r="AB990" s="607"/>
      <c r="AC990" s="607"/>
      <c r="AD990" s="607"/>
      <c r="AE990" s="607"/>
      <c r="AF990" s="607"/>
      <c r="AG990" s="607"/>
      <c r="AH990" s="607"/>
      <c r="AI990" s="607"/>
      <c r="AJ990" s="607"/>
      <c r="AK990" s="607"/>
      <c r="AL990" s="606"/>
      <c r="AM990" s="606"/>
      <c r="AN990" s="606"/>
      <c r="AO990" s="606"/>
    </row>
    <row r="991" spans="1:41" ht="11.25" hidden="1" customHeight="1">
      <c r="A991" s="608"/>
      <c r="B991" s="607"/>
      <c r="C991" s="607"/>
      <c r="D991" s="607"/>
      <c r="E991" s="607"/>
      <c r="F991" s="607"/>
      <c r="G991" s="606"/>
      <c r="H991" s="606"/>
      <c r="I991" s="606"/>
      <c r="J991" s="606"/>
      <c r="K991" s="606"/>
      <c r="L991" s="606"/>
      <c r="M991" s="606"/>
      <c r="N991" s="606"/>
      <c r="O991" s="606"/>
      <c r="P991" s="606"/>
      <c r="Q991" s="606"/>
      <c r="R991" s="606"/>
      <c r="S991" s="606"/>
      <c r="T991" s="606"/>
      <c r="U991" s="606"/>
      <c r="V991" s="606"/>
      <c r="W991" s="606"/>
      <c r="X991" s="640"/>
      <c r="Y991" s="607"/>
      <c r="Z991" s="607"/>
      <c r="AA991" s="607"/>
      <c r="AB991" s="607"/>
      <c r="AC991" s="607"/>
      <c r="AD991" s="607"/>
      <c r="AE991" s="607"/>
      <c r="AF991" s="607"/>
      <c r="AG991" s="607"/>
      <c r="AH991" s="607"/>
      <c r="AI991" s="607"/>
      <c r="AJ991" s="607"/>
      <c r="AK991" s="607"/>
      <c r="AL991" s="606"/>
      <c r="AM991" s="606"/>
      <c r="AN991" s="606"/>
      <c r="AO991" s="606"/>
    </row>
    <row r="992" spans="1:41" ht="11.25" hidden="1" customHeight="1">
      <c r="A992" s="608"/>
      <c r="B992" s="607"/>
      <c r="C992" s="607"/>
      <c r="D992" s="607"/>
      <c r="E992" s="607"/>
      <c r="F992" s="607"/>
      <c r="G992" s="606"/>
      <c r="H992" s="606"/>
      <c r="I992" s="606"/>
      <c r="J992" s="606"/>
      <c r="K992" s="606"/>
      <c r="L992" s="606"/>
      <c r="M992" s="606"/>
      <c r="N992" s="606"/>
      <c r="O992" s="606"/>
      <c r="P992" s="606"/>
      <c r="Q992" s="606"/>
      <c r="R992" s="606"/>
      <c r="S992" s="606"/>
      <c r="T992" s="606"/>
      <c r="U992" s="606"/>
      <c r="V992" s="606"/>
      <c r="W992" s="606"/>
      <c r="X992" s="640"/>
      <c r="Y992" s="607"/>
      <c r="Z992" s="607"/>
      <c r="AA992" s="607"/>
      <c r="AB992" s="607"/>
      <c r="AC992" s="607"/>
      <c r="AD992" s="607"/>
      <c r="AE992" s="607"/>
      <c r="AF992" s="607"/>
      <c r="AG992" s="607"/>
      <c r="AH992" s="607"/>
      <c r="AI992" s="607"/>
      <c r="AJ992" s="607"/>
      <c r="AK992" s="607"/>
      <c r="AL992" s="606"/>
      <c r="AM992" s="606"/>
      <c r="AN992" s="606"/>
      <c r="AO992" s="606"/>
    </row>
    <row r="993" spans="1:41" ht="11.25" hidden="1" customHeight="1">
      <c r="A993" s="608"/>
      <c r="B993" s="607"/>
      <c r="C993" s="607"/>
      <c r="D993" s="607"/>
      <c r="E993" s="607"/>
      <c r="F993" s="607"/>
      <c r="G993" s="606"/>
      <c r="H993" s="606"/>
      <c r="I993" s="606"/>
      <c r="J993" s="606"/>
      <c r="K993" s="606"/>
      <c r="L993" s="606"/>
      <c r="M993" s="606"/>
      <c r="N993" s="606"/>
      <c r="O993" s="606"/>
      <c r="P993" s="606"/>
      <c r="Q993" s="606"/>
      <c r="R993" s="606"/>
      <c r="S993" s="606"/>
      <c r="T993" s="606"/>
      <c r="U993" s="606"/>
      <c r="V993" s="606"/>
      <c r="W993" s="606"/>
      <c r="X993" s="640"/>
      <c r="Y993" s="607"/>
      <c r="Z993" s="607"/>
      <c r="AA993" s="607"/>
      <c r="AB993" s="607"/>
      <c r="AC993" s="607"/>
      <c r="AD993" s="607"/>
      <c r="AE993" s="607"/>
      <c r="AF993" s="607"/>
      <c r="AG993" s="607"/>
      <c r="AH993" s="607"/>
      <c r="AI993" s="607"/>
      <c r="AJ993" s="607"/>
      <c r="AK993" s="607"/>
      <c r="AL993" s="606"/>
      <c r="AM993" s="606"/>
      <c r="AN993" s="606"/>
      <c r="AO993" s="606"/>
    </row>
    <row r="994" spans="1:41" ht="11.25" hidden="1" customHeight="1">
      <c r="A994" s="608"/>
      <c r="B994" s="607"/>
      <c r="C994" s="607"/>
      <c r="D994" s="607"/>
      <c r="E994" s="607"/>
      <c r="F994" s="607"/>
      <c r="G994" s="606"/>
      <c r="H994" s="606"/>
      <c r="I994" s="606"/>
      <c r="J994" s="606"/>
      <c r="K994" s="606"/>
      <c r="L994" s="606"/>
      <c r="M994" s="606"/>
      <c r="N994" s="606"/>
      <c r="O994" s="606"/>
      <c r="P994" s="606"/>
      <c r="Q994" s="606"/>
      <c r="R994" s="606"/>
      <c r="S994" s="606"/>
      <c r="T994" s="606"/>
      <c r="U994" s="606"/>
      <c r="V994" s="606"/>
      <c r="W994" s="606"/>
      <c r="X994" s="640"/>
      <c r="Y994" s="607"/>
      <c r="Z994" s="607"/>
      <c r="AA994" s="607"/>
      <c r="AB994" s="607"/>
      <c r="AC994" s="607"/>
      <c r="AD994" s="607"/>
      <c r="AE994" s="607"/>
      <c r="AF994" s="607"/>
      <c r="AG994" s="607"/>
      <c r="AH994" s="607"/>
      <c r="AI994" s="607"/>
      <c r="AJ994" s="607"/>
      <c r="AK994" s="607"/>
      <c r="AL994" s="606"/>
      <c r="AM994" s="606"/>
      <c r="AN994" s="606"/>
      <c r="AO994" s="606"/>
    </row>
    <row r="995" spans="1:41" ht="11.25" hidden="1" customHeight="1">
      <c r="A995" s="608"/>
      <c r="B995" s="607"/>
      <c r="C995" s="607"/>
      <c r="D995" s="607"/>
      <c r="E995" s="607"/>
      <c r="F995" s="607"/>
      <c r="G995" s="606"/>
      <c r="H995" s="606"/>
      <c r="I995" s="606"/>
      <c r="J995" s="606"/>
      <c r="K995" s="606"/>
      <c r="L995" s="606"/>
      <c r="M995" s="606"/>
      <c r="N995" s="606"/>
      <c r="O995" s="606"/>
      <c r="P995" s="606"/>
      <c r="Q995" s="606"/>
      <c r="R995" s="606"/>
      <c r="S995" s="606"/>
      <c r="T995" s="606"/>
      <c r="U995" s="606"/>
      <c r="V995" s="606"/>
      <c r="W995" s="606"/>
      <c r="X995" s="640"/>
      <c r="Y995" s="607"/>
      <c r="Z995" s="607"/>
      <c r="AA995" s="607"/>
      <c r="AB995" s="607"/>
      <c r="AC995" s="607"/>
      <c r="AD995" s="607"/>
      <c r="AE995" s="607"/>
      <c r="AF995" s="607"/>
      <c r="AG995" s="607"/>
      <c r="AH995" s="607"/>
      <c r="AI995" s="607"/>
      <c r="AJ995" s="607"/>
      <c r="AK995" s="607"/>
      <c r="AL995" s="606"/>
      <c r="AM995" s="606"/>
      <c r="AN995" s="606"/>
      <c r="AO995" s="606"/>
    </row>
    <row r="996" spans="1:41" ht="11.25" hidden="1" customHeight="1">
      <c r="A996" s="608"/>
      <c r="B996" s="607"/>
      <c r="C996" s="607"/>
      <c r="D996" s="607"/>
      <c r="E996" s="607"/>
      <c r="F996" s="607"/>
      <c r="G996" s="606"/>
      <c r="H996" s="606"/>
      <c r="I996" s="606"/>
      <c r="J996" s="606"/>
      <c r="K996" s="606"/>
      <c r="L996" s="606"/>
      <c r="M996" s="606"/>
      <c r="N996" s="606"/>
      <c r="O996" s="606"/>
      <c r="P996" s="606"/>
      <c r="Q996" s="606"/>
      <c r="R996" s="606"/>
      <c r="S996" s="606"/>
      <c r="T996" s="606"/>
      <c r="U996" s="606"/>
      <c r="V996" s="606"/>
      <c r="W996" s="606"/>
      <c r="X996" s="640"/>
      <c r="Y996" s="607"/>
      <c r="Z996" s="607"/>
      <c r="AA996" s="607"/>
      <c r="AB996" s="607"/>
      <c r="AC996" s="607"/>
      <c r="AD996" s="607"/>
      <c r="AE996" s="607"/>
      <c r="AF996" s="607"/>
      <c r="AG996" s="607"/>
      <c r="AH996" s="607"/>
      <c r="AI996" s="607"/>
      <c r="AJ996" s="607"/>
      <c r="AK996" s="607"/>
      <c r="AL996" s="606"/>
      <c r="AM996" s="606"/>
      <c r="AN996" s="606"/>
      <c r="AO996" s="606"/>
    </row>
    <row r="997" spans="1:41" ht="11.25" hidden="1" customHeight="1">
      <c r="A997" s="608"/>
      <c r="B997" s="607"/>
      <c r="C997" s="607"/>
      <c r="D997" s="607"/>
      <c r="E997" s="607"/>
      <c r="F997" s="607"/>
      <c r="G997" s="606"/>
      <c r="H997" s="606"/>
      <c r="I997" s="606"/>
      <c r="J997" s="606"/>
      <c r="K997" s="606"/>
      <c r="L997" s="606"/>
      <c r="M997" s="606"/>
      <c r="N997" s="606"/>
      <c r="O997" s="606"/>
      <c r="P997" s="606"/>
      <c r="Q997" s="606"/>
      <c r="R997" s="606"/>
      <c r="S997" s="606"/>
      <c r="T997" s="606"/>
      <c r="U997" s="606"/>
      <c r="V997" s="606"/>
      <c r="W997" s="606"/>
      <c r="X997" s="640"/>
      <c r="Y997" s="607"/>
      <c r="Z997" s="607"/>
      <c r="AA997" s="607"/>
      <c r="AB997" s="607"/>
      <c r="AC997" s="607"/>
      <c r="AD997" s="607"/>
      <c r="AE997" s="607"/>
      <c r="AF997" s="607"/>
      <c r="AG997" s="607"/>
      <c r="AH997" s="607"/>
      <c r="AI997" s="607"/>
      <c r="AJ997" s="607"/>
      <c r="AK997" s="607"/>
      <c r="AL997" s="606"/>
      <c r="AM997" s="606"/>
      <c r="AN997" s="606"/>
      <c r="AO997" s="606"/>
    </row>
    <row r="998" spans="1:41" ht="11.25" hidden="1" customHeight="1">
      <c r="A998" s="608"/>
      <c r="B998" s="607"/>
      <c r="C998" s="607"/>
      <c r="D998" s="607"/>
      <c r="E998" s="607"/>
      <c r="F998" s="607"/>
      <c r="G998" s="606"/>
      <c r="H998" s="606"/>
      <c r="I998" s="606"/>
      <c r="J998" s="606"/>
      <c r="K998" s="606"/>
      <c r="L998" s="606"/>
      <c r="M998" s="606"/>
      <c r="N998" s="606"/>
      <c r="O998" s="606"/>
      <c r="P998" s="606"/>
      <c r="Q998" s="606"/>
      <c r="R998" s="606"/>
      <c r="S998" s="606"/>
      <c r="T998" s="606"/>
      <c r="U998" s="606"/>
      <c r="V998" s="606"/>
      <c r="W998" s="606"/>
      <c r="X998" s="640"/>
      <c r="Y998" s="607"/>
      <c r="Z998" s="607"/>
      <c r="AA998" s="607"/>
      <c r="AB998" s="607"/>
      <c r="AC998" s="607"/>
      <c r="AD998" s="607"/>
      <c r="AE998" s="607"/>
      <c r="AF998" s="607"/>
      <c r="AG998" s="607"/>
      <c r="AH998" s="607"/>
      <c r="AI998" s="607"/>
      <c r="AJ998" s="607"/>
      <c r="AK998" s="607"/>
      <c r="AL998" s="606"/>
      <c r="AM998" s="606"/>
      <c r="AN998" s="606"/>
      <c r="AO998" s="606"/>
    </row>
  </sheetData>
  <protectedRanges>
    <protectedRange sqref="P25:Q25" name="Range7"/>
    <protectedRange sqref="L23:M23" name="Range5"/>
    <protectedRange sqref="O20:Q21" name="Range3"/>
    <protectedRange sqref="I19:J22" name="Range1"/>
    <protectedRange sqref="K19:Q19" name="Range2"/>
    <protectedRange sqref="P22:Q23" name="Range4"/>
    <protectedRange sqref="K25:M25" name="Range6"/>
  </protectedRanges>
  <mergeCells count="44">
    <mergeCell ref="G12:Q14"/>
    <mergeCell ref="P23:Q23"/>
    <mergeCell ref="G23:K23"/>
    <mergeCell ref="L23:M23"/>
    <mergeCell ref="N23:O23"/>
    <mergeCell ref="I22:J22"/>
    <mergeCell ref="G22:H22"/>
    <mergeCell ref="K22:O22"/>
    <mergeCell ref="K18:Q18"/>
    <mergeCell ref="G19:H19"/>
    <mergeCell ref="G18:H18"/>
    <mergeCell ref="I18:J18"/>
    <mergeCell ref="O20:Q20"/>
    <mergeCell ref="I21:J21"/>
    <mergeCell ref="G21:H21"/>
    <mergeCell ref="I19:J19"/>
    <mergeCell ref="G32:O32"/>
    <mergeCell ref="G29:O29"/>
    <mergeCell ref="G30:O30"/>
    <mergeCell ref="G31:O31"/>
    <mergeCell ref="G26:M27"/>
    <mergeCell ref="G28:O28"/>
    <mergeCell ref="S29:V30"/>
    <mergeCell ref="G24:Q24"/>
    <mergeCell ref="G25:J25"/>
    <mergeCell ref="N25:O25"/>
    <mergeCell ref="P25:Q25"/>
    <mergeCell ref="K25:M25"/>
    <mergeCell ref="S28:V28"/>
    <mergeCell ref="G20:H20"/>
    <mergeCell ref="I20:J20"/>
    <mergeCell ref="K20:N20"/>
    <mergeCell ref="P22:Q22"/>
    <mergeCell ref="S18:V20"/>
    <mergeCell ref="K19:Q19"/>
    <mergeCell ref="K21:N21"/>
    <mergeCell ref="O21:Q21"/>
    <mergeCell ref="S21:V22"/>
    <mergeCell ref="G40:O40"/>
    <mergeCell ref="G35:Q35"/>
    <mergeCell ref="G36:O36"/>
    <mergeCell ref="G37:O37"/>
    <mergeCell ref="G38:O38"/>
    <mergeCell ref="G39:O39"/>
  </mergeCells>
  <conditionalFormatting sqref="S18">
    <cfRule type="expression" dxfId="177" priority="7">
      <formula>AG22=0</formula>
    </cfRule>
  </conditionalFormatting>
  <conditionalFormatting sqref="I21:J21">
    <cfRule type="expression" dxfId="176" priority="5">
      <formula>AG22=0</formula>
    </cfRule>
  </conditionalFormatting>
  <conditionalFormatting sqref="O21:Q21">
    <cfRule type="expression" dxfId="175" priority="3">
      <formula>AG24=0</formula>
    </cfRule>
  </conditionalFormatting>
  <conditionalFormatting sqref="S18:V20">
    <cfRule type="expression" dxfId="174" priority="1">
      <formula>AG24=0</formula>
    </cfRule>
  </conditionalFormatting>
  <dataValidations count="4">
    <dataValidation type="list" allowBlank="1" showInputMessage="1" showErrorMessage="1" sqref="I19">
      <formula1>"Sri.,Smt.,Mr.,Mrs.,Selvan.,Selvi.,Dr.,Master.,Miss.,Ms."</formula1>
    </dataValidation>
    <dataValidation type="list" allowBlank="1" showInputMessage="1" showErrorMessage="1" sqref="O20:Q20">
      <formula1>"YEARLY,HALF-YEARLY,QUARTELY,ECS / MONTHLY"</formula1>
    </dataValidation>
    <dataValidation type="list" allowBlank="1" showInputMessage="1" showErrorMessage="1" sqref="I22 P22">
      <formula1>"YES,NO"</formula1>
    </dataValidation>
    <dataValidation type="list" allowBlank="1" showInputMessage="1" showErrorMessage="1" sqref="L23:M23">
      <formula1>"0,5,6,7,8,9,10,11,12,13,14,15,16,17,18,19"</formula1>
    </dataValidation>
  </dataValidations>
  <hyperlinks>
    <hyperlink ref="S29" location="'LIC VASANTHAM - HOME'!A1" display="CLICK HERE"/>
    <hyperlink ref="S29:V30" location="'VASANTHAM HOME'!A1" display="CLICK HERE"/>
  </hyperlinks>
  <pageMargins left="0.7" right="0.7" top="0.75" bottom="0.75" header="0.3" footer="0.3"/>
  <pageSetup orientation="portrait" horizontalDpi="4294967293" verticalDpi="4294967293"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ECAL!O4:O54</xm:f>
          </x14:formula1>
          <xm:sqref>I20:J20</xm:sqref>
        </x14:dataValidation>
        <x14:dataValidation type="list" allowBlank="1" showInputMessage="1" showErrorMessage="1">
          <x14:formula1>
            <xm:f>ECAL!F4:F14</xm:f>
          </x14:formula1>
          <xm:sqref>I21:J21</xm:sqref>
        </x14:dataValidation>
      </x14:dataValidations>
    </ext>
  </extLst>
</worksheet>
</file>

<file path=xl/worksheets/sheet4.xml><?xml version="1.0" encoding="utf-8"?>
<worksheet xmlns="http://schemas.openxmlformats.org/spreadsheetml/2006/main" xmlns:r="http://schemas.openxmlformats.org/officeDocument/2006/relationships">
  <sheetPr codeName="Sheet31"/>
  <dimension ref="A1:V194"/>
  <sheetViews>
    <sheetView showGridLines="0" showRowColHeaders="0" workbookViewId="0">
      <selection activeCell="M2" sqref="M2"/>
    </sheetView>
  </sheetViews>
  <sheetFormatPr defaultColWidth="0" defaultRowHeight="15" zeroHeight="1"/>
  <cols>
    <col min="1" max="1" width="8.875" style="558" customWidth="1"/>
    <col min="2" max="2" width="6" style="558" customWidth="1"/>
    <col min="3" max="3" width="9.125" style="558" customWidth="1"/>
    <col min="4" max="4" width="9.875" style="558" customWidth="1"/>
    <col min="5" max="10" width="9.125" style="558" customWidth="1"/>
    <col min="11" max="11" width="13.375" style="558" customWidth="1"/>
    <col min="12" max="12" width="3.375" style="558" customWidth="1"/>
    <col min="13" max="13" width="3.5" style="558" customWidth="1"/>
    <col min="14" max="16" width="9.125" style="558" customWidth="1"/>
    <col min="17" max="22" width="0" style="558" hidden="1" customWidth="1"/>
    <col min="23" max="16384" width="9.125" style="558" hidden="1"/>
  </cols>
  <sheetData>
    <row r="1" spans="1:16" ht="6.75" customHeight="1">
      <c r="A1" s="864"/>
      <c r="B1" s="864"/>
      <c r="C1" s="864"/>
      <c r="D1" s="864"/>
      <c r="E1" s="864"/>
      <c r="F1" s="864"/>
      <c r="G1" s="864"/>
      <c r="H1" s="864"/>
      <c r="I1" s="864"/>
      <c r="J1" s="864"/>
      <c r="K1" s="864"/>
      <c r="L1" s="864"/>
      <c r="M1" s="864"/>
      <c r="N1" s="864"/>
      <c r="O1" s="864"/>
      <c r="P1" s="864"/>
    </row>
    <row r="2" spans="1:16" ht="9" customHeight="1">
      <c r="A2" s="864"/>
      <c r="B2" s="864"/>
      <c r="C2" s="864"/>
      <c r="D2" s="864"/>
      <c r="E2" s="864"/>
      <c r="F2" s="864"/>
      <c r="G2" s="864"/>
      <c r="H2" s="864"/>
      <c r="I2" s="864"/>
      <c r="J2" s="864"/>
      <c r="K2" s="864"/>
      <c r="L2" s="864"/>
      <c r="M2" s="864"/>
      <c r="N2" s="864"/>
      <c r="O2" s="864"/>
      <c r="P2" s="864"/>
    </row>
    <row r="3" spans="1:16" ht="12.75" customHeight="1">
      <c r="A3" s="596"/>
      <c r="B3" s="1525" t="str">
        <f>'VASANTHAM HOME'!E9</f>
        <v>ENTER YOUR NAME</v>
      </c>
      <c r="C3" s="1525"/>
      <c r="D3" s="1525"/>
      <c r="E3" s="1525"/>
      <c r="F3" s="864"/>
      <c r="G3" s="864"/>
      <c r="H3" s="864"/>
      <c r="I3" s="864"/>
      <c r="J3" s="864"/>
      <c r="K3" s="864"/>
      <c r="L3" s="864"/>
      <c r="M3" s="864"/>
      <c r="N3" s="864"/>
      <c r="O3" s="864"/>
      <c r="P3" s="864"/>
    </row>
    <row r="4" spans="1:16" ht="12.75" customHeight="1">
      <c r="A4" s="595"/>
      <c r="B4" s="1525" t="str">
        <f>'VASANTHAM HOME'!E10</f>
        <v>DESIGNATION</v>
      </c>
      <c r="C4" s="1525"/>
      <c r="D4" s="1525"/>
      <c r="E4" s="1525"/>
      <c r="F4" s="864"/>
      <c r="G4" s="864"/>
      <c r="H4" s="864"/>
      <c r="I4" s="864"/>
      <c r="J4" s="864"/>
      <c r="K4" s="864"/>
      <c r="L4" s="864"/>
      <c r="M4" s="864"/>
      <c r="N4" s="864"/>
      <c r="O4" s="864"/>
      <c r="P4" s="864"/>
    </row>
    <row r="5" spans="1:16" ht="12.75" customHeight="1">
      <c r="A5" s="595"/>
      <c r="B5" s="1525" t="str">
        <f>'VASANTHAM HOME'!E11</f>
        <v>ADDRESS 1</v>
      </c>
      <c r="C5" s="1525"/>
      <c r="D5" s="1525"/>
      <c r="E5" s="1525"/>
      <c r="F5" s="864"/>
      <c r="G5" s="864"/>
      <c r="H5" s="864"/>
      <c r="I5" s="864"/>
      <c r="J5" s="864"/>
      <c r="K5" s="864"/>
      <c r="L5" s="864"/>
      <c r="M5" s="864"/>
      <c r="N5" s="864"/>
      <c r="O5" s="864"/>
      <c r="P5" s="864"/>
    </row>
    <row r="6" spans="1:16" ht="12.75" customHeight="1">
      <c r="A6" s="595"/>
      <c r="B6" s="1525" t="str">
        <f>'VASANTHAM HOME'!E12</f>
        <v>ADDRESS 2</v>
      </c>
      <c r="C6" s="1525"/>
      <c r="D6" s="1525"/>
      <c r="E6" s="1525"/>
      <c r="F6" s="864"/>
      <c r="G6" s="864"/>
      <c r="H6" s="864"/>
      <c r="I6" s="864"/>
      <c r="J6" s="864"/>
      <c r="K6" s="864"/>
      <c r="L6" s="864"/>
      <c r="M6" s="864"/>
      <c r="N6" s="864"/>
      <c r="O6" s="864"/>
      <c r="P6" s="864"/>
    </row>
    <row r="7" spans="1:16" ht="12.75" customHeight="1">
      <c r="A7" s="595"/>
      <c r="B7" s="1525" t="str">
        <f>'VASANTHAM HOME'!E13</f>
        <v>ADDRESS 3</v>
      </c>
      <c r="C7" s="1525"/>
      <c r="D7" s="1525"/>
      <c r="E7" s="1525"/>
      <c r="F7" s="864"/>
      <c r="G7" s="864"/>
      <c r="H7" s="864"/>
      <c r="I7" s="864"/>
      <c r="J7" s="864"/>
      <c r="K7" s="864"/>
      <c r="L7" s="864"/>
      <c r="M7" s="864"/>
      <c r="N7" s="864"/>
      <c r="O7" s="864"/>
      <c r="P7" s="864"/>
    </row>
    <row r="8" spans="1:16" ht="12.75" customHeight="1">
      <c r="A8" s="595"/>
      <c r="B8" s="1525" t="str">
        <f>'VASANTHAM HOME'!E14</f>
        <v>MOBILE NO :</v>
      </c>
      <c r="C8" s="1525"/>
      <c r="D8" s="1525"/>
      <c r="E8" s="1525"/>
      <c r="F8" s="864"/>
      <c r="G8" s="864"/>
      <c r="H8" s="864"/>
      <c r="I8" s="864"/>
      <c r="J8" s="864"/>
      <c r="K8" s="864"/>
      <c r="L8" s="864"/>
      <c r="M8" s="864"/>
      <c r="N8" s="864"/>
      <c r="O8" s="864"/>
      <c r="P8" s="864"/>
    </row>
    <row r="9" spans="1:16" ht="12.75" customHeight="1">
      <c r="A9" s="595"/>
      <c r="B9" s="1525" t="str">
        <f>'VASANTHAM HOME'!E15</f>
        <v>E.MAIL ID :</v>
      </c>
      <c r="C9" s="1525"/>
      <c r="D9" s="1525"/>
      <c r="E9" s="1525"/>
      <c r="F9" s="864"/>
      <c r="G9" s="864"/>
      <c r="H9" s="864"/>
      <c r="I9" s="864"/>
      <c r="J9" s="864"/>
      <c r="K9" s="864"/>
      <c r="L9" s="864"/>
      <c r="M9" s="864"/>
      <c r="N9" s="1375" t="s">
        <v>648</v>
      </c>
      <c r="O9" s="1375"/>
      <c r="P9" s="1375"/>
    </row>
    <row r="10" spans="1:16" ht="12.75" hidden="1" customHeight="1" thickBot="1">
      <c r="L10" s="864"/>
      <c r="M10" s="864"/>
      <c r="N10" s="1375"/>
      <c r="O10" s="1375"/>
      <c r="P10" s="1375"/>
    </row>
    <row r="11" spans="1:16" ht="21" customHeight="1">
      <c r="A11" s="1537" t="s">
        <v>647</v>
      </c>
      <c r="B11" s="1537"/>
      <c r="C11" s="1537"/>
      <c r="D11" s="1537"/>
      <c r="E11" s="1537"/>
      <c r="F11" s="1537"/>
      <c r="G11" s="1537"/>
      <c r="H11" s="1537"/>
      <c r="I11" s="1537"/>
      <c r="J11" s="1537"/>
      <c r="K11" s="1538"/>
      <c r="L11" s="864"/>
      <c r="M11" s="864"/>
      <c r="N11" s="1375"/>
      <c r="O11" s="1375"/>
      <c r="P11" s="1375"/>
    </row>
    <row r="12" spans="1:16" ht="2.25" customHeight="1">
      <c r="L12" s="864"/>
      <c r="M12" s="864"/>
      <c r="N12" s="864"/>
      <c r="O12" s="864"/>
      <c r="P12" s="864"/>
    </row>
    <row r="13" spans="1:16" ht="15.75" customHeight="1">
      <c r="A13" s="864"/>
      <c r="B13" s="1539" t="s">
        <v>646</v>
      </c>
      <c r="C13" s="1539"/>
      <c r="D13" s="1539"/>
      <c r="E13" s="864"/>
      <c r="F13" s="864"/>
      <c r="G13" s="864"/>
      <c r="H13" s="1540" t="s">
        <v>645</v>
      </c>
      <c r="I13" s="1541"/>
      <c r="J13" s="1541"/>
      <c r="K13" s="864"/>
      <c r="L13" s="864"/>
      <c r="M13" s="864"/>
      <c r="N13" s="1526" t="s">
        <v>226</v>
      </c>
      <c r="O13" s="1526"/>
      <c r="P13" s="1526"/>
    </row>
    <row r="14" spans="1:16" ht="15" customHeight="1">
      <c r="A14" s="1532" t="s">
        <v>644</v>
      </c>
      <c r="B14" s="1533"/>
      <c r="C14" s="1533"/>
      <c r="D14" s="1533"/>
      <c r="E14" s="1533"/>
      <c r="F14" s="1533"/>
      <c r="G14" s="1533"/>
      <c r="H14" s="1533"/>
      <c r="I14" s="1533"/>
      <c r="J14" s="1533"/>
      <c r="K14" s="1534"/>
      <c r="L14" s="864"/>
      <c r="M14" s="864"/>
      <c r="N14" s="1526"/>
      <c r="O14" s="1526"/>
      <c r="P14" s="1526"/>
    </row>
    <row r="15" spans="1:16" ht="7.5" customHeight="1">
      <c r="A15" s="864"/>
      <c r="B15" s="864"/>
      <c r="C15" s="864"/>
      <c r="D15" s="864"/>
      <c r="E15" s="864"/>
      <c r="F15" s="864"/>
      <c r="G15" s="864"/>
      <c r="H15" s="864"/>
      <c r="I15" s="864"/>
      <c r="J15" s="864"/>
      <c r="K15" s="864"/>
      <c r="L15" s="864"/>
      <c r="M15" s="864"/>
      <c r="N15" s="864"/>
      <c r="O15" s="864"/>
      <c r="P15" s="864"/>
    </row>
    <row r="16" spans="1:16" ht="15.75" customHeight="1">
      <c r="A16" s="594"/>
      <c r="B16" s="594"/>
      <c r="C16" s="588"/>
      <c r="D16" s="588"/>
      <c r="E16" s="1499" t="s">
        <v>643</v>
      </c>
      <c r="F16" s="1531"/>
      <c r="G16" s="1531"/>
      <c r="H16" s="1531"/>
      <c r="I16" s="1531"/>
      <c r="J16" s="1531"/>
      <c r="K16" s="1531"/>
      <c r="L16" s="864"/>
      <c r="M16" s="864"/>
      <c r="N16" s="864"/>
      <c r="O16" s="864"/>
      <c r="P16" s="864"/>
    </row>
    <row r="17" spans="1:16" ht="14.85" customHeight="1">
      <c r="A17" s="594"/>
      <c r="B17" s="594"/>
      <c r="C17" s="594"/>
      <c r="D17" s="594"/>
      <c r="E17" s="1482" t="s">
        <v>642</v>
      </c>
      <c r="F17" s="1482"/>
      <c r="G17" s="1482"/>
      <c r="H17" s="1482"/>
      <c r="I17" s="1482"/>
      <c r="J17" s="1482"/>
      <c r="K17" s="1483"/>
      <c r="L17" s="864"/>
      <c r="M17" s="864"/>
      <c r="N17" s="864"/>
      <c r="O17" s="864"/>
      <c r="P17" s="864"/>
    </row>
    <row r="18" spans="1:16" ht="14.85" customHeight="1">
      <c r="A18" s="594"/>
      <c r="B18" s="594"/>
      <c r="C18" s="594"/>
      <c r="D18" s="594"/>
      <c r="E18" s="1482" t="s">
        <v>641</v>
      </c>
      <c r="F18" s="1527"/>
      <c r="G18" s="1527"/>
      <c r="H18" s="1527"/>
      <c r="I18" s="1527"/>
      <c r="J18" s="1527"/>
      <c r="K18" s="1528"/>
      <c r="L18" s="864"/>
      <c r="M18" s="864"/>
      <c r="N18" s="864"/>
      <c r="O18" s="864"/>
      <c r="P18" s="864"/>
    </row>
    <row r="19" spans="1:16" ht="14.85" customHeight="1">
      <c r="A19" s="594"/>
      <c r="B19" s="594"/>
      <c r="C19" s="594"/>
      <c r="D19" s="594"/>
      <c r="E19" s="1482" t="s">
        <v>640</v>
      </c>
      <c r="F19" s="1529"/>
      <c r="G19" s="1529"/>
      <c r="H19" s="1529"/>
      <c r="I19" s="1529"/>
      <c r="J19" s="1529"/>
      <c r="K19" s="1530"/>
      <c r="L19" s="864"/>
      <c r="M19" s="864"/>
      <c r="N19" s="1390" t="s">
        <v>228</v>
      </c>
      <c r="O19" s="1535"/>
      <c r="P19" s="1535"/>
    </row>
    <row r="20" spans="1:16" ht="14.85" customHeight="1">
      <c r="A20" s="594"/>
      <c r="B20" s="594"/>
      <c r="C20" s="594"/>
      <c r="D20" s="594"/>
      <c r="E20" s="1482" t="s">
        <v>639</v>
      </c>
      <c r="F20" s="1529"/>
      <c r="G20" s="1529"/>
      <c r="H20" s="1529"/>
      <c r="I20" s="1529"/>
      <c r="J20" s="1529"/>
      <c r="K20" s="1530"/>
      <c r="L20" s="864"/>
      <c r="M20" s="864"/>
      <c r="N20" s="1535"/>
      <c r="O20" s="1535"/>
      <c r="P20" s="1535"/>
    </row>
    <row r="21" spans="1:16" ht="14.85" customHeight="1">
      <c r="A21" s="864"/>
      <c r="B21" s="864"/>
      <c r="C21" s="864"/>
      <c r="D21" s="864"/>
      <c r="E21" s="1536" t="s">
        <v>638</v>
      </c>
      <c r="F21" s="1536"/>
      <c r="G21" s="1536"/>
      <c r="H21" s="1536"/>
      <c r="I21" s="593"/>
      <c r="J21" s="593"/>
      <c r="K21" s="592"/>
      <c r="L21" s="864"/>
      <c r="M21" s="864"/>
      <c r="N21" s="1391" t="s">
        <v>226</v>
      </c>
      <c r="O21" s="1391"/>
      <c r="P21" s="1391"/>
    </row>
    <row r="22" spans="1:16" ht="16.5" customHeight="1">
      <c r="A22" s="864"/>
      <c r="B22" s="864"/>
      <c r="C22" s="864"/>
      <c r="D22" s="864"/>
      <c r="E22" s="1482" t="s">
        <v>637</v>
      </c>
      <c r="F22" s="1482"/>
      <c r="G22" s="1482"/>
      <c r="H22" s="1482"/>
      <c r="I22" s="1482"/>
      <c r="J22" s="1482"/>
      <c r="K22" s="1483"/>
      <c r="L22" s="864"/>
      <c r="M22" s="864"/>
      <c r="N22" s="1391"/>
      <c r="O22" s="1391"/>
      <c r="P22" s="1391"/>
    </row>
    <row r="23" spans="1:16" ht="16.5" customHeight="1">
      <c r="A23" s="864"/>
      <c r="B23" s="864"/>
      <c r="C23" s="864"/>
      <c r="D23" s="864"/>
      <c r="E23" s="1482" t="s">
        <v>636</v>
      </c>
      <c r="F23" s="1482"/>
      <c r="G23" s="1482"/>
      <c r="H23" s="1482"/>
      <c r="I23" s="1482"/>
      <c r="J23" s="1482"/>
      <c r="K23" s="1483"/>
      <c r="L23" s="864"/>
      <c r="M23" s="864"/>
      <c r="N23" s="864"/>
      <c r="O23" s="864"/>
      <c r="P23" s="864"/>
    </row>
    <row r="24" spans="1:16" ht="16.5" customHeight="1">
      <c r="A24" s="864"/>
      <c r="B24" s="864"/>
      <c r="C24" s="864"/>
      <c r="D24" s="864"/>
      <c r="E24" s="1482" t="s">
        <v>635</v>
      </c>
      <c r="F24" s="1482"/>
      <c r="G24" s="1482"/>
      <c r="H24" s="1482"/>
      <c r="I24" s="1482"/>
      <c r="J24" s="1482"/>
      <c r="K24" s="1483"/>
      <c r="L24" s="864"/>
      <c r="M24" s="864"/>
      <c r="N24" s="864"/>
      <c r="O24" s="864"/>
      <c r="P24" s="864"/>
    </row>
    <row r="25" spans="1:16" ht="16.5" customHeight="1">
      <c r="A25" s="864"/>
      <c r="B25" s="864"/>
      <c r="C25" s="864"/>
      <c r="D25" s="864"/>
      <c r="E25" s="1482" t="s">
        <v>634</v>
      </c>
      <c r="F25" s="1482"/>
      <c r="G25" s="1482"/>
      <c r="H25" s="1482"/>
      <c r="I25" s="1482"/>
      <c r="J25" s="1482"/>
      <c r="K25" s="1483"/>
      <c r="L25" s="864"/>
      <c r="M25" s="864"/>
      <c r="N25" s="864"/>
      <c r="O25" s="864"/>
      <c r="P25" s="864"/>
    </row>
    <row r="26" spans="1:16" ht="16.5" customHeight="1">
      <c r="A26" s="864"/>
      <c r="B26" s="864"/>
      <c r="C26" s="864"/>
      <c r="D26" s="864"/>
      <c r="E26" s="1482" t="s">
        <v>633</v>
      </c>
      <c r="F26" s="1482"/>
      <c r="G26" s="1482"/>
      <c r="H26" s="1482"/>
      <c r="I26" s="1482"/>
      <c r="J26" s="1482"/>
      <c r="K26" s="1483"/>
      <c r="L26" s="864"/>
      <c r="M26" s="864"/>
      <c r="N26" s="864"/>
      <c r="O26" s="864"/>
      <c r="P26" s="864"/>
    </row>
    <row r="27" spans="1:16" ht="6.75" customHeight="1">
      <c r="A27" s="864"/>
      <c r="B27" s="864"/>
      <c r="C27" s="864"/>
      <c r="D27" s="864"/>
      <c r="E27" s="1518"/>
      <c r="F27" s="1518"/>
      <c r="G27" s="1518"/>
      <c r="H27" s="1518"/>
      <c r="I27" s="1518"/>
      <c r="J27" s="1518"/>
      <c r="K27" s="1519"/>
      <c r="L27" s="864"/>
      <c r="M27" s="864"/>
      <c r="N27" s="864"/>
      <c r="O27" s="864"/>
      <c r="P27" s="864"/>
    </row>
    <row r="28" spans="1:16" ht="15.75" customHeight="1">
      <c r="A28" s="864"/>
      <c r="B28" s="864"/>
      <c r="C28" s="864"/>
      <c r="D28" s="864"/>
      <c r="E28" s="1515" t="s">
        <v>632</v>
      </c>
      <c r="F28" s="1515"/>
      <c r="G28" s="1515"/>
      <c r="H28" s="1515"/>
      <c r="I28" s="1515"/>
      <c r="J28" s="1515"/>
      <c r="K28" s="591"/>
      <c r="L28" s="864"/>
      <c r="M28" s="864"/>
      <c r="N28" s="864"/>
      <c r="O28" s="864"/>
      <c r="P28" s="864"/>
    </row>
    <row r="29" spans="1:16" ht="5.25" customHeight="1">
      <c r="A29" s="864"/>
      <c r="B29" s="864"/>
      <c r="C29" s="864"/>
      <c r="D29" s="864"/>
      <c r="E29" s="1466"/>
      <c r="F29" s="1466"/>
      <c r="G29" s="1466"/>
      <c r="H29" s="1466"/>
      <c r="I29" s="1466"/>
      <c r="J29" s="1466"/>
      <c r="K29" s="1466"/>
      <c r="L29" s="864"/>
      <c r="M29" s="864"/>
      <c r="N29" s="864"/>
      <c r="O29" s="864"/>
      <c r="P29" s="864"/>
    </row>
    <row r="30" spans="1:16" ht="18.75" customHeight="1">
      <c r="A30" s="864"/>
      <c r="B30" s="864"/>
      <c r="C30" s="864"/>
      <c r="D30" s="864"/>
      <c r="E30" s="1480" t="s">
        <v>631</v>
      </c>
      <c r="F30" s="1480"/>
      <c r="G30" s="1480"/>
      <c r="H30" s="1480"/>
      <c r="I30" s="1480"/>
      <c r="J30" s="1480"/>
      <c r="K30" s="1481"/>
      <c r="L30" s="864"/>
      <c r="M30" s="864"/>
      <c r="N30" s="864"/>
      <c r="O30" s="864"/>
      <c r="P30" s="864"/>
    </row>
    <row r="31" spans="1:16" ht="15" customHeight="1">
      <c r="A31" s="588"/>
      <c r="B31" s="588"/>
      <c r="C31" s="588"/>
      <c r="D31" s="588"/>
      <c r="E31" s="1499" t="s">
        <v>630</v>
      </c>
      <c r="F31" s="1499"/>
      <c r="G31" s="1499"/>
      <c r="H31" s="1499"/>
      <c r="I31" s="1499"/>
      <c r="J31" s="1499"/>
      <c r="K31" s="859">
        <f>'Jeevan Arogya'!J9</f>
        <v>1000</v>
      </c>
      <c r="L31" s="864"/>
      <c r="M31" s="864"/>
      <c r="N31" s="864"/>
      <c r="O31" s="864"/>
      <c r="P31" s="864"/>
    </row>
    <row r="32" spans="1:16" ht="16.5" customHeight="1">
      <c r="A32" s="588"/>
      <c r="B32" s="588"/>
      <c r="C32" s="588"/>
      <c r="D32" s="588"/>
      <c r="E32" s="1466" t="s">
        <v>629</v>
      </c>
      <c r="F32" s="1516"/>
      <c r="G32" s="1516"/>
      <c r="H32" s="1516"/>
      <c r="I32" s="1516"/>
      <c r="J32" s="1516"/>
      <c r="K32" s="1517"/>
      <c r="L32" s="864"/>
      <c r="M32" s="864"/>
      <c r="N32" s="864"/>
      <c r="O32" s="864"/>
      <c r="P32" s="864"/>
    </row>
    <row r="33" spans="1:19" ht="17.25" customHeight="1">
      <c r="A33" s="588"/>
      <c r="B33" s="588"/>
      <c r="C33" s="588"/>
      <c r="D33" s="588"/>
      <c r="E33" s="1466" t="s">
        <v>628</v>
      </c>
      <c r="F33" s="1509"/>
      <c r="G33" s="1509"/>
      <c r="H33" s="1509"/>
      <c r="I33" s="1509"/>
      <c r="J33" s="1509"/>
      <c r="K33" s="859">
        <f>K31*2</f>
        <v>2000</v>
      </c>
      <c r="L33" s="864"/>
      <c r="M33" s="864"/>
      <c r="N33" s="864"/>
      <c r="O33" s="864"/>
      <c r="P33" s="864"/>
    </row>
    <row r="34" spans="1:19" ht="17.25" customHeight="1">
      <c r="A34" s="588"/>
      <c r="B34" s="588"/>
      <c r="C34" s="588"/>
      <c r="D34" s="588"/>
      <c r="E34" s="1466" t="s">
        <v>627</v>
      </c>
      <c r="F34" s="1450"/>
      <c r="G34" s="1450"/>
      <c r="H34" s="1450"/>
      <c r="I34" s="1450"/>
      <c r="J34" s="1450"/>
      <c r="K34" s="1520"/>
      <c r="L34" s="864"/>
      <c r="M34" s="864"/>
      <c r="N34" s="864"/>
      <c r="O34" s="864"/>
      <c r="P34" s="864"/>
    </row>
    <row r="35" spans="1:19" ht="6.75" customHeight="1">
      <c r="A35" s="588"/>
      <c r="B35" s="588"/>
      <c r="C35" s="588"/>
      <c r="D35" s="588"/>
      <c r="E35" s="857"/>
      <c r="F35" s="853"/>
      <c r="G35" s="853"/>
      <c r="H35" s="853"/>
      <c r="I35" s="853"/>
      <c r="J35" s="853"/>
      <c r="K35" s="865"/>
      <c r="L35" s="864"/>
      <c r="M35" s="864"/>
      <c r="N35" s="864"/>
      <c r="O35" s="864"/>
      <c r="P35" s="864"/>
    </row>
    <row r="36" spans="1:19" ht="17.25" customHeight="1">
      <c r="A36" s="1521" t="s">
        <v>626</v>
      </c>
      <c r="B36" s="1521"/>
      <c r="C36" s="1521"/>
      <c r="D36" s="1521"/>
      <c r="E36" s="1480" t="s">
        <v>625</v>
      </c>
      <c r="F36" s="1480"/>
      <c r="G36" s="1480"/>
      <c r="H36" s="1480"/>
      <c r="I36" s="1480"/>
      <c r="J36" s="1480"/>
      <c r="K36" s="1481"/>
      <c r="L36" s="864"/>
      <c r="M36" s="864"/>
      <c r="N36" s="864"/>
      <c r="O36" s="864"/>
      <c r="P36" s="864"/>
    </row>
    <row r="37" spans="1:19" ht="13.7" customHeight="1">
      <c r="A37" s="1521"/>
      <c r="B37" s="1521"/>
      <c r="C37" s="1521"/>
      <c r="D37" s="1521"/>
      <c r="E37" s="1522" t="s">
        <v>624</v>
      </c>
      <c r="F37" s="1523"/>
      <c r="G37" s="1523"/>
      <c r="H37" s="1523"/>
      <c r="I37" s="1523"/>
      <c r="J37" s="1523"/>
      <c r="K37" s="1523"/>
      <c r="L37" s="864"/>
      <c r="M37" s="864"/>
      <c r="N37" s="864"/>
      <c r="O37" s="864"/>
      <c r="P37" s="864"/>
    </row>
    <row r="38" spans="1:19" ht="15" customHeight="1">
      <c r="A38" s="590"/>
      <c r="B38" s="1521" t="s">
        <v>623</v>
      </c>
      <c r="C38" s="1521"/>
      <c r="D38" s="590"/>
      <c r="E38" s="1466" t="s">
        <v>622</v>
      </c>
      <c r="F38" s="1466"/>
      <c r="G38" s="1466"/>
      <c r="H38" s="1466"/>
      <c r="I38" s="1466"/>
      <c r="J38" s="1466"/>
      <c r="K38" s="859">
        <f>K31*100</f>
        <v>100000</v>
      </c>
      <c r="L38" s="864"/>
      <c r="M38" s="864"/>
      <c r="N38" s="864"/>
      <c r="O38" s="864"/>
      <c r="P38" s="864"/>
    </row>
    <row r="39" spans="1:19" ht="13.7" customHeight="1">
      <c r="A39" s="1524" t="str">
        <f>'Jeevan Arogya'!D9</f>
        <v>Mr.</v>
      </c>
      <c r="B39" s="1512" t="str">
        <f>'Jeevan Arogya'!E9</f>
        <v>M.RAJAYOGAM</v>
      </c>
      <c r="C39" s="1512"/>
      <c r="D39" s="1512"/>
      <c r="E39" s="1513" t="s">
        <v>621</v>
      </c>
      <c r="F39" s="1513"/>
      <c r="G39" s="1513"/>
      <c r="H39" s="1513"/>
      <c r="I39" s="1513"/>
      <c r="J39" s="1513"/>
      <c r="K39" s="1514"/>
      <c r="L39" s="864"/>
      <c r="M39" s="864"/>
      <c r="N39" s="864"/>
      <c r="O39" s="864"/>
      <c r="P39" s="864"/>
      <c r="S39" s="589"/>
    </row>
    <row r="40" spans="1:19" ht="5.25" customHeight="1">
      <c r="A40" s="1524"/>
      <c r="B40" s="1512"/>
      <c r="C40" s="1512"/>
      <c r="D40" s="1512"/>
      <c r="E40" s="862"/>
      <c r="F40" s="862"/>
      <c r="G40" s="862"/>
      <c r="H40" s="862"/>
      <c r="I40" s="862"/>
      <c r="J40" s="862"/>
      <c r="K40" s="863"/>
      <c r="L40" s="864"/>
      <c r="M40" s="864"/>
      <c r="N40" s="864"/>
      <c r="O40" s="864"/>
      <c r="P40" s="864"/>
      <c r="S40" s="589"/>
    </row>
    <row r="41" spans="1:19" ht="18" customHeight="1">
      <c r="A41" s="1524"/>
      <c r="B41" s="1512"/>
      <c r="C41" s="1512"/>
      <c r="D41" s="1512"/>
      <c r="E41" s="1480" t="s">
        <v>620</v>
      </c>
      <c r="F41" s="1480"/>
      <c r="G41" s="1480"/>
      <c r="H41" s="1480"/>
      <c r="I41" s="1480"/>
      <c r="J41" s="1480"/>
      <c r="K41" s="1481"/>
      <c r="L41" s="864"/>
      <c r="M41" s="864"/>
      <c r="N41" s="864"/>
      <c r="O41" s="864"/>
      <c r="P41" s="864"/>
    </row>
    <row r="42" spans="1:19" ht="15.75" customHeight="1">
      <c r="A42" s="1498" t="str">
        <f>IF(OR('Jeevan Arogya'!E10,'Jeevan Arogya'!H10="NA")," "," &amp; His  Family  ")</f>
        <v/>
      </c>
      <c r="B42" s="1498"/>
      <c r="C42" s="1498"/>
      <c r="D42" s="1498"/>
      <c r="E42" s="1466" t="s">
        <v>619</v>
      </c>
      <c r="F42" s="1466"/>
      <c r="G42" s="1466"/>
      <c r="H42" s="1466"/>
      <c r="I42" s="1466"/>
      <c r="J42" s="1466"/>
      <c r="K42" s="1467"/>
      <c r="L42" s="864"/>
      <c r="M42" s="864"/>
      <c r="N42" s="864"/>
      <c r="O42" s="864"/>
      <c r="P42" s="864"/>
    </row>
    <row r="43" spans="1:19" ht="16.5" customHeight="1">
      <c r="A43" s="1498"/>
      <c r="B43" s="1498"/>
      <c r="C43" s="1498"/>
      <c r="D43" s="1498"/>
      <c r="E43" s="1499" t="s">
        <v>618</v>
      </c>
      <c r="F43" s="1499"/>
      <c r="G43" s="1499"/>
      <c r="H43" s="1499"/>
      <c r="I43" s="1499"/>
      <c r="J43" s="1500">
        <f>K31*5</f>
        <v>5000</v>
      </c>
      <c r="K43" s="1501"/>
      <c r="L43" s="864"/>
      <c r="M43" s="864"/>
      <c r="N43" s="864"/>
      <c r="O43" s="864"/>
      <c r="P43" s="864"/>
    </row>
    <row r="44" spans="1:19" ht="13.7" customHeight="1">
      <c r="A44" s="864"/>
      <c r="B44" s="864"/>
      <c r="C44" s="864"/>
      <c r="D44" s="864"/>
      <c r="E44" s="1466" t="s">
        <v>617</v>
      </c>
      <c r="F44" s="1466"/>
      <c r="G44" s="1466"/>
      <c r="H44" s="1466"/>
      <c r="I44" s="1466"/>
      <c r="J44" s="1500">
        <f>J43*3</f>
        <v>15000</v>
      </c>
      <c r="K44" s="1501"/>
      <c r="L44" s="864"/>
      <c r="M44" s="864"/>
      <c r="N44" s="864"/>
      <c r="O44" s="864"/>
      <c r="P44" s="864"/>
    </row>
    <row r="45" spans="1:19" ht="15" customHeight="1">
      <c r="A45" s="864"/>
      <c r="B45" s="864"/>
      <c r="C45" s="864"/>
      <c r="D45" s="864"/>
      <c r="E45" s="1466" t="s">
        <v>616</v>
      </c>
      <c r="F45" s="1466"/>
      <c r="G45" s="1466"/>
      <c r="H45" s="1466"/>
      <c r="I45" s="1466"/>
      <c r="J45" s="1511">
        <f>K80</f>
        <v>141000</v>
      </c>
      <c r="K45" s="1501"/>
      <c r="L45" s="864"/>
      <c r="M45" s="864"/>
      <c r="N45" s="864"/>
      <c r="O45" s="864"/>
      <c r="P45" s="864"/>
    </row>
    <row r="46" spans="1:19" ht="6" customHeight="1">
      <c r="A46" s="864"/>
      <c r="B46" s="864"/>
      <c r="C46" s="864"/>
      <c r="D46" s="864"/>
      <c r="E46" s="857"/>
      <c r="F46" s="857"/>
      <c r="G46" s="857"/>
      <c r="H46" s="857"/>
      <c r="I46" s="857"/>
      <c r="J46" s="861"/>
      <c r="K46" s="859"/>
      <c r="L46" s="864"/>
      <c r="M46" s="864"/>
      <c r="N46" s="864"/>
      <c r="O46" s="864"/>
      <c r="P46" s="864"/>
    </row>
    <row r="47" spans="1:19" ht="13.7" customHeight="1">
      <c r="A47" s="864"/>
      <c r="B47" s="864"/>
      <c r="C47" s="864"/>
      <c r="D47" s="864"/>
      <c r="E47" s="1480" t="s">
        <v>615</v>
      </c>
      <c r="F47" s="1480"/>
      <c r="G47" s="1480"/>
      <c r="H47" s="1480"/>
      <c r="I47" s="1480"/>
      <c r="J47" s="1480"/>
      <c r="K47" s="1481"/>
      <c r="L47" s="864"/>
      <c r="M47" s="864"/>
      <c r="N47" s="864"/>
      <c r="O47" s="864"/>
      <c r="P47" s="864"/>
    </row>
    <row r="48" spans="1:19" ht="13.7" customHeight="1">
      <c r="A48" s="864"/>
      <c r="B48" s="864"/>
      <c r="C48" s="864"/>
      <c r="D48" s="864"/>
      <c r="E48" s="1466" t="s">
        <v>614</v>
      </c>
      <c r="F48" s="1509"/>
      <c r="G48" s="1509"/>
      <c r="H48" s="1509"/>
      <c r="I48" s="1509"/>
      <c r="J48" s="1509"/>
      <c r="K48" s="1510"/>
      <c r="L48" s="864"/>
      <c r="M48" s="864"/>
      <c r="N48" s="864"/>
      <c r="O48" s="864"/>
      <c r="P48" s="864"/>
    </row>
    <row r="49" spans="1:16" ht="14.25" customHeight="1" thickBot="1">
      <c r="A49" s="864"/>
      <c r="B49" s="864"/>
      <c r="C49" s="864"/>
      <c r="D49" s="864"/>
      <c r="E49" s="1466" t="s">
        <v>613</v>
      </c>
      <c r="F49" s="1466"/>
      <c r="G49" s="1466"/>
      <c r="H49" s="1466"/>
      <c r="I49" s="1466"/>
      <c r="J49" s="1466"/>
      <c r="K49" s="1467"/>
      <c r="L49" s="864"/>
      <c r="M49" s="864"/>
      <c r="N49" s="864"/>
      <c r="O49" s="864"/>
      <c r="P49" s="864"/>
    </row>
    <row r="50" spans="1:16" ht="15" customHeight="1" thickTop="1" thickBot="1">
      <c r="A50" s="1502" t="s">
        <v>612</v>
      </c>
      <c r="B50" s="1502"/>
      <c r="C50" s="1502"/>
      <c r="D50" s="1502"/>
      <c r="E50" s="1466" t="s">
        <v>611</v>
      </c>
      <c r="F50" s="1466"/>
      <c r="G50" s="1466"/>
      <c r="H50" s="1466"/>
      <c r="I50" s="1466"/>
      <c r="J50" s="1503">
        <f>C81</f>
        <v>30000</v>
      </c>
      <c r="K50" s="1501"/>
      <c r="L50" s="864"/>
      <c r="M50" s="864"/>
      <c r="N50" s="864"/>
      <c r="O50" s="864"/>
      <c r="P50" s="864"/>
    </row>
    <row r="51" spans="1:16" ht="19.5" customHeight="1" thickTop="1">
      <c r="A51" s="1504" t="s">
        <v>610</v>
      </c>
      <c r="B51" s="1504"/>
      <c r="C51" s="1504"/>
      <c r="D51" s="1504"/>
      <c r="E51" s="1480" t="s">
        <v>609</v>
      </c>
      <c r="F51" s="1480"/>
      <c r="G51" s="1480"/>
      <c r="H51" s="1480"/>
      <c r="I51" s="1480"/>
      <c r="J51" s="1480"/>
      <c r="K51" s="1481"/>
      <c r="L51" s="864"/>
      <c r="M51" s="864"/>
      <c r="N51" s="864"/>
      <c r="O51" s="864"/>
      <c r="P51" s="864"/>
    </row>
    <row r="52" spans="1:16" ht="18" customHeight="1">
      <c r="A52" s="1497" t="s">
        <v>608</v>
      </c>
      <c r="B52" s="1497"/>
      <c r="C52" s="1497"/>
      <c r="D52" s="1497"/>
      <c r="E52" s="1480" t="s">
        <v>607</v>
      </c>
      <c r="F52" s="1480"/>
      <c r="G52" s="1480"/>
      <c r="H52" s="1480"/>
      <c r="I52" s="1480"/>
      <c r="J52" s="1480"/>
      <c r="K52" s="1481"/>
      <c r="L52" s="864"/>
      <c r="M52" s="864"/>
      <c r="N52" s="864"/>
      <c r="O52" s="864"/>
      <c r="P52" s="864"/>
    </row>
    <row r="53" spans="1:16" ht="18" customHeight="1">
      <c r="A53" s="1497" t="s">
        <v>606</v>
      </c>
      <c r="B53" s="1497"/>
      <c r="C53" s="1497"/>
      <c r="D53" s="1497"/>
      <c r="E53" s="1505" t="s">
        <v>605</v>
      </c>
      <c r="F53" s="1505"/>
      <c r="G53" s="1505"/>
      <c r="H53" s="1505"/>
      <c r="I53" s="1505"/>
      <c r="J53" s="1505"/>
      <c r="K53" s="1505"/>
      <c r="L53" s="864"/>
      <c r="M53" s="864"/>
      <c r="N53" s="864"/>
      <c r="O53" s="864"/>
      <c r="P53" s="864"/>
    </row>
    <row r="54" spans="1:16" ht="19.5" customHeight="1">
      <c r="A54" s="1497" t="s">
        <v>604</v>
      </c>
      <c r="B54" s="1497"/>
      <c r="C54" s="1497"/>
      <c r="D54" s="1497"/>
      <c r="E54" s="1505"/>
      <c r="F54" s="1505"/>
      <c r="G54" s="1505"/>
      <c r="H54" s="1505"/>
      <c r="I54" s="1505"/>
      <c r="J54" s="1505"/>
      <c r="K54" s="1505"/>
      <c r="L54" s="864"/>
      <c r="M54" s="864"/>
      <c r="N54" s="864"/>
      <c r="O54" s="864"/>
      <c r="P54" s="864"/>
    </row>
    <row r="55" spans="1:16" ht="11.25" customHeight="1">
      <c r="A55" s="1506"/>
      <c r="B55" s="1506"/>
      <c r="C55" s="1506"/>
      <c r="D55" s="1506"/>
      <c r="E55" s="1505"/>
      <c r="F55" s="1505"/>
      <c r="G55" s="1505"/>
      <c r="H55" s="1505"/>
      <c r="I55" s="1505"/>
      <c r="J55" s="1505"/>
      <c r="K55" s="1505"/>
      <c r="L55" s="864"/>
      <c r="M55" s="864"/>
      <c r="N55" s="864"/>
      <c r="O55" s="864"/>
      <c r="P55" s="864"/>
    </row>
    <row r="56" spans="1:16" ht="11.25" customHeight="1">
      <c r="A56" s="860"/>
      <c r="B56" s="860"/>
      <c r="C56" s="860"/>
      <c r="D56" s="860"/>
      <c r="E56" s="1505"/>
      <c r="F56" s="1505"/>
      <c r="G56" s="1505"/>
      <c r="H56" s="1505"/>
      <c r="I56" s="1505"/>
      <c r="J56" s="1505"/>
      <c r="K56" s="1505"/>
      <c r="L56" s="864"/>
      <c r="M56" s="864"/>
      <c r="N56" s="864"/>
      <c r="O56" s="864"/>
      <c r="P56" s="864"/>
    </row>
    <row r="57" spans="1:16" ht="13.7" customHeight="1">
      <c r="A57" s="860"/>
      <c r="B57" s="860"/>
      <c r="C57" s="860"/>
      <c r="D57" s="860"/>
      <c r="E57" s="1505"/>
      <c r="F57" s="1505"/>
      <c r="G57" s="1505"/>
      <c r="H57" s="1505"/>
      <c r="I57" s="1505"/>
      <c r="J57" s="1505"/>
      <c r="K57" s="1505"/>
      <c r="L57" s="864"/>
      <c r="M57" s="864"/>
      <c r="N57" s="864"/>
      <c r="O57" s="864"/>
      <c r="P57" s="864"/>
    </row>
    <row r="58" spans="1:16" ht="13.7" customHeight="1">
      <c r="A58" s="588"/>
      <c r="B58" s="588"/>
      <c r="C58" s="588"/>
      <c r="D58" s="588"/>
      <c r="E58" s="588"/>
      <c r="F58" s="588"/>
      <c r="G58" s="588"/>
      <c r="H58" s="588"/>
      <c r="I58" s="588"/>
      <c r="J58" s="588"/>
      <c r="K58" s="588"/>
      <c r="L58" s="864"/>
      <c r="M58" s="864"/>
      <c r="N58" s="864"/>
      <c r="O58" s="864"/>
      <c r="P58" s="864"/>
    </row>
    <row r="59" spans="1:16" ht="35.25" customHeight="1">
      <c r="A59" s="588"/>
      <c r="B59" s="588"/>
      <c r="C59" s="588"/>
      <c r="D59" s="588"/>
      <c r="E59" s="588"/>
      <c r="F59" s="588"/>
      <c r="G59" s="588"/>
      <c r="H59" s="588"/>
      <c r="I59" s="588"/>
      <c r="J59" s="588"/>
      <c r="K59" s="588"/>
      <c r="L59" s="864"/>
      <c r="M59" s="864"/>
      <c r="N59" s="864"/>
      <c r="O59" s="864"/>
      <c r="P59" s="864"/>
    </row>
    <row r="60" spans="1:16" ht="12.75" customHeight="1">
      <c r="A60" s="588"/>
      <c r="B60" s="588"/>
      <c r="C60" s="588"/>
      <c r="D60" s="588"/>
      <c r="E60" s="588"/>
      <c r="F60" s="588"/>
      <c r="G60" s="588"/>
      <c r="H60" s="588"/>
      <c r="I60" s="588"/>
      <c r="J60" s="588"/>
      <c r="K60" s="588"/>
      <c r="L60" s="864"/>
      <c r="M60" s="864"/>
      <c r="N60" s="864"/>
      <c r="O60" s="864"/>
      <c r="P60" s="864"/>
    </row>
    <row r="61" spans="1:16" ht="18.75" customHeight="1" thickBot="1">
      <c r="A61" s="588"/>
      <c r="B61" s="588"/>
      <c r="C61" s="1507" t="s">
        <v>603</v>
      </c>
      <c r="D61" s="1507"/>
      <c r="E61" s="1507"/>
      <c r="F61" s="1507"/>
      <c r="G61" s="1507"/>
      <c r="H61" s="1507"/>
      <c r="I61" s="588"/>
      <c r="J61" s="588"/>
      <c r="K61" s="588"/>
      <c r="L61" s="864"/>
      <c r="M61" s="864"/>
      <c r="N61" s="864"/>
      <c r="O61" s="864"/>
      <c r="P61" s="864"/>
    </row>
    <row r="62" spans="1:16" ht="17.25" customHeight="1" thickTop="1" thickBot="1">
      <c r="A62" s="864"/>
      <c r="B62" s="864"/>
      <c r="C62" s="587" t="str">
        <f>'Jeevan Arogya'!D9</f>
        <v>Mr.</v>
      </c>
      <c r="D62" s="1508" t="str">
        <f>'Jeevan Arogya'!E9</f>
        <v>M.RAJAYOGAM</v>
      </c>
      <c r="E62" s="1508"/>
      <c r="F62" s="1508"/>
      <c r="G62" s="1508"/>
      <c r="H62" s="586"/>
      <c r="I62" s="864"/>
      <c r="J62" s="864"/>
      <c r="K62" s="864"/>
      <c r="L62" s="864"/>
      <c r="M62" s="864"/>
      <c r="N62" s="864"/>
      <c r="O62" s="864"/>
      <c r="P62" s="864"/>
    </row>
    <row r="63" spans="1:16" ht="12.75" customHeight="1" thickTop="1" thickBot="1">
      <c r="A63" s="864"/>
      <c r="B63" s="864"/>
      <c r="C63" s="1468" t="str">
        <f>IF(OR('Jeevan Arogya'!E10,'Jeevan Arogya'!H10="NA")," "," &amp; His  Family  ")</f>
        <v/>
      </c>
      <c r="D63" s="1468"/>
      <c r="E63" s="1468"/>
      <c r="F63" s="1468"/>
      <c r="G63" s="1468"/>
      <c r="H63" s="1468"/>
      <c r="I63" s="864"/>
      <c r="J63" s="864"/>
      <c r="K63" s="864"/>
      <c r="L63" s="864"/>
      <c r="M63" s="864"/>
      <c r="N63" s="864"/>
      <c r="O63" s="864"/>
      <c r="P63" s="864"/>
    </row>
    <row r="64" spans="1:16" ht="12.75" customHeight="1" thickTop="1" thickBot="1">
      <c r="A64" s="864"/>
      <c r="B64" s="864"/>
      <c r="C64" s="1469"/>
      <c r="D64" s="1469"/>
      <c r="E64" s="1469"/>
      <c r="F64" s="1469"/>
      <c r="G64" s="1469"/>
      <c r="H64" s="1469"/>
      <c r="I64" s="864"/>
      <c r="J64" s="864"/>
      <c r="K64" s="864"/>
      <c r="L64" s="864"/>
      <c r="M64" s="864"/>
      <c r="N64" s="864"/>
      <c r="O64" s="864"/>
      <c r="P64" s="864"/>
    </row>
    <row r="65" spans="1:16" ht="23.25" customHeight="1" thickTop="1">
      <c r="A65" s="864"/>
      <c r="B65" s="864"/>
      <c r="C65" s="1470"/>
      <c r="D65" s="1470"/>
      <c r="E65" s="1470"/>
      <c r="F65" s="1470"/>
      <c r="G65" s="1470"/>
      <c r="H65" s="1470"/>
      <c r="I65" s="864"/>
      <c r="J65" s="864"/>
      <c r="K65" s="864"/>
      <c r="L65" s="864"/>
      <c r="M65" s="864"/>
      <c r="N65" s="864"/>
      <c r="O65" s="864"/>
      <c r="P65" s="864"/>
    </row>
    <row r="66" spans="1:16" ht="12.75" customHeight="1">
      <c r="A66" s="864"/>
      <c r="B66" s="864"/>
      <c r="C66" s="864"/>
      <c r="D66" s="864"/>
      <c r="E66" s="864"/>
      <c r="F66" s="864"/>
      <c r="G66" s="864"/>
      <c r="H66" s="864"/>
      <c r="I66" s="864"/>
      <c r="J66" s="864"/>
      <c r="K66" s="864"/>
      <c r="L66" s="864"/>
      <c r="M66" s="864"/>
      <c r="N66" s="864"/>
      <c r="O66" s="864"/>
      <c r="P66" s="864"/>
    </row>
    <row r="67" spans="1:16" ht="17.25" customHeight="1">
      <c r="A67" s="1471" t="str">
        <f>CONCATENATE("TOTAL PREMIUM                               including  GST "," "," ", ('Jeevan Arogya'!L6*100)&amp;"%")</f>
        <v>TOTAL PREMIUM                               including  GST   18%</v>
      </c>
      <c r="B67" s="1472"/>
      <c r="C67" s="1472"/>
      <c r="D67" s="1473"/>
      <c r="E67" s="1477" t="s">
        <v>210</v>
      </c>
      <c r="F67" s="1478">
        <f>JACA!B23</f>
        <v>2457.0030799999995</v>
      </c>
      <c r="G67" s="1478"/>
      <c r="H67" s="585"/>
      <c r="I67" s="1479" t="s">
        <v>230</v>
      </c>
      <c r="J67" s="1479"/>
      <c r="K67" s="1479"/>
      <c r="L67" s="864"/>
      <c r="M67" s="864"/>
      <c r="N67" s="864"/>
      <c r="O67" s="864"/>
      <c r="P67" s="864"/>
    </row>
    <row r="68" spans="1:16" ht="21" customHeight="1">
      <c r="A68" s="1474"/>
      <c r="B68" s="1475"/>
      <c r="C68" s="1475"/>
      <c r="D68" s="1476"/>
      <c r="E68" s="1477"/>
      <c r="F68" s="1478"/>
      <c r="G68" s="1478"/>
      <c r="H68" s="584"/>
      <c r="I68" s="1479" t="str">
        <f>IF('Jeevan Arogya'!G6="YEARLY","YEARLY","HALF-YEARLY")</f>
        <v>YEARLY</v>
      </c>
      <c r="J68" s="1479"/>
      <c r="K68" s="1479"/>
      <c r="L68" s="864"/>
      <c r="M68" s="864"/>
      <c r="N68" s="864"/>
      <c r="O68" s="864"/>
      <c r="P68" s="864"/>
    </row>
    <row r="69" spans="1:16" ht="12.75" customHeight="1">
      <c r="A69" s="851"/>
      <c r="B69" s="851"/>
      <c r="C69" s="851"/>
      <c r="D69" s="851"/>
      <c r="E69" s="583"/>
      <c r="F69" s="583"/>
      <c r="G69" s="583"/>
      <c r="H69" s="582"/>
      <c r="I69" s="581"/>
      <c r="J69" s="581"/>
      <c r="K69" s="581"/>
      <c r="L69" s="864"/>
      <c r="M69" s="864"/>
      <c r="N69" s="864"/>
      <c r="O69" s="864"/>
      <c r="P69" s="864"/>
    </row>
    <row r="70" spans="1:16" ht="12.75" customHeight="1">
      <c r="A70" s="1487" t="s">
        <v>602</v>
      </c>
      <c r="B70" s="1488"/>
      <c r="C70" s="1491" t="s">
        <v>601</v>
      </c>
      <c r="D70" s="1492"/>
      <c r="E70" s="1492"/>
      <c r="F70" s="1492"/>
      <c r="G70" s="1492"/>
      <c r="H70" s="1492"/>
      <c r="I70" s="1492"/>
      <c r="J70" s="1493"/>
      <c r="K70" s="581"/>
      <c r="L70" s="864"/>
      <c r="M70" s="864"/>
      <c r="N70" s="864"/>
      <c r="O70" s="864"/>
      <c r="P70" s="864"/>
    </row>
    <row r="71" spans="1:16" ht="12.75" customHeight="1">
      <c r="A71" s="1489"/>
      <c r="B71" s="1490"/>
      <c r="C71" s="1494"/>
      <c r="D71" s="1495"/>
      <c r="E71" s="1495"/>
      <c r="F71" s="1495"/>
      <c r="G71" s="1495"/>
      <c r="H71" s="1495"/>
      <c r="I71" s="1495"/>
      <c r="J71" s="1496"/>
      <c r="K71" s="581"/>
      <c r="L71" s="864"/>
      <c r="M71" s="864"/>
      <c r="N71" s="864"/>
      <c r="O71" s="864"/>
      <c r="P71" s="864"/>
    </row>
    <row r="72" spans="1:16" ht="16.5" customHeight="1">
      <c r="A72" s="1459" t="s">
        <v>280</v>
      </c>
      <c r="B72" s="1459"/>
      <c r="C72" s="856">
        <f ca="1">((YEAR(NOW())))</f>
        <v>2018</v>
      </c>
      <c r="D72" s="856">
        <f ca="1">((YEAR(NOW())))+1</f>
        <v>2019</v>
      </c>
      <c r="E72" s="856">
        <f ca="1">((YEAR(NOW())))+2</f>
        <v>2020</v>
      </c>
      <c r="F72" s="856">
        <f ca="1">((YEAR(NOW())))+3</f>
        <v>2021</v>
      </c>
      <c r="G72" s="856">
        <f ca="1">((YEAR(NOW())))+4</f>
        <v>2022</v>
      </c>
      <c r="H72" s="856">
        <f ca="1">((YEAR(NOW())))+5</f>
        <v>2023</v>
      </c>
      <c r="I72" s="856">
        <f ca="1">((YEAR(NOW())))+6</f>
        <v>2024</v>
      </c>
      <c r="J72" s="856">
        <f ca="1">((YEAR(NOW())))+7</f>
        <v>2025</v>
      </c>
      <c r="K72" s="581"/>
      <c r="L72" s="864"/>
      <c r="M72" s="864"/>
      <c r="N72" s="864"/>
      <c r="O72" s="864"/>
      <c r="P72" s="864"/>
    </row>
    <row r="73" spans="1:16" ht="12.75" customHeight="1">
      <c r="A73" s="580"/>
      <c r="B73" s="580"/>
      <c r="C73" s="580"/>
      <c r="D73" s="580"/>
      <c r="E73" s="580"/>
      <c r="F73" s="580"/>
      <c r="G73" s="580"/>
      <c r="H73" s="580"/>
      <c r="I73" s="580"/>
      <c r="J73" s="580"/>
      <c r="K73" s="579"/>
      <c r="L73" s="864"/>
      <c r="M73" s="864"/>
      <c r="N73" s="864"/>
      <c r="O73" s="864"/>
      <c r="P73" s="864"/>
    </row>
    <row r="74" spans="1:16" ht="15.75" customHeight="1">
      <c r="A74" s="578" t="str">
        <f>C62</f>
        <v>Mr.</v>
      </c>
      <c r="B74" s="1463" t="str">
        <f>D62</f>
        <v>M.RAJAYOGAM</v>
      </c>
      <c r="C74" s="1463"/>
      <c r="D74" s="1463"/>
      <c r="E74" s="1463"/>
      <c r="F74" s="577" t="s">
        <v>17</v>
      </c>
      <c r="G74" s="576">
        <f>JACA!B6</f>
        <v>27</v>
      </c>
      <c r="H74" s="1464" t="s">
        <v>600</v>
      </c>
      <c r="I74" s="1464"/>
      <c r="J74" s="1465">
        <f>'Jeevan Arogya'!R9</f>
        <v>2457.0030799999995</v>
      </c>
      <c r="K74" s="1465"/>
      <c r="L74" s="864"/>
      <c r="M74" s="864"/>
      <c r="N74" s="864"/>
      <c r="O74" s="864"/>
      <c r="P74" s="864"/>
    </row>
    <row r="75" spans="1:16" ht="18" customHeight="1">
      <c r="A75" s="1459" t="s">
        <v>17</v>
      </c>
      <c r="B75" s="1459"/>
      <c r="C75" s="856">
        <f>G74</f>
        <v>27</v>
      </c>
      <c r="D75" s="856">
        <f>$G$74+1</f>
        <v>28</v>
      </c>
      <c r="E75" s="856">
        <f>$G$74+2</f>
        <v>29</v>
      </c>
      <c r="F75" s="856">
        <f>$G$74+3</f>
        <v>30</v>
      </c>
      <c r="G75" s="856">
        <f>$G$74+4</f>
        <v>31</v>
      </c>
      <c r="H75" s="856">
        <f>$G$74+5</f>
        <v>32</v>
      </c>
      <c r="I75" s="856">
        <f>$G$74+6</f>
        <v>33</v>
      </c>
      <c r="J75" s="856">
        <f>$G$74+7</f>
        <v>34</v>
      </c>
      <c r="K75" s="1460" t="s">
        <v>599</v>
      </c>
      <c r="L75" s="864"/>
      <c r="M75" s="864"/>
      <c r="N75" s="864"/>
      <c r="O75" s="864"/>
      <c r="P75" s="864"/>
    </row>
    <row r="76" spans="1:16" ht="24.75" customHeight="1">
      <c r="A76" s="1457" t="s">
        <v>598</v>
      </c>
      <c r="B76" s="1457"/>
      <c r="C76" s="575">
        <f>JACA!L30</f>
        <v>1000</v>
      </c>
      <c r="D76" s="575">
        <f>JACA!L31</f>
        <v>1050</v>
      </c>
      <c r="E76" s="575">
        <f>JACA!L32</f>
        <v>1100</v>
      </c>
      <c r="F76" s="575">
        <f>JACA!L33</f>
        <v>1150</v>
      </c>
      <c r="G76" s="575">
        <f>JACA!L34</f>
        <v>1200</v>
      </c>
      <c r="H76" s="575">
        <f>JACA!L35</f>
        <v>1250</v>
      </c>
      <c r="I76" s="575">
        <f>JACA!L36</f>
        <v>1300</v>
      </c>
      <c r="J76" s="575">
        <f>JACA!L37</f>
        <v>1350</v>
      </c>
      <c r="K76" s="1461"/>
      <c r="L76" s="864"/>
      <c r="M76" s="864"/>
      <c r="N76" s="864"/>
      <c r="O76" s="864"/>
      <c r="P76" s="864"/>
    </row>
    <row r="77" spans="1:16" ht="25.5" customHeight="1">
      <c r="A77" s="1457" t="s">
        <v>597</v>
      </c>
      <c r="B77" s="1457"/>
      <c r="C77" s="575">
        <f t="shared" ref="C77:J77" si="0">C76*2</f>
        <v>2000</v>
      </c>
      <c r="D77" s="575">
        <f t="shared" si="0"/>
        <v>2100</v>
      </c>
      <c r="E77" s="575">
        <f t="shared" si="0"/>
        <v>2200</v>
      </c>
      <c r="F77" s="575">
        <f t="shared" si="0"/>
        <v>2300</v>
      </c>
      <c r="G77" s="575">
        <f t="shared" si="0"/>
        <v>2400</v>
      </c>
      <c r="H77" s="575">
        <f t="shared" si="0"/>
        <v>2500</v>
      </c>
      <c r="I77" s="575">
        <f t="shared" si="0"/>
        <v>2600</v>
      </c>
      <c r="J77" s="575">
        <f t="shared" si="0"/>
        <v>2700</v>
      </c>
      <c r="K77" s="1462"/>
      <c r="L77" s="864"/>
      <c r="M77" s="864"/>
      <c r="N77" s="864"/>
      <c r="O77" s="864"/>
      <c r="P77" s="864"/>
    </row>
    <row r="78" spans="1:16" ht="24" customHeight="1">
      <c r="A78" s="1457" t="s">
        <v>596</v>
      </c>
      <c r="B78" s="1457"/>
      <c r="C78" s="575">
        <f>JACA!B30</f>
        <v>45000</v>
      </c>
      <c r="D78" s="575">
        <f>JACA!B31</f>
        <v>141750</v>
      </c>
      <c r="E78" s="575">
        <f>JACA!B32</f>
        <v>148500</v>
      </c>
      <c r="F78" s="575">
        <f>JACA!B33</f>
        <v>155250</v>
      </c>
      <c r="G78" s="575">
        <f>JACA!B34</f>
        <v>162000</v>
      </c>
      <c r="H78" s="575">
        <f>JACA!B35</f>
        <v>168750</v>
      </c>
      <c r="I78" s="575">
        <f>JACA!B36</f>
        <v>175500</v>
      </c>
      <c r="J78" s="575">
        <f>JACA!B37</f>
        <v>182250</v>
      </c>
      <c r="K78" s="574">
        <f>JACA!B40</f>
        <v>1179000</v>
      </c>
      <c r="L78" s="864"/>
      <c r="M78" s="864"/>
      <c r="N78" s="864"/>
      <c r="O78" s="864"/>
      <c r="P78" s="864"/>
    </row>
    <row r="79" spans="1:16" ht="35.25" customHeight="1">
      <c r="A79" s="1457" t="s">
        <v>595</v>
      </c>
      <c r="B79" s="1457"/>
      <c r="C79" s="575">
        <f>JACA!L54</f>
        <v>100000</v>
      </c>
      <c r="D79" s="575">
        <f>JACA!L55</f>
        <v>105000</v>
      </c>
      <c r="E79" s="575">
        <f>JACA!L56</f>
        <v>110000</v>
      </c>
      <c r="F79" s="575">
        <f>JACA!L57</f>
        <v>115000</v>
      </c>
      <c r="G79" s="575">
        <f>JACA!L58</f>
        <v>120000</v>
      </c>
      <c r="H79" s="575">
        <f>JACA!L59</f>
        <v>125000</v>
      </c>
      <c r="I79" s="575">
        <f>JACA!L60</f>
        <v>130000</v>
      </c>
      <c r="J79" s="575">
        <f>JACA!L61</f>
        <v>135000</v>
      </c>
      <c r="K79" s="574">
        <f>JACA!B43</f>
        <v>800000</v>
      </c>
      <c r="L79" s="864"/>
      <c r="M79" s="864"/>
      <c r="N79" s="864"/>
      <c r="O79" s="864"/>
      <c r="P79" s="864"/>
    </row>
    <row r="80" spans="1:16" ht="24" customHeight="1">
      <c r="A80" s="1457" t="s">
        <v>594</v>
      </c>
      <c r="B80" s="1457"/>
      <c r="C80" s="575">
        <f>JACA!B45</f>
        <v>15000</v>
      </c>
      <c r="D80" s="575">
        <f>JACA!B46</f>
        <v>15750</v>
      </c>
      <c r="E80" s="575">
        <f>JACA!B47</f>
        <v>16500</v>
      </c>
      <c r="F80" s="575">
        <f>JACA!B48</f>
        <v>17250</v>
      </c>
      <c r="G80" s="575">
        <f>JACA!B49</f>
        <v>18000</v>
      </c>
      <c r="H80" s="575">
        <f>JACA!B50</f>
        <v>18750</v>
      </c>
      <c r="I80" s="575">
        <f>JACA!B51</f>
        <v>19500</v>
      </c>
      <c r="J80" s="575">
        <f>JACA!B52</f>
        <v>20250</v>
      </c>
      <c r="K80" s="574">
        <f>JACA!B53</f>
        <v>141000</v>
      </c>
      <c r="L80" s="864"/>
      <c r="M80" s="864"/>
      <c r="N80" s="864"/>
      <c r="O80" s="864"/>
      <c r="P80" s="864"/>
    </row>
    <row r="81" spans="1:16" ht="34.5" customHeight="1">
      <c r="A81" s="1457" t="s">
        <v>593</v>
      </c>
      <c r="B81" s="1457"/>
      <c r="C81" s="575">
        <f>JACA!B55</f>
        <v>30000</v>
      </c>
      <c r="D81" s="575">
        <f>JACA!B56</f>
        <v>94500</v>
      </c>
      <c r="E81" s="575">
        <f>JACA!B57</f>
        <v>99000</v>
      </c>
      <c r="F81" s="575">
        <f>JACA!B58</f>
        <v>103500</v>
      </c>
      <c r="G81" s="575">
        <f>JACA!B59</f>
        <v>108000</v>
      </c>
      <c r="H81" s="575">
        <f>JACA!B60</f>
        <v>112500</v>
      </c>
      <c r="I81" s="575">
        <f>JACA!B61</f>
        <v>117000</v>
      </c>
      <c r="J81" s="575">
        <f>JACA!B62</f>
        <v>121500</v>
      </c>
      <c r="K81" s="574">
        <f>JACA!B64</f>
        <v>786000</v>
      </c>
      <c r="L81" s="864"/>
      <c r="M81" s="864"/>
      <c r="N81" s="864"/>
      <c r="O81" s="566"/>
      <c r="P81" s="864"/>
    </row>
    <row r="82" spans="1:16" ht="15" customHeight="1">
      <c r="A82" s="573"/>
      <c r="B82" s="573"/>
      <c r="C82" s="572"/>
      <c r="D82" s="572"/>
      <c r="E82" s="572"/>
      <c r="F82" s="572"/>
      <c r="G82" s="572"/>
      <c r="H82" s="572"/>
      <c r="I82" s="572"/>
      <c r="J82" s="572"/>
      <c r="K82" s="858"/>
      <c r="L82" s="864"/>
      <c r="M82" s="864"/>
      <c r="N82" s="864"/>
      <c r="O82" s="864"/>
      <c r="P82" s="864"/>
    </row>
    <row r="83" spans="1:16" ht="15.75" customHeight="1">
      <c r="A83" s="573"/>
      <c r="B83" s="573"/>
      <c r="C83" s="572"/>
      <c r="D83" s="1458" t="str">
        <f>IF(OR('Jeevan Arogya'!E10,'Jeevan Arogya'!H10="NA")," ","SPOUSE:   WIFE / HUSBAND")</f>
        <v/>
      </c>
      <c r="E83" s="1458"/>
      <c r="F83" s="1458"/>
      <c r="G83" s="1458"/>
      <c r="H83" s="572"/>
      <c r="I83" s="572"/>
      <c r="J83" s="572"/>
      <c r="K83" s="858"/>
      <c r="L83" s="864"/>
      <c r="M83" s="864"/>
      <c r="N83" s="864"/>
      <c r="O83" s="864"/>
      <c r="P83" s="864"/>
    </row>
    <row r="84" spans="1:16" ht="13.5" customHeight="1">
      <c r="A84" s="864"/>
      <c r="B84" s="864"/>
      <c r="C84" s="572"/>
      <c r="D84" s="572"/>
      <c r="E84" s="572"/>
      <c r="F84" s="572"/>
      <c r="G84" s="572"/>
      <c r="H84" s="572"/>
      <c r="I84" s="572"/>
      <c r="J84" s="572"/>
      <c r="K84" s="864"/>
      <c r="L84" s="864"/>
      <c r="M84" s="864"/>
      <c r="N84" s="864"/>
      <c r="O84" s="864"/>
      <c r="P84" s="864"/>
    </row>
    <row r="85" spans="1:16" ht="13.5" customHeight="1">
      <c r="A85" s="567" t="str">
        <f>IF(OR('Jeevan Arogya'!E10,'Jeevan Arogya'!H10="NA")," ",('Jeevan Arogya'!D10))</f>
        <v/>
      </c>
      <c r="B85" s="1484" t="str">
        <f>IF(OR('Jeevan Arogya'!E10,'Jeevan Arogya'!H10="NA")," ",('Jeevan Arogya'!E10))</f>
        <v/>
      </c>
      <c r="C85" s="1484"/>
      <c r="D85" s="1484"/>
      <c r="E85" s="1484"/>
      <c r="F85" s="571" t="str">
        <f>IF(OR('Jeevan Arogya'!E10,'Jeevan Arogya'!H10="NA")," ","AGE")</f>
        <v/>
      </c>
      <c r="G85" s="858" t="str">
        <f>IF(OR('Jeevan Arogya'!E10,'Jeevan Arogya'!H10="NA")," ",(JACA!C6))</f>
        <v/>
      </c>
      <c r="H85" s="1485" t="str">
        <f>IF(OR('Jeevan Arogya'!E10,'Jeevan Arogya'!H10="NA")," ","PREMIUM   Rs.")</f>
        <v/>
      </c>
      <c r="I85" s="1485"/>
      <c r="J85" s="1486" t="str">
        <f>IF(OR('Jeevan Arogya'!E10,'Jeevan Arogya'!H10="NA")," ",'Jeevan Arogya'!R10)</f>
        <v/>
      </c>
      <c r="K85" s="1486"/>
      <c r="L85" s="864"/>
      <c r="M85" s="864"/>
      <c r="N85" s="864"/>
      <c r="O85" s="864"/>
      <c r="P85" s="864"/>
    </row>
    <row r="86" spans="1:16" ht="15.75" customHeight="1">
      <c r="A86" s="1456" t="str">
        <f>IF(OR('Jeevan Arogya'!E10,'Jeevan Arogya'!H10="NA")," ","AGE")</f>
        <v/>
      </c>
      <c r="B86" s="1456"/>
      <c r="C86" s="855" t="str">
        <f>IF(OR('Jeevan Arogya'!E10,'Jeevan Arogya'!H10="NA")," ",(G85))</f>
        <v/>
      </c>
      <c r="D86" s="855" t="str">
        <f>IF(OR('Jeevan Arogya'!E10,'Jeevan Arogya'!H10="NA")," ",($G$85+1))</f>
        <v/>
      </c>
      <c r="E86" s="855" t="str">
        <f>IF(OR('Jeevan Arogya'!E10,'Jeevan Arogya'!H10="NA")," ",($G$85+2))</f>
        <v/>
      </c>
      <c r="F86" s="855" t="str">
        <f>IF(OR('Jeevan Arogya'!E10,'Jeevan Arogya'!H10="NA")," ",($G$85+3))</f>
        <v/>
      </c>
      <c r="G86" s="855" t="str">
        <f>IF(OR('Jeevan Arogya'!E10,'Jeevan Arogya'!H10="NA")," ",($G$85+4))</f>
        <v/>
      </c>
      <c r="H86" s="855" t="str">
        <f>IF(OR('Jeevan Arogya'!E10,'Jeevan Arogya'!H10="NA")," ",($G$85+5))</f>
        <v/>
      </c>
      <c r="I86" s="855" t="str">
        <f>IF(OR('Jeevan Arogya'!E10,'Jeevan Arogya'!H10="NA")," ",($G$85+6))</f>
        <v/>
      </c>
      <c r="J86" s="855" t="str">
        <f>IF(OR('Jeevan Arogya'!E10,'Jeevan Arogya'!H10="NA")," ",($G$85+7))</f>
        <v/>
      </c>
      <c r="K86" s="1445" t="str">
        <f>IF(OR('Jeevan Arogya'!E10,'Jeevan Arogya'!H10="NA")," ","MAXIMUM  BENEFITS     (LIFE TIME)")</f>
        <v/>
      </c>
      <c r="L86" s="864"/>
      <c r="M86" s="864"/>
      <c r="N86" s="864"/>
      <c r="O86" s="864"/>
      <c r="P86" s="864"/>
    </row>
    <row r="87" spans="1:16" ht="24" customHeight="1">
      <c r="A87" s="1446" t="str">
        <f>IF(OR('Jeevan Arogya'!E10,'Jeevan Arogya'!H10="NA")," ","HCB   NON     ICU")</f>
        <v/>
      </c>
      <c r="B87" s="1446"/>
      <c r="C87" s="566" t="str">
        <f>IF(OR('Jeevan Arogya'!$E$10,'Jeevan Arogya'!$H$10="NA")," ",(JACA!N30))</f>
        <v/>
      </c>
      <c r="D87" s="566" t="str">
        <f>IF(OR('Jeevan Arogya'!$E$10,'Jeevan Arogya'!$H$10="NA")," ",(JACA!N31))</f>
        <v/>
      </c>
      <c r="E87" s="566" t="str">
        <f>IF(OR('Jeevan Arogya'!$E$10,'Jeevan Arogya'!$H$10="NA")," ",(JACA!N32))</f>
        <v/>
      </c>
      <c r="F87" s="566" t="str">
        <f>IF(OR('Jeevan Arogya'!$E$10,'Jeevan Arogya'!$H$10="NA")," ",(JACA!N33))</f>
        <v/>
      </c>
      <c r="G87" s="566" t="str">
        <f>IF(OR('Jeevan Arogya'!$E$10,'Jeevan Arogya'!$H$10="NA")," ",(JACA!N34))</f>
        <v/>
      </c>
      <c r="H87" s="566" t="str">
        <f>IF(OR('Jeevan Arogya'!$E$10,'Jeevan Arogya'!$H$10="NA")," ",(JACA!N35))</f>
        <v/>
      </c>
      <c r="I87" s="566" t="str">
        <f>IF(OR('Jeevan Arogya'!$E$10,'Jeevan Arogya'!$H$10="NA")," ",(JACA!N36))</f>
        <v/>
      </c>
      <c r="J87" s="566" t="str">
        <f>IF(OR('Jeevan Arogya'!$E$10,'Jeevan Arogya'!$H$10="NA")," ",(JACA!N37))</f>
        <v/>
      </c>
      <c r="K87" s="1445"/>
      <c r="L87" s="864"/>
      <c r="M87" s="864"/>
      <c r="N87" s="864"/>
      <c r="O87" s="864"/>
      <c r="P87" s="864"/>
    </row>
    <row r="88" spans="1:16" ht="24.75" customHeight="1">
      <c r="A88" s="1446" t="str">
        <f>IF(OR('Jeevan Arogya'!E10,'Jeevan Arogya'!H10="NA")," ","HCB    ICU")</f>
        <v/>
      </c>
      <c r="B88" s="1446"/>
      <c r="C88" s="566" t="str">
        <f>IF(OR('Jeevan Arogya'!$E$10,'Jeevan Arogya'!$H$10="NA")," ",(C87)*2)</f>
        <v/>
      </c>
      <c r="D88" s="566" t="str">
        <f>IF(OR('Jeevan Arogya'!$E$10,'Jeevan Arogya'!$H$10="NA")," ",(D87)*2)</f>
        <v/>
      </c>
      <c r="E88" s="566" t="str">
        <f>IF(OR('Jeevan Arogya'!$E$10,'Jeevan Arogya'!$H$10="NA")," ",(E87)*2)</f>
        <v/>
      </c>
      <c r="F88" s="566" t="str">
        <f>IF(OR('Jeevan Arogya'!$E$10,'Jeevan Arogya'!$H$10="NA")," ",(F87)*2)</f>
        <v/>
      </c>
      <c r="G88" s="566" t="str">
        <f>IF(OR('Jeevan Arogya'!$E$10,'Jeevan Arogya'!$H$10="NA")," ",(G87)*2)</f>
        <v/>
      </c>
      <c r="H88" s="566" t="str">
        <f>IF(OR('Jeevan Arogya'!$E$10,'Jeevan Arogya'!$H$10="NA")," ",(H87)*2)</f>
        <v/>
      </c>
      <c r="I88" s="566" t="str">
        <f>IF(OR('Jeevan Arogya'!$E$10,'Jeevan Arogya'!$H$10="NA")," ",(I87)*2)</f>
        <v/>
      </c>
      <c r="J88" s="566" t="str">
        <f>IF(OR('Jeevan Arogya'!$E$10,'Jeevan Arogya'!$H$10="NA")," ",(J87)*2)</f>
        <v/>
      </c>
      <c r="K88" s="1445"/>
      <c r="L88" s="864"/>
      <c r="M88" s="864"/>
      <c r="N88" s="864"/>
      <c r="O88" s="864"/>
      <c r="P88" s="864"/>
    </row>
    <row r="89" spans="1:16" ht="24" customHeight="1">
      <c r="A89" s="1446" t="str">
        <f>IF(OR('Jeevan Arogya'!E10,'Jeevan Arogya'!H10="NA")," ","MAXIMUM HCB")</f>
        <v/>
      </c>
      <c r="B89" s="1446"/>
      <c r="C89" s="566" t="str">
        <f>IF(OR('Jeevan Arogya'!$E$10,'Jeevan Arogya'!$H$10="NA")," ",(JACA!C30))</f>
        <v/>
      </c>
      <c r="D89" s="566" t="str">
        <f>IF(OR('Jeevan Arogya'!$E$10,'Jeevan Arogya'!$H$10="NA")," ",(JACA!C31))</f>
        <v/>
      </c>
      <c r="E89" s="566" t="str">
        <f>IF(OR('Jeevan Arogya'!$E$10,'Jeevan Arogya'!$H$10="NA")," ",(JACA!C32))</f>
        <v/>
      </c>
      <c r="F89" s="566" t="str">
        <f>IF(OR('Jeevan Arogya'!$E$10,'Jeevan Arogya'!$H$10="NA")," ",(JACA!C33))</f>
        <v/>
      </c>
      <c r="G89" s="566" t="str">
        <f>IF(OR('Jeevan Arogya'!$E$10,'Jeevan Arogya'!$H$10="NA")," ",(JACA!C34))</f>
        <v/>
      </c>
      <c r="H89" s="566" t="str">
        <f>IF(OR('Jeevan Arogya'!$E$10,'Jeevan Arogya'!$H$10="NA")," ",(JACA!C35))</f>
        <v/>
      </c>
      <c r="I89" s="566" t="str">
        <f>IF(OR('Jeevan Arogya'!$E$10,'Jeevan Arogya'!$H$10="NA")," ",(JACA!C36))</f>
        <v/>
      </c>
      <c r="J89" s="566" t="str">
        <f>IF(OR('Jeevan Arogya'!$E$10,'Jeevan Arogya'!$H$10="NA")," ",(JACA!C37))</f>
        <v/>
      </c>
      <c r="K89" s="565" t="str">
        <f>IF(OR('Jeevan Arogya'!E10,'Jeevan Arogya'!H10="NA")," ",(JACA!C40))</f>
        <v/>
      </c>
      <c r="L89" s="864"/>
      <c r="M89" s="864"/>
      <c r="N89" s="864"/>
      <c r="O89" s="864"/>
      <c r="P89" s="864"/>
    </row>
    <row r="90" spans="1:16" ht="33.75" customHeight="1">
      <c r="A90" s="1446" t="str">
        <f>IF(OR('Jeevan Arogya'!E10,'Jeevan Arogya'!H10="NA")," ","MAXIMUM  MSB")</f>
        <v/>
      </c>
      <c r="B90" s="1446"/>
      <c r="C90" s="566" t="str">
        <f>IF(OR('Jeevan Arogya'!E10,'Jeevan Arogya'!H10="NA")," ",(JACA!N41))</f>
        <v/>
      </c>
      <c r="D90" s="566" t="str">
        <f>IF(OR('Jeevan Arogya'!$E$10,'Jeevan Arogya'!$H$10="NA")," ",(JACA!N42))</f>
        <v/>
      </c>
      <c r="E90" s="566" t="str">
        <f>IF(OR('Jeevan Arogya'!$E$10,'Jeevan Arogya'!$H$10="NA")," ",(JACA!N43))</f>
        <v/>
      </c>
      <c r="F90" s="566" t="str">
        <f>IF(OR('Jeevan Arogya'!$E$10,'Jeevan Arogya'!$H$10="NA")," ",(JACA!N44))</f>
        <v/>
      </c>
      <c r="G90" s="566" t="str">
        <f>IF(OR('Jeevan Arogya'!$E$10,'Jeevan Arogya'!$H$10="NA")," ",(JACA!N45))</f>
        <v/>
      </c>
      <c r="H90" s="566" t="str">
        <f>IF(OR('Jeevan Arogya'!$E$10,'Jeevan Arogya'!$H$10="NA")," ",(JACA!N46))</f>
        <v/>
      </c>
      <c r="I90" s="566" t="str">
        <f>IF(OR('Jeevan Arogya'!$E$10,'Jeevan Arogya'!$H$10="NA")," ",(JACA!N47))</f>
        <v/>
      </c>
      <c r="J90" s="566" t="str">
        <f>IF(OR('Jeevan Arogya'!$E$10,'Jeevan Arogya'!$H$10="NA")," ",(JACA!N48))</f>
        <v/>
      </c>
      <c r="K90" s="565" t="str">
        <f>IF(OR('Jeevan Arogya'!E10,'Jeevan Arogya'!H10="NA")," ",(JACA!C43))</f>
        <v/>
      </c>
      <c r="L90" s="864"/>
      <c r="M90" s="864"/>
      <c r="N90" s="864"/>
      <c r="O90" s="864"/>
      <c r="P90" s="864"/>
    </row>
    <row r="91" spans="1:16" ht="24" customHeight="1">
      <c r="A91" s="1446" t="str">
        <f>IF(OR('Jeevan Arogya'!E10,'Jeevan Arogya'!H10="NA")," ","DCPB")</f>
        <v/>
      </c>
      <c r="B91" s="1446"/>
      <c r="C91" s="566" t="str">
        <f>IF(OR('Jeevan Arogya'!$E$10,'Jeevan Arogya'!$H$10="NA")," ",(JACA!C45))</f>
        <v/>
      </c>
      <c r="D91" s="566" t="str">
        <f>IF(OR('Jeevan Arogya'!$E$10,'Jeevan Arogya'!$H$10="NA")," ",(JACA!C46))</f>
        <v/>
      </c>
      <c r="E91" s="566" t="str">
        <f>IF(OR('Jeevan Arogya'!$E$10,'Jeevan Arogya'!$H$10="NA")," ",(JACA!C47))</f>
        <v/>
      </c>
      <c r="F91" s="566" t="str">
        <f>IF(OR('Jeevan Arogya'!$E$10,'Jeevan Arogya'!$H$10="NA")," ",(JACA!C48))</f>
        <v/>
      </c>
      <c r="G91" s="566" t="str">
        <f>IF(OR('Jeevan Arogya'!$E$10,'Jeevan Arogya'!$H$10="NA")," ",(JACA!C49))</f>
        <v/>
      </c>
      <c r="H91" s="566" t="str">
        <f>IF(OR('Jeevan Arogya'!$E$10,'Jeevan Arogya'!$H$10="NA")," ",(JACA!C50))</f>
        <v/>
      </c>
      <c r="I91" s="566" t="str">
        <f>IF(OR('Jeevan Arogya'!$E$10,'Jeevan Arogya'!$H$10="NA")," ",(JACA!C51))</f>
        <v/>
      </c>
      <c r="J91" s="566" t="str">
        <f>IF(OR('Jeevan Arogya'!$E$10,'Jeevan Arogya'!$H$10="NA")," ",(JACA!C52))</f>
        <v/>
      </c>
      <c r="K91" s="565" t="str">
        <f>IF(OR('Jeevan Arogya'!E10,'Jeevan Arogya'!H10="NA")," ",(JACA!C53))</f>
        <v/>
      </c>
      <c r="L91" s="864"/>
      <c r="M91" s="864"/>
      <c r="N91" s="864"/>
      <c r="O91" s="864"/>
      <c r="P91" s="864"/>
    </row>
    <row r="92" spans="1:16" ht="33.75" customHeight="1">
      <c r="A92" s="1446" t="str">
        <f>IF(OR('Jeevan Arogya'!E10,'Jeevan Arogya'!H10="NA")," ","OSB")</f>
        <v/>
      </c>
      <c r="B92" s="1446"/>
      <c r="C92" s="566" t="str">
        <f>IF(OR('Jeevan Arogya'!E10,'Jeevan Arogya'!H10="NA")," ",(JACA!C55))</f>
        <v/>
      </c>
      <c r="D92" s="566" t="str">
        <f>IF(OR('Jeevan Arogya'!$E$10,'Jeevan Arogya'!$H$10="NA")," ",(JACA!C56))</f>
        <v/>
      </c>
      <c r="E92" s="566" t="str">
        <f>IF(OR('Jeevan Arogya'!$E$10,'Jeevan Arogya'!$H$10="NA")," ",(JACA!C57))</f>
        <v/>
      </c>
      <c r="F92" s="566" t="str">
        <f>IF(OR('Jeevan Arogya'!$E$10,'Jeevan Arogya'!$H$10="NA")," ",(JACA!C58))</f>
        <v/>
      </c>
      <c r="G92" s="566" t="str">
        <f>IF(OR('Jeevan Arogya'!$E$10,'Jeevan Arogya'!$H$10="NA")," ",(JACA!C59))</f>
        <v/>
      </c>
      <c r="H92" s="566" t="str">
        <f>IF(OR('Jeevan Arogya'!$E$10,'Jeevan Arogya'!$H$10="NA")," ",(JACA!C60))</f>
        <v/>
      </c>
      <c r="I92" s="566" t="str">
        <f>IF(OR('Jeevan Arogya'!$E$10,'Jeevan Arogya'!$H$10="NA")," ",(JACA!C61))</f>
        <v/>
      </c>
      <c r="J92" s="566" t="str">
        <f>IF(OR('Jeevan Arogya'!$E$10,'Jeevan Arogya'!$H$10="NA")," ",(JACA!C62))</f>
        <v/>
      </c>
      <c r="K92" s="565" t="str">
        <f>IF(OR('Jeevan Arogya'!E10,'Jeevan Arogya'!H10="NA")," ",(JACA!C64))</f>
        <v/>
      </c>
      <c r="L92" s="864"/>
      <c r="M92" s="864"/>
      <c r="N92" s="864"/>
      <c r="O92" s="864"/>
      <c r="P92" s="864"/>
    </row>
    <row r="93" spans="1:16" ht="13.5" customHeight="1">
      <c r="A93" s="864"/>
      <c r="B93" s="864"/>
      <c r="C93" s="864"/>
      <c r="D93" s="864"/>
      <c r="E93" s="864"/>
      <c r="F93" s="864"/>
      <c r="G93" s="864"/>
      <c r="H93" s="864"/>
      <c r="I93" s="864"/>
      <c r="J93" s="864"/>
      <c r="K93" s="864"/>
      <c r="L93" s="864"/>
      <c r="M93" s="864"/>
      <c r="N93" s="864"/>
      <c r="O93" s="864"/>
      <c r="P93" s="864"/>
    </row>
    <row r="94" spans="1:16" ht="13.5" customHeight="1">
      <c r="A94" s="864"/>
      <c r="B94" s="864"/>
      <c r="C94" s="864"/>
      <c r="D94" s="864"/>
      <c r="E94" s="864"/>
      <c r="F94" s="864"/>
      <c r="G94" s="864"/>
      <c r="H94" s="864"/>
      <c r="I94" s="864"/>
      <c r="J94" s="864"/>
      <c r="K94" s="864"/>
      <c r="L94" s="864"/>
      <c r="M94" s="864"/>
      <c r="N94" s="864"/>
      <c r="O94" s="864"/>
      <c r="P94" s="864"/>
    </row>
    <row r="95" spans="1:16" ht="13.5" customHeight="1">
      <c r="A95" s="864"/>
      <c r="B95" s="864"/>
      <c r="C95" s="864"/>
      <c r="D95" s="864"/>
      <c r="E95" s="864"/>
      <c r="F95" s="864"/>
      <c r="G95" s="864"/>
      <c r="H95" s="864"/>
      <c r="I95" s="864"/>
      <c r="J95" s="864"/>
      <c r="K95" s="864"/>
      <c r="L95" s="864"/>
      <c r="M95" s="864"/>
      <c r="N95" s="864"/>
      <c r="O95" s="864"/>
      <c r="P95" s="864"/>
    </row>
    <row r="96" spans="1:16" ht="13.5" customHeight="1">
      <c r="A96" s="864"/>
      <c r="B96" s="864"/>
      <c r="C96" s="864"/>
      <c r="D96" s="864"/>
      <c r="E96" s="864"/>
      <c r="F96" s="864"/>
      <c r="G96" s="864"/>
      <c r="H96" s="864"/>
      <c r="I96" s="864"/>
      <c r="J96" s="864"/>
      <c r="K96" s="864"/>
      <c r="L96" s="864"/>
      <c r="M96" s="864"/>
      <c r="N96" s="864"/>
      <c r="O96" s="864"/>
      <c r="P96" s="864"/>
    </row>
    <row r="97" spans="1:16" ht="45.75" customHeight="1">
      <c r="A97" s="864"/>
      <c r="B97" s="864"/>
      <c r="C97" s="864"/>
      <c r="D97" s="864"/>
      <c r="E97" s="864"/>
      <c r="F97" s="864"/>
      <c r="G97" s="864"/>
      <c r="H97" s="864"/>
      <c r="I97" s="864"/>
      <c r="J97" s="864"/>
      <c r="K97" s="864"/>
      <c r="L97" s="864"/>
      <c r="M97" s="864"/>
      <c r="N97" s="864"/>
      <c r="O97" s="864"/>
      <c r="P97" s="864"/>
    </row>
    <row r="98" spans="1:16" ht="35.25" customHeight="1">
      <c r="A98" s="864"/>
      <c r="B98" s="864"/>
      <c r="C98" s="864"/>
      <c r="D98" s="864"/>
      <c r="E98" s="864"/>
      <c r="F98" s="864"/>
      <c r="G98" s="864"/>
      <c r="H98" s="864"/>
      <c r="I98" s="864"/>
      <c r="J98" s="864"/>
      <c r="K98" s="864"/>
      <c r="L98" s="864"/>
      <c r="M98" s="864"/>
      <c r="N98" s="864"/>
      <c r="O98" s="864"/>
      <c r="P98" s="864"/>
    </row>
    <row r="99" spans="1:16" ht="31.5" customHeight="1">
      <c r="A99" s="864"/>
      <c r="B99" s="864"/>
      <c r="C99" s="864"/>
      <c r="D99" s="864"/>
      <c r="E99" s="864"/>
      <c r="F99" s="864"/>
      <c r="G99" s="864"/>
      <c r="H99" s="864"/>
      <c r="I99" s="864"/>
      <c r="J99" s="864"/>
      <c r="K99" s="864"/>
      <c r="L99" s="864"/>
      <c r="M99" s="864"/>
      <c r="N99" s="864"/>
      <c r="O99" s="864"/>
      <c r="P99" s="864"/>
    </row>
    <row r="100" spans="1:16" ht="13.5" customHeight="1">
      <c r="A100" s="864"/>
      <c r="B100" s="864"/>
      <c r="C100" s="864"/>
      <c r="D100" s="864"/>
      <c r="E100" s="864"/>
      <c r="F100" s="864"/>
      <c r="G100" s="864"/>
      <c r="H100" s="864"/>
      <c r="I100" s="864"/>
      <c r="J100" s="864"/>
      <c r="K100" s="864"/>
      <c r="L100" s="864"/>
      <c r="M100" s="864"/>
      <c r="N100" s="864"/>
      <c r="O100" s="864"/>
      <c r="P100" s="864"/>
    </row>
    <row r="101" spans="1:16" ht="13.5" customHeight="1">
      <c r="A101" s="1448" t="str">
        <f>IF(OR('Jeevan Arogya'!E11,'Jeevan Arogya'!H11="NA")," ",(A70))</f>
        <v/>
      </c>
      <c r="B101" s="1448"/>
      <c r="C101" s="1448" t="str">
        <f>IF(OR('Jeevan Arogya'!E11,'Jeevan Arogya'!H11="NA")," ",(C70))</f>
        <v/>
      </c>
      <c r="D101" s="1448"/>
      <c r="E101" s="1448"/>
      <c r="F101" s="1448"/>
      <c r="G101" s="1448"/>
      <c r="H101" s="1448"/>
      <c r="I101" s="1448"/>
      <c r="J101" s="1448"/>
      <c r="K101" s="864"/>
      <c r="L101" s="864"/>
      <c r="M101" s="864"/>
      <c r="N101" s="864"/>
      <c r="O101" s="864"/>
      <c r="P101" s="864"/>
    </row>
    <row r="102" spans="1:16" ht="13.5" customHeight="1">
      <c r="A102" s="1448"/>
      <c r="B102" s="1448"/>
      <c r="C102" s="1448"/>
      <c r="D102" s="1448"/>
      <c r="E102" s="1448"/>
      <c r="F102" s="1448"/>
      <c r="G102" s="1448"/>
      <c r="H102" s="1448"/>
      <c r="I102" s="1448"/>
      <c r="J102" s="1448"/>
      <c r="K102" s="864"/>
      <c r="L102" s="864"/>
      <c r="M102" s="864"/>
      <c r="N102" s="864"/>
      <c r="O102" s="864"/>
      <c r="P102" s="864"/>
    </row>
    <row r="103" spans="1:16" ht="16.5" customHeight="1">
      <c r="A103" s="1448" t="str">
        <f>IF(OR('Jeevan Arogya'!E11,'Jeevan Arogya'!H11="NA")," ",(A72))</f>
        <v/>
      </c>
      <c r="B103" s="1448"/>
      <c r="C103" s="852" t="str">
        <f>IF(OR('Jeevan Arogya'!$E$11,'Jeevan Arogya'!$H$11="NA")," ",(C72))</f>
        <v/>
      </c>
      <c r="D103" s="852" t="str">
        <f>IF(OR('Jeevan Arogya'!$E$11,'Jeevan Arogya'!$H$11="NA")," ",(D72))</f>
        <v/>
      </c>
      <c r="E103" s="852" t="str">
        <f>IF(OR('Jeevan Arogya'!$E$11,'Jeevan Arogya'!$H$11="NA")," ",(E72))</f>
        <v/>
      </c>
      <c r="F103" s="852" t="str">
        <f>IF(OR('Jeevan Arogya'!$E$11,'Jeevan Arogya'!$H$11="NA")," ",(F72))</f>
        <v/>
      </c>
      <c r="G103" s="852" t="str">
        <f>IF(OR('Jeevan Arogya'!$E$11,'Jeevan Arogya'!$H$11="NA")," ",(G72))</f>
        <v/>
      </c>
      <c r="H103" s="852" t="str">
        <f>IF(OR('Jeevan Arogya'!$E$11,'Jeevan Arogya'!$H$11="NA")," ",(H72))</f>
        <v/>
      </c>
      <c r="I103" s="852" t="str">
        <f>IF(OR('Jeevan Arogya'!$E$11,'Jeevan Arogya'!$H$11="NA")," ",(I72))</f>
        <v/>
      </c>
      <c r="J103" s="852" t="str">
        <f>IF(OR('Jeevan Arogya'!$E$11,'Jeevan Arogya'!$H$11="NA")," ",(J72))</f>
        <v/>
      </c>
      <c r="K103" s="570"/>
      <c r="L103" s="864"/>
      <c r="M103" s="864"/>
      <c r="N103" s="864"/>
      <c r="O103" s="864"/>
      <c r="P103" s="864"/>
    </row>
    <row r="104" spans="1:16" ht="12" customHeight="1">
      <c r="A104" s="852"/>
      <c r="B104" s="852"/>
      <c r="C104" s="852"/>
      <c r="D104" s="852"/>
      <c r="E104" s="852"/>
      <c r="F104" s="852"/>
      <c r="G104" s="852"/>
      <c r="H104" s="852"/>
      <c r="I104" s="852"/>
      <c r="J104" s="852"/>
      <c r="K104" s="570"/>
      <c r="L104" s="864"/>
      <c r="M104" s="864"/>
      <c r="N104" s="864"/>
      <c r="O104" s="864"/>
      <c r="P104" s="864"/>
    </row>
    <row r="105" spans="1:16" ht="15" customHeight="1">
      <c r="A105" s="852"/>
      <c r="B105" s="852"/>
      <c r="C105" s="852"/>
      <c r="D105" s="1448" t="str">
        <f>IF(OR('Jeevan Arogya'!E11,'Jeevan Arogya'!H11="NA")," ",('Jeevan Arogya'!C11))</f>
        <v/>
      </c>
      <c r="E105" s="1448"/>
      <c r="F105" s="1448"/>
      <c r="G105" s="1448"/>
      <c r="H105" s="852"/>
      <c r="I105" s="852"/>
      <c r="J105" s="852"/>
      <c r="K105" s="570"/>
      <c r="L105" s="864"/>
      <c r="M105" s="864"/>
      <c r="N105" s="864"/>
      <c r="O105" s="864"/>
      <c r="P105" s="864"/>
    </row>
    <row r="106" spans="1:16" ht="13.5" customHeight="1">
      <c r="A106" s="864"/>
      <c r="B106" s="864"/>
      <c r="C106" s="864"/>
      <c r="D106" s="864"/>
      <c r="E106" s="864"/>
      <c r="F106" s="864"/>
      <c r="G106" s="864"/>
      <c r="H106" s="864"/>
      <c r="I106" s="864"/>
      <c r="J106" s="864"/>
      <c r="K106" s="864"/>
      <c r="L106" s="864"/>
      <c r="M106" s="864"/>
      <c r="N106" s="864"/>
      <c r="O106" s="864"/>
      <c r="P106" s="864"/>
    </row>
    <row r="107" spans="1:16" ht="19.5" customHeight="1">
      <c r="A107" s="854" t="str">
        <f>IF(OR('Jeevan Arogya'!E11,'Jeevan Arogya'!H11="NA")," ",('Jeevan Arogya'!D11))</f>
        <v/>
      </c>
      <c r="B107" s="1450" t="str">
        <f>IF(OR('Jeevan Arogya'!E11,'Jeevan Arogya'!H11="NA")," ",('Jeevan Arogya'!E11))</f>
        <v/>
      </c>
      <c r="C107" s="1450"/>
      <c r="D107" s="1450"/>
      <c r="E107" s="1450"/>
      <c r="F107" s="853" t="str">
        <f>IF(OR('Jeevan Arogya'!E11,'Jeevan Arogya'!H11="NA")," ","AGE")</f>
        <v/>
      </c>
      <c r="G107" s="857" t="str">
        <f>IF(OR('Jeevan Arogya'!E11,'Jeevan Arogya'!H11="NA")," ",(JACA!D6))</f>
        <v/>
      </c>
      <c r="H107" s="1448" t="str">
        <f>IF(OR('Jeevan Arogya'!E11,'Jeevan Arogya'!H11="NA")," ","PREMIUM Rs.")</f>
        <v/>
      </c>
      <c r="I107" s="1448"/>
      <c r="J107" s="1449" t="str">
        <f>IF(OR('Jeevan Arogya'!E11,'Jeevan Arogya'!H11="NA")," ",'Jeevan Arogya'!R11)</f>
        <v/>
      </c>
      <c r="K107" s="1449"/>
      <c r="L107" s="864"/>
      <c r="M107" s="864"/>
      <c r="N107" s="864"/>
      <c r="O107" s="864"/>
      <c r="P107" s="864"/>
    </row>
    <row r="108" spans="1:16" ht="13.5" customHeight="1">
      <c r="A108" s="1450" t="str">
        <f>IF(OR('Jeevan Arogya'!E11,'Jeevan Arogya'!H11="NA")," ","AGE")</f>
        <v/>
      </c>
      <c r="B108" s="1450"/>
      <c r="C108" s="852" t="str">
        <f>IF(OR('Jeevan Arogya'!E11,'Jeevan Arogya'!H11="NA")," ",(G107))</f>
        <v/>
      </c>
      <c r="D108" s="852" t="str">
        <f>IF(OR('Jeevan Arogya'!$E$11,'Jeevan Arogya'!$H$11="NA")," ",($G$107+1))</f>
        <v/>
      </c>
      <c r="E108" s="852" t="str">
        <f>IF(OR('Jeevan Arogya'!$E$11,'Jeevan Arogya'!$H$11="NA")," ",($G$107+2))</f>
        <v/>
      </c>
      <c r="F108" s="852" t="str">
        <f>IF(OR('Jeevan Arogya'!$E$11,'Jeevan Arogya'!$H$11="NA")," ",($G$107+3))</f>
        <v/>
      </c>
      <c r="G108" s="852" t="str">
        <f>IF(OR('Jeevan Arogya'!$E$11,'Jeevan Arogya'!$H$11="NA")," ",($G$107+4))</f>
        <v/>
      </c>
      <c r="H108" s="852" t="str">
        <f>IF(OR('Jeevan Arogya'!$E$11,'Jeevan Arogya'!$H$11="NA")," ",($G$107+5))</f>
        <v/>
      </c>
      <c r="I108" s="852" t="str">
        <f>IF(OR('Jeevan Arogya'!$E$11,'Jeevan Arogya'!$H$11="NA")," ",($G$107+6))</f>
        <v/>
      </c>
      <c r="J108" s="852" t="str">
        <f>IF(OR('Jeevan Arogya'!$E$11,'Jeevan Arogya'!$H$11="NA")," ",($G$107+7))</f>
        <v/>
      </c>
      <c r="K108" s="1445" t="str">
        <f>IF(OR('Jeevan Arogya'!E11,'Jeevan Arogya'!H11="NA")," ","MAXIMUM  BENEFITS     (LIFE TIME)")</f>
        <v/>
      </c>
      <c r="L108" s="864"/>
      <c r="M108" s="864"/>
      <c r="N108" s="864"/>
      <c r="O108" s="864"/>
      <c r="P108" s="864"/>
    </row>
    <row r="109" spans="1:16" ht="26.25" customHeight="1">
      <c r="A109" s="1446" t="str">
        <f>IF(OR('Jeevan Arogya'!E11,'Jeevan Arogya'!H11="NA")," ","HCB   NON     ICU ")</f>
        <v/>
      </c>
      <c r="B109" s="1446"/>
      <c r="C109" s="566" t="str">
        <f>IF(OR('Jeevan Arogya'!E11,'Jeevan Arogya'!H11="NA")," ",(JACA!P30))</f>
        <v/>
      </c>
      <c r="D109" s="566" t="str">
        <f>IF(OR('Jeevan Arogya'!$E$11,'Jeevan Arogya'!$H$11="NA")," ",(JACA!P31))</f>
        <v/>
      </c>
      <c r="E109" s="566" t="str">
        <f>IF(OR('Jeevan Arogya'!$E$11,'Jeevan Arogya'!$H$11="NA")," ",(JACA!P32))</f>
        <v/>
      </c>
      <c r="F109" s="566" t="str">
        <f>IF(OR('Jeevan Arogya'!$E$11,'Jeevan Arogya'!$H$11="NA")," ",(JACA!P33))</f>
        <v/>
      </c>
      <c r="G109" s="566" t="str">
        <f>IF(OR('Jeevan Arogya'!$E$11,'Jeevan Arogya'!$H$11="NA")," ",(JACA!P34))</f>
        <v/>
      </c>
      <c r="H109" s="566" t="str">
        <f>IF(OR('Jeevan Arogya'!$E$11,'Jeevan Arogya'!$H$11="NA")," ",(JACA!P35))</f>
        <v/>
      </c>
      <c r="I109" s="566" t="str">
        <f>IF(OR('Jeevan Arogya'!$E$11,'Jeevan Arogya'!$H$11="NA")," ",(JACA!P36))</f>
        <v/>
      </c>
      <c r="J109" s="566" t="str">
        <f>IF(OR('Jeevan Arogya'!$E$11,'Jeevan Arogya'!$H$11="NA")," ",(JACA!P37))</f>
        <v/>
      </c>
      <c r="K109" s="1445"/>
      <c r="L109" s="864"/>
      <c r="M109" s="864"/>
      <c r="N109" s="864"/>
      <c r="O109" s="864"/>
      <c r="P109" s="864"/>
    </row>
    <row r="110" spans="1:16" ht="23.25" customHeight="1">
      <c r="A110" s="1446" t="str">
        <f>IF(OR('Jeevan Arogya'!E11,'Jeevan Arogya'!H11="NA")," ","HCB    ICU ")</f>
        <v/>
      </c>
      <c r="B110" s="1446"/>
      <c r="C110" s="566" t="str">
        <f>IF(OR('Jeevan Arogya'!$E$11,'Jeevan Arogya'!$H$11="NA")," ",(C109)*2)</f>
        <v/>
      </c>
      <c r="D110" s="566" t="str">
        <f>IF(OR('Jeevan Arogya'!$E$11,'Jeevan Arogya'!$H$11="NA")," ",(D109)*2)</f>
        <v/>
      </c>
      <c r="E110" s="566" t="str">
        <f>IF(OR('Jeevan Arogya'!$E$11,'Jeevan Arogya'!$H$11="NA")," ",(E109)*2)</f>
        <v/>
      </c>
      <c r="F110" s="566" t="str">
        <f>IF(OR('Jeevan Arogya'!$E$11,'Jeevan Arogya'!$H$11="NA")," ",(F109)*2)</f>
        <v/>
      </c>
      <c r="G110" s="566" t="str">
        <f>IF(OR('Jeevan Arogya'!$E$11,'Jeevan Arogya'!$H$11="NA")," ",(G109)*2)</f>
        <v/>
      </c>
      <c r="H110" s="566" t="str">
        <f>IF(OR('Jeevan Arogya'!$E$11,'Jeevan Arogya'!$H$11="NA")," ",(H109)*2)</f>
        <v/>
      </c>
      <c r="I110" s="566" t="str">
        <f>IF(OR('Jeevan Arogya'!$E$11,'Jeevan Arogya'!$H$11="NA")," ",(I109)*2)</f>
        <v/>
      </c>
      <c r="J110" s="566" t="str">
        <f>IF(OR('Jeevan Arogya'!$E$11,'Jeevan Arogya'!$H$11="NA")," ",(J109)*2)</f>
        <v/>
      </c>
      <c r="K110" s="1445"/>
      <c r="L110" s="864"/>
      <c r="M110" s="864"/>
      <c r="N110" s="864"/>
      <c r="O110" s="864"/>
      <c r="P110" s="864"/>
    </row>
    <row r="111" spans="1:16" ht="27.75" customHeight="1">
      <c r="A111" s="1446" t="str">
        <f>IF(OR('Jeevan Arogya'!E11,'Jeevan Arogya'!H11="NA")," "," MAXIMUM HCB ")</f>
        <v/>
      </c>
      <c r="B111" s="1446"/>
      <c r="C111" s="566" t="str">
        <f>IF(OR('Jeevan Arogya'!$E$11,'Jeevan Arogya'!$H$11="NA")," ",(JACA!D30))</f>
        <v/>
      </c>
      <c r="D111" s="566" t="str">
        <f>IF(OR('Jeevan Arogya'!$E$11,'Jeevan Arogya'!$H$11="NA")," ",(JACA!D31))</f>
        <v/>
      </c>
      <c r="E111" s="566" t="str">
        <f>IF(OR('Jeevan Arogya'!$E$11,'Jeevan Arogya'!$H$11="NA")," ",(JACA!D32))</f>
        <v/>
      </c>
      <c r="F111" s="566" t="str">
        <f>IF(OR('Jeevan Arogya'!$E$11,'Jeevan Arogya'!$H$11="NA")," ",(JACA!D33))</f>
        <v/>
      </c>
      <c r="G111" s="566" t="str">
        <f>IF(OR('Jeevan Arogya'!$E$11,'Jeevan Arogya'!$H$11="NA")," ",(JACA!D34))</f>
        <v/>
      </c>
      <c r="H111" s="566" t="str">
        <f>IF(OR('Jeevan Arogya'!$E$11,'Jeevan Arogya'!$H$11="NA")," ",(JACA!D35))</f>
        <v/>
      </c>
      <c r="I111" s="566" t="str">
        <f>IF(OR('Jeevan Arogya'!$E$11,'Jeevan Arogya'!$H$11="NA")," ",(JACA!D36))</f>
        <v/>
      </c>
      <c r="J111" s="566" t="str">
        <f>IF(OR('Jeevan Arogya'!$E$11,'Jeevan Arogya'!$H$11="NA")," ",(JACA!D37))</f>
        <v/>
      </c>
      <c r="K111" s="565" t="str">
        <f>IF(OR('Jeevan Arogya'!E11,'Jeevan Arogya'!H11="NA")," ",(JACA!D40))</f>
        <v/>
      </c>
      <c r="L111" s="864"/>
      <c r="M111" s="864"/>
      <c r="N111" s="864"/>
      <c r="O111" s="864"/>
      <c r="P111" s="864"/>
    </row>
    <row r="112" spans="1:16" ht="33.75" customHeight="1">
      <c r="A112" s="1446" t="str">
        <f>IF(OR('Jeevan Arogya'!E11,'Jeevan Arogya'!H11="NA")," ","MAXIMUM  MSB")</f>
        <v/>
      </c>
      <c r="B112" s="1446"/>
      <c r="C112" s="566" t="str">
        <f>IF(OR('Jeevan Arogya'!$E$11,'Jeevan Arogya'!$H$11="NA")," ",(JACA!P41))</f>
        <v/>
      </c>
      <c r="D112" s="566" t="str">
        <f>IF(OR('Jeevan Arogya'!$E$11,'Jeevan Arogya'!$H$11="NA")," ",(JACA!P42))</f>
        <v/>
      </c>
      <c r="E112" s="566" t="str">
        <f>IF(OR('Jeevan Arogya'!$E$11,'Jeevan Arogya'!$H$11="NA")," ",(JACA!P43))</f>
        <v/>
      </c>
      <c r="F112" s="566" t="str">
        <f>IF(OR('Jeevan Arogya'!$E$11,'Jeevan Arogya'!$H$11="NA")," ",(JACA!P44))</f>
        <v/>
      </c>
      <c r="G112" s="566" t="str">
        <f>IF(OR('Jeevan Arogya'!$E$11,'Jeevan Arogya'!$H$11="NA")," ",(JACA!P45))</f>
        <v/>
      </c>
      <c r="H112" s="566" t="str">
        <f>IF(OR('Jeevan Arogya'!$E$11,'Jeevan Arogya'!$H$11="NA")," ",(JACA!P46))</f>
        <v/>
      </c>
      <c r="I112" s="566" t="str">
        <f>IF(OR('Jeevan Arogya'!$E$11,'Jeevan Arogya'!$H$11="NA")," ",(JACA!P47))</f>
        <v/>
      </c>
      <c r="J112" s="566" t="str">
        <f>IF(OR('Jeevan Arogya'!$E$11,'Jeevan Arogya'!$H$11="NA")," ",(JACA!P48))</f>
        <v/>
      </c>
      <c r="K112" s="565" t="str">
        <f>IF(OR('Jeevan Arogya'!E11,'Jeevan Arogya'!H11="NA")," ",(JACA!D43))</f>
        <v/>
      </c>
      <c r="L112" s="864"/>
      <c r="M112" s="864"/>
      <c r="N112" s="864"/>
      <c r="O112" s="864"/>
      <c r="P112" s="864"/>
    </row>
    <row r="113" spans="1:16" ht="23.25" customHeight="1">
      <c r="A113" s="1446" t="str">
        <f>IF(OR('Jeevan Arogya'!E11,'Jeevan Arogya'!H11="NA")," ","  DCPB ")</f>
        <v/>
      </c>
      <c r="B113" s="1446"/>
      <c r="C113" s="566" t="str">
        <f>IF(OR('Jeevan Arogya'!$E$11,'Jeevan Arogya'!$H$11="NA")," ",(JACA!D45))</f>
        <v/>
      </c>
      <c r="D113" s="566" t="str">
        <f>IF(OR('Jeevan Arogya'!$E$11,'Jeevan Arogya'!$H$11="NA")," ",(JACA!D46))</f>
        <v/>
      </c>
      <c r="E113" s="566" t="str">
        <f>IF(OR('Jeevan Arogya'!$E$11,'Jeevan Arogya'!$H$11="NA")," ",(JACA!D47))</f>
        <v/>
      </c>
      <c r="F113" s="566" t="str">
        <f>IF(OR('Jeevan Arogya'!$E$11,'Jeevan Arogya'!$H$11="NA")," ",(JACA!D48))</f>
        <v/>
      </c>
      <c r="G113" s="566" t="str">
        <f>IF(OR('Jeevan Arogya'!$E$11,'Jeevan Arogya'!$H$11="NA")," ",(JACA!D49))</f>
        <v/>
      </c>
      <c r="H113" s="566" t="str">
        <f>IF(OR('Jeevan Arogya'!$E$11,'Jeevan Arogya'!$H$11="NA")," ",(JACA!D50))</f>
        <v/>
      </c>
      <c r="I113" s="566" t="str">
        <f>IF(OR('Jeevan Arogya'!$E$11,'Jeevan Arogya'!$H$11="NA")," ",(JACA!D51))</f>
        <v/>
      </c>
      <c r="J113" s="566" t="str">
        <f>IF(OR('Jeevan Arogya'!$E$11,'Jeevan Arogya'!$H$11="NA")," ",(JACA!D52))</f>
        <v/>
      </c>
      <c r="K113" s="565" t="str">
        <f>IF(OR('Jeevan Arogya'!E11,'Jeevan Arogya'!H11="NA")," ",(JACA!D53))</f>
        <v/>
      </c>
      <c r="L113" s="864"/>
      <c r="M113" s="864"/>
      <c r="N113" s="864"/>
      <c r="O113" s="864"/>
      <c r="P113" s="864"/>
    </row>
    <row r="114" spans="1:16" ht="36.75" customHeight="1">
      <c r="A114" s="1446" t="str">
        <f>IF(OR('Jeevan Arogya'!E11,'Jeevan Arogya'!H11="NA")," ","OSB ")</f>
        <v/>
      </c>
      <c r="B114" s="1446"/>
      <c r="C114" s="566" t="str">
        <f>IF(OR('Jeevan Arogya'!$E$11,'Jeevan Arogya'!$H$11="NA")," ",(JACA!D55))</f>
        <v/>
      </c>
      <c r="D114" s="566" t="str">
        <f>IF(OR('Jeevan Arogya'!$E$11,'Jeevan Arogya'!$H$11="NA")," ",(JACA!D56))</f>
        <v/>
      </c>
      <c r="E114" s="566" t="str">
        <f>IF(OR('Jeevan Arogya'!$E$11,'Jeevan Arogya'!$H$11="NA")," ",(JACA!D57))</f>
        <v/>
      </c>
      <c r="F114" s="566" t="str">
        <f>IF(OR('Jeevan Arogya'!$E$11,'Jeevan Arogya'!$H$11="NA")," ",(JACA!D58))</f>
        <v/>
      </c>
      <c r="G114" s="566" t="str">
        <f>IF(OR('Jeevan Arogya'!$E$11,'Jeevan Arogya'!$H$11="NA")," ",(JACA!D59))</f>
        <v/>
      </c>
      <c r="H114" s="566" t="str">
        <f>IF(OR('Jeevan Arogya'!$E$11,'Jeevan Arogya'!$H$11="NA")," ",(JACA!D60))</f>
        <v/>
      </c>
      <c r="I114" s="566" t="str">
        <f>IF(OR('Jeevan Arogya'!$E$11,'Jeevan Arogya'!$H$11="NA")," ",(JACA!D61))</f>
        <v/>
      </c>
      <c r="J114" s="566" t="str">
        <f>IF(OR('Jeevan Arogya'!$E$11,'Jeevan Arogya'!$H$11="NA")," ",(JACA!D62))</f>
        <v/>
      </c>
      <c r="K114" s="565" t="str">
        <f>IF(OR('Jeevan Arogya'!E11,'Jeevan Arogya'!H11="NA")," ",(JACA!D64))</f>
        <v/>
      </c>
      <c r="L114" s="864"/>
      <c r="M114" s="864"/>
      <c r="N114" s="864"/>
      <c r="O114" s="864"/>
      <c r="P114" s="864"/>
    </row>
    <row r="115" spans="1:16" ht="7.5" customHeight="1">
      <c r="A115" s="569"/>
      <c r="B115" s="569"/>
      <c r="C115" s="566"/>
      <c r="D115" s="566"/>
      <c r="E115" s="566"/>
      <c r="F115" s="566"/>
      <c r="G115" s="566"/>
      <c r="H115" s="566"/>
      <c r="I115" s="566"/>
      <c r="J115" s="566"/>
      <c r="K115" s="565"/>
      <c r="L115" s="864"/>
      <c r="M115" s="864"/>
      <c r="N115" s="864"/>
      <c r="O115" s="864"/>
      <c r="P115" s="864"/>
    </row>
    <row r="116" spans="1:16" ht="15.75" customHeight="1">
      <c r="A116" s="569"/>
      <c r="B116" s="569"/>
      <c r="C116" s="566"/>
      <c r="D116" s="1455" t="str">
        <f>IF(OR('Jeevan Arogya'!E12,'Jeevan Arogya'!H12="NA")," ",('Jeevan Arogya'!C12))</f>
        <v/>
      </c>
      <c r="E116" s="1455"/>
      <c r="F116" s="1455"/>
      <c r="G116" s="1455"/>
      <c r="H116" s="566"/>
      <c r="I116" s="566"/>
      <c r="J116" s="566"/>
      <c r="K116" s="565"/>
      <c r="L116" s="864"/>
      <c r="M116" s="864"/>
      <c r="N116" s="864"/>
      <c r="O116" s="864"/>
      <c r="P116" s="864"/>
    </row>
    <row r="117" spans="1:16" ht="13.5" customHeight="1">
      <c r="A117" s="864"/>
      <c r="B117" s="864"/>
      <c r="C117" s="864"/>
      <c r="D117" s="864"/>
      <c r="E117" s="864"/>
      <c r="F117" s="864"/>
      <c r="G117" s="864"/>
      <c r="H117" s="864"/>
      <c r="I117" s="864"/>
      <c r="J117" s="864"/>
      <c r="K117" s="864"/>
      <c r="L117" s="864"/>
      <c r="M117" s="864"/>
      <c r="N117" s="864"/>
      <c r="O117" s="864"/>
      <c r="P117" s="864"/>
    </row>
    <row r="118" spans="1:16" ht="17.25" customHeight="1">
      <c r="A118" s="854" t="str">
        <f>IF(OR('Jeevan Arogya'!E12,'Jeevan Arogya'!H12="NA")," ",('Jeevan Arogya'!D12))</f>
        <v/>
      </c>
      <c r="B118" s="1454" t="str">
        <f>IF(OR('Jeevan Arogya'!E12,'Jeevan Arogya'!H12="NA")," ",('Jeevan Arogya'!E12))</f>
        <v/>
      </c>
      <c r="C118" s="1454"/>
      <c r="D118" s="1454"/>
      <c r="E118" s="1454"/>
      <c r="F118" s="853" t="str">
        <f>IF(OR('Jeevan Arogya'!E12,'Jeevan Arogya'!H12="NA")," ","AGE")</f>
        <v/>
      </c>
      <c r="G118" s="857" t="str">
        <f>IF(OR('Jeevan Arogya'!E12,'Jeevan Arogya'!H12="NA")," ",(JACA!E6))</f>
        <v/>
      </c>
      <c r="H118" s="1448" t="str">
        <f>IF(OR('Jeevan Arogya'!E12,'Jeevan Arogya'!H12="NA")," ","PREMIUM Rs.")</f>
        <v/>
      </c>
      <c r="I118" s="1448"/>
      <c r="J118" s="1449" t="str">
        <f>IF(OR('Jeevan Arogya'!E12,'Jeevan Arogya'!H12="NA")," ",'Jeevan Arogya'!R12)</f>
        <v/>
      </c>
      <c r="K118" s="1449"/>
      <c r="L118" s="568"/>
      <c r="M118" s="568"/>
      <c r="N118" s="864"/>
      <c r="O118" s="864"/>
      <c r="P118" s="864"/>
    </row>
    <row r="119" spans="1:16" ht="13.5" customHeight="1">
      <c r="A119" s="1450" t="str">
        <f>IF(OR('Jeevan Arogya'!E12,'Jeevan Arogya'!H12="NA")," ","AGE")</f>
        <v/>
      </c>
      <c r="B119" s="1450"/>
      <c r="C119" s="852" t="str">
        <f>IF(OR('Jeevan Arogya'!E12,'Jeevan Arogya'!H12="NA")," ",(G118))</f>
        <v/>
      </c>
      <c r="D119" s="852" t="str">
        <f>IF(OR('Jeevan Arogya'!$E$12,'Jeevan Arogya'!$H$12="NA")," ",($G$118+1))</f>
        <v/>
      </c>
      <c r="E119" s="852" t="str">
        <f>IF(OR('Jeevan Arogya'!$E$12,'Jeevan Arogya'!$H$12="NA")," ",($G$118+2))</f>
        <v/>
      </c>
      <c r="F119" s="852" t="str">
        <f>IF(OR('Jeevan Arogya'!$E$12,'Jeevan Arogya'!$H$12="NA")," ",($G$118+3))</f>
        <v/>
      </c>
      <c r="G119" s="852" t="str">
        <f>IF(OR('Jeevan Arogya'!$E$12,'Jeevan Arogya'!$H$12="NA")," ",($G$118+4))</f>
        <v/>
      </c>
      <c r="H119" s="852" t="str">
        <f>IF(OR('Jeevan Arogya'!$E$12,'Jeevan Arogya'!$H$12="NA")," ",($G$118+5))</f>
        <v/>
      </c>
      <c r="I119" s="852" t="str">
        <f>IF(OR('Jeevan Arogya'!$E$12,'Jeevan Arogya'!$H$12="NA")," ",($G$118+6))</f>
        <v/>
      </c>
      <c r="J119" s="852" t="str">
        <f>IF(OR('Jeevan Arogya'!$E$12,'Jeevan Arogya'!$H$12="NA")," ",($G$118+7))</f>
        <v/>
      </c>
      <c r="K119" s="1445" t="str">
        <f>IF(OR('Jeevan Arogya'!E12,'Jeevan Arogya'!H12="NA")," ","MAXIMUM  BENEFITS     (LIFE TIME)")</f>
        <v/>
      </c>
      <c r="L119" s="864"/>
      <c r="M119" s="864"/>
      <c r="N119" s="864"/>
      <c r="O119" s="864"/>
      <c r="P119" s="864"/>
    </row>
    <row r="120" spans="1:16" ht="26.25" customHeight="1">
      <c r="A120" s="1446" t="str">
        <f>IF(OR('Jeevan Arogya'!E12,'Jeevan Arogya'!H12="NA")," ","HCB   NON     ICU ")</f>
        <v/>
      </c>
      <c r="B120" s="1446"/>
      <c r="C120" s="566" t="str">
        <f>IF(OR('Jeevan Arogya'!E12,'Jeevan Arogya'!H12="NA")," ",(JACA!R30))</f>
        <v/>
      </c>
      <c r="D120" s="566" t="str">
        <f>IF(OR('Jeevan Arogya'!$E$12,'Jeevan Arogya'!$H$12="NA")," ",(JACA!R31))</f>
        <v/>
      </c>
      <c r="E120" s="566" t="str">
        <f>IF(OR('Jeevan Arogya'!$E$12,'Jeevan Arogya'!$H$12="NA")," ",(JACA!R32))</f>
        <v/>
      </c>
      <c r="F120" s="566" t="str">
        <f>IF(OR('Jeevan Arogya'!$E$12,'Jeevan Arogya'!$H$12="NA")," ",(JACA!R33))</f>
        <v/>
      </c>
      <c r="G120" s="566" t="str">
        <f>IF(OR('Jeevan Arogya'!$E$12,'Jeevan Arogya'!$H$12="NA")," ",(JACA!R34))</f>
        <v/>
      </c>
      <c r="H120" s="566" t="str">
        <f>IF(OR('Jeevan Arogya'!$E$12,'Jeevan Arogya'!$H$12="NA")," ",(JACA!R35))</f>
        <v/>
      </c>
      <c r="I120" s="566" t="str">
        <f>IF(OR('Jeevan Arogya'!$E$12,'Jeevan Arogya'!$H$12="NA")," ",(JACA!R36))</f>
        <v/>
      </c>
      <c r="J120" s="566" t="str">
        <f>IF(OR('Jeevan Arogya'!$E$12,'Jeevan Arogya'!$H$12="NA")," ",(JACA!R37))</f>
        <v/>
      </c>
      <c r="K120" s="1445"/>
      <c r="L120" s="864"/>
      <c r="M120" s="864"/>
      <c r="N120" s="864"/>
      <c r="O120" s="864"/>
      <c r="P120" s="864"/>
    </row>
    <row r="121" spans="1:16" ht="26.25" customHeight="1">
      <c r="A121" s="1446" t="str">
        <f>IF(OR('Jeevan Arogya'!E12,'Jeevan Arogya'!H12="NA")," ","HCB    ICU ")</f>
        <v/>
      </c>
      <c r="B121" s="1446"/>
      <c r="C121" s="566" t="str">
        <f>IF(OR('Jeevan Arogya'!$E$12,'Jeevan Arogya'!$H$12="NA")," ",(C120)*2)</f>
        <v/>
      </c>
      <c r="D121" s="566" t="str">
        <f>IF(OR('Jeevan Arogya'!$E$12,'Jeevan Arogya'!$H$12="NA")," ",(D120)*2)</f>
        <v/>
      </c>
      <c r="E121" s="566" t="str">
        <f>IF(OR('Jeevan Arogya'!$E$12,'Jeevan Arogya'!$H$12="NA")," ",(E120)*2)</f>
        <v/>
      </c>
      <c r="F121" s="566" t="str">
        <f>IF(OR('Jeevan Arogya'!$E$12,'Jeevan Arogya'!$H$12="NA")," ",(F120)*2)</f>
        <v/>
      </c>
      <c r="G121" s="566" t="str">
        <f>IF(OR('Jeevan Arogya'!$E$12,'Jeevan Arogya'!$H$12="NA")," ",(G120)*2)</f>
        <v/>
      </c>
      <c r="H121" s="566" t="str">
        <f>IF(OR('Jeevan Arogya'!$E$12,'Jeevan Arogya'!$H$12="NA")," ",(H120)*2)</f>
        <v/>
      </c>
      <c r="I121" s="566" t="str">
        <f>IF(OR('Jeevan Arogya'!$E$12,'Jeevan Arogya'!$H$12="NA")," ",(I120)*2)</f>
        <v/>
      </c>
      <c r="J121" s="566" t="str">
        <f>IF(OR('Jeevan Arogya'!$E$12,'Jeevan Arogya'!$H$12="NA")," ",(J120)*2)</f>
        <v/>
      </c>
      <c r="K121" s="1445"/>
      <c r="L121" s="864"/>
      <c r="M121" s="864"/>
      <c r="N121" s="864"/>
      <c r="O121" s="864"/>
      <c r="P121" s="864"/>
    </row>
    <row r="122" spans="1:16" ht="26.25" customHeight="1">
      <c r="A122" s="1446" t="str">
        <f>IF(OR('Jeevan Arogya'!E12,'Jeevan Arogya'!H12="NA")," ","MAXIMUM HCB ")</f>
        <v/>
      </c>
      <c r="B122" s="1446"/>
      <c r="C122" s="566" t="str">
        <f>IF(OR('Jeevan Arogya'!$E$12,'Jeevan Arogya'!$H$12="NA")," ",(JACA!E30))</f>
        <v/>
      </c>
      <c r="D122" s="566" t="str">
        <f>IF(OR('Jeevan Arogya'!$E$12,'Jeevan Arogya'!$H$12="NA")," ",(JACA!E31))</f>
        <v/>
      </c>
      <c r="E122" s="566" t="str">
        <f>IF(OR('Jeevan Arogya'!$E$12,'Jeevan Arogya'!$H$12="NA")," ",(JACA!E32))</f>
        <v/>
      </c>
      <c r="F122" s="566" t="str">
        <f>IF(OR('Jeevan Arogya'!$E$12,'Jeevan Arogya'!$H$12="NA")," ",(JACA!E33))</f>
        <v/>
      </c>
      <c r="G122" s="566" t="str">
        <f>IF(OR('Jeevan Arogya'!$E$12,'Jeevan Arogya'!$H$12="NA")," ",(JACA!E34))</f>
        <v/>
      </c>
      <c r="H122" s="566" t="str">
        <f>IF(OR('Jeevan Arogya'!$E$12,'Jeevan Arogya'!$H$12="NA")," ",(JACA!E35))</f>
        <v/>
      </c>
      <c r="I122" s="566" t="str">
        <f>IF(OR('Jeevan Arogya'!$E$12,'Jeevan Arogya'!$H$12="NA")," ",(JACA!E36))</f>
        <v/>
      </c>
      <c r="J122" s="566" t="str">
        <f>IF(OR('Jeevan Arogya'!$E$12,'Jeevan Arogya'!$H$12="NA")," ",(JACA!E37))</f>
        <v/>
      </c>
      <c r="K122" s="565" t="str">
        <f>IF(OR('Jeevan Arogya'!E12,'Jeevan Arogya'!H12="NA")," ",(JACA!E40))</f>
        <v/>
      </c>
      <c r="L122" s="864"/>
      <c r="M122" s="864"/>
      <c r="N122" s="864"/>
      <c r="O122" s="864"/>
      <c r="P122" s="864"/>
    </row>
    <row r="123" spans="1:16" ht="34.5" customHeight="1">
      <c r="A123" s="1446" t="str">
        <f>IF(OR('Jeevan Arogya'!E12,'Jeevan Arogya'!H12="NA")," ","MAXIMUM  MSB")</f>
        <v/>
      </c>
      <c r="B123" s="1446"/>
      <c r="C123" s="566" t="str">
        <f>IF(OR('Jeevan Arogya'!$E$12,'Jeevan Arogya'!$H$12="NA")," ",(JACA!R41))</f>
        <v/>
      </c>
      <c r="D123" s="566" t="str">
        <f>IF(OR('Jeevan Arogya'!$E$12,'Jeevan Arogya'!$H$12="NA")," ",(JACA!R42))</f>
        <v/>
      </c>
      <c r="E123" s="566" t="str">
        <f>IF(OR('Jeevan Arogya'!$E$12,'Jeevan Arogya'!$H$12="NA")," ",(JACA!R43))</f>
        <v/>
      </c>
      <c r="F123" s="566" t="str">
        <f>IF(OR('Jeevan Arogya'!$E$12,'Jeevan Arogya'!$H$12="NA")," ",(JACA!R44))</f>
        <v/>
      </c>
      <c r="G123" s="566" t="str">
        <f>IF(OR('Jeevan Arogya'!$E$12,'Jeevan Arogya'!$H$12="NA")," ",(JACA!R45))</f>
        <v/>
      </c>
      <c r="H123" s="566" t="str">
        <f>IF(OR('Jeevan Arogya'!$E$12,'Jeevan Arogya'!$H$12="NA")," ",(JACA!R46))</f>
        <v/>
      </c>
      <c r="I123" s="566" t="str">
        <f>IF(OR('Jeevan Arogya'!$E$12,'Jeevan Arogya'!$H$12="NA")," ",(JACA!R47))</f>
        <v/>
      </c>
      <c r="J123" s="566" t="str">
        <f>IF(OR('Jeevan Arogya'!$E$12,'Jeevan Arogya'!$H$12="NA")," ",(JACA!R48))</f>
        <v/>
      </c>
      <c r="K123" s="565" t="str">
        <f>IF(OR('Jeevan Arogya'!E12,'Jeevan Arogya'!H12="NA")," ",(JACA!E43))</f>
        <v/>
      </c>
      <c r="L123" s="864"/>
      <c r="M123" s="864"/>
      <c r="N123" s="864"/>
      <c r="O123" s="864"/>
      <c r="P123" s="864"/>
    </row>
    <row r="124" spans="1:16" ht="25.5" customHeight="1">
      <c r="A124" s="1446" t="str">
        <f>IF(OR('Jeevan Arogya'!E12,'Jeevan Arogya'!H12="NA")," ","DCPB ")</f>
        <v/>
      </c>
      <c r="B124" s="1446"/>
      <c r="C124" s="566" t="str">
        <f>IF(OR('Jeevan Arogya'!$E$12,'Jeevan Arogya'!$H$12="NA")," ",(JACA!E45))</f>
        <v/>
      </c>
      <c r="D124" s="566" t="str">
        <f>IF(OR('Jeevan Arogya'!$E$12,'Jeevan Arogya'!$H$12="NA")," ",(JACA!E46))</f>
        <v/>
      </c>
      <c r="E124" s="566" t="str">
        <f>IF(OR('Jeevan Arogya'!$E$12,'Jeevan Arogya'!$H$12="NA")," ",(JACA!E47))</f>
        <v/>
      </c>
      <c r="F124" s="566" t="str">
        <f>IF(OR('Jeevan Arogya'!$E$12,'Jeevan Arogya'!$H$12="NA")," ",(JACA!E48))</f>
        <v/>
      </c>
      <c r="G124" s="566" t="str">
        <f>IF(OR('Jeevan Arogya'!$E$12,'Jeevan Arogya'!$H$12="NA")," ",(JACA!E49))</f>
        <v/>
      </c>
      <c r="H124" s="566" t="str">
        <f>IF(OR('Jeevan Arogya'!$E$12,'Jeevan Arogya'!$H$12="NA")," ",(JACA!E50))</f>
        <v/>
      </c>
      <c r="I124" s="566" t="str">
        <f>IF(OR('Jeevan Arogya'!$E$12,'Jeevan Arogya'!$H$12="NA")," ",(JACA!E51))</f>
        <v/>
      </c>
      <c r="J124" s="566" t="str">
        <f>IF(OR('Jeevan Arogya'!$E$12,'Jeevan Arogya'!$H$12="NA")," ",(JACA!E52))</f>
        <v/>
      </c>
      <c r="K124" s="565" t="str">
        <f>IF(OR('Jeevan Arogya'!E12,'Jeevan Arogya'!H12="NA")," ",(JACA!E53))</f>
        <v/>
      </c>
      <c r="L124" s="864"/>
      <c r="M124" s="864"/>
      <c r="N124" s="864"/>
      <c r="O124" s="864"/>
      <c r="P124" s="864"/>
    </row>
    <row r="125" spans="1:16" ht="34.5" customHeight="1">
      <c r="A125" s="1446" t="str">
        <f>IF(OR('Jeevan Arogya'!E12,'Jeevan Arogya'!H12="NA")," ","OSB ")</f>
        <v/>
      </c>
      <c r="B125" s="1446"/>
      <c r="C125" s="566" t="str">
        <f>IF(OR('Jeevan Arogya'!E12,'Jeevan Arogya'!H12="NA")," ",(JACA!E55))</f>
        <v/>
      </c>
      <c r="D125" s="566" t="str">
        <f>IF(OR('Jeevan Arogya'!$E$12,'Jeevan Arogya'!$H$12="NA")," ",(JACA!E56))</f>
        <v/>
      </c>
      <c r="E125" s="566" t="str">
        <f>IF(OR('Jeevan Arogya'!$E$12,'Jeevan Arogya'!$H$12="NA")," ",(JACA!E57))</f>
        <v/>
      </c>
      <c r="F125" s="566" t="str">
        <f>IF(OR('Jeevan Arogya'!$E$12,'Jeevan Arogya'!$H$12="NA")," ",(JACA!E58))</f>
        <v/>
      </c>
      <c r="G125" s="566" t="str">
        <f>IF(OR('Jeevan Arogya'!$E$12,'Jeevan Arogya'!$H$12="NA")," ",(JACA!E59))</f>
        <v/>
      </c>
      <c r="H125" s="566" t="str">
        <f>IF(OR('Jeevan Arogya'!$E$12,'Jeevan Arogya'!$H$12="NA")," ",(JACA!E60))</f>
        <v/>
      </c>
      <c r="I125" s="566" t="str">
        <f>IF(OR('Jeevan Arogya'!$E$12,'Jeevan Arogya'!$H$12="NA")," ",(JACA!E61))</f>
        <v/>
      </c>
      <c r="J125" s="566" t="str">
        <f>IF(OR('Jeevan Arogya'!$E$12,'Jeevan Arogya'!$H$12="NA")," ",(JACA!E62))</f>
        <v/>
      </c>
      <c r="K125" s="565" t="str">
        <f>IF(OR('Jeevan Arogya'!E12,'Jeevan Arogya'!H12="NA")," ",(JACA!E64))</f>
        <v/>
      </c>
      <c r="L125" s="864"/>
      <c r="M125" s="864"/>
      <c r="N125" s="864"/>
      <c r="O125" s="864"/>
      <c r="P125" s="864"/>
    </row>
    <row r="126" spans="1:16" ht="8.25" customHeight="1">
      <c r="A126" s="864"/>
      <c r="B126" s="864"/>
      <c r="C126" s="864"/>
      <c r="D126" s="864"/>
      <c r="E126" s="864"/>
      <c r="F126" s="864"/>
      <c r="G126" s="864"/>
      <c r="H126" s="864"/>
      <c r="I126" s="864"/>
      <c r="J126" s="864"/>
      <c r="K126" s="864"/>
      <c r="L126" s="864"/>
      <c r="M126" s="864"/>
      <c r="N126" s="864"/>
      <c r="O126" s="864"/>
      <c r="P126" s="864"/>
    </row>
    <row r="127" spans="1:16" ht="15" customHeight="1">
      <c r="A127" s="864"/>
      <c r="B127" s="864"/>
      <c r="C127" s="864"/>
      <c r="D127" s="1451" t="str">
        <f>IF(OR('Jeevan Arogya'!E13,'Jeevan Arogya'!H13="NA")," ",('Jeevan Arogya'!C13))</f>
        <v/>
      </c>
      <c r="E127" s="1451"/>
      <c r="F127" s="1451"/>
      <c r="G127" s="1451"/>
      <c r="H127" s="864"/>
      <c r="I127" s="864"/>
      <c r="J127" s="864"/>
      <c r="K127" s="864"/>
      <c r="L127" s="864"/>
      <c r="M127" s="864"/>
      <c r="N127" s="864"/>
      <c r="O127" s="864"/>
      <c r="P127" s="864"/>
    </row>
    <row r="128" spans="1:16" ht="12.75" customHeight="1">
      <c r="A128" s="864"/>
      <c r="B128" s="864"/>
      <c r="C128" s="864"/>
      <c r="D128" s="864"/>
      <c r="E128" s="864"/>
      <c r="F128" s="864"/>
      <c r="G128" s="864"/>
      <c r="H128" s="864"/>
      <c r="I128" s="864"/>
      <c r="J128" s="864"/>
      <c r="K128" s="864"/>
      <c r="L128" s="864"/>
      <c r="M128" s="864"/>
      <c r="N128" s="864"/>
      <c r="O128" s="864"/>
      <c r="P128" s="864"/>
    </row>
    <row r="129" spans="1:16" ht="20.25" customHeight="1">
      <c r="A129" s="854" t="str">
        <f>IF(OR('Jeevan Arogya'!E13,'Jeevan Arogya'!H13="NA")," ",('Jeevan Arogya'!D13))</f>
        <v/>
      </c>
      <c r="B129" s="1454" t="str">
        <f>IF(OR('Jeevan Arogya'!E13,'Jeevan Arogya'!H13="NA")," ",('Jeevan Arogya'!E13))</f>
        <v/>
      </c>
      <c r="C129" s="1454"/>
      <c r="D129" s="1454"/>
      <c r="E129" s="1454"/>
      <c r="F129" s="853" t="str">
        <f>IF(OR('Jeevan Arogya'!E13,'Jeevan Arogya'!H13="NA")," ","AGE")</f>
        <v/>
      </c>
      <c r="G129" s="857" t="str">
        <f>IF(OR('Jeevan Arogya'!E13,'Jeevan Arogya'!H13="NA")," ",(JACA!F6))</f>
        <v/>
      </c>
      <c r="H129" s="1448" t="str">
        <f>IF(OR('Jeevan Arogya'!E13,'Jeevan Arogya'!H13="NA")," ","PREMIUM Rs.")</f>
        <v/>
      </c>
      <c r="I129" s="1448"/>
      <c r="J129" s="1449" t="str">
        <f>IF(OR('Jeevan Arogya'!E13,'Jeevan Arogya'!H13="NA")," ",'Jeevan Arogya'!R13)</f>
        <v/>
      </c>
      <c r="K129" s="1449"/>
      <c r="L129" s="864"/>
      <c r="M129" s="864"/>
      <c r="N129" s="864"/>
      <c r="O129" s="864"/>
      <c r="P129" s="864"/>
    </row>
    <row r="130" spans="1:16" ht="14.25" customHeight="1">
      <c r="A130" s="1450" t="str">
        <f>IF(OR('Jeevan Arogya'!E13,'Jeevan Arogya'!H13="NA")," ","AGE")</f>
        <v/>
      </c>
      <c r="B130" s="1450"/>
      <c r="C130" s="852" t="str">
        <f>IF(OR('Jeevan Arogya'!E13,'Jeevan Arogya'!H13="NA")," ",(G129))</f>
        <v/>
      </c>
      <c r="D130" s="852" t="str">
        <f>IF(OR('Jeevan Arogya'!$E$13,'Jeevan Arogya'!$H$13="NA")," ",($G$129+1))</f>
        <v/>
      </c>
      <c r="E130" s="852" t="str">
        <f>IF(OR('Jeevan Arogya'!$E$13,'Jeevan Arogya'!$H$13="NA")," ",($G$129+2))</f>
        <v/>
      </c>
      <c r="F130" s="852" t="str">
        <f>IF(OR('Jeevan Arogya'!$E$13,'Jeevan Arogya'!$H$13="NA")," ",($G$129+3))</f>
        <v/>
      </c>
      <c r="G130" s="852" t="str">
        <f>IF(OR('Jeevan Arogya'!$E$13,'Jeevan Arogya'!$H$13="NA")," ",($G$129+4))</f>
        <v/>
      </c>
      <c r="H130" s="852" t="str">
        <f>IF(OR('Jeevan Arogya'!$E$13,'Jeevan Arogya'!$H$13="NA")," ",($G$129+5))</f>
        <v/>
      </c>
      <c r="I130" s="852" t="str">
        <f>IF(OR('Jeevan Arogya'!$E$13,'Jeevan Arogya'!$H$13="NA")," ",($G$129+6))</f>
        <v/>
      </c>
      <c r="J130" s="852" t="str">
        <f>IF(OR('Jeevan Arogya'!$E$13,'Jeevan Arogya'!$H$13="NA")," ",($G$129+7))</f>
        <v/>
      </c>
      <c r="K130" s="1445" t="str">
        <f>IF(OR('Jeevan Arogya'!E13,'Jeevan Arogya'!H13="NA")," ","MAXIMUM  BENEFITS     (LIFE TIME)")</f>
        <v/>
      </c>
      <c r="L130" s="864"/>
      <c r="M130" s="864"/>
      <c r="N130" s="864"/>
      <c r="O130" s="864"/>
      <c r="P130" s="864"/>
    </row>
    <row r="131" spans="1:16" ht="26.25" customHeight="1">
      <c r="A131" s="1446" t="str">
        <f>IF(OR('Jeevan Arogya'!E13,'Jeevan Arogya'!H13="NA")," ","HCB   NON     ICU ")</f>
        <v/>
      </c>
      <c r="B131" s="1446"/>
      <c r="C131" s="566" t="str">
        <f>IF(OR('Jeevan Arogya'!$E$13,'Jeevan Arogya'!$H$13="NA")," ",(JACA!T30))</f>
        <v/>
      </c>
      <c r="D131" s="566" t="str">
        <f>IF(OR('Jeevan Arogya'!$E$13,'Jeevan Arogya'!$H$13="NA")," ",(JACA!T31))</f>
        <v/>
      </c>
      <c r="E131" s="566" t="str">
        <f>IF(OR('Jeevan Arogya'!$E$13,'Jeevan Arogya'!$H$13="NA")," ",(JACA!T32))</f>
        <v/>
      </c>
      <c r="F131" s="566" t="str">
        <f>IF(OR('Jeevan Arogya'!$E$13,'Jeevan Arogya'!$H$13="NA")," ",(JACA!T33))</f>
        <v/>
      </c>
      <c r="G131" s="566" t="str">
        <f>IF(OR('Jeevan Arogya'!$E$13,'Jeevan Arogya'!$H$13="NA")," ",(JACA!T34))</f>
        <v/>
      </c>
      <c r="H131" s="566" t="str">
        <f>IF(OR('Jeevan Arogya'!$E$13,'Jeevan Arogya'!$H$13="NA")," ",(JACA!T35))</f>
        <v/>
      </c>
      <c r="I131" s="566" t="str">
        <f>IF(OR('Jeevan Arogya'!$E$13,'Jeevan Arogya'!$H$13="NA")," ",(JACA!T36))</f>
        <v/>
      </c>
      <c r="J131" s="566" t="str">
        <f>IF(OR('Jeevan Arogya'!$E$13,'Jeevan Arogya'!$H$13="NA")," ",(JACA!T37))</f>
        <v/>
      </c>
      <c r="K131" s="1445"/>
      <c r="L131" s="864"/>
      <c r="M131" s="864"/>
      <c r="N131" s="864"/>
      <c r="O131" s="864"/>
      <c r="P131" s="864"/>
    </row>
    <row r="132" spans="1:16" ht="26.25" customHeight="1">
      <c r="A132" s="1446" t="str">
        <f>IF(OR('Jeevan Arogya'!E13,'Jeevan Arogya'!H13="NA")," ","HCB    ICU ")</f>
        <v/>
      </c>
      <c r="B132" s="1446"/>
      <c r="C132" s="566" t="str">
        <f>IF(OR('Jeevan Arogya'!$E$13,'Jeevan Arogya'!$H$13="NA")," ",(C131)*2)</f>
        <v/>
      </c>
      <c r="D132" s="566" t="str">
        <f>IF(OR('Jeevan Arogya'!$E$13,'Jeevan Arogya'!$H$13="NA")," ",(D131)*2)</f>
        <v/>
      </c>
      <c r="E132" s="566" t="str">
        <f>IF(OR('Jeevan Arogya'!$E$13,'Jeevan Arogya'!$H$13="NA")," ",(E131)*2)</f>
        <v/>
      </c>
      <c r="F132" s="566" t="str">
        <f>IF(OR('Jeevan Arogya'!$E$13,'Jeevan Arogya'!$H$13="NA")," ",(F131)*2)</f>
        <v/>
      </c>
      <c r="G132" s="566" t="str">
        <f>IF(OR('Jeevan Arogya'!$E$13,'Jeevan Arogya'!$H$13="NA")," ",(G131)*2)</f>
        <v/>
      </c>
      <c r="H132" s="566" t="str">
        <f>IF(OR('Jeevan Arogya'!$E$13,'Jeevan Arogya'!$H$13="NA")," ",(H131)*2)</f>
        <v/>
      </c>
      <c r="I132" s="566" t="str">
        <f>IF(OR('Jeevan Arogya'!$E$13,'Jeevan Arogya'!$H$13="NA")," ",(I131)*2)</f>
        <v/>
      </c>
      <c r="J132" s="566" t="str">
        <f>IF(OR('Jeevan Arogya'!$E$13,'Jeevan Arogya'!$H$13="NA")," ",(J131)*2)</f>
        <v/>
      </c>
      <c r="K132" s="1445"/>
      <c r="L132" s="864"/>
      <c r="M132" s="864"/>
      <c r="N132" s="864"/>
      <c r="O132" s="864"/>
      <c r="P132" s="864"/>
    </row>
    <row r="133" spans="1:16" ht="26.25" customHeight="1">
      <c r="A133" s="1446" t="str">
        <f>IF(OR('Jeevan Arogya'!E13,'Jeevan Arogya'!H13="NA")," ","MAXIMUM HCB ")</f>
        <v/>
      </c>
      <c r="B133" s="1446"/>
      <c r="C133" s="566" t="str">
        <f>IF(OR('Jeevan Arogya'!$E$13,'Jeevan Arogya'!$H$13="NA")," ",(JACA!F30))</f>
        <v/>
      </c>
      <c r="D133" s="566" t="str">
        <f>IF(OR('Jeevan Arogya'!$E$13,'Jeevan Arogya'!$H$13="NA")," ",(JACA!F31))</f>
        <v/>
      </c>
      <c r="E133" s="566" t="str">
        <f>IF(OR('Jeevan Arogya'!$E$13,'Jeevan Arogya'!$H$13="NA")," ",(JACA!F32))</f>
        <v/>
      </c>
      <c r="F133" s="566" t="str">
        <f>IF(OR('Jeevan Arogya'!$E$13,'Jeevan Arogya'!$H$13="NA")," ",(JACA!F33))</f>
        <v/>
      </c>
      <c r="G133" s="566" t="str">
        <f>IF(OR('Jeevan Arogya'!$E$13,'Jeevan Arogya'!$H$13="NA")," ",(JACA!F34))</f>
        <v/>
      </c>
      <c r="H133" s="566" t="str">
        <f>IF(OR('Jeevan Arogya'!$E$13,'Jeevan Arogya'!$H$13="NA")," ",(JACA!F35))</f>
        <v/>
      </c>
      <c r="I133" s="566" t="str">
        <f>IF(OR('Jeevan Arogya'!$E$13,'Jeevan Arogya'!$H$13="NA")," ",(JACA!F36))</f>
        <v/>
      </c>
      <c r="J133" s="566" t="str">
        <f>IF(OR('Jeevan Arogya'!$E$13,'Jeevan Arogya'!$H$13="NA")," ",(JACA!F37))</f>
        <v/>
      </c>
      <c r="K133" s="565" t="str">
        <f>IF(OR('Jeevan Arogya'!E13,'Jeevan Arogya'!H13="NA")," ",(JACA!F40))</f>
        <v/>
      </c>
      <c r="L133" s="864"/>
      <c r="M133" s="864"/>
      <c r="N133" s="864"/>
      <c r="O133" s="864"/>
      <c r="P133" s="864"/>
    </row>
    <row r="134" spans="1:16" ht="26.25" customHeight="1">
      <c r="A134" s="1446" t="str">
        <f>IF(OR('Jeevan Arogya'!E13,'Jeevan Arogya'!H13="NA")," ","MAXIMUM  MSB")</f>
        <v/>
      </c>
      <c r="B134" s="1446"/>
      <c r="C134" s="566" t="str">
        <f>IF(OR('Jeevan Arogya'!$E$13,'Jeevan Arogya'!$H$13="NA")," ",(JACA!T41))</f>
        <v/>
      </c>
      <c r="D134" s="566" t="str">
        <f>IF(OR('Jeevan Arogya'!$E$13,'Jeevan Arogya'!$H$13="NA")," ",(JACA!T42))</f>
        <v/>
      </c>
      <c r="E134" s="566" t="str">
        <f>IF(OR('Jeevan Arogya'!$E$13,'Jeevan Arogya'!$H$13="NA")," ",(JACA!T43))</f>
        <v/>
      </c>
      <c r="F134" s="566" t="str">
        <f>IF(OR('Jeevan Arogya'!$E$13,'Jeevan Arogya'!$H$13="NA")," ",(JACA!T44))</f>
        <v/>
      </c>
      <c r="G134" s="566" t="str">
        <f>IF(OR('Jeevan Arogya'!$E$13,'Jeevan Arogya'!$H$13="NA")," ",(JACA!T45))</f>
        <v/>
      </c>
      <c r="H134" s="566" t="str">
        <f>IF(OR('Jeevan Arogya'!$E$13,'Jeevan Arogya'!$H$13="NA")," ",(JACA!T46))</f>
        <v/>
      </c>
      <c r="I134" s="566" t="str">
        <f>IF(OR('Jeevan Arogya'!$E$13,'Jeevan Arogya'!$H$13="NA")," ",(JACA!T47))</f>
        <v/>
      </c>
      <c r="J134" s="566" t="str">
        <f>IF(OR('Jeevan Arogya'!$E$13,'Jeevan Arogya'!$H$13="NA")," ",(JACA!T48))</f>
        <v/>
      </c>
      <c r="K134" s="565" t="str">
        <f>IF(OR('Jeevan Arogya'!E13,'Jeevan Arogya'!H13="NA")," ",(JACA!F43))</f>
        <v/>
      </c>
      <c r="L134" s="864"/>
      <c r="M134" s="864"/>
      <c r="N134" s="864"/>
      <c r="O134" s="864"/>
      <c r="P134" s="864"/>
    </row>
    <row r="135" spans="1:16" ht="26.25" customHeight="1">
      <c r="A135" s="1446" t="str">
        <f>IF(OR('Jeevan Arogya'!E13,'Jeevan Arogya'!H13="NA")," ","DCPB ")</f>
        <v/>
      </c>
      <c r="B135" s="1446"/>
      <c r="C135" s="566" t="str">
        <f>IF(OR('Jeevan Arogya'!$E$13,'Jeevan Arogya'!$H$13="NA")," ",(JACA!F45))</f>
        <v/>
      </c>
      <c r="D135" s="566" t="str">
        <f>IF(OR('Jeevan Arogya'!$E$13,'Jeevan Arogya'!$H$13="NA")," ",(JACA!F46))</f>
        <v/>
      </c>
      <c r="E135" s="566" t="str">
        <f>IF(OR('Jeevan Arogya'!$E$13,'Jeevan Arogya'!$H$13="NA")," ",(JACA!F47))</f>
        <v/>
      </c>
      <c r="F135" s="566" t="str">
        <f>IF(OR('Jeevan Arogya'!$E$13,'Jeevan Arogya'!$H$13="NA")," ",(JACA!F48))</f>
        <v/>
      </c>
      <c r="G135" s="566" t="str">
        <f>IF(OR('Jeevan Arogya'!$E$13,'Jeevan Arogya'!$H$13="NA")," ",(JACA!F49))</f>
        <v/>
      </c>
      <c r="H135" s="566" t="str">
        <f>IF(OR('Jeevan Arogya'!$E$13,'Jeevan Arogya'!$H$13="NA")," ",(JACA!F50))</f>
        <v/>
      </c>
      <c r="I135" s="566" t="str">
        <f>IF(OR('Jeevan Arogya'!$E$13,'Jeevan Arogya'!$H$13="NA")," ",(JACA!F51))</f>
        <v/>
      </c>
      <c r="J135" s="566" t="str">
        <f>IF(OR('Jeevan Arogya'!$E$13,'Jeevan Arogya'!$H$13="NA")," ",(JACA!F52))</f>
        <v/>
      </c>
      <c r="K135" s="565" t="str">
        <f>IF(OR('Jeevan Arogya'!E13,'Jeevan Arogya'!H13="NA")," ",(JACA!F53))</f>
        <v/>
      </c>
      <c r="L135" s="864"/>
      <c r="M135" s="864"/>
      <c r="N135" s="864"/>
      <c r="O135" s="864"/>
      <c r="P135" s="864"/>
    </row>
    <row r="136" spans="1:16" ht="33.75" customHeight="1">
      <c r="A136" s="1446" t="str">
        <f>IF(OR('Jeevan Arogya'!E13,'Jeevan Arogya'!H13="NA")," ","OSB")</f>
        <v/>
      </c>
      <c r="B136" s="1446"/>
      <c r="C136" s="566" t="str">
        <f>IF(OR('Jeevan Arogya'!$E$13,'Jeevan Arogya'!$H$13="NA")," ",(JACA!F55))</f>
        <v/>
      </c>
      <c r="D136" s="566" t="str">
        <f>IF(OR('Jeevan Arogya'!$E$13,'Jeevan Arogya'!$H$13="NA")," ",(JACA!F56))</f>
        <v/>
      </c>
      <c r="E136" s="566" t="str">
        <f>IF(OR('Jeevan Arogya'!$E$13,'Jeevan Arogya'!$H$13="NA")," ",(JACA!F57))</f>
        <v/>
      </c>
      <c r="F136" s="566" t="str">
        <f>IF(OR('Jeevan Arogya'!$E$13,'Jeevan Arogya'!$H$13="NA")," ",(JACA!F58))</f>
        <v/>
      </c>
      <c r="G136" s="566" t="str">
        <f>IF(OR('Jeevan Arogya'!$E$13,'Jeevan Arogya'!$H$13="NA")," ",(JACA!F59))</f>
        <v/>
      </c>
      <c r="H136" s="566" t="str">
        <f>IF(OR('Jeevan Arogya'!$E$13,'Jeevan Arogya'!$H$13="NA")," ",(JACA!F60))</f>
        <v/>
      </c>
      <c r="I136" s="566" t="str">
        <f>IF(OR('Jeevan Arogya'!$E$13,'Jeevan Arogya'!$H$13="NA")," ",(JACA!F61))</f>
        <v/>
      </c>
      <c r="J136" s="566" t="str">
        <f>IF(OR('Jeevan Arogya'!$E$13,'Jeevan Arogya'!$H$13="NA")," ",(JACA!F62))</f>
        <v/>
      </c>
      <c r="K136" s="565" t="str">
        <f>IF(OR('Jeevan Arogya'!E13,'Jeevan Arogya'!H13="NA")," ",(JACA!F64))</f>
        <v/>
      </c>
      <c r="L136" s="864"/>
      <c r="M136" s="864"/>
      <c r="N136" s="864"/>
      <c r="O136" s="864"/>
      <c r="P136" s="864"/>
    </row>
    <row r="137" spans="1:16" ht="12.75" customHeight="1">
      <c r="A137" s="864"/>
      <c r="B137" s="864"/>
      <c r="C137" s="864"/>
      <c r="D137" s="864"/>
      <c r="E137" s="864"/>
      <c r="F137" s="864"/>
      <c r="G137" s="864"/>
      <c r="H137" s="864"/>
      <c r="I137" s="864"/>
      <c r="J137" s="864"/>
      <c r="K137" s="864"/>
      <c r="L137" s="864"/>
      <c r="M137" s="864"/>
      <c r="N137" s="864"/>
      <c r="O137" s="864"/>
      <c r="P137" s="864"/>
    </row>
    <row r="138" spans="1:16" ht="12.75" customHeight="1">
      <c r="A138" s="864"/>
      <c r="B138" s="864"/>
      <c r="C138" s="864"/>
      <c r="D138" s="864"/>
      <c r="E138" s="864"/>
      <c r="F138" s="864"/>
      <c r="G138" s="864"/>
      <c r="H138" s="864"/>
      <c r="I138" s="864"/>
      <c r="J138" s="864"/>
      <c r="K138" s="864"/>
      <c r="L138" s="864"/>
      <c r="M138" s="864"/>
      <c r="N138" s="864"/>
      <c r="O138" s="864"/>
      <c r="P138" s="864"/>
    </row>
    <row r="139" spans="1:16">
      <c r="A139" s="864"/>
      <c r="B139" s="864"/>
      <c r="C139" s="864"/>
      <c r="D139" s="864"/>
      <c r="E139" s="864"/>
      <c r="F139" s="864"/>
      <c r="G139" s="864"/>
      <c r="H139" s="864"/>
      <c r="I139" s="864"/>
      <c r="J139" s="864"/>
      <c r="K139" s="864"/>
      <c r="L139" s="864"/>
      <c r="M139" s="864"/>
      <c r="N139" s="864"/>
      <c r="O139" s="864"/>
      <c r="P139" s="864"/>
    </row>
    <row r="140" spans="1:16" ht="9.75" customHeight="1">
      <c r="A140" s="864"/>
      <c r="B140" s="864"/>
      <c r="C140" s="864"/>
      <c r="D140" s="864"/>
      <c r="E140" s="864"/>
      <c r="F140" s="864"/>
      <c r="G140" s="864"/>
      <c r="H140" s="864"/>
      <c r="I140" s="864"/>
      <c r="J140" s="864"/>
      <c r="K140" s="864"/>
      <c r="L140" s="864"/>
      <c r="M140" s="864"/>
      <c r="N140" s="864"/>
      <c r="O140" s="864"/>
      <c r="P140" s="864"/>
    </row>
    <row r="141" spans="1:16" ht="12.75" customHeight="1">
      <c r="A141" s="1448" t="str">
        <f>IF(OR('Jeevan Arogya'!E14,'Jeevan Arogya'!H14="NA")," ",(A70))</f>
        <v/>
      </c>
      <c r="B141" s="1448"/>
      <c r="C141" s="1448" t="str">
        <f>IF(OR('Jeevan Arogya'!E14,'Jeevan Arogya'!H14="NA")," ",(C70))</f>
        <v/>
      </c>
      <c r="D141" s="1448"/>
      <c r="E141" s="1448"/>
      <c r="F141" s="1448"/>
      <c r="G141" s="1448"/>
      <c r="H141" s="1448"/>
      <c r="I141" s="1448"/>
      <c r="J141" s="1448"/>
      <c r="K141" s="864"/>
      <c r="L141" s="864"/>
      <c r="M141" s="864"/>
      <c r="N141" s="864"/>
      <c r="O141" s="864"/>
      <c r="P141" s="864"/>
    </row>
    <row r="142" spans="1:16" ht="12.75" customHeight="1">
      <c r="A142" s="1448"/>
      <c r="B142" s="1448"/>
      <c r="C142" s="1448"/>
      <c r="D142" s="1448"/>
      <c r="E142" s="1448"/>
      <c r="F142" s="1448"/>
      <c r="G142" s="1448"/>
      <c r="H142" s="1448"/>
      <c r="I142" s="1448"/>
      <c r="J142" s="1448"/>
      <c r="K142" s="864"/>
      <c r="L142" s="864"/>
      <c r="M142" s="864"/>
      <c r="N142" s="864"/>
      <c r="O142" s="864"/>
      <c r="P142" s="864"/>
    </row>
    <row r="143" spans="1:16" ht="16.5" customHeight="1">
      <c r="A143" s="1448" t="str">
        <f>IF(OR('Jeevan Arogya'!E14,'Jeevan Arogya'!H14="NA")," ",(A72))</f>
        <v/>
      </c>
      <c r="B143" s="1448"/>
      <c r="C143" s="852" t="str">
        <f>IF(OR('Jeevan Arogya'!$E$14,'Jeevan Arogya'!$H$14="NA")," ",(C72))</f>
        <v/>
      </c>
      <c r="D143" s="852" t="str">
        <f>IF(OR('Jeevan Arogya'!$E$14,'Jeevan Arogya'!$H$14="NA")," ",(D72))</f>
        <v/>
      </c>
      <c r="E143" s="852" t="str">
        <f>IF(OR('Jeevan Arogya'!$E$14,'Jeevan Arogya'!$H$14="NA")," ",(E72))</f>
        <v/>
      </c>
      <c r="F143" s="852" t="str">
        <f>IF(OR('Jeevan Arogya'!$E$14,'Jeevan Arogya'!$H$14="NA")," ",(F72))</f>
        <v/>
      </c>
      <c r="G143" s="852" t="str">
        <f>IF(OR('Jeevan Arogya'!$E$14,'Jeevan Arogya'!$H$14="NA")," ",(G72))</f>
        <v/>
      </c>
      <c r="H143" s="852" t="str">
        <f>IF(OR('Jeevan Arogya'!$E$14,'Jeevan Arogya'!$H$14="NA")," ",(H72))</f>
        <v/>
      </c>
      <c r="I143" s="852" t="str">
        <f>IF(OR('Jeevan Arogya'!$E$14,'Jeevan Arogya'!$H$14="NA")," ",(I72))</f>
        <v/>
      </c>
      <c r="J143" s="852" t="str">
        <f>IF(OR('Jeevan Arogya'!$E$14,'Jeevan Arogya'!$H$14="NA")," ",(J72))</f>
        <v/>
      </c>
      <c r="K143" s="852"/>
      <c r="L143" s="864"/>
      <c r="M143" s="864"/>
      <c r="N143" s="864"/>
      <c r="O143" s="864"/>
      <c r="P143" s="864"/>
    </row>
    <row r="144" spans="1:16" ht="3" customHeight="1">
      <c r="A144" s="852"/>
      <c r="B144" s="852"/>
      <c r="C144" s="852"/>
      <c r="D144" s="852"/>
      <c r="E144" s="852"/>
      <c r="F144" s="852"/>
      <c r="G144" s="852"/>
      <c r="H144" s="852"/>
      <c r="I144" s="852"/>
      <c r="J144" s="852"/>
      <c r="K144" s="852"/>
      <c r="L144" s="864"/>
      <c r="M144" s="864"/>
      <c r="N144" s="864"/>
      <c r="O144" s="864"/>
      <c r="P144" s="864"/>
    </row>
    <row r="145" spans="1:16" ht="16.5" customHeight="1">
      <c r="A145" s="852"/>
      <c r="B145" s="852"/>
      <c r="C145" s="852"/>
      <c r="D145" s="1448" t="str">
        <f>IF(OR('Jeevan Arogya'!E14,'Jeevan Arogya'!H14="NA")," ",('Jeevan Arogya'!C14))</f>
        <v/>
      </c>
      <c r="E145" s="1448"/>
      <c r="F145" s="1448"/>
      <c r="G145" s="1448"/>
      <c r="H145" s="852"/>
      <c r="I145" s="852"/>
      <c r="J145" s="852"/>
      <c r="K145" s="852"/>
      <c r="L145" s="864"/>
      <c r="M145" s="864"/>
      <c r="N145" s="864"/>
      <c r="O145" s="864"/>
      <c r="P145" s="864"/>
    </row>
    <row r="146" spans="1:16" ht="2.25" hidden="1" customHeight="1">
      <c r="A146" s="864"/>
      <c r="B146" s="864"/>
      <c r="C146" s="864"/>
      <c r="D146" s="864"/>
      <c r="E146" s="864"/>
      <c r="F146" s="864"/>
      <c r="G146" s="864"/>
      <c r="H146" s="864"/>
      <c r="I146" s="864"/>
      <c r="J146" s="864"/>
      <c r="K146" s="864"/>
      <c r="L146" s="864"/>
      <c r="M146" s="864"/>
      <c r="N146" s="864"/>
      <c r="O146" s="864"/>
      <c r="P146" s="864"/>
    </row>
    <row r="147" spans="1:16" ht="18.75" customHeight="1">
      <c r="A147" s="854" t="str">
        <f>IF(OR('Jeevan Arogya'!E14,'Jeevan Arogya'!H14="NA")," ",('Jeevan Arogya'!D14))</f>
        <v/>
      </c>
      <c r="B147" s="1450" t="str">
        <f>IF(OR('Jeevan Arogya'!E14,'Jeevan Arogya'!H14="NA")," ",('Jeevan Arogya'!E14))</f>
        <v/>
      </c>
      <c r="C147" s="1450"/>
      <c r="D147" s="1450"/>
      <c r="E147" s="1450"/>
      <c r="F147" s="853" t="str">
        <f>IF(OR('Jeevan Arogya'!E14,'Jeevan Arogya'!H14="NA")," ","AGE")</f>
        <v/>
      </c>
      <c r="G147" s="857" t="str">
        <f>IF(OR('Jeevan Arogya'!E14,'Jeevan Arogya'!H14="NA")," ",(JACA!G6))</f>
        <v/>
      </c>
      <c r="H147" s="1448" t="str">
        <f>IF(OR('Jeevan Arogya'!E14,'Jeevan Arogya'!H14="NA")," ","PREMIUM Rs.")</f>
        <v/>
      </c>
      <c r="I147" s="1448"/>
      <c r="J147" s="1449" t="str">
        <f>IF(OR('Jeevan Arogya'!E14,'Jeevan Arogya'!H14="NA")," ",'Jeevan Arogya'!R14)</f>
        <v/>
      </c>
      <c r="K147" s="1449"/>
      <c r="L147" s="864"/>
      <c r="M147" s="864"/>
      <c r="N147" s="864"/>
      <c r="O147" s="864"/>
      <c r="P147" s="864"/>
    </row>
    <row r="148" spans="1:16" ht="12.75" customHeight="1">
      <c r="A148" s="1450" t="str">
        <f>IF(OR('Jeevan Arogya'!E14,'Jeevan Arogya'!H14="NA")," ","AGE")</f>
        <v/>
      </c>
      <c r="B148" s="1450"/>
      <c r="C148" s="852" t="str">
        <f>IF(OR('Jeevan Arogya'!E14,'Jeevan Arogya'!H14="NA")," ",(G147))</f>
        <v/>
      </c>
      <c r="D148" s="852" t="str">
        <f>IF(OR('Jeevan Arogya'!$E$14,'Jeevan Arogya'!$H$14="NA")," ",($G$147+1))</f>
        <v/>
      </c>
      <c r="E148" s="852" t="str">
        <f>IF(OR('Jeevan Arogya'!$E$14,'Jeevan Arogya'!$H$14="NA")," ",($G$147+2))</f>
        <v/>
      </c>
      <c r="F148" s="852" t="str">
        <f>IF(OR('Jeevan Arogya'!$E$14,'Jeevan Arogya'!$H$14="NA")," ",($G$147+3))</f>
        <v/>
      </c>
      <c r="G148" s="852" t="str">
        <f>IF(OR('Jeevan Arogya'!$E$14,'Jeevan Arogya'!$H$14="NA")," ",($G$147+4))</f>
        <v/>
      </c>
      <c r="H148" s="852" t="str">
        <f>IF(OR('Jeevan Arogya'!$E$14,'Jeevan Arogya'!$H$14="NA")," ",($G$147+5))</f>
        <v/>
      </c>
      <c r="I148" s="852" t="str">
        <f>IF(OR('Jeevan Arogya'!$E$14,'Jeevan Arogya'!$H$14="NA")," ",($G$147+6))</f>
        <v/>
      </c>
      <c r="J148" s="852" t="str">
        <f>IF(OR('Jeevan Arogya'!$E$14,'Jeevan Arogya'!$H$14="NA")," ",($G$147+7))</f>
        <v/>
      </c>
      <c r="K148" s="1445" t="str">
        <f>IF(OR('Jeevan Arogya'!E14,'Jeevan Arogya'!H14="NA")," ","MAXIMUM  BENEFITS     (LIFE TIME)")</f>
        <v/>
      </c>
      <c r="L148" s="864"/>
      <c r="M148" s="864"/>
      <c r="N148" s="864"/>
      <c r="O148" s="864"/>
      <c r="P148" s="864"/>
    </row>
    <row r="149" spans="1:16" ht="20.25" customHeight="1">
      <c r="A149" s="1446" t="str">
        <f>IF(OR('Jeevan Arogya'!E14,'Jeevan Arogya'!H14="NA")," ","HCB   NON     ICU ")</f>
        <v/>
      </c>
      <c r="B149" s="1446"/>
      <c r="C149" s="566" t="str">
        <f>IF(OR('Jeevan Arogya'!$E$14,'Jeevan Arogya'!$H$14="NA")," ",(JACA!V30))</f>
        <v/>
      </c>
      <c r="D149" s="566" t="str">
        <f>IF(OR('Jeevan Arogya'!$E$14,'Jeevan Arogya'!$H$14="NA")," ",(JACA!V31))</f>
        <v/>
      </c>
      <c r="E149" s="566" t="str">
        <f>IF(OR('Jeevan Arogya'!$E$14,'Jeevan Arogya'!$H$14="NA")," ",(JACA!V32))</f>
        <v/>
      </c>
      <c r="F149" s="566" t="str">
        <f>IF(OR('Jeevan Arogya'!$E$14,'Jeevan Arogya'!$H$14="NA")," ",(JACA!V33))</f>
        <v/>
      </c>
      <c r="G149" s="566" t="str">
        <f>IF(OR('Jeevan Arogya'!$E$14,'Jeevan Arogya'!$H$14="NA")," ",(JACA!V34))</f>
        <v/>
      </c>
      <c r="H149" s="566" t="str">
        <f>IF(OR('Jeevan Arogya'!$E$14,'Jeevan Arogya'!$H$14="NA")," ",(JACA!V35))</f>
        <v/>
      </c>
      <c r="I149" s="566" t="str">
        <f>IF(OR('Jeevan Arogya'!$E$14,'Jeevan Arogya'!$H$14="NA")," ",(JACA!V36))</f>
        <v/>
      </c>
      <c r="J149" s="566" t="str">
        <f>IF(OR('Jeevan Arogya'!$E$14,'Jeevan Arogya'!$H$14="NA")," ",(JACA!V37))</f>
        <v/>
      </c>
      <c r="K149" s="1445"/>
      <c r="L149" s="864"/>
      <c r="M149" s="864"/>
      <c r="N149" s="864"/>
      <c r="O149" s="864"/>
      <c r="P149" s="864"/>
    </row>
    <row r="150" spans="1:16" ht="20.25" customHeight="1">
      <c r="A150" s="1446" t="str">
        <f>IF(OR('Jeevan Arogya'!E14,'Jeevan Arogya'!H14="NA")," ","HCB    ICU ")</f>
        <v/>
      </c>
      <c r="B150" s="1446"/>
      <c r="C150" s="566" t="str">
        <f>IF(OR('Jeevan Arogya'!$E$14,'Jeevan Arogya'!$H$14="NA")," ",(C149)*2)</f>
        <v/>
      </c>
      <c r="D150" s="566" t="str">
        <f>IF(OR('Jeevan Arogya'!$E$14,'Jeevan Arogya'!$H$14="NA")," ",(D149)*2)</f>
        <v/>
      </c>
      <c r="E150" s="566" t="str">
        <f>IF(OR('Jeevan Arogya'!$E$14,'Jeevan Arogya'!$H$14="NA")," ",(E149)*2)</f>
        <v/>
      </c>
      <c r="F150" s="566" t="str">
        <f>IF(OR('Jeevan Arogya'!$E$14,'Jeevan Arogya'!$H$14="NA")," ",(F149)*2)</f>
        <v/>
      </c>
      <c r="G150" s="566" t="str">
        <f>IF(OR('Jeevan Arogya'!$E$14,'Jeevan Arogya'!$H$14="NA")," ",(G149)*2)</f>
        <v/>
      </c>
      <c r="H150" s="566" t="str">
        <f>IF(OR('Jeevan Arogya'!$E$14,'Jeevan Arogya'!$H$14="NA")," ",(H149)*2)</f>
        <v/>
      </c>
      <c r="I150" s="566" t="str">
        <f>IF(OR('Jeevan Arogya'!$E$14,'Jeevan Arogya'!$H$14="NA")," ",(I149)*2)</f>
        <v/>
      </c>
      <c r="J150" s="566" t="str">
        <f>IF(OR('Jeevan Arogya'!$E$14,'Jeevan Arogya'!$H$14="NA")," ",(J149)*2)</f>
        <v/>
      </c>
      <c r="K150" s="1445"/>
      <c r="L150" s="864"/>
      <c r="M150" s="864"/>
      <c r="N150" s="864"/>
      <c r="O150" s="864"/>
      <c r="P150" s="864"/>
    </row>
    <row r="151" spans="1:16" ht="24" customHeight="1">
      <c r="A151" s="1446" t="str">
        <f>IF(OR('Jeevan Arogya'!E14,'Jeevan Arogya'!H14="NA")," ","MAXIMUM HCB ")</f>
        <v/>
      </c>
      <c r="B151" s="1446"/>
      <c r="C151" s="566" t="str">
        <f>IF(OR('Jeevan Arogya'!$E$14,'Jeevan Arogya'!$H$14="NA")," ",(JACA!G30))</f>
        <v/>
      </c>
      <c r="D151" s="566" t="str">
        <f>IF(OR('Jeevan Arogya'!$E$14,'Jeevan Arogya'!$H$14="NA")," ",(JACA!G31))</f>
        <v/>
      </c>
      <c r="E151" s="566" t="str">
        <f>IF(OR('Jeevan Arogya'!$E$14,'Jeevan Arogya'!$H$14="NA")," ",(JACA!G32))</f>
        <v/>
      </c>
      <c r="F151" s="566" t="str">
        <f>IF(OR('Jeevan Arogya'!$E$14,'Jeevan Arogya'!$H$14="NA")," ",(JACA!G33))</f>
        <v/>
      </c>
      <c r="G151" s="566" t="str">
        <f>IF(OR('Jeevan Arogya'!$E$14,'Jeevan Arogya'!$H$14="NA")," ",(JACA!G34))</f>
        <v/>
      </c>
      <c r="H151" s="566" t="str">
        <f>IF(OR('Jeevan Arogya'!$E$14,'Jeevan Arogya'!$H$14="NA")," ",(JACA!G35))</f>
        <v/>
      </c>
      <c r="I151" s="566" t="str">
        <f>IF(OR('Jeevan Arogya'!$E$14,'Jeevan Arogya'!$H$14="NA")," ",(JACA!G36))</f>
        <v/>
      </c>
      <c r="J151" s="566" t="str">
        <f>IF(OR('Jeevan Arogya'!$E$14,'Jeevan Arogya'!$H$14="NA")," ",(JACA!G37))</f>
        <v/>
      </c>
      <c r="K151" s="565" t="str">
        <f>IF(OR('Jeevan Arogya'!E14,'Jeevan Arogya'!H14="NA")," ",(JACA!G40))</f>
        <v/>
      </c>
      <c r="L151" s="864"/>
      <c r="M151" s="864"/>
      <c r="N151" s="864"/>
      <c r="O151" s="864"/>
      <c r="P151" s="864"/>
    </row>
    <row r="152" spans="1:16" ht="26.25" customHeight="1">
      <c r="A152" s="1446" t="str">
        <f>IF(OR('Jeevan Arogya'!E14,'Jeevan Arogya'!H14="NA")," ","MAXIMUM  MSB")</f>
        <v/>
      </c>
      <c r="B152" s="1446"/>
      <c r="C152" s="566" t="str">
        <f>IF(OR('Jeevan Arogya'!$E$14,'Jeevan Arogya'!$H$14="NA")," ",(JACA!V41))</f>
        <v/>
      </c>
      <c r="D152" s="566" t="str">
        <f>IF(OR('Jeevan Arogya'!$E$14,'Jeevan Arogya'!$H$14="NA")," ",(JACA!V42))</f>
        <v/>
      </c>
      <c r="E152" s="566" t="str">
        <f>IF(OR('Jeevan Arogya'!$E$14,'Jeevan Arogya'!$H$14="NA")," ",(JACA!V43))</f>
        <v/>
      </c>
      <c r="F152" s="566" t="str">
        <f>IF(OR('Jeevan Arogya'!$E$14,'Jeevan Arogya'!$H$14="NA")," ",(JACA!V44))</f>
        <v/>
      </c>
      <c r="G152" s="566" t="str">
        <f>IF(OR('Jeevan Arogya'!$E$14,'Jeevan Arogya'!$H$14="NA")," ",(JACA!V45))</f>
        <v/>
      </c>
      <c r="H152" s="566" t="str">
        <f>IF(OR('Jeevan Arogya'!$E$14,'Jeevan Arogya'!$H$14="NA")," ",(JACA!V46))</f>
        <v/>
      </c>
      <c r="I152" s="566" t="str">
        <f>IF(OR('Jeevan Arogya'!$E$14,'Jeevan Arogya'!$H$14="NA")," ",(JACA!V47))</f>
        <v/>
      </c>
      <c r="J152" s="566" t="str">
        <f>IF(OR('Jeevan Arogya'!$E$14,'Jeevan Arogya'!$H$14="NA")," ",(JACA!V48))</f>
        <v/>
      </c>
      <c r="K152" s="565" t="str">
        <f>IF(OR('Jeevan Arogya'!E14,'Jeevan Arogya'!H14="NA")," ",(JACA!G43))</f>
        <v/>
      </c>
      <c r="L152" s="864"/>
      <c r="M152" s="864"/>
      <c r="N152" s="864"/>
      <c r="O152" s="864"/>
      <c r="P152" s="864"/>
    </row>
    <row r="153" spans="1:16" ht="26.25" customHeight="1">
      <c r="A153" s="1446" t="str">
        <f>IF(OR('Jeevan Arogya'!E14,'Jeevan Arogya'!H14="NA")," ","DCPB ")</f>
        <v/>
      </c>
      <c r="B153" s="1446"/>
      <c r="C153" s="566" t="str">
        <f>IF(OR('Jeevan Arogya'!$E$14,'Jeevan Arogya'!$H$14="NA")," ",(JACA!G45))</f>
        <v/>
      </c>
      <c r="D153" s="566" t="str">
        <f>IF(OR('Jeevan Arogya'!$E$14,'Jeevan Arogya'!$H$14="NA")," ",(JACA!G46))</f>
        <v/>
      </c>
      <c r="E153" s="566" t="str">
        <f>IF(OR('Jeevan Arogya'!$E$14,'Jeevan Arogya'!$H$14="NA")," ",(JACA!G47))</f>
        <v/>
      </c>
      <c r="F153" s="566" t="str">
        <f>IF(OR('Jeevan Arogya'!$E$14,'Jeevan Arogya'!$H$14="NA")," ",(JACA!G48))</f>
        <v/>
      </c>
      <c r="G153" s="566" t="str">
        <f>IF(OR('Jeevan Arogya'!$E$14,'Jeevan Arogya'!$H$14="NA")," ",(JACA!G49))</f>
        <v/>
      </c>
      <c r="H153" s="566" t="str">
        <f>IF(OR('Jeevan Arogya'!$E$14,'Jeevan Arogya'!$H$14="NA")," ",(JACA!G50))</f>
        <v/>
      </c>
      <c r="I153" s="566" t="str">
        <f>IF(OR('Jeevan Arogya'!$E$14,'Jeevan Arogya'!$H$14="NA")," ",(JACA!G51))</f>
        <v/>
      </c>
      <c r="J153" s="566" t="str">
        <f>IF(OR('Jeevan Arogya'!$E$14,'Jeevan Arogya'!$H$14="NA")," ",(JACA!G52))</f>
        <v/>
      </c>
      <c r="K153" s="565" t="str">
        <f>IF(OR('Jeevan Arogya'!E14,'Jeevan Arogya'!H14="NA")," ",(JACA!G53))</f>
        <v/>
      </c>
      <c r="L153" s="864"/>
      <c r="M153" s="864"/>
      <c r="N153" s="864"/>
      <c r="O153" s="864"/>
      <c r="P153" s="864"/>
    </row>
    <row r="154" spans="1:16" ht="26.25" customHeight="1">
      <c r="A154" s="1446" t="str">
        <f>IF(OR('Jeevan Arogya'!E14,'Jeevan Arogya'!H14="NA")," ","OSB ")</f>
        <v/>
      </c>
      <c r="B154" s="1446"/>
      <c r="C154" s="566" t="str">
        <f>IF(OR('Jeevan Arogya'!$E$14,'Jeevan Arogya'!$H$14="NA")," ",(JACA!G55))</f>
        <v/>
      </c>
      <c r="D154" s="566" t="str">
        <f>IF(OR('Jeevan Arogya'!$E$14,'Jeevan Arogya'!$H$14="NA")," ",(JACA!G56))</f>
        <v/>
      </c>
      <c r="E154" s="566" t="str">
        <f>IF(OR('Jeevan Arogya'!$E$14,'Jeevan Arogya'!$H$14="NA")," ",(JACA!G57))</f>
        <v/>
      </c>
      <c r="F154" s="566" t="str">
        <f>IF(OR('Jeevan Arogya'!$E$14,'Jeevan Arogya'!$H$14="NA")," ",(JACA!G58))</f>
        <v/>
      </c>
      <c r="G154" s="566" t="str">
        <f>IF(OR('Jeevan Arogya'!$E$14,'Jeevan Arogya'!$H$14="NA")," ",(JACA!G59))</f>
        <v/>
      </c>
      <c r="H154" s="566" t="str">
        <f>IF(OR('Jeevan Arogya'!$E$14,'Jeevan Arogya'!$H$14="NA")," ",(JACA!G60))</f>
        <v/>
      </c>
      <c r="I154" s="566" t="str">
        <f>IF(OR('Jeevan Arogya'!$E$14,'Jeevan Arogya'!$H$14="NA")," ",(JACA!G61))</f>
        <v/>
      </c>
      <c r="J154" s="566" t="str">
        <f>IF(OR('Jeevan Arogya'!$E$14,'Jeevan Arogya'!$H$14="NA")," ",(JACA!G62))</f>
        <v/>
      </c>
      <c r="K154" s="565" t="str">
        <f>IF(OR('Jeevan Arogya'!E14,'Jeevan Arogya'!H14="NA")," ",(JACA!G64))</f>
        <v/>
      </c>
      <c r="L154" s="864"/>
      <c r="M154" s="864"/>
      <c r="N154" s="864"/>
      <c r="O154" s="864"/>
      <c r="P154" s="864"/>
    </row>
    <row r="155" spans="1:16" ht="4.5" customHeight="1">
      <c r="A155" s="864"/>
      <c r="B155" s="864"/>
      <c r="C155" s="864"/>
      <c r="D155" s="864"/>
      <c r="E155" s="864"/>
      <c r="F155" s="864"/>
      <c r="G155" s="864"/>
      <c r="H155" s="864"/>
      <c r="I155" s="864"/>
      <c r="J155" s="864"/>
      <c r="K155" s="864"/>
      <c r="L155" s="864"/>
      <c r="M155" s="864"/>
      <c r="N155" s="864"/>
      <c r="O155" s="864"/>
      <c r="P155" s="864"/>
    </row>
    <row r="156" spans="1:16" ht="6.75" hidden="1" customHeight="1">
      <c r="A156" s="864"/>
      <c r="B156" s="864"/>
      <c r="C156" s="864"/>
      <c r="D156" s="864"/>
      <c r="E156" s="864"/>
      <c r="F156" s="864"/>
      <c r="G156" s="864"/>
      <c r="H156" s="864"/>
      <c r="I156" s="864"/>
      <c r="J156" s="864"/>
      <c r="K156" s="864"/>
      <c r="L156" s="864"/>
      <c r="M156" s="864"/>
      <c r="N156" s="864"/>
      <c r="O156" s="864"/>
      <c r="P156" s="864"/>
    </row>
    <row r="157" spans="1:16" ht="17.25" customHeight="1">
      <c r="A157" s="864"/>
      <c r="B157" s="864"/>
      <c r="C157" s="864"/>
      <c r="D157" s="1448" t="str">
        <f>IF(OR('Jeevan Arogya'!E15,'Jeevan Arogya'!H15="NA")," ",('Jeevan Arogya'!C15))</f>
        <v/>
      </c>
      <c r="E157" s="1448"/>
      <c r="F157" s="1448"/>
      <c r="G157" s="1448"/>
      <c r="H157" s="864"/>
      <c r="I157" s="864"/>
      <c r="J157" s="864"/>
      <c r="K157" s="864"/>
      <c r="L157" s="864"/>
      <c r="M157" s="864"/>
      <c r="N157" s="864"/>
      <c r="O157" s="864"/>
      <c r="P157" s="864"/>
    </row>
    <row r="158" spans="1:16" ht="1.5" customHeight="1">
      <c r="A158" s="864"/>
      <c r="B158" s="864"/>
      <c r="C158" s="864"/>
      <c r="D158" s="864"/>
      <c r="E158" s="864"/>
      <c r="F158" s="864"/>
      <c r="G158" s="864"/>
      <c r="H158" s="864"/>
      <c r="I158" s="864"/>
      <c r="J158" s="864"/>
      <c r="K158" s="864"/>
      <c r="L158" s="864"/>
      <c r="M158" s="864"/>
      <c r="N158" s="864"/>
      <c r="O158" s="864"/>
      <c r="P158" s="864"/>
    </row>
    <row r="159" spans="1:16" ht="12.75" customHeight="1">
      <c r="A159" s="567" t="str">
        <f>IF(OR('Jeevan Arogya'!E15,'Jeevan Arogya'!H15="NA")," ",('Jeevan Arogya'!D15))</f>
        <v/>
      </c>
      <c r="B159" s="1453" t="str">
        <f>IF(OR('Jeevan Arogya'!E15,'Jeevan Arogya'!H15="NA")," ",('Jeevan Arogya'!E15))</f>
        <v/>
      </c>
      <c r="C159" s="1453"/>
      <c r="D159" s="1453"/>
      <c r="E159" s="1453"/>
      <c r="F159" s="853" t="str">
        <f>IF(OR('Jeevan Arogya'!E15,'Jeevan Arogya'!H15="NA")," ","AGE")</f>
        <v/>
      </c>
      <c r="G159" s="857" t="str">
        <f>IF(OR('Jeevan Arogya'!E15,'Jeevan Arogya'!H15="NA")," ",(JACA!H6))</f>
        <v/>
      </c>
      <c r="H159" s="1451" t="str">
        <f>IF(OR('Jeevan Arogya'!E15,'Jeevan Arogya'!H15="NA")," ","PREMIUM Rs.")</f>
        <v/>
      </c>
      <c r="I159" s="1451"/>
      <c r="J159" s="1452" t="str">
        <f>IF(OR('Jeevan Arogya'!E15,'Jeevan Arogya'!H15="NA")," ",'Jeevan Arogya'!R15)</f>
        <v/>
      </c>
      <c r="K159" s="1452"/>
      <c r="L159" s="864"/>
      <c r="M159" s="864"/>
      <c r="N159" s="864"/>
      <c r="O159" s="864"/>
      <c r="P159" s="864"/>
    </row>
    <row r="160" spans="1:16" ht="16.5" customHeight="1">
      <c r="A160" s="1450" t="str">
        <f>IF(OR('Jeevan Arogya'!E15,'Jeevan Arogya'!H15="NA")," ","AGE")</f>
        <v/>
      </c>
      <c r="B160" s="1450"/>
      <c r="C160" s="852" t="str">
        <f>IF(OR('Jeevan Arogya'!E15,'Jeevan Arogya'!H15="NA")," ",(G159))</f>
        <v/>
      </c>
      <c r="D160" s="852" t="str">
        <f>IF(OR('Jeevan Arogya'!$E$15,'Jeevan Arogya'!$H$15="NA")," ",($G$159+1))</f>
        <v/>
      </c>
      <c r="E160" s="852" t="str">
        <f>IF(OR('Jeevan Arogya'!$E$15,'Jeevan Arogya'!$H$15="NA")," ",($G$159+2))</f>
        <v/>
      </c>
      <c r="F160" s="852" t="str">
        <f>IF(OR('Jeevan Arogya'!$E$15,'Jeevan Arogya'!$H$15="NA")," ",($G$159+3))</f>
        <v/>
      </c>
      <c r="G160" s="852" t="str">
        <f>IF(OR('Jeevan Arogya'!$E$15,'Jeevan Arogya'!$H$15="NA")," ",($G$159+4))</f>
        <v/>
      </c>
      <c r="H160" s="852" t="str">
        <f>IF(OR('Jeevan Arogya'!$E$15,'Jeevan Arogya'!$H$15="NA")," ",($G$159+5))</f>
        <v/>
      </c>
      <c r="I160" s="852" t="str">
        <f>IF(OR('Jeevan Arogya'!$E$15,'Jeevan Arogya'!$H$15="NA")," ",($G$159+6))</f>
        <v/>
      </c>
      <c r="J160" s="852" t="str">
        <f>IF(OR('Jeevan Arogya'!$E$15,'Jeevan Arogya'!$H$15="NA")," ",($G$159+7))</f>
        <v/>
      </c>
      <c r="K160" s="1445" t="str">
        <f>IF(OR('Jeevan Arogya'!E15,'Jeevan Arogya'!H15="NA")," ","MAXIMUM  BENEFITS     (LIFE TIME)")</f>
        <v/>
      </c>
      <c r="L160" s="864"/>
      <c r="M160" s="864"/>
      <c r="N160" s="864"/>
      <c r="O160" s="864"/>
      <c r="P160" s="864"/>
    </row>
    <row r="161" spans="1:16" ht="20.25" customHeight="1">
      <c r="A161" s="1446" t="str">
        <f>IF(OR('Jeevan Arogya'!E15,'Jeevan Arogya'!H15="NA")," ","HCB   NON     ICU ")</f>
        <v/>
      </c>
      <c r="B161" s="1446"/>
      <c r="C161" s="566" t="str">
        <f>IF(OR('Jeevan Arogya'!$E$15,'Jeevan Arogya'!$H$15="NA")," ",(JACA!X30))</f>
        <v/>
      </c>
      <c r="D161" s="566" t="str">
        <f>IF(OR('Jeevan Arogya'!$E$15,'Jeevan Arogya'!$H$15="NA")," ",(JACA!X31))</f>
        <v/>
      </c>
      <c r="E161" s="566" t="str">
        <f>IF(OR('Jeevan Arogya'!$E$15,'Jeevan Arogya'!$H$15="NA")," ",(JACA!X32))</f>
        <v/>
      </c>
      <c r="F161" s="566" t="str">
        <f>IF(OR('Jeevan Arogya'!$E$15,'Jeevan Arogya'!$H$15="NA")," ",(JACA!X33))</f>
        <v/>
      </c>
      <c r="G161" s="566" t="str">
        <f>IF(OR('Jeevan Arogya'!$E$15,'Jeevan Arogya'!$H$15="NA")," ",(JACA!X34))</f>
        <v/>
      </c>
      <c r="H161" s="566" t="str">
        <f>IF(OR('Jeevan Arogya'!$E$15,'Jeevan Arogya'!$H$15="NA")," ",(JACA!X35))</f>
        <v/>
      </c>
      <c r="I161" s="566" t="str">
        <f>IF(OR('Jeevan Arogya'!$E$15,'Jeevan Arogya'!$H$15="NA")," ",(JACA!X36))</f>
        <v/>
      </c>
      <c r="J161" s="566" t="str">
        <f>IF(OR('Jeevan Arogya'!$E$15,'Jeevan Arogya'!$H$15="NA")," ",(JACA!X37))</f>
        <v/>
      </c>
      <c r="K161" s="1445"/>
      <c r="L161" s="864"/>
      <c r="M161" s="864"/>
      <c r="N161" s="864"/>
      <c r="O161" s="864"/>
      <c r="P161" s="864"/>
    </row>
    <row r="162" spans="1:16" ht="20.25" customHeight="1">
      <c r="A162" s="1446" t="str">
        <f>IF(OR('Jeevan Arogya'!E15,'Jeevan Arogya'!H15="NA")," ","HCB    ICU ")</f>
        <v/>
      </c>
      <c r="B162" s="1446"/>
      <c r="C162" s="566" t="str">
        <f>IF(OR('Jeevan Arogya'!$E$15,'Jeevan Arogya'!$H$15="NA")," ",(C161)*2)</f>
        <v/>
      </c>
      <c r="D162" s="566" t="str">
        <f>IF(OR('Jeevan Arogya'!$E$15,'Jeevan Arogya'!$H$15="NA")," ",(D161)*2)</f>
        <v/>
      </c>
      <c r="E162" s="566" t="str">
        <f>IF(OR('Jeevan Arogya'!$E$15,'Jeevan Arogya'!$H$15="NA")," ",(E161)*2)</f>
        <v/>
      </c>
      <c r="F162" s="566" t="str">
        <f>IF(OR('Jeevan Arogya'!$E$15,'Jeevan Arogya'!$H$15="NA")," ",(F161)*2)</f>
        <v/>
      </c>
      <c r="G162" s="566" t="str">
        <f>IF(OR('Jeevan Arogya'!$E$15,'Jeevan Arogya'!$H$15="NA")," ",(G161)*2)</f>
        <v/>
      </c>
      <c r="H162" s="566" t="str">
        <f>IF(OR('Jeevan Arogya'!$E$15,'Jeevan Arogya'!$H$15="NA")," ",(H161)*2)</f>
        <v/>
      </c>
      <c r="I162" s="566" t="str">
        <f>IF(OR('Jeevan Arogya'!$E$15,'Jeevan Arogya'!$H$15="NA")," ",(I161)*2)</f>
        <v/>
      </c>
      <c r="J162" s="566" t="str">
        <f>IF(OR('Jeevan Arogya'!$E$15,'Jeevan Arogya'!$H$15="NA")," ",(J161)*2)</f>
        <v/>
      </c>
      <c r="K162" s="1445"/>
      <c r="L162" s="864"/>
      <c r="M162" s="864"/>
      <c r="N162" s="864"/>
      <c r="O162" s="864"/>
      <c r="P162" s="864"/>
    </row>
    <row r="163" spans="1:16" ht="24" customHeight="1">
      <c r="A163" s="1446" t="str">
        <f>IF(OR('Jeevan Arogya'!E15,'Jeevan Arogya'!H15="NA")," ","MAXIMUM HCB ")</f>
        <v/>
      </c>
      <c r="B163" s="1446"/>
      <c r="C163" s="566" t="str">
        <f>IF(OR('Jeevan Arogya'!$E$15,'Jeevan Arogya'!$H$15="NA")," ",(JACA!H30))</f>
        <v/>
      </c>
      <c r="D163" s="566" t="str">
        <f>IF(OR('Jeevan Arogya'!$E$15,'Jeevan Arogya'!$H$15="NA")," ",(JACA!H31))</f>
        <v/>
      </c>
      <c r="E163" s="566" t="str">
        <f>IF(OR('Jeevan Arogya'!$E$15,'Jeevan Arogya'!$H$15="NA")," ",(JACA!H32))</f>
        <v/>
      </c>
      <c r="F163" s="566" t="str">
        <f>IF(OR('Jeevan Arogya'!$E$15,'Jeevan Arogya'!$H$15="NA")," ",(JACA!H33))</f>
        <v/>
      </c>
      <c r="G163" s="566" t="str">
        <f>IF(OR('Jeevan Arogya'!$E$15,'Jeevan Arogya'!$H$15="NA")," ",(JACA!H34))</f>
        <v/>
      </c>
      <c r="H163" s="566" t="str">
        <f>IF(OR('Jeevan Arogya'!$E$15,'Jeevan Arogya'!$H$15="NA")," ",(JACA!H35))</f>
        <v/>
      </c>
      <c r="I163" s="566" t="str">
        <f>IF(OR('Jeevan Arogya'!$E$15,'Jeevan Arogya'!$H$15="NA")," ",(JACA!H36))</f>
        <v/>
      </c>
      <c r="J163" s="566" t="str">
        <f>IF(OR('Jeevan Arogya'!$E$15,'Jeevan Arogya'!$H$15="NA")," ",(JACA!H37))</f>
        <v/>
      </c>
      <c r="K163" s="565" t="str">
        <f>IF(OR('Jeevan Arogya'!E15,'Jeevan Arogya'!H15="NA")," ",(JACA!H40))</f>
        <v/>
      </c>
      <c r="L163" s="864"/>
      <c r="M163" s="864"/>
      <c r="N163" s="864"/>
      <c r="O163" s="864"/>
      <c r="P163" s="864"/>
    </row>
    <row r="164" spans="1:16" ht="26.25" customHeight="1">
      <c r="A164" s="1446" t="str">
        <f>IF(OR('Jeevan Arogya'!E15,'Jeevan Arogya'!H15="NA")," ","MAXIMUM  MSB")</f>
        <v/>
      </c>
      <c r="B164" s="1446"/>
      <c r="C164" s="566" t="str">
        <f>IF(OR('Jeevan Arogya'!$E$15,'Jeevan Arogya'!$H$15="NA")," ",(JACA!X41))</f>
        <v/>
      </c>
      <c r="D164" s="566" t="str">
        <f>IF(OR('Jeevan Arogya'!$E$15,'Jeevan Arogya'!$H$15="NA")," ",(JACA!X42))</f>
        <v/>
      </c>
      <c r="E164" s="566" t="str">
        <f>IF(OR('Jeevan Arogya'!$E$15,'Jeevan Arogya'!$H$15="NA")," ",(JACA!X43))</f>
        <v/>
      </c>
      <c r="F164" s="566" t="str">
        <f>IF(OR('Jeevan Arogya'!$E$15,'Jeevan Arogya'!$H$15="NA")," ",(JACA!X44))</f>
        <v/>
      </c>
      <c r="G164" s="566" t="str">
        <f>IF(OR('Jeevan Arogya'!$E$15,'Jeevan Arogya'!$H$15="NA")," ",(JACA!X45))</f>
        <v/>
      </c>
      <c r="H164" s="566" t="str">
        <f>IF(OR('Jeevan Arogya'!$E$15,'Jeevan Arogya'!$H$15="NA")," ",(JACA!X46))</f>
        <v/>
      </c>
      <c r="I164" s="566" t="str">
        <f>IF(OR('Jeevan Arogya'!$E$15,'Jeevan Arogya'!$H$15="NA")," ",(JACA!X47))</f>
        <v/>
      </c>
      <c r="J164" s="566" t="str">
        <f>IF(OR('Jeevan Arogya'!$E$15,'Jeevan Arogya'!$H$15="NA")," ",(JACA!X48))</f>
        <v/>
      </c>
      <c r="K164" s="565" t="str">
        <f>IF(OR('Jeevan Arogya'!E15,'Jeevan Arogya'!H15="NA")," ",(JACA!H43))</f>
        <v/>
      </c>
      <c r="L164" s="864"/>
      <c r="M164" s="864"/>
      <c r="N164" s="864"/>
      <c r="O164" s="864"/>
      <c r="P164" s="864"/>
    </row>
    <row r="165" spans="1:16" ht="26.25" customHeight="1">
      <c r="A165" s="1446" t="str">
        <f>IF(OR('Jeevan Arogya'!E15,'Jeevan Arogya'!H15="NA")," ","DCPB ")</f>
        <v/>
      </c>
      <c r="B165" s="1446"/>
      <c r="C165" s="566" t="str">
        <f>IF(OR('Jeevan Arogya'!$E$15,'Jeevan Arogya'!$H$15="NA")," ",(JACA!H45))</f>
        <v/>
      </c>
      <c r="D165" s="566" t="str">
        <f>IF(OR('Jeevan Arogya'!$E$15,'Jeevan Arogya'!$H$15="NA")," ",(JACA!H46))</f>
        <v/>
      </c>
      <c r="E165" s="566" t="str">
        <f>IF(OR('Jeevan Arogya'!$E$15,'Jeevan Arogya'!$H$15="NA")," ",(JACA!H47))</f>
        <v/>
      </c>
      <c r="F165" s="566" t="str">
        <f>IF(OR('Jeevan Arogya'!$E$15,'Jeevan Arogya'!$H$15="NA")," ",(JACA!H48))</f>
        <v/>
      </c>
      <c r="G165" s="566" t="str">
        <f>IF(OR('Jeevan Arogya'!$E$15,'Jeevan Arogya'!$H$15="NA")," ",(JACA!H49))</f>
        <v/>
      </c>
      <c r="H165" s="566" t="str">
        <f>IF(OR('Jeevan Arogya'!$E$15,'Jeevan Arogya'!$H$15="NA")," ",(JACA!H50))</f>
        <v/>
      </c>
      <c r="I165" s="566" t="str">
        <f>IF(OR('Jeevan Arogya'!$E$15,'Jeevan Arogya'!$H$15="NA")," ",(JACA!H51))</f>
        <v/>
      </c>
      <c r="J165" s="566" t="str">
        <f>IF(OR('Jeevan Arogya'!$E$15,'Jeevan Arogya'!$H$15="NA")," ",(JACA!H52))</f>
        <v/>
      </c>
      <c r="K165" s="565" t="str">
        <f>IF(OR('Jeevan Arogya'!E15,'Jeevan Arogya'!H15="NA")," ",(JACA!H53))</f>
        <v/>
      </c>
      <c r="L165" s="864"/>
      <c r="M165" s="864"/>
      <c r="N165" s="864"/>
      <c r="O165" s="864"/>
      <c r="P165" s="864"/>
    </row>
    <row r="166" spans="1:16" ht="26.25" customHeight="1">
      <c r="A166" s="1446" t="str">
        <f>IF(OR('Jeevan Arogya'!E15,'Jeevan Arogya'!H15="NA")," ","OSB ")</f>
        <v/>
      </c>
      <c r="B166" s="1446"/>
      <c r="C166" s="566" t="str">
        <f>IF(OR('Jeevan Arogya'!$E$15,'Jeevan Arogya'!$H$15="NA")," ",(JACA!H55))</f>
        <v/>
      </c>
      <c r="D166" s="566" t="str">
        <f>IF(OR('Jeevan Arogya'!$E$15,'Jeevan Arogya'!$H$15="NA")," ",(JACA!H56))</f>
        <v/>
      </c>
      <c r="E166" s="566" t="str">
        <f>IF(OR('Jeevan Arogya'!$E$15,'Jeevan Arogya'!$H$15="NA")," ",(JACA!H57))</f>
        <v/>
      </c>
      <c r="F166" s="566" t="str">
        <f>IF(OR('Jeevan Arogya'!$E$15,'Jeevan Arogya'!$H$15="NA")," ",(JACA!H58))</f>
        <v/>
      </c>
      <c r="G166" s="566" t="str">
        <f>IF(OR('Jeevan Arogya'!$E$15,'Jeevan Arogya'!$H$15="NA")," ",(JACA!H59))</f>
        <v/>
      </c>
      <c r="H166" s="566" t="str">
        <f>IF(OR('Jeevan Arogya'!$E$15,'Jeevan Arogya'!$H$15="NA")," ",(JACA!H60))</f>
        <v/>
      </c>
      <c r="I166" s="566" t="str">
        <f>IF(OR('Jeevan Arogya'!$E$15,'Jeevan Arogya'!$H$15="NA")," ",(JACA!H61))</f>
        <v/>
      </c>
      <c r="J166" s="566" t="str">
        <f>IF(OR('Jeevan Arogya'!$E$15,'Jeevan Arogya'!$H$15="NA")," ",(JACA!H62))</f>
        <v/>
      </c>
      <c r="K166" s="565" t="str">
        <f>IF(OR('Jeevan Arogya'!E15,'Jeevan Arogya'!H15="NA")," ",(JACA!H64))</f>
        <v/>
      </c>
      <c r="L166" s="864"/>
      <c r="M166" s="864"/>
      <c r="N166" s="864"/>
      <c r="O166" s="864"/>
      <c r="P166" s="864"/>
    </row>
    <row r="167" spans="1:16" ht="2.25" customHeight="1">
      <c r="A167" s="864"/>
      <c r="B167" s="864"/>
      <c r="C167" s="864"/>
      <c r="D167" s="864"/>
      <c r="E167" s="864"/>
      <c r="F167" s="864"/>
      <c r="G167" s="864"/>
      <c r="H167" s="864"/>
      <c r="I167" s="864"/>
      <c r="J167" s="864"/>
      <c r="K167" s="864"/>
      <c r="L167" s="864"/>
      <c r="M167" s="864"/>
      <c r="N167" s="864"/>
      <c r="O167" s="864"/>
      <c r="P167" s="864"/>
    </row>
    <row r="168" spans="1:16" ht="1.5" hidden="1" customHeight="1">
      <c r="A168" s="864"/>
      <c r="B168" s="864"/>
      <c r="C168" s="864"/>
      <c r="D168" s="864"/>
      <c r="E168" s="864"/>
      <c r="F168" s="864"/>
      <c r="G168" s="864"/>
      <c r="H168" s="864"/>
      <c r="I168" s="864"/>
      <c r="J168" s="864"/>
      <c r="K168" s="864"/>
      <c r="L168" s="864"/>
      <c r="M168" s="864"/>
      <c r="N168" s="864"/>
      <c r="O168" s="864"/>
      <c r="P168" s="864"/>
    </row>
    <row r="169" spans="1:16" ht="1.5" hidden="1" customHeight="1">
      <c r="A169" s="852"/>
      <c r="B169" s="852"/>
      <c r="C169" s="852"/>
      <c r="D169" s="852"/>
      <c r="E169" s="852"/>
      <c r="F169" s="852"/>
      <c r="G169" s="852"/>
      <c r="H169" s="852"/>
      <c r="I169" s="852"/>
      <c r="J169" s="852"/>
      <c r="K169" s="852"/>
      <c r="L169" s="864"/>
      <c r="M169" s="864"/>
      <c r="N169" s="864"/>
      <c r="O169" s="864"/>
      <c r="P169" s="864"/>
    </row>
    <row r="170" spans="1:16">
      <c r="A170" s="852"/>
      <c r="B170" s="852"/>
      <c r="C170" s="852"/>
      <c r="D170" s="1448" t="str">
        <f>IF(OR('Jeevan Arogya'!E16,'Jeevan Arogya'!H16="NA")," ",('Jeevan Arogya'!C16))</f>
        <v/>
      </c>
      <c r="E170" s="1448"/>
      <c r="F170" s="1448"/>
      <c r="G170" s="1448"/>
      <c r="H170" s="852"/>
      <c r="I170" s="852"/>
      <c r="J170" s="852"/>
      <c r="K170" s="852"/>
      <c r="L170" s="864"/>
      <c r="M170" s="864"/>
      <c r="N170" s="864"/>
      <c r="O170" s="864"/>
      <c r="P170" s="864"/>
    </row>
    <row r="171" spans="1:16" ht="1.5" customHeight="1">
      <c r="A171" s="864"/>
      <c r="B171" s="864"/>
      <c r="C171" s="864"/>
      <c r="D171" s="864"/>
      <c r="E171" s="864"/>
      <c r="F171" s="864"/>
      <c r="G171" s="864"/>
      <c r="H171" s="864"/>
      <c r="I171" s="864"/>
      <c r="J171" s="864"/>
      <c r="K171" s="864"/>
      <c r="L171" s="864"/>
      <c r="M171" s="864"/>
      <c r="N171" s="864"/>
      <c r="O171" s="864"/>
      <c r="P171" s="864"/>
    </row>
    <row r="172" spans="1:16" ht="15.75">
      <c r="A172" s="854" t="str">
        <f>IF(OR('Jeevan Arogya'!E16,'Jeevan Arogya'!H16="NA")," ",('Jeevan Arogya'!D16))</f>
        <v/>
      </c>
      <c r="B172" s="1450" t="str">
        <f>IF(OR('Jeevan Arogya'!E16,'Jeevan Arogya'!H16="NA")," ",('Jeevan Arogya'!E16))</f>
        <v/>
      </c>
      <c r="C172" s="1450"/>
      <c r="D172" s="1450"/>
      <c r="E172" s="1450"/>
      <c r="F172" s="853" t="str">
        <f>IF(OR('Jeevan Arogya'!E16,'Jeevan Arogya'!H16="NA")," ","AGE")</f>
        <v/>
      </c>
      <c r="G172" s="852" t="str">
        <f>IF(OR('Jeevan Arogya'!E16,'Jeevan Arogya'!H16="NA")," ",(JACA!I6))</f>
        <v/>
      </c>
      <c r="H172" s="1448" t="str">
        <f>IF(OR('Jeevan Arogya'!E16,'Jeevan Arogya'!H16="NA")," ","PREMIUM Rs.")</f>
        <v/>
      </c>
      <c r="I172" s="1448"/>
      <c r="J172" s="1449" t="str">
        <f>IF(OR('Jeevan Arogya'!E16,'Jeevan Arogya'!H16="NA")," ",'Jeevan Arogya'!R16)</f>
        <v/>
      </c>
      <c r="K172" s="1449"/>
      <c r="L172" s="864"/>
      <c r="M172" s="864"/>
      <c r="N172" s="864"/>
      <c r="O172" s="864"/>
      <c r="P172" s="864"/>
    </row>
    <row r="173" spans="1:16">
      <c r="A173" s="1450" t="str">
        <f>IF(OR('Jeevan Arogya'!E16,'Jeevan Arogya'!H16="NA")," ","AGE")</f>
        <v/>
      </c>
      <c r="B173" s="1450"/>
      <c r="C173" s="852" t="str">
        <f>IF(OR('Jeevan Arogya'!E16,'Jeevan Arogya'!H16="NA")," ",(G172))</f>
        <v/>
      </c>
      <c r="D173" s="852" t="str">
        <f>IF(OR('Jeevan Arogya'!$E$16,'Jeevan Arogya'!$H$16="NA")," ",($G$172+1))</f>
        <v/>
      </c>
      <c r="E173" s="852" t="str">
        <f>IF(OR('Jeevan Arogya'!$E$16,'Jeevan Arogya'!$H$16="NA")," ",($G$172+2))</f>
        <v/>
      </c>
      <c r="F173" s="852" t="str">
        <f>IF(OR('Jeevan Arogya'!$E$16,'Jeevan Arogya'!$H$16="NA")," ",($G$172+3))</f>
        <v/>
      </c>
      <c r="G173" s="852" t="str">
        <f>IF(OR('Jeevan Arogya'!$E$16,'Jeevan Arogya'!$H$16="NA")," ",($G$172+4))</f>
        <v/>
      </c>
      <c r="H173" s="852" t="str">
        <f>IF(OR('Jeevan Arogya'!$E$16,'Jeevan Arogya'!$H$16="NA")," ",($G$172+5))</f>
        <v/>
      </c>
      <c r="I173" s="852" t="str">
        <f>IF(OR('Jeevan Arogya'!$E$16,'Jeevan Arogya'!$H$16="NA")," ",($G$172+6))</f>
        <v/>
      </c>
      <c r="J173" s="852" t="str">
        <f>IF(OR('Jeevan Arogya'!$E$16,'Jeevan Arogya'!$H$16="NA")," ",($G$172+7))</f>
        <v/>
      </c>
      <c r="K173" s="1445" t="str">
        <f>IF(OR('Jeevan Arogya'!E16,'Jeevan Arogya'!H16="NA")," ","MAXIMUM  BENEFITS     (LIFE TIME)")</f>
        <v/>
      </c>
      <c r="L173" s="864"/>
      <c r="M173" s="864"/>
      <c r="N173" s="864"/>
      <c r="O173" s="864"/>
      <c r="P173" s="864"/>
    </row>
    <row r="174" spans="1:16" ht="20.25" customHeight="1">
      <c r="A174" s="1446" t="str">
        <f>IF(OR('Jeevan Arogya'!E16,'Jeevan Arogya'!H16="NA")," ","HCB   NON     ICU ")</f>
        <v/>
      </c>
      <c r="B174" s="1446"/>
      <c r="C174" s="566" t="str">
        <f>IF(OR('Jeevan Arogya'!E16,'Jeevan Arogya'!H16="NA")," ",(JACA!Z30))</f>
        <v/>
      </c>
      <c r="D174" s="566" t="str">
        <f>IF(OR('Jeevan Arogya'!$E$16,'Jeevan Arogya'!$H$16="NA")," ",(JACA!Z31))</f>
        <v/>
      </c>
      <c r="E174" s="566" t="str">
        <f>IF(OR('Jeevan Arogya'!$E$16,'Jeevan Arogya'!$H$16="NA")," ",(JACA!Z32))</f>
        <v/>
      </c>
      <c r="F174" s="566" t="str">
        <f>IF(OR('Jeevan Arogya'!$E$16,'Jeevan Arogya'!$H$16="NA")," ",(JACA!Z33))</f>
        <v/>
      </c>
      <c r="G174" s="566" t="str">
        <f>IF(OR('Jeevan Arogya'!$E$16,'Jeevan Arogya'!$H$16="NA")," ",(JACA!Z34))</f>
        <v/>
      </c>
      <c r="H174" s="566" t="str">
        <f>IF(OR('Jeevan Arogya'!$E$16,'Jeevan Arogya'!$H$16="NA")," ",(JACA!Z35))</f>
        <v/>
      </c>
      <c r="I174" s="566" t="str">
        <f>IF(OR('Jeevan Arogya'!$E$16,'Jeevan Arogya'!$H$16="NA")," ",(JACA!Z36))</f>
        <v/>
      </c>
      <c r="J174" s="566" t="str">
        <f>IF(OR('Jeevan Arogya'!$E$16,'Jeevan Arogya'!$H$16="NA")," ",(JACA!Z37))</f>
        <v/>
      </c>
      <c r="K174" s="1445"/>
      <c r="L174" s="864"/>
      <c r="M174" s="864"/>
      <c r="N174" s="864"/>
      <c r="O174" s="864"/>
      <c r="P174" s="864"/>
    </row>
    <row r="175" spans="1:16" ht="20.25" customHeight="1">
      <c r="A175" s="1446" t="str">
        <f>IF(OR('Jeevan Arogya'!E16,'Jeevan Arogya'!H16="NA")," ","HCB    ICU ")</f>
        <v/>
      </c>
      <c r="B175" s="1446"/>
      <c r="C175" s="566" t="str">
        <f>IF(OR('Jeevan Arogya'!E16,'Jeevan Arogya'!H16="NA")," ",(C174)*2)</f>
        <v/>
      </c>
      <c r="D175" s="566" t="str">
        <f>IF(OR('Jeevan Arogya'!E16,'Jeevan Arogya'!H16="NA")," ",(D174)*2)</f>
        <v/>
      </c>
      <c r="E175" s="566" t="str">
        <f>IF(OR('Jeevan Arogya'!$E$16,'Jeevan Arogya'!$H$16="NA")," ",(E174)*2)</f>
        <v/>
      </c>
      <c r="F175" s="566" t="str">
        <f>IF(OR('Jeevan Arogya'!$E$16,'Jeevan Arogya'!$H$16="NA")," ",(F174)*2)</f>
        <v/>
      </c>
      <c r="G175" s="566" t="str">
        <f>IF(OR('Jeevan Arogya'!$E$16,'Jeevan Arogya'!$H$16="NA")," ",(G174)*2)</f>
        <v/>
      </c>
      <c r="H175" s="566" t="str">
        <f>IF(OR('Jeevan Arogya'!$E$16,'Jeevan Arogya'!$H$16="NA")," ",(H174)*2)</f>
        <v/>
      </c>
      <c r="I175" s="566" t="str">
        <f>IF(OR('Jeevan Arogya'!$E$16,'Jeevan Arogya'!$H$16="NA")," ",(I174)*2)</f>
        <v/>
      </c>
      <c r="J175" s="566" t="str">
        <f>IF(OR('Jeevan Arogya'!$E$16,'Jeevan Arogya'!$H$16="NA")," ",(J174)*2)</f>
        <v/>
      </c>
      <c r="K175" s="1445"/>
      <c r="L175" s="864"/>
      <c r="M175" s="864"/>
      <c r="N175" s="864"/>
      <c r="O175" s="864"/>
      <c r="P175" s="864"/>
    </row>
    <row r="176" spans="1:16" ht="24" customHeight="1">
      <c r="A176" s="1446" t="str">
        <f>IF(OR('Jeevan Arogya'!E16,'Jeevan Arogya'!H16="NA")," ","MAXIMUM HCB ")</f>
        <v/>
      </c>
      <c r="B176" s="1446"/>
      <c r="C176" s="566" t="str">
        <f>IF(OR('Jeevan Arogya'!$E$16,'Jeevan Arogya'!$H$16="NA")," ",(JACA!I30))</f>
        <v/>
      </c>
      <c r="D176" s="566" t="str">
        <f>IF(OR('Jeevan Arogya'!$E$16,'Jeevan Arogya'!$H$16="NA")," ",(JACA!I31))</f>
        <v/>
      </c>
      <c r="E176" s="566" t="str">
        <f>IF(OR('Jeevan Arogya'!$E$16,'Jeevan Arogya'!$H$16="NA")," ",(JACA!I32))</f>
        <v/>
      </c>
      <c r="F176" s="566" t="str">
        <f>IF(OR('Jeevan Arogya'!$E$16,'Jeevan Arogya'!$H$16="NA")," ",(JACA!I33))</f>
        <v/>
      </c>
      <c r="G176" s="566" t="str">
        <f>IF(OR('Jeevan Arogya'!$E$16,'Jeevan Arogya'!$H$16="NA")," ",(JACA!I34))</f>
        <v/>
      </c>
      <c r="H176" s="566" t="str">
        <f>IF(OR('Jeevan Arogya'!$E$16,'Jeevan Arogya'!$H$16="NA")," ",(JACA!I35))</f>
        <v/>
      </c>
      <c r="I176" s="566" t="str">
        <f>IF(OR('Jeevan Arogya'!$E$16,'Jeevan Arogya'!$H$16="NA")," ",(JACA!I36))</f>
        <v/>
      </c>
      <c r="J176" s="566" t="str">
        <f>IF(OR('Jeevan Arogya'!$E$16,'Jeevan Arogya'!$H$16="NA")," ",(JACA!I37))</f>
        <v/>
      </c>
      <c r="K176" s="565" t="str">
        <f>IF(OR('Jeevan Arogya'!E16,'Jeevan Arogya'!H16="NA")," ",(JACA!I40))</f>
        <v/>
      </c>
      <c r="L176" s="864"/>
      <c r="M176" s="864"/>
      <c r="N176" s="864"/>
      <c r="O176" s="864"/>
      <c r="P176" s="864"/>
    </row>
    <row r="177" spans="1:16" ht="26.25" customHeight="1">
      <c r="A177" s="1446" t="str">
        <f>IF(OR('Jeevan Arogya'!E16,'Jeevan Arogya'!H16="NA")," ","MAXIMUM  MSB")</f>
        <v/>
      </c>
      <c r="B177" s="1446"/>
      <c r="C177" s="566" t="str">
        <f>IF(OR('Jeevan Arogya'!$E$16,'Jeevan Arogya'!$H$16="NA")," ",(JACA!Z41))</f>
        <v/>
      </c>
      <c r="D177" s="566" t="str">
        <f>IF(OR('Jeevan Arogya'!$E$16,'Jeevan Arogya'!$H$16="NA")," ",(JACA!Z42))</f>
        <v/>
      </c>
      <c r="E177" s="566" t="str">
        <f>IF(OR('Jeevan Arogya'!$E$16,'Jeevan Arogya'!$H$16="NA")," ",(JACA!Z43))</f>
        <v/>
      </c>
      <c r="F177" s="566" t="str">
        <f>IF(OR('Jeevan Arogya'!$E$16,'Jeevan Arogya'!$H$16="NA")," ",(JACA!Z44))</f>
        <v/>
      </c>
      <c r="G177" s="566" t="str">
        <f>IF(OR('Jeevan Arogya'!$E$16,'Jeevan Arogya'!$H$16="NA")," ",(JACA!Z45))</f>
        <v/>
      </c>
      <c r="H177" s="566" t="str">
        <f>IF(OR('Jeevan Arogya'!$E$16,'Jeevan Arogya'!$H$16="NA")," ",(JACA!Z46))</f>
        <v/>
      </c>
      <c r="I177" s="566" t="str">
        <f>IF(OR('Jeevan Arogya'!$E$16,'Jeevan Arogya'!$H$16="NA")," ",(JACA!Z47))</f>
        <v/>
      </c>
      <c r="J177" s="566" t="str">
        <f>IF(OR('Jeevan Arogya'!$E$16,'Jeevan Arogya'!$H$16="NA")," ",(JACA!Z48))</f>
        <v/>
      </c>
      <c r="K177" s="565" t="str">
        <f>IF(OR('Jeevan Arogya'!E16,'Jeevan Arogya'!H16="NA")," ",(JACA!I43))</f>
        <v/>
      </c>
      <c r="L177" s="864"/>
      <c r="M177" s="864"/>
      <c r="N177" s="864"/>
      <c r="O177" s="864"/>
      <c r="P177" s="864"/>
    </row>
    <row r="178" spans="1:16" ht="26.25" customHeight="1">
      <c r="A178" s="1446" t="str">
        <f>IF(OR('Jeevan Arogya'!E16,'Jeevan Arogya'!H16="NA")," ","DCPB ")</f>
        <v/>
      </c>
      <c r="B178" s="1446"/>
      <c r="C178" s="566" t="str">
        <f>IF(OR('Jeevan Arogya'!$E$16,'Jeevan Arogya'!$H$16="NA")," ",(JACA!I45))</f>
        <v/>
      </c>
      <c r="D178" s="566" t="str">
        <f>IF(OR('Jeevan Arogya'!$E$16,'Jeevan Arogya'!$H$16="NA")," ",(JACA!I46))</f>
        <v/>
      </c>
      <c r="E178" s="566" t="str">
        <f>IF(OR('Jeevan Arogya'!$E$16,'Jeevan Arogya'!$H$16="NA")," ",(JACA!I47))</f>
        <v/>
      </c>
      <c r="F178" s="566" t="str">
        <f>IF(OR('Jeevan Arogya'!$E$16,'Jeevan Arogya'!$H$16="NA")," ",(JACA!I48))</f>
        <v/>
      </c>
      <c r="G178" s="566" t="str">
        <f>IF(OR('Jeevan Arogya'!$E$16,'Jeevan Arogya'!$H$16="NA")," ",(JACA!I49))</f>
        <v/>
      </c>
      <c r="H178" s="566" t="str">
        <f>IF(OR('Jeevan Arogya'!$E$16,'Jeevan Arogya'!$H$16="NA")," ",(JACA!I50))</f>
        <v/>
      </c>
      <c r="I178" s="566" t="str">
        <f>IF(OR('Jeevan Arogya'!$E$16,'Jeevan Arogya'!$H$16="NA")," ",(JACA!I51))</f>
        <v/>
      </c>
      <c r="J178" s="566" t="str">
        <f>IF(OR('Jeevan Arogya'!$E$16,'Jeevan Arogya'!$H$16="NA")," ",(JACA!I52))</f>
        <v/>
      </c>
      <c r="K178" s="565" t="str">
        <f>IF(OR('Jeevan Arogya'!E16,'Jeevan Arogya'!H16="NA")," ",(JACA!I53))</f>
        <v/>
      </c>
      <c r="L178" s="864"/>
      <c r="M178" s="864"/>
      <c r="N178" s="864"/>
      <c r="O178" s="864"/>
      <c r="P178" s="864"/>
    </row>
    <row r="179" spans="1:16" ht="26.25" customHeight="1">
      <c r="A179" s="1446" t="str">
        <f>IF(OR('Jeevan Arogya'!E16,'Jeevan Arogya'!H16="NA")," ","OSB ")</f>
        <v/>
      </c>
      <c r="B179" s="1446"/>
      <c r="C179" s="566" t="str">
        <f>IF(OR('Jeevan Arogya'!$E$16,'Jeevan Arogya'!$H$16="NA")," ",(JACA!I55))</f>
        <v/>
      </c>
      <c r="D179" s="566" t="str">
        <f>IF(OR('Jeevan Arogya'!$E$16,'Jeevan Arogya'!$H$16="NA")," ",(JACA!I56))</f>
        <v/>
      </c>
      <c r="E179" s="566" t="str">
        <f>IF(OR('Jeevan Arogya'!$E$16,'Jeevan Arogya'!$H$16="NA")," ",(JACA!I57))</f>
        <v/>
      </c>
      <c r="F179" s="566" t="str">
        <f>IF(OR('Jeevan Arogya'!$E$16,'Jeevan Arogya'!$H$16="NA")," ",(JACA!I58))</f>
        <v/>
      </c>
      <c r="G179" s="566" t="str">
        <f>IF(OR('Jeevan Arogya'!$E$16,'Jeevan Arogya'!$H$16="NA")," ",(JACA!I59))</f>
        <v/>
      </c>
      <c r="H179" s="566" t="str">
        <f>IF(OR('Jeevan Arogya'!$E$16,'Jeevan Arogya'!$H$16="NA")," ",(JACA!I60))</f>
        <v/>
      </c>
      <c r="I179" s="566" t="str">
        <f>IF(OR('Jeevan Arogya'!$E$16,'Jeevan Arogya'!$H$16="NA")," ",(JACA!I61))</f>
        <v/>
      </c>
      <c r="J179" s="566" t="str">
        <f>IF(OR('Jeevan Arogya'!$E$16,'Jeevan Arogya'!$H$16="NA")," ",(JACA!I62))</f>
        <v/>
      </c>
      <c r="K179" s="565" t="str">
        <f>IF(OR('Jeevan Arogya'!E16,'Jeevan Arogya'!H16="NA")," ",(JACA!I64))</f>
        <v/>
      </c>
      <c r="L179" s="864"/>
      <c r="M179" s="864"/>
      <c r="N179" s="864"/>
      <c r="O179" s="864"/>
      <c r="P179" s="864"/>
    </row>
    <row r="180" spans="1:16" ht="1.5" customHeight="1">
      <c r="A180" s="864"/>
      <c r="B180" s="864"/>
      <c r="C180" s="864"/>
      <c r="D180" s="864"/>
      <c r="E180" s="864"/>
      <c r="F180" s="864"/>
      <c r="G180" s="864"/>
      <c r="H180" s="864"/>
      <c r="I180" s="864"/>
      <c r="J180" s="864"/>
      <c r="K180" s="864"/>
      <c r="L180" s="864"/>
      <c r="M180" s="864"/>
      <c r="N180" s="864"/>
      <c r="O180" s="864"/>
      <c r="P180" s="864"/>
    </row>
    <row r="181" spans="1:16" ht="2.25" customHeight="1">
      <c r="A181" s="864"/>
      <c r="B181" s="864"/>
      <c r="C181" s="864"/>
      <c r="D181" s="864"/>
      <c r="E181" s="864"/>
      <c r="F181" s="864"/>
      <c r="G181" s="864"/>
      <c r="H181" s="864"/>
      <c r="I181" s="864"/>
      <c r="J181" s="864"/>
      <c r="K181" s="864"/>
      <c r="L181" s="864"/>
      <c r="M181" s="864"/>
      <c r="N181" s="864"/>
      <c r="O181" s="864"/>
      <c r="P181" s="864"/>
    </row>
    <row r="182" spans="1:16">
      <c r="A182" s="864"/>
      <c r="B182" s="864"/>
      <c r="C182" s="864"/>
      <c r="D182" s="1448" t="str">
        <f>IF(OR('Jeevan Arogya'!E17,'Jeevan Arogya'!H17="NA")," ",('Jeevan Arogya'!C17))</f>
        <v/>
      </c>
      <c r="E182" s="1448"/>
      <c r="F182" s="1448"/>
      <c r="G182" s="1448"/>
      <c r="H182" s="864"/>
      <c r="I182" s="864"/>
      <c r="J182" s="864"/>
      <c r="K182" s="864"/>
      <c r="L182" s="864"/>
      <c r="M182" s="864"/>
      <c r="N182" s="864"/>
      <c r="O182" s="864"/>
      <c r="P182" s="864"/>
    </row>
    <row r="183" spans="1:16" ht="2.25" customHeight="1">
      <c r="A183" s="864"/>
      <c r="B183" s="864"/>
      <c r="C183" s="864"/>
      <c r="D183" s="864"/>
      <c r="E183" s="864"/>
      <c r="F183" s="864"/>
      <c r="G183" s="864"/>
      <c r="H183" s="864"/>
      <c r="I183" s="864"/>
      <c r="J183" s="864"/>
      <c r="K183" s="864"/>
      <c r="L183" s="864"/>
      <c r="M183" s="864"/>
      <c r="N183" s="864"/>
      <c r="O183" s="864"/>
      <c r="P183" s="864"/>
    </row>
    <row r="184" spans="1:16">
      <c r="A184" s="567" t="str">
        <f>IF(OR('Jeevan Arogya'!E17,'Jeevan Arogya'!H17="NA")," ",('Jeevan Arogya'!D17))</f>
        <v/>
      </c>
      <c r="B184" s="1453" t="str">
        <f>IF(OR('Jeevan Arogya'!E17,'Jeevan Arogya'!H17="NA")," ",('Jeevan Arogya'!E17))</f>
        <v/>
      </c>
      <c r="C184" s="1453"/>
      <c r="D184" s="1453"/>
      <c r="E184" s="1453"/>
      <c r="F184" s="853" t="str">
        <f>IF(OR('Jeevan Arogya'!E17,'Jeevan Arogya'!H17="NA")," ","AGE")</f>
        <v/>
      </c>
      <c r="G184" s="852" t="str">
        <f>IF(OR('Jeevan Arogya'!E17,'Jeevan Arogya'!H17="NA")," ",(JACA!J6))</f>
        <v/>
      </c>
      <c r="H184" s="1451" t="str">
        <f>IF(OR('Jeevan Arogya'!E17,'Jeevan Arogya'!H17="NA")," ","PREMIUM Rs.")</f>
        <v/>
      </c>
      <c r="I184" s="1451"/>
      <c r="J184" s="1447" t="str">
        <f>IF(OR('Jeevan Arogya'!E17,'Jeevan Arogya'!H17="NA")," ",'Jeevan Arogya'!R17)</f>
        <v/>
      </c>
      <c r="K184" s="1447"/>
      <c r="L184" s="864"/>
      <c r="M184" s="864"/>
      <c r="N184" s="864"/>
      <c r="O184" s="864"/>
      <c r="P184" s="864"/>
    </row>
    <row r="185" spans="1:16">
      <c r="A185" s="1450" t="str">
        <f>IF(OR('Jeevan Arogya'!E17,'Jeevan Arogya'!H17="NA")," ","AGE")</f>
        <v/>
      </c>
      <c r="B185" s="1450"/>
      <c r="C185" s="852" t="str">
        <f>IF(OR('Jeevan Arogya'!E17,'Jeevan Arogya'!H17="NA")," ",(G184))</f>
        <v/>
      </c>
      <c r="D185" s="852" t="str">
        <f>IF(OR('Jeevan Arogya'!$E$17,'Jeevan Arogya'!$H$17="NA")," ",($G$184+1))</f>
        <v/>
      </c>
      <c r="E185" s="852" t="str">
        <f>IF(OR('Jeevan Arogya'!$E$17,'Jeevan Arogya'!$H$17="NA")," ",($G$184+2))</f>
        <v/>
      </c>
      <c r="F185" s="852" t="str">
        <f>IF(OR('Jeevan Arogya'!$E$17,'Jeevan Arogya'!$H$17="NA")," ",($G$184+3))</f>
        <v/>
      </c>
      <c r="G185" s="852" t="str">
        <f>IF(OR('Jeevan Arogya'!$E$17,'Jeevan Arogya'!$H$17="NA")," ",($G$184+4))</f>
        <v/>
      </c>
      <c r="H185" s="852" t="str">
        <f>IF(OR('Jeevan Arogya'!$E$17,'Jeevan Arogya'!$H$17="NA")," ",($G$184+5))</f>
        <v/>
      </c>
      <c r="I185" s="852" t="str">
        <f>IF(OR('Jeevan Arogya'!$E$17,'Jeevan Arogya'!$H$17="NA")," ",($G$184+6))</f>
        <v/>
      </c>
      <c r="J185" s="852" t="str">
        <f>IF(OR('Jeevan Arogya'!$E$17,'Jeevan Arogya'!$H$17="NA")," ",($G$184+7))</f>
        <v/>
      </c>
      <c r="K185" s="1445" t="str">
        <f>IF(OR('Jeevan Arogya'!E17,'Jeevan Arogya'!H17="NA")," ","MAXIMUM  BENEFITS     (LIFE TIME)")</f>
        <v/>
      </c>
      <c r="L185" s="864"/>
      <c r="M185" s="864"/>
      <c r="N185" s="864"/>
      <c r="O185" s="864"/>
      <c r="P185" s="864"/>
    </row>
    <row r="186" spans="1:16" ht="20.25" customHeight="1">
      <c r="A186" s="1446" t="str">
        <f>IF(OR('Jeevan Arogya'!E17,'Jeevan Arogya'!H17="NA")," ","HCB   NON     ICU ")</f>
        <v/>
      </c>
      <c r="B186" s="1446"/>
      <c r="C186" s="566" t="str">
        <f>IF(OR('Jeevan Arogya'!$E$17,'Jeevan Arogya'!$H$17="NA")," ",(JACA!AB30))</f>
        <v/>
      </c>
      <c r="D186" s="566" t="str">
        <f>IF(OR('Jeevan Arogya'!$E$17,'Jeevan Arogya'!$H$17="NA")," ",(JACA!AB31))</f>
        <v/>
      </c>
      <c r="E186" s="566" t="str">
        <f>IF(OR('Jeevan Arogya'!$E$17,'Jeevan Arogya'!$H$17="NA")," ",(JACA!AB32))</f>
        <v/>
      </c>
      <c r="F186" s="566" t="str">
        <f>IF(OR('Jeevan Arogya'!$E$17,'Jeevan Arogya'!$H$17="NA")," ",(JACA!AB33))</f>
        <v/>
      </c>
      <c r="G186" s="566" t="str">
        <f>IF(OR('Jeevan Arogya'!$E$17,'Jeevan Arogya'!$H$17="NA")," ",(JACA!AB34))</f>
        <v/>
      </c>
      <c r="H186" s="566" t="str">
        <f>IF(OR('Jeevan Arogya'!$E$17,'Jeevan Arogya'!$H$17="NA")," ",(JACA!AB35))</f>
        <v/>
      </c>
      <c r="I186" s="566" t="str">
        <f>IF(OR('Jeevan Arogya'!$E$17,'Jeevan Arogya'!$H$17="NA")," ",(JACA!AB36))</f>
        <v/>
      </c>
      <c r="J186" s="566" t="str">
        <f>IF(OR('Jeevan Arogya'!$E$17,'Jeevan Arogya'!$H$17="NA")," ",(JACA!AB37))</f>
        <v/>
      </c>
      <c r="K186" s="1445"/>
      <c r="L186" s="864"/>
      <c r="M186" s="864"/>
      <c r="N186" s="864"/>
      <c r="O186" s="864"/>
      <c r="P186" s="864"/>
    </row>
    <row r="187" spans="1:16" ht="20.25" customHeight="1">
      <c r="A187" s="1446" t="str">
        <f>IF(OR('Jeevan Arogya'!E17,'Jeevan Arogya'!H17="NA")," ","HCB    ICU ")</f>
        <v/>
      </c>
      <c r="B187" s="1446"/>
      <c r="C187" s="566" t="str">
        <f>IF(OR('Jeevan Arogya'!$E$17,'Jeevan Arogya'!$H$17="NA")," ",(C186)*2)</f>
        <v/>
      </c>
      <c r="D187" s="566" t="str">
        <f>IF(OR('Jeevan Arogya'!$E$17,'Jeevan Arogya'!$H$17="NA")," ",(D186)*2)</f>
        <v/>
      </c>
      <c r="E187" s="566" t="str">
        <f>IF(OR('Jeevan Arogya'!$E$17,'Jeevan Arogya'!$H$17="NA")," ",(E186)*2)</f>
        <v/>
      </c>
      <c r="F187" s="566" t="str">
        <f>IF(OR('Jeevan Arogya'!$E$17,'Jeevan Arogya'!$H$17="NA")," ",(F186)*2)</f>
        <v/>
      </c>
      <c r="G187" s="566" t="str">
        <f>IF(OR('Jeevan Arogya'!$E$17,'Jeevan Arogya'!$H$17="NA")," ",(G186)*2)</f>
        <v/>
      </c>
      <c r="H187" s="566" t="str">
        <f>IF(OR('Jeevan Arogya'!$E$17,'Jeevan Arogya'!$H$17="NA")," ",(H186)*2)</f>
        <v/>
      </c>
      <c r="I187" s="566" t="str">
        <f>IF(OR('Jeevan Arogya'!$E$17,'Jeevan Arogya'!$H$17="NA")," ",(I186)*2)</f>
        <v/>
      </c>
      <c r="J187" s="566" t="str">
        <f>IF(OR('Jeevan Arogya'!$E$17,'Jeevan Arogya'!$H$17="NA")," ",(J186)*2)</f>
        <v/>
      </c>
      <c r="K187" s="1445"/>
      <c r="L187" s="864"/>
      <c r="M187" s="864"/>
      <c r="N187" s="864"/>
      <c r="O187" s="864"/>
      <c r="P187" s="864"/>
    </row>
    <row r="188" spans="1:16" ht="24" customHeight="1">
      <c r="A188" s="1446" t="str">
        <f>IF(OR('Jeevan Arogya'!E17,'Jeevan Arogya'!H17="NA")," ","MAXIMUM HCB ")</f>
        <v/>
      </c>
      <c r="B188" s="1446"/>
      <c r="C188" s="566" t="str">
        <f>IF(OR('Jeevan Arogya'!$E$17,'Jeevan Arogya'!$H$17="NA")," ",(JACA!J30))</f>
        <v/>
      </c>
      <c r="D188" s="566" t="str">
        <f>IF(OR('Jeevan Arogya'!$E$17,'Jeevan Arogya'!$H$17="NA")," ",(JACA!J31))</f>
        <v/>
      </c>
      <c r="E188" s="566" t="str">
        <f>IF(OR('Jeevan Arogya'!$E$17,'Jeevan Arogya'!$H$17="NA")," ",(JACA!J32))</f>
        <v/>
      </c>
      <c r="F188" s="566" t="str">
        <f>IF(OR('Jeevan Arogya'!$E$17,'Jeevan Arogya'!$H$17="NA")," ",(JACA!J33))</f>
        <v/>
      </c>
      <c r="G188" s="566" t="str">
        <f>IF(OR('Jeevan Arogya'!$E$17,'Jeevan Arogya'!$H$17="NA")," ",(JACA!J34))</f>
        <v/>
      </c>
      <c r="H188" s="566" t="str">
        <f>IF(OR('Jeevan Arogya'!$E$17,'Jeevan Arogya'!$H$17="NA")," ",(JACA!J35))</f>
        <v/>
      </c>
      <c r="I188" s="566" t="str">
        <f>IF(OR('Jeevan Arogya'!$E$17,'Jeevan Arogya'!$H$17="NA")," ",(JACA!J36))</f>
        <v/>
      </c>
      <c r="J188" s="566" t="str">
        <f>IF(OR('Jeevan Arogya'!$E$17,'Jeevan Arogya'!$H$17="NA")," ",(JACA!J37))</f>
        <v/>
      </c>
      <c r="K188" s="565" t="str">
        <f>IF(OR('Jeevan Arogya'!E17,'Jeevan Arogya'!H17="NA")," ",(JACA!J40))</f>
        <v/>
      </c>
      <c r="L188" s="864"/>
      <c r="M188" s="864"/>
      <c r="N188" s="864"/>
      <c r="O188" s="864"/>
      <c r="P188" s="864"/>
    </row>
    <row r="189" spans="1:16" ht="26.25" customHeight="1">
      <c r="A189" s="1446" t="str">
        <f>IF(OR('Jeevan Arogya'!E17,'Jeevan Arogya'!H17="NA")," ","MAXIMUM  MSB")</f>
        <v/>
      </c>
      <c r="B189" s="1446"/>
      <c r="C189" s="566" t="str">
        <f>IF(OR('Jeevan Arogya'!$E$17,'Jeevan Arogya'!$H$17="NA")," ",(JACA!AB41))</f>
        <v/>
      </c>
      <c r="D189" s="566" t="str">
        <f>IF(OR('Jeevan Arogya'!$E$17,'Jeevan Arogya'!$H$17="NA")," ",(JACA!AB42))</f>
        <v/>
      </c>
      <c r="E189" s="566" t="str">
        <f>IF(OR('Jeevan Arogya'!$E$17,'Jeevan Arogya'!$H$17="NA")," ",(JACA!AB43))</f>
        <v/>
      </c>
      <c r="F189" s="566" t="str">
        <f>IF(OR('Jeevan Arogya'!$E$17,'Jeevan Arogya'!$H$17="NA")," ",(JACA!AB44))</f>
        <v/>
      </c>
      <c r="G189" s="566" t="str">
        <f>IF(OR('Jeevan Arogya'!$E$17,'Jeevan Arogya'!$H$17="NA")," ",(JACA!AB45))</f>
        <v/>
      </c>
      <c r="H189" s="566" t="str">
        <f>IF(OR('Jeevan Arogya'!$E$17,'Jeevan Arogya'!$H$17="NA")," ",(JACA!AB46))</f>
        <v/>
      </c>
      <c r="I189" s="566" t="str">
        <f>IF(OR('Jeevan Arogya'!$E$17,'Jeevan Arogya'!$H$17="NA")," ",(JACA!AB47))</f>
        <v/>
      </c>
      <c r="J189" s="566" t="str">
        <f>IF(OR('Jeevan Arogya'!$E$17,'Jeevan Arogya'!$H$17="NA")," ",(JACA!AB48))</f>
        <v/>
      </c>
      <c r="K189" s="565" t="str">
        <f>IF(OR('Jeevan Arogya'!E17,'Jeevan Arogya'!H17="NA")," ",(JACA!J43))</f>
        <v/>
      </c>
      <c r="L189" s="864"/>
      <c r="M189" s="864"/>
      <c r="N189" s="864"/>
      <c r="O189" s="864"/>
      <c r="P189" s="864"/>
    </row>
    <row r="190" spans="1:16" ht="26.25" customHeight="1">
      <c r="A190" s="1446" t="str">
        <f>IF(OR('Jeevan Arogya'!E17,'Jeevan Arogya'!H17="NA")," ","DCPB ")</f>
        <v/>
      </c>
      <c r="B190" s="1446"/>
      <c r="C190" s="566" t="str">
        <f>IF(OR('Jeevan Arogya'!$E$17,'Jeevan Arogya'!$H$17="NA")," ",(JACA!J45))</f>
        <v/>
      </c>
      <c r="D190" s="566" t="str">
        <f>IF(OR('Jeevan Arogya'!$E$17,'Jeevan Arogya'!$H$17="NA")," ",(JACA!J46))</f>
        <v/>
      </c>
      <c r="E190" s="566" t="str">
        <f>IF(OR('Jeevan Arogya'!$E$17,'Jeevan Arogya'!$H$17="NA")," ",(JACA!J47))</f>
        <v/>
      </c>
      <c r="F190" s="566" t="str">
        <f>IF(OR('Jeevan Arogya'!$E$17,'Jeevan Arogya'!$H$17="NA")," ",(JACA!J48))</f>
        <v/>
      </c>
      <c r="G190" s="566" t="str">
        <f>IF(OR('Jeevan Arogya'!$E$17,'Jeevan Arogya'!$H$17="NA")," ",(JACA!J49))</f>
        <v/>
      </c>
      <c r="H190" s="566" t="str">
        <f>IF(OR('Jeevan Arogya'!$E$17,'Jeevan Arogya'!$H$17="NA")," ",(JACA!J50))</f>
        <v/>
      </c>
      <c r="I190" s="566" t="str">
        <f>IF(OR('Jeevan Arogya'!$E$17,'Jeevan Arogya'!$H$17="NA")," ",(JACA!J51))</f>
        <v/>
      </c>
      <c r="J190" s="566" t="str">
        <f>IF(OR('Jeevan Arogya'!$E$17,'Jeevan Arogya'!$H$17="NA")," ",(JACA!J52))</f>
        <v/>
      </c>
      <c r="K190" s="565" t="str">
        <f>IF(OR('Jeevan Arogya'!E17,'Jeevan Arogya'!H17="NA")," ",(JACA!J53))</f>
        <v/>
      </c>
      <c r="L190" s="864"/>
      <c r="M190" s="864"/>
      <c r="N190" s="864"/>
      <c r="O190" s="864"/>
      <c r="P190" s="864"/>
    </row>
    <row r="191" spans="1:16" ht="26.25" customHeight="1">
      <c r="A191" s="1446" t="str">
        <f>IF(OR('Jeevan Arogya'!E17,'Jeevan Arogya'!H17="NA")," ","OSB ")</f>
        <v/>
      </c>
      <c r="B191" s="1446"/>
      <c r="C191" s="566" t="str">
        <f>IF(OR('Jeevan Arogya'!$E$17,'Jeevan Arogya'!$H$17="NA")," ",(JACA!J55))</f>
        <v/>
      </c>
      <c r="D191" s="566" t="str">
        <f>IF(OR('Jeevan Arogya'!$E$17,'Jeevan Arogya'!$H$17="NA")," ",(JACA!J56))</f>
        <v/>
      </c>
      <c r="E191" s="566" t="str">
        <f>IF(OR('Jeevan Arogya'!$E$17,'Jeevan Arogya'!$H$17="NA")," ",(JACA!J57))</f>
        <v/>
      </c>
      <c r="F191" s="566" t="str">
        <f>IF(OR('Jeevan Arogya'!$E$17,'Jeevan Arogya'!$H$17="NA")," ",(JACA!J58))</f>
        <v/>
      </c>
      <c r="G191" s="566" t="str">
        <f>IF(OR('Jeevan Arogya'!$E$17,'Jeevan Arogya'!$H$17="NA")," ",(JACA!J59))</f>
        <v/>
      </c>
      <c r="H191" s="566" t="str">
        <f>IF(OR('Jeevan Arogya'!$E$17,'Jeevan Arogya'!$H$17="NA")," ",(JACA!J60))</f>
        <v/>
      </c>
      <c r="I191" s="566" t="str">
        <f>IF(OR('Jeevan Arogya'!$E$17,'Jeevan Arogya'!$H$17="NA")," ",(JACA!J61))</f>
        <v/>
      </c>
      <c r="J191" s="566" t="str">
        <f>IF(OR('Jeevan Arogya'!$E$17,'Jeevan Arogya'!$H$17="NA")," ",(JACA!J62))</f>
        <v/>
      </c>
      <c r="K191" s="565" t="str">
        <f>IF(OR('Jeevan Arogya'!E17,'Jeevan Arogya'!H17="NA")," ",(JACA!J64))</f>
        <v/>
      </c>
      <c r="L191" s="864"/>
      <c r="M191" s="864"/>
      <c r="N191" s="864"/>
      <c r="O191" s="864"/>
      <c r="P191" s="864"/>
    </row>
    <row r="192" spans="1:16" hidden="1">
      <c r="A192" s="864"/>
      <c r="B192" s="864"/>
      <c r="C192" s="864"/>
      <c r="D192" s="864"/>
      <c r="E192" s="864"/>
      <c r="F192" s="864"/>
      <c r="G192" s="864"/>
      <c r="H192" s="864"/>
      <c r="I192" s="864"/>
      <c r="J192" s="864"/>
      <c r="K192" s="864"/>
      <c r="L192" s="864"/>
      <c r="M192" s="864"/>
      <c r="N192" s="864"/>
      <c r="O192" s="864"/>
      <c r="P192" s="864"/>
    </row>
    <row r="193" spans="1:16">
      <c r="A193" s="864"/>
      <c r="B193" s="864"/>
      <c r="C193" s="864"/>
      <c r="D193" s="864"/>
      <c r="E193" s="864"/>
      <c r="F193" s="864"/>
      <c r="G193" s="864"/>
      <c r="H193" s="864"/>
      <c r="I193" s="864"/>
      <c r="J193" s="864"/>
      <c r="K193" s="864"/>
      <c r="L193" s="864"/>
      <c r="M193" s="864"/>
      <c r="N193" s="864"/>
      <c r="O193" s="864"/>
      <c r="P193" s="864"/>
    </row>
    <row r="194" spans="1:16" hidden="1"/>
  </sheetData>
  <mergeCells count="189">
    <mergeCell ref="B3:E3"/>
    <mergeCell ref="B4:E4"/>
    <mergeCell ref="B5:E5"/>
    <mergeCell ref="B6:E6"/>
    <mergeCell ref="B7:E7"/>
    <mergeCell ref="B8:E8"/>
    <mergeCell ref="N13:P14"/>
    <mergeCell ref="N21:P22"/>
    <mergeCell ref="E18:K18"/>
    <mergeCell ref="E19:K19"/>
    <mergeCell ref="E16:K16"/>
    <mergeCell ref="E17:K17"/>
    <mergeCell ref="B9:E9"/>
    <mergeCell ref="A14:K14"/>
    <mergeCell ref="N19:P20"/>
    <mergeCell ref="N9:P11"/>
    <mergeCell ref="E20:K20"/>
    <mergeCell ref="E21:H21"/>
    <mergeCell ref="E22:K22"/>
    <mergeCell ref="A11:K11"/>
    <mergeCell ref="B13:D13"/>
    <mergeCell ref="H13:J13"/>
    <mergeCell ref="E45:I45"/>
    <mergeCell ref="J45:K45"/>
    <mergeCell ref="B39:D41"/>
    <mergeCell ref="E39:K39"/>
    <mergeCell ref="E41:K41"/>
    <mergeCell ref="E24:K24"/>
    <mergeCell ref="E28:J28"/>
    <mergeCell ref="E29:K29"/>
    <mergeCell ref="E30:K30"/>
    <mergeCell ref="E31:J31"/>
    <mergeCell ref="E32:K32"/>
    <mergeCell ref="E27:K27"/>
    <mergeCell ref="E25:K25"/>
    <mergeCell ref="E26:K26"/>
    <mergeCell ref="E33:J33"/>
    <mergeCell ref="E34:K34"/>
    <mergeCell ref="A36:D37"/>
    <mergeCell ref="E36:K36"/>
    <mergeCell ref="E37:K37"/>
    <mergeCell ref="B38:C38"/>
    <mergeCell ref="E38:J38"/>
    <mergeCell ref="A39:A41"/>
    <mergeCell ref="E44:I44"/>
    <mergeCell ref="J44:K44"/>
    <mergeCell ref="E23:K23"/>
    <mergeCell ref="B85:E85"/>
    <mergeCell ref="H85:I85"/>
    <mergeCell ref="J85:K85"/>
    <mergeCell ref="A70:B71"/>
    <mergeCell ref="C70:J71"/>
    <mergeCell ref="A72:B72"/>
    <mergeCell ref="A52:D52"/>
    <mergeCell ref="E52:K52"/>
    <mergeCell ref="A42:D43"/>
    <mergeCell ref="E42:K42"/>
    <mergeCell ref="E43:I43"/>
    <mergeCell ref="J43:K43"/>
    <mergeCell ref="A50:D50"/>
    <mergeCell ref="E50:I50"/>
    <mergeCell ref="J50:K50"/>
    <mergeCell ref="A51:D51"/>
    <mergeCell ref="A53:D53"/>
    <mergeCell ref="E53:K57"/>
    <mergeCell ref="A54:D54"/>
    <mergeCell ref="A55:D55"/>
    <mergeCell ref="C61:H61"/>
    <mergeCell ref="D62:G62"/>
    <mergeCell ref="E48:K48"/>
    <mergeCell ref="E49:K49"/>
    <mergeCell ref="C63:H65"/>
    <mergeCell ref="A67:D68"/>
    <mergeCell ref="E67:E68"/>
    <mergeCell ref="F67:G68"/>
    <mergeCell ref="I67:K67"/>
    <mergeCell ref="I68:K68"/>
    <mergeCell ref="E51:K51"/>
    <mergeCell ref="E47:K47"/>
    <mergeCell ref="A81:B81"/>
    <mergeCell ref="D83:G83"/>
    <mergeCell ref="A75:B75"/>
    <mergeCell ref="K75:K77"/>
    <mergeCell ref="A76:B76"/>
    <mergeCell ref="A77:B77"/>
    <mergeCell ref="A78:B78"/>
    <mergeCell ref="A79:B79"/>
    <mergeCell ref="B74:E74"/>
    <mergeCell ref="H74:I74"/>
    <mergeCell ref="J74:K74"/>
    <mergeCell ref="A80:B80"/>
    <mergeCell ref="B107:E107"/>
    <mergeCell ref="H107:I107"/>
    <mergeCell ref="J107:K107"/>
    <mergeCell ref="A108:B108"/>
    <mergeCell ref="K108:K110"/>
    <mergeCell ref="A109:B109"/>
    <mergeCell ref="A110:B110"/>
    <mergeCell ref="A86:B86"/>
    <mergeCell ref="K86:K88"/>
    <mergeCell ref="A87:B87"/>
    <mergeCell ref="A88:B88"/>
    <mergeCell ref="A103:B103"/>
    <mergeCell ref="D105:G105"/>
    <mergeCell ref="A89:B89"/>
    <mergeCell ref="A90:B90"/>
    <mergeCell ref="A91:B91"/>
    <mergeCell ref="A92:B92"/>
    <mergeCell ref="A101:B102"/>
    <mergeCell ref="C101:J102"/>
    <mergeCell ref="A111:B111"/>
    <mergeCell ref="A112:B112"/>
    <mergeCell ref="A113:B113"/>
    <mergeCell ref="A114:B114"/>
    <mergeCell ref="D116:G116"/>
    <mergeCell ref="B118:E118"/>
    <mergeCell ref="H118:I118"/>
    <mergeCell ref="J118:K118"/>
    <mergeCell ref="A119:B119"/>
    <mergeCell ref="K119:K121"/>
    <mergeCell ref="A120:B120"/>
    <mergeCell ref="A121:B121"/>
    <mergeCell ref="A122:B122"/>
    <mergeCell ref="A123:B123"/>
    <mergeCell ref="A163:B163"/>
    <mergeCell ref="A133:B133"/>
    <mergeCell ref="A134:B134"/>
    <mergeCell ref="A135:B135"/>
    <mergeCell ref="A136:B136"/>
    <mergeCell ref="A141:B142"/>
    <mergeCell ref="A132:B132"/>
    <mergeCell ref="A143:B143"/>
    <mergeCell ref="C141:J142"/>
    <mergeCell ref="A124:B124"/>
    <mergeCell ref="A125:B125"/>
    <mergeCell ref="D127:G127"/>
    <mergeCell ref="B129:E129"/>
    <mergeCell ref="H129:I129"/>
    <mergeCell ref="J129:K129"/>
    <mergeCell ref="A130:B130"/>
    <mergeCell ref="K130:K132"/>
    <mergeCell ref="A131:B131"/>
    <mergeCell ref="A190:B190"/>
    <mergeCell ref="A191:B191"/>
    <mergeCell ref="A188:B188"/>
    <mergeCell ref="B172:E172"/>
    <mergeCell ref="B184:E184"/>
    <mergeCell ref="A165:B165"/>
    <mergeCell ref="A185:B185"/>
    <mergeCell ref="D145:G145"/>
    <mergeCell ref="B147:E147"/>
    <mergeCell ref="A189:B189"/>
    <mergeCell ref="A166:B166"/>
    <mergeCell ref="A161:B161"/>
    <mergeCell ref="A162:B162"/>
    <mergeCell ref="A152:B152"/>
    <mergeCell ref="A153:B153"/>
    <mergeCell ref="J147:K147"/>
    <mergeCell ref="A164:B164"/>
    <mergeCell ref="A148:B148"/>
    <mergeCell ref="K148:K150"/>
    <mergeCell ref="A149:B149"/>
    <mergeCell ref="A150:B150"/>
    <mergeCell ref="A151:B151"/>
    <mergeCell ref="J159:K159"/>
    <mergeCell ref="A160:B160"/>
    <mergeCell ref="K160:K162"/>
    <mergeCell ref="D157:G157"/>
    <mergeCell ref="B159:E159"/>
    <mergeCell ref="H159:I159"/>
    <mergeCell ref="H147:I147"/>
    <mergeCell ref="K185:K187"/>
    <mergeCell ref="A186:B186"/>
    <mergeCell ref="A187:B187"/>
    <mergeCell ref="A179:B179"/>
    <mergeCell ref="A154:B154"/>
    <mergeCell ref="J184:K184"/>
    <mergeCell ref="D182:G182"/>
    <mergeCell ref="J172:K172"/>
    <mergeCell ref="A173:B173"/>
    <mergeCell ref="K173:K175"/>
    <mergeCell ref="A174:B174"/>
    <mergeCell ref="D170:G170"/>
    <mergeCell ref="H172:I172"/>
    <mergeCell ref="A175:B175"/>
    <mergeCell ref="A176:B176"/>
    <mergeCell ref="A177:B177"/>
    <mergeCell ref="A178:B178"/>
    <mergeCell ref="H184:I184"/>
  </mergeCells>
  <hyperlinks>
    <hyperlink ref="N21:P22" location="'Jeevan Arogya'!A1" display="CLICK HERE"/>
    <hyperlink ref="N13:P14" location="'VASANTHAM HOME'!A1" display="CLICK HERE"/>
  </hyperlinks>
  <pageMargins left="0.7" right="0.7" top="0.75" bottom="0.75" header="0.3" footer="0.3"/>
  <pageSetup scale="85" orientation="portrait" horizontalDpi="300" verticalDpi="300" r:id="rId1"/>
  <headerFooter>
    <oddFooter>&amp;C&amp;K02-024VASANTHAM SMART</oddFooter>
  </headerFooter>
  <drawing r:id="rId2"/>
</worksheet>
</file>

<file path=xl/worksheets/sheet5.xml><?xml version="1.0" encoding="utf-8"?>
<worksheet xmlns="http://schemas.openxmlformats.org/spreadsheetml/2006/main" xmlns:r="http://schemas.openxmlformats.org/officeDocument/2006/relationships">
  <sheetPr codeName="Sheet410"/>
  <dimension ref="A1:AZ129"/>
  <sheetViews>
    <sheetView workbookViewId="0">
      <selection activeCell="C31" sqref="C31"/>
    </sheetView>
  </sheetViews>
  <sheetFormatPr defaultColWidth="0" defaultRowHeight="8.25" zeroHeight="1"/>
  <cols>
    <col min="1" max="1" width="33.375" style="868" customWidth="1"/>
    <col min="2" max="2" width="16.375" style="868" customWidth="1"/>
    <col min="3" max="3" width="11.125" style="868" customWidth="1"/>
    <col min="4" max="4" width="9.5" style="868" customWidth="1"/>
    <col min="5" max="5" width="9.875" style="868" customWidth="1"/>
    <col min="6" max="6" width="9.5" style="868" customWidth="1"/>
    <col min="7" max="8" width="9.125" style="868" customWidth="1"/>
    <col min="9" max="9" width="10.5" style="868" customWidth="1"/>
    <col min="10" max="10" width="10.875" style="868" customWidth="1"/>
    <col min="11" max="48" width="9.125" style="869" customWidth="1"/>
    <col min="49" max="52" width="9.125" style="868" customWidth="1"/>
    <col min="53" max="16384" width="9.125" style="868" hidden="1"/>
  </cols>
  <sheetData>
    <row r="1" spans="1:52">
      <c r="A1" s="1543" t="s">
        <v>592</v>
      </c>
      <c r="B1" s="1543"/>
      <c r="C1" s="1543"/>
      <c r="D1" s="1543"/>
      <c r="E1" s="1543"/>
      <c r="F1" s="1543"/>
      <c r="G1" s="1543"/>
      <c r="H1" s="1543"/>
      <c r="I1" s="1543"/>
      <c r="J1" s="1543"/>
      <c r="K1" s="866"/>
      <c r="L1" s="866"/>
      <c r="M1" s="866"/>
      <c r="N1" s="866"/>
      <c r="O1" s="866"/>
      <c r="P1" s="866"/>
      <c r="Q1" s="866"/>
      <c r="R1" s="866"/>
      <c r="S1" s="866"/>
      <c r="T1" s="866"/>
      <c r="U1" s="866"/>
      <c r="V1" s="866"/>
      <c r="W1" s="866"/>
      <c r="X1" s="866"/>
      <c r="Y1" s="866"/>
      <c r="Z1" s="866"/>
      <c r="AA1" s="866"/>
      <c r="AB1" s="866"/>
      <c r="AC1" s="866"/>
      <c r="AD1" s="866"/>
      <c r="AE1" s="866"/>
      <c r="AF1" s="866"/>
      <c r="AG1" s="866"/>
      <c r="AH1" s="866"/>
      <c r="AI1" s="866"/>
      <c r="AJ1" s="866"/>
      <c r="AK1" s="866"/>
      <c r="AL1" s="866"/>
      <c r="AM1" s="866"/>
      <c r="AN1" s="866"/>
      <c r="AO1" s="866"/>
      <c r="AP1" s="866"/>
      <c r="AQ1" s="866"/>
      <c r="AR1" s="866"/>
      <c r="AS1" s="866"/>
      <c r="AT1" s="866"/>
      <c r="AU1" s="866"/>
      <c r="AV1" s="866"/>
      <c r="AW1" s="867"/>
      <c r="AX1" s="867"/>
      <c r="AY1" s="867"/>
      <c r="AZ1" s="867"/>
    </row>
    <row r="2" spans="1:52">
      <c r="A2" s="1543" t="s">
        <v>591</v>
      </c>
      <c r="B2" s="1543"/>
      <c r="C2" s="1543"/>
      <c r="D2" s="1543"/>
      <c r="E2" s="1543"/>
      <c r="F2" s="1543"/>
      <c r="G2" s="1543"/>
      <c r="H2" s="1543"/>
      <c r="I2" s="1543"/>
      <c r="J2" s="1543"/>
      <c r="K2" s="866" t="str">
        <f>IF('Jeevan Arogya'!G6="YEARLY","Y","H")</f>
        <v>Y</v>
      </c>
      <c r="L2" s="866"/>
      <c r="M2" s="866"/>
      <c r="N2" s="866"/>
      <c r="O2" s="866"/>
      <c r="P2" s="866"/>
      <c r="Q2" s="866"/>
      <c r="R2" s="866"/>
      <c r="S2" s="866"/>
      <c r="T2" s="866"/>
      <c r="U2" s="866"/>
      <c r="V2" s="866"/>
      <c r="W2" s="866"/>
      <c r="X2" s="866"/>
      <c r="Y2" s="866"/>
      <c r="Z2" s="866"/>
      <c r="AA2" s="866"/>
      <c r="AB2" s="866"/>
      <c r="AC2" s="866"/>
      <c r="AD2" s="866"/>
      <c r="AE2" s="866"/>
      <c r="AF2" s="866"/>
      <c r="AG2" s="866"/>
      <c r="AH2" s="869" t="s">
        <v>590</v>
      </c>
      <c r="AI2" s="866"/>
      <c r="AJ2" s="866"/>
      <c r="AK2" s="866"/>
      <c r="AL2" s="869" t="s">
        <v>589</v>
      </c>
      <c r="AM2" s="866"/>
      <c r="AN2" s="866"/>
      <c r="AO2" s="866"/>
      <c r="AP2" s="866"/>
      <c r="AQ2" s="866"/>
      <c r="AR2" s="869" t="s">
        <v>588</v>
      </c>
      <c r="AS2" s="866"/>
      <c r="AT2" s="866"/>
      <c r="AU2" s="866"/>
      <c r="AV2" s="866"/>
      <c r="AW2" s="867"/>
      <c r="AX2" s="867"/>
      <c r="AY2" s="867"/>
      <c r="AZ2" s="867"/>
    </row>
    <row r="3" spans="1:52">
      <c r="A3" s="869" t="s">
        <v>587</v>
      </c>
      <c r="B3" s="869" t="str">
        <f>K2</f>
        <v>Y</v>
      </c>
      <c r="C3" s="1547"/>
      <c r="D3" s="1547"/>
      <c r="E3" s="1547"/>
      <c r="F3" s="1547"/>
      <c r="G3" s="1547"/>
      <c r="H3" s="1547"/>
      <c r="I3" s="1547"/>
      <c r="J3" s="1547"/>
      <c r="K3" s="866"/>
      <c r="L3" s="869" t="s">
        <v>560</v>
      </c>
      <c r="M3" s="866"/>
      <c r="N3" s="866"/>
      <c r="O3" s="866"/>
      <c r="P3" s="866"/>
      <c r="Q3" s="866"/>
      <c r="R3" s="866"/>
      <c r="S3" s="866"/>
      <c r="T3" s="866"/>
      <c r="U3" s="866"/>
      <c r="V3" s="866"/>
      <c r="W3" s="866"/>
      <c r="X3" s="866"/>
      <c r="Y3" s="866"/>
      <c r="Z3" s="866"/>
      <c r="AA3" s="866"/>
      <c r="AB3" s="866"/>
      <c r="AC3" s="866"/>
      <c r="AD3" s="866"/>
      <c r="AE3" s="866"/>
      <c r="AF3" s="866"/>
      <c r="AG3" s="866"/>
      <c r="AH3" s="866"/>
      <c r="AI3" s="866"/>
      <c r="AJ3" s="866"/>
      <c r="AK3" s="866"/>
      <c r="AL3" s="866"/>
      <c r="AM3" s="866"/>
      <c r="AN3" s="866"/>
      <c r="AO3" s="866"/>
      <c r="AP3" s="866"/>
      <c r="AQ3" s="866"/>
      <c r="AR3" s="866"/>
      <c r="AS3" s="866"/>
      <c r="AT3" s="869" t="s">
        <v>586</v>
      </c>
      <c r="AU3" s="866"/>
      <c r="AV3" s="866"/>
      <c r="AW3" s="867"/>
      <c r="AX3" s="867"/>
      <c r="AY3" s="867"/>
      <c r="AZ3" s="867"/>
    </row>
    <row r="4" spans="1:52">
      <c r="A4" s="869" t="s">
        <v>511</v>
      </c>
      <c r="B4" s="866" t="str">
        <f>'Jeevan Arogya'!C9</f>
        <v>PRINCIPAL INSURED</v>
      </c>
      <c r="C4" s="870" t="str">
        <f>'Jeevan Arogya'!C10</f>
        <v>WIFE / HUSBAND</v>
      </c>
      <c r="D4" s="870" t="str">
        <f>'Jeevan Arogya'!C11</f>
        <v>CHILD -1</v>
      </c>
      <c r="E4" s="870" t="str">
        <f>'Jeevan Arogya'!C12</f>
        <v>CHILD -2</v>
      </c>
      <c r="F4" s="870" t="str">
        <f>'Jeevan Arogya'!C13</f>
        <v>CHILD -3</v>
      </c>
      <c r="G4" s="871" t="str">
        <f>'Jeevan Arogya'!C14</f>
        <v>FATHER</v>
      </c>
      <c r="H4" s="871" t="str">
        <f>'Jeevan Arogya'!C15</f>
        <v>MOTHER</v>
      </c>
      <c r="I4" s="871" t="str">
        <f>'Jeevan Arogya'!C16</f>
        <v>FATHER-IN-LAW</v>
      </c>
      <c r="J4" s="871" t="str">
        <f>'Jeevan Arogya'!C17</f>
        <v>MOTHER-IN-LAW</v>
      </c>
      <c r="K4" s="866"/>
      <c r="L4" s="866"/>
      <c r="M4" s="869" t="s">
        <v>550</v>
      </c>
      <c r="N4" s="869" t="s">
        <v>585</v>
      </c>
      <c r="O4" s="866"/>
      <c r="P4" s="866"/>
      <c r="Q4" s="866"/>
      <c r="R4" s="866"/>
      <c r="S4" s="866"/>
      <c r="T4" s="866"/>
      <c r="U4" s="866"/>
      <c r="V4" s="866"/>
      <c r="W4" s="866"/>
      <c r="X4" s="866"/>
      <c r="Y4" s="866"/>
      <c r="Z4" s="866"/>
      <c r="AA4" s="866"/>
      <c r="AB4" s="866"/>
      <c r="AC4" s="866"/>
      <c r="AD4" s="866"/>
      <c r="AE4" s="866"/>
      <c r="AF4" s="866"/>
      <c r="AG4" s="866"/>
      <c r="AH4" s="869" t="s">
        <v>584</v>
      </c>
      <c r="AI4" s="866"/>
      <c r="AJ4" s="866"/>
      <c r="AK4" s="866"/>
      <c r="AL4" s="869" t="s">
        <v>584</v>
      </c>
      <c r="AM4" s="866"/>
      <c r="AN4" s="866"/>
      <c r="AO4" s="866"/>
      <c r="AP4" s="869" t="s">
        <v>583</v>
      </c>
      <c r="AQ4" s="866"/>
      <c r="AR4" s="866"/>
      <c r="AS4" s="866"/>
      <c r="AT4" s="869" t="s">
        <v>582</v>
      </c>
      <c r="AU4" s="866"/>
      <c r="AV4" s="866"/>
      <c r="AW4" s="867"/>
      <c r="AX4" s="867"/>
      <c r="AY4" s="867"/>
      <c r="AZ4" s="867"/>
    </row>
    <row r="5" spans="1:52">
      <c r="A5" s="869"/>
      <c r="B5" s="869"/>
      <c r="C5" s="869"/>
      <c r="D5" s="869"/>
      <c r="E5" s="869"/>
      <c r="F5" s="869"/>
      <c r="G5" s="869"/>
      <c r="H5" s="869"/>
      <c r="I5" s="869"/>
      <c r="J5" s="869"/>
      <c r="K5" s="866"/>
      <c r="L5" s="872">
        <v>0</v>
      </c>
      <c r="M5" s="872">
        <v>0</v>
      </c>
      <c r="N5" s="872">
        <v>0</v>
      </c>
      <c r="O5" s="866"/>
      <c r="P5" s="866"/>
      <c r="Q5" s="866"/>
      <c r="R5" s="866"/>
      <c r="S5" s="866"/>
      <c r="T5" s="866"/>
      <c r="U5" s="866"/>
      <c r="V5" s="866"/>
      <c r="W5" s="866"/>
      <c r="X5" s="866"/>
      <c r="Y5" s="866"/>
      <c r="Z5" s="866"/>
      <c r="AA5" s="866"/>
      <c r="AB5" s="866"/>
      <c r="AC5" s="866"/>
      <c r="AD5" s="866"/>
      <c r="AE5" s="866"/>
      <c r="AF5" s="866"/>
      <c r="AG5" s="866"/>
      <c r="AH5" s="866"/>
      <c r="AI5" s="866"/>
      <c r="AJ5" s="866"/>
      <c r="AK5" s="866"/>
      <c r="AL5" s="866"/>
      <c r="AM5" s="866"/>
      <c r="AN5" s="866"/>
      <c r="AO5" s="866"/>
      <c r="AP5" s="866"/>
      <c r="AQ5" s="866"/>
      <c r="AR5" s="866"/>
      <c r="AS5" s="866"/>
      <c r="AT5" s="866"/>
      <c r="AU5" s="866"/>
      <c r="AV5" s="866"/>
      <c r="AW5" s="867"/>
      <c r="AX5" s="867"/>
      <c r="AY5" s="867"/>
      <c r="AZ5" s="867"/>
    </row>
    <row r="6" spans="1:52">
      <c r="A6" s="869" t="s">
        <v>581</v>
      </c>
      <c r="B6" s="872">
        <f>'Jeevan Arogya'!H9</f>
        <v>27</v>
      </c>
      <c r="C6" s="872" t="str">
        <f>'Jeevan Arogya'!H10</f>
        <v>NA</v>
      </c>
      <c r="D6" s="869" t="str">
        <f>'Jeevan Arogya'!H11</f>
        <v>NA</v>
      </c>
      <c r="E6" s="869" t="str">
        <f>'Jeevan Arogya'!H12</f>
        <v>NA</v>
      </c>
      <c r="F6" s="869" t="str">
        <f>'Jeevan Arogya'!H13</f>
        <v>NA</v>
      </c>
      <c r="G6" s="869" t="str">
        <f>'Jeevan Arogya'!H14</f>
        <v>NA</v>
      </c>
      <c r="H6" s="869" t="str">
        <f>'Jeevan Arogya'!H15</f>
        <v>NA</v>
      </c>
      <c r="I6" s="869" t="str">
        <f>'Jeevan Arogya'!H16</f>
        <v>NA</v>
      </c>
      <c r="J6" s="869" t="str">
        <f>'Jeevan Arogya'!H17</f>
        <v>NA</v>
      </c>
      <c r="K6" s="866"/>
      <c r="L6" s="872">
        <v>2000</v>
      </c>
      <c r="M6" s="872">
        <v>500</v>
      </c>
      <c r="N6" s="872">
        <v>250</v>
      </c>
      <c r="O6" s="866"/>
      <c r="P6" s="866"/>
      <c r="Q6" s="866"/>
      <c r="R6" s="866"/>
      <c r="S6" s="866"/>
      <c r="T6" s="866"/>
      <c r="U6" s="866"/>
      <c r="V6" s="866"/>
      <c r="W6" s="866"/>
      <c r="X6" s="866"/>
      <c r="Y6" s="866"/>
      <c r="Z6" s="866"/>
      <c r="AA6" s="866"/>
      <c r="AB6" s="866"/>
      <c r="AC6" s="866"/>
      <c r="AD6" s="866"/>
      <c r="AE6" s="866"/>
      <c r="AF6" s="866"/>
      <c r="AG6" s="866"/>
      <c r="AH6" s="869" t="s">
        <v>574</v>
      </c>
      <c r="AI6" s="869" t="s">
        <v>580</v>
      </c>
      <c r="AJ6" s="869" t="s">
        <v>579</v>
      </c>
      <c r="AK6" s="866"/>
      <c r="AL6" s="869" t="s">
        <v>574</v>
      </c>
      <c r="AM6" s="869" t="s">
        <v>580</v>
      </c>
      <c r="AN6" s="869" t="s">
        <v>579</v>
      </c>
      <c r="AO6" s="866"/>
      <c r="AP6" s="869" t="s">
        <v>578</v>
      </c>
      <c r="AQ6" s="866"/>
      <c r="AR6" s="866"/>
      <c r="AS6" s="866"/>
      <c r="AT6" s="869" t="s">
        <v>577</v>
      </c>
      <c r="AU6" s="866"/>
      <c r="AV6" s="866"/>
      <c r="AW6" s="867"/>
      <c r="AX6" s="867"/>
      <c r="AY6" s="867"/>
      <c r="AZ6" s="867"/>
    </row>
    <row r="7" spans="1:52">
      <c r="A7" s="869" t="s">
        <v>576</v>
      </c>
      <c r="B7" s="869" t="str">
        <f>'Jeevan Arogya'!I9</f>
        <v>M</v>
      </c>
      <c r="C7" s="869" t="str">
        <f>'Jeevan Arogya'!I10</f>
        <v>F</v>
      </c>
      <c r="D7" s="869" t="str">
        <f>'Jeevan Arogya'!I11</f>
        <v>M</v>
      </c>
      <c r="E7" s="869" t="str">
        <f>'Jeevan Arogya'!I12</f>
        <v>M</v>
      </c>
      <c r="F7" s="869" t="str">
        <f>'Jeevan Arogya'!I13</f>
        <v>F</v>
      </c>
      <c r="G7" s="869" t="str">
        <f>'Jeevan Arogya'!I14</f>
        <v>M</v>
      </c>
      <c r="H7" s="869" t="str">
        <f>'Jeevan Arogya'!I15</f>
        <v>F</v>
      </c>
      <c r="I7" s="869" t="str">
        <f>'Jeevan Arogya'!I16</f>
        <v>M</v>
      </c>
      <c r="J7" s="869" t="str">
        <f>'Jeevan Arogya'!I17</f>
        <v>F</v>
      </c>
      <c r="K7" s="866"/>
      <c r="L7" s="872">
        <v>3000</v>
      </c>
      <c r="M7" s="872">
        <v>1000</v>
      </c>
      <c r="N7" s="872">
        <v>500</v>
      </c>
      <c r="O7" s="866"/>
      <c r="P7" s="866"/>
      <c r="Q7" s="866"/>
      <c r="R7" s="866"/>
      <c r="S7" s="866"/>
      <c r="T7" s="866"/>
      <c r="U7" s="866"/>
      <c r="V7" s="866"/>
      <c r="W7" s="866"/>
      <c r="X7" s="866"/>
      <c r="Y7" s="866"/>
      <c r="Z7" s="866"/>
      <c r="AA7" s="866"/>
      <c r="AB7" s="866"/>
      <c r="AC7" s="866"/>
      <c r="AD7" s="866"/>
      <c r="AE7" s="866"/>
      <c r="AF7" s="866"/>
      <c r="AG7" s="866"/>
      <c r="AH7" s="872">
        <v>18</v>
      </c>
      <c r="AI7" s="872">
        <v>1866.25</v>
      </c>
      <c r="AJ7" s="872">
        <v>1672.15</v>
      </c>
      <c r="AK7" s="866"/>
      <c r="AL7" s="872">
        <v>18</v>
      </c>
      <c r="AM7" s="872">
        <v>1532.5</v>
      </c>
      <c r="AN7" s="872">
        <v>1338.35</v>
      </c>
      <c r="AO7" s="866"/>
      <c r="AP7" s="866"/>
      <c r="AQ7" s="866"/>
      <c r="AR7" s="866"/>
      <c r="AS7" s="866"/>
      <c r="AT7" s="866"/>
      <c r="AU7" s="866"/>
      <c r="AV7" s="866"/>
      <c r="AW7" s="867"/>
      <c r="AX7" s="867"/>
      <c r="AY7" s="867"/>
      <c r="AZ7" s="867"/>
    </row>
    <row r="8" spans="1:52">
      <c r="A8" s="869" t="s">
        <v>575</v>
      </c>
      <c r="B8" s="872">
        <f>'Jeevan Arogya'!J9</f>
        <v>1000</v>
      </c>
      <c r="C8" s="872">
        <f>'Jeevan Arogya'!J10</f>
        <v>0</v>
      </c>
      <c r="D8" s="872">
        <f>'Jeevan Arogya'!J11</f>
        <v>0</v>
      </c>
      <c r="E8" s="872">
        <f>'Jeevan Arogya'!J12</f>
        <v>0</v>
      </c>
      <c r="F8" s="872">
        <f>'Jeevan Arogya'!J13</f>
        <v>0</v>
      </c>
      <c r="G8" s="872">
        <f>'Jeevan Arogya'!J14</f>
        <v>0</v>
      </c>
      <c r="H8" s="872">
        <f>'Jeevan Arogya'!J15</f>
        <v>0</v>
      </c>
      <c r="I8" s="872">
        <f>'Jeevan Arogya'!J16</f>
        <v>0</v>
      </c>
      <c r="J8" s="872">
        <f>'Jeevan Arogya'!J17</f>
        <v>0</v>
      </c>
      <c r="K8" s="866"/>
      <c r="L8" s="872">
        <v>4000</v>
      </c>
      <c r="M8" s="872">
        <v>1500</v>
      </c>
      <c r="N8" s="872">
        <v>750</v>
      </c>
      <c r="O8" s="866"/>
      <c r="P8" s="866"/>
      <c r="Q8" s="866"/>
      <c r="R8" s="866"/>
      <c r="S8" s="866"/>
      <c r="T8" s="866"/>
      <c r="U8" s="866"/>
      <c r="V8" s="866"/>
      <c r="W8" s="866"/>
      <c r="X8" s="866"/>
      <c r="Y8" s="866"/>
      <c r="Z8" s="866"/>
      <c r="AA8" s="866"/>
      <c r="AB8" s="866"/>
      <c r="AC8" s="866"/>
      <c r="AD8" s="866"/>
      <c r="AE8" s="866"/>
      <c r="AF8" s="866"/>
      <c r="AG8" s="866"/>
      <c r="AH8" s="872">
        <v>19</v>
      </c>
      <c r="AI8" s="872">
        <v>1895.8</v>
      </c>
      <c r="AJ8" s="872">
        <v>1698.3</v>
      </c>
      <c r="AK8" s="866"/>
      <c r="AL8" s="872">
        <v>19</v>
      </c>
      <c r="AM8" s="872">
        <v>1563.65</v>
      </c>
      <c r="AN8" s="872">
        <v>1366.15</v>
      </c>
      <c r="AO8" s="866"/>
      <c r="AP8" s="869" t="s">
        <v>574</v>
      </c>
      <c r="AQ8" s="869" t="s">
        <v>573</v>
      </c>
      <c r="AR8" s="866"/>
      <c r="AS8" s="866"/>
      <c r="AT8" s="869" t="s">
        <v>138</v>
      </c>
      <c r="AU8" s="869" t="s">
        <v>140</v>
      </c>
      <c r="AV8" s="869" t="s">
        <v>572</v>
      </c>
      <c r="AW8" s="867"/>
      <c r="AX8" s="867"/>
      <c r="AY8" s="867"/>
      <c r="AZ8" s="867"/>
    </row>
    <row r="9" spans="1:52">
      <c r="A9" s="869" t="s">
        <v>571</v>
      </c>
      <c r="B9" s="872">
        <f t="shared" ref="B9:J9" si="0">B8*100</f>
        <v>100000</v>
      </c>
      <c r="C9" s="872">
        <f t="shared" si="0"/>
        <v>0</v>
      </c>
      <c r="D9" s="872">
        <f t="shared" si="0"/>
        <v>0</v>
      </c>
      <c r="E9" s="872">
        <f t="shared" si="0"/>
        <v>0</v>
      </c>
      <c r="F9" s="872">
        <f t="shared" si="0"/>
        <v>0</v>
      </c>
      <c r="G9" s="872">
        <f t="shared" si="0"/>
        <v>0</v>
      </c>
      <c r="H9" s="872">
        <f t="shared" si="0"/>
        <v>0</v>
      </c>
      <c r="I9" s="872">
        <f t="shared" si="0"/>
        <v>0</v>
      </c>
      <c r="J9" s="872">
        <f t="shared" si="0"/>
        <v>0</v>
      </c>
      <c r="K9" s="866"/>
      <c r="L9" s="866"/>
      <c r="M9" s="866"/>
      <c r="N9" s="866"/>
      <c r="O9" s="866"/>
      <c r="P9" s="866"/>
      <c r="Q9" s="866"/>
      <c r="R9" s="866"/>
      <c r="S9" s="866"/>
      <c r="T9" s="866"/>
      <c r="U9" s="866"/>
      <c r="V9" s="866"/>
      <c r="W9" s="866"/>
      <c r="X9" s="866"/>
      <c r="Y9" s="866"/>
      <c r="Z9" s="866"/>
      <c r="AA9" s="866"/>
      <c r="AB9" s="866"/>
      <c r="AC9" s="866"/>
      <c r="AD9" s="866"/>
      <c r="AE9" s="866"/>
      <c r="AF9" s="866"/>
      <c r="AG9" s="866"/>
      <c r="AH9" s="872">
        <v>20</v>
      </c>
      <c r="AI9" s="872">
        <v>1922.65</v>
      </c>
      <c r="AJ9" s="872">
        <v>1723.65</v>
      </c>
      <c r="AK9" s="866"/>
      <c r="AL9" s="872">
        <v>20</v>
      </c>
      <c r="AM9" s="872">
        <v>1592.15</v>
      </c>
      <c r="AN9" s="872">
        <v>1393.15</v>
      </c>
      <c r="AO9" s="866"/>
      <c r="AP9" s="872">
        <v>0</v>
      </c>
      <c r="AQ9" s="872">
        <v>792</v>
      </c>
      <c r="AR9" s="866"/>
      <c r="AS9" s="866"/>
      <c r="AT9" s="872">
        <v>18</v>
      </c>
      <c r="AU9" s="872">
        <v>35</v>
      </c>
      <c r="AV9" s="872">
        <v>2.16</v>
      </c>
      <c r="AW9" s="867"/>
      <c r="AX9" s="867"/>
      <c r="AY9" s="867"/>
      <c r="AZ9" s="867"/>
    </row>
    <row r="10" spans="1:52">
      <c r="A10" s="869" t="s">
        <v>570</v>
      </c>
      <c r="B10" s="872">
        <f>B6</f>
        <v>27</v>
      </c>
      <c r="C10" s="872" t="str">
        <f>C6</f>
        <v>NA</v>
      </c>
      <c r="D10" s="1543"/>
      <c r="E10" s="1543"/>
      <c r="F10" s="1543"/>
      <c r="G10" s="1543"/>
      <c r="H10" s="1543"/>
      <c r="I10" s="1543"/>
      <c r="J10" s="1543"/>
      <c r="K10" s="866"/>
      <c r="L10" s="866"/>
      <c r="M10" s="866"/>
      <c r="N10" s="866"/>
      <c r="O10" s="866"/>
      <c r="P10" s="866"/>
      <c r="Q10" s="866"/>
      <c r="R10" s="866"/>
      <c r="S10" s="866"/>
      <c r="T10" s="866"/>
      <c r="U10" s="866"/>
      <c r="V10" s="866"/>
      <c r="W10" s="866"/>
      <c r="X10" s="866"/>
      <c r="Y10" s="866"/>
      <c r="Z10" s="866"/>
      <c r="AA10" s="866"/>
      <c r="AB10" s="866"/>
      <c r="AC10" s="866"/>
      <c r="AD10" s="866"/>
      <c r="AE10" s="866"/>
      <c r="AF10" s="866"/>
      <c r="AG10" s="866"/>
      <c r="AH10" s="872">
        <v>21</v>
      </c>
      <c r="AI10" s="872">
        <v>1948.9</v>
      </c>
      <c r="AJ10" s="872">
        <v>1750</v>
      </c>
      <c r="AK10" s="866"/>
      <c r="AL10" s="872">
        <v>21</v>
      </c>
      <c r="AM10" s="872">
        <v>1620.05</v>
      </c>
      <c r="AN10" s="872">
        <v>1421.15</v>
      </c>
      <c r="AO10" s="866"/>
      <c r="AP10" s="872">
        <v>1</v>
      </c>
      <c r="AQ10" s="872">
        <v>792</v>
      </c>
      <c r="AR10" s="866"/>
      <c r="AS10" s="866"/>
      <c r="AT10" s="872">
        <v>19</v>
      </c>
      <c r="AU10" s="872">
        <v>35</v>
      </c>
      <c r="AV10" s="872">
        <v>2.25</v>
      </c>
      <c r="AW10" s="867"/>
      <c r="AX10" s="867"/>
      <c r="AY10" s="867"/>
      <c r="AZ10" s="867"/>
    </row>
    <row r="11" spans="1:52">
      <c r="A11" s="869" t="s">
        <v>569</v>
      </c>
      <c r="B11" s="872">
        <f>'Jeevan Arogya'!L9</f>
        <v>0</v>
      </c>
      <c r="C11" s="872">
        <f>'Jeevan Arogya'!L10</f>
        <v>0</v>
      </c>
      <c r="D11" s="1543"/>
      <c r="E11" s="1543"/>
      <c r="F11" s="1543"/>
      <c r="G11" s="1543"/>
      <c r="H11" s="1543"/>
      <c r="I11" s="1543"/>
      <c r="J11" s="1543"/>
      <c r="K11" s="866"/>
      <c r="L11" s="866"/>
      <c r="M11" s="869" t="s">
        <v>568</v>
      </c>
      <c r="N11" s="873">
        <v>0.02</v>
      </c>
      <c r="O11" s="866"/>
      <c r="P11" s="866"/>
      <c r="Q11" s="866"/>
      <c r="R11" s="866"/>
      <c r="S11" s="866"/>
      <c r="T11" s="866"/>
      <c r="U11" s="866"/>
      <c r="V11" s="866"/>
      <c r="W11" s="866"/>
      <c r="X11" s="866"/>
      <c r="Y11" s="866"/>
      <c r="Z11" s="866"/>
      <c r="AA11" s="866"/>
      <c r="AB11" s="866"/>
      <c r="AC11" s="866"/>
      <c r="AD11" s="866"/>
      <c r="AE11" s="866"/>
      <c r="AF11" s="866"/>
      <c r="AG11" s="866"/>
      <c r="AH11" s="872">
        <v>22</v>
      </c>
      <c r="AI11" s="872">
        <v>1976.85</v>
      </c>
      <c r="AJ11" s="872">
        <v>1778.75</v>
      </c>
      <c r="AK11" s="866"/>
      <c r="AL11" s="872">
        <v>22</v>
      </c>
      <c r="AM11" s="872">
        <v>1649.65</v>
      </c>
      <c r="AN11" s="872">
        <v>1451.6</v>
      </c>
      <c r="AO11" s="866"/>
      <c r="AP11" s="872">
        <v>2</v>
      </c>
      <c r="AQ11" s="872">
        <v>792</v>
      </c>
      <c r="AR11" s="866"/>
      <c r="AS11" s="866"/>
      <c r="AT11" s="872">
        <v>20</v>
      </c>
      <c r="AU11" s="872">
        <v>35</v>
      </c>
      <c r="AV11" s="872">
        <v>2.36</v>
      </c>
      <c r="AW11" s="867"/>
      <c r="AX11" s="867"/>
      <c r="AY11" s="867"/>
      <c r="AZ11" s="867"/>
    </row>
    <row r="12" spans="1:52">
      <c r="A12" s="869" t="s">
        <v>567</v>
      </c>
      <c r="B12" s="872">
        <f>'Jeevan Arogya'!M9</f>
        <v>0</v>
      </c>
      <c r="C12" s="872">
        <f>'Jeevan Arogya'!M10</f>
        <v>0</v>
      </c>
      <c r="D12" s="1543"/>
      <c r="E12" s="1543"/>
      <c r="F12" s="1543"/>
      <c r="G12" s="1543"/>
      <c r="H12" s="1543"/>
      <c r="I12" s="1543"/>
      <c r="J12" s="1543"/>
      <c r="K12" s="866"/>
      <c r="L12" s="866"/>
      <c r="M12" s="869" t="s">
        <v>30</v>
      </c>
      <c r="N12" s="873">
        <v>0.01</v>
      </c>
      <c r="O12" s="866"/>
      <c r="P12" s="866"/>
      <c r="Q12" s="866"/>
      <c r="R12" s="866"/>
      <c r="S12" s="866"/>
      <c r="T12" s="866"/>
      <c r="U12" s="866"/>
      <c r="V12" s="866"/>
      <c r="W12" s="866"/>
      <c r="X12" s="866"/>
      <c r="Y12" s="866"/>
      <c r="Z12" s="866"/>
      <c r="AA12" s="866"/>
      <c r="AB12" s="866"/>
      <c r="AC12" s="866"/>
      <c r="AD12" s="866"/>
      <c r="AE12" s="866"/>
      <c r="AF12" s="866"/>
      <c r="AG12" s="866"/>
      <c r="AH12" s="872">
        <v>23</v>
      </c>
      <c r="AI12" s="872">
        <v>2005.75</v>
      </c>
      <c r="AJ12" s="872">
        <v>1807.15</v>
      </c>
      <c r="AK12" s="866"/>
      <c r="AL12" s="872">
        <v>23</v>
      </c>
      <c r="AM12" s="872">
        <v>1680.25</v>
      </c>
      <c r="AN12" s="872">
        <v>1481.65</v>
      </c>
      <c r="AO12" s="866"/>
      <c r="AP12" s="872">
        <v>3</v>
      </c>
      <c r="AQ12" s="872">
        <v>792.5</v>
      </c>
      <c r="AR12" s="866"/>
      <c r="AS12" s="866"/>
      <c r="AT12" s="872">
        <v>21</v>
      </c>
      <c r="AU12" s="872">
        <v>35</v>
      </c>
      <c r="AV12" s="872">
        <v>2.4700000000000002</v>
      </c>
      <c r="AW12" s="867"/>
      <c r="AX12" s="867"/>
      <c r="AY12" s="867"/>
      <c r="AZ12" s="867"/>
    </row>
    <row r="13" spans="1:52">
      <c r="A13" s="869" t="s">
        <v>566</v>
      </c>
      <c r="B13" s="872">
        <f>IF(B6="NA",0,IF(B7="M",VLOOKUP(B6,$AH$7:$AJ$64,2,0),VLOOKUP(B6,$AH$7:$AJ$64,3,0)))</f>
        <v>2124.6999999999998</v>
      </c>
      <c r="C13" s="872">
        <f>IF(C6="NA",0,IF(C7="M",VLOOKUP(C6,$AL$7:$AN$64,2,0),VLOOKUP(C6,$AL$7:$AN$64,3,0)))</f>
        <v>0</v>
      </c>
      <c r="D13" s="872">
        <f>IF(D6="NA",0,VLOOKUP(D6,$AP$9:$AQ$26,2,0))</f>
        <v>0</v>
      </c>
      <c r="E13" s="872">
        <f>IF(E6="NA",0,VLOOKUP(E6,$AP$9:$AQ$26,2,0))</f>
        <v>0</v>
      </c>
      <c r="F13" s="872">
        <f>IF(F6="NA",0,VLOOKUP(F6,$AP$9:$AQ$26,2,0))</f>
        <v>0</v>
      </c>
      <c r="G13" s="872">
        <f>IF(G6="NA",0,IF(G7="M",VLOOKUP(G6,$AL$7:$AN$64,2,0),VLOOKUP(G6,$AL$7:$AN$64,3,0)))</f>
        <v>0</v>
      </c>
      <c r="H13" s="872">
        <f>IF(H6="NA",0,IF(H7="M",VLOOKUP(H6,$AL$7:$AN$64,2,0),VLOOKUP(H6,$AL$7:$AN$64,3,0)))</f>
        <v>0</v>
      </c>
      <c r="I13" s="872">
        <f>IF(I6="NA",0,IF(I7="M",VLOOKUP(I6,$AL$7:$AN$64,2,0),VLOOKUP(I6,$AL$7:$AN$64,3,0)))</f>
        <v>0</v>
      </c>
      <c r="J13" s="872">
        <f>IF(J6="NA",0,IF(J7="M",VLOOKUP(J6,$AL$7:$AN$64,2,0),VLOOKUP(J6,$AL$7:$AN$64,3,0)))</f>
        <v>0</v>
      </c>
      <c r="K13" s="866"/>
      <c r="L13" s="866"/>
      <c r="M13" s="869" t="s">
        <v>565</v>
      </c>
      <c r="N13" s="873">
        <v>0</v>
      </c>
      <c r="O13" s="866"/>
      <c r="P13" s="866"/>
      <c r="Q13" s="866"/>
      <c r="R13" s="866"/>
      <c r="S13" s="866"/>
      <c r="T13" s="866"/>
      <c r="U13" s="866"/>
      <c r="V13" s="866"/>
      <c r="W13" s="866"/>
      <c r="X13" s="866"/>
      <c r="Y13" s="866"/>
      <c r="Z13" s="866"/>
      <c r="AA13" s="866"/>
      <c r="AB13" s="866"/>
      <c r="AC13" s="866"/>
      <c r="AD13" s="866"/>
      <c r="AE13" s="866"/>
      <c r="AF13" s="866"/>
      <c r="AG13" s="866"/>
      <c r="AH13" s="872">
        <v>24</v>
      </c>
      <c r="AI13" s="872">
        <v>2036.85</v>
      </c>
      <c r="AJ13" s="872">
        <v>1835.75</v>
      </c>
      <c r="AK13" s="866"/>
      <c r="AL13" s="872">
        <v>24</v>
      </c>
      <c r="AM13" s="872">
        <v>1713</v>
      </c>
      <c r="AN13" s="872">
        <v>1511.9</v>
      </c>
      <c r="AO13" s="866"/>
      <c r="AP13" s="872">
        <v>4</v>
      </c>
      <c r="AQ13" s="872">
        <v>793.4</v>
      </c>
      <c r="AR13" s="866"/>
      <c r="AS13" s="866"/>
      <c r="AT13" s="872">
        <v>22</v>
      </c>
      <c r="AU13" s="872">
        <v>35</v>
      </c>
      <c r="AV13" s="872">
        <v>2.6</v>
      </c>
      <c r="AW13" s="867"/>
      <c r="AX13" s="867"/>
      <c r="AY13" s="867"/>
      <c r="AZ13" s="867"/>
    </row>
    <row r="14" spans="1:52">
      <c r="A14" s="869" t="s">
        <v>564</v>
      </c>
      <c r="B14" s="872">
        <f t="shared" ref="B14:J14" si="1">VLOOKUP($B$3,$M$11:$N$14,2,0)*B13</f>
        <v>42.494</v>
      </c>
      <c r="C14" s="872">
        <f t="shared" si="1"/>
        <v>0</v>
      </c>
      <c r="D14" s="872">
        <f t="shared" si="1"/>
        <v>0</v>
      </c>
      <c r="E14" s="872">
        <f t="shared" si="1"/>
        <v>0</v>
      </c>
      <c r="F14" s="872">
        <f t="shared" si="1"/>
        <v>0</v>
      </c>
      <c r="G14" s="872">
        <f t="shared" si="1"/>
        <v>0</v>
      </c>
      <c r="H14" s="872">
        <f t="shared" si="1"/>
        <v>0</v>
      </c>
      <c r="I14" s="872">
        <f t="shared" si="1"/>
        <v>0</v>
      </c>
      <c r="J14" s="872">
        <f t="shared" si="1"/>
        <v>0</v>
      </c>
      <c r="K14" s="866"/>
      <c r="L14" s="866"/>
      <c r="M14" s="869" t="s">
        <v>563</v>
      </c>
      <c r="N14" s="873">
        <v>0</v>
      </c>
      <c r="O14" s="866"/>
      <c r="P14" s="866"/>
      <c r="Q14" s="866"/>
      <c r="R14" s="866"/>
      <c r="S14" s="866"/>
      <c r="T14" s="866"/>
      <c r="U14" s="866"/>
      <c r="V14" s="866"/>
      <c r="W14" s="866"/>
      <c r="X14" s="866"/>
      <c r="Y14" s="866"/>
      <c r="Z14" s="866"/>
      <c r="AA14" s="866"/>
      <c r="AB14" s="866"/>
      <c r="AC14" s="866"/>
      <c r="AD14" s="866"/>
      <c r="AE14" s="866"/>
      <c r="AF14" s="866"/>
      <c r="AG14" s="866"/>
      <c r="AH14" s="872">
        <v>25</v>
      </c>
      <c r="AI14" s="872">
        <v>2066.1</v>
      </c>
      <c r="AJ14" s="872">
        <v>1864.95</v>
      </c>
      <c r="AK14" s="866"/>
      <c r="AL14" s="872">
        <v>25</v>
      </c>
      <c r="AM14" s="872">
        <v>1743.9</v>
      </c>
      <c r="AN14" s="872">
        <v>1542.75</v>
      </c>
      <c r="AO14" s="866"/>
      <c r="AP14" s="872">
        <v>5</v>
      </c>
      <c r="AQ14" s="872">
        <v>794.75</v>
      </c>
      <c r="AR14" s="866"/>
      <c r="AS14" s="866"/>
      <c r="AT14" s="872">
        <v>23</v>
      </c>
      <c r="AU14" s="872">
        <v>35</v>
      </c>
      <c r="AV14" s="872">
        <v>2.74</v>
      </c>
      <c r="AW14" s="867"/>
      <c r="AX14" s="867"/>
      <c r="AY14" s="867"/>
      <c r="AZ14" s="867"/>
    </row>
    <row r="15" spans="1:52">
      <c r="A15" s="869" t="s">
        <v>562</v>
      </c>
      <c r="B15" s="872">
        <f t="shared" ref="B15:J15" si="2">B13-B14</f>
        <v>2082.2059999999997</v>
      </c>
      <c r="C15" s="872">
        <f t="shared" si="2"/>
        <v>0</v>
      </c>
      <c r="D15" s="872">
        <f t="shared" si="2"/>
        <v>0</v>
      </c>
      <c r="E15" s="872">
        <f t="shared" si="2"/>
        <v>0</v>
      </c>
      <c r="F15" s="872">
        <f t="shared" si="2"/>
        <v>0</v>
      </c>
      <c r="G15" s="872">
        <f t="shared" si="2"/>
        <v>0</v>
      </c>
      <c r="H15" s="872">
        <f t="shared" si="2"/>
        <v>0</v>
      </c>
      <c r="I15" s="872">
        <f t="shared" si="2"/>
        <v>0</v>
      </c>
      <c r="J15" s="872">
        <f t="shared" si="2"/>
        <v>0</v>
      </c>
      <c r="K15" s="866"/>
      <c r="L15" s="866"/>
      <c r="M15" s="866"/>
      <c r="N15" s="866"/>
      <c r="O15" s="866"/>
      <c r="P15" s="866"/>
      <c r="Q15" s="866"/>
      <c r="R15" s="866"/>
      <c r="S15" s="866"/>
      <c r="T15" s="866"/>
      <c r="U15" s="866"/>
      <c r="V15" s="866"/>
      <c r="W15" s="866"/>
      <c r="X15" s="866"/>
      <c r="Y15" s="866"/>
      <c r="Z15" s="866"/>
      <c r="AA15" s="866"/>
      <c r="AB15" s="866"/>
      <c r="AC15" s="866"/>
      <c r="AD15" s="866"/>
      <c r="AE15" s="866"/>
      <c r="AF15" s="866"/>
      <c r="AG15" s="866"/>
      <c r="AH15" s="872">
        <v>26</v>
      </c>
      <c r="AI15" s="872">
        <v>2094.15</v>
      </c>
      <c r="AJ15" s="872">
        <v>1898.65</v>
      </c>
      <c r="AK15" s="866"/>
      <c r="AL15" s="872">
        <v>26</v>
      </c>
      <c r="AM15" s="872">
        <v>1773.65</v>
      </c>
      <c r="AN15" s="872">
        <v>1578.15</v>
      </c>
      <c r="AO15" s="866"/>
      <c r="AP15" s="872">
        <v>6</v>
      </c>
      <c r="AQ15" s="872">
        <v>796.7</v>
      </c>
      <c r="AR15" s="866"/>
      <c r="AS15" s="866"/>
      <c r="AT15" s="872">
        <v>24</v>
      </c>
      <c r="AU15" s="872">
        <v>35</v>
      </c>
      <c r="AV15" s="872">
        <v>2.9</v>
      </c>
      <c r="AW15" s="867"/>
      <c r="AX15" s="867"/>
      <c r="AY15" s="867"/>
      <c r="AZ15" s="867"/>
    </row>
    <row r="16" spans="1:52">
      <c r="A16" s="869" t="s">
        <v>561</v>
      </c>
      <c r="B16" s="872">
        <f t="shared" ref="B16:J16" si="3">B15/1000*B8</f>
        <v>2082.2059999999997</v>
      </c>
      <c r="C16" s="872">
        <f t="shared" si="3"/>
        <v>0</v>
      </c>
      <c r="D16" s="872">
        <f t="shared" si="3"/>
        <v>0</v>
      </c>
      <c r="E16" s="872">
        <f t="shared" si="3"/>
        <v>0</v>
      </c>
      <c r="F16" s="872">
        <f t="shared" si="3"/>
        <v>0</v>
      </c>
      <c r="G16" s="872">
        <f t="shared" si="3"/>
        <v>0</v>
      </c>
      <c r="H16" s="872">
        <f t="shared" si="3"/>
        <v>0</v>
      </c>
      <c r="I16" s="872">
        <f t="shared" si="3"/>
        <v>0</v>
      </c>
      <c r="J16" s="872">
        <f t="shared" si="3"/>
        <v>0</v>
      </c>
      <c r="K16" s="866"/>
      <c r="L16" s="866"/>
      <c r="M16" s="866"/>
      <c r="N16" s="866"/>
      <c r="O16" s="866"/>
      <c r="P16" s="866"/>
      <c r="Q16" s="866"/>
      <c r="R16" s="866"/>
      <c r="S16" s="866"/>
      <c r="T16" s="866"/>
      <c r="U16" s="866"/>
      <c r="V16" s="866"/>
      <c r="W16" s="866"/>
      <c r="X16" s="866"/>
      <c r="Y16" s="866"/>
      <c r="Z16" s="866"/>
      <c r="AA16" s="866"/>
      <c r="AB16" s="866"/>
      <c r="AC16" s="866"/>
      <c r="AD16" s="866"/>
      <c r="AE16" s="866"/>
      <c r="AF16" s="866"/>
      <c r="AG16" s="866"/>
      <c r="AH16" s="872">
        <v>27</v>
      </c>
      <c r="AI16" s="872">
        <v>2124.6999999999998</v>
      </c>
      <c r="AJ16" s="872">
        <v>1934.05</v>
      </c>
      <c r="AK16" s="866"/>
      <c r="AL16" s="872">
        <v>27</v>
      </c>
      <c r="AM16" s="872">
        <v>1805.9</v>
      </c>
      <c r="AN16" s="872">
        <v>1615.2</v>
      </c>
      <c r="AO16" s="866"/>
      <c r="AP16" s="872">
        <v>7</v>
      </c>
      <c r="AQ16" s="872">
        <v>799.25</v>
      </c>
      <c r="AR16" s="866"/>
      <c r="AS16" s="866"/>
      <c r="AT16" s="872">
        <v>25</v>
      </c>
      <c r="AU16" s="872">
        <v>35</v>
      </c>
      <c r="AV16" s="872">
        <v>3.07</v>
      </c>
      <c r="AW16" s="867"/>
      <c r="AX16" s="867"/>
      <c r="AY16" s="867"/>
      <c r="AZ16" s="867"/>
    </row>
    <row r="17" spans="1:52">
      <c r="A17" s="869" t="s">
        <v>560</v>
      </c>
      <c r="B17" s="872">
        <f>IF(B13=0,0,VLOOKUP(B8,$L$5:$N$8,2,1))</f>
        <v>0</v>
      </c>
      <c r="C17" s="872">
        <f t="shared" ref="C17:J17" si="4">IF(C13=0,0,VLOOKUP(C8,$L$5:$N$8,3,1))</f>
        <v>0</v>
      </c>
      <c r="D17" s="872">
        <f t="shared" si="4"/>
        <v>0</v>
      </c>
      <c r="E17" s="872">
        <f t="shared" si="4"/>
        <v>0</v>
      </c>
      <c r="F17" s="872">
        <f t="shared" si="4"/>
        <v>0</v>
      </c>
      <c r="G17" s="872">
        <f t="shared" si="4"/>
        <v>0</v>
      </c>
      <c r="H17" s="872">
        <f t="shared" si="4"/>
        <v>0</v>
      </c>
      <c r="I17" s="872">
        <f t="shared" si="4"/>
        <v>0</v>
      </c>
      <c r="J17" s="872">
        <f t="shared" si="4"/>
        <v>0</v>
      </c>
      <c r="K17" s="866"/>
      <c r="L17" s="866"/>
      <c r="M17" s="866"/>
      <c r="N17" s="866"/>
      <c r="O17" s="866"/>
      <c r="P17" s="866"/>
      <c r="Q17" s="866"/>
      <c r="R17" s="866"/>
      <c r="S17" s="866"/>
      <c r="T17" s="866"/>
      <c r="U17" s="866"/>
      <c r="V17" s="866"/>
      <c r="W17" s="866"/>
      <c r="X17" s="866"/>
      <c r="Y17" s="866"/>
      <c r="Z17" s="866"/>
      <c r="AA17" s="866"/>
      <c r="AB17" s="866"/>
      <c r="AC17" s="866"/>
      <c r="AD17" s="866"/>
      <c r="AE17" s="866"/>
      <c r="AF17" s="866"/>
      <c r="AG17" s="866"/>
      <c r="AH17" s="872">
        <v>28</v>
      </c>
      <c r="AI17" s="872">
        <v>2159.85</v>
      </c>
      <c r="AJ17" s="872">
        <v>1969.7</v>
      </c>
      <c r="AK17" s="866"/>
      <c r="AL17" s="872">
        <v>28</v>
      </c>
      <c r="AM17" s="872">
        <v>1842.7</v>
      </c>
      <c r="AN17" s="872">
        <v>1652.5</v>
      </c>
      <c r="AO17" s="866"/>
      <c r="AP17" s="872">
        <v>8</v>
      </c>
      <c r="AQ17" s="872">
        <v>802.6</v>
      </c>
      <c r="AR17" s="866"/>
      <c r="AS17" s="866"/>
      <c r="AT17" s="872">
        <v>26</v>
      </c>
      <c r="AU17" s="872">
        <v>34</v>
      </c>
      <c r="AV17" s="872">
        <v>3.27</v>
      </c>
      <c r="AW17" s="867"/>
      <c r="AX17" s="867"/>
      <c r="AY17" s="867"/>
      <c r="AZ17" s="867"/>
    </row>
    <row r="18" spans="1:52">
      <c r="A18" s="869" t="s">
        <v>559</v>
      </c>
      <c r="B18" s="872">
        <f t="shared" ref="B18:J18" si="5">B16-B17</f>
        <v>2082.2059999999997</v>
      </c>
      <c r="C18" s="872">
        <f t="shared" si="5"/>
        <v>0</v>
      </c>
      <c r="D18" s="872">
        <f t="shared" si="5"/>
        <v>0</v>
      </c>
      <c r="E18" s="872">
        <f t="shared" si="5"/>
        <v>0</v>
      </c>
      <c r="F18" s="872">
        <f t="shared" si="5"/>
        <v>0</v>
      </c>
      <c r="G18" s="872">
        <f t="shared" si="5"/>
        <v>0</v>
      </c>
      <c r="H18" s="872">
        <f t="shared" si="5"/>
        <v>0</v>
      </c>
      <c r="I18" s="872">
        <f t="shared" si="5"/>
        <v>0</v>
      </c>
      <c r="J18" s="872">
        <f t="shared" si="5"/>
        <v>0</v>
      </c>
      <c r="K18" s="866"/>
      <c r="L18" s="866"/>
      <c r="M18" s="866"/>
      <c r="N18" s="866"/>
      <c r="O18" s="866"/>
      <c r="P18" s="866"/>
      <c r="Q18" s="866"/>
      <c r="R18" s="866"/>
      <c r="S18" s="866"/>
      <c r="T18" s="866"/>
      <c r="U18" s="866"/>
      <c r="V18" s="866"/>
      <c r="W18" s="866"/>
      <c r="X18" s="866"/>
      <c r="Y18" s="866"/>
      <c r="Z18" s="866"/>
      <c r="AA18" s="866"/>
      <c r="AB18" s="866"/>
      <c r="AC18" s="866"/>
      <c r="AD18" s="866"/>
      <c r="AE18" s="866"/>
      <c r="AF18" s="866"/>
      <c r="AG18" s="866"/>
      <c r="AH18" s="872">
        <v>29</v>
      </c>
      <c r="AI18" s="872">
        <v>2199.75</v>
      </c>
      <c r="AJ18" s="872">
        <v>2005.5</v>
      </c>
      <c r="AK18" s="866"/>
      <c r="AL18" s="872">
        <v>29</v>
      </c>
      <c r="AM18" s="872">
        <v>1884.3</v>
      </c>
      <c r="AN18" s="872">
        <v>1690.05</v>
      </c>
      <c r="AO18" s="866"/>
      <c r="AP18" s="872">
        <v>9</v>
      </c>
      <c r="AQ18" s="872">
        <v>806.9</v>
      </c>
      <c r="AR18" s="866"/>
      <c r="AS18" s="866"/>
      <c r="AT18" s="872">
        <v>27</v>
      </c>
      <c r="AU18" s="872">
        <v>33</v>
      </c>
      <c r="AV18" s="872">
        <v>3.49</v>
      </c>
      <c r="AW18" s="867"/>
      <c r="AX18" s="867"/>
      <c r="AY18" s="867"/>
      <c r="AZ18" s="867"/>
    </row>
    <row r="19" spans="1:52">
      <c r="A19" s="869" t="s">
        <v>558</v>
      </c>
      <c r="B19" s="872">
        <f>IF(OR(B10="NA",B10&gt;50),0,VLOOKUP(B10,$AT$9:$AV$41,3,0)*B11/1000)</f>
        <v>0</v>
      </c>
      <c r="C19" s="872">
        <f>IF(OR(C10="NA",C10&gt;50),0,VLOOKUP(C10,$AT$9:$AV$41,3,0)*C11/1000)</f>
        <v>0</v>
      </c>
      <c r="D19" s="872">
        <v>0</v>
      </c>
      <c r="E19" s="872">
        <v>0</v>
      </c>
      <c r="F19" s="872">
        <v>0</v>
      </c>
      <c r="G19" s="872">
        <v>0</v>
      </c>
      <c r="H19" s="872">
        <v>0</v>
      </c>
      <c r="I19" s="872">
        <v>0</v>
      </c>
      <c r="J19" s="872">
        <v>0</v>
      </c>
      <c r="K19" s="866"/>
      <c r="L19" s="866"/>
      <c r="M19" s="866"/>
      <c r="N19" s="866"/>
      <c r="O19" s="866"/>
      <c r="P19" s="866"/>
      <c r="Q19" s="866"/>
      <c r="R19" s="866"/>
      <c r="S19" s="866"/>
      <c r="T19" s="866"/>
      <c r="U19" s="866"/>
      <c r="V19" s="866"/>
      <c r="W19" s="866"/>
      <c r="X19" s="866"/>
      <c r="Y19" s="866"/>
      <c r="Z19" s="866"/>
      <c r="AA19" s="866"/>
      <c r="AB19" s="866"/>
      <c r="AC19" s="866"/>
      <c r="AD19" s="866"/>
      <c r="AE19" s="866"/>
      <c r="AF19" s="866"/>
      <c r="AG19" s="866"/>
      <c r="AH19" s="872">
        <v>30</v>
      </c>
      <c r="AI19" s="872">
        <v>2242.9</v>
      </c>
      <c r="AJ19" s="872">
        <v>2044.5</v>
      </c>
      <c r="AK19" s="866"/>
      <c r="AL19" s="872">
        <v>30</v>
      </c>
      <c r="AM19" s="872">
        <v>1929.05</v>
      </c>
      <c r="AN19" s="872">
        <v>1730.65</v>
      </c>
      <c r="AO19" s="866"/>
      <c r="AP19" s="872">
        <v>10</v>
      </c>
      <c r="AQ19" s="872">
        <v>812.35</v>
      </c>
      <c r="AR19" s="866"/>
      <c r="AS19" s="866"/>
      <c r="AT19" s="872">
        <v>28</v>
      </c>
      <c r="AU19" s="872">
        <v>32</v>
      </c>
      <c r="AV19" s="872">
        <v>3.74</v>
      </c>
      <c r="AW19" s="867"/>
      <c r="AX19" s="867"/>
      <c r="AY19" s="867"/>
      <c r="AZ19" s="867"/>
    </row>
    <row r="20" spans="1:52">
      <c r="A20" s="869" t="s">
        <v>557</v>
      </c>
      <c r="B20" s="872">
        <f>IF(B19=0,0,B12*0.5/1000)</f>
        <v>0</v>
      </c>
      <c r="C20" s="872">
        <f>IF(C19=0,0,C12*0.5/1000)</f>
        <v>0</v>
      </c>
      <c r="D20" s="872">
        <v>0</v>
      </c>
      <c r="E20" s="872">
        <v>0</v>
      </c>
      <c r="F20" s="872">
        <v>0</v>
      </c>
      <c r="G20" s="872">
        <v>0</v>
      </c>
      <c r="H20" s="872">
        <v>0</v>
      </c>
      <c r="I20" s="872">
        <v>0</v>
      </c>
      <c r="J20" s="872">
        <v>0</v>
      </c>
      <c r="K20" s="866"/>
      <c r="L20" s="866"/>
      <c r="M20" s="866"/>
      <c r="N20" s="866"/>
      <c r="O20" s="866"/>
      <c r="P20" s="866"/>
      <c r="Q20" s="866"/>
      <c r="R20" s="866"/>
      <c r="S20" s="866"/>
      <c r="T20" s="866"/>
      <c r="U20" s="866"/>
      <c r="V20" s="866"/>
      <c r="W20" s="866"/>
      <c r="X20" s="866"/>
      <c r="Y20" s="866"/>
      <c r="Z20" s="866"/>
      <c r="AA20" s="866"/>
      <c r="AB20" s="866"/>
      <c r="AC20" s="866"/>
      <c r="AD20" s="866"/>
      <c r="AE20" s="866"/>
      <c r="AF20" s="866"/>
      <c r="AG20" s="866"/>
      <c r="AH20" s="872">
        <v>31</v>
      </c>
      <c r="AI20" s="872">
        <v>2286.4</v>
      </c>
      <c r="AJ20" s="872">
        <v>2084.6999999999998</v>
      </c>
      <c r="AK20" s="866"/>
      <c r="AL20" s="872">
        <v>31</v>
      </c>
      <c r="AM20" s="872">
        <v>1974.25</v>
      </c>
      <c r="AN20" s="872">
        <v>1772.5</v>
      </c>
      <c r="AO20" s="866"/>
      <c r="AP20" s="872">
        <v>11</v>
      </c>
      <c r="AQ20" s="872">
        <v>819.35</v>
      </c>
      <c r="AR20" s="866"/>
      <c r="AS20" s="866"/>
      <c r="AT20" s="872">
        <v>29</v>
      </c>
      <c r="AU20" s="872">
        <v>31</v>
      </c>
      <c r="AV20" s="872">
        <v>4.01</v>
      </c>
      <c r="AW20" s="867"/>
      <c r="AX20" s="867"/>
      <c r="AY20" s="867"/>
      <c r="AZ20" s="867"/>
    </row>
    <row r="21" spans="1:52">
      <c r="A21" s="869" t="s">
        <v>556</v>
      </c>
      <c r="B21" s="874">
        <f t="shared" ref="B21:J21" si="6">B18+B19+B20</f>
        <v>2082.2059999999997</v>
      </c>
      <c r="C21" s="874">
        <f t="shared" si="6"/>
        <v>0</v>
      </c>
      <c r="D21" s="874">
        <f t="shared" si="6"/>
        <v>0</v>
      </c>
      <c r="E21" s="874">
        <f t="shared" si="6"/>
        <v>0</v>
      </c>
      <c r="F21" s="874">
        <f t="shared" si="6"/>
        <v>0</v>
      </c>
      <c r="G21" s="874">
        <f t="shared" si="6"/>
        <v>0</v>
      </c>
      <c r="H21" s="874">
        <f t="shared" si="6"/>
        <v>0</v>
      </c>
      <c r="I21" s="874">
        <f t="shared" si="6"/>
        <v>0</v>
      </c>
      <c r="J21" s="874">
        <f t="shared" si="6"/>
        <v>0</v>
      </c>
      <c r="K21" s="866"/>
      <c r="L21" s="866"/>
      <c r="M21" s="866"/>
      <c r="N21" s="866"/>
      <c r="O21" s="866"/>
      <c r="P21" s="866"/>
      <c r="Q21" s="866"/>
      <c r="R21" s="866"/>
      <c r="S21" s="866"/>
      <c r="T21" s="866"/>
      <c r="U21" s="866"/>
      <c r="V21" s="866"/>
      <c r="W21" s="866"/>
      <c r="X21" s="866"/>
      <c r="Y21" s="866"/>
      <c r="Z21" s="866"/>
      <c r="AA21" s="866"/>
      <c r="AB21" s="866"/>
      <c r="AC21" s="866"/>
      <c r="AD21" s="866"/>
      <c r="AE21" s="866"/>
      <c r="AF21" s="866"/>
      <c r="AG21" s="866"/>
      <c r="AH21" s="872">
        <v>32</v>
      </c>
      <c r="AI21" s="872">
        <v>2331.25</v>
      </c>
      <c r="AJ21" s="872">
        <v>2127.75</v>
      </c>
      <c r="AK21" s="866"/>
      <c r="AL21" s="872">
        <v>32</v>
      </c>
      <c r="AM21" s="872">
        <v>2020.7</v>
      </c>
      <c r="AN21" s="872">
        <v>1817.2</v>
      </c>
      <c r="AO21" s="866"/>
      <c r="AP21" s="872">
        <v>12</v>
      </c>
      <c r="AQ21" s="872">
        <v>828.15</v>
      </c>
      <c r="AR21" s="866"/>
      <c r="AS21" s="866"/>
      <c r="AT21" s="872">
        <v>30</v>
      </c>
      <c r="AU21" s="872">
        <v>30</v>
      </c>
      <c r="AV21" s="872">
        <v>4.3099999999999996</v>
      </c>
      <c r="AW21" s="867"/>
      <c r="AX21" s="867"/>
      <c r="AY21" s="867"/>
      <c r="AZ21" s="867"/>
    </row>
    <row r="22" spans="1:52">
      <c r="A22" s="869" t="s">
        <v>555</v>
      </c>
      <c r="B22" s="874">
        <f>IF(B3="H",SUM(B21:J21)/2,SUM(B21:J21))</f>
        <v>2082.2059999999997</v>
      </c>
      <c r="C22" s="1543" t="s">
        <v>554</v>
      </c>
      <c r="D22" s="1543"/>
      <c r="E22" s="875">
        <f>'Jeevan Arogya'!L6</f>
        <v>0.18</v>
      </c>
      <c r="F22" s="866"/>
      <c r="G22" s="866"/>
      <c r="H22" s="866"/>
      <c r="I22" s="866"/>
      <c r="J22" s="866"/>
      <c r="K22" s="866"/>
      <c r="L22" s="866"/>
      <c r="M22" s="866"/>
      <c r="N22" s="866"/>
      <c r="O22" s="866"/>
      <c r="P22" s="866"/>
      <c r="Q22" s="866"/>
      <c r="R22" s="866"/>
      <c r="S22" s="866"/>
      <c r="T22" s="866"/>
      <c r="U22" s="866"/>
      <c r="V22" s="866"/>
      <c r="W22" s="866"/>
      <c r="X22" s="866"/>
      <c r="Y22" s="866"/>
      <c r="Z22" s="866"/>
      <c r="AA22" s="866"/>
      <c r="AB22" s="866"/>
      <c r="AC22" s="866"/>
      <c r="AD22" s="866"/>
      <c r="AE22" s="866"/>
      <c r="AF22" s="866"/>
      <c r="AG22" s="866"/>
      <c r="AH22" s="872">
        <v>33</v>
      </c>
      <c r="AI22" s="872">
        <v>2376.75</v>
      </c>
      <c r="AJ22" s="872">
        <v>2172.35</v>
      </c>
      <c r="AK22" s="866"/>
      <c r="AL22" s="872">
        <v>33</v>
      </c>
      <c r="AM22" s="872">
        <v>2067.85</v>
      </c>
      <c r="AN22" s="872">
        <v>1863.45</v>
      </c>
      <c r="AO22" s="866"/>
      <c r="AP22" s="872">
        <v>13</v>
      </c>
      <c r="AQ22" s="872">
        <v>839.15</v>
      </c>
      <c r="AR22" s="866"/>
      <c r="AS22" s="866"/>
      <c r="AT22" s="872">
        <v>31</v>
      </c>
      <c r="AU22" s="872">
        <v>29</v>
      </c>
      <c r="AV22" s="872">
        <v>4.49</v>
      </c>
      <c r="AW22" s="867"/>
      <c r="AX22" s="867"/>
      <c r="AY22" s="867"/>
      <c r="AZ22" s="867"/>
    </row>
    <row r="23" spans="1:52">
      <c r="A23" s="869" t="s">
        <v>553</v>
      </c>
      <c r="B23" s="874">
        <f>B22+(B22*E22)</f>
        <v>2457.0030799999995</v>
      </c>
      <c r="C23" s="866"/>
      <c r="D23" s="866"/>
      <c r="E23" s="866"/>
      <c r="F23" s="866"/>
      <c r="G23" s="866"/>
      <c r="H23" s="866"/>
      <c r="I23" s="866"/>
      <c r="J23" s="866"/>
      <c r="K23" s="866"/>
      <c r="L23" s="866"/>
      <c r="M23" s="866"/>
      <c r="N23" s="866"/>
      <c r="O23" s="866"/>
      <c r="P23" s="866"/>
      <c r="Q23" s="866"/>
      <c r="R23" s="866"/>
      <c r="S23" s="866"/>
      <c r="T23" s="866"/>
      <c r="U23" s="866"/>
      <c r="V23" s="866"/>
      <c r="W23" s="866"/>
      <c r="X23" s="866"/>
      <c r="Y23" s="866"/>
      <c r="Z23" s="866"/>
      <c r="AA23" s="866"/>
      <c r="AB23" s="866"/>
      <c r="AC23" s="866"/>
      <c r="AD23" s="866"/>
      <c r="AE23" s="866"/>
      <c r="AF23" s="866"/>
      <c r="AG23" s="866"/>
      <c r="AH23" s="872">
        <v>34</v>
      </c>
      <c r="AI23" s="872">
        <v>2424.4</v>
      </c>
      <c r="AJ23" s="872">
        <v>2219.9</v>
      </c>
      <c r="AK23" s="866"/>
      <c r="AL23" s="872">
        <v>34</v>
      </c>
      <c r="AM23" s="872">
        <v>2117.1</v>
      </c>
      <c r="AN23" s="872">
        <v>1912.6</v>
      </c>
      <c r="AO23" s="866"/>
      <c r="AP23" s="872">
        <v>14</v>
      </c>
      <c r="AQ23" s="872">
        <v>853.05</v>
      </c>
      <c r="AR23" s="866"/>
      <c r="AS23" s="866"/>
      <c r="AT23" s="872">
        <v>32</v>
      </c>
      <c r="AU23" s="872">
        <v>28</v>
      </c>
      <c r="AV23" s="872">
        <v>4.68</v>
      </c>
      <c r="AW23" s="867"/>
      <c r="AX23" s="867"/>
      <c r="AY23" s="867"/>
      <c r="AZ23" s="867"/>
    </row>
    <row r="24" spans="1:52">
      <c r="A24" s="869" t="s">
        <v>552</v>
      </c>
      <c r="B24" s="872">
        <f t="shared" ref="B24:J24" si="7">IF(B5="NA",0,B8)</f>
        <v>1000</v>
      </c>
      <c r="C24" s="872">
        <f t="shared" si="7"/>
        <v>0</v>
      </c>
      <c r="D24" s="872">
        <f t="shared" si="7"/>
        <v>0</v>
      </c>
      <c r="E24" s="872">
        <f t="shared" si="7"/>
        <v>0</v>
      </c>
      <c r="F24" s="872">
        <f t="shared" si="7"/>
        <v>0</v>
      </c>
      <c r="G24" s="872">
        <f t="shared" si="7"/>
        <v>0</v>
      </c>
      <c r="H24" s="872">
        <f t="shared" si="7"/>
        <v>0</v>
      </c>
      <c r="I24" s="872">
        <f t="shared" si="7"/>
        <v>0</v>
      </c>
      <c r="J24" s="872">
        <f t="shared" si="7"/>
        <v>0</v>
      </c>
      <c r="K24" s="866"/>
      <c r="L24" s="866"/>
      <c r="M24" s="866"/>
      <c r="N24" s="866"/>
      <c r="O24" s="866"/>
      <c r="P24" s="866"/>
      <c r="Q24" s="866"/>
      <c r="R24" s="866"/>
      <c r="S24" s="866"/>
      <c r="T24" s="866"/>
      <c r="U24" s="866"/>
      <c r="V24" s="866"/>
      <c r="W24" s="866"/>
      <c r="X24" s="866"/>
      <c r="Y24" s="866"/>
      <c r="Z24" s="866"/>
      <c r="AA24" s="866"/>
      <c r="AB24" s="866"/>
      <c r="AC24" s="866"/>
      <c r="AD24" s="866"/>
      <c r="AE24" s="866"/>
      <c r="AF24" s="866"/>
      <c r="AG24" s="866"/>
      <c r="AH24" s="872">
        <v>35</v>
      </c>
      <c r="AI24" s="872">
        <v>2475.85</v>
      </c>
      <c r="AJ24" s="872">
        <v>2269.15</v>
      </c>
      <c r="AK24" s="866"/>
      <c r="AL24" s="872">
        <v>35</v>
      </c>
      <c r="AM24" s="872">
        <v>2170.15</v>
      </c>
      <c r="AN24" s="872">
        <v>1963.45</v>
      </c>
      <c r="AO24" s="866"/>
      <c r="AP24" s="872">
        <v>15</v>
      </c>
      <c r="AQ24" s="872">
        <v>870.75</v>
      </c>
      <c r="AR24" s="866"/>
      <c r="AS24" s="866"/>
      <c r="AT24" s="872">
        <v>33</v>
      </c>
      <c r="AU24" s="872">
        <v>27</v>
      </c>
      <c r="AV24" s="872">
        <v>4.8899999999999997</v>
      </c>
      <c r="AW24" s="867"/>
      <c r="AX24" s="867"/>
      <c r="AY24" s="867"/>
      <c r="AZ24" s="867"/>
    </row>
    <row r="25" spans="1:52">
      <c r="A25" s="869"/>
      <c r="B25" s="1542"/>
      <c r="C25" s="1542"/>
      <c r="D25" s="1542"/>
      <c r="E25" s="1542"/>
      <c r="F25" s="1542"/>
      <c r="G25" s="1542"/>
      <c r="H25" s="1542"/>
      <c r="I25" s="1542"/>
      <c r="J25" s="1542"/>
      <c r="K25" s="866"/>
      <c r="L25" s="866"/>
      <c r="M25" s="866"/>
      <c r="N25" s="866"/>
      <c r="O25" s="866"/>
      <c r="P25" s="866"/>
      <c r="Q25" s="866"/>
      <c r="R25" s="866"/>
      <c r="S25" s="866"/>
      <c r="T25" s="866"/>
      <c r="U25" s="866"/>
      <c r="V25" s="866"/>
      <c r="W25" s="866"/>
      <c r="X25" s="866"/>
      <c r="Y25" s="866"/>
      <c r="Z25" s="866"/>
      <c r="AA25" s="866"/>
      <c r="AB25" s="866"/>
      <c r="AC25" s="866"/>
      <c r="AD25" s="866"/>
      <c r="AE25" s="866"/>
      <c r="AF25" s="866"/>
      <c r="AG25" s="866"/>
      <c r="AH25" s="872">
        <v>36</v>
      </c>
      <c r="AI25" s="872">
        <v>2530.75</v>
      </c>
      <c r="AJ25" s="872">
        <v>2320.4499999999998</v>
      </c>
      <c r="AK25" s="866"/>
      <c r="AL25" s="872">
        <v>36</v>
      </c>
      <c r="AM25" s="872">
        <v>2226.65</v>
      </c>
      <c r="AN25" s="872">
        <v>2016.35</v>
      </c>
      <c r="AO25" s="866"/>
      <c r="AP25" s="872">
        <v>16</v>
      </c>
      <c r="AQ25" s="872">
        <v>893.85</v>
      </c>
      <c r="AR25" s="866"/>
      <c r="AS25" s="866"/>
      <c r="AT25" s="872">
        <v>34</v>
      </c>
      <c r="AU25" s="872">
        <v>26</v>
      </c>
      <c r="AV25" s="872">
        <v>5.1100000000000003</v>
      </c>
      <c r="AW25" s="867"/>
      <c r="AX25" s="867"/>
      <c r="AY25" s="867"/>
      <c r="AZ25" s="867"/>
    </row>
    <row r="26" spans="1:52">
      <c r="A26" s="869"/>
      <c r="B26" s="1542"/>
      <c r="C26" s="1542"/>
      <c r="D26" s="1542"/>
      <c r="E26" s="1542"/>
      <c r="F26" s="1542"/>
      <c r="G26" s="1542"/>
      <c r="H26" s="1542"/>
      <c r="I26" s="1542"/>
      <c r="J26" s="1542"/>
      <c r="K26" s="866"/>
      <c r="L26" s="866"/>
      <c r="M26" s="866"/>
      <c r="N26" s="866"/>
      <c r="O26" s="866"/>
      <c r="P26" s="866"/>
      <c r="Q26" s="866"/>
      <c r="R26" s="866"/>
      <c r="S26" s="866"/>
      <c r="T26" s="866"/>
      <c r="U26" s="866"/>
      <c r="V26" s="866"/>
      <c r="W26" s="866"/>
      <c r="X26" s="866"/>
      <c r="Y26" s="866"/>
      <c r="Z26" s="866"/>
      <c r="AA26" s="866"/>
      <c r="AB26" s="866"/>
      <c r="AC26" s="866"/>
      <c r="AD26" s="866"/>
      <c r="AE26" s="866"/>
      <c r="AF26" s="866"/>
      <c r="AG26" s="866"/>
      <c r="AH26" s="872">
        <v>37</v>
      </c>
      <c r="AI26" s="872">
        <v>2591.1</v>
      </c>
      <c r="AJ26" s="872">
        <v>2373.15</v>
      </c>
      <c r="AK26" s="866"/>
      <c r="AL26" s="872">
        <v>37</v>
      </c>
      <c r="AM26" s="872">
        <v>2288.5500000000002</v>
      </c>
      <c r="AN26" s="872">
        <v>2070.6</v>
      </c>
      <c r="AO26" s="866"/>
      <c r="AP26" s="872">
        <v>17</v>
      </c>
      <c r="AQ26" s="872">
        <v>924.2</v>
      </c>
      <c r="AR26" s="866"/>
      <c r="AS26" s="866"/>
      <c r="AT26" s="872">
        <v>35</v>
      </c>
      <c r="AU26" s="872">
        <v>25</v>
      </c>
      <c r="AV26" s="872">
        <v>5.35</v>
      </c>
      <c r="AW26" s="867"/>
      <c r="AX26" s="867"/>
      <c r="AY26" s="867"/>
      <c r="AZ26" s="867"/>
    </row>
    <row r="27" spans="1:52">
      <c r="A27" s="869"/>
      <c r="B27" s="1542"/>
      <c r="C27" s="1542"/>
      <c r="D27" s="1542"/>
      <c r="E27" s="1542"/>
      <c r="F27" s="1542"/>
      <c r="G27" s="1542"/>
      <c r="H27" s="1542"/>
      <c r="I27" s="1542"/>
      <c r="J27" s="1542"/>
      <c r="K27" s="866"/>
      <c r="L27" s="866"/>
      <c r="M27" s="866"/>
      <c r="N27" s="866"/>
      <c r="O27" s="866"/>
      <c r="P27" s="866"/>
      <c r="Q27" s="866"/>
      <c r="R27" s="866"/>
      <c r="S27" s="866"/>
      <c r="T27" s="866"/>
      <c r="U27" s="866"/>
      <c r="V27" s="866"/>
      <c r="W27" s="866"/>
      <c r="X27" s="866"/>
      <c r="Y27" s="866"/>
      <c r="Z27" s="866"/>
      <c r="AA27" s="866"/>
      <c r="AB27" s="866"/>
      <c r="AC27" s="866"/>
      <c r="AD27" s="866"/>
      <c r="AE27" s="866"/>
      <c r="AF27" s="866"/>
      <c r="AG27" s="866"/>
      <c r="AH27" s="872">
        <v>38</v>
      </c>
      <c r="AI27" s="872">
        <v>2656.1</v>
      </c>
      <c r="AJ27" s="872">
        <v>2427.85</v>
      </c>
      <c r="AK27" s="866"/>
      <c r="AL27" s="872">
        <v>38</v>
      </c>
      <c r="AM27" s="872">
        <v>2355.1</v>
      </c>
      <c r="AN27" s="872">
        <v>2126.85</v>
      </c>
      <c r="AO27" s="866"/>
      <c r="AP27" s="866"/>
      <c r="AQ27" s="866"/>
      <c r="AR27" s="866"/>
      <c r="AS27" s="866"/>
      <c r="AT27" s="872">
        <v>36</v>
      </c>
      <c r="AU27" s="872">
        <v>24</v>
      </c>
      <c r="AV27" s="872">
        <v>5.61</v>
      </c>
      <c r="AW27" s="867"/>
      <c r="AX27" s="867"/>
      <c r="AY27" s="867"/>
      <c r="AZ27" s="867"/>
    </row>
    <row r="28" spans="1:52">
      <c r="A28" s="1543" t="s">
        <v>551</v>
      </c>
      <c r="B28" s="1543"/>
      <c r="C28" s="1543"/>
      <c r="D28" s="1543"/>
      <c r="E28" s="1543"/>
      <c r="F28" s="1543"/>
      <c r="G28" s="1543"/>
      <c r="H28" s="1543"/>
      <c r="I28" s="1543"/>
      <c r="J28" s="1543"/>
      <c r="K28" s="866"/>
      <c r="L28" s="866"/>
      <c r="M28" s="866"/>
      <c r="N28" s="866"/>
      <c r="O28" s="866"/>
      <c r="P28" s="866"/>
      <c r="Q28" s="866"/>
      <c r="R28" s="866"/>
      <c r="S28" s="866"/>
      <c r="T28" s="866"/>
      <c r="U28" s="866"/>
      <c r="V28" s="866"/>
      <c r="W28" s="866"/>
      <c r="X28" s="866"/>
      <c r="Y28" s="866"/>
      <c r="Z28" s="866"/>
      <c r="AA28" s="866"/>
      <c r="AB28" s="866"/>
      <c r="AC28" s="866"/>
      <c r="AD28" s="866"/>
      <c r="AE28" s="866"/>
      <c r="AF28" s="866"/>
      <c r="AG28" s="866"/>
      <c r="AH28" s="872">
        <v>39</v>
      </c>
      <c r="AI28" s="872">
        <v>2725.45</v>
      </c>
      <c r="AJ28" s="872">
        <v>2480.85</v>
      </c>
      <c r="AK28" s="866"/>
      <c r="AL28" s="872">
        <v>39</v>
      </c>
      <c r="AM28" s="872">
        <v>2425.9499999999998</v>
      </c>
      <c r="AN28" s="872">
        <v>2181.35</v>
      </c>
      <c r="AO28" s="866"/>
      <c r="AP28" s="866"/>
      <c r="AQ28" s="866"/>
      <c r="AR28" s="866"/>
      <c r="AS28" s="866"/>
      <c r="AT28" s="872">
        <v>37</v>
      </c>
      <c r="AU28" s="872">
        <v>23</v>
      </c>
      <c r="AV28" s="872">
        <v>5.88</v>
      </c>
      <c r="AW28" s="867"/>
      <c r="AX28" s="867"/>
      <c r="AY28" s="867"/>
      <c r="AZ28" s="867"/>
    </row>
    <row r="29" spans="1:52">
      <c r="A29" s="866"/>
      <c r="B29" s="866"/>
      <c r="C29" s="866"/>
      <c r="D29" s="866"/>
      <c r="E29" s="866"/>
      <c r="F29" s="866"/>
      <c r="G29" s="866"/>
      <c r="H29" s="866"/>
      <c r="I29" s="866"/>
      <c r="J29" s="866"/>
      <c r="K29" s="869" t="s">
        <v>550</v>
      </c>
      <c r="L29" s="866"/>
      <c r="M29" s="869" t="s">
        <v>549</v>
      </c>
      <c r="N29" s="866"/>
      <c r="O29" s="869" t="s">
        <v>548</v>
      </c>
      <c r="P29" s="866"/>
      <c r="Q29" s="869" t="s">
        <v>547</v>
      </c>
      <c r="R29" s="866"/>
      <c r="S29" s="869" t="s">
        <v>546</v>
      </c>
      <c r="T29" s="866"/>
      <c r="U29" s="869" t="s">
        <v>498</v>
      </c>
      <c r="V29" s="866"/>
      <c r="W29" s="869" t="s">
        <v>497</v>
      </c>
      <c r="Y29" s="869" t="s">
        <v>496</v>
      </c>
      <c r="Z29" s="866"/>
      <c r="AA29" s="869" t="s">
        <v>493</v>
      </c>
      <c r="AB29" s="866"/>
      <c r="AC29" s="866"/>
      <c r="AD29" s="866"/>
      <c r="AE29" s="866"/>
      <c r="AF29" s="866"/>
      <c r="AG29" s="866"/>
      <c r="AH29" s="872">
        <v>40</v>
      </c>
      <c r="AI29" s="872">
        <v>2799.7</v>
      </c>
      <c r="AJ29" s="872">
        <v>2538.65</v>
      </c>
      <c r="AK29" s="866"/>
      <c r="AL29" s="872">
        <v>40</v>
      </c>
      <c r="AM29" s="872">
        <v>2501.6999999999998</v>
      </c>
      <c r="AN29" s="872">
        <v>2240.6</v>
      </c>
      <c r="AO29" s="866"/>
      <c r="AP29" s="866"/>
      <c r="AQ29" s="866"/>
      <c r="AR29" s="866"/>
      <c r="AS29" s="866"/>
      <c r="AT29" s="872">
        <v>38</v>
      </c>
      <c r="AU29" s="872">
        <v>22</v>
      </c>
      <c r="AV29" s="872">
        <v>6.17</v>
      </c>
      <c r="AW29" s="867"/>
      <c r="AX29" s="867"/>
      <c r="AY29" s="867"/>
      <c r="AZ29" s="867"/>
    </row>
    <row r="30" spans="1:52">
      <c r="A30" s="869" t="s">
        <v>545</v>
      </c>
      <c r="B30" s="872">
        <f>(L30*$AC$30)+(L30*2*$AC$30)</f>
        <v>45000</v>
      </c>
      <c r="C30" s="872">
        <f>(N30*$AC$30)+(N30*2*$AC$30)</f>
        <v>0</v>
      </c>
      <c r="D30" s="872">
        <f>(P30*$AC$30)+(P30*2*$AC$30)</f>
        <v>0</v>
      </c>
      <c r="E30" s="872">
        <f>(R30*$AC$30)+(R30*2*$AC$30)</f>
        <v>0</v>
      </c>
      <c r="F30" s="872">
        <f>(T30*$AC$30)+(T30*2*$AC$30)</f>
        <v>0</v>
      </c>
      <c r="G30" s="872">
        <f>(V30*$AC$30)+(V30*2*$AC$30)</f>
        <v>0</v>
      </c>
      <c r="H30" s="872">
        <f>(X30*$AC$30)+(X30*2*$AC$30)</f>
        <v>0</v>
      </c>
      <c r="I30" s="872">
        <f>(Z30*$AC$30)+(Z30*2*$AC$30)</f>
        <v>0</v>
      </c>
      <c r="J30" s="872">
        <f>(AB30*$AC$30)+(AB30*2*$AC$30)</f>
        <v>0</v>
      </c>
      <c r="K30" s="872">
        <v>1</v>
      </c>
      <c r="L30" s="872">
        <f>B24</f>
        <v>1000</v>
      </c>
      <c r="M30" s="872">
        <v>1</v>
      </c>
      <c r="N30" s="872">
        <f>C24</f>
        <v>0</v>
      </c>
      <c r="O30" s="866"/>
      <c r="P30" s="872">
        <f>D24</f>
        <v>0</v>
      </c>
      <c r="Q30" s="866"/>
      <c r="R30" s="872">
        <f>E24</f>
        <v>0</v>
      </c>
      <c r="S30" s="866"/>
      <c r="T30" s="872">
        <f>F24</f>
        <v>0</v>
      </c>
      <c r="U30" s="866"/>
      <c r="V30" s="872">
        <f>G24</f>
        <v>0</v>
      </c>
      <c r="W30" s="866"/>
      <c r="X30" s="872">
        <f>H24</f>
        <v>0</v>
      </c>
      <c r="Y30" s="866"/>
      <c r="Z30" s="872">
        <f>I24</f>
        <v>0</v>
      </c>
      <c r="AA30" s="866"/>
      <c r="AB30" s="872">
        <f>J24</f>
        <v>0</v>
      </c>
      <c r="AC30" s="872">
        <v>15</v>
      </c>
      <c r="AD30" s="872">
        <v>30</v>
      </c>
      <c r="AE30" s="866"/>
      <c r="AF30" s="866"/>
      <c r="AG30" s="866"/>
      <c r="AH30" s="872">
        <v>41</v>
      </c>
      <c r="AI30" s="872">
        <v>2878.7</v>
      </c>
      <c r="AJ30" s="872">
        <v>2597.15</v>
      </c>
      <c r="AK30" s="866"/>
      <c r="AL30" s="872">
        <v>41</v>
      </c>
      <c r="AM30" s="872">
        <v>2582.15</v>
      </c>
      <c r="AN30" s="872">
        <v>2300.6</v>
      </c>
      <c r="AO30" s="866"/>
      <c r="AP30" s="866"/>
      <c r="AQ30" s="866"/>
      <c r="AR30" s="866"/>
      <c r="AS30" s="866"/>
      <c r="AT30" s="872">
        <v>39</v>
      </c>
      <c r="AU30" s="872">
        <v>21</v>
      </c>
      <c r="AV30" s="872">
        <v>6.48</v>
      </c>
      <c r="AW30" s="867"/>
      <c r="AX30" s="867"/>
      <c r="AY30" s="867"/>
      <c r="AZ30" s="867"/>
    </row>
    <row r="31" spans="1:52">
      <c r="A31" s="869" t="s">
        <v>544</v>
      </c>
      <c r="B31" s="872">
        <f>IF((SUM($AD$30:AD30)+AD31)&lt;=720,((L31*$AC$31)+(L31*2*$AC$31)),0)</f>
        <v>141750</v>
      </c>
      <c r="C31" s="872">
        <f>IF((SUM($AD$30:AD30)+AD31)&lt;=720,((N31*$AC$31)+(N31*2*$AC$31)),0)</f>
        <v>0</v>
      </c>
      <c r="D31" s="872">
        <f>IF((SUM($AD$30:AD30)+AD31)&lt;=720,((P31*$AC$31)+(P31*2*$AC$31)),0)</f>
        <v>0</v>
      </c>
      <c r="E31" s="872">
        <f>IF((SUM($AD$30:AD30)+AD31)&lt;=720,((R31*$AC$31)+(R31*2*$AC$31)),0)</f>
        <v>0</v>
      </c>
      <c r="F31" s="872">
        <f>IF((SUM($AD$30:AD30)+AD31)&lt;=720,((T31*$AC$31)+(T31*2*$AC$31)),0)</f>
        <v>0</v>
      </c>
      <c r="G31" s="872">
        <f>IF((SUM($AD$30:AD30)+AD31)&lt;=720,((V31*$AC$31)+(V31*2*$AC$31)),0)</f>
        <v>0</v>
      </c>
      <c r="H31" s="872">
        <f>IF((SUM($AD$30:AD30)+AD31)&lt;=720,((X31*$AC$31)+(X31*2*$AC$31)),0)</f>
        <v>0</v>
      </c>
      <c r="I31" s="872">
        <f>IF((SUM($AD$30:AD30)+AD31)&lt;=720,((Z31*$AC$31)+(Z31*2*$AC$31)),0)</f>
        <v>0</v>
      </c>
      <c r="J31" s="872">
        <f>IF((SUM($AD$30:AD30)+AD31)&lt;=720,((AB31*$AC$31)+(AB31*2*$AC$31)),0)</f>
        <v>0</v>
      </c>
      <c r="K31" s="872">
        <f t="shared" ref="K31:K39" si="8">0.05*$B$24</f>
        <v>50</v>
      </c>
      <c r="L31" s="872">
        <f t="shared" ref="L31:L39" si="9">IF((L30+K31)&lt;=(1.5*$B$24),(L30+K31),L30)</f>
        <v>1050</v>
      </c>
      <c r="M31" s="872">
        <f t="shared" ref="M31:M39" si="10">0.05*$C$24</f>
        <v>0</v>
      </c>
      <c r="N31" s="872">
        <f t="shared" ref="N31:N39" si="11">IF((N30+M31)&lt;=(1.5*$C$24),(N30+M31),N30)</f>
        <v>0</v>
      </c>
      <c r="O31" s="872">
        <f t="shared" ref="O31:O39" si="12">0.05*$D$24</f>
        <v>0</v>
      </c>
      <c r="P31" s="872">
        <f t="shared" ref="P31:P39" si="13">IF((P30+O31)&lt;=(1.5*$D$24),(P30+O31),P30)</f>
        <v>0</v>
      </c>
      <c r="Q31" s="872">
        <f t="shared" ref="Q31:Q39" si="14">0.05*$E$24</f>
        <v>0</v>
      </c>
      <c r="R31" s="872">
        <f t="shared" ref="R31:R39" si="15">IF((R30+Q31)&lt;=(1.5*$E$24),(R30+Q31),R30)</f>
        <v>0</v>
      </c>
      <c r="S31" s="872">
        <f t="shared" ref="S31:S39" si="16">0.05*$F$24</f>
        <v>0</v>
      </c>
      <c r="T31" s="872">
        <f t="shared" ref="T31:T39" si="17">IF((T30+S31)&lt;=(1.5*$F$24),(T30+S31),T30)</f>
        <v>0</v>
      </c>
      <c r="U31" s="872">
        <f t="shared" ref="U31:U39" si="18">0.05*$G$24</f>
        <v>0</v>
      </c>
      <c r="V31" s="872">
        <f t="shared" ref="V31:V39" si="19">IF((V30+U31)&lt;=(1.5*$G$24),(V30+U31),V30)</f>
        <v>0</v>
      </c>
      <c r="W31" s="872">
        <f t="shared" ref="W31:W39" si="20">0.05*$H$24</f>
        <v>0</v>
      </c>
      <c r="X31" s="872">
        <f t="shared" ref="X31:X39" si="21">IF((X30+W31)&lt;=(1.5*$H$24),(X30+W31),X30)</f>
        <v>0</v>
      </c>
      <c r="Y31" s="872">
        <f t="shared" ref="Y31:Y39" si="22">0.05*$I$24</f>
        <v>0</v>
      </c>
      <c r="Z31" s="872">
        <f t="shared" ref="Z31:Z39" si="23">IF((Z30+Y31)&lt;=(1.5*$I$24),(Z30+Y31),Z30)</f>
        <v>0</v>
      </c>
      <c r="AA31" s="872">
        <f t="shared" ref="AA31:AA39" si="24">$J$24*0.05</f>
        <v>0</v>
      </c>
      <c r="AB31" s="872">
        <f t="shared" ref="AB31:AB39" si="25">IF((AB30+AA31)&lt;=(1.5*$J$24),(AB30+AA31),AB30)</f>
        <v>0</v>
      </c>
      <c r="AC31" s="872">
        <v>45</v>
      </c>
      <c r="AD31" s="872">
        <v>90</v>
      </c>
      <c r="AE31" s="866"/>
      <c r="AF31" s="866"/>
      <c r="AG31" s="866"/>
      <c r="AH31" s="872">
        <v>42</v>
      </c>
      <c r="AI31" s="872">
        <v>2962.55</v>
      </c>
      <c r="AJ31" s="872">
        <v>2654.85</v>
      </c>
      <c r="AK31" s="866"/>
      <c r="AL31" s="872">
        <v>42</v>
      </c>
      <c r="AM31" s="872">
        <v>2667.45</v>
      </c>
      <c r="AN31" s="872">
        <v>2359.6999999999998</v>
      </c>
      <c r="AO31" s="866"/>
      <c r="AP31" s="866"/>
      <c r="AQ31" s="866"/>
      <c r="AR31" s="866"/>
      <c r="AS31" s="866"/>
      <c r="AT31" s="872">
        <v>40</v>
      </c>
      <c r="AU31" s="872">
        <v>20</v>
      </c>
      <c r="AV31" s="872">
        <v>6.8</v>
      </c>
      <c r="AW31" s="867"/>
      <c r="AX31" s="867"/>
      <c r="AY31" s="867"/>
      <c r="AZ31" s="867"/>
    </row>
    <row r="32" spans="1:52">
      <c r="A32" s="869" t="s">
        <v>543</v>
      </c>
      <c r="B32" s="872">
        <f>IF((SUM($AD$30:AD31)+AD32)&lt;=720,((L32*$AC$31)+(L32*2*$AC$31)),0)</f>
        <v>148500</v>
      </c>
      <c r="C32" s="872">
        <f>IF((SUM($AD$30:AD31)+AD32)&lt;=720,((N32*$AC$31)+(N32*2*$AC$31)),0)</f>
        <v>0</v>
      </c>
      <c r="D32" s="872">
        <f>IF((SUM($AD$30:AD31)+AD32)&lt;=720,((P32*$AC$31)+(P32*2*$AC$31)),0)</f>
        <v>0</v>
      </c>
      <c r="E32" s="872">
        <f>IF((SUM($AD$30:AD31)+AD32)&lt;=720,((R32*$AC$31)+(R32*2*$AC$31)),0)</f>
        <v>0</v>
      </c>
      <c r="F32" s="872">
        <f>IF((SUM($AD$30:AD31)+AD32)&lt;=720,((T32*$AC$31)+(T32*2*$AC$31)),0)</f>
        <v>0</v>
      </c>
      <c r="G32" s="872">
        <f>IF((SUM($AD$30:AD31)+AD32)&lt;=720,((V32*$AC$31)+(V32*2*$AC$31)),0)</f>
        <v>0</v>
      </c>
      <c r="H32" s="872">
        <f>IF((SUM($AD$30:AD31)+AD32)&lt;=720,((X32*$AC$31)+(X32*2*$AC$31)),0)</f>
        <v>0</v>
      </c>
      <c r="I32" s="872">
        <f>IF((SUM($AD$30:AD31)+AD32)&lt;=720,((Z32*$AC$31)+(Z32*2*$AC$31)),0)</f>
        <v>0</v>
      </c>
      <c r="J32" s="872">
        <f>IF((SUM($AD$30:AD31)+AD32)&lt;=720,((AB32*$AC$31)+(AB32*2*$AC$31)),0)</f>
        <v>0</v>
      </c>
      <c r="K32" s="872">
        <f t="shared" si="8"/>
        <v>50</v>
      </c>
      <c r="L32" s="872">
        <f t="shared" si="9"/>
        <v>1100</v>
      </c>
      <c r="M32" s="872">
        <f t="shared" si="10"/>
        <v>0</v>
      </c>
      <c r="N32" s="872">
        <f t="shared" si="11"/>
        <v>0</v>
      </c>
      <c r="O32" s="872">
        <f t="shared" si="12"/>
        <v>0</v>
      </c>
      <c r="P32" s="872">
        <f t="shared" si="13"/>
        <v>0</v>
      </c>
      <c r="Q32" s="872">
        <f t="shared" si="14"/>
        <v>0</v>
      </c>
      <c r="R32" s="872">
        <f t="shared" si="15"/>
        <v>0</v>
      </c>
      <c r="S32" s="872">
        <f t="shared" si="16"/>
        <v>0</v>
      </c>
      <c r="T32" s="872">
        <f t="shared" si="17"/>
        <v>0</v>
      </c>
      <c r="U32" s="872">
        <f t="shared" si="18"/>
        <v>0</v>
      </c>
      <c r="V32" s="872">
        <f t="shared" si="19"/>
        <v>0</v>
      </c>
      <c r="W32" s="872">
        <f t="shared" si="20"/>
        <v>0</v>
      </c>
      <c r="X32" s="872">
        <f t="shared" si="21"/>
        <v>0</v>
      </c>
      <c r="Y32" s="872">
        <f t="shared" si="22"/>
        <v>0</v>
      </c>
      <c r="Z32" s="872">
        <f t="shared" si="23"/>
        <v>0</v>
      </c>
      <c r="AA32" s="872">
        <f t="shared" si="24"/>
        <v>0</v>
      </c>
      <c r="AB32" s="872">
        <f t="shared" si="25"/>
        <v>0</v>
      </c>
      <c r="AC32" s="872">
        <v>45</v>
      </c>
      <c r="AD32" s="872">
        <v>90</v>
      </c>
      <c r="AE32" s="866"/>
      <c r="AF32" s="866"/>
      <c r="AG32" s="866"/>
      <c r="AH32" s="872">
        <v>43</v>
      </c>
      <c r="AI32" s="872">
        <v>3051.3</v>
      </c>
      <c r="AJ32" s="872">
        <v>2706.9</v>
      </c>
      <c r="AK32" s="866"/>
      <c r="AL32" s="872">
        <v>43</v>
      </c>
      <c r="AM32" s="872">
        <v>2757.55</v>
      </c>
      <c r="AN32" s="872">
        <v>2413.15</v>
      </c>
      <c r="AO32" s="866"/>
      <c r="AP32" s="866"/>
      <c r="AQ32" s="866"/>
      <c r="AR32" s="866"/>
      <c r="AS32" s="866"/>
      <c r="AT32" s="872">
        <v>41</v>
      </c>
      <c r="AU32" s="872">
        <v>19</v>
      </c>
      <c r="AV32" s="872">
        <v>7.15</v>
      </c>
      <c r="AW32" s="867"/>
      <c r="AX32" s="867"/>
      <c r="AY32" s="867"/>
      <c r="AZ32" s="867"/>
    </row>
    <row r="33" spans="1:52">
      <c r="A33" s="869" t="s">
        <v>542</v>
      </c>
      <c r="B33" s="872">
        <f>IF((SUM($AD$30:AD32)+AD33)&lt;=720,((L33*$AC$31)+(L33*2*$AC$31)),0)</f>
        <v>155250</v>
      </c>
      <c r="C33" s="872">
        <f>IF((SUM($AD$30:AD32)+AD33)&lt;=720,((N33*$AC$31)+(N33*2*$AC$31)),0)</f>
        <v>0</v>
      </c>
      <c r="D33" s="872">
        <f>IF((SUM($AD$30:AD32)+AD33)&lt;=720,((P33*$AC$31)+(P33*2*$AC$31)),0)</f>
        <v>0</v>
      </c>
      <c r="E33" s="872">
        <f>IF((SUM($AD$30:AD32)+AD33)&lt;=720,((R33*$AC$31)+(R33*2*$AC$31)),0)</f>
        <v>0</v>
      </c>
      <c r="F33" s="872">
        <f>IF((SUM($AD$30:AD32)+AD33)&lt;=720,((T33*$AC$31)+(T33*2*$AC$31)),0)</f>
        <v>0</v>
      </c>
      <c r="G33" s="872">
        <f>IF((SUM($AD$30:AD32)+AD33)&lt;=720,((V33*$AC$31)+(V33*2*$AC$31)),0)</f>
        <v>0</v>
      </c>
      <c r="H33" s="872">
        <f>IF((SUM($AD$30:AD32)+AD33)&lt;=720,((X33*$AC$31)+(X33*2*$AC$31)),0)</f>
        <v>0</v>
      </c>
      <c r="I33" s="872">
        <f>IF((SUM($AD$30:AD32)+AD33)&lt;=720,((Z33*$AC$31)+(Z33*2*$AC$31)),0)</f>
        <v>0</v>
      </c>
      <c r="J33" s="872">
        <f>IF((SUM($AD$30:AD32)+AD33)&lt;=720,((AB33*$AC$31)+(AB33*2*$AC$31)),0)</f>
        <v>0</v>
      </c>
      <c r="K33" s="872">
        <f t="shared" si="8"/>
        <v>50</v>
      </c>
      <c r="L33" s="872">
        <f t="shared" si="9"/>
        <v>1150</v>
      </c>
      <c r="M33" s="872">
        <f t="shared" si="10"/>
        <v>0</v>
      </c>
      <c r="N33" s="872">
        <f t="shared" si="11"/>
        <v>0</v>
      </c>
      <c r="O33" s="872">
        <f t="shared" si="12"/>
        <v>0</v>
      </c>
      <c r="P33" s="872">
        <f t="shared" si="13"/>
        <v>0</v>
      </c>
      <c r="Q33" s="872">
        <f t="shared" si="14"/>
        <v>0</v>
      </c>
      <c r="R33" s="872">
        <f t="shared" si="15"/>
        <v>0</v>
      </c>
      <c r="S33" s="872">
        <f t="shared" si="16"/>
        <v>0</v>
      </c>
      <c r="T33" s="872">
        <f t="shared" si="17"/>
        <v>0</v>
      </c>
      <c r="U33" s="872">
        <f t="shared" si="18"/>
        <v>0</v>
      </c>
      <c r="V33" s="872">
        <f t="shared" si="19"/>
        <v>0</v>
      </c>
      <c r="W33" s="872">
        <f t="shared" si="20"/>
        <v>0</v>
      </c>
      <c r="X33" s="872">
        <f t="shared" si="21"/>
        <v>0</v>
      </c>
      <c r="Y33" s="872">
        <f t="shared" si="22"/>
        <v>0</v>
      </c>
      <c r="Z33" s="872">
        <f t="shared" si="23"/>
        <v>0</v>
      </c>
      <c r="AA33" s="872">
        <f t="shared" si="24"/>
        <v>0</v>
      </c>
      <c r="AB33" s="872">
        <f t="shared" si="25"/>
        <v>0</v>
      </c>
      <c r="AC33" s="872">
        <v>45</v>
      </c>
      <c r="AD33" s="872">
        <v>90</v>
      </c>
      <c r="AE33" s="866"/>
      <c r="AF33" s="866"/>
      <c r="AG33" s="866"/>
      <c r="AH33" s="872">
        <v>44</v>
      </c>
      <c r="AI33" s="872">
        <v>3139.75</v>
      </c>
      <c r="AJ33" s="872">
        <v>2758.25</v>
      </c>
      <c r="AK33" s="866"/>
      <c r="AL33" s="872">
        <v>44</v>
      </c>
      <c r="AM33" s="872">
        <v>2847.35</v>
      </c>
      <c r="AN33" s="872">
        <v>2465.8000000000002</v>
      </c>
      <c r="AO33" s="866"/>
      <c r="AP33" s="866"/>
      <c r="AQ33" s="866"/>
      <c r="AR33" s="866"/>
      <c r="AS33" s="866"/>
      <c r="AT33" s="872">
        <v>42</v>
      </c>
      <c r="AU33" s="872">
        <v>18</v>
      </c>
      <c r="AV33" s="872">
        <v>7.51</v>
      </c>
      <c r="AW33" s="867"/>
      <c r="AX33" s="867"/>
      <c r="AY33" s="867"/>
      <c r="AZ33" s="867"/>
    </row>
    <row r="34" spans="1:52">
      <c r="A34" s="869" t="s">
        <v>541</v>
      </c>
      <c r="B34" s="872">
        <f>IF((SUM($AD$30:AD33)+AD34)&lt;=720,((L34*$AC$31)+(L34*2*$AC$31)),0)</f>
        <v>162000</v>
      </c>
      <c r="C34" s="872">
        <f>IF((SUM($AD$30:AD33)+AD34)&lt;=720,((N34*$AC$31)+(N34*2*$AC$31)),0)</f>
        <v>0</v>
      </c>
      <c r="D34" s="872">
        <f>IF((SUM($AD$30:AD33)+AD34)&lt;=720,((P34*$AC$31)+(P34*2*$AC$31)),0)</f>
        <v>0</v>
      </c>
      <c r="E34" s="872">
        <f>IF((SUM($AD$30:AD33)+AD34)&lt;=720,((R34*$AC$31)+(R34*2*$AC$31)),0)</f>
        <v>0</v>
      </c>
      <c r="F34" s="872">
        <f>IF((SUM($AD$30:AD33)+AD34)&lt;=720,((T34*$AC$31)+(T34*2*$AC$31)),0)</f>
        <v>0</v>
      </c>
      <c r="G34" s="872">
        <f>IF((SUM($AD$30:AD33)+AD34)&lt;=720,((V34*$AC$31)+(V34*2*$AC$31)),0)</f>
        <v>0</v>
      </c>
      <c r="H34" s="872">
        <f>IF((SUM($AD$30:AD33)+AD34)&lt;=720,((X34*$AC$31)+(X34*2*$AC$31)),0)</f>
        <v>0</v>
      </c>
      <c r="I34" s="872">
        <f>IF((SUM($AD$30:AD33)+AD34)&lt;=720,((Z34*$AC$31)+(Z34*2*$AC$31)),0)</f>
        <v>0</v>
      </c>
      <c r="J34" s="872">
        <f>IF((SUM($AD$30:AD33)+AD34)&lt;=720,((AB34*$AC$31)+(AB34*2*$AC$31)),0)</f>
        <v>0</v>
      </c>
      <c r="K34" s="872">
        <f t="shared" si="8"/>
        <v>50</v>
      </c>
      <c r="L34" s="872">
        <f t="shared" si="9"/>
        <v>1200</v>
      </c>
      <c r="M34" s="872">
        <f t="shared" si="10"/>
        <v>0</v>
      </c>
      <c r="N34" s="872">
        <f t="shared" si="11"/>
        <v>0</v>
      </c>
      <c r="O34" s="872">
        <f t="shared" si="12"/>
        <v>0</v>
      </c>
      <c r="P34" s="872">
        <f t="shared" si="13"/>
        <v>0</v>
      </c>
      <c r="Q34" s="872">
        <f t="shared" si="14"/>
        <v>0</v>
      </c>
      <c r="R34" s="872">
        <f t="shared" si="15"/>
        <v>0</v>
      </c>
      <c r="S34" s="872">
        <f t="shared" si="16"/>
        <v>0</v>
      </c>
      <c r="T34" s="872">
        <f t="shared" si="17"/>
        <v>0</v>
      </c>
      <c r="U34" s="872">
        <f t="shared" si="18"/>
        <v>0</v>
      </c>
      <c r="V34" s="872">
        <f t="shared" si="19"/>
        <v>0</v>
      </c>
      <c r="W34" s="872">
        <f t="shared" si="20"/>
        <v>0</v>
      </c>
      <c r="X34" s="872">
        <f t="shared" si="21"/>
        <v>0</v>
      </c>
      <c r="Y34" s="872">
        <f t="shared" si="22"/>
        <v>0</v>
      </c>
      <c r="Z34" s="872">
        <f t="shared" si="23"/>
        <v>0</v>
      </c>
      <c r="AA34" s="872">
        <f t="shared" si="24"/>
        <v>0</v>
      </c>
      <c r="AB34" s="872">
        <f t="shared" si="25"/>
        <v>0</v>
      </c>
      <c r="AC34" s="872">
        <v>45</v>
      </c>
      <c r="AD34" s="872">
        <v>90</v>
      </c>
      <c r="AE34" s="866"/>
      <c r="AF34" s="866"/>
      <c r="AG34" s="866"/>
      <c r="AH34" s="872">
        <v>45</v>
      </c>
      <c r="AI34" s="872">
        <v>3229.75</v>
      </c>
      <c r="AJ34" s="872">
        <v>2812.95</v>
      </c>
      <c r="AK34" s="866"/>
      <c r="AL34" s="872">
        <v>45</v>
      </c>
      <c r="AM34" s="872">
        <v>2938.6</v>
      </c>
      <c r="AN34" s="872">
        <v>2521.85</v>
      </c>
      <c r="AO34" s="866"/>
      <c r="AP34" s="866"/>
      <c r="AQ34" s="866"/>
      <c r="AR34" s="866"/>
      <c r="AS34" s="866"/>
      <c r="AT34" s="872">
        <v>43</v>
      </c>
      <c r="AU34" s="872">
        <v>17</v>
      </c>
      <c r="AV34" s="872">
        <v>7.9</v>
      </c>
      <c r="AW34" s="867"/>
      <c r="AX34" s="867"/>
      <c r="AY34" s="867"/>
      <c r="AZ34" s="867"/>
    </row>
    <row r="35" spans="1:52">
      <c r="A35" s="869" t="s">
        <v>540</v>
      </c>
      <c r="B35" s="872">
        <f>IF((SUM($AD$30:AD34)+AD35)&lt;=720,((L35*$AC$31)+(L35*2*$AC$31)),0)</f>
        <v>168750</v>
      </c>
      <c r="C35" s="872">
        <f>IF((SUM($AD$30:AD34)+AD35)&lt;=720,((N35*$AC$31)+(N35*2*$AC$31)),0)</f>
        <v>0</v>
      </c>
      <c r="D35" s="872">
        <f>IF((SUM($AD$30:AD34)+AD35)&lt;=720,((P35*$AC$31)+(P35*2*$AC$31)),0)</f>
        <v>0</v>
      </c>
      <c r="E35" s="872">
        <f>IF((SUM($AD$30:AD34)+AD35)&lt;=720,((R35*$AC$31)+(R35*2*$AC$31)),0)</f>
        <v>0</v>
      </c>
      <c r="F35" s="872">
        <f>IF((SUM($AD$30:AD34)+AD35)&lt;=720,((T35*$AC$31)+(T35*2*$AC$31)),0)</f>
        <v>0</v>
      </c>
      <c r="G35" s="872">
        <f>IF((SUM($AD$30:AD34)+AD35)&lt;=720,((V35*$AC$31)+(V35*2*$AC$31)),0)</f>
        <v>0</v>
      </c>
      <c r="H35" s="872">
        <f>IF((SUM($AD$30:AD34)+AD35)&lt;=720,((X35*$AC$31)+(X35*2*$AC$31)),0)</f>
        <v>0</v>
      </c>
      <c r="I35" s="872">
        <f>IF((SUM($AD$30:AD34)+AD35)&lt;=720,((Z35*$AC$31)+(Z35*2*$AC$31)),0)</f>
        <v>0</v>
      </c>
      <c r="J35" s="872">
        <f>IF((SUM($AD$30:AD34)+AD35)&lt;=720,((AB35*$AC$31)+(AB35*2*$AC$31)),0)</f>
        <v>0</v>
      </c>
      <c r="K35" s="872">
        <f t="shared" si="8"/>
        <v>50</v>
      </c>
      <c r="L35" s="872">
        <f t="shared" si="9"/>
        <v>1250</v>
      </c>
      <c r="M35" s="872">
        <f t="shared" si="10"/>
        <v>0</v>
      </c>
      <c r="N35" s="872">
        <f t="shared" si="11"/>
        <v>0</v>
      </c>
      <c r="O35" s="872">
        <f t="shared" si="12"/>
        <v>0</v>
      </c>
      <c r="P35" s="872">
        <f t="shared" si="13"/>
        <v>0</v>
      </c>
      <c r="Q35" s="872">
        <f t="shared" si="14"/>
        <v>0</v>
      </c>
      <c r="R35" s="872">
        <f t="shared" si="15"/>
        <v>0</v>
      </c>
      <c r="S35" s="872">
        <f t="shared" si="16"/>
        <v>0</v>
      </c>
      <c r="T35" s="872">
        <f t="shared" si="17"/>
        <v>0</v>
      </c>
      <c r="U35" s="872">
        <f t="shared" si="18"/>
        <v>0</v>
      </c>
      <c r="V35" s="872">
        <f t="shared" si="19"/>
        <v>0</v>
      </c>
      <c r="W35" s="872">
        <f t="shared" si="20"/>
        <v>0</v>
      </c>
      <c r="X35" s="872">
        <f t="shared" si="21"/>
        <v>0</v>
      </c>
      <c r="Y35" s="872">
        <f t="shared" si="22"/>
        <v>0</v>
      </c>
      <c r="Z35" s="872">
        <f t="shared" si="23"/>
        <v>0</v>
      </c>
      <c r="AA35" s="872">
        <f t="shared" si="24"/>
        <v>0</v>
      </c>
      <c r="AB35" s="872">
        <f t="shared" si="25"/>
        <v>0</v>
      </c>
      <c r="AC35" s="872">
        <v>45</v>
      </c>
      <c r="AD35" s="872">
        <v>90</v>
      </c>
      <c r="AE35" s="866"/>
      <c r="AF35" s="866"/>
      <c r="AG35" s="866"/>
      <c r="AH35" s="872">
        <v>46</v>
      </c>
      <c r="AI35" s="872">
        <v>3324.65</v>
      </c>
      <c r="AJ35" s="872">
        <v>2870.4</v>
      </c>
      <c r="AK35" s="866"/>
      <c r="AL35" s="872">
        <v>46</v>
      </c>
      <c r="AM35" s="872">
        <v>3034.75</v>
      </c>
      <c r="AN35" s="872">
        <v>2580.5</v>
      </c>
      <c r="AO35" s="866"/>
      <c r="AP35" s="866"/>
      <c r="AQ35" s="866"/>
      <c r="AR35" s="866"/>
      <c r="AS35" s="866"/>
      <c r="AT35" s="872">
        <v>44</v>
      </c>
      <c r="AU35" s="872">
        <v>16</v>
      </c>
      <c r="AV35" s="872">
        <v>8.33</v>
      </c>
      <c r="AW35" s="867"/>
      <c r="AX35" s="867"/>
      <c r="AY35" s="867"/>
      <c r="AZ35" s="867"/>
    </row>
    <row r="36" spans="1:52">
      <c r="A36" s="869" t="s">
        <v>539</v>
      </c>
      <c r="B36" s="872">
        <f>IF((SUM($AD$30:AD35)+AD36)&lt;=720,((L36*$AC$31)+(L36*2*$AC$31)),0)</f>
        <v>175500</v>
      </c>
      <c r="C36" s="872">
        <f>IF((SUM($AD$30:AD35)+AD36)&lt;=720,((N36*$AC$31)+(N36*2*$AC$31)),0)</f>
        <v>0</v>
      </c>
      <c r="D36" s="872">
        <f>IF((SUM($AD$30:AD35)+AD36)&lt;=720,((P36*$AC$31)+(P36*2*$AC$31)),0)</f>
        <v>0</v>
      </c>
      <c r="E36" s="872">
        <f>IF((SUM($AD$30:AD35)+AD36)&lt;=720,((R36*$AC$31)+(R36*2*$AC$31)),0)</f>
        <v>0</v>
      </c>
      <c r="F36" s="872">
        <f>IF((SUM($AD$30:AD35)+AD36)&lt;=720,((T36*$AC$31)+(T36*2*$AC$31)),0)</f>
        <v>0</v>
      </c>
      <c r="G36" s="872">
        <f>IF((SUM($AD$30:AD35)+AD36)&lt;=720,((V36*$AC$31)+(V36*2*$AC$31)),0)</f>
        <v>0</v>
      </c>
      <c r="H36" s="872">
        <f>IF((SUM($AD$30:AD35)+AD36)&lt;=720,((X36*$AC$31)+(X36*2*$AC$31)),0)</f>
        <v>0</v>
      </c>
      <c r="I36" s="872">
        <f>IF((SUM($AD$30:AD35)+AD36)&lt;=720,((Z36*$AC$31)+(Z36*2*$AC$31)),0)</f>
        <v>0</v>
      </c>
      <c r="J36" s="872">
        <f>IF((SUM($AD$30:AD35)+AD36)&lt;=720,((AB36*$AC$31)+(AB36*2*$AC$31)),0)</f>
        <v>0</v>
      </c>
      <c r="K36" s="872">
        <f t="shared" si="8"/>
        <v>50</v>
      </c>
      <c r="L36" s="872">
        <f t="shared" si="9"/>
        <v>1300</v>
      </c>
      <c r="M36" s="872">
        <f t="shared" si="10"/>
        <v>0</v>
      </c>
      <c r="N36" s="872">
        <f t="shared" si="11"/>
        <v>0</v>
      </c>
      <c r="O36" s="872">
        <f t="shared" si="12"/>
        <v>0</v>
      </c>
      <c r="P36" s="872">
        <f t="shared" si="13"/>
        <v>0</v>
      </c>
      <c r="Q36" s="872">
        <f t="shared" si="14"/>
        <v>0</v>
      </c>
      <c r="R36" s="872">
        <f t="shared" si="15"/>
        <v>0</v>
      </c>
      <c r="S36" s="872">
        <f t="shared" si="16"/>
        <v>0</v>
      </c>
      <c r="T36" s="872">
        <f t="shared" si="17"/>
        <v>0</v>
      </c>
      <c r="U36" s="872">
        <f t="shared" si="18"/>
        <v>0</v>
      </c>
      <c r="V36" s="872">
        <f t="shared" si="19"/>
        <v>0</v>
      </c>
      <c r="W36" s="872">
        <f t="shared" si="20"/>
        <v>0</v>
      </c>
      <c r="X36" s="872">
        <f t="shared" si="21"/>
        <v>0</v>
      </c>
      <c r="Y36" s="872">
        <f t="shared" si="22"/>
        <v>0</v>
      </c>
      <c r="Z36" s="872">
        <f t="shared" si="23"/>
        <v>0</v>
      </c>
      <c r="AA36" s="872">
        <f t="shared" si="24"/>
        <v>0</v>
      </c>
      <c r="AB36" s="872">
        <f t="shared" si="25"/>
        <v>0</v>
      </c>
      <c r="AC36" s="872">
        <v>45</v>
      </c>
      <c r="AD36" s="872">
        <v>90</v>
      </c>
      <c r="AE36" s="866"/>
      <c r="AF36" s="866"/>
      <c r="AG36" s="866"/>
      <c r="AH36" s="872">
        <v>47</v>
      </c>
      <c r="AI36" s="872">
        <v>3428.4</v>
      </c>
      <c r="AJ36" s="872">
        <v>2933.1</v>
      </c>
      <c r="AK36" s="866"/>
      <c r="AL36" s="872">
        <v>47</v>
      </c>
      <c r="AM36" s="872">
        <v>3139.7</v>
      </c>
      <c r="AN36" s="872">
        <v>2644.35</v>
      </c>
      <c r="AO36" s="866"/>
      <c r="AP36" s="866"/>
      <c r="AQ36" s="866"/>
      <c r="AR36" s="866"/>
      <c r="AS36" s="866"/>
      <c r="AT36" s="872">
        <v>45</v>
      </c>
      <c r="AU36" s="872">
        <v>15</v>
      </c>
      <c r="AV36" s="872">
        <v>8.7799999999999994</v>
      </c>
      <c r="AW36" s="867"/>
      <c r="AX36" s="867"/>
      <c r="AY36" s="867"/>
      <c r="AZ36" s="867"/>
    </row>
    <row r="37" spans="1:52">
      <c r="A37" s="869" t="s">
        <v>538</v>
      </c>
      <c r="B37" s="872">
        <f>IF((SUM($AD$30:AD36)+AD37)&lt;=720,((L37*$AC$31)+(L37*2*$AC$31)),0)</f>
        <v>182250</v>
      </c>
      <c r="C37" s="872">
        <f>IF((SUM($AD$30:AD36)+AD37)&lt;=720,((N37*$AC$31)+(N37*2*$AC$31)),0)</f>
        <v>0</v>
      </c>
      <c r="D37" s="872">
        <f>IF((SUM($AD$30:AD36)+AD37)&lt;=720,((P37*$AC$31)+(P37*2*$AC$31)),0)</f>
        <v>0</v>
      </c>
      <c r="E37" s="872">
        <f>IF((SUM($AD$30:AD36)+AD37)&lt;=720,((R37*$AC$31)+(R37*2*$AC$31)),0)</f>
        <v>0</v>
      </c>
      <c r="F37" s="872">
        <f>IF((SUM($AD$30:AD36)+AD37)&lt;=720,((T37*$AC$31)+(T37*2*$AC$31)),0)</f>
        <v>0</v>
      </c>
      <c r="G37" s="872">
        <f>IF((SUM($AD$30:AD36)+AD37)&lt;=720,((V37*$AC$31)+(V37*2*$AC$31)),0)</f>
        <v>0</v>
      </c>
      <c r="H37" s="872">
        <f>IF((SUM($AD$30:AD36)+AD37)&lt;=720,((X37*$AC$31)+(X37*2*$AC$31)),0)</f>
        <v>0</v>
      </c>
      <c r="I37" s="872">
        <f>IF((SUM($AD$30:AD36)+AD37)&lt;=720,((Z37*$AC$31)+(Z37*2*$AC$31)),0)</f>
        <v>0</v>
      </c>
      <c r="J37" s="872">
        <f>IF((SUM($AD$30:AD36)+AD37)&lt;=720,((AB37*$AC$31)+(AB37*2*$AC$31)),0)</f>
        <v>0</v>
      </c>
      <c r="K37" s="872">
        <f t="shared" si="8"/>
        <v>50</v>
      </c>
      <c r="L37" s="872">
        <f t="shared" si="9"/>
        <v>1350</v>
      </c>
      <c r="M37" s="872">
        <f t="shared" si="10"/>
        <v>0</v>
      </c>
      <c r="N37" s="872">
        <f t="shared" si="11"/>
        <v>0</v>
      </c>
      <c r="O37" s="872">
        <f t="shared" si="12"/>
        <v>0</v>
      </c>
      <c r="P37" s="872">
        <f t="shared" si="13"/>
        <v>0</v>
      </c>
      <c r="Q37" s="872">
        <f t="shared" si="14"/>
        <v>0</v>
      </c>
      <c r="R37" s="872">
        <f t="shared" si="15"/>
        <v>0</v>
      </c>
      <c r="S37" s="872">
        <f t="shared" si="16"/>
        <v>0</v>
      </c>
      <c r="T37" s="872">
        <f t="shared" si="17"/>
        <v>0</v>
      </c>
      <c r="U37" s="872">
        <f t="shared" si="18"/>
        <v>0</v>
      </c>
      <c r="V37" s="872">
        <f t="shared" si="19"/>
        <v>0</v>
      </c>
      <c r="W37" s="872">
        <f t="shared" si="20"/>
        <v>0</v>
      </c>
      <c r="X37" s="872">
        <f t="shared" si="21"/>
        <v>0</v>
      </c>
      <c r="Y37" s="872">
        <f t="shared" si="22"/>
        <v>0</v>
      </c>
      <c r="Z37" s="872">
        <f t="shared" si="23"/>
        <v>0</v>
      </c>
      <c r="AA37" s="872">
        <f t="shared" si="24"/>
        <v>0</v>
      </c>
      <c r="AB37" s="872">
        <f t="shared" si="25"/>
        <v>0</v>
      </c>
      <c r="AC37" s="872">
        <v>45</v>
      </c>
      <c r="AD37" s="872">
        <v>90</v>
      </c>
      <c r="AE37" s="866"/>
      <c r="AF37" s="866"/>
      <c r="AG37" s="866"/>
      <c r="AH37" s="872">
        <v>48</v>
      </c>
      <c r="AI37" s="872">
        <v>3538.75</v>
      </c>
      <c r="AJ37" s="872">
        <v>2995.65</v>
      </c>
      <c r="AK37" s="866"/>
      <c r="AL37" s="872">
        <v>48</v>
      </c>
      <c r="AM37" s="872">
        <v>3251.15</v>
      </c>
      <c r="AN37" s="872">
        <v>2708.05</v>
      </c>
      <c r="AO37" s="866"/>
      <c r="AP37" s="866"/>
      <c r="AQ37" s="866"/>
      <c r="AR37" s="866"/>
      <c r="AS37" s="866"/>
      <c r="AT37" s="872">
        <v>46</v>
      </c>
      <c r="AU37" s="872">
        <v>14</v>
      </c>
      <c r="AV37" s="872">
        <v>9.11</v>
      </c>
      <c r="AW37" s="867"/>
      <c r="AX37" s="867"/>
      <c r="AY37" s="867"/>
      <c r="AZ37" s="867"/>
    </row>
    <row r="38" spans="1:52">
      <c r="A38" s="869" t="s">
        <v>537</v>
      </c>
      <c r="B38" s="872">
        <f>IF((SUM($AD$30:AD37)+AD38)&lt;=720,((L38*$AC$31)+(L38*2*$AC$31)),0)</f>
        <v>0</v>
      </c>
      <c r="C38" s="872">
        <f>IF((SUM($AD$30:AD37)+AD38)&lt;=720,((N38*$AC$31)+(N38*2*$AC$31)),0)</f>
        <v>0</v>
      </c>
      <c r="D38" s="872">
        <f>IF((SUM($AD$30:AD37)+AD38)&lt;=720,((P38*$AC$31)+(P38*2*$AC$31)),0)</f>
        <v>0</v>
      </c>
      <c r="E38" s="872">
        <f>IF((SUM($AD$30:AD37)+AD38)&lt;=720,((R38*$AC$31)+(R38*2*$AC$31)),0)</f>
        <v>0</v>
      </c>
      <c r="F38" s="872">
        <f>IF((SUM($AD$30:AD37)+AD38)&lt;=720,((T38*$AC$31)+(T38*2*$AC$31)),0)</f>
        <v>0</v>
      </c>
      <c r="G38" s="872">
        <f>IF((SUM($AD$30:AD37)+AD38)&lt;=720,((V38*$AC$31)+(V38*2*$AC$31)),0)</f>
        <v>0</v>
      </c>
      <c r="H38" s="872">
        <f>IF((SUM($AD$30:AD37)+AD38)&lt;=720,((X38*$AC$31)+(X38*2*$AC$31)),0)</f>
        <v>0</v>
      </c>
      <c r="I38" s="872">
        <f>IF((SUM($AD$30:AD37)+AD38)&lt;=720,((Z38*$AC$31)+(Z38*2*$AC$31)),0)</f>
        <v>0</v>
      </c>
      <c r="J38" s="872">
        <f>IF((SUM($AD$30:AD37)+AD38)&lt;=720,((AB38*$AC$31)+(AB38*2*$AC$31)),0)</f>
        <v>0</v>
      </c>
      <c r="K38" s="872">
        <f t="shared" si="8"/>
        <v>50</v>
      </c>
      <c r="L38" s="872">
        <f t="shared" si="9"/>
        <v>1400</v>
      </c>
      <c r="M38" s="872">
        <f t="shared" si="10"/>
        <v>0</v>
      </c>
      <c r="N38" s="872">
        <f t="shared" si="11"/>
        <v>0</v>
      </c>
      <c r="O38" s="872">
        <f t="shared" si="12"/>
        <v>0</v>
      </c>
      <c r="P38" s="872">
        <f t="shared" si="13"/>
        <v>0</v>
      </c>
      <c r="Q38" s="872">
        <f t="shared" si="14"/>
        <v>0</v>
      </c>
      <c r="R38" s="872">
        <f t="shared" si="15"/>
        <v>0</v>
      </c>
      <c r="S38" s="872">
        <f t="shared" si="16"/>
        <v>0</v>
      </c>
      <c r="T38" s="872">
        <f t="shared" si="17"/>
        <v>0</v>
      </c>
      <c r="U38" s="872">
        <f t="shared" si="18"/>
        <v>0</v>
      </c>
      <c r="V38" s="872">
        <f t="shared" si="19"/>
        <v>0</v>
      </c>
      <c r="W38" s="872">
        <f t="shared" si="20"/>
        <v>0</v>
      </c>
      <c r="X38" s="872">
        <f t="shared" si="21"/>
        <v>0</v>
      </c>
      <c r="Y38" s="872">
        <f t="shared" si="22"/>
        <v>0</v>
      </c>
      <c r="Z38" s="872">
        <f t="shared" si="23"/>
        <v>0</v>
      </c>
      <c r="AA38" s="872">
        <f t="shared" si="24"/>
        <v>0</v>
      </c>
      <c r="AB38" s="872">
        <f t="shared" si="25"/>
        <v>0</v>
      </c>
      <c r="AC38" s="872">
        <v>45</v>
      </c>
      <c r="AD38" s="872">
        <v>90</v>
      </c>
      <c r="AE38" s="866"/>
      <c r="AF38" s="866"/>
      <c r="AG38" s="866"/>
      <c r="AH38" s="872">
        <v>49</v>
      </c>
      <c r="AI38" s="872">
        <v>3651.6</v>
      </c>
      <c r="AJ38" s="872">
        <v>3067.3</v>
      </c>
      <c r="AK38" s="866"/>
      <c r="AL38" s="872">
        <v>49</v>
      </c>
      <c r="AM38" s="872">
        <v>3365.05</v>
      </c>
      <c r="AN38" s="872">
        <v>2780.75</v>
      </c>
      <c r="AO38" s="866"/>
      <c r="AP38" s="866"/>
      <c r="AQ38" s="866"/>
      <c r="AR38" s="866"/>
      <c r="AS38" s="866"/>
      <c r="AT38" s="872">
        <v>47</v>
      </c>
      <c r="AU38" s="872">
        <v>13</v>
      </c>
      <c r="AV38" s="872">
        <v>9.6199999999999992</v>
      </c>
      <c r="AW38" s="867"/>
      <c r="AX38" s="867"/>
      <c r="AY38" s="867"/>
      <c r="AZ38" s="867"/>
    </row>
    <row r="39" spans="1:52">
      <c r="A39" s="866"/>
      <c r="B39" s="872">
        <f>IF((SUM($AD$30:AD38)+AD39)&lt;=720,((L39*$AC$31)+(L39*2*$AC$31)),0)</f>
        <v>0</v>
      </c>
      <c r="C39" s="872">
        <f>IF((SUM($AD$30:AD38)+AD39)&lt;=720,((N39*$AC$31)+(N39*2*$AC$31)),0)</f>
        <v>0</v>
      </c>
      <c r="D39" s="872">
        <f>IF((SUM($AD$30:AD38)+AD39)&lt;=720,((P39*$AC$31)+(P39*2*$AC$31)),0)</f>
        <v>0</v>
      </c>
      <c r="E39" s="872">
        <f>IF((SUM($AD$30:AD38)+AD39)&lt;=720,((R39*$AC$31)+(R39*2*$AC$31)),0)</f>
        <v>0</v>
      </c>
      <c r="F39" s="872">
        <f>IF((SUM($AD$30:AD38)+AD39)&lt;=720,((T39*$AC$31)+(T39*2*$AC$31)),0)</f>
        <v>0</v>
      </c>
      <c r="G39" s="872">
        <f>IF((SUM($AD$30:AD38)+AD39)&lt;=720,((V39*$AC$31)+(V39*2*$AC$31)),0)</f>
        <v>0</v>
      </c>
      <c r="H39" s="872">
        <f>IF((SUM($AD$30:AD38)+AD39)&lt;=720,((X39*$AC$31)+(X39*2*$AC$31)),0)</f>
        <v>0</v>
      </c>
      <c r="I39" s="872">
        <f>IF((SUM($AD$30:AD38)+AD39)&lt;=720,((Z39*$AC$31)+(Z39*2*$AC$31)),0)</f>
        <v>0</v>
      </c>
      <c r="J39" s="872">
        <f>IF((SUM($AD$30:AD38)+AD39)&lt;=720,((AB39*$AC$31)+(AB39*2*$AC$31)),0)</f>
        <v>0</v>
      </c>
      <c r="K39" s="872">
        <f t="shared" si="8"/>
        <v>50</v>
      </c>
      <c r="L39" s="872">
        <f t="shared" si="9"/>
        <v>1450</v>
      </c>
      <c r="M39" s="872">
        <f t="shared" si="10"/>
        <v>0</v>
      </c>
      <c r="N39" s="872">
        <f t="shared" si="11"/>
        <v>0</v>
      </c>
      <c r="O39" s="872">
        <f t="shared" si="12"/>
        <v>0</v>
      </c>
      <c r="P39" s="872">
        <f t="shared" si="13"/>
        <v>0</v>
      </c>
      <c r="Q39" s="872">
        <f t="shared" si="14"/>
        <v>0</v>
      </c>
      <c r="R39" s="872">
        <f t="shared" si="15"/>
        <v>0</v>
      </c>
      <c r="S39" s="872">
        <f t="shared" si="16"/>
        <v>0</v>
      </c>
      <c r="T39" s="872">
        <f t="shared" si="17"/>
        <v>0</v>
      </c>
      <c r="U39" s="872">
        <f t="shared" si="18"/>
        <v>0</v>
      </c>
      <c r="V39" s="872">
        <f t="shared" si="19"/>
        <v>0</v>
      </c>
      <c r="W39" s="872">
        <f t="shared" si="20"/>
        <v>0</v>
      </c>
      <c r="X39" s="872">
        <f t="shared" si="21"/>
        <v>0</v>
      </c>
      <c r="Y39" s="872">
        <f t="shared" si="22"/>
        <v>0</v>
      </c>
      <c r="Z39" s="872">
        <f t="shared" si="23"/>
        <v>0</v>
      </c>
      <c r="AA39" s="872">
        <f t="shared" si="24"/>
        <v>0</v>
      </c>
      <c r="AB39" s="872">
        <f t="shared" si="25"/>
        <v>0</v>
      </c>
      <c r="AC39" s="872">
        <v>45</v>
      </c>
      <c r="AD39" s="872">
        <v>90</v>
      </c>
      <c r="AE39" s="866"/>
      <c r="AF39" s="866"/>
      <c r="AG39" s="866"/>
      <c r="AH39" s="872">
        <v>50</v>
      </c>
      <c r="AI39" s="872">
        <v>3768</v>
      </c>
      <c r="AJ39" s="872">
        <v>3134.7</v>
      </c>
      <c r="AK39" s="866"/>
      <c r="AL39" s="872">
        <v>50</v>
      </c>
      <c r="AM39" s="872">
        <v>3482.4</v>
      </c>
      <c r="AN39" s="872">
        <v>2849.1</v>
      </c>
      <c r="AO39" s="866"/>
      <c r="AP39" s="866"/>
      <c r="AQ39" s="866"/>
      <c r="AR39" s="866"/>
      <c r="AS39" s="866"/>
      <c r="AT39" s="872">
        <v>48</v>
      </c>
      <c r="AU39" s="872">
        <v>12</v>
      </c>
      <c r="AV39" s="872">
        <v>10.15</v>
      </c>
      <c r="AW39" s="867"/>
      <c r="AX39" s="867"/>
      <c r="AY39" s="867"/>
      <c r="AZ39" s="867"/>
    </row>
    <row r="40" spans="1:52">
      <c r="A40" s="869" t="s">
        <v>536</v>
      </c>
      <c r="B40" s="872">
        <f t="shared" ref="B40:J40" si="26">SUM(B30:B39)</f>
        <v>1179000</v>
      </c>
      <c r="C40" s="872">
        <f t="shared" si="26"/>
        <v>0</v>
      </c>
      <c r="D40" s="872">
        <f t="shared" si="26"/>
        <v>0</v>
      </c>
      <c r="E40" s="872">
        <f t="shared" si="26"/>
        <v>0</v>
      </c>
      <c r="F40" s="872">
        <f t="shared" si="26"/>
        <v>0</v>
      </c>
      <c r="G40" s="872">
        <f t="shared" si="26"/>
        <v>0</v>
      </c>
      <c r="H40" s="872">
        <f t="shared" si="26"/>
        <v>0</v>
      </c>
      <c r="I40" s="872">
        <f t="shared" si="26"/>
        <v>0</v>
      </c>
      <c r="J40" s="872">
        <f t="shared" si="26"/>
        <v>0</v>
      </c>
      <c r="K40" s="866"/>
      <c r="L40" s="866"/>
      <c r="M40" s="866"/>
      <c r="N40" s="866"/>
      <c r="O40" s="866"/>
      <c r="P40" s="866"/>
      <c r="Q40" s="866"/>
      <c r="R40" s="866"/>
      <c r="S40" s="866"/>
      <c r="T40" s="866"/>
      <c r="U40" s="866"/>
      <c r="V40" s="866"/>
      <c r="W40" s="866"/>
      <c r="X40" s="866"/>
      <c r="Y40" s="866"/>
      <c r="Z40" s="866"/>
      <c r="AA40" s="866"/>
      <c r="AB40" s="866"/>
      <c r="AC40" s="866"/>
      <c r="AD40" s="866"/>
      <c r="AE40" s="866"/>
      <c r="AF40" s="866"/>
      <c r="AG40" s="866"/>
      <c r="AH40" s="872">
        <v>51</v>
      </c>
      <c r="AI40" s="872">
        <v>3881.85</v>
      </c>
      <c r="AJ40" s="872">
        <v>3202</v>
      </c>
      <c r="AK40" s="866"/>
      <c r="AL40" s="872">
        <v>51</v>
      </c>
      <c r="AM40" s="872">
        <v>3597.2</v>
      </c>
      <c r="AN40" s="872">
        <v>2917.3</v>
      </c>
      <c r="AO40" s="866"/>
      <c r="AP40" s="866"/>
      <c r="AQ40" s="866"/>
      <c r="AR40" s="866"/>
      <c r="AS40" s="866"/>
      <c r="AT40" s="872">
        <v>49</v>
      </c>
      <c r="AU40" s="872">
        <v>11</v>
      </c>
      <c r="AV40" s="872">
        <v>10.72</v>
      </c>
      <c r="AW40" s="867"/>
      <c r="AX40" s="867"/>
      <c r="AY40" s="867"/>
      <c r="AZ40" s="867"/>
    </row>
    <row r="41" spans="1:52">
      <c r="A41" s="866"/>
      <c r="B41" s="866"/>
      <c r="C41" s="866"/>
      <c r="D41" s="866"/>
      <c r="E41" s="866"/>
      <c r="F41" s="866"/>
      <c r="G41" s="866"/>
      <c r="H41" s="866"/>
      <c r="I41" s="866"/>
      <c r="J41" s="866"/>
      <c r="K41" s="866"/>
      <c r="L41" s="866">
        <f t="shared" ref="L41:L50" si="27">L30*100</f>
        <v>100000</v>
      </c>
      <c r="M41" s="866"/>
      <c r="N41" s="866">
        <f t="shared" ref="N41:N50" si="28">N30*100</f>
        <v>0</v>
      </c>
      <c r="O41" s="866"/>
      <c r="P41" s="866">
        <f t="shared" ref="P41:P50" si="29">P30*100</f>
        <v>0</v>
      </c>
      <c r="Q41" s="866"/>
      <c r="R41" s="866">
        <f t="shared" ref="R41:R50" si="30">R30*100</f>
        <v>0</v>
      </c>
      <c r="S41" s="866"/>
      <c r="T41" s="866">
        <f t="shared" ref="T41:T50" si="31">T30*100</f>
        <v>0</v>
      </c>
      <c r="U41" s="866"/>
      <c r="V41" s="866">
        <f t="shared" ref="V41:V50" si="32">V30*100</f>
        <v>0</v>
      </c>
      <c r="W41" s="866"/>
      <c r="X41" s="866">
        <f t="shared" ref="X41:X50" si="33">X30*100</f>
        <v>0</v>
      </c>
      <c r="Y41" s="866"/>
      <c r="Z41" s="866">
        <f t="shared" ref="Z41:Z50" si="34">Z30*100</f>
        <v>0</v>
      </c>
      <c r="AA41" s="866"/>
      <c r="AB41" s="866">
        <f t="shared" ref="AB41:AB50" si="35">AB30*100</f>
        <v>0</v>
      </c>
      <c r="AC41" s="866"/>
      <c r="AD41" s="866"/>
      <c r="AE41" s="866"/>
      <c r="AF41" s="866"/>
      <c r="AG41" s="866"/>
      <c r="AH41" s="872">
        <v>52</v>
      </c>
      <c r="AI41" s="872">
        <v>4001.5</v>
      </c>
      <c r="AJ41" s="872">
        <v>3261.1</v>
      </c>
      <c r="AK41" s="866"/>
      <c r="AL41" s="872">
        <v>52</v>
      </c>
      <c r="AM41" s="872">
        <v>3717.65</v>
      </c>
      <c r="AN41" s="872">
        <v>2977.25</v>
      </c>
      <c r="AO41" s="866"/>
      <c r="AP41" s="866"/>
      <c r="AQ41" s="866"/>
      <c r="AR41" s="866"/>
      <c r="AS41" s="866"/>
      <c r="AT41" s="872">
        <v>50</v>
      </c>
      <c r="AU41" s="872">
        <v>10</v>
      </c>
      <c r="AV41" s="872">
        <v>11.32</v>
      </c>
      <c r="AW41" s="867"/>
      <c r="AX41" s="867"/>
      <c r="AY41" s="867"/>
      <c r="AZ41" s="867"/>
    </row>
    <row r="42" spans="1:52">
      <c r="A42" s="869"/>
      <c r="B42" s="872">
        <f>IF((SUM($AD$30:AD40)+AD41)&lt;=720,((L41*$AC$31)+(L41*2*$AC$31)),0)</f>
        <v>0</v>
      </c>
      <c r="C42" s="872">
        <f>IF((SUM($AD$30:AD40)+AD41)&lt;=720,((N41*$AC$31)+(N41*2*$AC$31)),0)</f>
        <v>0</v>
      </c>
      <c r="D42" s="872">
        <f>IF((SUM($AD$30:AD40)+AD41)&lt;=720,((P41*$AC$31)+(P41*2*$AC$31)),0)</f>
        <v>0</v>
      </c>
      <c r="E42" s="872">
        <f>IF((SUM($AD$30:AD40)+AD41)&lt;=720,((R41*$AC$31)+(R41*2*$AC$31)),0)</f>
        <v>0</v>
      </c>
      <c r="F42" s="872">
        <f>IF((SUM($AD$30:AD40)+AD41)&lt;=720,((T41*$AC$31)+(T41*2*$AC$31)),0)</f>
        <v>0</v>
      </c>
      <c r="G42" s="872">
        <f>IF((SUM($AD$30:AD40)+AD41)&lt;=720,((V41*$AC$31)+(V41*2*$AC$31)),0)</f>
        <v>0</v>
      </c>
      <c r="H42" s="872">
        <f>IF((SUM($AD$30:AD40)+AD41)&lt;=720,((X41*$AC$31)+(X41*2*$AC$31)),0)</f>
        <v>0</v>
      </c>
      <c r="I42" s="872">
        <f>IF((SUM($AD$30:AD40)+AD41)&lt;=720,((Z41*$AC$31)+(Z41*2*$AC$31)),0)</f>
        <v>0</v>
      </c>
      <c r="J42" s="872">
        <f>IF((SUM($AD$30:AD40)+AD41)&lt;=720,((AB41*$AC$31)+(AB41*2*$AC$31)),0)</f>
        <v>0</v>
      </c>
      <c r="K42" s="866"/>
      <c r="L42" s="866">
        <f t="shared" si="27"/>
        <v>105000</v>
      </c>
      <c r="M42" s="866">
        <f>L41+L42</f>
        <v>205000</v>
      </c>
      <c r="N42" s="866">
        <f t="shared" si="28"/>
        <v>0</v>
      </c>
      <c r="O42" s="866">
        <f>N41+N42</f>
        <v>0</v>
      </c>
      <c r="P42" s="866">
        <f t="shared" si="29"/>
        <v>0</v>
      </c>
      <c r="Q42" s="866">
        <f>P41+P42</f>
        <v>0</v>
      </c>
      <c r="R42" s="866">
        <f t="shared" si="30"/>
        <v>0</v>
      </c>
      <c r="S42" s="866">
        <f>R41+R42</f>
        <v>0</v>
      </c>
      <c r="T42" s="866">
        <f t="shared" si="31"/>
        <v>0</v>
      </c>
      <c r="U42" s="866">
        <f>T41+T42</f>
        <v>0</v>
      </c>
      <c r="V42" s="866">
        <f t="shared" si="32"/>
        <v>0</v>
      </c>
      <c r="W42" s="866">
        <f>V41+V42</f>
        <v>0</v>
      </c>
      <c r="X42" s="866">
        <f t="shared" si="33"/>
        <v>0</v>
      </c>
      <c r="Y42" s="866">
        <f>X41+X42</f>
        <v>0</v>
      </c>
      <c r="Z42" s="866">
        <f t="shared" si="34"/>
        <v>0</v>
      </c>
      <c r="AA42" s="866">
        <f>Z41+Z42</f>
        <v>0</v>
      </c>
      <c r="AB42" s="866">
        <f t="shared" si="35"/>
        <v>0</v>
      </c>
      <c r="AC42" s="866">
        <f>AB41+AB42</f>
        <v>0</v>
      </c>
      <c r="AD42" s="866"/>
      <c r="AE42" s="866"/>
      <c r="AF42" s="866"/>
      <c r="AG42" s="866"/>
      <c r="AH42" s="872">
        <v>53</v>
      </c>
      <c r="AI42" s="872">
        <v>4127.45</v>
      </c>
      <c r="AJ42" s="872">
        <v>3315.8</v>
      </c>
      <c r="AK42" s="866"/>
      <c r="AL42" s="872">
        <v>53</v>
      </c>
      <c r="AM42" s="872">
        <v>3844.3</v>
      </c>
      <c r="AN42" s="872">
        <v>3032.7</v>
      </c>
      <c r="AO42" s="866"/>
      <c r="AP42" s="866"/>
      <c r="AQ42" s="866"/>
      <c r="AR42" s="866"/>
      <c r="AS42" s="866"/>
      <c r="AT42" s="866"/>
      <c r="AU42" s="866"/>
      <c r="AV42" s="866"/>
      <c r="AW42" s="867"/>
      <c r="AX42" s="867"/>
      <c r="AY42" s="867"/>
      <c r="AZ42" s="867"/>
    </row>
    <row r="43" spans="1:52">
      <c r="A43" s="869" t="s">
        <v>535</v>
      </c>
      <c r="B43" s="872">
        <f t="shared" ref="B43:J43" si="36">B24*8*100</f>
        <v>800000</v>
      </c>
      <c r="C43" s="872">
        <f t="shared" si="36"/>
        <v>0</v>
      </c>
      <c r="D43" s="872">
        <f t="shared" si="36"/>
        <v>0</v>
      </c>
      <c r="E43" s="872">
        <f t="shared" si="36"/>
        <v>0</v>
      </c>
      <c r="F43" s="872">
        <f t="shared" si="36"/>
        <v>0</v>
      </c>
      <c r="G43" s="872">
        <f t="shared" si="36"/>
        <v>0</v>
      </c>
      <c r="H43" s="872">
        <f t="shared" si="36"/>
        <v>0</v>
      </c>
      <c r="I43" s="872">
        <f t="shared" si="36"/>
        <v>0</v>
      </c>
      <c r="J43" s="872">
        <f t="shared" si="36"/>
        <v>0</v>
      </c>
      <c r="K43" s="866"/>
      <c r="L43" s="866">
        <f t="shared" si="27"/>
        <v>110000</v>
      </c>
      <c r="M43" s="866">
        <f t="shared" ref="M43:M50" si="37">M42+L43</f>
        <v>315000</v>
      </c>
      <c r="N43" s="866">
        <f t="shared" si="28"/>
        <v>0</v>
      </c>
      <c r="O43" s="866">
        <f t="shared" ref="O43:O50" si="38">O42+N43</f>
        <v>0</v>
      </c>
      <c r="P43" s="866">
        <f t="shared" si="29"/>
        <v>0</v>
      </c>
      <c r="Q43" s="866">
        <f t="shared" ref="Q43:Q50" si="39">Q42+P43</f>
        <v>0</v>
      </c>
      <c r="R43" s="866">
        <f t="shared" si="30"/>
        <v>0</v>
      </c>
      <c r="S43" s="866">
        <f t="shared" ref="S43:S50" si="40">S42+R43</f>
        <v>0</v>
      </c>
      <c r="T43" s="866">
        <f t="shared" si="31"/>
        <v>0</v>
      </c>
      <c r="U43" s="866">
        <f t="shared" ref="U43:U50" si="41">U42+T43</f>
        <v>0</v>
      </c>
      <c r="V43" s="866">
        <f t="shared" si="32"/>
        <v>0</v>
      </c>
      <c r="W43" s="866">
        <f t="shared" ref="W43:W50" si="42">W42+V43</f>
        <v>0</v>
      </c>
      <c r="X43" s="866">
        <f t="shared" si="33"/>
        <v>0</v>
      </c>
      <c r="Y43" s="866">
        <f t="shared" ref="Y43:Y50" si="43">Y42+X43</f>
        <v>0</v>
      </c>
      <c r="Z43" s="866">
        <f t="shared" si="34"/>
        <v>0</v>
      </c>
      <c r="AA43" s="866">
        <f t="shared" ref="AA43:AA50" si="44">AA42+Z43</f>
        <v>0</v>
      </c>
      <c r="AB43" s="866">
        <f t="shared" si="35"/>
        <v>0</v>
      </c>
      <c r="AC43" s="866">
        <f t="shared" ref="AC43:AC50" si="45">AC42+AB43</f>
        <v>0</v>
      </c>
      <c r="AD43" s="866"/>
      <c r="AE43" s="866"/>
      <c r="AF43" s="866"/>
      <c r="AG43" s="866"/>
      <c r="AH43" s="872">
        <v>54</v>
      </c>
      <c r="AI43" s="872">
        <v>4254.6000000000004</v>
      </c>
      <c r="AJ43" s="872">
        <v>3378.15</v>
      </c>
      <c r="AK43" s="866"/>
      <c r="AL43" s="872">
        <v>54</v>
      </c>
      <c r="AM43" s="872">
        <v>3972.1</v>
      </c>
      <c r="AN43" s="872">
        <v>3095.65</v>
      </c>
      <c r="AO43" s="866"/>
      <c r="AP43" s="866"/>
      <c r="AQ43" s="866"/>
      <c r="AR43" s="866"/>
      <c r="AS43" s="866"/>
      <c r="AT43" s="866"/>
      <c r="AU43" s="866"/>
      <c r="AV43" s="866"/>
      <c r="AW43" s="867"/>
      <c r="AX43" s="867"/>
      <c r="AY43" s="867"/>
      <c r="AZ43" s="867"/>
    </row>
    <row r="44" spans="1:52">
      <c r="A44" s="866"/>
      <c r="B44" s="866"/>
      <c r="C44" s="866"/>
      <c r="D44" s="866"/>
      <c r="E44" s="866"/>
      <c r="F44" s="866"/>
      <c r="G44" s="866"/>
      <c r="H44" s="866"/>
      <c r="I44" s="866"/>
      <c r="J44" s="866"/>
      <c r="K44" s="866"/>
      <c r="L44" s="866">
        <f t="shared" si="27"/>
        <v>115000</v>
      </c>
      <c r="M44" s="866">
        <f t="shared" si="37"/>
        <v>430000</v>
      </c>
      <c r="N44" s="866">
        <f t="shared" si="28"/>
        <v>0</v>
      </c>
      <c r="O44" s="866">
        <f t="shared" si="38"/>
        <v>0</v>
      </c>
      <c r="P44" s="866">
        <f t="shared" si="29"/>
        <v>0</v>
      </c>
      <c r="Q44" s="866">
        <f t="shared" si="39"/>
        <v>0</v>
      </c>
      <c r="R44" s="866">
        <f t="shared" si="30"/>
        <v>0</v>
      </c>
      <c r="S44" s="866">
        <f t="shared" si="40"/>
        <v>0</v>
      </c>
      <c r="T44" s="866">
        <f t="shared" si="31"/>
        <v>0</v>
      </c>
      <c r="U44" s="866">
        <f t="shared" si="41"/>
        <v>0</v>
      </c>
      <c r="V44" s="866">
        <f t="shared" si="32"/>
        <v>0</v>
      </c>
      <c r="W44" s="866">
        <f t="shared" si="42"/>
        <v>0</v>
      </c>
      <c r="X44" s="866">
        <f t="shared" si="33"/>
        <v>0</v>
      </c>
      <c r="Y44" s="866">
        <f t="shared" si="43"/>
        <v>0</v>
      </c>
      <c r="Z44" s="866">
        <f t="shared" si="34"/>
        <v>0</v>
      </c>
      <c r="AA44" s="866">
        <f t="shared" si="44"/>
        <v>0</v>
      </c>
      <c r="AB44" s="866">
        <f t="shared" si="35"/>
        <v>0</v>
      </c>
      <c r="AC44" s="866">
        <f t="shared" si="45"/>
        <v>0</v>
      </c>
      <c r="AD44" s="866"/>
      <c r="AE44" s="866"/>
      <c r="AF44" s="866"/>
      <c r="AG44" s="866"/>
      <c r="AH44" s="872">
        <v>55</v>
      </c>
      <c r="AI44" s="872">
        <v>4383.8500000000004</v>
      </c>
      <c r="AJ44" s="872">
        <v>3442.6</v>
      </c>
      <c r="AK44" s="866"/>
      <c r="AL44" s="872">
        <v>55</v>
      </c>
      <c r="AM44" s="872">
        <v>4101.8500000000004</v>
      </c>
      <c r="AN44" s="872">
        <v>3160.65</v>
      </c>
      <c r="AO44" s="866"/>
      <c r="AP44" s="866"/>
      <c r="AQ44" s="866"/>
      <c r="AR44" s="866"/>
      <c r="AS44" s="866"/>
      <c r="AT44" s="866"/>
      <c r="AU44" s="866"/>
      <c r="AV44" s="866"/>
      <c r="AW44" s="867"/>
      <c r="AX44" s="867"/>
      <c r="AY44" s="867"/>
      <c r="AZ44" s="867"/>
    </row>
    <row r="45" spans="1:52">
      <c r="A45" s="869" t="s">
        <v>534</v>
      </c>
      <c r="B45" s="872">
        <f t="shared" ref="B45:B52" si="46">L30*5*3</f>
        <v>15000</v>
      </c>
      <c r="C45" s="872">
        <f t="shared" ref="C45:C52" si="47">N30*5*3</f>
        <v>0</v>
      </c>
      <c r="D45" s="872">
        <f t="shared" ref="D45:D52" si="48">P30*5*3</f>
        <v>0</v>
      </c>
      <c r="E45" s="872">
        <f t="shared" ref="E45:E52" si="49">R30*5*3</f>
        <v>0</v>
      </c>
      <c r="F45" s="872">
        <f t="shared" ref="F45:F52" si="50">T30*5*3</f>
        <v>0</v>
      </c>
      <c r="G45" s="872">
        <f t="shared" ref="G45:G52" si="51">V30*5*3</f>
        <v>0</v>
      </c>
      <c r="H45" s="872">
        <f t="shared" ref="H45:H52" si="52">X30*5*3</f>
        <v>0</v>
      </c>
      <c r="I45" s="872">
        <f t="shared" ref="I45:I52" si="53">Z30*5*3</f>
        <v>0</v>
      </c>
      <c r="J45" s="872">
        <f t="shared" ref="J45:J52" si="54">AB30*5*3</f>
        <v>0</v>
      </c>
      <c r="K45" s="866"/>
      <c r="L45" s="866">
        <f t="shared" si="27"/>
        <v>120000</v>
      </c>
      <c r="M45" s="866">
        <f t="shared" si="37"/>
        <v>550000</v>
      </c>
      <c r="N45" s="866">
        <f t="shared" si="28"/>
        <v>0</v>
      </c>
      <c r="O45" s="866">
        <f t="shared" si="38"/>
        <v>0</v>
      </c>
      <c r="P45" s="866">
        <f t="shared" si="29"/>
        <v>0</v>
      </c>
      <c r="Q45" s="866">
        <f t="shared" si="39"/>
        <v>0</v>
      </c>
      <c r="R45" s="866">
        <f t="shared" si="30"/>
        <v>0</v>
      </c>
      <c r="S45" s="866">
        <f t="shared" si="40"/>
        <v>0</v>
      </c>
      <c r="T45" s="866">
        <f t="shared" si="31"/>
        <v>0</v>
      </c>
      <c r="U45" s="866">
        <f t="shared" si="41"/>
        <v>0</v>
      </c>
      <c r="V45" s="866">
        <f t="shared" si="32"/>
        <v>0</v>
      </c>
      <c r="W45" s="866">
        <f t="shared" si="42"/>
        <v>0</v>
      </c>
      <c r="X45" s="866">
        <f t="shared" si="33"/>
        <v>0</v>
      </c>
      <c r="Y45" s="866">
        <f t="shared" si="43"/>
        <v>0</v>
      </c>
      <c r="Z45" s="866">
        <f t="shared" si="34"/>
        <v>0</v>
      </c>
      <c r="AA45" s="866">
        <f t="shared" si="44"/>
        <v>0</v>
      </c>
      <c r="AB45" s="866">
        <f t="shared" si="35"/>
        <v>0</v>
      </c>
      <c r="AC45" s="866">
        <f t="shared" si="45"/>
        <v>0</v>
      </c>
      <c r="AD45" s="866"/>
      <c r="AE45" s="866"/>
      <c r="AF45" s="866"/>
      <c r="AG45" s="866"/>
      <c r="AH45" s="872">
        <v>56</v>
      </c>
      <c r="AI45" s="872">
        <v>4509.3999999999996</v>
      </c>
      <c r="AJ45" s="872">
        <v>3516.75</v>
      </c>
      <c r="AK45" s="866"/>
      <c r="AL45" s="872">
        <v>56</v>
      </c>
      <c r="AM45" s="872">
        <v>4227.8</v>
      </c>
      <c r="AN45" s="872">
        <v>3235.15</v>
      </c>
      <c r="AO45" s="866"/>
      <c r="AP45" s="866"/>
      <c r="AQ45" s="866"/>
      <c r="AR45" s="866"/>
      <c r="AS45" s="866"/>
      <c r="AT45" s="866"/>
      <c r="AU45" s="866"/>
      <c r="AV45" s="866"/>
      <c r="AW45" s="867"/>
      <c r="AX45" s="867"/>
      <c r="AY45" s="867"/>
      <c r="AZ45" s="867"/>
    </row>
    <row r="46" spans="1:52">
      <c r="A46" s="869" t="s">
        <v>533</v>
      </c>
      <c r="B46" s="872">
        <f t="shared" si="46"/>
        <v>15750</v>
      </c>
      <c r="C46" s="872">
        <f t="shared" si="47"/>
        <v>0</v>
      </c>
      <c r="D46" s="872">
        <f t="shared" si="48"/>
        <v>0</v>
      </c>
      <c r="E46" s="872">
        <f t="shared" si="49"/>
        <v>0</v>
      </c>
      <c r="F46" s="872">
        <f t="shared" si="50"/>
        <v>0</v>
      </c>
      <c r="G46" s="872">
        <f t="shared" si="51"/>
        <v>0</v>
      </c>
      <c r="H46" s="872">
        <f t="shared" si="52"/>
        <v>0</v>
      </c>
      <c r="I46" s="872">
        <f t="shared" si="53"/>
        <v>0</v>
      </c>
      <c r="J46" s="872">
        <f t="shared" si="54"/>
        <v>0</v>
      </c>
      <c r="K46" s="866"/>
      <c r="L46" s="866">
        <f t="shared" si="27"/>
        <v>125000</v>
      </c>
      <c r="M46" s="866">
        <f t="shared" si="37"/>
        <v>675000</v>
      </c>
      <c r="N46" s="866">
        <f t="shared" si="28"/>
        <v>0</v>
      </c>
      <c r="O46" s="866">
        <f t="shared" si="38"/>
        <v>0</v>
      </c>
      <c r="P46" s="866">
        <f t="shared" si="29"/>
        <v>0</v>
      </c>
      <c r="Q46" s="866">
        <f t="shared" si="39"/>
        <v>0</v>
      </c>
      <c r="R46" s="866">
        <f t="shared" si="30"/>
        <v>0</v>
      </c>
      <c r="S46" s="866">
        <f t="shared" si="40"/>
        <v>0</v>
      </c>
      <c r="T46" s="866">
        <f t="shared" si="31"/>
        <v>0</v>
      </c>
      <c r="U46" s="866">
        <f t="shared" si="41"/>
        <v>0</v>
      </c>
      <c r="V46" s="866">
        <f t="shared" si="32"/>
        <v>0</v>
      </c>
      <c r="W46" s="866">
        <f t="shared" si="42"/>
        <v>0</v>
      </c>
      <c r="X46" s="866">
        <f t="shared" si="33"/>
        <v>0</v>
      </c>
      <c r="Y46" s="866">
        <f t="shared" si="43"/>
        <v>0</v>
      </c>
      <c r="Z46" s="866">
        <f t="shared" si="34"/>
        <v>0</v>
      </c>
      <c r="AA46" s="866">
        <f t="shared" si="44"/>
        <v>0</v>
      </c>
      <c r="AB46" s="866">
        <f t="shared" si="35"/>
        <v>0</v>
      </c>
      <c r="AC46" s="866">
        <f t="shared" si="45"/>
        <v>0</v>
      </c>
      <c r="AD46" s="866"/>
      <c r="AE46" s="866"/>
      <c r="AF46" s="866"/>
      <c r="AG46" s="866"/>
      <c r="AH46" s="872">
        <v>57</v>
      </c>
      <c r="AI46" s="872">
        <v>4647.95</v>
      </c>
      <c r="AJ46" s="872">
        <v>3592.35</v>
      </c>
      <c r="AK46" s="866"/>
      <c r="AL46" s="872">
        <v>57</v>
      </c>
      <c r="AM46" s="872">
        <v>4366.6499999999996</v>
      </c>
      <c r="AN46" s="872">
        <v>3311.05</v>
      </c>
      <c r="AO46" s="866"/>
      <c r="AP46" s="866"/>
      <c r="AQ46" s="866"/>
      <c r="AR46" s="866"/>
      <c r="AS46" s="866"/>
      <c r="AT46" s="866"/>
      <c r="AU46" s="866"/>
      <c r="AV46" s="866"/>
      <c r="AW46" s="867"/>
      <c r="AX46" s="867"/>
      <c r="AY46" s="867"/>
      <c r="AZ46" s="867"/>
    </row>
    <row r="47" spans="1:52">
      <c r="A47" s="869" t="s">
        <v>532</v>
      </c>
      <c r="B47" s="872">
        <f t="shared" si="46"/>
        <v>16500</v>
      </c>
      <c r="C47" s="872">
        <f t="shared" si="47"/>
        <v>0</v>
      </c>
      <c r="D47" s="872">
        <f t="shared" si="48"/>
        <v>0</v>
      </c>
      <c r="E47" s="872">
        <f t="shared" si="49"/>
        <v>0</v>
      </c>
      <c r="F47" s="872">
        <f t="shared" si="50"/>
        <v>0</v>
      </c>
      <c r="G47" s="872">
        <f t="shared" si="51"/>
        <v>0</v>
      </c>
      <c r="H47" s="872">
        <f t="shared" si="52"/>
        <v>0</v>
      </c>
      <c r="I47" s="872">
        <f t="shared" si="53"/>
        <v>0</v>
      </c>
      <c r="J47" s="872">
        <f t="shared" si="54"/>
        <v>0</v>
      </c>
      <c r="K47" s="866"/>
      <c r="L47" s="866">
        <f t="shared" si="27"/>
        <v>130000</v>
      </c>
      <c r="M47" s="866">
        <f t="shared" si="37"/>
        <v>805000</v>
      </c>
      <c r="N47" s="866">
        <f t="shared" si="28"/>
        <v>0</v>
      </c>
      <c r="O47" s="866">
        <f t="shared" si="38"/>
        <v>0</v>
      </c>
      <c r="P47" s="866">
        <f t="shared" si="29"/>
        <v>0</v>
      </c>
      <c r="Q47" s="866">
        <f t="shared" si="39"/>
        <v>0</v>
      </c>
      <c r="R47" s="866">
        <f t="shared" si="30"/>
        <v>0</v>
      </c>
      <c r="S47" s="866">
        <f t="shared" si="40"/>
        <v>0</v>
      </c>
      <c r="T47" s="866">
        <f t="shared" si="31"/>
        <v>0</v>
      </c>
      <c r="U47" s="866">
        <f t="shared" si="41"/>
        <v>0</v>
      </c>
      <c r="V47" s="866">
        <f t="shared" si="32"/>
        <v>0</v>
      </c>
      <c r="W47" s="866">
        <f t="shared" si="42"/>
        <v>0</v>
      </c>
      <c r="X47" s="866">
        <f t="shared" si="33"/>
        <v>0</v>
      </c>
      <c r="Y47" s="866">
        <f t="shared" si="43"/>
        <v>0</v>
      </c>
      <c r="Z47" s="866">
        <f t="shared" si="34"/>
        <v>0</v>
      </c>
      <c r="AA47" s="866">
        <f t="shared" si="44"/>
        <v>0</v>
      </c>
      <c r="AB47" s="866">
        <f t="shared" si="35"/>
        <v>0</v>
      </c>
      <c r="AC47" s="866">
        <f t="shared" si="45"/>
        <v>0</v>
      </c>
      <c r="AD47" s="866"/>
      <c r="AE47" s="866"/>
      <c r="AF47" s="866"/>
      <c r="AG47" s="866"/>
      <c r="AH47" s="872">
        <v>58</v>
      </c>
      <c r="AI47" s="872">
        <v>4769.7</v>
      </c>
      <c r="AJ47" s="872">
        <v>3671.4</v>
      </c>
      <c r="AK47" s="866"/>
      <c r="AL47" s="872">
        <v>58</v>
      </c>
      <c r="AM47" s="872">
        <v>4488.45</v>
      </c>
      <c r="AN47" s="872">
        <v>3390.15</v>
      </c>
      <c r="AO47" s="866"/>
      <c r="AP47" s="866"/>
      <c r="AQ47" s="866"/>
      <c r="AR47" s="866"/>
      <c r="AS47" s="866"/>
      <c r="AT47" s="866"/>
      <c r="AU47" s="866"/>
      <c r="AV47" s="866"/>
      <c r="AW47" s="867"/>
      <c r="AX47" s="867"/>
      <c r="AY47" s="867"/>
      <c r="AZ47" s="867"/>
    </row>
    <row r="48" spans="1:52">
      <c r="A48" s="869" t="s">
        <v>531</v>
      </c>
      <c r="B48" s="872">
        <f t="shared" si="46"/>
        <v>17250</v>
      </c>
      <c r="C48" s="872">
        <f t="shared" si="47"/>
        <v>0</v>
      </c>
      <c r="D48" s="872">
        <f t="shared" si="48"/>
        <v>0</v>
      </c>
      <c r="E48" s="872">
        <f t="shared" si="49"/>
        <v>0</v>
      </c>
      <c r="F48" s="872">
        <f t="shared" si="50"/>
        <v>0</v>
      </c>
      <c r="G48" s="872">
        <f t="shared" si="51"/>
        <v>0</v>
      </c>
      <c r="H48" s="872">
        <f t="shared" si="52"/>
        <v>0</v>
      </c>
      <c r="I48" s="872">
        <f t="shared" si="53"/>
        <v>0</v>
      </c>
      <c r="J48" s="872">
        <f t="shared" si="54"/>
        <v>0</v>
      </c>
      <c r="K48" s="866"/>
      <c r="L48" s="866">
        <f t="shared" si="27"/>
        <v>135000</v>
      </c>
      <c r="M48" s="866">
        <f t="shared" si="37"/>
        <v>940000</v>
      </c>
      <c r="N48" s="866">
        <f t="shared" si="28"/>
        <v>0</v>
      </c>
      <c r="O48" s="866">
        <f t="shared" si="38"/>
        <v>0</v>
      </c>
      <c r="P48" s="866">
        <f t="shared" si="29"/>
        <v>0</v>
      </c>
      <c r="Q48" s="866">
        <f t="shared" si="39"/>
        <v>0</v>
      </c>
      <c r="R48" s="866">
        <f t="shared" si="30"/>
        <v>0</v>
      </c>
      <c r="S48" s="866">
        <f t="shared" si="40"/>
        <v>0</v>
      </c>
      <c r="T48" s="866">
        <f t="shared" si="31"/>
        <v>0</v>
      </c>
      <c r="U48" s="866">
        <f t="shared" si="41"/>
        <v>0</v>
      </c>
      <c r="V48" s="866">
        <f t="shared" si="32"/>
        <v>0</v>
      </c>
      <c r="W48" s="866">
        <f t="shared" si="42"/>
        <v>0</v>
      </c>
      <c r="X48" s="866">
        <f t="shared" si="33"/>
        <v>0</v>
      </c>
      <c r="Y48" s="866">
        <f t="shared" si="43"/>
        <v>0</v>
      </c>
      <c r="Z48" s="866">
        <f t="shared" si="34"/>
        <v>0</v>
      </c>
      <c r="AA48" s="866">
        <f t="shared" si="44"/>
        <v>0</v>
      </c>
      <c r="AB48" s="866">
        <f t="shared" si="35"/>
        <v>0</v>
      </c>
      <c r="AC48" s="866">
        <f t="shared" si="45"/>
        <v>0</v>
      </c>
      <c r="AD48" s="866"/>
      <c r="AE48" s="866"/>
      <c r="AF48" s="866"/>
      <c r="AG48" s="866"/>
      <c r="AH48" s="872">
        <v>59</v>
      </c>
      <c r="AI48" s="872">
        <v>4897.05</v>
      </c>
      <c r="AJ48" s="872">
        <v>3744.45</v>
      </c>
      <c r="AK48" s="866"/>
      <c r="AL48" s="872">
        <v>59</v>
      </c>
      <c r="AM48" s="872">
        <v>4615.7</v>
      </c>
      <c r="AN48" s="872">
        <v>3463.1</v>
      </c>
      <c r="AO48" s="866"/>
      <c r="AP48" s="866"/>
      <c r="AQ48" s="866"/>
      <c r="AR48" s="866"/>
      <c r="AS48" s="866"/>
      <c r="AT48" s="866"/>
      <c r="AU48" s="866"/>
      <c r="AV48" s="866"/>
      <c r="AW48" s="867"/>
      <c r="AX48" s="867"/>
      <c r="AY48" s="867"/>
      <c r="AZ48" s="867"/>
    </row>
    <row r="49" spans="1:52">
      <c r="A49" s="869" t="s">
        <v>530</v>
      </c>
      <c r="B49" s="872">
        <f t="shared" si="46"/>
        <v>18000</v>
      </c>
      <c r="C49" s="872">
        <f t="shared" si="47"/>
        <v>0</v>
      </c>
      <c r="D49" s="872">
        <f t="shared" si="48"/>
        <v>0</v>
      </c>
      <c r="E49" s="872">
        <f t="shared" si="49"/>
        <v>0</v>
      </c>
      <c r="F49" s="872">
        <f t="shared" si="50"/>
        <v>0</v>
      </c>
      <c r="G49" s="872">
        <f t="shared" si="51"/>
        <v>0</v>
      </c>
      <c r="H49" s="872">
        <f t="shared" si="52"/>
        <v>0</v>
      </c>
      <c r="I49" s="872">
        <f t="shared" si="53"/>
        <v>0</v>
      </c>
      <c r="J49" s="872">
        <f t="shared" si="54"/>
        <v>0</v>
      </c>
      <c r="K49" s="866"/>
      <c r="L49" s="866">
        <f t="shared" si="27"/>
        <v>140000</v>
      </c>
      <c r="M49" s="866">
        <f t="shared" si="37"/>
        <v>1080000</v>
      </c>
      <c r="N49" s="866">
        <f t="shared" si="28"/>
        <v>0</v>
      </c>
      <c r="O49" s="866">
        <f t="shared" si="38"/>
        <v>0</v>
      </c>
      <c r="P49" s="866">
        <f t="shared" si="29"/>
        <v>0</v>
      </c>
      <c r="Q49" s="866">
        <f t="shared" si="39"/>
        <v>0</v>
      </c>
      <c r="R49" s="866">
        <f t="shared" si="30"/>
        <v>0</v>
      </c>
      <c r="S49" s="866">
        <f t="shared" si="40"/>
        <v>0</v>
      </c>
      <c r="T49" s="866">
        <f t="shared" si="31"/>
        <v>0</v>
      </c>
      <c r="U49" s="866">
        <f t="shared" si="41"/>
        <v>0</v>
      </c>
      <c r="V49" s="866">
        <f t="shared" si="32"/>
        <v>0</v>
      </c>
      <c r="W49" s="866">
        <f t="shared" si="42"/>
        <v>0</v>
      </c>
      <c r="X49" s="866">
        <f t="shared" si="33"/>
        <v>0</v>
      </c>
      <c r="Y49" s="866">
        <f t="shared" si="43"/>
        <v>0</v>
      </c>
      <c r="Z49" s="866">
        <f t="shared" si="34"/>
        <v>0</v>
      </c>
      <c r="AA49" s="866">
        <f t="shared" si="44"/>
        <v>0</v>
      </c>
      <c r="AB49" s="866">
        <f t="shared" si="35"/>
        <v>0</v>
      </c>
      <c r="AC49" s="866">
        <f t="shared" si="45"/>
        <v>0</v>
      </c>
      <c r="AD49" s="866"/>
      <c r="AE49" s="866"/>
      <c r="AF49" s="866"/>
      <c r="AG49" s="866"/>
      <c r="AH49" s="872">
        <v>60</v>
      </c>
      <c r="AI49" s="872">
        <v>5027.5</v>
      </c>
      <c r="AJ49" s="872">
        <v>3818.6</v>
      </c>
      <c r="AK49" s="866"/>
      <c r="AL49" s="872">
        <v>60</v>
      </c>
      <c r="AM49" s="872">
        <v>4745.8</v>
      </c>
      <c r="AN49" s="872">
        <v>3536.9</v>
      </c>
      <c r="AO49" s="866"/>
      <c r="AP49" s="866"/>
      <c r="AQ49" s="866"/>
      <c r="AR49" s="866"/>
      <c r="AS49" s="866"/>
      <c r="AT49" s="866"/>
      <c r="AU49" s="866"/>
      <c r="AV49" s="866"/>
      <c r="AW49" s="867"/>
      <c r="AX49" s="867"/>
      <c r="AY49" s="867"/>
      <c r="AZ49" s="867"/>
    </row>
    <row r="50" spans="1:52">
      <c r="A50" s="869" t="s">
        <v>529</v>
      </c>
      <c r="B50" s="872">
        <f t="shared" si="46"/>
        <v>18750</v>
      </c>
      <c r="C50" s="872">
        <f t="shared" si="47"/>
        <v>0</v>
      </c>
      <c r="D50" s="872">
        <f t="shared" si="48"/>
        <v>0</v>
      </c>
      <c r="E50" s="872">
        <f t="shared" si="49"/>
        <v>0</v>
      </c>
      <c r="F50" s="872">
        <f t="shared" si="50"/>
        <v>0</v>
      </c>
      <c r="G50" s="872">
        <f t="shared" si="51"/>
        <v>0</v>
      </c>
      <c r="H50" s="872">
        <f t="shared" si="52"/>
        <v>0</v>
      </c>
      <c r="I50" s="872">
        <f t="shared" si="53"/>
        <v>0</v>
      </c>
      <c r="J50" s="872">
        <f t="shared" si="54"/>
        <v>0</v>
      </c>
      <c r="K50" s="866"/>
      <c r="L50" s="866">
        <f t="shared" si="27"/>
        <v>145000</v>
      </c>
      <c r="M50" s="866">
        <f t="shared" si="37"/>
        <v>1225000</v>
      </c>
      <c r="N50" s="866">
        <f t="shared" si="28"/>
        <v>0</v>
      </c>
      <c r="O50" s="866">
        <f t="shared" si="38"/>
        <v>0</v>
      </c>
      <c r="P50" s="866">
        <f t="shared" si="29"/>
        <v>0</v>
      </c>
      <c r="Q50" s="866">
        <f t="shared" si="39"/>
        <v>0</v>
      </c>
      <c r="R50" s="866">
        <f t="shared" si="30"/>
        <v>0</v>
      </c>
      <c r="S50" s="866">
        <f t="shared" si="40"/>
        <v>0</v>
      </c>
      <c r="T50" s="866">
        <f t="shared" si="31"/>
        <v>0</v>
      </c>
      <c r="U50" s="866">
        <f t="shared" si="41"/>
        <v>0</v>
      </c>
      <c r="V50" s="866">
        <f t="shared" si="32"/>
        <v>0</v>
      </c>
      <c r="W50" s="866">
        <f t="shared" si="42"/>
        <v>0</v>
      </c>
      <c r="X50" s="866">
        <f t="shared" si="33"/>
        <v>0</v>
      </c>
      <c r="Y50" s="866">
        <f t="shared" si="43"/>
        <v>0</v>
      </c>
      <c r="Z50" s="866">
        <f t="shared" si="34"/>
        <v>0</v>
      </c>
      <c r="AA50" s="866">
        <f t="shared" si="44"/>
        <v>0</v>
      </c>
      <c r="AB50" s="866">
        <f t="shared" si="35"/>
        <v>0</v>
      </c>
      <c r="AC50" s="866">
        <f t="shared" si="45"/>
        <v>0</v>
      </c>
      <c r="AD50" s="866"/>
      <c r="AE50" s="866"/>
      <c r="AF50" s="866"/>
      <c r="AG50" s="866"/>
      <c r="AH50" s="872">
        <v>61</v>
      </c>
      <c r="AI50" s="872">
        <v>5159.6000000000004</v>
      </c>
      <c r="AJ50" s="872">
        <v>3903.65</v>
      </c>
      <c r="AK50" s="866"/>
      <c r="AL50" s="872">
        <v>61</v>
      </c>
      <c r="AM50" s="872">
        <v>4877.3500000000004</v>
      </c>
      <c r="AN50" s="872">
        <v>3621.35</v>
      </c>
      <c r="AO50" s="866"/>
      <c r="AP50" s="866"/>
      <c r="AQ50" s="866"/>
      <c r="AR50" s="866"/>
      <c r="AS50" s="866"/>
      <c r="AT50" s="866"/>
      <c r="AU50" s="866"/>
      <c r="AV50" s="866"/>
      <c r="AW50" s="867"/>
      <c r="AX50" s="867"/>
      <c r="AY50" s="867"/>
      <c r="AZ50" s="867"/>
    </row>
    <row r="51" spans="1:52">
      <c r="A51" s="869" t="s">
        <v>528</v>
      </c>
      <c r="B51" s="872">
        <f t="shared" si="46"/>
        <v>19500</v>
      </c>
      <c r="C51" s="872">
        <f t="shared" si="47"/>
        <v>0</v>
      </c>
      <c r="D51" s="872">
        <f t="shared" si="48"/>
        <v>0</v>
      </c>
      <c r="E51" s="872">
        <f t="shared" si="49"/>
        <v>0</v>
      </c>
      <c r="F51" s="872">
        <f t="shared" si="50"/>
        <v>0</v>
      </c>
      <c r="G51" s="872">
        <f t="shared" si="51"/>
        <v>0</v>
      </c>
      <c r="H51" s="872">
        <f t="shared" si="52"/>
        <v>0</v>
      </c>
      <c r="I51" s="872">
        <f t="shared" si="53"/>
        <v>0</v>
      </c>
      <c r="J51" s="872">
        <f t="shared" si="54"/>
        <v>0</v>
      </c>
      <c r="K51" s="866"/>
      <c r="L51" s="866"/>
      <c r="M51" s="866"/>
      <c r="N51" s="866"/>
      <c r="O51" s="866"/>
      <c r="P51" s="866"/>
      <c r="Q51" s="866"/>
      <c r="R51" s="866"/>
      <c r="S51" s="866"/>
      <c r="T51" s="866"/>
      <c r="U51" s="866"/>
      <c r="V51" s="866"/>
      <c r="W51" s="866"/>
      <c r="X51" s="866"/>
      <c r="Y51" s="866"/>
      <c r="Z51" s="866"/>
      <c r="AA51" s="866"/>
      <c r="AB51" s="866"/>
      <c r="AC51" s="866"/>
      <c r="AD51" s="866"/>
      <c r="AE51" s="866"/>
      <c r="AF51" s="866"/>
      <c r="AG51" s="866"/>
      <c r="AH51" s="872">
        <v>62</v>
      </c>
      <c r="AI51" s="872">
        <v>5285.85</v>
      </c>
      <c r="AJ51" s="872">
        <v>3979.7</v>
      </c>
      <c r="AK51" s="866"/>
      <c r="AL51" s="872">
        <v>62</v>
      </c>
      <c r="AM51" s="872">
        <v>5002.7</v>
      </c>
      <c r="AN51" s="872">
        <v>3696.55</v>
      </c>
      <c r="AO51" s="866"/>
      <c r="AP51" s="866"/>
      <c r="AQ51" s="866"/>
      <c r="AR51" s="866"/>
      <c r="AS51" s="866"/>
      <c r="AT51" s="866"/>
      <c r="AU51" s="866"/>
      <c r="AV51" s="866"/>
      <c r="AW51" s="867"/>
      <c r="AX51" s="867"/>
      <c r="AY51" s="867"/>
      <c r="AZ51" s="867"/>
    </row>
    <row r="52" spans="1:52">
      <c r="A52" s="869" t="s">
        <v>527</v>
      </c>
      <c r="B52" s="872">
        <f t="shared" si="46"/>
        <v>20250</v>
      </c>
      <c r="C52" s="872">
        <f t="shared" si="47"/>
        <v>0</v>
      </c>
      <c r="D52" s="872">
        <f t="shared" si="48"/>
        <v>0</v>
      </c>
      <c r="E52" s="872">
        <f t="shared" si="49"/>
        <v>0</v>
      </c>
      <c r="F52" s="872">
        <f t="shared" si="50"/>
        <v>0</v>
      </c>
      <c r="G52" s="872">
        <f t="shared" si="51"/>
        <v>0</v>
      </c>
      <c r="H52" s="872">
        <f t="shared" si="52"/>
        <v>0</v>
      </c>
      <c r="I52" s="872">
        <f t="shared" si="53"/>
        <v>0</v>
      </c>
      <c r="J52" s="872">
        <f t="shared" si="54"/>
        <v>0</v>
      </c>
      <c r="K52" s="866"/>
      <c r="L52" s="876">
        <v>400000</v>
      </c>
      <c r="M52" s="876">
        <v>3200000</v>
      </c>
      <c r="N52" s="866"/>
      <c r="O52" s="866"/>
      <c r="P52" s="866"/>
      <c r="Q52" s="866"/>
      <c r="R52" s="866"/>
      <c r="S52" s="866"/>
      <c r="T52" s="866"/>
      <c r="U52" s="866"/>
      <c r="V52" s="866"/>
      <c r="W52" s="866"/>
      <c r="X52" s="866"/>
      <c r="Y52" s="866"/>
      <c r="Z52" s="866"/>
      <c r="AA52" s="866"/>
      <c r="AB52" s="866"/>
      <c r="AC52" s="866"/>
      <c r="AD52" s="866"/>
      <c r="AE52" s="866"/>
      <c r="AF52" s="866"/>
      <c r="AG52" s="866"/>
      <c r="AH52" s="872">
        <v>63</v>
      </c>
      <c r="AI52" s="872">
        <v>5398.4</v>
      </c>
      <c r="AJ52" s="872">
        <v>4053.45</v>
      </c>
      <c r="AK52" s="866"/>
      <c r="AL52" s="872">
        <v>63</v>
      </c>
      <c r="AM52" s="872">
        <v>5114.1000000000004</v>
      </c>
      <c r="AN52" s="872">
        <v>3769.15</v>
      </c>
      <c r="AO52" s="866"/>
      <c r="AP52" s="866"/>
      <c r="AQ52" s="866"/>
      <c r="AR52" s="866"/>
      <c r="AS52" s="866"/>
      <c r="AT52" s="866"/>
      <c r="AU52" s="866"/>
      <c r="AV52" s="866"/>
      <c r="AW52" s="867"/>
      <c r="AX52" s="867"/>
      <c r="AY52" s="867"/>
      <c r="AZ52" s="867"/>
    </row>
    <row r="53" spans="1:52">
      <c r="A53" s="869" t="s">
        <v>526</v>
      </c>
      <c r="B53" s="872">
        <f t="shared" ref="B53:J53" si="55">SUM(B45:B52)</f>
        <v>141000</v>
      </c>
      <c r="C53" s="872">
        <f t="shared" si="55"/>
        <v>0</v>
      </c>
      <c r="D53" s="872">
        <f t="shared" si="55"/>
        <v>0</v>
      </c>
      <c r="E53" s="872">
        <f t="shared" si="55"/>
        <v>0</v>
      </c>
      <c r="F53" s="872">
        <f t="shared" si="55"/>
        <v>0</v>
      </c>
      <c r="G53" s="872">
        <f t="shared" si="55"/>
        <v>0</v>
      </c>
      <c r="H53" s="872">
        <f t="shared" si="55"/>
        <v>0</v>
      </c>
      <c r="I53" s="872">
        <f t="shared" si="55"/>
        <v>0</v>
      </c>
      <c r="J53" s="872">
        <f t="shared" si="55"/>
        <v>0</v>
      </c>
      <c r="K53" s="866"/>
      <c r="L53" s="866"/>
      <c r="M53" s="866"/>
      <c r="N53" s="866"/>
      <c r="O53" s="866"/>
      <c r="P53" s="866"/>
      <c r="Q53" s="866"/>
      <c r="R53" s="866"/>
      <c r="S53" s="866"/>
      <c r="T53" s="866"/>
      <c r="U53" s="866"/>
      <c r="V53" s="866"/>
      <c r="W53" s="866"/>
      <c r="X53" s="866"/>
      <c r="Y53" s="866"/>
      <c r="Z53" s="866"/>
      <c r="AA53" s="866"/>
      <c r="AB53" s="866"/>
      <c r="AC53" s="866"/>
      <c r="AD53" s="866"/>
      <c r="AE53" s="866"/>
      <c r="AF53" s="866"/>
      <c r="AG53" s="866"/>
      <c r="AH53" s="872">
        <v>64</v>
      </c>
      <c r="AI53" s="872">
        <v>5538.3</v>
      </c>
      <c r="AJ53" s="872">
        <v>4099.1000000000004</v>
      </c>
      <c r="AK53" s="866"/>
      <c r="AL53" s="872">
        <v>64</v>
      </c>
      <c r="AM53" s="872">
        <v>5252.4</v>
      </c>
      <c r="AN53" s="872">
        <v>3813.2</v>
      </c>
      <c r="AO53" s="866"/>
      <c r="AP53" s="866"/>
      <c r="AQ53" s="866"/>
      <c r="AR53" s="866"/>
      <c r="AS53" s="866"/>
      <c r="AT53" s="866"/>
      <c r="AU53" s="866"/>
      <c r="AV53" s="866"/>
      <c r="AW53" s="867"/>
      <c r="AX53" s="867"/>
      <c r="AY53" s="867"/>
      <c r="AZ53" s="867"/>
    </row>
    <row r="54" spans="1:52">
      <c r="A54" s="869"/>
      <c r="B54" s="869"/>
      <c r="C54" s="869"/>
      <c r="D54" s="869"/>
      <c r="E54" s="869"/>
      <c r="F54" s="869"/>
      <c r="G54" s="869"/>
      <c r="H54" s="869"/>
      <c r="I54" s="869"/>
      <c r="J54" s="869"/>
      <c r="K54" s="866"/>
      <c r="L54" s="866">
        <f t="shared" ref="L54:L63" si="56">IF(L41&lt;=$L$52,L41,$L$52)</f>
        <v>100000</v>
      </c>
      <c r="M54" s="866"/>
      <c r="N54" s="866">
        <f t="shared" ref="N54:N63" si="57">IF(N41&lt;=$L$52,N41,$L$52)</f>
        <v>0</v>
      </c>
      <c r="O54" s="866"/>
      <c r="P54" s="866">
        <f t="shared" ref="P54:P63" si="58">IF(P41&lt;=$L$52,P41,$L$52)</f>
        <v>0</v>
      </c>
      <c r="Q54" s="866"/>
      <c r="R54" s="866">
        <f t="shared" ref="R54:R63" si="59">IF(R41&lt;=$L$52,R41,$L$52)</f>
        <v>0</v>
      </c>
      <c r="S54" s="866"/>
      <c r="T54" s="866">
        <f t="shared" ref="T54:T63" si="60">IF(T41&lt;=$L$52,T41,$L$52)</f>
        <v>0</v>
      </c>
      <c r="U54" s="866"/>
      <c r="V54" s="866">
        <f t="shared" ref="V54:V63" si="61">IF(V41&lt;=$L$52,V41,$L$52)</f>
        <v>0</v>
      </c>
      <c r="W54" s="866"/>
      <c r="X54" s="866">
        <f t="shared" ref="X54:X63" si="62">IF(X41&lt;=$L$52,X41,$L$52)</f>
        <v>0</v>
      </c>
      <c r="Y54" s="866"/>
      <c r="Z54" s="866">
        <f t="shared" ref="Z54:Z63" si="63">IF(Z41&lt;=$L$52,Z41,$L$52)</f>
        <v>0</v>
      </c>
      <c r="AA54" s="866"/>
      <c r="AB54" s="866">
        <f t="shared" ref="AB54:AB63" si="64">IF(AB41&lt;=$L$52,AB41,$L$52)</f>
        <v>0</v>
      </c>
      <c r="AC54" s="866"/>
      <c r="AD54" s="866"/>
      <c r="AE54" s="866"/>
      <c r="AF54" s="866"/>
      <c r="AG54" s="866"/>
      <c r="AH54" s="872">
        <v>65</v>
      </c>
      <c r="AI54" s="872">
        <v>5686.8</v>
      </c>
      <c r="AJ54" s="872">
        <v>4167.95</v>
      </c>
      <c r="AK54" s="866"/>
      <c r="AL54" s="872">
        <v>65</v>
      </c>
      <c r="AM54" s="872">
        <v>5398.95</v>
      </c>
      <c r="AN54" s="872">
        <v>3880.1</v>
      </c>
      <c r="AO54" s="866"/>
      <c r="AP54" s="866"/>
      <c r="AQ54" s="866"/>
      <c r="AR54" s="866"/>
      <c r="AS54" s="866"/>
      <c r="AT54" s="866"/>
      <c r="AU54" s="866"/>
      <c r="AV54" s="866"/>
      <c r="AW54" s="867"/>
      <c r="AX54" s="867"/>
      <c r="AY54" s="867"/>
      <c r="AZ54" s="867"/>
    </row>
    <row r="55" spans="1:52">
      <c r="A55" s="869" t="s">
        <v>525</v>
      </c>
      <c r="B55" s="872">
        <f>L30*15*2</f>
        <v>30000</v>
      </c>
      <c r="C55" s="872">
        <f>N30*15*2</f>
        <v>0</v>
      </c>
      <c r="D55" s="872">
        <f>P30*15*2</f>
        <v>0</v>
      </c>
      <c r="E55" s="872">
        <f>R30*15*2</f>
        <v>0</v>
      </c>
      <c r="F55" s="872">
        <f>T30*15*2</f>
        <v>0</v>
      </c>
      <c r="G55" s="872">
        <f>V30*15*2</f>
        <v>0</v>
      </c>
      <c r="H55" s="872">
        <f>X30*15*2</f>
        <v>0</v>
      </c>
      <c r="I55" s="872">
        <f>Z30*15*2</f>
        <v>0</v>
      </c>
      <c r="J55" s="872">
        <f>AB30*15*2</f>
        <v>0</v>
      </c>
      <c r="K55" s="866"/>
      <c r="L55" s="866">
        <f t="shared" si="56"/>
        <v>105000</v>
      </c>
      <c r="M55" s="866">
        <f t="shared" ref="M55:M63" si="65">IF(M42&lt;=$M$52,M42,$M$52)</f>
        <v>205000</v>
      </c>
      <c r="N55" s="866">
        <f t="shared" si="57"/>
        <v>0</v>
      </c>
      <c r="O55" s="866">
        <f t="shared" ref="O55:O63" si="66">IF(O42&lt;=$M$52,O42,$M$52)</f>
        <v>0</v>
      </c>
      <c r="P55" s="866">
        <f t="shared" si="58"/>
        <v>0</v>
      </c>
      <c r="Q55" s="866">
        <f t="shared" ref="Q55:Q63" si="67">IF(Q42&lt;=$M$52,Q42,$M$52)</f>
        <v>0</v>
      </c>
      <c r="R55" s="866">
        <f t="shared" si="59"/>
        <v>0</v>
      </c>
      <c r="S55" s="866">
        <f t="shared" ref="S55:S63" si="68">IF(S42&lt;=$M$52,S42,$M$52)</f>
        <v>0</v>
      </c>
      <c r="T55" s="866">
        <f t="shared" si="60"/>
        <v>0</v>
      </c>
      <c r="U55" s="866">
        <f t="shared" ref="U55:U63" si="69">IF(U42&lt;=$M$52,U42,$M$52)</f>
        <v>0</v>
      </c>
      <c r="V55" s="866">
        <f t="shared" si="61"/>
        <v>0</v>
      </c>
      <c r="W55" s="866">
        <f t="shared" ref="W55:W63" si="70">IF(W42&lt;=$M$52,W42,$M$52)</f>
        <v>0</v>
      </c>
      <c r="X55" s="866">
        <f t="shared" si="62"/>
        <v>0</v>
      </c>
      <c r="Y55" s="866">
        <f t="shared" ref="Y55:Y63" si="71">IF(Y42&lt;=$M$52,Y42,$M$52)</f>
        <v>0</v>
      </c>
      <c r="Z55" s="866">
        <f t="shared" si="63"/>
        <v>0</v>
      </c>
      <c r="AA55" s="866">
        <f t="shared" ref="AA55:AA63" si="72">IF(AA42&lt;=$M$52,AA42,$M$52)</f>
        <v>0</v>
      </c>
      <c r="AB55" s="866">
        <f t="shared" si="64"/>
        <v>0</v>
      </c>
      <c r="AC55" s="866">
        <f t="shared" ref="AC55:AC63" si="73">IF(AC42&lt;=$M$52,AC42,$M$52)</f>
        <v>0</v>
      </c>
      <c r="AD55" s="866"/>
      <c r="AE55" s="866"/>
      <c r="AF55" s="866"/>
      <c r="AG55" s="866"/>
      <c r="AH55" s="872">
        <v>66</v>
      </c>
      <c r="AI55" s="872">
        <v>5852.65</v>
      </c>
      <c r="AJ55" s="872">
        <v>4241.25</v>
      </c>
      <c r="AK55" s="866"/>
      <c r="AL55" s="872">
        <v>66</v>
      </c>
      <c r="AM55" s="872">
        <v>5562.3</v>
      </c>
      <c r="AN55" s="872">
        <v>3950.9</v>
      </c>
      <c r="AO55" s="866"/>
      <c r="AP55" s="866"/>
      <c r="AQ55" s="866"/>
      <c r="AR55" s="866"/>
      <c r="AS55" s="866"/>
      <c r="AT55" s="866"/>
      <c r="AU55" s="866"/>
      <c r="AV55" s="866"/>
      <c r="AW55" s="867"/>
      <c r="AX55" s="867"/>
      <c r="AY55" s="867"/>
      <c r="AZ55" s="867"/>
    </row>
    <row r="56" spans="1:52">
      <c r="A56" s="869" t="s">
        <v>524</v>
      </c>
      <c r="B56" s="872">
        <f>IF((SUM($AC$30:AC30)+AC31)&lt;=360,((L31*$AD$31)),0)</f>
        <v>94500</v>
      </c>
      <c r="C56" s="872">
        <f>IF((SUM($AC$30:AC30)+AC31)&lt;=360,((N31*$AD$31)),0)</f>
        <v>0</v>
      </c>
      <c r="D56" s="872">
        <f>IF((SUM($AC$30:AC30)+AC31)&lt;=360,((P31*$AD$31)),0)</f>
        <v>0</v>
      </c>
      <c r="E56" s="872">
        <f>IF((SUM($AC$30:AC30)+AC31)&lt;=360,((R31*$AD$31)),0)</f>
        <v>0</v>
      </c>
      <c r="F56" s="872">
        <f>IF((SUM($AC$30:AC30)+AC31)&lt;=360,((T31*$AD$31)),0)</f>
        <v>0</v>
      </c>
      <c r="G56" s="872">
        <f>IF((SUM($AC$30:AC30)+AC31)&lt;=360,((V31*$AD$31)),0)</f>
        <v>0</v>
      </c>
      <c r="H56" s="872">
        <f>IF((SUM($AC$30:AC30)+AC31)&lt;=360,((X31*$AD$31)),0)</f>
        <v>0</v>
      </c>
      <c r="I56" s="872">
        <f>IF((SUM($AC$30:AC30)+AC31)&lt;=360,((Z31*$AD$31)),0)</f>
        <v>0</v>
      </c>
      <c r="J56" s="872">
        <f>IF((SUM($AC$30:AC30)+AC31)&lt;=360,((AB31*$AD$31)),0)</f>
        <v>0</v>
      </c>
      <c r="K56" s="866"/>
      <c r="L56" s="866">
        <f t="shared" si="56"/>
        <v>110000</v>
      </c>
      <c r="M56" s="866">
        <f t="shared" si="65"/>
        <v>315000</v>
      </c>
      <c r="N56" s="866">
        <f t="shared" si="57"/>
        <v>0</v>
      </c>
      <c r="O56" s="866">
        <f t="shared" si="66"/>
        <v>0</v>
      </c>
      <c r="P56" s="866">
        <f t="shared" si="58"/>
        <v>0</v>
      </c>
      <c r="Q56" s="866">
        <f t="shared" si="67"/>
        <v>0</v>
      </c>
      <c r="R56" s="866">
        <f t="shared" si="59"/>
        <v>0</v>
      </c>
      <c r="S56" s="866">
        <f t="shared" si="68"/>
        <v>0</v>
      </c>
      <c r="T56" s="866">
        <f t="shared" si="60"/>
        <v>0</v>
      </c>
      <c r="U56" s="866">
        <f t="shared" si="69"/>
        <v>0</v>
      </c>
      <c r="V56" s="866">
        <f t="shared" si="61"/>
        <v>0</v>
      </c>
      <c r="W56" s="866">
        <f t="shared" si="70"/>
        <v>0</v>
      </c>
      <c r="X56" s="866">
        <f t="shared" si="62"/>
        <v>0</v>
      </c>
      <c r="Y56" s="866">
        <f t="shared" si="71"/>
        <v>0</v>
      </c>
      <c r="Z56" s="866">
        <f t="shared" si="63"/>
        <v>0</v>
      </c>
      <c r="AA56" s="866">
        <f t="shared" si="72"/>
        <v>0</v>
      </c>
      <c r="AB56" s="866">
        <f t="shared" si="64"/>
        <v>0</v>
      </c>
      <c r="AC56" s="866">
        <f t="shared" si="73"/>
        <v>0</v>
      </c>
      <c r="AD56" s="866"/>
      <c r="AE56" s="866"/>
      <c r="AF56" s="866"/>
      <c r="AG56" s="866"/>
      <c r="AH56" s="872">
        <v>67</v>
      </c>
      <c r="AI56" s="872">
        <v>6001.2</v>
      </c>
      <c r="AJ56" s="872">
        <v>4314.8500000000004</v>
      </c>
      <c r="AK56" s="866"/>
      <c r="AL56" s="872">
        <v>67</v>
      </c>
      <c r="AM56" s="872">
        <v>5707.55</v>
      </c>
      <c r="AN56" s="872">
        <v>4021.2</v>
      </c>
      <c r="AO56" s="866"/>
      <c r="AP56" s="866"/>
      <c r="AQ56" s="866"/>
      <c r="AR56" s="866"/>
      <c r="AS56" s="866"/>
      <c r="AT56" s="866"/>
      <c r="AU56" s="866"/>
      <c r="AV56" s="866"/>
      <c r="AW56" s="867"/>
      <c r="AX56" s="867"/>
      <c r="AY56" s="867"/>
      <c r="AZ56" s="867"/>
    </row>
    <row r="57" spans="1:52">
      <c r="A57" s="869" t="s">
        <v>523</v>
      </c>
      <c r="B57" s="872">
        <f>IF((SUM($AC$30:AC31)+AC32)&lt;=360,((L32*$AD$31)),0)</f>
        <v>99000</v>
      </c>
      <c r="C57" s="872">
        <f>IF((SUM($AC$30:AC31)+AC32)&lt;=360,((N32*$AD$31)),0)</f>
        <v>0</v>
      </c>
      <c r="D57" s="872">
        <f>IF((SUM($AC$30:AC31)+AC32)&lt;=360,((P32*$AD$31)),0)</f>
        <v>0</v>
      </c>
      <c r="E57" s="872">
        <f>IF((SUM($AC$30:AC31)+AC32)&lt;=360,((R32*$AD$31)),0)</f>
        <v>0</v>
      </c>
      <c r="F57" s="872">
        <f>IF((SUM($AC$30:AC31)+AC32)&lt;=360,((T32*$AD$31)),0)</f>
        <v>0</v>
      </c>
      <c r="G57" s="872">
        <f>IF((SUM($AC$30:AC31)+AC32)&lt;=360,((V32*$AD$31)),0)</f>
        <v>0</v>
      </c>
      <c r="H57" s="872">
        <f>IF((SUM($AC$30:AC31)+AC32)&lt;=360,((X32*$AD$31)),0)</f>
        <v>0</v>
      </c>
      <c r="I57" s="872">
        <f>IF((SUM($AC$30:AC31)+AC32)&lt;=360,((Z32*$AD$31)),0)</f>
        <v>0</v>
      </c>
      <c r="J57" s="872">
        <f>IF((SUM($AC$30:AC31)+AC32)&lt;=360,((AB32*$AD$31)),0)</f>
        <v>0</v>
      </c>
      <c r="K57" s="866"/>
      <c r="L57" s="866">
        <f t="shared" si="56"/>
        <v>115000</v>
      </c>
      <c r="M57" s="866">
        <f t="shared" si="65"/>
        <v>430000</v>
      </c>
      <c r="N57" s="866">
        <f t="shared" si="57"/>
        <v>0</v>
      </c>
      <c r="O57" s="866">
        <f t="shared" si="66"/>
        <v>0</v>
      </c>
      <c r="P57" s="866">
        <f t="shared" si="58"/>
        <v>0</v>
      </c>
      <c r="Q57" s="866">
        <f t="shared" si="67"/>
        <v>0</v>
      </c>
      <c r="R57" s="866">
        <f t="shared" si="59"/>
        <v>0</v>
      </c>
      <c r="S57" s="866">
        <f t="shared" si="68"/>
        <v>0</v>
      </c>
      <c r="T57" s="866">
        <f t="shared" si="60"/>
        <v>0</v>
      </c>
      <c r="U57" s="866">
        <f t="shared" si="69"/>
        <v>0</v>
      </c>
      <c r="V57" s="866">
        <f t="shared" si="61"/>
        <v>0</v>
      </c>
      <c r="W57" s="866">
        <f t="shared" si="70"/>
        <v>0</v>
      </c>
      <c r="X57" s="866">
        <f t="shared" si="62"/>
        <v>0</v>
      </c>
      <c r="Y57" s="866">
        <f t="shared" si="71"/>
        <v>0</v>
      </c>
      <c r="Z57" s="866">
        <f t="shared" si="63"/>
        <v>0</v>
      </c>
      <c r="AA57" s="866">
        <f t="shared" si="72"/>
        <v>0</v>
      </c>
      <c r="AB57" s="866">
        <f t="shared" si="64"/>
        <v>0</v>
      </c>
      <c r="AC57" s="866">
        <f t="shared" si="73"/>
        <v>0</v>
      </c>
      <c r="AD57" s="866"/>
      <c r="AE57" s="866"/>
      <c r="AF57" s="866"/>
      <c r="AG57" s="866"/>
      <c r="AH57" s="872">
        <v>68</v>
      </c>
      <c r="AI57" s="872">
        <v>6155.85</v>
      </c>
      <c r="AJ57" s="872">
        <v>4390.2</v>
      </c>
      <c r="AK57" s="866"/>
      <c r="AL57" s="872">
        <v>68</v>
      </c>
      <c r="AM57" s="872">
        <v>5858.1</v>
      </c>
      <c r="AN57" s="872">
        <v>4092.45</v>
      </c>
      <c r="AO57" s="866"/>
      <c r="AP57" s="866"/>
      <c r="AQ57" s="866"/>
      <c r="AR57" s="866"/>
      <c r="AS57" s="866"/>
      <c r="AT57" s="866"/>
      <c r="AU57" s="866"/>
      <c r="AV57" s="866"/>
      <c r="AW57" s="867"/>
      <c r="AX57" s="867"/>
      <c r="AY57" s="867"/>
      <c r="AZ57" s="867"/>
    </row>
    <row r="58" spans="1:52">
      <c r="A58" s="869" t="s">
        <v>522</v>
      </c>
      <c r="B58" s="872">
        <f>IF((SUM($AC$30:AC32)+AC33)&lt;=360,((L33*$AD$31)),0)</f>
        <v>103500</v>
      </c>
      <c r="C58" s="872">
        <f>IF((SUM($AC$30:AC32)+AC33)&lt;=360,((N33*$AD$31)),0)</f>
        <v>0</v>
      </c>
      <c r="D58" s="872">
        <f>IF((SUM($AC$30:AC32)+AC33)&lt;=360,((P33*$AD$31)),0)</f>
        <v>0</v>
      </c>
      <c r="E58" s="872">
        <f>IF((SUM($AC$30:AC32)+AC33)&lt;=360,((R33*$AD$31)),0)</f>
        <v>0</v>
      </c>
      <c r="F58" s="872">
        <f>IF((SUM($AC$30:AC32)+AC33)&lt;=360,((T33*$AD$31)),0)</f>
        <v>0</v>
      </c>
      <c r="G58" s="872">
        <f>IF((SUM($AC$30:AC32)+AC33)&lt;=360,((V33*$AD$31)),0)</f>
        <v>0</v>
      </c>
      <c r="H58" s="872">
        <f>IF((SUM($AC$30:AC32)+AC33)&lt;=360,((X33*$AD$31)),0)</f>
        <v>0</v>
      </c>
      <c r="I58" s="872">
        <f>IF((SUM($AC$30:AC32)+AC33)&lt;=360,((Z33*$AD$31)),0)</f>
        <v>0</v>
      </c>
      <c r="J58" s="872">
        <f>IF((SUM($AC$30:AC32)+AC33)&lt;=360,((AB33*$AD$31)),0)</f>
        <v>0</v>
      </c>
      <c r="K58" s="866"/>
      <c r="L58" s="866">
        <f t="shared" si="56"/>
        <v>120000</v>
      </c>
      <c r="M58" s="866">
        <f t="shared" si="65"/>
        <v>550000</v>
      </c>
      <c r="N58" s="866">
        <f t="shared" si="57"/>
        <v>0</v>
      </c>
      <c r="O58" s="866">
        <f t="shared" si="66"/>
        <v>0</v>
      </c>
      <c r="P58" s="866">
        <f t="shared" si="58"/>
        <v>0</v>
      </c>
      <c r="Q58" s="866">
        <f t="shared" si="67"/>
        <v>0</v>
      </c>
      <c r="R58" s="866">
        <f t="shared" si="59"/>
        <v>0</v>
      </c>
      <c r="S58" s="866">
        <f t="shared" si="68"/>
        <v>0</v>
      </c>
      <c r="T58" s="866">
        <f t="shared" si="60"/>
        <v>0</v>
      </c>
      <c r="U58" s="866">
        <f t="shared" si="69"/>
        <v>0</v>
      </c>
      <c r="V58" s="866">
        <f t="shared" si="61"/>
        <v>0</v>
      </c>
      <c r="W58" s="866">
        <f t="shared" si="70"/>
        <v>0</v>
      </c>
      <c r="X58" s="866">
        <f t="shared" si="62"/>
        <v>0</v>
      </c>
      <c r="Y58" s="866">
        <f t="shared" si="71"/>
        <v>0</v>
      </c>
      <c r="Z58" s="866">
        <f t="shared" si="63"/>
        <v>0</v>
      </c>
      <c r="AA58" s="866">
        <f t="shared" si="72"/>
        <v>0</v>
      </c>
      <c r="AB58" s="866">
        <f t="shared" si="64"/>
        <v>0</v>
      </c>
      <c r="AC58" s="866">
        <f t="shared" si="73"/>
        <v>0</v>
      </c>
      <c r="AD58" s="866"/>
      <c r="AE58" s="866"/>
      <c r="AF58" s="866"/>
      <c r="AG58" s="866"/>
      <c r="AH58" s="872">
        <v>69</v>
      </c>
      <c r="AI58" s="872">
        <v>6331.1</v>
      </c>
      <c r="AJ58" s="872">
        <v>4455.1499999999996</v>
      </c>
      <c r="AK58" s="866"/>
      <c r="AL58" s="872">
        <v>69</v>
      </c>
      <c r="AM58" s="872">
        <v>6028.3</v>
      </c>
      <c r="AN58" s="872">
        <v>4152.3</v>
      </c>
      <c r="AO58" s="866"/>
      <c r="AP58" s="866"/>
      <c r="AQ58" s="866"/>
      <c r="AR58" s="866"/>
      <c r="AS58" s="866"/>
      <c r="AT58" s="866"/>
      <c r="AU58" s="866"/>
      <c r="AV58" s="866"/>
      <c r="AW58" s="867"/>
      <c r="AX58" s="867"/>
      <c r="AY58" s="867"/>
      <c r="AZ58" s="867"/>
    </row>
    <row r="59" spans="1:52">
      <c r="A59" s="869" t="s">
        <v>521</v>
      </c>
      <c r="B59" s="872">
        <f>IF((SUM($AC$30:AC33)+AC34)&lt;=360,((L34*$AD$31)),0)</f>
        <v>108000</v>
      </c>
      <c r="C59" s="872">
        <f>IF((SUM($AC$30:AC33)+AC34)&lt;=360,((N34*$AD$31)),0)</f>
        <v>0</v>
      </c>
      <c r="D59" s="872">
        <f>IF((SUM($AC$30:AC33)+AC34)&lt;=360,((P34*$AD$31)),0)</f>
        <v>0</v>
      </c>
      <c r="E59" s="872">
        <f>IF((SUM($AC$30:AC33)+AC34)&lt;=360,((R34*$AD$31)),0)</f>
        <v>0</v>
      </c>
      <c r="F59" s="872">
        <f>IF((SUM($AC$30:AC33)+AC34)&lt;=360,((T34*$AD$31)),0)</f>
        <v>0</v>
      </c>
      <c r="G59" s="872">
        <f>IF((SUM($AC$30:AC33)+AC34)&lt;=360,((V34*$AD$31)),0)</f>
        <v>0</v>
      </c>
      <c r="H59" s="872">
        <f>IF((SUM($AC$30:AC33)+AC34)&lt;=360,((X34*$AD$31)),0)</f>
        <v>0</v>
      </c>
      <c r="I59" s="872">
        <f>IF((SUM($AC$30:AC33)+AC34)&lt;=360,((Z34*$AD$31)),0)</f>
        <v>0</v>
      </c>
      <c r="J59" s="872">
        <f>IF((SUM($AC$30:AC33)+AC34)&lt;=360,((AB34*$AD$31)),0)</f>
        <v>0</v>
      </c>
      <c r="K59" s="866"/>
      <c r="L59" s="866">
        <f t="shared" si="56"/>
        <v>125000</v>
      </c>
      <c r="M59" s="866">
        <f t="shared" si="65"/>
        <v>675000</v>
      </c>
      <c r="N59" s="866">
        <f t="shared" si="57"/>
        <v>0</v>
      </c>
      <c r="O59" s="866">
        <f t="shared" si="66"/>
        <v>0</v>
      </c>
      <c r="P59" s="866">
        <f t="shared" si="58"/>
        <v>0</v>
      </c>
      <c r="Q59" s="866">
        <f t="shared" si="67"/>
        <v>0</v>
      </c>
      <c r="R59" s="866">
        <f t="shared" si="59"/>
        <v>0</v>
      </c>
      <c r="S59" s="866">
        <f t="shared" si="68"/>
        <v>0</v>
      </c>
      <c r="T59" s="866">
        <f t="shared" si="60"/>
        <v>0</v>
      </c>
      <c r="U59" s="866">
        <f t="shared" si="69"/>
        <v>0</v>
      </c>
      <c r="V59" s="866">
        <f t="shared" si="61"/>
        <v>0</v>
      </c>
      <c r="W59" s="866">
        <f t="shared" si="70"/>
        <v>0</v>
      </c>
      <c r="X59" s="866">
        <f t="shared" si="62"/>
        <v>0</v>
      </c>
      <c r="Y59" s="866">
        <f t="shared" si="71"/>
        <v>0</v>
      </c>
      <c r="Z59" s="866">
        <f t="shared" si="63"/>
        <v>0</v>
      </c>
      <c r="AA59" s="866">
        <f t="shared" si="72"/>
        <v>0</v>
      </c>
      <c r="AB59" s="866">
        <f t="shared" si="64"/>
        <v>0</v>
      </c>
      <c r="AC59" s="866">
        <f t="shared" si="73"/>
        <v>0</v>
      </c>
      <c r="AD59" s="866"/>
      <c r="AE59" s="866"/>
      <c r="AF59" s="866"/>
      <c r="AG59" s="866"/>
      <c r="AH59" s="872">
        <v>70</v>
      </c>
      <c r="AI59" s="872">
        <v>6473.65</v>
      </c>
      <c r="AJ59" s="872">
        <v>4555.75</v>
      </c>
      <c r="AK59" s="866"/>
      <c r="AL59" s="872">
        <v>70</v>
      </c>
      <c r="AM59" s="872">
        <v>6164.45</v>
      </c>
      <c r="AN59" s="872">
        <v>4246.55</v>
      </c>
      <c r="AO59" s="866"/>
      <c r="AP59" s="866"/>
      <c r="AQ59" s="866"/>
      <c r="AR59" s="866"/>
      <c r="AS59" s="866"/>
      <c r="AT59" s="866"/>
      <c r="AU59" s="866"/>
      <c r="AV59" s="866"/>
      <c r="AW59" s="867"/>
      <c r="AX59" s="867"/>
      <c r="AY59" s="867"/>
      <c r="AZ59" s="867"/>
    </row>
    <row r="60" spans="1:52">
      <c r="A60" s="869" t="s">
        <v>520</v>
      </c>
      <c r="B60" s="872">
        <f>IF((SUM($AC$30:AC34)+AC35)&lt;=360,((L35*$AD$31)),0)</f>
        <v>112500</v>
      </c>
      <c r="C60" s="872">
        <f>IF((SUM($AC$30:AC34)+AC35)&lt;=360,((N35*$AD$31)),0)</f>
        <v>0</v>
      </c>
      <c r="D60" s="872">
        <f>IF((SUM($AC$30:AC34)+AC35)&lt;=360,((P35*$AD$31)),0)</f>
        <v>0</v>
      </c>
      <c r="E60" s="872">
        <f>IF((SUM($AC$30:AC34)+AC35)&lt;=360,((R35*$AD$31)),0)</f>
        <v>0</v>
      </c>
      <c r="F60" s="872">
        <f>IF((SUM($AC$30:AC34)+AC35)&lt;=360,((T35*$AD$31)),0)</f>
        <v>0</v>
      </c>
      <c r="G60" s="872">
        <f>IF((SUM($AC$30:AC34)+AC35)&lt;=360,((V35*$AD$31)),0)</f>
        <v>0</v>
      </c>
      <c r="H60" s="872">
        <f>IF((SUM($AC$30:AC34)+AC35)&lt;=360,((X35*$AD$31)),0)</f>
        <v>0</v>
      </c>
      <c r="I60" s="872">
        <f>IF((SUM($AC$30:AC34)+AC35)&lt;=360,((Z35*$AD$31)),0)</f>
        <v>0</v>
      </c>
      <c r="J60" s="872">
        <f>IF((SUM($AC$30:AC34)+AC35)&lt;=360,((AB35*$AD$31)),0)</f>
        <v>0</v>
      </c>
      <c r="K60" s="866"/>
      <c r="L60" s="866">
        <f t="shared" si="56"/>
        <v>130000</v>
      </c>
      <c r="M60" s="866">
        <f t="shared" si="65"/>
        <v>805000</v>
      </c>
      <c r="N60" s="866">
        <f t="shared" si="57"/>
        <v>0</v>
      </c>
      <c r="O60" s="866">
        <f t="shared" si="66"/>
        <v>0</v>
      </c>
      <c r="P60" s="866">
        <f t="shared" si="58"/>
        <v>0</v>
      </c>
      <c r="Q60" s="866">
        <f t="shared" si="67"/>
        <v>0</v>
      </c>
      <c r="R60" s="866">
        <f t="shared" si="59"/>
        <v>0</v>
      </c>
      <c r="S60" s="866">
        <f t="shared" si="68"/>
        <v>0</v>
      </c>
      <c r="T60" s="866">
        <f t="shared" si="60"/>
        <v>0</v>
      </c>
      <c r="U60" s="866">
        <f t="shared" si="69"/>
        <v>0</v>
      </c>
      <c r="V60" s="866">
        <f t="shared" si="61"/>
        <v>0</v>
      </c>
      <c r="W60" s="866">
        <f t="shared" si="70"/>
        <v>0</v>
      </c>
      <c r="X60" s="866">
        <f t="shared" si="62"/>
        <v>0</v>
      </c>
      <c r="Y60" s="866">
        <f t="shared" si="71"/>
        <v>0</v>
      </c>
      <c r="Z60" s="866">
        <f t="shared" si="63"/>
        <v>0</v>
      </c>
      <c r="AA60" s="866">
        <f t="shared" si="72"/>
        <v>0</v>
      </c>
      <c r="AB60" s="866">
        <f t="shared" si="64"/>
        <v>0</v>
      </c>
      <c r="AC60" s="866">
        <f t="shared" si="73"/>
        <v>0</v>
      </c>
      <c r="AD60" s="866"/>
      <c r="AE60" s="866"/>
      <c r="AF60" s="866"/>
      <c r="AG60" s="866"/>
      <c r="AH60" s="872">
        <v>71</v>
      </c>
      <c r="AI60" s="872">
        <v>6621.35</v>
      </c>
      <c r="AJ60" s="872">
        <v>4646.3</v>
      </c>
      <c r="AK60" s="866"/>
      <c r="AL60" s="872">
        <v>71</v>
      </c>
      <c r="AM60" s="872">
        <v>6303.95</v>
      </c>
      <c r="AN60" s="872">
        <v>4328.95</v>
      </c>
      <c r="AO60" s="866"/>
      <c r="AP60" s="866"/>
      <c r="AQ60" s="866"/>
      <c r="AR60" s="866"/>
      <c r="AS60" s="866"/>
      <c r="AT60" s="866"/>
      <c r="AU60" s="866"/>
      <c r="AV60" s="866"/>
      <c r="AW60" s="867"/>
      <c r="AX60" s="867"/>
      <c r="AY60" s="867"/>
      <c r="AZ60" s="867"/>
    </row>
    <row r="61" spans="1:52">
      <c r="A61" s="869" t="s">
        <v>519</v>
      </c>
      <c r="B61" s="872">
        <f>IF((SUM($AC$30:AC35)+AC36)&lt;=360,((L36*$AD$31)),0)</f>
        <v>117000</v>
      </c>
      <c r="C61" s="872">
        <f>IF((SUM($AC$30:AC35)+AC36)&lt;=360,((N36*$AD$31)),0)</f>
        <v>0</v>
      </c>
      <c r="D61" s="872">
        <f>IF((SUM($AC$30:AC35)+AC36)&lt;=360,((P36*$AD$31)),0)</f>
        <v>0</v>
      </c>
      <c r="E61" s="872">
        <f>IF((SUM($AC$30:AC35)+AC36)&lt;=360,((R36*$AD$31)),0)</f>
        <v>0</v>
      </c>
      <c r="F61" s="872">
        <f>IF((SUM($AC$30:AC35)+AC36)&lt;=360,((T36*$AD$31)),0)</f>
        <v>0</v>
      </c>
      <c r="G61" s="872">
        <f>IF((SUM($AC$30:AC35)+AC36)&lt;=360,((V36*$AD$31)),0)</f>
        <v>0</v>
      </c>
      <c r="H61" s="872">
        <f>IF((SUM($AC$30:AC35)+AC36)&lt;=360,((X36*$AD$31)),0)</f>
        <v>0</v>
      </c>
      <c r="I61" s="872">
        <f>IF((SUM($AC$30:AC35)+AC36)&lt;=360,((Z36*$AD$31)),0)</f>
        <v>0</v>
      </c>
      <c r="J61" s="872">
        <f>IF((SUM($AC$30:AC35)+AC36)&lt;=360,((AB36*$AD$31)),0)</f>
        <v>0</v>
      </c>
      <c r="K61" s="866"/>
      <c r="L61" s="866">
        <f t="shared" si="56"/>
        <v>135000</v>
      </c>
      <c r="M61" s="866">
        <f t="shared" si="65"/>
        <v>940000</v>
      </c>
      <c r="N61" s="866">
        <f t="shared" si="57"/>
        <v>0</v>
      </c>
      <c r="O61" s="866">
        <f t="shared" si="66"/>
        <v>0</v>
      </c>
      <c r="P61" s="866">
        <f t="shared" si="58"/>
        <v>0</v>
      </c>
      <c r="Q61" s="866">
        <f t="shared" si="67"/>
        <v>0</v>
      </c>
      <c r="R61" s="866">
        <f t="shared" si="59"/>
        <v>0</v>
      </c>
      <c r="S61" s="866">
        <f t="shared" si="68"/>
        <v>0</v>
      </c>
      <c r="T61" s="866">
        <f t="shared" si="60"/>
        <v>0</v>
      </c>
      <c r="U61" s="866">
        <f t="shared" si="69"/>
        <v>0</v>
      </c>
      <c r="V61" s="866">
        <f t="shared" si="61"/>
        <v>0</v>
      </c>
      <c r="W61" s="866">
        <f t="shared" si="70"/>
        <v>0</v>
      </c>
      <c r="X61" s="866">
        <f t="shared" si="62"/>
        <v>0</v>
      </c>
      <c r="Y61" s="866">
        <f t="shared" si="71"/>
        <v>0</v>
      </c>
      <c r="Z61" s="866">
        <f t="shared" si="63"/>
        <v>0</v>
      </c>
      <c r="AA61" s="866">
        <f t="shared" si="72"/>
        <v>0</v>
      </c>
      <c r="AB61" s="866">
        <f t="shared" si="64"/>
        <v>0</v>
      </c>
      <c r="AC61" s="866">
        <f t="shared" si="73"/>
        <v>0</v>
      </c>
      <c r="AD61" s="866"/>
      <c r="AE61" s="866"/>
      <c r="AF61" s="866"/>
      <c r="AG61" s="866"/>
      <c r="AH61" s="872">
        <v>72</v>
      </c>
      <c r="AI61" s="872">
        <v>6741.95</v>
      </c>
      <c r="AJ61" s="872">
        <v>4796.6499999999996</v>
      </c>
      <c r="AK61" s="866"/>
      <c r="AL61" s="872">
        <v>72</v>
      </c>
      <c r="AM61" s="872">
        <v>6414</v>
      </c>
      <c r="AN61" s="872">
        <v>4468.6499999999996</v>
      </c>
      <c r="AO61" s="866"/>
      <c r="AP61" s="866"/>
      <c r="AQ61" s="866"/>
      <c r="AR61" s="866"/>
      <c r="AS61" s="866"/>
      <c r="AT61" s="866"/>
      <c r="AU61" s="866"/>
      <c r="AV61" s="866"/>
      <c r="AW61" s="867"/>
      <c r="AX61" s="867"/>
      <c r="AY61" s="867"/>
      <c r="AZ61" s="867"/>
    </row>
    <row r="62" spans="1:52">
      <c r="A62" s="869" t="s">
        <v>518</v>
      </c>
      <c r="B62" s="872">
        <f>IF((SUM($AC$30:AC36)+AC37)&lt;=360,((L37*$AD$31)),0)</f>
        <v>121500</v>
      </c>
      <c r="C62" s="872">
        <f>IF((SUM($AC$30:AC36)+AC37)&lt;=360,((N37*$AD$31)),0)</f>
        <v>0</v>
      </c>
      <c r="D62" s="872">
        <f>IF((SUM($AC$30:AC36)+AC37)&lt;=360,((P37*$AD$31)),0)</f>
        <v>0</v>
      </c>
      <c r="E62" s="872">
        <f>IF((SUM($AC$30:AC36)+AC37)&lt;=360,((R37*$AD$31)),0)</f>
        <v>0</v>
      </c>
      <c r="F62" s="872">
        <f>IF((SUM($AC$30:AC36)+AC37)&lt;=360,((T37*$AD$31)),0)</f>
        <v>0</v>
      </c>
      <c r="G62" s="872">
        <f>IF((SUM($AC$30:AC36)+AC37)&lt;=360,((V37*$AD$31)),0)</f>
        <v>0</v>
      </c>
      <c r="H62" s="872">
        <f>IF((SUM($AC$30:AC36)+AC37)&lt;=360,((X37*$AD$31)),0)</f>
        <v>0</v>
      </c>
      <c r="I62" s="872">
        <f>IF((SUM($AC$30:AC36)+AC37)&lt;=360,((Z37*$AD$31)),0)</f>
        <v>0</v>
      </c>
      <c r="J62" s="872">
        <f>IF((SUM($AC$30:AC36)+AC37)&lt;=360,((AB37*$AD$31)),0)</f>
        <v>0</v>
      </c>
      <c r="K62" s="866"/>
      <c r="L62" s="866">
        <f t="shared" si="56"/>
        <v>140000</v>
      </c>
      <c r="M62" s="866">
        <f t="shared" si="65"/>
        <v>1080000</v>
      </c>
      <c r="N62" s="866">
        <f t="shared" si="57"/>
        <v>0</v>
      </c>
      <c r="O62" s="866">
        <f t="shared" si="66"/>
        <v>0</v>
      </c>
      <c r="P62" s="866">
        <f t="shared" si="58"/>
        <v>0</v>
      </c>
      <c r="Q62" s="866">
        <f t="shared" si="67"/>
        <v>0</v>
      </c>
      <c r="R62" s="866">
        <f t="shared" si="59"/>
        <v>0</v>
      </c>
      <c r="S62" s="866">
        <f t="shared" si="68"/>
        <v>0</v>
      </c>
      <c r="T62" s="866">
        <f t="shared" si="60"/>
        <v>0</v>
      </c>
      <c r="U62" s="866">
        <f t="shared" si="69"/>
        <v>0</v>
      </c>
      <c r="V62" s="866">
        <f t="shared" si="61"/>
        <v>0</v>
      </c>
      <c r="W62" s="866">
        <f t="shared" si="70"/>
        <v>0</v>
      </c>
      <c r="X62" s="866">
        <f t="shared" si="62"/>
        <v>0</v>
      </c>
      <c r="Y62" s="866">
        <f t="shared" si="71"/>
        <v>0</v>
      </c>
      <c r="Z62" s="866">
        <f t="shared" si="63"/>
        <v>0</v>
      </c>
      <c r="AA62" s="866">
        <f t="shared" si="72"/>
        <v>0</v>
      </c>
      <c r="AB62" s="866">
        <f t="shared" si="64"/>
        <v>0</v>
      </c>
      <c r="AC62" s="866">
        <f t="shared" si="73"/>
        <v>0</v>
      </c>
      <c r="AD62" s="866"/>
      <c r="AE62" s="866"/>
      <c r="AF62" s="866"/>
      <c r="AG62" s="866"/>
      <c r="AH62" s="872">
        <v>73</v>
      </c>
      <c r="AI62" s="872">
        <v>6964.7</v>
      </c>
      <c r="AJ62" s="872">
        <v>4997.1499999999996</v>
      </c>
      <c r="AK62" s="866"/>
      <c r="AL62" s="872">
        <v>73</v>
      </c>
      <c r="AM62" s="872">
        <v>6622.5</v>
      </c>
      <c r="AN62" s="872">
        <v>4655</v>
      </c>
      <c r="AO62" s="866"/>
      <c r="AP62" s="866"/>
      <c r="AQ62" s="866"/>
      <c r="AR62" s="866"/>
      <c r="AS62" s="866"/>
      <c r="AT62" s="866"/>
      <c r="AU62" s="866"/>
      <c r="AV62" s="866"/>
      <c r="AW62" s="867"/>
      <c r="AX62" s="867"/>
      <c r="AY62" s="867"/>
      <c r="AZ62" s="867"/>
    </row>
    <row r="63" spans="1:52">
      <c r="A63" s="869" t="s">
        <v>517</v>
      </c>
      <c r="B63" s="872">
        <f>IF((SUM($AC$30:AC37)+AC38)&lt;=360,((L38*$AD$31)),0)</f>
        <v>0</v>
      </c>
      <c r="C63" s="872">
        <f>IF((SUM($AC$30:AC37)+AC38)&lt;=360,((N38*$AD$31)),0)</f>
        <v>0</v>
      </c>
      <c r="D63" s="872">
        <f>IF((SUM($AC$30:AC37)+AC38)&lt;=360,((P38*$AD$31)),0)</f>
        <v>0</v>
      </c>
      <c r="E63" s="872">
        <f>IF((SUM($AC$30:AC37)+AC38)&lt;=360,((R38*$AD$31)),0)</f>
        <v>0</v>
      </c>
      <c r="F63" s="872">
        <f>IF((SUM($AC$30:AC37)+AC38)&lt;=360,((T38*$AD$31)),0)</f>
        <v>0</v>
      </c>
      <c r="G63" s="872">
        <f>IF((SUM($AC$30:AC37)+AC38)&lt;=360,((V38*$AD$31)),0)</f>
        <v>0</v>
      </c>
      <c r="H63" s="872">
        <f>IF((SUM($AC$30:AC37)+AC38)&lt;=360,((X38*$AD$31)),0)</f>
        <v>0</v>
      </c>
      <c r="I63" s="872">
        <f>IF((SUM($AC$30:AC37)+AC38)&lt;=360,((Z38*$AD$31)),0)</f>
        <v>0</v>
      </c>
      <c r="J63" s="872">
        <f>IF((SUM($AC$30:AC37)+AC38)&lt;=360,((AB38*$AD$31)),0)</f>
        <v>0</v>
      </c>
      <c r="K63" s="866"/>
      <c r="L63" s="866">
        <f t="shared" si="56"/>
        <v>145000</v>
      </c>
      <c r="M63" s="866">
        <f t="shared" si="65"/>
        <v>1225000</v>
      </c>
      <c r="N63" s="866">
        <f t="shared" si="57"/>
        <v>0</v>
      </c>
      <c r="O63" s="866">
        <f t="shared" si="66"/>
        <v>0</v>
      </c>
      <c r="P63" s="866">
        <f t="shared" si="58"/>
        <v>0</v>
      </c>
      <c r="Q63" s="866">
        <f t="shared" si="67"/>
        <v>0</v>
      </c>
      <c r="R63" s="866">
        <f t="shared" si="59"/>
        <v>0</v>
      </c>
      <c r="S63" s="866">
        <f t="shared" si="68"/>
        <v>0</v>
      </c>
      <c r="T63" s="866">
        <f t="shared" si="60"/>
        <v>0</v>
      </c>
      <c r="U63" s="866">
        <f t="shared" si="69"/>
        <v>0</v>
      </c>
      <c r="V63" s="866">
        <f t="shared" si="61"/>
        <v>0</v>
      </c>
      <c r="W63" s="866">
        <f t="shared" si="70"/>
        <v>0</v>
      </c>
      <c r="X63" s="866">
        <f t="shared" si="62"/>
        <v>0</v>
      </c>
      <c r="Y63" s="866">
        <f t="shared" si="71"/>
        <v>0</v>
      </c>
      <c r="Z63" s="866">
        <f t="shared" si="63"/>
        <v>0</v>
      </c>
      <c r="AA63" s="866">
        <f t="shared" si="72"/>
        <v>0</v>
      </c>
      <c r="AB63" s="866">
        <f t="shared" si="64"/>
        <v>0</v>
      </c>
      <c r="AC63" s="866">
        <f t="shared" si="73"/>
        <v>0</v>
      </c>
      <c r="AD63" s="866"/>
      <c r="AE63" s="866"/>
      <c r="AF63" s="866"/>
      <c r="AG63" s="866"/>
      <c r="AH63" s="872">
        <v>74</v>
      </c>
      <c r="AI63" s="872">
        <v>7270</v>
      </c>
      <c r="AJ63" s="872">
        <v>5283.8</v>
      </c>
      <c r="AK63" s="866"/>
      <c r="AL63" s="872">
        <v>74</v>
      </c>
      <c r="AM63" s="872">
        <v>6908.1</v>
      </c>
      <c r="AN63" s="872">
        <v>4921.95</v>
      </c>
      <c r="AO63" s="866"/>
      <c r="AP63" s="866"/>
      <c r="AQ63" s="866"/>
      <c r="AR63" s="866"/>
      <c r="AS63" s="866"/>
      <c r="AT63" s="866"/>
      <c r="AU63" s="866"/>
      <c r="AV63" s="866"/>
      <c r="AW63" s="867"/>
      <c r="AX63" s="867"/>
      <c r="AY63" s="867"/>
      <c r="AZ63" s="867"/>
    </row>
    <row r="64" spans="1:52">
      <c r="A64" s="869" t="s">
        <v>516</v>
      </c>
      <c r="B64" s="872">
        <f t="shared" ref="B64:J64" si="74">SUM(B55:B63)</f>
        <v>786000</v>
      </c>
      <c r="C64" s="872">
        <f t="shared" si="74"/>
        <v>0</v>
      </c>
      <c r="D64" s="872">
        <f t="shared" si="74"/>
        <v>0</v>
      </c>
      <c r="E64" s="872">
        <f t="shared" si="74"/>
        <v>0</v>
      </c>
      <c r="F64" s="872">
        <f t="shared" si="74"/>
        <v>0</v>
      </c>
      <c r="G64" s="872">
        <f t="shared" si="74"/>
        <v>0</v>
      </c>
      <c r="H64" s="872">
        <f t="shared" si="74"/>
        <v>0</v>
      </c>
      <c r="I64" s="872">
        <f t="shared" si="74"/>
        <v>0</v>
      </c>
      <c r="J64" s="872">
        <f t="shared" si="74"/>
        <v>0</v>
      </c>
      <c r="K64" s="866"/>
      <c r="L64" s="866"/>
      <c r="M64" s="866"/>
      <c r="N64" s="866"/>
      <c r="O64" s="866"/>
      <c r="P64" s="866"/>
      <c r="Q64" s="866"/>
      <c r="R64" s="866"/>
      <c r="S64" s="866"/>
      <c r="T64" s="866"/>
      <c r="U64" s="866"/>
      <c r="V64" s="866"/>
      <c r="W64" s="866"/>
      <c r="X64" s="866"/>
      <c r="Y64" s="866"/>
      <c r="Z64" s="866"/>
      <c r="AA64" s="866"/>
      <c r="AB64" s="866"/>
      <c r="AC64" s="866"/>
      <c r="AD64" s="866"/>
      <c r="AE64" s="866"/>
      <c r="AF64" s="866"/>
      <c r="AG64" s="866"/>
      <c r="AH64" s="872">
        <v>75</v>
      </c>
      <c r="AI64" s="872">
        <v>7764.9</v>
      </c>
      <c r="AJ64" s="872">
        <v>5583.65</v>
      </c>
      <c r="AK64" s="866"/>
      <c r="AL64" s="872">
        <v>75</v>
      </c>
      <c r="AM64" s="872">
        <v>7374</v>
      </c>
      <c r="AN64" s="872">
        <v>5192.7</v>
      </c>
      <c r="AO64" s="866"/>
      <c r="AP64" s="866"/>
      <c r="AQ64" s="866"/>
      <c r="AR64" s="866"/>
      <c r="AS64" s="866"/>
      <c r="AT64" s="866"/>
      <c r="AU64" s="866"/>
      <c r="AV64" s="866"/>
      <c r="AW64" s="867"/>
      <c r="AX64" s="867"/>
      <c r="AY64" s="867"/>
      <c r="AZ64" s="867"/>
    </row>
    <row r="65" spans="1:52">
      <c r="A65" s="866"/>
      <c r="B65" s="866"/>
      <c r="C65" s="866"/>
      <c r="D65" s="866"/>
      <c r="E65" s="866"/>
      <c r="F65" s="866"/>
      <c r="G65" s="866"/>
      <c r="H65" s="866"/>
      <c r="I65" s="866"/>
      <c r="J65" s="866"/>
      <c r="K65" s="866"/>
      <c r="L65" s="866"/>
      <c r="M65" s="866"/>
      <c r="N65" s="866"/>
      <c r="O65" s="866"/>
      <c r="P65" s="866"/>
      <c r="Q65" s="866"/>
      <c r="R65" s="866"/>
      <c r="S65" s="866"/>
      <c r="T65" s="866"/>
      <c r="U65" s="866"/>
      <c r="V65" s="866"/>
      <c r="W65" s="866"/>
      <c r="X65" s="866"/>
      <c r="Y65" s="866"/>
      <c r="Z65" s="866"/>
      <c r="AA65" s="866"/>
      <c r="AB65" s="866"/>
      <c r="AC65" s="866"/>
      <c r="AD65" s="866"/>
      <c r="AE65" s="866"/>
      <c r="AF65" s="866"/>
      <c r="AG65" s="866"/>
      <c r="AH65" s="866"/>
      <c r="AI65" s="866"/>
      <c r="AJ65" s="866"/>
      <c r="AK65" s="866"/>
      <c r="AL65" s="866"/>
      <c r="AM65" s="866"/>
      <c r="AN65" s="866"/>
      <c r="AO65" s="866"/>
      <c r="AP65" s="866"/>
      <c r="AQ65" s="866"/>
      <c r="AR65" s="866"/>
      <c r="AS65" s="866"/>
      <c r="AT65" s="866"/>
      <c r="AU65" s="866"/>
      <c r="AV65" s="866"/>
      <c r="AW65" s="867"/>
      <c r="AX65" s="867"/>
      <c r="AY65" s="867"/>
      <c r="AZ65" s="867"/>
    </row>
    <row r="66" spans="1:52">
      <c r="A66" s="866"/>
      <c r="B66" s="866"/>
      <c r="C66" s="866"/>
      <c r="D66" s="866"/>
      <c r="E66" s="866"/>
      <c r="F66" s="866"/>
      <c r="G66" s="866"/>
      <c r="H66" s="866"/>
      <c r="I66" s="866"/>
      <c r="J66" s="866"/>
      <c r="K66" s="866"/>
      <c r="L66" s="866"/>
      <c r="M66" s="866"/>
      <c r="N66" s="866"/>
      <c r="O66" s="866"/>
      <c r="P66" s="866"/>
      <c r="Q66" s="866"/>
      <c r="R66" s="866"/>
      <c r="S66" s="866"/>
      <c r="T66" s="866"/>
      <c r="U66" s="866"/>
      <c r="V66" s="866"/>
      <c r="W66" s="866"/>
      <c r="X66" s="866"/>
      <c r="Y66" s="866"/>
      <c r="Z66" s="866"/>
      <c r="AA66" s="866"/>
      <c r="AB66" s="866"/>
      <c r="AC66" s="866"/>
      <c r="AD66" s="866"/>
      <c r="AE66" s="866"/>
      <c r="AF66" s="866"/>
      <c r="AG66" s="866"/>
      <c r="AH66" s="866"/>
      <c r="AI66" s="866"/>
      <c r="AJ66" s="866"/>
      <c r="AK66" s="866"/>
      <c r="AL66" s="866"/>
      <c r="AM66" s="866"/>
      <c r="AN66" s="866"/>
      <c r="AO66" s="866"/>
      <c r="AP66" s="866"/>
      <c r="AQ66" s="866"/>
      <c r="AR66" s="866"/>
      <c r="AS66" s="866"/>
      <c r="AT66" s="866"/>
      <c r="AU66" s="866"/>
      <c r="AV66" s="866"/>
      <c r="AW66" s="867"/>
      <c r="AX66" s="867"/>
      <c r="AY66" s="867"/>
      <c r="AZ66" s="867"/>
    </row>
    <row r="67" spans="1:52">
      <c r="A67" s="866"/>
      <c r="B67" s="866"/>
      <c r="C67" s="866"/>
      <c r="D67" s="866"/>
      <c r="E67" s="866"/>
      <c r="F67" s="866"/>
      <c r="G67" s="866"/>
      <c r="H67" s="866"/>
      <c r="I67" s="866"/>
      <c r="J67" s="866"/>
      <c r="K67" s="866"/>
      <c r="L67" s="866"/>
      <c r="M67" s="866"/>
      <c r="N67" s="866"/>
      <c r="O67" s="866"/>
      <c r="P67" s="866"/>
      <c r="Q67" s="866"/>
      <c r="R67" s="866"/>
      <c r="S67" s="866"/>
      <c r="T67" s="866"/>
      <c r="U67" s="866"/>
      <c r="V67" s="866"/>
      <c r="W67" s="866"/>
      <c r="X67" s="866"/>
      <c r="Y67" s="866"/>
      <c r="Z67" s="866"/>
      <c r="AA67" s="866"/>
      <c r="AB67" s="866"/>
      <c r="AC67" s="866"/>
      <c r="AD67" s="866"/>
      <c r="AE67" s="866"/>
      <c r="AF67" s="866"/>
      <c r="AG67" s="866"/>
      <c r="AH67" s="866"/>
      <c r="AI67" s="866"/>
      <c r="AJ67" s="866"/>
      <c r="AK67" s="866"/>
      <c r="AL67" s="866"/>
      <c r="AM67" s="866"/>
      <c r="AN67" s="866"/>
      <c r="AO67" s="866"/>
      <c r="AP67" s="866"/>
      <c r="AQ67" s="866"/>
      <c r="AR67" s="866"/>
      <c r="AS67" s="866"/>
      <c r="AT67" s="866"/>
      <c r="AU67" s="866"/>
      <c r="AV67" s="866"/>
      <c r="AW67" s="867"/>
      <c r="AX67" s="867"/>
      <c r="AY67" s="867"/>
      <c r="AZ67" s="867"/>
    </row>
    <row r="68" spans="1:52">
      <c r="A68" s="866"/>
      <c r="B68" s="866"/>
      <c r="C68" s="866"/>
      <c r="D68" s="866"/>
      <c r="E68" s="866"/>
      <c r="F68" s="866"/>
      <c r="G68" s="866"/>
      <c r="H68" s="866"/>
      <c r="I68" s="866"/>
      <c r="J68" s="866"/>
      <c r="K68" s="866"/>
      <c r="L68" s="866"/>
      <c r="M68" s="866"/>
      <c r="N68" s="866"/>
      <c r="O68" s="866"/>
      <c r="P68" s="866"/>
      <c r="Q68" s="866"/>
      <c r="R68" s="866"/>
      <c r="S68" s="866"/>
      <c r="T68" s="866"/>
      <c r="U68" s="866"/>
      <c r="V68" s="866"/>
      <c r="W68" s="866"/>
      <c r="X68" s="866"/>
      <c r="Y68" s="866"/>
      <c r="Z68" s="866"/>
      <c r="AA68" s="866"/>
      <c r="AB68" s="866"/>
      <c r="AC68" s="866"/>
      <c r="AD68" s="866"/>
      <c r="AE68" s="866"/>
      <c r="AF68" s="866"/>
      <c r="AG68" s="866"/>
      <c r="AH68" s="866"/>
      <c r="AI68" s="866"/>
      <c r="AJ68" s="866"/>
      <c r="AK68" s="866"/>
      <c r="AL68" s="866"/>
      <c r="AM68" s="866"/>
      <c r="AN68" s="866"/>
      <c r="AO68" s="866"/>
      <c r="AP68" s="866"/>
      <c r="AQ68" s="866"/>
      <c r="AR68" s="866"/>
      <c r="AS68" s="866"/>
      <c r="AT68" s="866"/>
      <c r="AU68" s="866"/>
      <c r="AV68" s="866"/>
      <c r="AW68" s="867"/>
      <c r="AX68" s="867"/>
      <c r="AY68" s="867"/>
      <c r="AZ68" s="867"/>
    </row>
    <row r="69" spans="1:52">
      <c r="A69" s="869"/>
      <c r="B69" s="869"/>
      <c r="C69" s="869"/>
      <c r="D69" s="869"/>
      <c r="E69" s="869"/>
      <c r="F69" s="869"/>
      <c r="G69" s="869"/>
      <c r="H69" s="869"/>
      <c r="I69" s="869"/>
      <c r="J69" s="869"/>
      <c r="K69" s="866"/>
      <c r="L69" s="866"/>
      <c r="M69" s="866"/>
      <c r="N69" s="866"/>
      <c r="O69" s="866"/>
      <c r="P69" s="866"/>
      <c r="Q69" s="866"/>
      <c r="R69" s="866"/>
      <c r="S69" s="866"/>
      <c r="T69" s="866"/>
      <c r="U69" s="866"/>
      <c r="V69" s="866"/>
      <c r="W69" s="866"/>
      <c r="X69" s="866"/>
      <c r="Y69" s="866"/>
      <c r="Z69" s="866"/>
      <c r="AA69" s="866"/>
      <c r="AB69" s="866"/>
      <c r="AC69" s="866"/>
      <c r="AD69" s="866"/>
      <c r="AE69" s="866"/>
      <c r="AF69" s="866"/>
      <c r="AG69" s="866"/>
      <c r="AH69" s="866"/>
      <c r="AI69" s="866"/>
      <c r="AJ69" s="866"/>
      <c r="AK69" s="866"/>
      <c r="AL69" s="866"/>
      <c r="AM69" s="866"/>
      <c r="AN69" s="866"/>
      <c r="AO69" s="866"/>
      <c r="AP69" s="866"/>
      <c r="AQ69" s="866"/>
      <c r="AR69" s="866"/>
      <c r="AS69" s="866"/>
      <c r="AT69" s="866"/>
      <c r="AU69" s="866"/>
      <c r="AV69" s="866"/>
      <c r="AW69" s="867"/>
      <c r="AX69" s="867"/>
      <c r="AY69" s="867"/>
      <c r="AZ69" s="867"/>
    </row>
    <row r="70" spans="1:52" ht="9" hidden="1" thickBot="1">
      <c r="A70" s="877"/>
      <c r="B70" s="877"/>
      <c r="C70" s="877"/>
      <c r="D70" s="877"/>
      <c r="E70" s="877"/>
      <c r="F70" s="877"/>
      <c r="G70" s="877"/>
      <c r="H70" s="877"/>
      <c r="I70" s="877"/>
      <c r="J70" s="878"/>
      <c r="K70" s="866"/>
      <c r="L70" s="866"/>
      <c r="M70" s="866"/>
      <c r="N70" s="866"/>
      <c r="O70" s="866"/>
      <c r="P70" s="866"/>
      <c r="Q70" s="866"/>
      <c r="R70" s="866"/>
      <c r="S70" s="866"/>
      <c r="T70" s="866"/>
      <c r="U70" s="866"/>
      <c r="V70" s="866"/>
      <c r="W70" s="866"/>
      <c r="X70" s="866"/>
      <c r="Y70" s="866"/>
      <c r="Z70" s="866"/>
      <c r="AA70" s="866"/>
      <c r="AB70" s="866"/>
      <c r="AC70" s="866"/>
      <c r="AD70" s="866"/>
      <c r="AE70" s="866"/>
      <c r="AF70" s="866"/>
      <c r="AG70" s="866"/>
      <c r="AH70" s="866"/>
      <c r="AI70" s="866"/>
      <c r="AJ70" s="866"/>
      <c r="AK70" s="866"/>
      <c r="AL70" s="866"/>
      <c r="AM70" s="866"/>
      <c r="AN70" s="866"/>
      <c r="AO70" s="866"/>
      <c r="AP70" s="866"/>
      <c r="AQ70" s="866"/>
      <c r="AR70" s="866"/>
      <c r="AS70" s="866"/>
      <c r="AT70" s="866"/>
      <c r="AU70" s="866"/>
      <c r="AV70" s="866"/>
    </row>
    <row r="71" spans="1:52" ht="9" hidden="1" thickBot="1">
      <c r="A71" s="879"/>
      <c r="B71" s="879"/>
      <c r="C71" s="879"/>
      <c r="D71" s="879"/>
      <c r="E71" s="879"/>
      <c r="F71" s="879"/>
      <c r="G71" s="879"/>
      <c r="H71" s="879"/>
      <c r="I71" s="879"/>
      <c r="J71" s="880"/>
      <c r="K71" s="866"/>
      <c r="L71" s="866"/>
      <c r="M71" s="866"/>
      <c r="N71" s="866"/>
      <c r="O71" s="866"/>
      <c r="P71" s="866"/>
      <c r="Q71" s="866"/>
      <c r="R71" s="866"/>
      <c r="S71" s="866"/>
      <c r="T71" s="866"/>
      <c r="U71" s="866"/>
      <c r="V71" s="866"/>
      <c r="W71" s="866"/>
      <c r="X71" s="866"/>
      <c r="Y71" s="866"/>
      <c r="Z71" s="866"/>
      <c r="AA71" s="866"/>
      <c r="AB71" s="866"/>
      <c r="AC71" s="866"/>
      <c r="AD71" s="866"/>
      <c r="AE71" s="866"/>
      <c r="AF71" s="866"/>
      <c r="AG71" s="866"/>
      <c r="AH71" s="866"/>
      <c r="AI71" s="866"/>
      <c r="AJ71" s="866"/>
      <c r="AK71" s="866"/>
      <c r="AL71" s="866"/>
      <c r="AM71" s="866"/>
      <c r="AN71" s="866"/>
      <c r="AO71" s="866"/>
      <c r="AP71" s="866"/>
      <c r="AQ71" s="866"/>
      <c r="AR71" s="866"/>
      <c r="AS71" s="866"/>
      <c r="AT71" s="866"/>
      <c r="AU71" s="866"/>
      <c r="AV71" s="866"/>
    </row>
    <row r="72" spans="1:52" ht="9" hidden="1" thickBot="1">
      <c r="A72" s="879"/>
      <c r="B72" s="879"/>
      <c r="C72" s="879"/>
      <c r="D72" s="879"/>
      <c r="E72" s="879"/>
      <c r="F72" s="879"/>
      <c r="G72" s="879"/>
      <c r="H72" s="879"/>
      <c r="I72" s="879"/>
      <c r="J72" s="880"/>
      <c r="K72" s="866"/>
      <c r="L72" s="866"/>
      <c r="M72" s="866"/>
      <c r="N72" s="866"/>
      <c r="O72" s="866"/>
      <c r="P72" s="866"/>
      <c r="Q72" s="866"/>
      <c r="R72" s="866"/>
      <c r="S72" s="866"/>
      <c r="T72" s="866"/>
      <c r="U72" s="866"/>
      <c r="V72" s="866"/>
      <c r="W72" s="866"/>
      <c r="X72" s="866"/>
      <c r="Y72" s="866"/>
      <c r="Z72" s="866"/>
      <c r="AA72" s="866"/>
      <c r="AB72" s="866"/>
      <c r="AC72" s="866"/>
      <c r="AD72" s="866"/>
      <c r="AE72" s="866"/>
      <c r="AF72" s="866"/>
      <c r="AG72" s="866"/>
      <c r="AH72" s="866"/>
      <c r="AI72" s="866"/>
      <c r="AJ72" s="866"/>
      <c r="AK72" s="866"/>
      <c r="AL72" s="866"/>
      <c r="AM72" s="866"/>
      <c r="AN72" s="866"/>
      <c r="AO72" s="866"/>
      <c r="AP72" s="866"/>
      <c r="AQ72" s="866"/>
      <c r="AR72" s="866"/>
      <c r="AS72" s="866"/>
      <c r="AT72" s="866"/>
      <c r="AU72" s="866"/>
      <c r="AV72" s="866"/>
    </row>
    <row r="73" spans="1:52" ht="9" hidden="1" thickBot="1">
      <c r="A73" s="879"/>
      <c r="B73" s="879"/>
      <c r="C73" s="879"/>
      <c r="D73" s="879"/>
      <c r="E73" s="879"/>
      <c r="F73" s="879"/>
      <c r="G73" s="879"/>
      <c r="H73" s="879"/>
      <c r="I73" s="879"/>
      <c r="J73" s="880"/>
      <c r="K73" s="866"/>
      <c r="L73" s="866"/>
      <c r="M73" s="866"/>
      <c r="N73" s="866"/>
      <c r="O73" s="866"/>
      <c r="P73" s="866"/>
      <c r="Q73" s="866"/>
      <c r="R73" s="866"/>
      <c r="S73" s="866"/>
      <c r="T73" s="866"/>
      <c r="U73" s="866"/>
      <c r="V73" s="866"/>
      <c r="W73" s="866"/>
      <c r="X73" s="866"/>
      <c r="Y73" s="866"/>
      <c r="Z73" s="866"/>
      <c r="AA73" s="866"/>
      <c r="AB73" s="866"/>
      <c r="AC73" s="866"/>
      <c r="AD73" s="866"/>
      <c r="AE73" s="866"/>
      <c r="AF73" s="866"/>
      <c r="AG73" s="866"/>
      <c r="AH73" s="866"/>
      <c r="AI73" s="866"/>
      <c r="AJ73" s="866"/>
      <c r="AK73" s="866"/>
      <c r="AL73" s="866"/>
      <c r="AM73" s="866"/>
      <c r="AN73" s="866"/>
      <c r="AO73" s="866"/>
      <c r="AP73" s="866"/>
      <c r="AQ73" s="866"/>
      <c r="AR73" s="866"/>
      <c r="AS73" s="866"/>
      <c r="AT73" s="866"/>
      <c r="AU73" s="866"/>
      <c r="AV73" s="866"/>
    </row>
    <row r="74" spans="1:52" ht="9" hidden="1" thickBot="1">
      <c r="A74" s="879"/>
      <c r="B74" s="879"/>
      <c r="C74" s="879"/>
      <c r="D74" s="879"/>
      <c r="E74" s="879"/>
      <c r="F74" s="879"/>
      <c r="G74" s="879"/>
      <c r="H74" s="879"/>
      <c r="I74" s="879"/>
      <c r="J74" s="880"/>
      <c r="K74" s="866"/>
      <c r="L74" s="866"/>
      <c r="M74" s="866"/>
      <c r="N74" s="866"/>
      <c r="O74" s="866"/>
      <c r="P74" s="866"/>
      <c r="Q74" s="866"/>
      <c r="R74" s="866"/>
      <c r="S74" s="866"/>
      <c r="T74" s="866"/>
      <c r="U74" s="866"/>
      <c r="V74" s="866"/>
      <c r="W74" s="866"/>
      <c r="X74" s="866"/>
      <c r="Y74" s="866"/>
      <c r="Z74" s="866"/>
      <c r="AA74" s="866"/>
      <c r="AB74" s="866"/>
      <c r="AC74" s="866"/>
      <c r="AD74" s="866"/>
      <c r="AE74" s="866"/>
      <c r="AF74" s="866"/>
      <c r="AG74" s="866"/>
      <c r="AH74" s="866"/>
      <c r="AI74" s="866"/>
      <c r="AJ74" s="866"/>
      <c r="AK74" s="866"/>
      <c r="AL74" s="866"/>
      <c r="AM74" s="866"/>
      <c r="AN74" s="866"/>
      <c r="AO74" s="866"/>
      <c r="AP74" s="866"/>
      <c r="AQ74" s="866"/>
      <c r="AR74" s="866"/>
      <c r="AS74" s="866"/>
      <c r="AT74" s="866"/>
      <c r="AU74" s="866"/>
      <c r="AV74" s="866"/>
    </row>
    <row r="75" spans="1:52" ht="9" hidden="1" thickBot="1">
      <c r="A75" s="1544"/>
      <c r="B75" s="1545"/>
      <c r="C75" s="1545"/>
      <c r="D75" s="1545"/>
      <c r="E75" s="1546"/>
      <c r="F75" s="879"/>
      <c r="G75" s="879"/>
      <c r="H75" s="879"/>
      <c r="I75" s="879"/>
      <c r="J75" s="880"/>
      <c r="K75" s="866"/>
      <c r="L75" s="866"/>
      <c r="M75" s="866"/>
      <c r="N75" s="866"/>
      <c r="O75" s="866"/>
      <c r="P75" s="866"/>
      <c r="Q75" s="866"/>
      <c r="R75" s="866"/>
      <c r="S75" s="866"/>
      <c r="T75" s="866"/>
      <c r="U75" s="866"/>
      <c r="V75" s="866"/>
      <c r="W75" s="866"/>
      <c r="X75" s="866"/>
      <c r="Y75" s="866"/>
      <c r="Z75" s="866"/>
      <c r="AA75" s="866"/>
      <c r="AB75" s="866"/>
      <c r="AC75" s="866"/>
      <c r="AD75" s="866"/>
      <c r="AE75" s="866"/>
      <c r="AF75" s="866"/>
      <c r="AG75" s="866"/>
      <c r="AH75" s="866"/>
      <c r="AI75" s="866"/>
      <c r="AJ75" s="866"/>
      <c r="AK75" s="866"/>
      <c r="AL75" s="866"/>
      <c r="AM75" s="866"/>
      <c r="AN75" s="866"/>
      <c r="AO75" s="866"/>
      <c r="AP75" s="866"/>
      <c r="AQ75" s="866"/>
      <c r="AR75" s="866"/>
      <c r="AS75" s="866"/>
      <c r="AT75" s="866"/>
      <c r="AU75" s="866"/>
      <c r="AV75" s="866"/>
    </row>
    <row r="76" spans="1:52" ht="9" hidden="1" thickBot="1">
      <c r="A76" s="881"/>
      <c r="B76" s="879"/>
      <c r="C76" s="879"/>
      <c r="D76" s="879"/>
      <c r="E76" s="879"/>
      <c r="F76" s="879"/>
      <c r="G76" s="879"/>
      <c r="H76" s="879"/>
      <c r="I76" s="879"/>
      <c r="J76" s="880"/>
      <c r="K76" s="866"/>
      <c r="L76" s="866"/>
      <c r="M76" s="866"/>
      <c r="N76" s="866"/>
      <c r="O76" s="866"/>
      <c r="P76" s="866"/>
      <c r="Q76" s="866"/>
      <c r="R76" s="866"/>
      <c r="S76" s="866"/>
      <c r="T76" s="866"/>
      <c r="U76" s="866"/>
      <c r="V76" s="866"/>
      <c r="W76" s="866"/>
      <c r="X76" s="866"/>
      <c r="Y76" s="866"/>
      <c r="Z76" s="866"/>
      <c r="AA76" s="866"/>
      <c r="AB76" s="866"/>
      <c r="AC76" s="866"/>
      <c r="AD76" s="866"/>
      <c r="AE76" s="866"/>
      <c r="AF76" s="866"/>
      <c r="AG76" s="866"/>
      <c r="AH76" s="866"/>
      <c r="AI76" s="866"/>
      <c r="AJ76" s="866"/>
      <c r="AK76" s="866"/>
      <c r="AL76" s="866"/>
      <c r="AM76" s="866"/>
      <c r="AN76" s="866"/>
      <c r="AO76" s="866"/>
      <c r="AP76" s="866"/>
      <c r="AQ76" s="866"/>
      <c r="AR76" s="866"/>
      <c r="AS76" s="866"/>
      <c r="AT76" s="866"/>
      <c r="AU76" s="866"/>
      <c r="AV76" s="866"/>
    </row>
    <row r="77" spans="1:52" ht="9" hidden="1" thickBot="1">
      <c r="A77" s="879"/>
      <c r="B77" s="879"/>
      <c r="C77" s="879"/>
      <c r="D77" s="879"/>
      <c r="E77" s="879"/>
      <c r="F77" s="879"/>
      <c r="G77" s="879"/>
      <c r="H77" s="879"/>
      <c r="I77" s="879"/>
      <c r="J77" s="880"/>
      <c r="K77" s="866"/>
      <c r="L77" s="866"/>
      <c r="M77" s="866"/>
      <c r="N77" s="866"/>
      <c r="O77" s="866"/>
      <c r="P77" s="866"/>
      <c r="Q77" s="866"/>
      <c r="R77" s="866"/>
      <c r="S77" s="866"/>
      <c r="T77" s="866"/>
      <c r="U77" s="866"/>
      <c r="V77" s="866"/>
      <c r="W77" s="866"/>
      <c r="X77" s="866"/>
      <c r="Y77" s="866"/>
      <c r="Z77" s="866"/>
      <c r="AA77" s="866"/>
      <c r="AB77" s="866"/>
      <c r="AC77" s="866"/>
      <c r="AD77" s="866"/>
      <c r="AE77" s="866"/>
      <c r="AF77" s="866"/>
      <c r="AG77" s="866"/>
      <c r="AH77" s="866"/>
      <c r="AI77" s="866"/>
      <c r="AJ77" s="866"/>
      <c r="AK77" s="866"/>
      <c r="AL77" s="866"/>
      <c r="AM77" s="866"/>
      <c r="AN77" s="866"/>
      <c r="AO77" s="866"/>
      <c r="AP77" s="866"/>
      <c r="AQ77" s="866"/>
      <c r="AR77" s="866"/>
      <c r="AS77" s="866"/>
      <c r="AT77" s="866"/>
      <c r="AU77" s="866"/>
      <c r="AV77" s="866"/>
    </row>
    <row r="78" spans="1:52" ht="9" hidden="1" thickBot="1">
      <c r="A78" s="1544"/>
      <c r="B78" s="1545"/>
      <c r="C78" s="1545"/>
      <c r="D78" s="1545"/>
      <c r="E78" s="1546"/>
      <c r="F78" s="879"/>
      <c r="G78" s="879"/>
      <c r="H78" s="879"/>
      <c r="I78" s="879"/>
      <c r="J78" s="880"/>
      <c r="K78" s="866"/>
      <c r="L78" s="866"/>
      <c r="M78" s="866"/>
      <c r="N78" s="866"/>
      <c r="O78" s="866"/>
      <c r="P78" s="866"/>
      <c r="Q78" s="866"/>
      <c r="R78" s="866"/>
      <c r="S78" s="866"/>
      <c r="T78" s="866"/>
      <c r="U78" s="866"/>
      <c r="V78" s="866"/>
      <c r="W78" s="866"/>
      <c r="X78" s="866"/>
      <c r="Y78" s="866"/>
      <c r="Z78" s="866"/>
      <c r="AA78" s="866"/>
      <c r="AB78" s="866"/>
      <c r="AC78" s="866"/>
      <c r="AD78" s="866"/>
      <c r="AE78" s="866"/>
      <c r="AF78" s="866"/>
      <c r="AG78" s="866"/>
      <c r="AH78" s="866"/>
      <c r="AI78" s="866"/>
      <c r="AJ78" s="866"/>
      <c r="AK78" s="866"/>
      <c r="AL78" s="866"/>
      <c r="AM78" s="866"/>
      <c r="AN78" s="866"/>
      <c r="AO78" s="866"/>
      <c r="AP78" s="866"/>
      <c r="AQ78" s="866"/>
      <c r="AR78" s="866"/>
      <c r="AS78" s="866"/>
      <c r="AT78" s="866"/>
      <c r="AU78" s="866"/>
      <c r="AV78" s="866"/>
    </row>
    <row r="79" spans="1:52" ht="9" hidden="1" thickBot="1">
      <c r="A79" s="879"/>
      <c r="B79" s="879"/>
      <c r="C79" s="879"/>
      <c r="D79" s="879"/>
      <c r="E79" s="879"/>
      <c r="F79" s="879"/>
      <c r="G79" s="879"/>
      <c r="H79" s="879"/>
      <c r="I79" s="879"/>
      <c r="J79" s="880"/>
      <c r="K79" s="866"/>
      <c r="L79" s="866"/>
      <c r="M79" s="866"/>
      <c r="N79" s="866"/>
      <c r="O79" s="866"/>
      <c r="P79" s="866"/>
      <c r="Q79" s="866"/>
      <c r="R79" s="866"/>
      <c r="S79" s="866"/>
      <c r="T79" s="866"/>
      <c r="U79" s="866"/>
      <c r="V79" s="866"/>
      <c r="W79" s="866"/>
      <c r="X79" s="866"/>
      <c r="Y79" s="866"/>
      <c r="Z79" s="866"/>
      <c r="AA79" s="866"/>
      <c r="AB79" s="866"/>
      <c r="AC79" s="866"/>
      <c r="AD79" s="866"/>
      <c r="AE79" s="866"/>
      <c r="AF79" s="866"/>
      <c r="AG79" s="866"/>
      <c r="AH79" s="866"/>
      <c r="AI79" s="866"/>
      <c r="AJ79" s="866"/>
      <c r="AK79" s="866"/>
      <c r="AL79" s="866"/>
      <c r="AM79" s="866"/>
      <c r="AN79" s="866"/>
      <c r="AO79" s="866"/>
      <c r="AP79" s="866"/>
      <c r="AQ79" s="866"/>
      <c r="AR79" s="866"/>
      <c r="AS79" s="866"/>
      <c r="AT79" s="866"/>
      <c r="AU79" s="866"/>
      <c r="AV79" s="866"/>
    </row>
    <row r="80" spans="1:52" ht="9" hidden="1" thickBot="1">
      <c r="A80" s="881"/>
      <c r="B80" s="879"/>
      <c r="C80" s="879"/>
      <c r="D80" s="879"/>
      <c r="E80" s="879"/>
      <c r="F80" s="879"/>
      <c r="G80" s="879"/>
      <c r="H80" s="879"/>
      <c r="I80" s="879"/>
      <c r="J80" s="880"/>
      <c r="K80" s="866"/>
      <c r="L80" s="866"/>
      <c r="M80" s="866"/>
      <c r="N80" s="866"/>
      <c r="O80" s="866"/>
      <c r="P80" s="866"/>
      <c r="Q80" s="866"/>
      <c r="R80" s="866"/>
      <c r="S80" s="866"/>
      <c r="T80" s="866"/>
      <c r="U80" s="866"/>
      <c r="V80" s="866"/>
      <c r="W80" s="866"/>
      <c r="X80" s="866"/>
      <c r="Y80" s="866"/>
      <c r="Z80" s="866"/>
      <c r="AA80" s="866"/>
      <c r="AB80" s="866"/>
      <c r="AC80" s="866"/>
      <c r="AD80" s="866"/>
      <c r="AE80" s="866"/>
      <c r="AF80" s="866"/>
      <c r="AG80" s="866"/>
      <c r="AH80" s="866"/>
      <c r="AI80" s="866"/>
      <c r="AJ80" s="866"/>
      <c r="AK80" s="866"/>
      <c r="AL80" s="866"/>
      <c r="AM80" s="866"/>
      <c r="AN80" s="866"/>
      <c r="AO80" s="866"/>
      <c r="AP80" s="866"/>
      <c r="AQ80" s="866"/>
      <c r="AR80" s="866"/>
      <c r="AS80" s="866"/>
      <c r="AT80" s="866"/>
      <c r="AU80" s="866"/>
      <c r="AV80" s="866"/>
    </row>
    <row r="81" spans="1:48" ht="9" hidden="1" thickBot="1">
      <c r="A81" s="881"/>
      <c r="B81" s="879"/>
      <c r="C81" s="879"/>
      <c r="D81" s="879"/>
      <c r="E81" s="879"/>
      <c r="F81" s="879"/>
      <c r="G81" s="879"/>
      <c r="H81" s="879"/>
      <c r="I81" s="879"/>
      <c r="J81" s="880"/>
      <c r="K81" s="866"/>
      <c r="L81" s="866"/>
      <c r="M81" s="866"/>
      <c r="N81" s="866"/>
      <c r="O81" s="866"/>
      <c r="P81" s="866"/>
      <c r="Q81" s="866"/>
      <c r="R81" s="866"/>
      <c r="S81" s="866"/>
      <c r="T81" s="866"/>
      <c r="U81" s="866"/>
      <c r="V81" s="866"/>
      <c r="W81" s="866"/>
      <c r="X81" s="866"/>
      <c r="Y81" s="866"/>
      <c r="Z81" s="866"/>
      <c r="AA81" s="866"/>
      <c r="AB81" s="866"/>
      <c r="AC81" s="866"/>
      <c r="AD81" s="866"/>
      <c r="AE81" s="866"/>
      <c r="AF81" s="866"/>
      <c r="AG81" s="866"/>
      <c r="AH81" s="866"/>
      <c r="AI81" s="866"/>
      <c r="AJ81" s="866"/>
      <c r="AK81" s="866"/>
      <c r="AL81" s="866"/>
      <c r="AM81" s="866"/>
      <c r="AN81" s="866"/>
      <c r="AO81" s="866"/>
      <c r="AP81" s="866"/>
      <c r="AQ81" s="866"/>
      <c r="AR81" s="866"/>
      <c r="AS81" s="866"/>
      <c r="AT81" s="866"/>
      <c r="AU81" s="866"/>
      <c r="AV81" s="866"/>
    </row>
    <row r="82" spans="1:48" ht="9" hidden="1" thickBot="1">
      <c r="A82" s="881"/>
      <c r="B82" s="879"/>
      <c r="C82" s="879"/>
      <c r="D82" s="879"/>
      <c r="E82" s="879"/>
      <c r="F82" s="879"/>
      <c r="G82" s="879"/>
      <c r="H82" s="879"/>
      <c r="I82" s="879"/>
      <c r="J82" s="880"/>
      <c r="K82" s="866"/>
      <c r="L82" s="866"/>
      <c r="M82" s="866"/>
      <c r="N82" s="866"/>
      <c r="O82" s="866"/>
      <c r="P82" s="866"/>
      <c r="Q82" s="866"/>
      <c r="R82" s="866"/>
      <c r="S82" s="866"/>
      <c r="T82" s="866"/>
      <c r="U82" s="866"/>
      <c r="V82" s="866"/>
      <c r="W82" s="866"/>
      <c r="X82" s="866"/>
      <c r="Y82" s="866"/>
      <c r="Z82" s="866"/>
      <c r="AA82" s="866"/>
      <c r="AB82" s="866"/>
      <c r="AC82" s="866"/>
      <c r="AD82" s="866"/>
      <c r="AE82" s="866"/>
      <c r="AF82" s="866"/>
      <c r="AG82" s="866"/>
      <c r="AH82" s="866"/>
      <c r="AI82" s="866"/>
      <c r="AJ82" s="866"/>
      <c r="AK82" s="866"/>
      <c r="AL82" s="866"/>
      <c r="AM82" s="866"/>
      <c r="AN82" s="866"/>
      <c r="AO82" s="866"/>
      <c r="AP82" s="866"/>
      <c r="AQ82" s="866"/>
      <c r="AR82" s="866"/>
      <c r="AS82" s="866"/>
      <c r="AT82" s="866"/>
      <c r="AU82" s="866"/>
      <c r="AV82" s="866"/>
    </row>
    <row r="83" spans="1:48" ht="9" hidden="1" thickBot="1">
      <c r="A83" s="881"/>
      <c r="B83" s="879"/>
      <c r="C83" s="879"/>
      <c r="D83" s="879"/>
      <c r="E83" s="879"/>
      <c r="F83" s="879"/>
      <c r="G83" s="879"/>
      <c r="H83" s="879"/>
      <c r="I83" s="879"/>
      <c r="J83" s="880"/>
      <c r="K83" s="866"/>
      <c r="L83" s="866"/>
      <c r="M83" s="866"/>
      <c r="N83" s="866"/>
      <c r="O83" s="866"/>
      <c r="P83" s="866"/>
      <c r="Q83" s="866"/>
      <c r="R83" s="866"/>
      <c r="S83" s="866"/>
      <c r="T83" s="866"/>
      <c r="U83" s="866"/>
      <c r="V83" s="866"/>
      <c r="W83" s="866"/>
      <c r="X83" s="866"/>
      <c r="Y83" s="866"/>
      <c r="Z83" s="866"/>
      <c r="AA83" s="866"/>
      <c r="AB83" s="866"/>
      <c r="AC83" s="866"/>
      <c r="AD83" s="866"/>
      <c r="AE83" s="866"/>
      <c r="AF83" s="866"/>
      <c r="AG83" s="866"/>
      <c r="AH83" s="866"/>
      <c r="AI83" s="866"/>
      <c r="AJ83" s="866"/>
      <c r="AK83" s="866"/>
      <c r="AL83" s="866"/>
      <c r="AM83" s="866"/>
      <c r="AN83" s="866"/>
      <c r="AO83" s="866"/>
      <c r="AP83" s="866"/>
      <c r="AQ83" s="866"/>
      <c r="AR83" s="866"/>
      <c r="AS83" s="866"/>
      <c r="AT83" s="866"/>
      <c r="AU83" s="866"/>
      <c r="AV83" s="866"/>
    </row>
    <row r="84" spans="1:48" ht="9" hidden="1" thickBot="1">
      <c r="A84" s="881"/>
      <c r="B84" s="879"/>
      <c r="C84" s="879"/>
      <c r="D84" s="879"/>
      <c r="E84" s="879"/>
      <c r="F84" s="879"/>
      <c r="G84" s="879"/>
      <c r="H84" s="879"/>
      <c r="I84" s="879"/>
      <c r="J84" s="880"/>
      <c r="K84" s="866"/>
      <c r="L84" s="866"/>
      <c r="M84" s="866"/>
      <c r="N84" s="866"/>
      <c r="O84" s="866"/>
      <c r="P84" s="866"/>
      <c r="Q84" s="866"/>
      <c r="R84" s="866"/>
      <c r="S84" s="866"/>
      <c r="T84" s="866"/>
      <c r="U84" s="866"/>
      <c r="V84" s="866"/>
      <c r="W84" s="866"/>
      <c r="X84" s="866"/>
      <c r="Y84" s="866"/>
      <c r="Z84" s="866"/>
      <c r="AA84" s="866"/>
      <c r="AB84" s="866"/>
      <c r="AC84" s="866"/>
      <c r="AD84" s="866"/>
      <c r="AE84" s="866"/>
      <c r="AF84" s="866"/>
      <c r="AG84" s="866"/>
      <c r="AH84" s="866"/>
      <c r="AI84" s="866"/>
      <c r="AJ84" s="866"/>
      <c r="AK84" s="866"/>
      <c r="AL84" s="866"/>
      <c r="AM84" s="866"/>
      <c r="AN84" s="866"/>
      <c r="AO84" s="866"/>
      <c r="AP84" s="866"/>
      <c r="AQ84" s="866"/>
      <c r="AR84" s="866"/>
      <c r="AS84" s="866"/>
      <c r="AT84" s="866"/>
      <c r="AU84" s="866"/>
      <c r="AV84" s="866"/>
    </row>
    <row r="85" spans="1:48" ht="9" hidden="1" thickBot="1">
      <c r="A85" s="881"/>
      <c r="B85" s="879"/>
      <c r="C85" s="879"/>
      <c r="D85" s="879"/>
      <c r="E85" s="879"/>
      <c r="F85" s="879"/>
      <c r="G85" s="879"/>
      <c r="H85" s="879"/>
      <c r="I85" s="879"/>
      <c r="J85" s="880"/>
      <c r="K85" s="866"/>
      <c r="L85" s="866"/>
      <c r="M85" s="866"/>
      <c r="N85" s="866"/>
      <c r="O85" s="866"/>
      <c r="P85" s="866"/>
      <c r="Q85" s="866"/>
      <c r="R85" s="866"/>
      <c r="S85" s="866"/>
      <c r="T85" s="866"/>
      <c r="U85" s="866"/>
      <c r="V85" s="866"/>
      <c r="W85" s="866"/>
      <c r="X85" s="866"/>
      <c r="Y85" s="866"/>
      <c r="Z85" s="866"/>
      <c r="AA85" s="866"/>
      <c r="AB85" s="866"/>
      <c r="AC85" s="866"/>
      <c r="AD85" s="866"/>
      <c r="AE85" s="866"/>
      <c r="AF85" s="866"/>
      <c r="AG85" s="866"/>
      <c r="AH85" s="866"/>
      <c r="AI85" s="866"/>
      <c r="AJ85" s="866"/>
      <c r="AK85" s="866"/>
      <c r="AL85" s="866"/>
      <c r="AM85" s="866"/>
      <c r="AN85" s="866"/>
      <c r="AO85" s="866"/>
      <c r="AP85" s="866"/>
      <c r="AQ85" s="866"/>
      <c r="AR85" s="866"/>
      <c r="AS85" s="866"/>
      <c r="AT85" s="866"/>
      <c r="AU85" s="866"/>
      <c r="AV85" s="866"/>
    </row>
    <row r="86" spans="1:48" ht="9" hidden="1" thickBot="1">
      <c r="A86" s="881"/>
      <c r="B86" s="879"/>
      <c r="C86" s="879"/>
      <c r="D86" s="879"/>
      <c r="E86" s="879"/>
      <c r="F86" s="879"/>
      <c r="G86" s="879"/>
      <c r="H86" s="879"/>
      <c r="I86" s="879"/>
      <c r="J86" s="880"/>
      <c r="K86" s="866"/>
      <c r="L86" s="866"/>
      <c r="M86" s="866"/>
      <c r="N86" s="866"/>
      <c r="O86" s="866"/>
      <c r="P86" s="866"/>
      <c r="Q86" s="866"/>
      <c r="R86" s="866"/>
      <c r="S86" s="866"/>
      <c r="T86" s="866"/>
      <c r="U86" s="866"/>
      <c r="V86" s="866"/>
      <c r="W86" s="866"/>
      <c r="X86" s="866"/>
      <c r="Y86" s="866"/>
      <c r="Z86" s="866"/>
      <c r="AA86" s="866"/>
      <c r="AB86" s="866"/>
      <c r="AC86" s="866"/>
      <c r="AD86" s="866"/>
      <c r="AE86" s="866"/>
      <c r="AF86" s="866"/>
      <c r="AG86" s="866"/>
      <c r="AH86" s="866"/>
      <c r="AI86" s="866"/>
      <c r="AJ86" s="866"/>
      <c r="AK86" s="866"/>
      <c r="AL86" s="866"/>
      <c r="AM86" s="866"/>
      <c r="AN86" s="866"/>
      <c r="AO86" s="866"/>
      <c r="AP86" s="866"/>
      <c r="AQ86" s="866"/>
      <c r="AR86" s="866"/>
      <c r="AS86" s="866"/>
      <c r="AT86" s="866"/>
      <c r="AU86" s="866"/>
      <c r="AV86" s="866"/>
    </row>
    <row r="87" spans="1:48" ht="9" hidden="1" thickBot="1">
      <c r="A87" s="881"/>
      <c r="B87" s="879"/>
      <c r="C87" s="879"/>
      <c r="D87" s="879"/>
      <c r="E87" s="879"/>
      <c r="F87" s="879"/>
      <c r="G87" s="879"/>
      <c r="H87" s="879"/>
      <c r="I87" s="879"/>
      <c r="J87" s="880"/>
      <c r="K87" s="866"/>
      <c r="L87" s="866"/>
      <c r="M87" s="866"/>
      <c r="N87" s="866"/>
      <c r="O87" s="866"/>
      <c r="P87" s="866"/>
      <c r="Q87" s="866"/>
      <c r="R87" s="866"/>
      <c r="S87" s="866"/>
      <c r="T87" s="866"/>
      <c r="U87" s="866"/>
      <c r="V87" s="866"/>
      <c r="W87" s="866"/>
      <c r="X87" s="866"/>
      <c r="Y87" s="866"/>
      <c r="Z87" s="866"/>
      <c r="AA87" s="866"/>
      <c r="AB87" s="866"/>
      <c r="AC87" s="866"/>
      <c r="AD87" s="866"/>
      <c r="AE87" s="866"/>
      <c r="AF87" s="866"/>
      <c r="AG87" s="866"/>
      <c r="AH87" s="866"/>
      <c r="AI87" s="866"/>
      <c r="AJ87" s="866"/>
      <c r="AK87" s="866"/>
      <c r="AL87" s="866"/>
      <c r="AM87" s="866"/>
      <c r="AN87" s="866"/>
      <c r="AO87" s="866"/>
      <c r="AP87" s="866"/>
      <c r="AQ87" s="866"/>
      <c r="AR87" s="866"/>
      <c r="AS87" s="866"/>
      <c r="AT87" s="866"/>
      <c r="AU87" s="866"/>
      <c r="AV87" s="866"/>
    </row>
    <row r="88" spans="1:48" ht="9" hidden="1" thickBot="1">
      <c r="A88" s="881"/>
      <c r="B88" s="879"/>
      <c r="C88" s="879"/>
      <c r="D88" s="879"/>
      <c r="E88" s="879"/>
      <c r="F88" s="879"/>
      <c r="G88" s="879"/>
      <c r="H88" s="879"/>
      <c r="I88" s="879"/>
      <c r="J88" s="880"/>
      <c r="K88" s="866"/>
      <c r="L88" s="866"/>
      <c r="M88" s="866"/>
      <c r="N88" s="866"/>
      <c r="O88" s="866"/>
      <c r="P88" s="866"/>
      <c r="Q88" s="866"/>
      <c r="R88" s="866"/>
      <c r="S88" s="866"/>
      <c r="T88" s="866"/>
      <c r="U88" s="866"/>
      <c r="V88" s="866"/>
      <c r="W88" s="866"/>
      <c r="X88" s="866"/>
      <c r="Y88" s="866"/>
      <c r="Z88" s="866"/>
      <c r="AA88" s="866"/>
      <c r="AB88" s="866"/>
      <c r="AC88" s="866"/>
      <c r="AD88" s="866"/>
      <c r="AE88" s="866"/>
      <c r="AF88" s="866"/>
      <c r="AG88" s="866"/>
      <c r="AH88" s="866"/>
      <c r="AI88" s="866"/>
      <c r="AJ88" s="866"/>
      <c r="AK88" s="866"/>
      <c r="AL88" s="866"/>
      <c r="AM88" s="866"/>
      <c r="AN88" s="866"/>
      <c r="AO88" s="866"/>
      <c r="AP88" s="866"/>
      <c r="AQ88" s="866"/>
      <c r="AR88" s="866"/>
      <c r="AS88" s="866"/>
      <c r="AT88" s="866"/>
      <c r="AU88" s="866"/>
      <c r="AV88" s="866"/>
    </row>
    <row r="89" spans="1:48" ht="9" hidden="1" thickBot="1">
      <c r="A89" s="881"/>
      <c r="B89" s="879"/>
      <c r="C89" s="879"/>
      <c r="D89" s="879"/>
      <c r="E89" s="879"/>
      <c r="F89" s="879"/>
      <c r="G89" s="879"/>
      <c r="H89" s="879"/>
      <c r="I89" s="879"/>
      <c r="J89" s="880"/>
      <c r="K89" s="866"/>
      <c r="L89" s="866"/>
      <c r="M89" s="866"/>
      <c r="N89" s="866"/>
      <c r="O89" s="866"/>
      <c r="P89" s="866"/>
      <c r="Q89" s="866"/>
      <c r="R89" s="866"/>
      <c r="S89" s="866"/>
      <c r="T89" s="866"/>
      <c r="U89" s="866"/>
      <c r="V89" s="866"/>
      <c r="W89" s="866"/>
      <c r="X89" s="866"/>
      <c r="Y89" s="866"/>
      <c r="Z89" s="866"/>
      <c r="AA89" s="866"/>
      <c r="AB89" s="866"/>
      <c r="AC89" s="866"/>
      <c r="AD89" s="866"/>
      <c r="AE89" s="866"/>
      <c r="AF89" s="866"/>
      <c r="AG89" s="866"/>
      <c r="AH89" s="866"/>
      <c r="AI89" s="866"/>
      <c r="AJ89" s="866"/>
      <c r="AK89" s="866"/>
      <c r="AL89" s="866"/>
      <c r="AM89" s="866"/>
      <c r="AN89" s="866"/>
      <c r="AO89" s="866"/>
      <c r="AP89" s="866"/>
      <c r="AQ89" s="866"/>
      <c r="AR89" s="866"/>
      <c r="AS89" s="866"/>
      <c r="AT89" s="866"/>
      <c r="AU89" s="866"/>
      <c r="AV89" s="866"/>
    </row>
    <row r="90" spans="1:48" ht="9" hidden="1" thickBot="1">
      <c r="A90" s="881"/>
      <c r="B90" s="879"/>
      <c r="C90" s="879"/>
      <c r="D90" s="879"/>
      <c r="E90" s="879"/>
      <c r="F90" s="879"/>
      <c r="G90" s="879"/>
      <c r="H90" s="879"/>
      <c r="I90" s="879"/>
      <c r="J90" s="880"/>
      <c r="K90" s="866"/>
      <c r="L90" s="866"/>
      <c r="M90" s="866"/>
      <c r="N90" s="866"/>
      <c r="O90" s="866"/>
      <c r="P90" s="866"/>
      <c r="Q90" s="866"/>
      <c r="R90" s="866"/>
      <c r="S90" s="866"/>
      <c r="T90" s="866"/>
      <c r="U90" s="866"/>
      <c r="V90" s="866"/>
      <c r="W90" s="866"/>
      <c r="X90" s="866"/>
      <c r="Y90" s="866"/>
      <c r="Z90" s="866"/>
      <c r="AA90" s="866"/>
      <c r="AB90" s="866"/>
      <c r="AC90" s="866"/>
      <c r="AD90" s="866"/>
      <c r="AE90" s="866"/>
      <c r="AF90" s="866"/>
      <c r="AG90" s="866"/>
      <c r="AH90" s="866"/>
      <c r="AI90" s="866"/>
      <c r="AJ90" s="866"/>
      <c r="AK90" s="866"/>
      <c r="AL90" s="866"/>
      <c r="AM90" s="866"/>
      <c r="AN90" s="866"/>
      <c r="AO90" s="866"/>
      <c r="AP90" s="866"/>
      <c r="AQ90" s="866"/>
      <c r="AR90" s="866"/>
      <c r="AS90" s="866"/>
      <c r="AT90" s="866"/>
      <c r="AU90" s="866"/>
      <c r="AV90" s="866"/>
    </row>
    <row r="91" spans="1:48" ht="9" hidden="1" thickBot="1">
      <c r="A91" s="881"/>
      <c r="B91" s="879"/>
      <c r="C91" s="879"/>
      <c r="D91" s="879"/>
      <c r="E91" s="879"/>
      <c r="F91" s="879"/>
      <c r="G91" s="879"/>
      <c r="H91" s="879"/>
      <c r="I91" s="879"/>
      <c r="J91" s="880"/>
      <c r="K91" s="866"/>
      <c r="L91" s="866"/>
      <c r="M91" s="866"/>
      <c r="N91" s="866"/>
      <c r="O91" s="866"/>
      <c r="P91" s="866"/>
      <c r="Q91" s="866"/>
      <c r="R91" s="866"/>
      <c r="S91" s="866"/>
      <c r="T91" s="866"/>
      <c r="U91" s="866"/>
      <c r="V91" s="866"/>
      <c r="W91" s="866"/>
      <c r="X91" s="866"/>
      <c r="Y91" s="866"/>
      <c r="Z91" s="866"/>
      <c r="AA91" s="866"/>
      <c r="AB91" s="866"/>
      <c r="AC91" s="866"/>
      <c r="AD91" s="866"/>
      <c r="AE91" s="866"/>
      <c r="AF91" s="866"/>
      <c r="AG91" s="866"/>
      <c r="AH91" s="866"/>
      <c r="AI91" s="866"/>
      <c r="AJ91" s="866"/>
      <c r="AK91" s="866"/>
      <c r="AL91" s="866"/>
      <c r="AM91" s="866"/>
      <c r="AN91" s="866"/>
      <c r="AO91" s="866"/>
      <c r="AP91" s="866"/>
      <c r="AQ91" s="866"/>
      <c r="AR91" s="866"/>
      <c r="AS91" s="866"/>
      <c r="AT91" s="866"/>
      <c r="AU91" s="866"/>
      <c r="AV91" s="866"/>
    </row>
    <row r="92" spans="1:48" ht="9" hidden="1" thickBot="1">
      <c r="A92" s="881"/>
      <c r="B92" s="879"/>
      <c r="C92" s="879"/>
      <c r="D92" s="879"/>
      <c r="E92" s="879"/>
      <c r="F92" s="879"/>
      <c r="G92" s="879"/>
      <c r="H92" s="879"/>
      <c r="I92" s="879"/>
      <c r="J92" s="880"/>
      <c r="K92" s="866"/>
      <c r="L92" s="866"/>
      <c r="M92" s="866"/>
      <c r="N92" s="866"/>
      <c r="O92" s="866"/>
      <c r="P92" s="866"/>
      <c r="Q92" s="866"/>
      <c r="R92" s="866"/>
      <c r="S92" s="866"/>
      <c r="T92" s="866"/>
      <c r="U92" s="866"/>
      <c r="V92" s="866"/>
      <c r="W92" s="866"/>
      <c r="X92" s="866"/>
      <c r="Y92" s="866"/>
      <c r="Z92" s="866"/>
      <c r="AA92" s="866"/>
      <c r="AB92" s="866"/>
      <c r="AC92" s="866"/>
      <c r="AD92" s="866"/>
      <c r="AE92" s="866"/>
      <c r="AF92" s="866"/>
      <c r="AG92" s="866"/>
      <c r="AH92" s="866"/>
      <c r="AI92" s="866"/>
      <c r="AJ92" s="866"/>
      <c r="AK92" s="866"/>
      <c r="AL92" s="866"/>
      <c r="AM92" s="866"/>
      <c r="AN92" s="866"/>
      <c r="AO92" s="866"/>
      <c r="AP92" s="866"/>
      <c r="AQ92" s="866"/>
      <c r="AR92" s="866"/>
      <c r="AS92" s="866"/>
      <c r="AT92" s="866"/>
      <c r="AU92" s="866"/>
      <c r="AV92" s="866"/>
    </row>
    <row r="93" spans="1:48" ht="9" hidden="1" thickBot="1">
      <c r="A93" s="881"/>
      <c r="B93" s="879"/>
      <c r="C93" s="879"/>
      <c r="D93" s="879"/>
      <c r="E93" s="879"/>
      <c r="F93" s="879"/>
      <c r="G93" s="879"/>
      <c r="H93" s="879"/>
      <c r="I93" s="879"/>
      <c r="J93" s="880"/>
      <c r="K93" s="866"/>
      <c r="L93" s="866"/>
      <c r="M93" s="866"/>
      <c r="N93" s="866"/>
      <c r="O93" s="866"/>
      <c r="P93" s="866"/>
      <c r="Q93" s="866"/>
      <c r="R93" s="866"/>
      <c r="S93" s="866"/>
      <c r="T93" s="866"/>
      <c r="U93" s="866"/>
      <c r="V93" s="866"/>
      <c r="W93" s="866"/>
      <c r="X93" s="866"/>
      <c r="Y93" s="866"/>
      <c r="Z93" s="866"/>
      <c r="AA93" s="866"/>
      <c r="AB93" s="866"/>
      <c r="AC93" s="866"/>
      <c r="AD93" s="866"/>
      <c r="AE93" s="866"/>
      <c r="AF93" s="866"/>
      <c r="AG93" s="866"/>
      <c r="AH93" s="866"/>
      <c r="AI93" s="866"/>
      <c r="AJ93" s="866"/>
      <c r="AK93" s="866"/>
      <c r="AL93" s="866"/>
      <c r="AM93" s="866"/>
      <c r="AN93" s="866"/>
      <c r="AO93" s="866"/>
      <c r="AP93" s="866"/>
      <c r="AQ93" s="866"/>
      <c r="AR93" s="866"/>
      <c r="AS93" s="866"/>
      <c r="AT93" s="866"/>
      <c r="AU93" s="866"/>
      <c r="AV93" s="866"/>
    </row>
    <row r="94" spans="1:48" ht="9" hidden="1" thickBot="1">
      <c r="A94" s="881"/>
      <c r="B94" s="879"/>
      <c r="C94" s="879"/>
      <c r="D94" s="879"/>
      <c r="E94" s="879"/>
      <c r="F94" s="879"/>
      <c r="G94" s="879"/>
      <c r="H94" s="879"/>
      <c r="I94" s="879"/>
      <c r="J94" s="880"/>
      <c r="K94" s="866"/>
      <c r="L94" s="866"/>
      <c r="M94" s="866"/>
      <c r="N94" s="866"/>
      <c r="O94" s="866"/>
      <c r="P94" s="866"/>
      <c r="Q94" s="866"/>
      <c r="R94" s="866"/>
      <c r="S94" s="866"/>
      <c r="T94" s="866"/>
      <c r="U94" s="866"/>
      <c r="V94" s="866"/>
      <c r="W94" s="866"/>
      <c r="X94" s="866"/>
      <c r="Y94" s="866"/>
      <c r="Z94" s="866"/>
      <c r="AA94" s="866"/>
      <c r="AB94" s="866"/>
      <c r="AC94" s="866"/>
      <c r="AD94" s="866"/>
      <c r="AE94" s="866"/>
      <c r="AF94" s="866"/>
      <c r="AG94" s="866"/>
      <c r="AH94" s="866"/>
      <c r="AI94" s="866"/>
      <c r="AJ94" s="866"/>
      <c r="AK94" s="866"/>
      <c r="AL94" s="866"/>
      <c r="AM94" s="866"/>
      <c r="AN94" s="866"/>
      <c r="AO94" s="866"/>
      <c r="AP94" s="866"/>
      <c r="AQ94" s="866"/>
      <c r="AR94" s="866"/>
      <c r="AS94" s="866"/>
      <c r="AT94" s="866"/>
      <c r="AU94" s="866"/>
      <c r="AV94" s="866"/>
    </row>
    <row r="95" spans="1:48" ht="9" hidden="1" thickBot="1">
      <c r="A95" s="881"/>
      <c r="B95" s="879"/>
      <c r="C95" s="879"/>
      <c r="D95" s="879"/>
      <c r="E95" s="879"/>
      <c r="F95" s="879"/>
      <c r="G95" s="879"/>
      <c r="H95" s="879"/>
      <c r="I95" s="879"/>
      <c r="J95" s="880"/>
      <c r="K95" s="866"/>
      <c r="L95" s="866"/>
      <c r="M95" s="866"/>
      <c r="N95" s="866"/>
      <c r="O95" s="866"/>
      <c r="P95" s="866"/>
      <c r="Q95" s="866"/>
      <c r="R95" s="866"/>
      <c r="S95" s="866"/>
      <c r="T95" s="866"/>
      <c r="U95" s="866"/>
      <c r="V95" s="866"/>
      <c r="W95" s="866"/>
      <c r="X95" s="866"/>
      <c r="Y95" s="866"/>
      <c r="Z95" s="866"/>
      <c r="AA95" s="866"/>
      <c r="AB95" s="866"/>
      <c r="AC95" s="866"/>
      <c r="AD95" s="866"/>
      <c r="AE95" s="866"/>
      <c r="AF95" s="866"/>
      <c r="AG95" s="866"/>
      <c r="AH95" s="866"/>
      <c r="AI95" s="866"/>
      <c r="AJ95" s="866"/>
      <c r="AK95" s="866"/>
      <c r="AL95" s="866"/>
      <c r="AM95" s="866"/>
      <c r="AN95" s="866"/>
      <c r="AO95" s="866"/>
      <c r="AP95" s="866"/>
      <c r="AQ95" s="866"/>
      <c r="AR95" s="866"/>
      <c r="AS95" s="866"/>
      <c r="AT95" s="866"/>
      <c r="AU95" s="866"/>
      <c r="AV95" s="866"/>
    </row>
    <row r="96" spans="1:48" ht="9" hidden="1" thickBot="1">
      <c r="A96" s="881"/>
      <c r="B96" s="879"/>
      <c r="C96" s="879"/>
      <c r="D96" s="879"/>
      <c r="E96" s="879"/>
      <c r="F96" s="879"/>
      <c r="G96" s="879"/>
      <c r="H96" s="879"/>
      <c r="I96" s="879"/>
      <c r="J96" s="880"/>
      <c r="K96" s="866"/>
      <c r="L96" s="866"/>
      <c r="M96" s="866"/>
      <c r="N96" s="866"/>
      <c r="O96" s="866"/>
      <c r="P96" s="866"/>
      <c r="Q96" s="866"/>
      <c r="R96" s="866"/>
      <c r="S96" s="866"/>
      <c r="T96" s="866"/>
      <c r="U96" s="866"/>
      <c r="V96" s="866"/>
      <c r="W96" s="866"/>
      <c r="X96" s="866"/>
      <c r="Y96" s="866"/>
      <c r="Z96" s="866"/>
      <c r="AA96" s="866"/>
      <c r="AB96" s="866"/>
      <c r="AC96" s="866"/>
      <c r="AD96" s="866"/>
      <c r="AE96" s="866"/>
      <c r="AF96" s="866"/>
      <c r="AG96" s="866"/>
      <c r="AH96" s="866"/>
      <c r="AI96" s="866"/>
      <c r="AJ96" s="866"/>
      <c r="AK96" s="866"/>
      <c r="AL96" s="866"/>
      <c r="AM96" s="866"/>
      <c r="AN96" s="866"/>
      <c r="AO96" s="866"/>
      <c r="AP96" s="866"/>
      <c r="AQ96" s="866"/>
      <c r="AR96" s="866"/>
      <c r="AS96" s="866"/>
      <c r="AT96" s="866"/>
      <c r="AU96" s="866"/>
      <c r="AV96" s="866"/>
    </row>
    <row r="97" spans="1:48" ht="9" hidden="1" thickBot="1">
      <c r="A97" s="881"/>
      <c r="B97" s="879"/>
      <c r="C97" s="879"/>
      <c r="D97" s="879"/>
      <c r="E97" s="879"/>
      <c r="F97" s="879"/>
      <c r="G97" s="879"/>
      <c r="H97" s="879"/>
      <c r="I97" s="879"/>
      <c r="J97" s="880"/>
      <c r="K97" s="866"/>
      <c r="L97" s="866"/>
      <c r="M97" s="866"/>
      <c r="N97" s="866"/>
      <c r="O97" s="866"/>
      <c r="P97" s="866"/>
      <c r="Q97" s="866"/>
      <c r="R97" s="866"/>
      <c r="S97" s="866"/>
      <c r="T97" s="866"/>
      <c r="U97" s="866"/>
      <c r="V97" s="866"/>
      <c r="W97" s="866"/>
      <c r="X97" s="866"/>
      <c r="Y97" s="866"/>
      <c r="Z97" s="866"/>
      <c r="AA97" s="866"/>
      <c r="AB97" s="866"/>
      <c r="AC97" s="866"/>
      <c r="AD97" s="866"/>
      <c r="AE97" s="866"/>
      <c r="AF97" s="866"/>
      <c r="AG97" s="866"/>
      <c r="AH97" s="866"/>
      <c r="AI97" s="866"/>
      <c r="AJ97" s="866"/>
      <c r="AK97" s="866"/>
      <c r="AL97" s="866"/>
      <c r="AM97" s="866"/>
      <c r="AN97" s="866"/>
      <c r="AO97" s="866"/>
      <c r="AP97" s="866"/>
      <c r="AQ97" s="866"/>
      <c r="AR97" s="866"/>
      <c r="AS97" s="866"/>
      <c r="AT97" s="866"/>
      <c r="AU97" s="866"/>
      <c r="AV97" s="866"/>
    </row>
    <row r="98" spans="1:48" ht="9" hidden="1" thickBot="1">
      <c r="A98" s="881"/>
      <c r="B98" s="879"/>
      <c r="C98" s="879"/>
      <c r="D98" s="879"/>
      <c r="E98" s="879"/>
      <c r="F98" s="879"/>
      <c r="G98" s="879"/>
      <c r="H98" s="879"/>
      <c r="I98" s="879"/>
      <c r="J98" s="880"/>
      <c r="K98" s="866"/>
      <c r="L98" s="866"/>
      <c r="M98" s="866"/>
      <c r="N98" s="866"/>
      <c r="O98" s="866"/>
      <c r="P98" s="866"/>
      <c r="Q98" s="866"/>
      <c r="R98" s="866"/>
      <c r="S98" s="866"/>
      <c r="T98" s="866"/>
      <c r="U98" s="866"/>
      <c r="V98" s="866"/>
      <c r="W98" s="866"/>
      <c r="X98" s="866"/>
      <c r="Y98" s="866"/>
      <c r="Z98" s="866"/>
      <c r="AA98" s="866"/>
      <c r="AB98" s="866"/>
      <c r="AC98" s="866"/>
      <c r="AD98" s="866"/>
      <c r="AE98" s="866"/>
      <c r="AF98" s="866"/>
      <c r="AG98" s="866"/>
      <c r="AH98" s="866"/>
      <c r="AI98" s="866"/>
      <c r="AJ98" s="866"/>
      <c r="AK98" s="866"/>
      <c r="AL98" s="866"/>
      <c r="AM98" s="866"/>
      <c r="AN98" s="866"/>
      <c r="AO98" s="866"/>
      <c r="AP98" s="866"/>
      <c r="AQ98" s="866"/>
      <c r="AR98" s="866"/>
      <c r="AS98" s="866"/>
      <c r="AT98" s="866"/>
      <c r="AU98" s="866"/>
      <c r="AV98" s="866"/>
    </row>
    <row r="99" spans="1:48" ht="9" hidden="1" thickBot="1">
      <c r="A99" s="881"/>
      <c r="B99" s="879"/>
      <c r="C99" s="879"/>
      <c r="D99" s="879"/>
      <c r="E99" s="879"/>
      <c r="F99" s="879"/>
      <c r="G99" s="879"/>
      <c r="H99" s="879"/>
      <c r="I99" s="879"/>
      <c r="J99" s="880"/>
      <c r="K99" s="866"/>
      <c r="L99" s="866"/>
      <c r="M99" s="866"/>
      <c r="N99" s="866"/>
      <c r="O99" s="866"/>
      <c r="P99" s="866"/>
      <c r="Q99" s="866"/>
      <c r="R99" s="866"/>
      <c r="S99" s="866"/>
      <c r="T99" s="866"/>
      <c r="U99" s="866"/>
      <c r="V99" s="866"/>
      <c r="W99" s="866"/>
      <c r="X99" s="866"/>
      <c r="Y99" s="866"/>
      <c r="Z99" s="866"/>
      <c r="AA99" s="866"/>
      <c r="AB99" s="866"/>
      <c r="AC99" s="866"/>
      <c r="AD99" s="866"/>
      <c r="AE99" s="866"/>
      <c r="AF99" s="866"/>
      <c r="AG99" s="866"/>
      <c r="AH99" s="866"/>
      <c r="AI99" s="866"/>
      <c r="AJ99" s="866"/>
      <c r="AK99" s="866"/>
      <c r="AL99" s="866"/>
      <c r="AM99" s="866"/>
      <c r="AN99" s="866"/>
      <c r="AO99" s="866"/>
      <c r="AP99" s="866"/>
      <c r="AQ99" s="866"/>
      <c r="AR99" s="866"/>
      <c r="AS99" s="866"/>
      <c r="AT99" s="866"/>
      <c r="AU99" s="866"/>
      <c r="AV99" s="866"/>
    </row>
    <row r="100" spans="1:48" ht="9" hidden="1" thickBot="1">
      <c r="A100" s="881"/>
      <c r="B100" s="879"/>
      <c r="C100" s="879"/>
      <c r="D100" s="879"/>
      <c r="E100" s="879"/>
      <c r="F100" s="879"/>
      <c r="G100" s="879"/>
      <c r="H100" s="879"/>
      <c r="I100" s="879"/>
      <c r="J100" s="880"/>
      <c r="K100" s="866"/>
      <c r="L100" s="866"/>
      <c r="M100" s="866"/>
      <c r="N100" s="866"/>
      <c r="O100" s="866"/>
      <c r="P100" s="866"/>
      <c r="Q100" s="866"/>
      <c r="R100" s="866"/>
      <c r="S100" s="866"/>
      <c r="T100" s="866"/>
      <c r="U100" s="866"/>
      <c r="V100" s="866"/>
      <c r="W100" s="866"/>
      <c r="X100" s="866"/>
      <c r="Y100" s="866"/>
      <c r="Z100" s="866"/>
      <c r="AA100" s="866"/>
      <c r="AB100" s="866"/>
      <c r="AC100" s="866"/>
      <c r="AD100" s="866"/>
      <c r="AE100" s="866"/>
      <c r="AF100" s="866"/>
      <c r="AG100" s="866"/>
      <c r="AH100" s="866"/>
      <c r="AI100" s="866"/>
      <c r="AJ100" s="866"/>
      <c r="AK100" s="866"/>
      <c r="AL100" s="866"/>
      <c r="AM100" s="866"/>
      <c r="AN100" s="866"/>
      <c r="AO100" s="866"/>
      <c r="AP100" s="866"/>
      <c r="AQ100" s="866"/>
      <c r="AR100" s="866"/>
      <c r="AS100" s="866"/>
      <c r="AT100" s="866"/>
      <c r="AU100" s="866"/>
      <c r="AV100" s="866"/>
    </row>
    <row r="101" spans="1:48" ht="9" hidden="1" thickBot="1">
      <c r="A101" s="881"/>
      <c r="B101" s="879"/>
      <c r="C101" s="879"/>
      <c r="D101" s="879"/>
      <c r="E101" s="879"/>
      <c r="F101" s="879"/>
      <c r="G101" s="879"/>
      <c r="H101" s="879"/>
      <c r="I101" s="879"/>
      <c r="J101" s="880"/>
      <c r="K101" s="866"/>
      <c r="L101" s="866"/>
      <c r="M101" s="866"/>
      <c r="N101" s="866"/>
      <c r="O101" s="866"/>
      <c r="P101" s="866"/>
      <c r="Q101" s="866"/>
      <c r="R101" s="866"/>
      <c r="S101" s="866"/>
      <c r="T101" s="866"/>
      <c r="U101" s="866"/>
      <c r="V101" s="866"/>
      <c r="W101" s="866"/>
      <c r="X101" s="866"/>
      <c r="Y101" s="866"/>
      <c r="Z101" s="866"/>
      <c r="AA101" s="866"/>
      <c r="AB101" s="866"/>
      <c r="AC101" s="866"/>
      <c r="AD101" s="866"/>
      <c r="AE101" s="866"/>
      <c r="AF101" s="866"/>
      <c r="AG101" s="866"/>
      <c r="AH101" s="866"/>
      <c r="AI101" s="866"/>
      <c r="AJ101" s="866"/>
      <c r="AK101" s="866"/>
      <c r="AL101" s="866"/>
      <c r="AM101" s="866"/>
      <c r="AN101" s="866"/>
      <c r="AO101" s="866"/>
      <c r="AP101" s="866"/>
      <c r="AQ101" s="866"/>
      <c r="AR101" s="866"/>
      <c r="AS101" s="866"/>
      <c r="AT101" s="866"/>
      <c r="AU101" s="866"/>
      <c r="AV101" s="866"/>
    </row>
    <row r="102" spans="1:48" ht="9" hidden="1" thickBot="1">
      <c r="A102" s="881"/>
      <c r="B102" s="879"/>
      <c r="C102" s="879"/>
      <c r="D102" s="879"/>
      <c r="E102" s="879"/>
      <c r="F102" s="879"/>
      <c r="G102" s="879"/>
      <c r="H102" s="879"/>
      <c r="I102" s="879"/>
      <c r="J102" s="880"/>
      <c r="K102" s="866"/>
      <c r="L102" s="866"/>
      <c r="M102" s="866"/>
      <c r="N102" s="866"/>
      <c r="O102" s="866"/>
      <c r="P102" s="866"/>
      <c r="Q102" s="866"/>
      <c r="R102" s="866"/>
      <c r="S102" s="866"/>
      <c r="T102" s="866"/>
      <c r="U102" s="866"/>
      <c r="V102" s="866"/>
      <c r="W102" s="866"/>
      <c r="X102" s="866"/>
      <c r="Y102" s="866"/>
      <c r="Z102" s="866"/>
      <c r="AA102" s="866"/>
      <c r="AB102" s="866"/>
      <c r="AC102" s="866"/>
      <c r="AD102" s="866"/>
      <c r="AE102" s="866"/>
      <c r="AF102" s="866"/>
      <c r="AG102" s="866"/>
      <c r="AH102" s="866"/>
      <c r="AI102" s="866"/>
      <c r="AJ102" s="866"/>
      <c r="AK102" s="866"/>
      <c r="AL102" s="866"/>
      <c r="AM102" s="866"/>
      <c r="AN102" s="866"/>
      <c r="AO102" s="866"/>
      <c r="AP102" s="866"/>
      <c r="AQ102" s="866"/>
      <c r="AR102" s="866"/>
      <c r="AS102" s="866"/>
      <c r="AT102" s="866"/>
      <c r="AU102" s="866"/>
      <c r="AV102" s="866"/>
    </row>
    <row r="103" spans="1:48" ht="9" hidden="1" thickBot="1">
      <c r="A103" s="881"/>
      <c r="B103" s="879"/>
      <c r="C103" s="879"/>
      <c r="D103" s="879"/>
      <c r="E103" s="879"/>
      <c r="F103" s="879"/>
      <c r="G103" s="879"/>
      <c r="H103" s="879"/>
      <c r="I103" s="879"/>
      <c r="J103" s="880"/>
      <c r="K103" s="866"/>
      <c r="L103" s="866"/>
      <c r="M103" s="866"/>
      <c r="N103" s="866"/>
      <c r="O103" s="866"/>
      <c r="P103" s="866"/>
      <c r="Q103" s="866"/>
      <c r="R103" s="866"/>
      <c r="S103" s="866"/>
      <c r="T103" s="866"/>
      <c r="U103" s="866"/>
      <c r="V103" s="866"/>
      <c r="W103" s="866"/>
      <c r="X103" s="866"/>
      <c r="Y103" s="866"/>
      <c r="Z103" s="866"/>
      <c r="AA103" s="866"/>
      <c r="AB103" s="866"/>
      <c r="AC103" s="866"/>
      <c r="AD103" s="866"/>
      <c r="AE103" s="866"/>
      <c r="AF103" s="866"/>
      <c r="AG103" s="866"/>
      <c r="AH103" s="866"/>
      <c r="AI103" s="866"/>
      <c r="AJ103" s="866"/>
      <c r="AK103" s="866"/>
      <c r="AL103" s="866"/>
      <c r="AM103" s="866"/>
      <c r="AN103" s="866"/>
      <c r="AO103" s="866"/>
      <c r="AP103" s="866"/>
      <c r="AQ103" s="866"/>
      <c r="AR103" s="866"/>
      <c r="AS103" s="866"/>
      <c r="AT103" s="866"/>
      <c r="AU103" s="866"/>
      <c r="AV103" s="866"/>
    </row>
    <row r="104" spans="1:48" ht="9" hidden="1" thickBot="1">
      <c r="A104" s="881"/>
      <c r="B104" s="879"/>
      <c r="C104" s="879"/>
      <c r="D104" s="879"/>
      <c r="E104" s="879"/>
      <c r="F104" s="879"/>
      <c r="G104" s="879"/>
      <c r="H104" s="879"/>
      <c r="I104" s="879"/>
      <c r="J104" s="880"/>
      <c r="K104" s="866"/>
      <c r="L104" s="866"/>
      <c r="M104" s="866"/>
      <c r="N104" s="866"/>
      <c r="O104" s="866"/>
      <c r="P104" s="866"/>
      <c r="Q104" s="866"/>
      <c r="R104" s="866"/>
      <c r="S104" s="866"/>
      <c r="T104" s="866"/>
      <c r="U104" s="866"/>
      <c r="V104" s="866"/>
      <c r="W104" s="866"/>
      <c r="X104" s="866"/>
      <c r="Y104" s="866"/>
      <c r="Z104" s="866"/>
      <c r="AA104" s="866"/>
      <c r="AB104" s="866"/>
      <c r="AC104" s="866"/>
      <c r="AD104" s="866"/>
      <c r="AE104" s="866"/>
      <c r="AF104" s="866"/>
      <c r="AG104" s="866"/>
      <c r="AH104" s="866"/>
      <c r="AI104" s="866"/>
      <c r="AJ104" s="866"/>
      <c r="AK104" s="866"/>
      <c r="AL104" s="866"/>
      <c r="AM104" s="866"/>
      <c r="AN104" s="866"/>
      <c r="AO104" s="866"/>
      <c r="AP104" s="866"/>
      <c r="AQ104" s="866"/>
      <c r="AR104" s="866"/>
      <c r="AS104" s="866"/>
      <c r="AT104" s="866"/>
      <c r="AU104" s="866"/>
      <c r="AV104" s="866"/>
    </row>
    <row r="105" spans="1:48" ht="9" hidden="1" thickBot="1">
      <c r="A105" s="881"/>
      <c r="B105" s="879"/>
      <c r="C105" s="879"/>
      <c r="D105" s="879"/>
      <c r="E105" s="879"/>
      <c r="F105" s="879"/>
      <c r="G105" s="879"/>
      <c r="H105" s="879"/>
      <c r="I105" s="879"/>
      <c r="J105" s="880"/>
      <c r="K105" s="866"/>
      <c r="L105" s="866"/>
      <c r="M105" s="866"/>
      <c r="N105" s="866"/>
      <c r="O105" s="866"/>
      <c r="P105" s="866"/>
      <c r="Q105" s="866"/>
      <c r="R105" s="866"/>
      <c r="S105" s="866"/>
      <c r="T105" s="866"/>
      <c r="U105" s="866"/>
      <c r="V105" s="866"/>
      <c r="W105" s="866"/>
      <c r="X105" s="866"/>
      <c r="Y105" s="866"/>
      <c r="Z105" s="866"/>
      <c r="AA105" s="866"/>
      <c r="AB105" s="866"/>
      <c r="AC105" s="866"/>
      <c r="AD105" s="866"/>
      <c r="AE105" s="866"/>
      <c r="AF105" s="866"/>
      <c r="AG105" s="866"/>
      <c r="AH105" s="866"/>
      <c r="AI105" s="866"/>
      <c r="AJ105" s="866"/>
      <c r="AK105" s="866"/>
      <c r="AL105" s="866"/>
      <c r="AM105" s="866"/>
      <c r="AN105" s="866"/>
      <c r="AO105" s="866"/>
      <c r="AP105" s="866"/>
      <c r="AQ105" s="866"/>
      <c r="AR105" s="866"/>
      <c r="AS105" s="866"/>
      <c r="AT105" s="866"/>
      <c r="AU105" s="866"/>
      <c r="AV105" s="866"/>
    </row>
    <row r="106" spans="1:48" ht="9" hidden="1" thickBot="1">
      <c r="A106" s="881"/>
      <c r="B106" s="879"/>
      <c r="C106" s="879"/>
      <c r="D106" s="879"/>
      <c r="E106" s="879"/>
      <c r="F106" s="879"/>
      <c r="G106" s="879"/>
      <c r="H106" s="879"/>
      <c r="I106" s="879"/>
      <c r="J106" s="880"/>
      <c r="K106" s="866"/>
      <c r="L106" s="866"/>
      <c r="M106" s="866"/>
      <c r="N106" s="866"/>
      <c r="O106" s="866"/>
      <c r="P106" s="866"/>
      <c r="Q106" s="866"/>
      <c r="R106" s="866"/>
      <c r="S106" s="866"/>
      <c r="T106" s="866"/>
      <c r="U106" s="866"/>
      <c r="V106" s="866"/>
      <c r="W106" s="866"/>
      <c r="X106" s="866"/>
      <c r="Y106" s="866"/>
      <c r="Z106" s="866"/>
      <c r="AA106" s="866"/>
      <c r="AB106" s="866"/>
      <c r="AC106" s="866"/>
      <c r="AD106" s="866"/>
      <c r="AE106" s="866"/>
      <c r="AF106" s="866"/>
      <c r="AG106" s="866"/>
      <c r="AH106" s="866"/>
      <c r="AI106" s="866"/>
      <c r="AJ106" s="866"/>
      <c r="AK106" s="866"/>
      <c r="AL106" s="866"/>
      <c r="AM106" s="866"/>
      <c r="AN106" s="866"/>
      <c r="AO106" s="866"/>
      <c r="AP106" s="866"/>
      <c r="AQ106" s="866"/>
      <c r="AR106" s="866"/>
      <c r="AS106" s="866"/>
      <c r="AT106" s="866"/>
      <c r="AU106" s="866"/>
      <c r="AV106" s="866"/>
    </row>
    <row r="107" spans="1:48" ht="9" hidden="1" thickBot="1">
      <c r="A107" s="881"/>
      <c r="B107" s="879"/>
      <c r="C107" s="879"/>
      <c r="D107" s="879"/>
      <c r="E107" s="879"/>
      <c r="F107" s="879"/>
      <c r="G107" s="879"/>
      <c r="H107" s="879"/>
      <c r="I107" s="879"/>
      <c r="J107" s="880"/>
      <c r="K107" s="866"/>
      <c r="L107" s="866"/>
      <c r="M107" s="866"/>
      <c r="N107" s="866"/>
      <c r="O107" s="866"/>
      <c r="P107" s="866"/>
      <c r="Q107" s="866"/>
      <c r="R107" s="866"/>
      <c r="S107" s="866"/>
      <c r="T107" s="866"/>
      <c r="U107" s="866"/>
      <c r="V107" s="866"/>
      <c r="W107" s="866"/>
      <c r="X107" s="866"/>
      <c r="Y107" s="866"/>
      <c r="Z107" s="866"/>
      <c r="AA107" s="866"/>
      <c r="AB107" s="866"/>
      <c r="AC107" s="866"/>
      <c r="AD107" s="866"/>
      <c r="AE107" s="866"/>
      <c r="AF107" s="866"/>
      <c r="AG107" s="866"/>
      <c r="AH107" s="866"/>
      <c r="AI107" s="866"/>
      <c r="AJ107" s="866"/>
      <c r="AK107" s="866"/>
      <c r="AL107" s="866"/>
      <c r="AM107" s="866"/>
      <c r="AN107" s="866"/>
      <c r="AO107" s="866"/>
      <c r="AP107" s="866"/>
      <c r="AQ107" s="866"/>
      <c r="AR107" s="866"/>
      <c r="AS107" s="866"/>
      <c r="AT107" s="866"/>
      <c r="AU107" s="866"/>
      <c r="AV107" s="866"/>
    </row>
    <row r="108" spans="1:48" ht="9" hidden="1" thickBot="1">
      <c r="A108" s="881"/>
      <c r="B108" s="879"/>
      <c r="C108" s="879"/>
      <c r="D108" s="879"/>
      <c r="E108" s="879"/>
      <c r="F108" s="879"/>
      <c r="G108" s="879"/>
      <c r="H108" s="879"/>
      <c r="I108" s="879"/>
      <c r="J108" s="880"/>
      <c r="K108" s="866"/>
      <c r="L108" s="866"/>
      <c r="M108" s="866"/>
      <c r="N108" s="866"/>
      <c r="O108" s="866"/>
      <c r="P108" s="866"/>
      <c r="Q108" s="866"/>
      <c r="R108" s="866"/>
      <c r="S108" s="866"/>
      <c r="T108" s="866"/>
      <c r="U108" s="866"/>
      <c r="V108" s="866"/>
      <c r="W108" s="866"/>
      <c r="X108" s="866"/>
      <c r="Y108" s="866"/>
      <c r="Z108" s="866"/>
      <c r="AA108" s="866"/>
      <c r="AB108" s="866"/>
      <c r="AC108" s="866"/>
      <c r="AD108" s="866"/>
      <c r="AE108" s="866"/>
      <c r="AF108" s="866"/>
      <c r="AG108" s="866"/>
      <c r="AH108" s="866"/>
      <c r="AI108" s="866"/>
      <c r="AJ108" s="866"/>
      <c r="AK108" s="866"/>
      <c r="AL108" s="866"/>
      <c r="AM108" s="866"/>
      <c r="AN108" s="866"/>
      <c r="AO108" s="866"/>
      <c r="AP108" s="866"/>
      <c r="AQ108" s="866"/>
      <c r="AR108" s="866"/>
      <c r="AS108" s="866"/>
      <c r="AT108" s="866"/>
      <c r="AU108" s="866"/>
      <c r="AV108" s="866"/>
    </row>
    <row r="109" spans="1:48" ht="9" hidden="1" thickBot="1">
      <c r="A109" s="881"/>
      <c r="B109" s="879"/>
      <c r="C109" s="879"/>
      <c r="D109" s="879"/>
      <c r="E109" s="879"/>
      <c r="F109" s="879"/>
      <c r="G109" s="879"/>
      <c r="H109" s="879"/>
      <c r="I109" s="879"/>
      <c r="J109" s="880"/>
      <c r="K109" s="866"/>
      <c r="L109" s="866"/>
      <c r="M109" s="866"/>
      <c r="N109" s="866"/>
      <c r="O109" s="866"/>
      <c r="P109" s="866"/>
      <c r="Q109" s="866"/>
      <c r="R109" s="866"/>
      <c r="S109" s="866"/>
      <c r="T109" s="866"/>
      <c r="U109" s="866"/>
      <c r="V109" s="866"/>
      <c r="W109" s="866"/>
      <c r="X109" s="866"/>
      <c r="Y109" s="866"/>
      <c r="Z109" s="866"/>
      <c r="AA109" s="866"/>
      <c r="AB109" s="866"/>
      <c r="AC109" s="866"/>
      <c r="AD109" s="866"/>
      <c r="AE109" s="866"/>
      <c r="AF109" s="866"/>
      <c r="AG109" s="866"/>
      <c r="AH109" s="866"/>
      <c r="AI109" s="866"/>
      <c r="AJ109" s="866"/>
      <c r="AK109" s="866"/>
      <c r="AL109" s="866"/>
      <c r="AM109" s="866"/>
      <c r="AN109" s="866"/>
      <c r="AO109" s="866"/>
      <c r="AP109" s="866"/>
      <c r="AQ109" s="866"/>
      <c r="AR109" s="866"/>
      <c r="AS109" s="866"/>
      <c r="AT109" s="866"/>
      <c r="AU109" s="866"/>
      <c r="AV109" s="866"/>
    </row>
    <row r="110" spans="1:48" ht="9" hidden="1" thickBot="1">
      <c r="A110" s="881"/>
      <c r="B110" s="879"/>
      <c r="C110" s="879"/>
      <c r="D110" s="879"/>
      <c r="E110" s="879"/>
      <c r="F110" s="879"/>
      <c r="G110" s="879"/>
      <c r="H110" s="879"/>
      <c r="I110" s="879"/>
      <c r="J110" s="880"/>
      <c r="K110" s="866"/>
      <c r="L110" s="866"/>
      <c r="M110" s="866"/>
      <c r="N110" s="866"/>
      <c r="O110" s="866"/>
      <c r="P110" s="866"/>
      <c r="Q110" s="866"/>
      <c r="R110" s="866"/>
      <c r="S110" s="866"/>
      <c r="T110" s="866"/>
      <c r="U110" s="866"/>
      <c r="V110" s="866"/>
      <c r="W110" s="866"/>
      <c r="X110" s="866"/>
      <c r="Y110" s="866"/>
      <c r="Z110" s="866"/>
      <c r="AA110" s="866"/>
      <c r="AB110" s="866"/>
      <c r="AC110" s="866"/>
      <c r="AD110" s="866"/>
      <c r="AE110" s="866"/>
      <c r="AF110" s="866"/>
      <c r="AG110" s="866"/>
      <c r="AH110" s="866"/>
      <c r="AI110" s="866"/>
      <c r="AJ110" s="866"/>
      <c r="AK110" s="866"/>
      <c r="AL110" s="866"/>
      <c r="AM110" s="866"/>
      <c r="AN110" s="866"/>
      <c r="AO110" s="866"/>
      <c r="AP110" s="866"/>
      <c r="AQ110" s="866"/>
      <c r="AR110" s="866"/>
      <c r="AS110" s="866"/>
      <c r="AT110" s="866"/>
      <c r="AU110" s="866"/>
      <c r="AV110" s="866"/>
    </row>
    <row r="111" spans="1:48" ht="9" hidden="1" thickBot="1">
      <c r="A111" s="881"/>
      <c r="B111" s="879"/>
      <c r="C111" s="879"/>
      <c r="D111" s="879"/>
      <c r="E111" s="879"/>
      <c r="F111" s="879"/>
      <c r="G111" s="879"/>
      <c r="H111" s="879"/>
      <c r="I111" s="879"/>
      <c r="J111" s="880"/>
      <c r="K111" s="866"/>
      <c r="L111" s="866"/>
      <c r="M111" s="866"/>
      <c r="N111" s="866"/>
      <c r="O111" s="866"/>
      <c r="P111" s="866"/>
      <c r="Q111" s="866"/>
      <c r="R111" s="866"/>
      <c r="S111" s="866"/>
      <c r="T111" s="866"/>
      <c r="U111" s="866"/>
      <c r="V111" s="866"/>
      <c r="W111" s="866"/>
      <c r="X111" s="866"/>
      <c r="Y111" s="866"/>
      <c r="Z111" s="866"/>
      <c r="AA111" s="866"/>
      <c r="AB111" s="866"/>
      <c r="AC111" s="866"/>
      <c r="AD111" s="866"/>
      <c r="AE111" s="866"/>
      <c r="AF111" s="866"/>
      <c r="AG111" s="866"/>
      <c r="AH111" s="866"/>
      <c r="AI111" s="866"/>
      <c r="AJ111" s="866"/>
      <c r="AK111" s="866"/>
      <c r="AL111" s="866"/>
      <c r="AM111" s="866"/>
      <c r="AN111" s="866"/>
      <c r="AO111" s="866"/>
      <c r="AP111" s="866"/>
      <c r="AQ111" s="866"/>
      <c r="AR111" s="866"/>
      <c r="AS111" s="866"/>
      <c r="AT111" s="866"/>
      <c r="AU111" s="866"/>
      <c r="AV111" s="866"/>
    </row>
    <row r="112" spans="1:48" ht="9" hidden="1" thickBot="1">
      <c r="A112" s="881"/>
      <c r="B112" s="879"/>
      <c r="C112" s="879"/>
      <c r="D112" s="879"/>
      <c r="E112" s="879"/>
      <c r="F112" s="879"/>
      <c r="G112" s="879"/>
      <c r="H112" s="879"/>
      <c r="I112" s="879"/>
      <c r="J112" s="880"/>
      <c r="K112" s="866"/>
      <c r="L112" s="866"/>
      <c r="M112" s="866"/>
      <c r="N112" s="866"/>
      <c r="O112" s="866"/>
      <c r="P112" s="866"/>
      <c r="Q112" s="866"/>
      <c r="R112" s="866"/>
      <c r="S112" s="866"/>
      <c r="T112" s="866"/>
      <c r="U112" s="866"/>
      <c r="V112" s="866"/>
      <c r="W112" s="866"/>
      <c r="X112" s="866"/>
      <c r="Y112" s="866"/>
      <c r="Z112" s="866"/>
      <c r="AA112" s="866"/>
      <c r="AB112" s="866"/>
      <c r="AC112" s="866"/>
      <c r="AD112" s="866"/>
      <c r="AE112" s="866"/>
      <c r="AF112" s="866"/>
      <c r="AG112" s="866"/>
      <c r="AH112" s="866"/>
      <c r="AI112" s="866"/>
      <c r="AJ112" s="866"/>
      <c r="AK112" s="866"/>
      <c r="AL112" s="866"/>
      <c r="AM112" s="866"/>
      <c r="AN112" s="866"/>
      <c r="AO112" s="866"/>
      <c r="AP112" s="866"/>
      <c r="AQ112" s="866"/>
      <c r="AR112" s="866"/>
      <c r="AS112" s="866"/>
      <c r="AT112" s="866"/>
      <c r="AU112" s="866"/>
      <c r="AV112" s="866"/>
    </row>
    <row r="113" spans="1:48" ht="9" hidden="1" thickBot="1">
      <c r="A113" s="881"/>
      <c r="B113" s="879"/>
      <c r="C113" s="879"/>
      <c r="D113" s="879"/>
      <c r="E113" s="879"/>
      <c r="F113" s="879"/>
      <c r="G113" s="879"/>
      <c r="H113" s="879"/>
      <c r="I113" s="879"/>
      <c r="J113" s="880"/>
      <c r="K113" s="866"/>
      <c r="L113" s="866"/>
      <c r="M113" s="866"/>
      <c r="N113" s="866"/>
      <c r="O113" s="866"/>
      <c r="P113" s="866"/>
      <c r="Q113" s="866"/>
      <c r="R113" s="866"/>
      <c r="S113" s="866"/>
      <c r="T113" s="866"/>
      <c r="U113" s="866"/>
      <c r="V113" s="866"/>
      <c r="W113" s="866"/>
      <c r="X113" s="866"/>
      <c r="Y113" s="866"/>
      <c r="Z113" s="866"/>
      <c r="AA113" s="866"/>
      <c r="AB113" s="866"/>
      <c r="AC113" s="866"/>
      <c r="AD113" s="866"/>
      <c r="AE113" s="866"/>
      <c r="AF113" s="866"/>
      <c r="AG113" s="866"/>
      <c r="AH113" s="866"/>
      <c r="AI113" s="866"/>
      <c r="AJ113" s="866"/>
      <c r="AK113" s="866"/>
      <c r="AL113" s="866"/>
      <c r="AM113" s="866"/>
      <c r="AN113" s="866"/>
      <c r="AO113" s="866"/>
      <c r="AP113" s="866"/>
      <c r="AQ113" s="866"/>
      <c r="AR113" s="866"/>
      <c r="AS113" s="866"/>
      <c r="AT113" s="866"/>
      <c r="AU113" s="866"/>
      <c r="AV113" s="866"/>
    </row>
    <row r="114" spans="1:48" ht="9" hidden="1" thickBot="1">
      <c r="A114" s="881"/>
      <c r="B114" s="879"/>
      <c r="C114" s="879"/>
      <c r="D114" s="879"/>
      <c r="E114" s="879"/>
      <c r="F114" s="879"/>
      <c r="G114" s="879"/>
      <c r="H114" s="879"/>
      <c r="I114" s="879"/>
      <c r="J114" s="880"/>
      <c r="K114" s="866"/>
      <c r="L114" s="866"/>
      <c r="M114" s="866"/>
      <c r="N114" s="866"/>
      <c r="O114" s="866"/>
      <c r="P114" s="866"/>
      <c r="Q114" s="866"/>
      <c r="R114" s="866"/>
      <c r="S114" s="866"/>
      <c r="T114" s="866"/>
      <c r="U114" s="866"/>
      <c r="V114" s="866"/>
      <c r="W114" s="866"/>
      <c r="X114" s="866"/>
      <c r="Y114" s="866"/>
      <c r="Z114" s="866"/>
      <c r="AA114" s="866"/>
      <c r="AB114" s="866"/>
      <c r="AC114" s="866"/>
      <c r="AD114" s="866"/>
      <c r="AE114" s="866"/>
      <c r="AF114" s="866"/>
      <c r="AG114" s="866"/>
      <c r="AH114" s="866"/>
      <c r="AI114" s="866"/>
      <c r="AJ114" s="866"/>
      <c r="AK114" s="866"/>
      <c r="AL114" s="866"/>
      <c r="AM114" s="866"/>
      <c r="AN114" s="866"/>
      <c r="AO114" s="866"/>
      <c r="AP114" s="866"/>
      <c r="AQ114" s="866"/>
      <c r="AR114" s="866"/>
      <c r="AS114" s="866"/>
      <c r="AT114" s="866"/>
      <c r="AU114" s="866"/>
      <c r="AV114" s="866"/>
    </row>
    <row r="115" spans="1:48" ht="9" hidden="1" thickBot="1">
      <c r="A115" s="881"/>
      <c r="B115" s="879"/>
      <c r="C115" s="879"/>
      <c r="D115" s="879"/>
      <c r="E115" s="879"/>
      <c r="F115" s="879"/>
      <c r="G115" s="879"/>
      <c r="H115" s="879"/>
      <c r="I115" s="879"/>
      <c r="J115" s="880"/>
      <c r="K115" s="866"/>
      <c r="L115" s="866"/>
      <c r="M115" s="866"/>
      <c r="N115" s="866"/>
      <c r="O115" s="866"/>
      <c r="P115" s="866"/>
      <c r="Q115" s="866"/>
      <c r="R115" s="866"/>
      <c r="S115" s="866"/>
      <c r="T115" s="866"/>
      <c r="U115" s="866"/>
      <c r="V115" s="866"/>
      <c r="W115" s="866"/>
      <c r="X115" s="866"/>
      <c r="Y115" s="866"/>
      <c r="Z115" s="866"/>
      <c r="AA115" s="866"/>
      <c r="AB115" s="866"/>
      <c r="AC115" s="866"/>
      <c r="AD115" s="866"/>
      <c r="AE115" s="866"/>
      <c r="AF115" s="866"/>
      <c r="AG115" s="866"/>
      <c r="AH115" s="866"/>
      <c r="AI115" s="866"/>
      <c r="AJ115" s="866"/>
      <c r="AK115" s="866"/>
      <c r="AL115" s="866"/>
      <c r="AM115" s="866"/>
      <c r="AN115" s="866"/>
      <c r="AO115" s="866"/>
      <c r="AP115" s="866"/>
      <c r="AQ115" s="866"/>
      <c r="AR115" s="866"/>
      <c r="AS115" s="866"/>
      <c r="AT115" s="866"/>
      <c r="AU115" s="866"/>
      <c r="AV115" s="866"/>
    </row>
    <row r="116" spans="1:48" ht="9" hidden="1" thickBot="1">
      <c r="A116" s="881"/>
      <c r="B116" s="879"/>
      <c r="C116" s="879"/>
      <c r="D116" s="879"/>
      <c r="E116" s="879"/>
      <c r="F116" s="879"/>
      <c r="G116" s="879"/>
      <c r="H116" s="879"/>
      <c r="I116" s="879"/>
      <c r="J116" s="880"/>
      <c r="K116" s="866"/>
      <c r="L116" s="866"/>
      <c r="M116" s="866"/>
      <c r="N116" s="866"/>
      <c r="O116" s="866"/>
      <c r="P116" s="866"/>
      <c r="Q116" s="866"/>
      <c r="R116" s="866"/>
      <c r="S116" s="866"/>
      <c r="T116" s="866"/>
      <c r="U116" s="866"/>
      <c r="V116" s="866"/>
      <c r="W116" s="866"/>
      <c r="X116" s="866"/>
      <c r="Y116" s="866"/>
      <c r="Z116" s="866"/>
      <c r="AA116" s="866"/>
      <c r="AB116" s="866"/>
      <c r="AC116" s="866"/>
      <c r="AD116" s="866"/>
      <c r="AE116" s="866"/>
      <c r="AF116" s="866"/>
      <c r="AG116" s="866"/>
      <c r="AH116" s="866"/>
      <c r="AI116" s="866"/>
      <c r="AJ116" s="866"/>
      <c r="AK116" s="866"/>
      <c r="AL116" s="866"/>
      <c r="AM116" s="866"/>
      <c r="AN116" s="866"/>
      <c r="AO116" s="866"/>
      <c r="AP116" s="866"/>
      <c r="AQ116" s="866"/>
      <c r="AR116" s="866"/>
      <c r="AS116" s="866"/>
      <c r="AT116" s="866"/>
      <c r="AU116" s="866"/>
      <c r="AV116" s="866"/>
    </row>
    <row r="117" spans="1:48" ht="9" hidden="1" thickBot="1">
      <c r="A117" s="881"/>
      <c r="B117" s="879"/>
      <c r="C117" s="879"/>
      <c r="D117" s="879"/>
      <c r="E117" s="879"/>
      <c r="F117" s="879"/>
      <c r="G117" s="879"/>
      <c r="H117" s="879"/>
      <c r="I117" s="879"/>
      <c r="J117" s="880"/>
      <c r="K117" s="866"/>
      <c r="L117" s="866"/>
      <c r="M117" s="866"/>
      <c r="N117" s="866"/>
      <c r="O117" s="866"/>
      <c r="P117" s="866"/>
      <c r="Q117" s="866"/>
      <c r="R117" s="866"/>
      <c r="S117" s="866"/>
      <c r="T117" s="866"/>
      <c r="U117" s="866"/>
      <c r="V117" s="866"/>
      <c r="W117" s="866"/>
      <c r="X117" s="866"/>
      <c r="Y117" s="866"/>
      <c r="Z117" s="866"/>
      <c r="AA117" s="866"/>
      <c r="AB117" s="866"/>
      <c r="AC117" s="866"/>
      <c r="AD117" s="866"/>
      <c r="AE117" s="866"/>
      <c r="AF117" s="866"/>
      <c r="AG117" s="866"/>
      <c r="AH117" s="866"/>
      <c r="AI117" s="866"/>
      <c r="AJ117" s="866"/>
      <c r="AK117" s="866"/>
      <c r="AL117" s="866"/>
      <c r="AM117" s="866"/>
      <c r="AN117" s="866"/>
      <c r="AO117" s="866"/>
      <c r="AP117" s="866"/>
      <c r="AQ117" s="866"/>
      <c r="AR117" s="866"/>
      <c r="AS117" s="866"/>
      <c r="AT117" s="866"/>
      <c r="AU117" s="866"/>
      <c r="AV117" s="866"/>
    </row>
    <row r="118" spans="1:48" ht="9" hidden="1" thickBot="1">
      <c r="A118" s="881"/>
      <c r="B118" s="879"/>
      <c r="C118" s="879"/>
      <c r="D118" s="879"/>
      <c r="E118" s="879"/>
      <c r="F118" s="879"/>
      <c r="G118" s="879"/>
      <c r="H118" s="879"/>
      <c r="I118" s="879"/>
      <c r="J118" s="880"/>
      <c r="K118" s="866"/>
      <c r="L118" s="866"/>
      <c r="M118" s="866"/>
      <c r="N118" s="866"/>
      <c r="O118" s="866"/>
      <c r="P118" s="866"/>
      <c r="Q118" s="866"/>
      <c r="R118" s="866"/>
      <c r="S118" s="866"/>
      <c r="T118" s="866"/>
      <c r="U118" s="866"/>
      <c r="V118" s="866"/>
      <c r="W118" s="866"/>
      <c r="X118" s="866"/>
      <c r="Y118" s="866"/>
      <c r="Z118" s="866"/>
      <c r="AA118" s="866"/>
      <c r="AB118" s="866"/>
      <c r="AC118" s="866"/>
      <c r="AD118" s="866"/>
      <c r="AE118" s="866"/>
      <c r="AF118" s="866"/>
      <c r="AG118" s="866"/>
      <c r="AH118" s="866"/>
      <c r="AI118" s="866"/>
      <c r="AJ118" s="866"/>
      <c r="AK118" s="866"/>
      <c r="AL118" s="866"/>
      <c r="AM118" s="866"/>
      <c r="AN118" s="866"/>
      <c r="AO118" s="866"/>
      <c r="AP118" s="866"/>
      <c r="AQ118" s="866"/>
      <c r="AR118" s="866"/>
      <c r="AS118" s="866"/>
      <c r="AT118" s="866"/>
      <c r="AU118" s="866"/>
      <c r="AV118" s="866"/>
    </row>
    <row r="119" spans="1:48" ht="9" hidden="1" thickBot="1">
      <c r="A119" s="881"/>
      <c r="B119" s="879"/>
      <c r="C119" s="879"/>
      <c r="D119" s="879"/>
      <c r="E119" s="879"/>
      <c r="F119" s="879"/>
      <c r="G119" s="879"/>
      <c r="H119" s="879"/>
      <c r="I119" s="879"/>
      <c r="J119" s="880"/>
      <c r="K119" s="866"/>
      <c r="L119" s="866"/>
      <c r="M119" s="866"/>
      <c r="N119" s="866"/>
      <c r="O119" s="866"/>
      <c r="P119" s="866"/>
      <c r="Q119" s="866"/>
      <c r="R119" s="866"/>
      <c r="S119" s="866"/>
      <c r="T119" s="866"/>
      <c r="U119" s="866"/>
      <c r="V119" s="866"/>
      <c r="W119" s="866"/>
      <c r="X119" s="866"/>
      <c r="Y119" s="866"/>
      <c r="Z119" s="866"/>
      <c r="AA119" s="866"/>
      <c r="AB119" s="866"/>
      <c r="AC119" s="866"/>
      <c r="AD119" s="866"/>
      <c r="AE119" s="866"/>
      <c r="AF119" s="866"/>
      <c r="AG119" s="866"/>
      <c r="AH119" s="866"/>
      <c r="AI119" s="866"/>
      <c r="AJ119" s="866"/>
      <c r="AK119" s="866"/>
      <c r="AL119" s="866"/>
      <c r="AM119" s="866"/>
      <c r="AN119" s="866"/>
      <c r="AO119" s="866"/>
      <c r="AP119" s="866"/>
      <c r="AQ119" s="866"/>
      <c r="AR119" s="866"/>
      <c r="AS119" s="866"/>
      <c r="AT119" s="866"/>
      <c r="AU119" s="866"/>
      <c r="AV119" s="866"/>
    </row>
    <row r="120" spans="1:48" ht="9" hidden="1" thickBot="1">
      <c r="A120" s="881"/>
      <c r="B120" s="879"/>
      <c r="C120" s="879"/>
      <c r="D120" s="879"/>
      <c r="E120" s="879"/>
      <c r="F120" s="879"/>
      <c r="G120" s="879"/>
      <c r="H120" s="879"/>
      <c r="I120" s="879"/>
      <c r="J120" s="880"/>
      <c r="K120" s="866"/>
      <c r="L120" s="866"/>
      <c r="M120" s="866"/>
      <c r="N120" s="866"/>
      <c r="O120" s="866"/>
      <c r="P120" s="866"/>
      <c r="Q120" s="866"/>
      <c r="R120" s="866"/>
      <c r="S120" s="866"/>
      <c r="T120" s="866"/>
      <c r="U120" s="866"/>
      <c r="V120" s="866"/>
      <c r="W120" s="866"/>
      <c r="X120" s="866"/>
      <c r="Y120" s="866"/>
      <c r="Z120" s="866"/>
      <c r="AA120" s="866"/>
      <c r="AB120" s="866"/>
      <c r="AC120" s="866"/>
      <c r="AD120" s="866"/>
      <c r="AE120" s="866"/>
      <c r="AF120" s="866"/>
      <c r="AG120" s="866"/>
      <c r="AH120" s="866"/>
      <c r="AI120" s="866"/>
      <c r="AJ120" s="866"/>
      <c r="AK120" s="866"/>
      <c r="AL120" s="866"/>
      <c r="AM120" s="866"/>
      <c r="AN120" s="866"/>
      <c r="AO120" s="866"/>
      <c r="AP120" s="866"/>
      <c r="AQ120" s="866"/>
      <c r="AR120" s="866"/>
      <c r="AS120" s="866"/>
      <c r="AT120" s="866"/>
      <c r="AU120" s="866"/>
      <c r="AV120" s="866"/>
    </row>
    <row r="121" spans="1:48" ht="9" hidden="1" thickBot="1">
      <c r="A121" s="881"/>
      <c r="B121" s="879"/>
      <c r="C121" s="879"/>
      <c r="D121" s="879"/>
      <c r="E121" s="879"/>
      <c r="F121" s="879"/>
      <c r="G121" s="879"/>
      <c r="H121" s="879"/>
      <c r="I121" s="879"/>
      <c r="J121" s="880"/>
      <c r="K121" s="866"/>
      <c r="L121" s="866"/>
      <c r="M121" s="866"/>
      <c r="N121" s="866"/>
      <c r="O121" s="866"/>
      <c r="P121" s="866"/>
      <c r="Q121" s="866"/>
      <c r="R121" s="866"/>
      <c r="S121" s="866"/>
      <c r="T121" s="866"/>
      <c r="U121" s="866"/>
      <c r="V121" s="866"/>
      <c r="W121" s="866"/>
      <c r="X121" s="866"/>
      <c r="Y121" s="866"/>
      <c r="Z121" s="866"/>
      <c r="AA121" s="866"/>
      <c r="AB121" s="866"/>
      <c r="AC121" s="866"/>
      <c r="AD121" s="866"/>
      <c r="AE121" s="866"/>
      <c r="AF121" s="866"/>
      <c r="AG121" s="866"/>
      <c r="AH121" s="866"/>
      <c r="AI121" s="866"/>
      <c r="AJ121" s="866"/>
      <c r="AK121" s="866"/>
      <c r="AL121" s="866"/>
      <c r="AM121" s="866"/>
      <c r="AN121" s="866"/>
      <c r="AO121" s="866"/>
      <c r="AP121" s="866"/>
      <c r="AQ121" s="866"/>
      <c r="AR121" s="866"/>
      <c r="AS121" s="866"/>
      <c r="AT121" s="866"/>
      <c r="AU121" s="866"/>
      <c r="AV121" s="866"/>
    </row>
    <row r="122" spans="1:48" ht="9" hidden="1" thickBot="1">
      <c r="A122" s="881"/>
      <c r="B122" s="879"/>
      <c r="C122" s="879"/>
      <c r="D122" s="879"/>
      <c r="E122" s="879"/>
      <c r="F122" s="879"/>
      <c r="G122" s="879"/>
      <c r="H122" s="879"/>
      <c r="I122" s="879"/>
      <c r="J122" s="880"/>
      <c r="K122" s="866"/>
      <c r="L122" s="866"/>
      <c r="M122" s="866"/>
      <c r="N122" s="866"/>
      <c r="O122" s="866"/>
      <c r="P122" s="866"/>
      <c r="Q122" s="866"/>
      <c r="R122" s="866"/>
      <c r="S122" s="866"/>
      <c r="T122" s="866"/>
      <c r="U122" s="866"/>
      <c r="V122" s="866"/>
      <c r="W122" s="866"/>
      <c r="X122" s="866"/>
      <c r="Y122" s="866"/>
      <c r="Z122" s="866"/>
      <c r="AA122" s="866"/>
      <c r="AB122" s="866"/>
      <c r="AC122" s="866"/>
      <c r="AD122" s="866"/>
      <c r="AE122" s="866"/>
      <c r="AF122" s="866"/>
      <c r="AG122" s="866"/>
      <c r="AH122" s="866"/>
      <c r="AI122" s="866"/>
      <c r="AJ122" s="866"/>
      <c r="AK122" s="866"/>
      <c r="AL122" s="866"/>
      <c r="AM122" s="866"/>
      <c r="AN122" s="866"/>
      <c r="AO122" s="866"/>
      <c r="AP122" s="866"/>
      <c r="AQ122" s="866"/>
      <c r="AR122" s="866"/>
      <c r="AS122" s="866"/>
      <c r="AT122" s="866"/>
      <c r="AU122" s="866"/>
      <c r="AV122" s="866"/>
    </row>
    <row r="123" spans="1:48" ht="9" hidden="1" thickBot="1">
      <c r="A123" s="881"/>
      <c r="B123" s="879"/>
      <c r="C123" s="879"/>
      <c r="D123" s="879"/>
      <c r="E123" s="879"/>
      <c r="F123" s="879"/>
      <c r="G123" s="879"/>
      <c r="H123" s="879"/>
      <c r="I123" s="879"/>
      <c r="J123" s="880"/>
      <c r="K123" s="866"/>
      <c r="L123" s="866"/>
      <c r="M123" s="866"/>
      <c r="N123" s="866"/>
      <c r="O123" s="866"/>
      <c r="P123" s="866"/>
      <c r="Q123" s="866"/>
      <c r="R123" s="866"/>
      <c r="S123" s="866"/>
      <c r="T123" s="866"/>
      <c r="U123" s="866"/>
      <c r="V123" s="866"/>
      <c r="W123" s="866"/>
      <c r="X123" s="866"/>
      <c r="Y123" s="866"/>
      <c r="Z123" s="866"/>
      <c r="AA123" s="866"/>
      <c r="AB123" s="866"/>
      <c r="AC123" s="866"/>
      <c r="AD123" s="866"/>
      <c r="AE123" s="866"/>
      <c r="AF123" s="866"/>
      <c r="AG123" s="866"/>
      <c r="AH123" s="866"/>
      <c r="AI123" s="866"/>
      <c r="AJ123" s="866"/>
      <c r="AK123" s="866"/>
      <c r="AL123" s="866"/>
      <c r="AM123" s="866"/>
      <c r="AN123" s="866"/>
      <c r="AO123" s="866"/>
      <c r="AP123" s="866"/>
      <c r="AQ123" s="866"/>
      <c r="AR123" s="866"/>
      <c r="AS123" s="866"/>
      <c r="AT123" s="866"/>
      <c r="AU123" s="866"/>
      <c r="AV123" s="866"/>
    </row>
    <row r="124" spans="1:48" ht="9" hidden="1" thickBot="1">
      <c r="A124" s="881"/>
      <c r="B124" s="879"/>
      <c r="C124" s="879"/>
      <c r="D124" s="879"/>
      <c r="E124" s="879"/>
      <c r="F124" s="879"/>
      <c r="G124" s="879"/>
      <c r="H124" s="879"/>
      <c r="I124" s="879"/>
      <c r="J124" s="880"/>
      <c r="K124" s="866"/>
      <c r="L124" s="866"/>
      <c r="M124" s="866"/>
      <c r="N124" s="866"/>
      <c r="O124" s="866"/>
      <c r="P124" s="866"/>
      <c r="Q124" s="866"/>
      <c r="R124" s="866"/>
      <c r="S124" s="866"/>
      <c r="T124" s="866"/>
      <c r="U124" s="866"/>
      <c r="V124" s="866"/>
      <c r="W124" s="866"/>
      <c r="X124" s="866"/>
      <c r="Y124" s="866"/>
      <c r="Z124" s="866"/>
      <c r="AA124" s="866"/>
      <c r="AB124" s="866"/>
      <c r="AC124" s="866"/>
      <c r="AD124" s="866"/>
      <c r="AE124" s="866"/>
      <c r="AF124" s="866"/>
      <c r="AG124" s="866"/>
      <c r="AH124" s="866"/>
      <c r="AI124" s="866"/>
      <c r="AJ124" s="866"/>
      <c r="AK124" s="866"/>
      <c r="AL124" s="866"/>
      <c r="AM124" s="866"/>
      <c r="AN124" s="866"/>
      <c r="AO124" s="866"/>
      <c r="AP124" s="866"/>
      <c r="AQ124" s="866"/>
      <c r="AR124" s="866"/>
      <c r="AS124" s="866"/>
      <c r="AT124" s="866"/>
      <c r="AU124" s="866"/>
      <c r="AV124" s="866"/>
    </row>
    <row r="125" spans="1:48" ht="9" hidden="1" thickBot="1">
      <c r="A125" s="881"/>
      <c r="B125" s="879"/>
      <c r="C125" s="879"/>
      <c r="D125" s="879"/>
      <c r="E125" s="879"/>
      <c r="F125" s="879"/>
      <c r="G125" s="879"/>
      <c r="H125" s="879"/>
      <c r="I125" s="879"/>
      <c r="J125" s="880"/>
      <c r="K125" s="866"/>
      <c r="L125" s="866"/>
      <c r="M125" s="866"/>
      <c r="N125" s="866"/>
      <c r="O125" s="866"/>
      <c r="P125" s="866"/>
      <c r="Q125" s="866"/>
      <c r="R125" s="866"/>
      <c r="S125" s="866"/>
      <c r="T125" s="866"/>
      <c r="U125" s="866"/>
      <c r="V125" s="866"/>
      <c r="W125" s="866"/>
      <c r="X125" s="866"/>
      <c r="Y125" s="866"/>
      <c r="Z125" s="866"/>
      <c r="AA125" s="866"/>
      <c r="AB125" s="866"/>
      <c r="AC125" s="866"/>
      <c r="AD125" s="866"/>
      <c r="AE125" s="866"/>
      <c r="AF125" s="866"/>
      <c r="AG125" s="866"/>
      <c r="AH125" s="866"/>
      <c r="AI125" s="866"/>
      <c r="AJ125" s="866"/>
      <c r="AK125" s="866"/>
      <c r="AL125" s="866"/>
      <c r="AM125" s="866"/>
      <c r="AN125" s="866"/>
      <c r="AO125" s="866"/>
      <c r="AP125" s="866"/>
      <c r="AQ125" s="866"/>
      <c r="AR125" s="866"/>
      <c r="AS125" s="866"/>
      <c r="AT125" s="866"/>
      <c r="AU125" s="866"/>
      <c r="AV125" s="866"/>
    </row>
    <row r="126" spans="1:48" ht="9" hidden="1" thickBot="1">
      <c r="A126" s="881"/>
      <c r="B126" s="879"/>
      <c r="C126" s="879"/>
      <c r="D126" s="879"/>
      <c r="E126" s="879"/>
      <c r="F126" s="879"/>
      <c r="G126" s="879"/>
      <c r="H126" s="879"/>
      <c r="I126" s="879"/>
      <c r="J126" s="880"/>
      <c r="K126" s="866"/>
      <c r="L126" s="866"/>
      <c r="M126" s="866"/>
      <c r="N126" s="866"/>
      <c r="O126" s="866"/>
      <c r="P126" s="866"/>
      <c r="Q126" s="866"/>
      <c r="R126" s="866"/>
      <c r="S126" s="866"/>
      <c r="T126" s="866"/>
      <c r="U126" s="866"/>
      <c r="V126" s="866"/>
      <c r="W126" s="866"/>
      <c r="X126" s="866"/>
      <c r="Y126" s="866"/>
      <c r="Z126" s="866"/>
      <c r="AA126" s="866"/>
      <c r="AB126" s="866"/>
      <c r="AC126" s="866"/>
      <c r="AD126" s="866"/>
      <c r="AE126" s="866"/>
      <c r="AF126" s="866"/>
      <c r="AG126" s="866"/>
      <c r="AH126" s="866"/>
      <c r="AI126" s="866"/>
      <c r="AJ126" s="866"/>
      <c r="AK126" s="866"/>
      <c r="AL126" s="866"/>
      <c r="AM126" s="866"/>
      <c r="AN126" s="866"/>
      <c r="AO126" s="866"/>
      <c r="AP126" s="866"/>
      <c r="AQ126" s="866"/>
      <c r="AR126" s="866"/>
      <c r="AS126" s="866"/>
      <c r="AT126" s="866"/>
      <c r="AU126" s="866"/>
      <c r="AV126" s="866"/>
    </row>
    <row r="127" spans="1:48" ht="9" hidden="1" thickBot="1">
      <c r="A127" s="881"/>
      <c r="B127" s="879"/>
      <c r="C127" s="879"/>
      <c r="D127" s="879"/>
      <c r="E127" s="879"/>
      <c r="F127" s="879"/>
      <c r="G127" s="879"/>
      <c r="H127" s="879"/>
      <c r="I127" s="879"/>
      <c r="J127" s="880"/>
      <c r="K127" s="866"/>
      <c r="L127" s="866"/>
      <c r="M127" s="866"/>
      <c r="N127" s="866"/>
      <c r="O127" s="866"/>
      <c r="P127" s="866"/>
      <c r="Q127" s="866"/>
      <c r="R127" s="866"/>
      <c r="S127" s="866"/>
      <c r="T127" s="866"/>
      <c r="U127" s="866"/>
      <c r="V127" s="866"/>
      <c r="W127" s="866"/>
      <c r="X127" s="866"/>
      <c r="Y127" s="866"/>
      <c r="Z127" s="866"/>
      <c r="AA127" s="866"/>
      <c r="AB127" s="866"/>
      <c r="AC127" s="866"/>
      <c r="AD127" s="866"/>
      <c r="AE127" s="866"/>
      <c r="AF127" s="866"/>
      <c r="AG127" s="866"/>
      <c r="AH127" s="866"/>
      <c r="AI127" s="866"/>
      <c r="AJ127" s="866"/>
      <c r="AK127" s="866"/>
      <c r="AL127" s="866"/>
      <c r="AM127" s="866"/>
      <c r="AN127" s="866"/>
      <c r="AO127" s="866"/>
      <c r="AP127" s="866"/>
      <c r="AQ127" s="866"/>
      <c r="AR127" s="866"/>
      <c r="AS127" s="866"/>
      <c r="AT127" s="866"/>
      <c r="AU127" s="866"/>
      <c r="AV127" s="866"/>
    </row>
    <row r="128" spans="1:48" ht="9" hidden="1" thickBot="1">
      <c r="A128" s="881"/>
    </row>
    <row r="129" spans="1:1" ht="9" hidden="1" thickBot="1">
      <c r="A129" s="881"/>
    </row>
  </sheetData>
  <mergeCells count="11">
    <mergeCell ref="B25:J25"/>
    <mergeCell ref="A1:J1"/>
    <mergeCell ref="A2:J2"/>
    <mergeCell ref="C3:J3"/>
    <mergeCell ref="D10:J12"/>
    <mergeCell ref="C22:D22"/>
    <mergeCell ref="B26:J26"/>
    <mergeCell ref="B27:J27"/>
    <mergeCell ref="A28:J28"/>
    <mergeCell ref="A75:E75"/>
    <mergeCell ref="A78:E78"/>
  </mergeCells>
  <pageMargins left="0.7" right="0.7" top="0.75" bottom="0.75" header="0.3" footer="0.3"/>
  <pageSetup orientation="portrait" horizontalDpi="300" verticalDpi="4294967293" r:id="rId1"/>
</worksheet>
</file>

<file path=xl/worksheets/sheet6.xml><?xml version="1.0" encoding="utf-8"?>
<worksheet xmlns="http://schemas.openxmlformats.org/spreadsheetml/2006/main" xmlns:r="http://schemas.openxmlformats.org/officeDocument/2006/relationships">
  <sheetPr codeName="Sheet59"/>
  <dimension ref="A1:Y33"/>
  <sheetViews>
    <sheetView showGridLines="0" showRowColHeaders="0" zoomScale="70" zoomScaleNormal="70" workbookViewId="0">
      <selection activeCell="J25" sqref="J25:O25"/>
    </sheetView>
  </sheetViews>
  <sheetFormatPr defaultColWidth="0" defaultRowHeight="15" zeroHeight="1"/>
  <cols>
    <col min="1" max="1" width="15.5" style="1052" customWidth="1"/>
    <col min="2" max="2" width="3.625" style="1052" customWidth="1"/>
    <col min="3" max="3" width="17.625" style="1052" customWidth="1"/>
    <col min="4" max="4" width="7.5" style="1052" customWidth="1"/>
    <col min="5" max="6" width="9.125" style="1052" customWidth="1"/>
    <col min="7" max="7" width="12.375" style="1052" customWidth="1"/>
    <col min="8" max="8" width="5.5" style="1052" customWidth="1"/>
    <col min="9" max="10" width="8.5" style="1052" customWidth="1"/>
    <col min="11" max="11" width="8.625" style="1052" customWidth="1"/>
    <col min="12" max="12" width="11" style="1052" customWidth="1"/>
    <col min="13" max="13" width="11.125" style="1052" customWidth="1"/>
    <col min="14" max="14" width="1.375" style="1052" customWidth="1"/>
    <col min="15" max="15" width="2.5" style="1052" customWidth="1"/>
    <col min="16" max="16" width="14.125" style="1052" customWidth="1"/>
    <col min="17" max="17" width="11.625" style="1052" customWidth="1"/>
    <col min="18" max="18" width="10.5" style="1052" customWidth="1"/>
    <col min="19" max="19" width="3.125" style="1052" customWidth="1"/>
    <col min="20" max="20" width="7.875" style="1052" hidden="1" customWidth="1"/>
    <col min="21" max="21" width="7.5" style="1052" hidden="1" customWidth="1"/>
    <col min="22" max="22" width="6.125" style="1052" customWidth="1"/>
    <col min="23" max="25" width="0" style="558" hidden="1" customWidth="1"/>
    <col min="26" max="16384" width="9.125" style="558" hidden="1"/>
  </cols>
  <sheetData>
    <row r="1" spans="1:24" s="597" customFormat="1" ht="57" customHeight="1">
      <c r="A1" s="1053"/>
      <c r="B1" s="1053"/>
      <c r="C1" s="1053"/>
      <c r="D1" s="1053"/>
      <c r="E1" s="1053"/>
      <c r="F1" s="1053"/>
      <c r="G1" s="1053"/>
      <c r="H1" s="1053"/>
      <c r="I1" s="1053"/>
      <c r="J1" s="1053"/>
      <c r="K1" s="1053"/>
      <c r="L1" s="1053"/>
      <c r="M1" s="1574" t="str">
        <f>IF(OR((Q21=0),(Q22=0),(Q23=0),(Q24=0),(Q25=0),(Q26=0),(Q27=0),(Q28=0)),"ERROR -  PLEASE CHANGE THE HCB AMOUNT"," ")</f>
        <v/>
      </c>
      <c r="N1" s="1574"/>
      <c r="O1" s="1574"/>
      <c r="P1" s="1056"/>
      <c r="Q1" s="1056"/>
      <c r="R1" s="1056"/>
      <c r="S1" s="1056"/>
      <c r="T1" s="1055"/>
      <c r="U1" s="1055"/>
      <c r="V1" s="1055"/>
    </row>
    <row r="2" spans="1:24" s="597" customFormat="1" ht="17.25" customHeight="1" thickBot="1">
      <c r="A2" s="1052"/>
      <c r="B2" s="1575" t="s">
        <v>515</v>
      </c>
      <c r="C2" s="1575"/>
      <c r="D2" s="1575"/>
      <c r="E2" s="1575"/>
      <c r="F2" s="1575"/>
      <c r="G2" s="1575"/>
      <c r="H2" s="1575"/>
      <c r="I2" s="1575"/>
      <c r="J2" s="1575"/>
      <c r="K2" s="1575"/>
      <c r="L2" s="1575"/>
      <c r="M2" s="1574"/>
      <c r="N2" s="1574"/>
      <c r="O2" s="1574"/>
      <c r="P2" s="1056"/>
      <c r="Q2" s="1056"/>
      <c r="R2" s="1056"/>
      <c r="S2" s="1056"/>
      <c r="T2" s="1057"/>
      <c r="U2" s="1057"/>
      <c r="V2" s="1057"/>
      <c r="W2" s="598"/>
      <c r="X2" s="598"/>
    </row>
    <row r="3" spans="1:24" s="597" customFormat="1" ht="14.25" hidden="1" customHeight="1" thickBot="1">
      <c r="A3" s="1052"/>
      <c r="B3" s="564"/>
      <c r="C3" s="564"/>
      <c r="D3" s="564"/>
      <c r="E3" s="564"/>
      <c r="F3" s="1578"/>
      <c r="G3" s="1578"/>
      <c r="H3" s="1578"/>
      <c r="I3" s="1578"/>
      <c r="J3" s="1578"/>
      <c r="K3" s="564"/>
      <c r="L3" s="564"/>
      <c r="M3" s="1574"/>
      <c r="N3" s="1574"/>
      <c r="O3" s="1574"/>
      <c r="P3" s="1057"/>
      <c r="Q3" s="1057"/>
      <c r="R3" s="1053"/>
      <c r="S3" s="1053"/>
      <c r="T3" s="1053"/>
      <c r="U3" s="1053"/>
      <c r="V3" s="1053"/>
      <c r="W3" s="599"/>
      <c r="X3" s="598"/>
    </row>
    <row r="4" spans="1:24" s="597" customFormat="1" ht="20.25" customHeight="1" thickTop="1">
      <c r="A4" s="1054"/>
      <c r="B4" s="1576" t="s">
        <v>514</v>
      </c>
      <c r="C4" s="1576"/>
      <c r="D4" s="1576"/>
      <c r="E4" s="1576"/>
      <c r="F4" s="1576"/>
      <c r="G4" s="1576"/>
      <c r="H4" s="1576"/>
      <c r="I4" s="1576"/>
      <c r="J4" s="1576"/>
      <c r="K4" s="1576"/>
      <c r="L4" s="1576"/>
      <c r="M4" s="1574"/>
      <c r="N4" s="1574"/>
      <c r="O4" s="1574"/>
      <c r="P4" s="1058"/>
      <c r="Q4" s="1058"/>
      <c r="R4" s="1058"/>
      <c r="S4" s="1058"/>
      <c r="T4" s="1053"/>
      <c r="U4" s="1053"/>
      <c r="V4" s="1053"/>
      <c r="W4" s="599"/>
      <c r="X4" s="598"/>
    </row>
    <row r="5" spans="1:24" s="597" customFormat="1" ht="2.25" customHeight="1" thickBot="1">
      <c r="A5" s="1052"/>
      <c r="B5" s="564"/>
      <c r="C5" s="564"/>
      <c r="D5" s="564"/>
      <c r="E5" s="564"/>
      <c r="F5" s="564"/>
      <c r="G5" s="564"/>
      <c r="H5" s="564"/>
      <c r="I5" s="564"/>
      <c r="J5" s="564"/>
      <c r="K5" s="564"/>
      <c r="L5" s="564"/>
      <c r="M5" s="1574"/>
      <c r="N5" s="1574"/>
      <c r="O5" s="1574"/>
      <c r="P5" s="1053"/>
      <c r="Q5" s="1053"/>
      <c r="R5" s="1053"/>
      <c r="S5" s="1053"/>
      <c r="T5" s="1053"/>
      <c r="U5" s="1053"/>
      <c r="V5" s="1053"/>
      <c r="W5" s="599"/>
      <c r="X5" s="599"/>
    </row>
    <row r="6" spans="1:24" s="597" customFormat="1" ht="16.5" customHeight="1" thickTop="1" thickBot="1">
      <c r="A6" s="1055"/>
      <c r="B6" s="1055"/>
      <c r="C6" s="1055"/>
      <c r="D6" s="1577" t="s">
        <v>230</v>
      </c>
      <c r="E6" s="1577"/>
      <c r="F6" s="1577"/>
      <c r="G6" s="1582" t="s">
        <v>196</v>
      </c>
      <c r="H6" s="1583"/>
      <c r="I6" s="1579" t="s">
        <v>2108</v>
      </c>
      <c r="J6" s="1580"/>
      <c r="K6" s="1581"/>
      <c r="L6" s="563">
        <v>0.18</v>
      </c>
      <c r="M6" s="1574"/>
      <c r="N6" s="1574"/>
      <c r="O6" s="1574"/>
      <c r="P6" s="1059"/>
      <c r="Q6" s="1059"/>
      <c r="R6" s="1053"/>
      <c r="S6" s="1053"/>
      <c r="T6" s="1053"/>
      <c r="U6" s="1053"/>
      <c r="V6" s="1053"/>
      <c r="W6" s="599"/>
      <c r="X6" s="599"/>
    </row>
    <row r="7" spans="1:24" s="597" customFormat="1" ht="16.5" customHeight="1" thickTop="1" thickBot="1">
      <c r="A7" s="1055"/>
      <c r="B7" s="1584" t="s">
        <v>513</v>
      </c>
      <c r="C7" s="1573" t="s">
        <v>512</v>
      </c>
      <c r="D7" s="1565" t="s">
        <v>511</v>
      </c>
      <c r="E7" s="1566"/>
      <c r="F7" s="1566"/>
      <c r="G7" s="1567"/>
      <c r="H7" s="1571" t="s">
        <v>17</v>
      </c>
      <c r="I7" s="1573" t="s">
        <v>510</v>
      </c>
      <c r="J7" s="1562" t="s">
        <v>509</v>
      </c>
      <c r="K7" s="1563" t="s">
        <v>508</v>
      </c>
      <c r="L7" s="1564" t="s">
        <v>507</v>
      </c>
      <c r="M7" s="1562" t="s">
        <v>506</v>
      </c>
      <c r="N7" s="1055"/>
      <c r="O7" s="1055"/>
      <c r="P7" s="1559" t="s">
        <v>194</v>
      </c>
      <c r="Q7" s="1561" t="str">
        <f>CONCATENATE("SERVICE TAX @ ",(L6*100)&amp;"%")</f>
        <v>SERVICE TAX @ 18%</v>
      </c>
      <c r="R7" s="1559" t="s">
        <v>255</v>
      </c>
      <c r="S7" s="1057"/>
      <c r="T7" s="1057"/>
      <c r="U7" s="1057"/>
      <c r="V7" s="1057"/>
      <c r="W7" s="600"/>
      <c r="X7" s="600"/>
    </row>
    <row r="8" spans="1:24" s="597" customFormat="1" ht="22.5" customHeight="1" thickTop="1" thickBot="1">
      <c r="A8" s="1055"/>
      <c r="B8" s="1585"/>
      <c r="C8" s="1586"/>
      <c r="D8" s="1568"/>
      <c r="E8" s="1569"/>
      <c r="F8" s="1569"/>
      <c r="G8" s="1570"/>
      <c r="H8" s="1572"/>
      <c r="I8" s="1572"/>
      <c r="J8" s="1562"/>
      <c r="K8" s="1563"/>
      <c r="L8" s="1564"/>
      <c r="M8" s="1562"/>
      <c r="N8" s="1055"/>
      <c r="O8" s="1055"/>
      <c r="P8" s="1559"/>
      <c r="Q8" s="1561"/>
      <c r="R8" s="1559"/>
      <c r="S8" s="1060"/>
      <c r="T8" s="1060"/>
      <c r="U8" s="1060"/>
      <c r="V8" s="1060"/>
      <c r="W8" s="601"/>
      <c r="X8" s="601"/>
    </row>
    <row r="9" spans="1:24" s="597" customFormat="1" ht="16.350000000000001" customHeight="1" thickTop="1" thickBot="1">
      <c r="A9" s="1055"/>
      <c r="B9" s="1068">
        <v>1</v>
      </c>
      <c r="C9" s="1069" t="s">
        <v>505</v>
      </c>
      <c r="D9" s="562" t="s">
        <v>495</v>
      </c>
      <c r="E9" s="1587" t="s">
        <v>189</v>
      </c>
      <c r="F9" s="1588"/>
      <c r="G9" s="1589"/>
      <c r="H9" s="562">
        <v>27</v>
      </c>
      <c r="I9" s="562" t="s">
        <v>494</v>
      </c>
      <c r="J9" s="561">
        <v>1000</v>
      </c>
      <c r="K9" s="1068">
        <f>JACA!B9</f>
        <v>100000</v>
      </c>
      <c r="L9" s="562">
        <v>0</v>
      </c>
      <c r="M9" s="562">
        <v>0</v>
      </c>
      <c r="N9" s="1055"/>
      <c r="O9" s="1055"/>
      <c r="P9" s="560">
        <f>IF(G6="HALF-YEARLY",(JACA!B21)/2,(JACA!B21))</f>
        <v>2082.2059999999997</v>
      </c>
      <c r="Q9" s="560">
        <f>P9*L6</f>
        <v>374.79707999999994</v>
      </c>
      <c r="R9" s="560">
        <f t="shared" ref="R9:R17" si="0">P9+Q9</f>
        <v>2457.0030799999995</v>
      </c>
      <c r="S9" s="1060"/>
      <c r="T9" s="1060"/>
      <c r="U9" s="1060"/>
      <c r="V9" s="1060"/>
      <c r="W9" s="601"/>
      <c r="X9" s="601"/>
    </row>
    <row r="10" spans="1:24" s="597" customFormat="1" ht="16.350000000000001" customHeight="1" thickTop="1" thickBot="1">
      <c r="A10" s="1055"/>
      <c r="B10" s="1068">
        <v>2</v>
      </c>
      <c r="C10" s="1069" t="s">
        <v>504</v>
      </c>
      <c r="D10" s="562" t="s">
        <v>492</v>
      </c>
      <c r="E10" s="1590" t="s">
        <v>491</v>
      </c>
      <c r="F10" s="1591"/>
      <c r="G10" s="1592"/>
      <c r="H10" s="562" t="s">
        <v>491</v>
      </c>
      <c r="I10" s="562" t="s">
        <v>32</v>
      </c>
      <c r="J10" s="561">
        <v>0</v>
      </c>
      <c r="K10" s="1068">
        <f>JACA!C9</f>
        <v>0</v>
      </c>
      <c r="L10" s="562">
        <v>0</v>
      </c>
      <c r="M10" s="562">
        <v>0</v>
      </c>
      <c r="N10" s="1055"/>
      <c r="O10" s="1055"/>
      <c r="P10" s="560">
        <f>IF(G6="HALF-YEARLY",(JACA!C21)/2,(JACA!C21))</f>
        <v>0</v>
      </c>
      <c r="Q10" s="560">
        <f>P10*L6</f>
        <v>0</v>
      </c>
      <c r="R10" s="560">
        <f t="shared" si="0"/>
        <v>0</v>
      </c>
      <c r="S10" s="1060"/>
      <c r="T10" s="1060"/>
      <c r="U10" s="1060"/>
      <c r="V10" s="1060"/>
      <c r="W10" s="601"/>
      <c r="X10" s="601"/>
    </row>
    <row r="11" spans="1:24" s="597" customFormat="1" ht="16.350000000000001" customHeight="1" thickTop="1" thickBot="1">
      <c r="A11" s="1055"/>
      <c r="B11" s="1068">
        <v>3</v>
      </c>
      <c r="C11" s="1070" t="s">
        <v>503</v>
      </c>
      <c r="D11" s="562" t="s">
        <v>499</v>
      </c>
      <c r="E11" s="1590" t="s">
        <v>491</v>
      </c>
      <c r="F11" s="1591"/>
      <c r="G11" s="1592"/>
      <c r="H11" s="562" t="s">
        <v>491</v>
      </c>
      <c r="I11" s="562" t="s">
        <v>494</v>
      </c>
      <c r="J11" s="561">
        <v>0</v>
      </c>
      <c r="K11" s="1068">
        <f>JACA!D9</f>
        <v>0</v>
      </c>
      <c r="L11" s="1073"/>
      <c r="M11" s="1073"/>
      <c r="N11" s="1055"/>
      <c r="O11" s="1055"/>
      <c r="P11" s="560">
        <f>IF(G6="HALF-YEARLY",(JACA!D21)/2,(JACA!D21))</f>
        <v>0</v>
      </c>
      <c r="Q11" s="560">
        <f>P11*L6</f>
        <v>0</v>
      </c>
      <c r="R11" s="560">
        <f t="shared" si="0"/>
        <v>0</v>
      </c>
      <c r="S11" s="1060"/>
      <c r="T11" s="1060"/>
      <c r="U11" s="1060"/>
      <c r="V11" s="1060"/>
      <c r="W11" s="601"/>
      <c r="X11" s="601"/>
    </row>
    <row r="12" spans="1:24" s="597" customFormat="1" ht="16.350000000000001" customHeight="1" thickTop="1" thickBot="1">
      <c r="A12" s="1055"/>
      <c r="B12" s="1068">
        <v>4</v>
      </c>
      <c r="C12" s="1070" t="s">
        <v>502</v>
      </c>
      <c r="D12" s="562" t="s">
        <v>501</v>
      </c>
      <c r="E12" s="1590" t="s">
        <v>491</v>
      </c>
      <c r="F12" s="1591"/>
      <c r="G12" s="1592"/>
      <c r="H12" s="562" t="s">
        <v>491</v>
      </c>
      <c r="I12" s="562" t="s">
        <v>494</v>
      </c>
      <c r="J12" s="561">
        <v>0</v>
      </c>
      <c r="K12" s="1068">
        <f>JACA!E9</f>
        <v>0</v>
      </c>
      <c r="L12" s="1073"/>
      <c r="M12" s="1073"/>
      <c r="N12" s="1055"/>
      <c r="O12" s="1055"/>
      <c r="P12" s="560">
        <f>IF(G6="HALF-YEARLY",(JACA!E21)/2,(JACA!E21))</f>
        <v>0</v>
      </c>
      <c r="Q12" s="560">
        <f>P12*L6</f>
        <v>0</v>
      </c>
      <c r="R12" s="560">
        <f t="shared" si="0"/>
        <v>0</v>
      </c>
      <c r="S12" s="1060"/>
      <c r="T12" s="1060"/>
      <c r="U12" s="1060"/>
      <c r="V12" s="1060"/>
      <c r="W12" s="601"/>
      <c r="X12" s="601"/>
    </row>
    <row r="13" spans="1:24" s="597" customFormat="1" ht="16.350000000000001" customHeight="1" thickTop="1" thickBot="1">
      <c r="A13" s="1055"/>
      <c r="B13" s="1068">
        <v>5</v>
      </c>
      <c r="C13" s="1070" t="s">
        <v>500</v>
      </c>
      <c r="D13" s="562" t="s">
        <v>499</v>
      </c>
      <c r="E13" s="1590" t="s">
        <v>491</v>
      </c>
      <c r="F13" s="1591"/>
      <c r="G13" s="1592"/>
      <c r="H13" s="562" t="s">
        <v>491</v>
      </c>
      <c r="I13" s="562" t="s">
        <v>32</v>
      </c>
      <c r="J13" s="561">
        <v>0</v>
      </c>
      <c r="K13" s="1068">
        <f>JACA!F9</f>
        <v>0</v>
      </c>
      <c r="L13" s="1073"/>
      <c r="M13" s="1073"/>
      <c r="N13" s="1055"/>
      <c r="O13" s="1055"/>
      <c r="P13" s="560">
        <f>IF(G6="HALF-YEARLY",(JACA!F21)/2,(JACA!F21))</f>
        <v>0</v>
      </c>
      <c r="Q13" s="560">
        <f>P13*L6</f>
        <v>0</v>
      </c>
      <c r="R13" s="560">
        <f t="shared" si="0"/>
        <v>0</v>
      </c>
      <c r="S13" s="1057"/>
      <c r="T13" s="1057"/>
      <c r="U13" s="1057"/>
      <c r="V13" s="1057"/>
      <c r="W13" s="600"/>
      <c r="X13" s="600"/>
    </row>
    <row r="14" spans="1:24" s="597" customFormat="1" ht="16.350000000000001" customHeight="1" thickTop="1" thickBot="1">
      <c r="A14" s="1055"/>
      <c r="B14" s="1068">
        <v>6</v>
      </c>
      <c r="C14" s="1071" t="s">
        <v>498</v>
      </c>
      <c r="D14" s="562" t="s">
        <v>495</v>
      </c>
      <c r="E14" s="1590" t="s">
        <v>491</v>
      </c>
      <c r="F14" s="1591"/>
      <c r="G14" s="1592"/>
      <c r="H14" s="562" t="s">
        <v>491</v>
      </c>
      <c r="I14" s="562" t="s">
        <v>494</v>
      </c>
      <c r="J14" s="561">
        <v>0</v>
      </c>
      <c r="K14" s="1068">
        <f>JACA!G9</f>
        <v>0</v>
      </c>
      <c r="L14" s="1073"/>
      <c r="M14" s="1073"/>
      <c r="N14" s="1055"/>
      <c r="O14" s="1055"/>
      <c r="P14" s="560">
        <f>IF(G6="HALF-YEARLY",(JACA!G21)/2,(JACA!G21))</f>
        <v>0</v>
      </c>
      <c r="Q14" s="560">
        <f>P14*L6</f>
        <v>0</v>
      </c>
      <c r="R14" s="560">
        <f t="shared" si="0"/>
        <v>0</v>
      </c>
      <c r="S14" s="1060"/>
      <c r="T14" s="1060"/>
      <c r="U14" s="1060"/>
      <c r="V14" s="1060"/>
      <c r="W14" s="601"/>
      <c r="X14" s="601"/>
    </row>
    <row r="15" spans="1:24" s="597" customFormat="1" ht="16.350000000000001" customHeight="1" thickTop="1" thickBot="1">
      <c r="A15" s="1055"/>
      <c r="B15" s="1068">
        <v>7</v>
      </c>
      <c r="C15" s="1071" t="s">
        <v>497</v>
      </c>
      <c r="D15" s="562" t="s">
        <v>492</v>
      </c>
      <c r="E15" s="1590" t="s">
        <v>491</v>
      </c>
      <c r="F15" s="1591"/>
      <c r="G15" s="1592"/>
      <c r="H15" s="562" t="s">
        <v>491</v>
      </c>
      <c r="I15" s="562" t="s">
        <v>32</v>
      </c>
      <c r="J15" s="561">
        <v>0</v>
      </c>
      <c r="K15" s="1068">
        <f>JACA!H9</f>
        <v>0</v>
      </c>
      <c r="L15" s="1073"/>
      <c r="M15" s="1073"/>
      <c r="N15" s="1055"/>
      <c r="O15" s="1055"/>
      <c r="P15" s="560">
        <f>IF(G6="HALF-YEARLY",(JACA!H21)/2,(JACA!H21))</f>
        <v>0</v>
      </c>
      <c r="Q15" s="560">
        <f>P15*L6</f>
        <v>0</v>
      </c>
      <c r="R15" s="560">
        <f t="shared" si="0"/>
        <v>0</v>
      </c>
      <c r="S15" s="1061"/>
      <c r="T15" s="1061"/>
      <c r="U15" s="1061"/>
      <c r="V15" s="1061"/>
      <c r="W15" s="602"/>
      <c r="X15" s="602"/>
    </row>
    <row r="16" spans="1:24" s="597" customFormat="1" ht="16.350000000000001" customHeight="1" thickTop="1" thickBot="1">
      <c r="A16" s="1055"/>
      <c r="B16" s="1068">
        <v>8</v>
      </c>
      <c r="C16" s="1069" t="s">
        <v>496</v>
      </c>
      <c r="D16" s="562" t="s">
        <v>495</v>
      </c>
      <c r="E16" s="1590" t="s">
        <v>491</v>
      </c>
      <c r="F16" s="1591"/>
      <c r="G16" s="1592"/>
      <c r="H16" s="562" t="s">
        <v>491</v>
      </c>
      <c r="I16" s="562" t="s">
        <v>494</v>
      </c>
      <c r="J16" s="561">
        <v>0</v>
      </c>
      <c r="K16" s="1068">
        <f>JACA!I9</f>
        <v>0</v>
      </c>
      <c r="L16" s="1073"/>
      <c r="M16" s="1073"/>
      <c r="N16" s="1055"/>
      <c r="O16" s="1055"/>
      <c r="P16" s="560">
        <f>IF(G6="HALF-YEARLY",(JACA!I21)/2,(JACA!I21))</f>
        <v>0</v>
      </c>
      <c r="Q16" s="560">
        <f>P16*L6</f>
        <v>0</v>
      </c>
      <c r="R16" s="560">
        <f t="shared" si="0"/>
        <v>0</v>
      </c>
      <c r="S16" s="1057"/>
      <c r="T16" s="1057"/>
      <c r="U16" s="1057"/>
      <c r="V16" s="1057"/>
      <c r="W16" s="598"/>
      <c r="X16" s="598"/>
    </row>
    <row r="17" spans="1:24" s="597" customFormat="1" ht="16.350000000000001" customHeight="1" thickTop="1" thickBot="1">
      <c r="A17" s="1055"/>
      <c r="B17" s="1068">
        <v>9</v>
      </c>
      <c r="C17" s="1072" t="s">
        <v>493</v>
      </c>
      <c r="D17" s="562" t="s">
        <v>492</v>
      </c>
      <c r="E17" s="1590" t="s">
        <v>491</v>
      </c>
      <c r="F17" s="1591"/>
      <c r="G17" s="1592"/>
      <c r="H17" s="562" t="s">
        <v>491</v>
      </c>
      <c r="I17" s="562" t="s">
        <v>32</v>
      </c>
      <c r="J17" s="561">
        <v>0</v>
      </c>
      <c r="K17" s="1068">
        <f>JACA!J9</f>
        <v>0</v>
      </c>
      <c r="L17" s="1073"/>
      <c r="M17" s="1073"/>
      <c r="N17" s="1055"/>
      <c r="O17" s="1055"/>
      <c r="P17" s="560">
        <f>IF(G6="HALF-YEARLY",(JACA!J21)/2,(JACA!J21))</f>
        <v>0</v>
      </c>
      <c r="Q17" s="560">
        <f>P17*L6</f>
        <v>0</v>
      </c>
      <c r="R17" s="560">
        <f t="shared" si="0"/>
        <v>0</v>
      </c>
      <c r="S17" s="1057"/>
      <c r="T17" s="1057"/>
      <c r="U17" s="1057"/>
      <c r="V17" s="1057"/>
      <c r="W17" s="598"/>
      <c r="X17" s="598"/>
    </row>
    <row r="18" spans="1:24" s="597" customFormat="1" ht="9" customHeight="1" thickTop="1" thickBot="1">
      <c r="A18" s="1055"/>
      <c r="B18" s="1055"/>
      <c r="C18" s="1055"/>
      <c r="D18" s="1055"/>
      <c r="E18" s="1055"/>
      <c r="F18" s="1055"/>
      <c r="G18" s="1055"/>
      <c r="H18" s="1055"/>
      <c r="I18" s="1055"/>
      <c r="J18" s="1055"/>
      <c r="K18" s="1055"/>
      <c r="L18" s="1055"/>
      <c r="M18" s="1055"/>
      <c r="N18" s="1055"/>
      <c r="O18" s="1055"/>
      <c r="P18" s="1560" t="s">
        <v>195</v>
      </c>
      <c r="Q18" s="1560"/>
      <c r="R18" s="1554">
        <f>SUM(R9:R17)</f>
        <v>2457.0030799999995</v>
      </c>
      <c r="S18" s="1060"/>
      <c r="T18" s="1060"/>
      <c r="U18" s="1057"/>
      <c r="V18" s="1057"/>
      <c r="W18" s="598"/>
      <c r="X18" s="598"/>
    </row>
    <row r="19" spans="1:24" s="597" customFormat="1" ht="16.5" customHeight="1" thickTop="1" thickBot="1">
      <c r="A19" s="1055"/>
      <c r="B19" s="1067"/>
      <c r="C19" s="1067"/>
      <c r="D19" s="1067"/>
      <c r="E19" s="1067"/>
      <c r="F19" s="1067"/>
      <c r="G19" s="1067"/>
      <c r="H19" s="1055"/>
      <c r="I19" s="1055"/>
      <c r="J19" s="1055"/>
      <c r="K19" s="1055"/>
      <c r="L19" s="1055"/>
      <c r="M19" s="1055"/>
      <c r="N19" s="1055"/>
      <c r="O19" s="1055"/>
      <c r="P19" s="1560"/>
      <c r="Q19" s="1560"/>
      <c r="R19" s="1554"/>
      <c r="S19" s="1060"/>
      <c r="T19" s="1060"/>
      <c r="U19" s="1057"/>
      <c r="V19" s="1057"/>
      <c r="W19" s="598"/>
      <c r="X19" s="598"/>
    </row>
    <row r="20" spans="1:24" s="597" customFormat="1" ht="9" customHeight="1" thickTop="1">
      <c r="A20" s="1055"/>
      <c r="B20" s="1067"/>
      <c r="C20" s="1067"/>
      <c r="D20" s="1067"/>
      <c r="E20" s="1067"/>
      <c r="F20" s="1067"/>
      <c r="G20" s="1067"/>
      <c r="H20" s="1055"/>
      <c r="I20" s="1055"/>
      <c r="J20" s="1055"/>
      <c r="K20" s="1055"/>
      <c r="L20" s="1055"/>
      <c r="M20" s="1055"/>
      <c r="N20" s="1055"/>
      <c r="O20" s="1055"/>
      <c r="P20" s="1057"/>
      <c r="Q20" s="1060"/>
      <c r="R20" s="1060"/>
      <c r="S20" s="1060"/>
      <c r="T20" s="1060"/>
      <c r="U20" s="1057"/>
      <c r="V20" s="1057"/>
      <c r="W20" s="598"/>
      <c r="X20" s="598"/>
    </row>
    <row r="21" spans="1:24" s="597" customFormat="1" ht="16.5" customHeight="1">
      <c r="A21" s="1055"/>
      <c r="B21" s="1065"/>
      <c r="C21" s="1065"/>
      <c r="D21" s="1065"/>
      <c r="E21" s="1065"/>
      <c r="F21" s="1065"/>
      <c r="G21" s="1065"/>
      <c r="H21" s="1055"/>
      <c r="I21" s="1055"/>
      <c r="J21" s="1055"/>
      <c r="K21" s="1055"/>
      <c r="L21" s="1055"/>
      <c r="M21" s="1055"/>
      <c r="N21" s="1055"/>
      <c r="O21" s="1062"/>
      <c r="P21" s="1062"/>
      <c r="Q21" s="1063">
        <f t="shared" ref="Q21:Q28" si="1">IF($J$9&lt;J10,0,1)</f>
        <v>1</v>
      </c>
      <c r="R21" s="1062"/>
      <c r="S21" s="1062"/>
      <c r="T21" s="1055"/>
      <c r="U21" s="1055"/>
      <c r="V21" s="1055"/>
    </row>
    <row r="22" spans="1:24" s="597" customFormat="1" ht="16.5" customHeight="1">
      <c r="A22" s="1055"/>
      <c r="B22" s="1065"/>
      <c r="C22" s="1065"/>
      <c r="D22" s="1065"/>
      <c r="E22" s="1065"/>
      <c r="F22" s="1065"/>
      <c r="G22" s="1065"/>
      <c r="H22" s="1055"/>
      <c r="I22" s="1055"/>
      <c r="J22" s="1055"/>
      <c r="K22" s="1055"/>
      <c r="L22" s="1055"/>
      <c r="M22" s="1055"/>
      <c r="N22" s="1055"/>
      <c r="O22" s="1062"/>
      <c r="P22" s="1062"/>
      <c r="Q22" s="1063">
        <f t="shared" si="1"/>
        <v>1</v>
      </c>
      <c r="R22" s="1062"/>
      <c r="S22" s="1062"/>
      <c r="T22" s="1055"/>
      <c r="U22" s="1055"/>
      <c r="V22" s="1055"/>
    </row>
    <row r="23" spans="1:24" s="597" customFormat="1">
      <c r="A23" s="1055"/>
      <c r="B23" s="1065"/>
      <c r="C23" s="1065"/>
      <c r="D23" s="1065"/>
      <c r="E23" s="1065"/>
      <c r="F23" s="1065"/>
      <c r="G23" s="1065"/>
      <c r="H23" s="1055"/>
      <c r="I23" s="1055"/>
      <c r="J23" s="1055"/>
      <c r="K23" s="1055"/>
      <c r="L23" s="1055"/>
      <c r="M23" s="1055"/>
      <c r="N23" s="1055"/>
      <c r="O23" s="1062"/>
      <c r="P23" s="1062"/>
      <c r="Q23" s="1063">
        <f t="shared" si="1"/>
        <v>1</v>
      </c>
      <c r="R23" s="1062"/>
      <c r="S23" s="1062"/>
      <c r="T23" s="1055"/>
      <c r="U23" s="1055"/>
      <c r="V23" s="1055"/>
    </row>
    <row r="24" spans="1:24" s="597" customFormat="1" ht="15" customHeight="1" thickBot="1">
      <c r="A24" s="1055"/>
      <c r="B24" s="1065"/>
      <c r="C24" s="1065"/>
      <c r="D24" s="1065"/>
      <c r="E24" s="1065"/>
      <c r="F24" s="1065"/>
      <c r="G24" s="1065"/>
      <c r="H24" s="1055"/>
      <c r="I24" s="1055"/>
      <c r="J24" s="1055"/>
      <c r="K24" s="1055"/>
      <c r="L24" s="1055"/>
      <c r="M24" s="1055"/>
      <c r="N24" s="1055"/>
      <c r="O24" s="1062"/>
      <c r="P24" s="1062"/>
      <c r="Q24" s="1063">
        <f t="shared" si="1"/>
        <v>1</v>
      </c>
      <c r="R24" s="1062"/>
      <c r="S24" s="1062"/>
      <c r="T24" s="1055"/>
      <c r="U24" s="1055"/>
      <c r="V24" s="1055"/>
    </row>
    <row r="25" spans="1:24" s="597" customFormat="1" ht="15.75" customHeight="1" thickTop="1" thickBot="1">
      <c r="A25" s="1055"/>
      <c r="B25" s="1065"/>
      <c r="C25" s="603"/>
      <c r="D25" s="1593"/>
      <c r="E25" s="1594"/>
      <c r="F25" s="1594"/>
      <c r="G25" s="1594"/>
      <c r="H25" s="1594"/>
      <c r="I25" s="1595"/>
      <c r="J25" s="1555" t="s">
        <v>649</v>
      </c>
      <c r="K25" s="1556"/>
      <c r="L25" s="1556"/>
      <c r="M25" s="1556"/>
      <c r="N25" s="1556"/>
      <c r="O25" s="1556"/>
      <c r="P25" s="603"/>
      <c r="Q25" s="1063">
        <f t="shared" si="1"/>
        <v>1</v>
      </c>
      <c r="R25" s="1062"/>
      <c r="S25" s="1062"/>
      <c r="T25" s="1055"/>
      <c r="U25" s="1055"/>
      <c r="V25" s="1055"/>
    </row>
    <row r="26" spans="1:24" s="597" customFormat="1" ht="17.25" customHeight="1" thickTop="1">
      <c r="A26" s="1055"/>
      <c r="B26" s="1066"/>
      <c r="C26" s="603"/>
      <c r="D26" s="1548"/>
      <c r="E26" s="1549"/>
      <c r="F26" s="1549"/>
      <c r="G26" s="1549"/>
      <c r="H26" s="1549"/>
      <c r="I26" s="1550"/>
      <c r="J26" s="1557" t="s">
        <v>485</v>
      </c>
      <c r="K26" s="1558"/>
      <c r="L26" s="1558"/>
      <c r="M26" s="1558"/>
      <c r="N26" s="1558"/>
      <c r="O26" s="1558"/>
      <c r="P26" s="603"/>
      <c r="Q26" s="1063">
        <f t="shared" si="1"/>
        <v>1</v>
      </c>
      <c r="R26" s="1062"/>
      <c r="S26" s="1062"/>
      <c r="T26" s="1055"/>
      <c r="U26" s="1055"/>
      <c r="V26" s="1055"/>
    </row>
    <row r="27" spans="1:24" s="597" customFormat="1">
      <c r="A27" s="1055"/>
      <c r="B27" s="1055"/>
      <c r="C27" s="603"/>
      <c r="D27" s="1551"/>
      <c r="E27" s="1552"/>
      <c r="F27" s="1552"/>
      <c r="G27" s="1552"/>
      <c r="H27" s="1552"/>
      <c r="I27" s="1553"/>
      <c r="J27" s="1557" t="s">
        <v>486</v>
      </c>
      <c r="K27" s="1558"/>
      <c r="L27" s="1558"/>
      <c r="M27" s="1558"/>
      <c r="N27" s="1558"/>
      <c r="O27" s="1558"/>
      <c r="P27" s="603"/>
      <c r="Q27" s="1063">
        <f t="shared" si="1"/>
        <v>1</v>
      </c>
      <c r="R27" s="1062"/>
      <c r="S27" s="1062"/>
      <c r="T27" s="1055"/>
      <c r="U27" s="1055"/>
      <c r="V27" s="1055"/>
    </row>
    <row r="28" spans="1:24" s="559" customFormat="1">
      <c r="A28" s="1055"/>
      <c r="B28" s="1055"/>
      <c r="C28" s="603"/>
      <c r="D28" s="1551"/>
      <c r="E28" s="1552"/>
      <c r="F28" s="1552"/>
      <c r="G28" s="1552"/>
      <c r="H28" s="1552"/>
      <c r="I28" s="1553"/>
      <c r="J28" s="1557" t="s">
        <v>650</v>
      </c>
      <c r="K28" s="1558"/>
      <c r="L28" s="1558"/>
      <c r="M28" s="1558"/>
      <c r="N28" s="1558"/>
      <c r="O28" s="1558"/>
      <c r="P28" s="603"/>
      <c r="Q28" s="1063">
        <f t="shared" si="1"/>
        <v>1</v>
      </c>
      <c r="R28" s="1055"/>
      <c r="S28" s="1055"/>
      <c r="T28" s="1055"/>
      <c r="U28" s="1055"/>
      <c r="V28" s="1055"/>
    </row>
    <row r="29" spans="1:24" s="559" customFormat="1">
      <c r="A29" s="1055"/>
      <c r="B29" s="1055"/>
      <c r="C29" s="603"/>
      <c r="D29" s="1551"/>
      <c r="E29" s="1552"/>
      <c r="F29" s="1552"/>
      <c r="G29" s="1552"/>
      <c r="H29" s="1552"/>
      <c r="I29" s="1553"/>
      <c r="J29" s="1557" t="s">
        <v>651</v>
      </c>
      <c r="K29" s="1558"/>
      <c r="L29" s="1558"/>
      <c r="M29" s="1558"/>
      <c r="N29" s="1558"/>
      <c r="O29" s="1558"/>
      <c r="P29" s="603"/>
      <c r="Q29" s="1063"/>
      <c r="R29" s="1055"/>
      <c r="S29" s="1055"/>
      <c r="T29" s="1055"/>
      <c r="U29" s="1055"/>
      <c r="V29" s="1055"/>
    </row>
    <row r="30" spans="1:24" s="559" customFormat="1">
      <c r="A30" s="1055"/>
      <c r="B30" s="1055"/>
      <c r="C30" s="1055"/>
      <c r="D30" s="1055"/>
      <c r="E30" s="1055"/>
      <c r="F30" s="1055"/>
      <c r="G30" s="1055"/>
      <c r="H30" s="1055"/>
      <c r="I30" s="1055"/>
      <c r="J30" s="1055"/>
      <c r="K30" s="1055"/>
      <c r="L30" s="1055"/>
      <c r="M30" s="1055"/>
      <c r="N30" s="1055"/>
      <c r="O30" s="1055"/>
      <c r="P30" s="1055"/>
      <c r="Q30" s="1064"/>
      <c r="R30" s="1055"/>
      <c r="S30" s="1055"/>
      <c r="T30" s="1055"/>
      <c r="U30" s="1055"/>
      <c r="V30" s="1055"/>
    </row>
    <row r="31" spans="1:24" s="559" customFormat="1">
      <c r="A31" s="1055"/>
      <c r="B31" s="1055"/>
      <c r="C31" s="1055"/>
      <c r="D31" s="1055"/>
      <c r="E31" s="1055"/>
      <c r="F31" s="1055"/>
      <c r="G31" s="1055"/>
      <c r="H31" s="1055"/>
      <c r="I31" s="1055"/>
      <c r="J31" s="1055"/>
      <c r="K31" s="1055"/>
      <c r="L31" s="1055"/>
      <c r="M31" s="1055"/>
      <c r="N31" s="1055"/>
      <c r="O31" s="1055"/>
      <c r="P31" s="1055"/>
      <c r="Q31" s="1064"/>
      <c r="R31" s="1055"/>
      <c r="S31" s="1055"/>
      <c r="T31" s="1055"/>
      <c r="U31" s="1055"/>
      <c r="V31" s="1055"/>
    </row>
    <row r="32" spans="1:24" hidden="1"/>
    <row r="33" hidden="1"/>
  </sheetData>
  <protectedRanges>
    <protectedRange sqref="D9:I17" name="Range4"/>
    <protectedRange sqref="L6" name="Range2"/>
    <protectedRange sqref="G6:H6" name="Range1"/>
    <protectedRange sqref="L9:M10" name="Range3"/>
    <protectedRange sqref="J9:J17" name="Range4_1"/>
  </protectedRanges>
  <mergeCells count="40">
    <mergeCell ref="E14:G14"/>
    <mergeCell ref="E15:G15"/>
    <mergeCell ref="E16:G16"/>
    <mergeCell ref="E17:G17"/>
    <mergeCell ref="D25:I25"/>
    <mergeCell ref="E9:G9"/>
    <mergeCell ref="E10:G10"/>
    <mergeCell ref="E11:G11"/>
    <mergeCell ref="E12:G12"/>
    <mergeCell ref="E13:G13"/>
    <mergeCell ref="D7:G8"/>
    <mergeCell ref="H7:H8"/>
    <mergeCell ref="I7:I8"/>
    <mergeCell ref="M1:O6"/>
    <mergeCell ref="B2:L2"/>
    <mergeCell ref="B4:L4"/>
    <mergeCell ref="D6:F6"/>
    <mergeCell ref="F3:J3"/>
    <mergeCell ref="I6:K6"/>
    <mergeCell ref="G6:H6"/>
    <mergeCell ref="B7:B8"/>
    <mergeCell ref="C7:C8"/>
    <mergeCell ref="R7:R8"/>
    <mergeCell ref="P18:Q19"/>
    <mergeCell ref="Q7:Q8"/>
    <mergeCell ref="P7:P8"/>
    <mergeCell ref="J7:J8"/>
    <mergeCell ref="K7:K8"/>
    <mergeCell ref="L7:L8"/>
    <mergeCell ref="M7:M8"/>
    <mergeCell ref="D26:I26"/>
    <mergeCell ref="D27:I27"/>
    <mergeCell ref="D28:I28"/>
    <mergeCell ref="D29:I29"/>
    <mergeCell ref="R18:R19"/>
    <mergeCell ref="J25:O25"/>
    <mergeCell ref="J26:O26"/>
    <mergeCell ref="J27:O27"/>
    <mergeCell ref="J28:O28"/>
    <mergeCell ref="J29:O29"/>
  </mergeCells>
  <conditionalFormatting sqref="M1">
    <cfRule type="expression" dxfId="173" priority="2">
      <formula>Q28=0</formula>
    </cfRule>
    <cfRule type="expression" dxfId="172" priority="3">
      <formula>Q27=0</formula>
    </cfRule>
    <cfRule type="expression" dxfId="171" priority="4">
      <formula>Q26=0</formula>
    </cfRule>
    <cfRule type="expression" dxfId="170" priority="5">
      <formula>Q25=0</formula>
    </cfRule>
    <cfRule type="expression" dxfId="169" priority="6">
      <formula>Q24=0</formula>
    </cfRule>
    <cfRule type="expression" dxfId="168" priority="7">
      <formula>Q23=0</formula>
    </cfRule>
    <cfRule type="expression" dxfId="167" priority="8">
      <formula>Q22=0</formula>
    </cfRule>
    <cfRule type="expression" dxfId="166" priority="9">
      <formula>Q21=0</formula>
    </cfRule>
  </conditionalFormatting>
  <conditionalFormatting sqref="J10:J17">
    <cfRule type="expression" dxfId="165" priority="1">
      <formula>J10&gt;$J$9</formula>
    </cfRule>
  </conditionalFormatting>
  <dataValidations count="6">
    <dataValidation type="list" allowBlank="1" showInputMessage="1" showErrorMessage="1" sqref="D11:D13">
      <formula1>"Selvan.,Selvi."</formula1>
    </dataValidation>
    <dataValidation type="list" allowBlank="1" showInputMessage="1" showErrorMessage="1" sqref="D9:D10 D14:D17">
      <formula1>"Mr.,Mrs.,Dr."</formula1>
    </dataValidation>
    <dataValidation type="list" allowBlank="1" showInputMessage="1" showErrorMessage="1" sqref="G6">
      <formula1>"YEARLY,HALF-YEARLY"</formula1>
    </dataValidation>
    <dataValidation type="list" allowBlank="1" showInputMessage="1" showErrorMessage="1" sqref="J9">
      <formula1>"1000,2000,3000,4000"</formula1>
    </dataValidation>
    <dataValidation type="list" allowBlank="1" showInputMessage="1" showErrorMessage="1" sqref="I9:I17">
      <formula1>"M,F"</formula1>
    </dataValidation>
    <dataValidation type="list" allowBlank="1" showInputMessage="1" showErrorMessage="1" sqref="J10:J17">
      <formula1>"0,1000,2000,3000,4000"</formula1>
    </dataValidation>
  </dataValidations>
  <pageMargins left="0.7" right="0.7" top="0.75" bottom="0.75" header="0.3" footer="0.3"/>
  <pageSetup orientation="portrait" horizontalDpi="300" r:id="rId1"/>
  <drawing r:id="rId2"/>
</worksheet>
</file>

<file path=xl/worksheets/sheet7.xml><?xml version="1.0" encoding="utf-8"?>
<worksheet xmlns="http://schemas.openxmlformats.org/spreadsheetml/2006/main" xmlns:r="http://schemas.openxmlformats.org/officeDocument/2006/relationships">
  <sheetPr codeName="Sheet151"/>
  <dimension ref="A1:W60"/>
  <sheetViews>
    <sheetView showGridLines="0" showRowColHeaders="0" topLeftCell="B1" workbookViewId="0">
      <selection activeCell="O1" sqref="O1"/>
    </sheetView>
  </sheetViews>
  <sheetFormatPr defaultColWidth="0" defaultRowHeight="0" customHeight="1" zeroHeight="1"/>
  <cols>
    <col min="1" max="1" width="5" style="763" hidden="1" customWidth="1"/>
    <col min="2" max="2" width="4.625" style="763" customWidth="1"/>
    <col min="3" max="3" width="6.625" style="763" customWidth="1"/>
    <col min="4" max="4" width="12.625" style="763" customWidth="1"/>
    <col min="5" max="5" width="12.5" style="763" customWidth="1"/>
    <col min="6" max="6" width="9.125" style="763" customWidth="1"/>
    <col min="7" max="7" width="10" style="763" customWidth="1"/>
    <col min="8" max="8" width="5.875" style="763" customWidth="1"/>
    <col min="9" max="9" width="12" style="763" customWidth="1"/>
    <col min="10" max="10" width="7.875" style="763" customWidth="1"/>
    <col min="11" max="11" width="13.875" style="763" customWidth="1"/>
    <col min="12" max="12" width="13" style="763" customWidth="1"/>
    <col min="13" max="15" width="9.125" style="763" customWidth="1"/>
    <col min="16" max="23" width="0" style="763" hidden="1" customWidth="1"/>
    <col min="24" max="16384" width="9.125" style="763" hidden="1"/>
  </cols>
  <sheetData>
    <row r="1" spans="1:16" ht="13.5" customHeight="1">
      <c r="A1" s="794"/>
      <c r="B1" s="794"/>
      <c r="C1" s="794"/>
      <c r="D1" s="794"/>
      <c r="E1" s="794"/>
      <c r="F1" s="794"/>
      <c r="G1" s="794"/>
      <c r="H1" s="794"/>
      <c r="I1" s="794"/>
      <c r="J1" s="794"/>
      <c r="K1" s="794"/>
      <c r="L1" s="794"/>
      <c r="M1" s="794"/>
      <c r="N1" s="794"/>
      <c r="O1" s="794"/>
    </row>
    <row r="2" spans="1:16" ht="15.75" customHeight="1">
      <c r="A2" s="794"/>
      <c r="B2" s="794"/>
      <c r="C2" s="794"/>
      <c r="D2" s="794"/>
      <c r="E2" s="794"/>
      <c r="F2" s="794"/>
      <c r="G2" s="794"/>
      <c r="H2" s="794"/>
      <c r="I2" s="794"/>
      <c r="J2" s="794"/>
      <c r="K2" s="1612">
        <f ca="1">TODAY()</f>
        <v>43229</v>
      </c>
      <c r="L2" s="1612"/>
      <c r="M2" s="794"/>
      <c r="N2" s="794"/>
      <c r="O2" s="794"/>
    </row>
    <row r="3" spans="1:16" ht="15.75" customHeight="1">
      <c r="A3" s="794"/>
      <c r="B3" s="794"/>
      <c r="C3" s="794"/>
      <c r="D3" s="794"/>
      <c r="E3" s="794"/>
      <c r="F3" s="794"/>
      <c r="G3" s="794"/>
      <c r="H3" s="794"/>
      <c r="I3" s="794"/>
      <c r="J3" s="794"/>
      <c r="K3" s="794"/>
      <c r="L3" s="794"/>
      <c r="M3" s="794"/>
      <c r="N3" s="794"/>
      <c r="O3" s="794"/>
    </row>
    <row r="4" spans="1:16" ht="18" customHeight="1">
      <c r="B4" s="794"/>
      <c r="D4" s="794"/>
      <c r="E4" s="794"/>
      <c r="F4" s="794"/>
      <c r="G4" s="794"/>
      <c r="H4" s="794"/>
      <c r="I4" s="30"/>
      <c r="J4" s="30"/>
      <c r="K4" s="1613" t="s">
        <v>437</v>
      </c>
      <c r="L4" s="1613"/>
      <c r="M4" s="794"/>
      <c r="N4" s="794"/>
      <c r="O4" s="794"/>
    </row>
    <row r="5" spans="1:16" ht="18" customHeight="1">
      <c r="B5" s="794"/>
      <c r="D5" s="794"/>
      <c r="E5" s="794"/>
      <c r="F5" s="794"/>
      <c r="G5" s="794"/>
      <c r="H5" s="794"/>
      <c r="I5" s="30"/>
      <c r="J5" s="30"/>
      <c r="K5" s="1614" t="s">
        <v>436</v>
      </c>
      <c r="L5" s="1614"/>
      <c r="M5" s="794"/>
      <c r="N5" s="794"/>
      <c r="O5" s="794"/>
    </row>
    <row r="6" spans="1:16" ht="14.25" customHeight="1">
      <c r="B6" s="794"/>
      <c r="C6" s="484"/>
      <c r="D6" s="484"/>
      <c r="E6" s="484"/>
      <c r="F6" s="484"/>
      <c r="G6" s="484"/>
      <c r="H6" s="794"/>
      <c r="I6" s="30"/>
      <c r="J6" s="30"/>
      <c r="K6" s="794"/>
      <c r="L6" s="794"/>
      <c r="M6" s="1598" t="s">
        <v>232</v>
      </c>
      <c r="N6" s="1598"/>
      <c r="O6" s="1598"/>
    </row>
    <row r="7" spans="1:16" ht="7.5" customHeight="1">
      <c r="B7" s="794"/>
      <c r="C7" s="499"/>
      <c r="D7" s="499"/>
      <c r="E7" s="499"/>
      <c r="F7" s="499"/>
      <c r="G7" s="499"/>
      <c r="H7" s="794"/>
      <c r="I7" s="498"/>
      <c r="M7" s="1598"/>
      <c r="N7" s="1598"/>
      <c r="O7" s="1598"/>
    </row>
    <row r="8" spans="1:16" ht="15.75" customHeight="1">
      <c r="B8" s="794"/>
      <c r="C8" s="1599" t="s">
        <v>435</v>
      </c>
      <c r="D8" s="1599"/>
      <c r="E8" s="1599"/>
      <c r="F8" s="1599"/>
      <c r="G8" s="1599"/>
      <c r="H8" s="56"/>
      <c r="I8" s="483"/>
      <c r="J8" s="823" t="s">
        <v>251</v>
      </c>
      <c r="K8" s="776">
        <f>Main!E9</f>
        <v>30</v>
      </c>
      <c r="L8" s="275" t="s">
        <v>234</v>
      </c>
      <c r="M8" s="1381" t="s">
        <v>226</v>
      </c>
      <c r="N8" s="1381"/>
      <c r="O8" s="1381"/>
      <c r="P8" s="1381"/>
    </row>
    <row r="9" spans="1:16" ht="16.5" thickBot="1">
      <c r="B9" s="794"/>
      <c r="C9" s="1600"/>
      <c r="D9" s="1600"/>
      <c r="E9" s="1600"/>
      <c r="F9" s="1600"/>
      <c r="G9" s="1600"/>
      <c r="H9" s="56"/>
      <c r="I9" s="483"/>
      <c r="J9" s="778" t="s">
        <v>425</v>
      </c>
      <c r="K9" s="776">
        <f>Main!E11</f>
        <v>25</v>
      </c>
      <c r="L9" s="275" t="s">
        <v>234</v>
      </c>
      <c r="M9" s="1381"/>
      <c r="N9" s="1381"/>
      <c r="O9" s="1381"/>
      <c r="P9" s="1381"/>
    </row>
    <row r="10" spans="1:16" ht="19.5" customHeight="1" thickTop="1">
      <c r="B10" s="774"/>
      <c r="C10" s="1616" t="s">
        <v>231</v>
      </c>
      <c r="D10" s="1616"/>
      <c r="E10" s="1616"/>
      <c r="F10" s="1616"/>
      <c r="G10" s="1616"/>
      <c r="H10" s="794"/>
      <c r="I10" s="1605" t="s">
        <v>424</v>
      </c>
      <c r="J10" s="1605"/>
      <c r="K10" s="1601">
        <f>Main!E10</f>
        <v>2500000</v>
      </c>
      <c r="L10" s="1601"/>
      <c r="M10" s="794"/>
      <c r="N10" s="794"/>
      <c r="O10" s="794"/>
    </row>
    <row r="11" spans="1:16" ht="20.25" customHeight="1">
      <c r="A11" s="497"/>
      <c r="B11" s="774"/>
      <c r="C11" s="1602" t="str">
        <f>CONCATENATE(Main!E8,(Main!F8))</f>
        <v>Sri.soumil</v>
      </c>
      <c r="D11" s="1602"/>
      <c r="E11" s="1602"/>
      <c r="F11" s="1602"/>
      <c r="G11" s="1602"/>
      <c r="H11" s="794"/>
      <c r="I11" s="1603"/>
      <c r="J11" s="1603"/>
      <c r="K11" s="56"/>
      <c r="L11" s="481"/>
      <c r="M11" s="794"/>
      <c r="N11" s="794"/>
      <c r="O11" s="794"/>
    </row>
    <row r="12" spans="1:16" ht="9" customHeight="1">
      <c r="B12" s="794"/>
      <c r="C12" s="52"/>
      <c r="D12" s="52"/>
      <c r="E12" s="52"/>
      <c r="F12" s="52"/>
      <c r="G12" s="496"/>
      <c r="H12" s="54"/>
      <c r="I12" s="1619" t="s">
        <v>230</v>
      </c>
      <c r="J12" s="1619"/>
      <c r="K12" s="1619" t="s">
        <v>16</v>
      </c>
      <c r="L12" s="1619" t="s">
        <v>15</v>
      </c>
      <c r="M12" s="794"/>
      <c r="N12" s="794"/>
      <c r="O12" s="794"/>
    </row>
    <row r="13" spans="1:16" ht="14.25" customHeight="1">
      <c r="B13" s="794"/>
      <c r="C13" s="1621" t="s">
        <v>227</v>
      </c>
      <c r="D13" s="1621"/>
      <c r="E13" s="1621"/>
      <c r="F13" s="1621"/>
      <c r="G13" s="1621"/>
      <c r="H13" s="49"/>
      <c r="I13" s="1620"/>
      <c r="J13" s="1620"/>
      <c r="K13" s="1620"/>
      <c r="L13" s="1620"/>
      <c r="M13" s="1596" t="s">
        <v>228</v>
      </c>
      <c r="N13" s="1597"/>
      <c r="O13" s="1597"/>
    </row>
    <row r="14" spans="1:16" ht="15" customHeight="1">
      <c r="B14" s="794"/>
      <c r="C14" s="1621"/>
      <c r="D14" s="1621"/>
      <c r="E14" s="1621"/>
      <c r="F14" s="1621"/>
      <c r="G14" s="1621"/>
      <c r="H14" s="495"/>
      <c r="I14" s="1622" t="s">
        <v>2127</v>
      </c>
      <c r="J14" s="1623"/>
      <c r="K14" s="1626">
        <f>DAT!AT12</f>
        <v>0</v>
      </c>
      <c r="L14" s="1626">
        <f>DAT!AU12</f>
        <v>0</v>
      </c>
      <c r="M14" s="1597"/>
      <c r="N14" s="1597"/>
      <c r="O14" s="1597"/>
    </row>
    <row r="15" spans="1:16" ht="13.5" customHeight="1">
      <c r="B15" s="38" t="s">
        <v>224</v>
      </c>
      <c r="C15" s="1604" t="s">
        <v>434</v>
      </c>
      <c r="D15" s="1604"/>
      <c r="E15" s="1604"/>
      <c r="F15" s="1604"/>
      <c r="G15" s="1604"/>
      <c r="H15" s="1604"/>
      <c r="I15" s="1624"/>
      <c r="J15" s="1625"/>
      <c r="K15" s="1627"/>
      <c r="L15" s="1628"/>
      <c r="M15" s="1391" t="s">
        <v>226</v>
      </c>
      <c r="N15" s="1391"/>
      <c r="O15" s="1391"/>
      <c r="P15" s="1391"/>
    </row>
    <row r="16" spans="1:16" ht="15.75" customHeight="1">
      <c r="B16" s="38" t="s">
        <v>224</v>
      </c>
      <c r="C16" s="1604" t="s">
        <v>422</v>
      </c>
      <c r="D16" s="1604"/>
      <c r="E16" s="1604"/>
      <c r="F16" s="1604"/>
      <c r="G16" s="1604"/>
      <c r="H16" s="1604"/>
      <c r="I16" s="1618"/>
      <c r="J16" s="1618"/>
      <c r="K16" s="794"/>
      <c r="L16" s="794"/>
      <c r="M16" s="1391"/>
      <c r="N16" s="1391"/>
      <c r="O16" s="1391"/>
      <c r="P16" s="1391"/>
    </row>
    <row r="17" spans="1:17" ht="12.75" customHeight="1">
      <c r="B17" s="38" t="s">
        <v>224</v>
      </c>
      <c r="C17" s="1604" t="s">
        <v>421</v>
      </c>
      <c r="D17" s="1604"/>
      <c r="E17" s="1604"/>
      <c r="F17" s="1604"/>
      <c r="G17" s="1604"/>
      <c r="H17" s="1604"/>
      <c r="I17" s="494"/>
      <c r="J17" s="489"/>
      <c r="K17" s="794"/>
      <c r="L17" s="794"/>
      <c r="M17" s="794"/>
      <c r="N17" s="794"/>
      <c r="O17" s="794"/>
    </row>
    <row r="18" spans="1:17" ht="12.75" customHeight="1">
      <c r="B18" s="794"/>
      <c r="C18" s="1617" t="s">
        <v>420</v>
      </c>
      <c r="D18" s="1617"/>
      <c r="E18" s="1617"/>
      <c r="F18" s="1617"/>
      <c r="G18" s="1617"/>
      <c r="H18" s="1617"/>
      <c r="I18" s="493"/>
      <c r="J18" s="489"/>
      <c r="K18" s="794"/>
      <c r="L18" s="794"/>
      <c r="M18" s="794"/>
      <c r="N18" s="794"/>
      <c r="O18" s="794"/>
    </row>
    <row r="19" spans="1:17" ht="12.75" customHeight="1">
      <c r="B19" s="38" t="s">
        <v>224</v>
      </c>
      <c r="C19" s="1615" t="s">
        <v>419</v>
      </c>
      <c r="D19" s="1615"/>
      <c r="E19" s="1615"/>
      <c r="F19" s="1615"/>
      <c r="G19" s="1615"/>
      <c r="H19" s="1615"/>
      <c r="I19" s="1615"/>
      <c r="J19" s="489"/>
      <c r="K19" s="794"/>
      <c r="L19" s="794"/>
      <c r="M19" s="794"/>
      <c r="N19" s="794"/>
      <c r="O19" s="794"/>
    </row>
    <row r="20" spans="1:17" ht="13.5" customHeight="1">
      <c r="A20" s="420"/>
      <c r="B20" s="38" t="s">
        <v>224</v>
      </c>
      <c r="C20" s="1629" t="s">
        <v>433</v>
      </c>
      <c r="D20" s="1629"/>
      <c r="E20" s="1629"/>
      <c r="F20" s="1629"/>
      <c r="G20" s="1629"/>
      <c r="H20" s="1629"/>
      <c r="I20" s="492"/>
      <c r="J20" s="489"/>
      <c r="K20" s="794"/>
      <c r="L20" s="794"/>
      <c r="M20" s="794"/>
      <c r="N20" s="794"/>
      <c r="O20" s="794"/>
    </row>
    <row r="21" spans="1:17" ht="16.5" customHeight="1">
      <c r="A21" s="420"/>
      <c r="B21" s="38"/>
      <c r="C21" s="1630" t="s">
        <v>432</v>
      </c>
      <c r="D21" s="1630"/>
      <c r="E21" s="1630"/>
      <c r="F21" s="1630"/>
      <c r="G21" s="1630"/>
      <c r="H21" s="1630"/>
      <c r="I21" s="491"/>
      <c r="J21" s="489"/>
      <c r="K21" s="794"/>
      <c r="L21" s="794"/>
      <c r="M21" s="794"/>
      <c r="N21" s="794"/>
      <c r="O21" s="794"/>
    </row>
    <row r="22" spans="1:17" ht="14.25" customHeight="1">
      <c r="B22" s="38" t="s">
        <v>224</v>
      </c>
      <c r="C22" s="1615" t="s">
        <v>431</v>
      </c>
      <c r="D22" s="1615"/>
      <c r="E22" s="1615"/>
      <c r="F22" s="1615"/>
      <c r="G22" s="1615"/>
      <c r="H22" s="1615"/>
      <c r="I22" s="490"/>
      <c r="J22" s="489"/>
      <c r="K22" s="794"/>
      <c r="L22" s="794"/>
      <c r="M22" s="794"/>
      <c r="N22" s="794"/>
      <c r="O22" s="794"/>
    </row>
    <row r="23" spans="1:17" ht="14.25" customHeight="1">
      <c r="B23" s="38" t="s">
        <v>224</v>
      </c>
      <c r="C23" s="1615" t="s">
        <v>430</v>
      </c>
      <c r="D23" s="1615"/>
      <c r="E23" s="1615"/>
      <c r="F23" s="1615"/>
      <c r="G23" s="1615"/>
      <c r="H23" s="1615"/>
      <c r="I23" s="490"/>
      <c r="J23" s="489"/>
      <c r="K23" s="794"/>
      <c r="L23" s="794"/>
      <c r="M23" s="794"/>
      <c r="N23" s="794"/>
      <c r="O23" s="794"/>
    </row>
    <row r="24" spans="1:17" ht="14.25" customHeight="1">
      <c r="B24" s="38"/>
      <c r="C24" s="1615" t="s">
        <v>429</v>
      </c>
      <c r="D24" s="1615"/>
      <c r="E24" s="488"/>
      <c r="F24" s="488"/>
      <c r="G24" s="488"/>
      <c r="H24" s="488"/>
      <c r="I24" s="488"/>
      <c r="J24" s="794"/>
      <c r="K24" s="794"/>
      <c r="L24" s="794"/>
      <c r="M24" s="794"/>
      <c r="N24" s="794"/>
      <c r="O24" s="794"/>
    </row>
    <row r="25" spans="1:17" ht="6.75" customHeight="1">
      <c r="A25" s="420"/>
      <c r="B25" s="38"/>
      <c r="C25" s="487"/>
      <c r="D25" s="487"/>
      <c r="E25" s="487"/>
      <c r="F25" s="487"/>
      <c r="G25" s="487"/>
      <c r="H25" s="53"/>
      <c r="I25" s="53"/>
      <c r="J25" s="794"/>
      <c r="K25" s="794"/>
      <c r="L25" s="794"/>
      <c r="M25" s="794"/>
      <c r="N25" s="794"/>
      <c r="O25" s="794"/>
    </row>
    <row r="26" spans="1:17" ht="13.5" customHeight="1">
      <c r="A26" s="1606" t="s">
        <v>330</v>
      </c>
      <c r="B26" s="38"/>
      <c r="C26" s="1607" t="s">
        <v>17</v>
      </c>
      <c r="D26" s="1608" t="s">
        <v>223</v>
      </c>
      <c r="E26" s="1609" t="s">
        <v>222</v>
      </c>
      <c r="F26" s="1611" t="s">
        <v>221</v>
      </c>
      <c r="G26" s="1611"/>
      <c r="H26" s="53"/>
      <c r="I26" s="53"/>
      <c r="J26" s="794"/>
      <c r="K26" s="794"/>
      <c r="L26" s="794"/>
      <c r="M26" s="794"/>
      <c r="N26" s="794"/>
      <c r="O26" s="794"/>
      <c r="P26" s="1634"/>
      <c r="Q26" s="1634"/>
    </row>
    <row r="27" spans="1:17" ht="15">
      <c r="A27" s="1606"/>
      <c r="B27" s="794"/>
      <c r="C27" s="1607"/>
      <c r="D27" s="1608"/>
      <c r="E27" s="1610"/>
      <c r="F27" s="1611"/>
      <c r="G27" s="1611"/>
      <c r="H27" s="479"/>
      <c r="I27" s="479"/>
      <c r="J27" s="794"/>
      <c r="K27" s="794"/>
      <c r="L27" s="794"/>
      <c r="M27" s="794"/>
      <c r="N27" s="794"/>
      <c r="O27" s="794"/>
    </row>
    <row r="28" spans="1:17" ht="14.45" customHeight="1">
      <c r="A28" s="486">
        <v>0</v>
      </c>
      <c r="B28" s="38"/>
      <c r="C28" s="474">
        <f>K8</f>
        <v>30</v>
      </c>
      <c r="D28" s="474" t="str">
        <f ca="1">IF(A28&lt;$K$9,(((DAY(NOW())&amp;"/")&amp;MONTH(NOW()))&amp;"/")&amp;((YEAR(NOW()))),0)</f>
        <v>9/5/2018</v>
      </c>
      <c r="E28" s="474">
        <f t="shared" ref="E28:E52" si="0">IF(A28&lt;$K$9,$K$14," ")</f>
        <v>0</v>
      </c>
      <c r="F28" s="1631">
        <f t="shared" ref="F28:F52" si="1">IF(A28&lt;$K$9,$K$10," ")</f>
        <v>2500000</v>
      </c>
      <c r="G28" s="1631"/>
      <c r="H28" s="478"/>
      <c r="I28" s="478"/>
      <c r="J28" s="794"/>
      <c r="K28" s="794"/>
      <c r="L28" s="794"/>
      <c r="M28" s="794"/>
      <c r="N28" s="794"/>
      <c r="O28" s="794"/>
      <c r="P28" s="1635"/>
      <c r="Q28" s="1635"/>
    </row>
    <row r="29" spans="1:17" ht="14.45" customHeight="1">
      <c r="A29" s="486">
        <v>1</v>
      </c>
      <c r="B29" s="794"/>
      <c r="C29" s="474">
        <f t="shared" ref="C29:C52" si="2">IF(A29&lt;$K$9,$C$28+A29," ")</f>
        <v>31</v>
      </c>
      <c r="D29" s="474" t="str">
        <f t="shared" ref="D29:D52" ca="1" si="3">IF(A29&lt;$K$9,(((DAY(NOW())&amp;"/")&amp;MONTH(NOW()))&amp;"/")&amp;((YEAR(NOW())))+A29," ")</f>
        <v>9/5/2019</v>
      </c>
      <c r="E29" s="474">
        <f t="shared" si="0"/>
        <v>0</v>
      </c>
      <c r="F29" s="1631">
        <f t="shared" si="1"/>
        <v>2500000</v>
      </c>
      <c r="G29" s="1631"/>
      <c r="H29" s="794"/>
      <c r="I29" s="794"/>
      <c r="J29" s="794"/>
      <c r="K29" s="794"/>
      <c r="L29" s="794"/>
      <c r="M29" s="794"/>
      <c r="N29" s="794"/>
      <c r="O29" s="794"/>
    </row>
    <row r="30" spans="1:17" ht="14.45" customHeight="1">
      <c r="A30" s="486">
        <v>2</v>
      </c>
      <c r="B30" s="794"/>
      <c r="C30" s="474">
        <f t="shared" si="2"/>
        <v>32</v>
      </c>
      <c r="D30" s="474" t="str">
        <f t="shared" ca="1" si="3"/>
        <v>9/5/2020</v>
      </c>
      <c r="E30" s="474">
        <f t="shared" si="0"/>
        <v>0</v>
      </c>
      <c r="F30" s="1631">
        <f t="shared" si="1"/>
        <v>2500000</v>
      </c>
      <c r="G30" s="1631"/>
      <c r="H30" s="794"/>
      <c r="I30" s="794"/>
      <c r="J30" s="794"/>
      <c r="K30" s="794"/>
      <c r="L30" s="794"/>
      <c r="M30" s="794"/>
      <c r="N30" s="794"/>
      <c r="O30" s="794"/>
    </row>
    <row r="31" spans="1:17" ht="14.45" customHeight="1">
      <c r="A31" s="486">
        <v>3</v>
      </c>
      <c r="B31" s="794"/>
      <c r="C31" s="474">
        <f t="shared" si="2"/>
        <v>33</v>
      </c>
      <c r="D31" s="474" t="str">
        <f t="shared" ca="1" si="3"/>
        <v>9/5/2021</v>
      </c>
      <c r="E31" s="474">
        <f t="shared" si="0"/>
        <v>0</v>
      </c>
      <c r="F31" s="1631">
        <f t="shared" si="1"/>
        <v>2500000</v>
      </c>
      <c r="G31" s="1631"/>
      <c r="H31" s="794"/>
      <c r="I31" s="794"/>
      <c r="J31" s="794"/>
      <c r="K31" s="794"/>
      <c r="L31" s="794"/>
      <c r="M31" s="794"/>
      <c r="N31" s="794"/>
      <c r="O31" s="794"/>
    </row>
    <row r="32" spans="1:17" ht="14.45" customHeight="1">
      <c r="A32" s="486">
        <v>4</v>
      </c>
      <c r="B32" s="794"/>
      <c r="C32" s="474">
        <f t="shared" si="2"/>
        <v>34</v>
      </c>
      <c r="D32" s="474" t="str">
        <f t="shared" ca="1" si="3"/>
        <v>9/5/2022</v>
      </c>
      <c r="E32" s="474">
        <f t="shared" si="0"/>
        <v>0</v>
      </c>
      <c r="F32" s="1631">
        <f t="shared" si="1"/>
        <v>2500000</v>
      </c>
      <c r="G32" s="1631"/>
      <c r="H32" s="794"/>
      <c r="I32" s="794"/>
      <c r="J32" s="794"/>
      <c r="K32" s="794"/>
      <c r="L32" s="794"/>
      <c r="M32" s="794"/>
      <c r="N32" s="794"/>
      <c r="O32" s="794"/>
    </row>
    <row r="33" spans="1:15" ht="14.45" customHeight="1">
      <c r="A33" s="486">
        <v>5</v>
      </c>
      <c r="B33" s="794"/>
      <c r="C33" s="474">
        <f t="shared" si="2"/>
        <v>35</v>
      </c>
      <c r="D33" s="474" t="str">
        <f t="shared" ca="1" si="3"/>
        <v>9/5/2023</v>
      </c>
      <c r="E33" s="474">
        <f t="shared" si="0"/>
        <v>0</v>
      </c>
      <c r="F33" s="1631">
        <f t="shared" si="1"/>
        <v>2500000</v>
      </c>
      <c r="G33" s="1631"/>
      <c r="H33" s="794"/>
      <c r="I33" s="794"/>
      <c r="J33" s="794"/>
      <c r="K33" s="794"/>
      <c r="L33" s="794"/>
      <c r="M33" s="794"/>
      <c r="N33" s="794"/>
      <c r="O33" s="794"/>
    </row>
    <row r="34" spans="1:15" ht="14.45" customHeight="1">
      <c r="A34" s="486">
        <v>6</v>
      </c>
      <c r="B34" s="794"/>
      <c r="C34" s="474">
        <f t="shared" si="2"/>
        <v>36</v>
      </c>
      <c r="D34" s="474" t="str">
        <f t="shared" ca="1" si="3"/>
        <v>9/5/2024</v>
      </c>
      <c r="E34" s="474">
        <f t="shared" si="0"/>
        <v>0</v>
      </c>
      <c r="F34" s="1631">
        <f t="shared" si="1"/>
        <v>2500000</v>
      </c>
      <c r="G34" s="1631"/>
      <c r="H34" s="794"/>
      <c r="I34" s="794"/>
      <c r="J34" s="794"/>
      <c r="K34" s="794"/>
      <c r="L34" s="794"/>
      <c r="M34" s="794"/>
      <c r="N34" s="794"/>
      <c r="O34" s="794"/>
    </row>
    <row r="35" spans="1:15" ht="15.75" customHeight="1">
      <c r="A35" s="486">
        <v>7</v>
      </c>
      <c r="B35" s="794"/>
      <c r="C35" s="474">
        <f t="shared" si="2"/>
        <v>37</v>
      </c>
      <c r="D35" s="474" t="str">
        <f t="shared" ca="1" si="3"/>
        <v>9/5/2025</v>
      </c>
      <c r="E35" s="474">
        <f t="shared" si="0"/>
        <v>0</v>
      </c>
      <c r="F35" s="1631">
        <f t="shared" si="1"/>
        <v>2500000</v>
      </c>
      <c r="G35" s="1631"/>
      <c r="H35" s="794"/>
      <c r="I35" s="794"/>
      <c r="J35" s="794"/>
      <c r="K35" s="794"/>
      <c r="L35" s="794"/>
      <c r="M35" s="794"/>
      <c r="N35" s="794"/>
      <c r="O35" s="794"/>
    </row>
    <row r="36" spans="1:15" ht="14.45" customHeight="1">
      <c r="A36" s="486">
        <v>8</v>
      </c>
      <c r="B36" s="794"/>
      <c r="C36" s="474">
        <f t="shared" si="2"/>
        <v>38</v>
      </c>
      <c r="D36" s="474" t="str">
        <f t="shared" ca="1" si="3"/>
        <v>9/5/2026</v>
      </c>
      <c r="E36" s="474">
        <f t="shared" si="0"/>
        <v>0</v>
      </c>
      <c r="F36" s="1631">
        <f t="shared" si="1"/>
        <v>2500000</v>
      </c>
      <c r="G36" s="1631"/>
      <c r="H36" s="794"/>
      <c r="I36" s="794"/>
      <c r="J36" s="794"/>
      <c r="K36" s="794"/>
      <c r="L36" s="794"/>
      <c r="M36" s="794"/>
      <c r="N36" s="794"/>
      <c r="O36" s="794"/>
    </row>
    <row r="37" spans="1:15" ht="15" customHeight="1">
      <c r="A37" s="486">
        <v>9</v>
      </c>
      <c r="B37" s="794"/>
      <c r="C37" s="474">
        <f t="shared" si="2"/>
        <v>39</v>
      </c>
      <c r="D37" s="474" t="str">
        <f t="shared" ca="1" si="3"/>
        <v>9/5/2027</v>
      </c>
      <c r="E37" s="474">
        <f t="shared" si="0"/>
        <v>0</v>
      </c>
      <c r="F37" s="1631">
        <f t="shared" si="1"/>
        <v>2500000</v>
      </c>
      <c r="G37" s="1631"/>
      <c r="H37" s="794"/>
      <c r="I37" s="794"/>
      <c r="J37" s="794"/>
      <c r="K37" s="794"/>
      <c r="L37" s="794"/>
      <c r="M37" s="794"/>
      <c r="N37" s="794"/>
      <c r="O37" s="794"/>
    </row>
    <row r="38" spans="1:15" ht="14.45" customHeight="1">
      <c r="A38" s="486">
        <v>10</v>
      </c>
      <c r="B38" s="794"/>
      <c r="C38" s="474">
        <f t="shared" si="2"/>
        <v>40</v>
      </c>
      <c r="D38" s="474" t="str">
        <f t="shared" ca="1" si="3"/>
        <v>9/5/2028</v>
      </c>
      <c r="E38" s="474">
        <f t="shared" si="0"/>
        <v>0</v>
      </c>
      <c r="F38" s="1631">
        <f t="shared" si="1"/>
        <v>2500000</v>
      </c>
      <c r="G38" s="1631"/>
      <c r="H38" s="794"/>
      <c r="I38" s="794"/>
      <c r="J38" s="794"/>
      <c r="K38" s="794"/>
      <c r="L38" s="794"/>
      <c r="M38" s="794"/>
      <c r="N38" s="794"/>
      <c r="O38" s="794"/>
    </row>
    <row r="39" spans="1:15" ht="14.45" customHeight="1">
      <c r="A39" s="486">
        <v>11</v>
      </c>
      <c r="B39" s="794"/>
      <c r="C39" s="474">
        <f t="shared" si="2"/>
        <v>41</v>
      </c>
      <c r="D39" s="474" t="str">
        <f t="shared" ca="1" si="3"/>
        <v>9/5/2029</v>
      </c>
      <c r="E39" s="474">
        <f t="shared" si="0"/>
        <v>0</v>
      </c>
      <c r="F39" s="1631">
        <f t="shared" si="1"/>
        <v>2500000</v>
      </c>
      <c r="G39" s="1631"/>
      <c r="H39" s="794"/>
      <c r="I39" s="794"/>
      <c r="J39" s="794"/>
      <c r="K39" s="794"/>
      <c r="L39" s="794"/>
      <c r="M39" s="794"/>
      <c r="N39" s="794"/>
      <c r="O39" s="794"/>
    </row>
    <row r="40" spans="1:15" ht="14.45" customHeight="1">
      <c r="A40" s="486">
        <v>12</v>
      </c>
      <c r="B40" s="794"/>
      <c r="C40" s="474">
        <f t="shared" si="2"/>
        <v>42</v>
      </c>
      <c r="D40" s="474" t="str">
        <f t="shared" ca="1" si="3"/>
        <v>9/5/2030</v>
      </c>
      <c r="E40" s="474">
        <f t="shared" si="0"/>
        <v>0</v>
      </c>
      <c r="F40" s="1631">
        <f t="shared" si="1"/>
        <v>2500000</v>
      </c>
      <c r="G40" s="1631"/>
      <c r="H40" s="794"/>
      <c r="I40" s="794"/>
      <c r="J40" s="794"/>
      <c r="K40" s="794"/>
      <c r="L40" s="794"/>
      <c r="M40" s="794"/>
      <c r="N40" s="794"/>
      <c r="O40" s="794"/>
    </row>
    <row r="41" spans="1:15" ht="14.45" customHeight="1">
      <c r="A41" s="486">
        <v>13</v>
      </c>
      <c r="B41" s="794"/>
      <c r="C41" s="474">
        <f t="shared" si="2"/>
        <v>43</v>
      </c>
      <c r="D41" s="474" t="str">
        <f t="shared" ca="1" si="3"/>
        <v>9/5/2031</v>
      </c>
      <c r="E41" s="474">
        <f t="shared" si="0"/>
        <v>0</v>
      </c>
      <c r="F41" s="1631">
        <f t="shared" si="1"/>
        <v>2500000</v>
      </c>
      <c r="G41" s="1631"/>
      <c r="H41" s="794"/>
      <c r="I41" s="794"/>
      <c r="J41" s="794"/>
      <c r="K41" s="794"/>
      <c r="L41" s="794"/>
      <c r="M41" s="794"/>
      <c r="N41" s="794"/>
      <c r="O41" s="794"/>
    </row>
    <row r="42" spans="1:15" ht="14.45" customHeight="1">
      <c r="A42" s="486">
        <v>14</v>
      </c>
      <c r="B42" s="794"/>
      <c r="C42" s="474">
        <f t="shared" si="2"/>
        <v>44</v>
      </c>
      <c r="D42" s="474" t="str">
        <f t="shared" ca="1" si="3"/>
        <v>9/5/2032</v>
      </c>
      <c r="E42" s="474">
        <f t="shared" si="0"/>
        <v>0</v>
      </c>
      <c r="F42" s="1631">
        <f t="shared" si="1"/>
        <v>2500000</v>
      </c>
      <c r="G42" s="1631"/>
      <c r="H42" s="794"/>
      <c r="I42" s="794"/>
      <c r="J42" s="794"/>
      <c r="K42" s="794"/>
      <c r="L42" s="794"/>
      <c r="M42" s="794"/>
      <c r="N42" s="794"/>
      <c r="O42" s="794"/>
    </row>
    <row r="43" spans="1:15" ht="14.45" customHeight="1">
      <c r="A43" s="486">
        <v>15</v>
      </c>
      <c r="B43" s="794"/>
      <c r="C43" s="474">
        <f t="shared" si="2"/>
        <v>45</v>
      </c>
      <c r="D43" s="474" t="str">
        <f t="shared" ca="1" si="3"/>
        <v>9/5/2033</v>
      </c>
      <c r="E43" s="474">
        <f t="shared" si="0"/>
        <v>0</v>
      </c>
      <c r="F43" s="1631">
        <f t="shared" si="1"/>
        <v>2500000</v>
      </c>
      <c r="G43" s="1631"/>
      <c r="H43" s="794"/>
      <c r="I43" s="794"/>
      <c r="J43" s="794"/>
      <c r="K43" s="794"/>
      <c r="L43" s="794"/>
      <c r="M43" s="794"/>
      <c r="N43" s="794"/>
      <c r="O43" s="794"/>
    </row>
    <row r="44" spans="1:15" ht="14.45" customHeight="1">
      <c r="A44" s="486">
        <v>16</v>
      </c>
      <c r="B44" s="794"/>
      <c r="C44" s="474">
        <f t="shared" si="2"/>
        <v>46</v>
      </c>
      <c r="D44" s="474" t="str">
        <f t="shared" ca="1" si="3"/>
        <v>9/5/2034</v>
      </c>
      <c r="E44" s="474">
        <f t="shared" si="0"/>
        <v>0</v>
      </c>
      <c r="F44" s="1631">
        <f t="shared" si="1"/>
        <v>2500000</v>
      </c>
      <c r="G44" s="1631"/>
      <c r="H44" s="794"/>
      <c r="I44" s="794"/>
      <c r="J44" s="794"/>
      <c r="K44" s="794"/>
      <c r="L44" s="794"/>
      <c r="M44" s="794"/>
      <c r="N44" s="794"/>
      <c r="O44" s="794"/>
    </row>
    <row r="45" spans="1:15" ht="14.45" customHeight="1" thickBot="1">
      <c r="A45" s="486">
        <v>17</v>
      </c>
      <c r="B45" s="794"/>
      <c r="C45" s="474">
        <f t="shared" si="2"/>
        <v>47</v>
      </c>
      <c r="D45" s="474" t="str">
        <f t="shared" ca="1" si="3"/>
        <v>9/5/2035</v>
      </c>
      <c r="E45" s="474">
        <f t="shared" si="0"/>
        <v>0</v>
      </c>
      <c r="F45" s="1631">
        <f t="shared" si="1"/>
        <v>2500000</v>
      </c>
      <c r="G45" s="1631"/>
      <c r="H45" s="794"/>
      <c r="I45" s="794"/>
      <c r="J45" s="794"/>
      <c r="K45" s="794"/>
      <c r="L45" s="794"/>
      <c r="M45" s="794"/>
      <c r="N45" s="794"/>
      <c r="O45" s="794"/>
    </row>
    <row r="46" spans="1:15" ht="14.45" customHeight="1" thickTop="1" thickBot="1">
      <c r="A46" s="486">
        <v>18</v>
      </c>
      <c r="B46" s="794"/>
      <c r="C46" s="474">
        <f t="shared" si="2"/>
        <v>48</v>
      </c>
      <c r="D46" s="474" t="str">
        <f t="shared" ca="1" si="3"/>
        <v>9/5/2036</v>
      </c>
      <c r="E46" s="474">
        <f t="shared" si="0"/>
        <v>0</v>
      </c>
      <c r="F46" s="1631">
        <f t="shared" si="1"/>
        <v>2500000</v>
      </c>
      <c r="G46" s="1631"/>
      <c r="H46" s="794"/>
      <c r="I46" s="1633" t="s">
        <v>261</v>
      </c>
      <c r="J46" s="1633"/>
      <c r="K46" s="1633"/>
      <c r="L46" s="1633"/>
      <c r="M46" s="794"/>
      <c r="N46" s="794"/>
      <c r="O46" s="794"/>
    </row>
    <row r="47" spans="1:15" ht="15" customHeight="1" thickTop="1">
      <c r="A47" s="486">
        <v>19</v>
      </c>
      <c r="B47" s="794"/>
      <c r="C47" s="474">
        <f t="shared" si="2"/>
        <v>49</v>
      </c>
      <c r="D47" s="474" t="str">
        <f t="shared" ca="1" si="3"/>
        <v>9/5/2037</v>
      </c>
      <c r="E47" s="474">
        <f t="shared" si="0"/>
        <v>0</v>
      </c>
      <c r="F47" s="1631">
        <f t="shared" si="1"/>
        <v>2500000</v>
      </c>
      <c r="G47" s="1631"/>
      <c r="H47" s="794"/>
      <c r="I47" s="30"/>
      <c r="J47" s="30"/>
      <c r="K47" s="30"/>
      <c r="L47" s="30"/>
      <c r="M47" s="794"/>
      <c r="N47" s="794"/>
      <c r="O47" s="794"/>
    </row>
    <row r="48" spans="1:15" ht="14.45" customHeight="1">
      <c r="A48" s="486">
        <v>20</v>
      </c>
      <c r="B48" s="794"/>
      <c r="C48" s="474">
        <f t="shared" si="2"/>
        <v>50</v>
      </c>
      <c r="D48" s="474" t="str">
        <f t="shared" ca="1" si="3"/>
        <v>9/5/2038</v>
      </c>
      <c r="E48" s="474">
        <f t="shared" si="0"/>
        <v>0</v>
      </c>
      <c r="F48" s="1631">
        <f t="shared" si="1"/>
        <v>2500000</v>
      </c>
      <c r="G48" s="1631"/>
      <c r="H48" s="777"/>
      <c r="I48" s="1632" t="str">
        <f>'VASANTHAM HOME'!E9</f>
        <v>ENTER YOUR NAME</v>
      </c>
      <c r="J48" s="1632"/>
      <c r="K48" s="1632"/>
      <c r="L48" s="1632"/>
      <c r="M48" s="794"/>
      <c r="N48" s="794"/>
      <c r="O48" s="794"/>
    </row>
    <row r="49" spans="1:15" ht="14.45" customHeight="1">
      <c r="A49" s="486">
        <v>21</v>
      </c>
      <c r="B49" s="794"/>
      <c r="C49" s="474">
        <f t="shared" si="2"/>
        <v>51</v>
      </c>
      <c r="D49" s="474" t="str">
        <f t="shared" ca="1" si="3"/>
        <v>9/5/2039</v>
      </c>
      <c r="E49" s="474">
        <f t="shared" si="0"/>
        <v>0</v>
      </c>
      <c r="F49" s="1631">
        <f t="shared" si="1"/>
        <v>2500000</v>
      </c>
      <c r="G49" s="1631"/>
      <c r="H49" s="777"/>
      <c r="I49" s="1632" t="str">
        <f>'VASANTHAM HOME'!E10</f>
        <v>DESIGNATION</v>
      </c>
      <c r="J49" s="1632"/>
      <c r="K49" s="1632"/>
      <c r="L49" s="1632"/>
      <c r="M49" s="794"/>
      <c r="N49" s="794"/>
      <c r="O49" s="794"/>
    </row>
    <row r="50" spans="1:15" ht="14.45" customHeight="1">
      <c r="A50" s="486">
        <v>22</v>
      </c>
      <c r="B50" s="794"/>
      <c r="C50" s="474">
        <f t="shared" si="2"/>
        <v>52</v>
      </c>
      <c r="D50" s="474" t="str">
        <f t="shared" ca="1" si="3"/>
        <v>9/5/2040</v>
      </c>
      <c r="E50" s="474">
        <f t="shared" si="0"/>
        <v>0</v>
      </c>
      <c r="F50" s="1631">
        <f t="shared" si="1"/>
        <v>2500000</v>
      </c>
      <c r="G50" s="1631"/>
      <c r="H50" s="777"/>
      <c r="I50" s="1632" t="str">
        <f>'VASANTHAM HOME'!E11</f>
        <v>ADDRESS 1</v>
      </c>
      <c r="J50" s="1632"/>
      <c r="K50" s="1632"/>
      <c r="L50" s="1632"/>
      <c r="M50" s="794"/>
      <c r="N50" s="794"/>
      <c r="O50" s="794"/>
    </row>
    <row r="51" spans="1:15" ht="15" customHeight="1">
      <c r="A51" s="486">
        <v>23</v>
      </c>
      <c r="B51" s="794"/>
      <c r="C51" s="474">
        <f t="shared" si="2"/>
        <v>53</v>
      </c>
      <c r="D51" s="474" t="str">
        <f t="shared" ca="1" si="3"/>
        <v>9/5/2041</v>
      </c>
      <c r="E51" s="474">
        <f t="shared" si="0"/>
        <v>0</v>
      </c>
      <c r="F51" s="1631">
        <f t="shared" si="1"/>
        <v>2500000</v>
      </c>
      <c r="G51" s="1631"/>
      <c r="H51" s="777"/>
      <c r="I51" s="1632" t="str">
        <f>'VASANTHAM HOME'!E12</f>
        <v>ADDRESS 2</v>
      </c>
      <c r="J51" s="1632"/>
      <c r="K51" s="1632"/>
      <c r="L51" s="1632"/>
      <c r="M51" s="794"/>
      <c r="N51" s="794"/>
      <c r="O51" s="794"/>
    </row>
    <row r="52" spans="1:15" ht="14.45" customHeight="1">
      <c r="A52" s="486">
        <v>24</v>
      </c>
      <c r="B52" s="794"/>
      <c r="C52" s="474">
        <f t="shared" si="2"/>
        <v>54</v>
      </c>
      <c r="D52" s="474" t="str">
        <f t="shared" ca="1" si="3"/>
        <v>9/5/2042</v>
      </c>
      <c r="E52" s="474">
        <f t="shared" si="0"/>
        <v>0</v>
      </c>
      <c r="F52" s="1631">
        <f t="shared" si="1"/>
        <v>2500000</v>
      </c>
      <c r="G52" s="1631"/>
      <c r="H52" s="777"/>
      <c r="I52" s="1632" t="str">
        <f>'VASANTHAM HOME'!E13</f>
        <v>ADDRESS 3</v>
      </c>
      <c r="J52" s="1632"/>
      <c r="K52" s="1632"/>
      <c r="L52" s="1632"/>
      <c r="M52" s="794"/>
      <c r="N52" s="794"/>
      <c r="O52" s="794"/>
    </row>
    <row r="53" spans="1:15" ht="13.5">
      <c r="A53" s="792">
        <v>25</v>
      </c>
      <c r="B53" s="794"/>
      <c r="C53" s="789"/>
      <c r="D53" s="788"/>
      <c r="E53" s="789"/>
      <c r="F53" s="472"/>
      <c r="G53" s="472"/>
      <c r="H53" s="777"/>
      <c r="I53" s="1632" t="str">
        <f>'VASANTHAM HOME'!E14</f>
        <v>MOBILE NO :</v>
      </c>
      <c r="J53" s="1632"/>
      <c r="K53" s="1632"/>
      <c r="L53" s="1632"/>
      <c r="M53" s="794"/>
      <c r="N53" s="794"/>
      <c r="O53" s="794"/>
    </row>
    <row r="54" spans="1:15" ht="13.5" customHeight="1">
      <c r="A54" s="792"/>
      <c r="B54" s="794"/>
      <c r="C54" s="794"/>
      <c r="D54" s="794"/>
      <c r="E54" s="794"/>
      <c r="F54" s="258"/>
      <c r="G54" s="258"/>
      <c r="H54" s="777"/>
      <c r="I54" s="1632" t="str">
        <f>'VASANTHAM HOME'!E15</f>
        <v>E.MAIL ID :</v>
      </c>
      <c r="J54" s="1632"/>
      <c r="K54" s="1632"/>
      <c r="L54" s="1632"/>
      <c r="M54" s="794"/>
      <c r="N54" s="794"/>
      <c r="O54" s="794"/>
    </row>
    <row r="55" spans="1:15" ht="15">
      <c r="A55" s="485"/>
      <c r="B55" s="794"/>
      <c r="C55" s="794"/>
      <c r="D55" s="794"/>
      <c r="E55" s="794"/>
      <c r="F55" s="794"/>
      <c r="G55" s="794"/>
      <c r="H55" s="794"/>
      <c r="I55" s="30"/>
      <c r="J55" s="30"/>
      <c r="K55" s="30"/>
      <c r="L55" s="30"/>
      <c r="M55" s="794"/>
      <c r="N55" s="794"/>
      <c r="O55" s="794"/>
    </row>
    <row r="56" spans="1:15" ht="15">
      <c r="A56" s="485"/>
      <c r="B56" s="794"/>
      <c r="C56" s="789"/>
      <c r="D56" s="788"/>
      <c r="E56" s="788"/>
      <c r="F56" s="472"/>
      <c r="G56" s="472"/>
      <c r="H56" s="794"/>
      <c r="I56" s="30"/>
      <c r="J56" s="30"/>
      <c r="K56" s="30"/>
      <c r="L56" s="30"/>
      <c r="M56" s="794"/>
      <c r="N56" s="794"/>
      <c r="O56" s="794"/>
    </row>
    <row r="57" spans="1:15" ht="15">
      <c r="A57" s="230"/>
      <c r="B57" s="774"/>
      <c r="C57" s="774"/>
      <c r="D57" s="774"/>
      <c r="E57" s="774"/>
      <c r="F57" s="1636"/>
      <c r="G57" s="1636"/>
      <c r="H57" s="774"/>
      <c r="I57" s="774"/>
      <c r="J57" s="774"/>
      <c r="K57" s="774"/>
      <c r="L57" s="30"/>
      <c r="M57" s="794"/>
      <c r="N57" s="794"/>
      <c r="O57" s="794"/>
    </row>
    <row r="58" spans="1:15" ht="15">
      <c r="B58" s="794"/>
      <c r="C58" s="794"/>
      <c r="D58" s="794"/>
      <c r="E58" s="794"/>
      <c r="F58" s="794"/>
      <c r="G58" s="794"/>
      <c r="H58" s="794"/>
      <c r="I58" s="30"/>
      <c r="J58" s="30"/>
      <c r="K58" s="30"/>
      <c r="L58" s="30"/>
      <c r="M58" s="794"/>
      <c r="N58" s="794"/>
      <c r="O58" s="794"/>
    </row>
    <row r="59" spans="1:15" ht="15" hidden="1">
      <c r="I59" s="165"/>
      <c r="J59" s="165"/>
      <c r="K59" s="165"/>
      <c r="L59" s="165"/>
    </row>
    <row r="60" spans="1:15" ht="12.75" hidden="1"/>
  </sheetData>
  <mergeCells count="72">
    <mergeCell ref="F48:G48"/>
    <mergeCell ref="I48:L48"/>
    <mergeCell ref="F49:G49"/>
    <mergeCell ref="I49:L49"/>
    <mergeCell ref="F50:G50"/>
    <mergeCell ref="F52:G52"/>
    <mergeCell ref="I52:L52"/>
    <mergeCell ref="I53:L53"/>
    <mergeCell ref="I54:L54"/>
    <mergeCell ref="F57:G57"/>
    <mergeCell ref="F39:G39"/>
    <mergeCell ref="F40:G40"/>
    <mergeCell ref="F41:G41"/>
    <mergeCell ref="F42:G42"/>
    <mergeCell ref="F43:G43"/>
    <mergeCell ref="P26:Q26"/>
    <mergeCell ref="F28:G28"/>
    <mergeCell ref="P28:Q28"/>
    <mergeCell ref="F29:G29"/>
    <mergeCell ref="F30:G30"/>
    <mergeCell ref="F31:G31"/>
    <mergeCell ref="I50:L50"/>
    <mergeCell ref="F51:G51"/>
    <mergeCell ref="I51:L51"/>
    <mergeCell ref="F36:G36"/>
    <mergeCell ref="F45:G45"/>
    <mergeCell ref="F46:G46"/>
    <mergeCell ref="I46:L46"/>
    <mergeCell ref="F47:G47"/>
    <mergeCell ref="F37:G37"/>
    <mergeCell ref="F44:G44"/>
    <mergeCell ref="F35:G35"/>
    <mergeCell ref="F32:G32"/>
    <mergeCell ref="F33:G33"/>
    <mergeCell ref="F34:G34"/>
    <mergeCell ref="F38:G38"/>
    <mergeCell ref="C20:H20"/>
    <mergeCell ref="C21:H21"/>
    <mergeCell ref="C23:H23"/>
    <mergeCell ref="C24:D24"/>
    <mergeCell ref="C22:H22"/>
    <mergeCell ref="K2:L2"/>
    <mergeCell ref="K4:L4"/>
    <mergeCell ref="K5:L5"/>
    <mergeCell ref="C19:I19"/>
    <mergeCell ref="C10:G10"/>
    <mergeCell ref="C18:H18"/>
    <mergeCell ref="I16:J16"/>
    <mergeCell ref="I12:J13"/>
    <mergeCell ref="K12:K13"/>
    <mergeCell ref="L12:L13"/>
    <mergeCell ref="C13:G14"/>
    <mergeCell ref="I14:J15"/>
    <mergeCell ref="K14:K15"/>
    <mergeCell ref="L14:L15"/>
    <mergeCell ref="C15:H15"/>
    <mergeCell ref="C17:H17"/>
    <mergeCell ref="A26:A27"/>
    <mergeCell ref="C26:C27"/>
    <mergeCell ref="D26:D27"/>
    <mergeCell ref="E26:E27"/>
    <mergeCell ref="F26:G27"/>
    <mergeCell ref="M13:O14"/>
    <mergeCell ref="M15:P16"/>
    <mergeCell ref="M6:O7"/>
    <mergeCell ref="C8:G9"/>
    <mergeCell ref="M8:P9"/>
    <mergeCell ref="K10:L10"/>
    <mergeCell ref="C11:G11"/>
    <mergeCell ref="I11:J11"/>
    <mergeCell ref="C16:H16"/>
    <mergeCell ref="I10:J10"/>
  </mergeCells>
  <hyperlinks>
    <hyperlink ref="M15:P16" location="Main!A1" display="CLICK HERE"/>
    <hyperlink ref="M8:P9" location="'VASANTHAM HOME'!A1" display="CLICK HERE"/>
  </hyperlinks>
  <pageMargins left="0.7" right="0.7" top="0.75" bottom="0.75" header="0.3" footer="0.3"/>
  <pageSetup scale="80" orientation="portrait" r:id="rId1"/>
  <headerFooter>
    <oddFooter>&amp;C&amp;K02-049VASANTHAM SMART</oddFooter>
  </headerFooter>
  <drawing r:id="rId2"/>
</worksheet>
</file>

<file path=xl/worksheets/sheet8.xml><?xml version="1.0" encoding="utf-8"?>
<worksheet xmlns="http://schemas.openxmlformats.org/spreadsheetml/2006/main" xmlns:r="http://schemas.openxmlformats.org/officeDocument/2006/relationships">
  <sheetPr codeName="Sheet16"/>
  <dimension ref="A1:U64"/>
  <sheetViews>
    <sheetView showGridLines="0" showRowColHeaders="0" topLeftCell="B1" workbookViewId="0">
      <selection activeCell="N22" sqref="N22"/>
    </sheetView>
  </sheetViews>
  <sheetFormatPr defaultColWidth="0" defaultRowHeight="0" customHeight="1" zeroHeight="1"/>
  <cols>
    <col min="1" max="1" width="4.5" style="763" hidden="1" customWidth="1"/>
    <col min="2" max="2" width="4.625" style="763" customWidth="1"/>
    <col min="3" max="3" width="7.125" style="763" customWidth="1"/>
    <col min="4" max="4" width="12.125" style="763" customWidth="1"/>
    <col min="5" max="5" width="12.5" style="763" customWidth="1"/>
    <col min="6" max="6" width="9.125" style="763" customWidth="1"/>
    <col min="7" max="7" width="9.625" style="763" customWidth="1"/>
    <col min="8" max="8" width="5.875" style="763" customWidth="1"/>
    <col min="9" max="9" width="12" style="763" customWidth="1"/>
    <col min="10" max="10" width="7.875" style="763" customWidth="1"/>
    <col min="11" max="11" width="13.875" style="763" customWidth="1"/>
    <col min="12" max="12" width="13" style="763" customWidth="1"/>
    <col min="13" max="15" width="9.125" style="763" customWidth="1"/>
    <col min="16" max="21" width="0" style="763" hidden="1" customWidth="1"/>
    <col min="22" max="16384" width="9.125" style="763" hidden="1"/>
  </cols>
  <sheetData>
    <row r="1" spans="1:16" ht="12.75" customHeight="1">
      <c r="A1" s="794"/>
      <c r="B1" s="794"/>
      <c r="C1" s="55"/>
      <c r="D1" s="55"/>
      <c r="E1" s="55"/>
      <c r="F1" s="55"/>
      <c r="G1" s="55"/>
      <c r="H1" s="484"/>
      <c r="I1" s="484"/>
      <c r="J1" s="484"/>
      <c r="K1" s="484"/>
      <c r="L1" s="484"/>
      <c r="M1" s="30"/>
      <c r="N1" s="30"/>
      <c r="O1" s="794"/>
    </row>
    <row r="2" spans="1:16" ht="12.75" customHeight="1">
      <c r="A2" s="794"/>
      <c r="B2" s="794"/>
      <c r="C2" s="55"/>
      <c r="D2" s="55"/>
      <c r="E2" s="55"/>
      <c r="F2" s="55"/>
      <c r="G2" s="55"/>
      <c r="H2" s="484"/>
      <c r="I2" s="484"/>
      <c r="J2" s="484"/>
      <c r="K2" s="484"/>
      <c r="L2" s="484"/>
      <c r="M2" s="30"/>
      <c r="N2" s="30"/>
      <c r="O2" s="794"/>
    </row>
    <row r="3" spans="1:16" ht="12.75" customHeight="1">
      <c r="A3" s="794"/>
      <c r="B3" s="794"/>
      <c r="C3" s="55"/>
      <c r="D3" s="55"/>
      <c r="E3" s="55"/>
      <c r="F3" s="55"/>
      <c r="G3" s="55"/>
      <c r="H3" s="484"/>
      <c r="I3" s="484"/>
      <c r="J3" s="484"/>
      <c r="K3" s="1637">
        <f ca="1">TODAY()</f>
        <v>43229</v>
      </c>
      <c r="L3" s="1637"/>
      <c r="M3" s="30"/>
      <c r="N3" s="30"/>
      <c r="O3" s="794"/>
    </row>
    <row r="4" spans="1:16" ht="12.75" customHeight="1">
      <c r="A4" s="794"/>
      <c r="B4" s="794"/>
      <c r="C4" s="55"/>
      <c r="D4" s="55"/>
      <c r="E4" s="55"/>
      <c r="F4" s="55"/>
      <c r="G4" s="55"/>
      <c r="H4" s="484"/>
      <c r="I4" s="484"/>
      <c r="J4" s="484"/>
      <c r="K4" s="484"/>
      <c r="L4" s="484"/>
      <c r="M4" s="30"/>
      <c r="N4" s="30"/>
      <c r="O4" s="794"/>
    </row>
    <row r="5" spans="1:16" ht="14.25" customHeight="1">
      <c r="A5" s="794"/>
      <c r="B5" s="794"/>
      <c r="C5" s="55"/>
      <c r="D5" s="55"/>
      <c r="E5" s="55"/>
      <c r="F5" s="55"/>
      <c r="G5" s="55"/>
      <c r="H5" s="484"/>
      <c r="I5" s="484"/>
      <c r="J5" s="484"/>
      <c r="K5" s="1635" t="s">
        <v>428</v>
      </c>
      <c r="L5" s="1635"/>
      <c r="M5" s="30"/>
      <c r="N5" s="30"/>
      <c r="O5" s="794"/>
    </row>
    <row r="6" spans="1:16" ht="15.75" customHeight="1">
      <c r="A6" s="794"/>
      <c r="B6" s="794"/>
      <c r="C6" s="774"/>
      <c r="D6" s="774"/>
      <c r="E6" s="774"/>
      <c r="F6" s="774"/>
      <c r="G6" s="774"/>
      <c r="H6" s="822"/>
      <c r="I6" s="822"/>
      <c r="J6" s="822"/>
      <c r="K6" s="1635" t="s">
        <v>427</v>
      </c>
      <c r="L6" s="1638"/>
      <c r="M6" s="30"/>
      <c r="N6" s="30"/>
      <c r="O6" s="794"/>
    </row>
    <row r="7" spans="1:16" ht="12" customHeight="1">
      <c r="A7" s="794"/>
      <c r="B7" s="794"/>
      <c r="C7" s="1599" t="s">
        <v>426</v>
      </c>
      <c r="D7" s="1599"/>
      <c r="E7" s="1599"/>
      <c r="F7" s="1599"/>
      <c r="G7" s="1599"/>
      <c r="H7" s="822"/>
      <c r="I7" s="822"/>
      <c r="J7" s="822"/>
      <c r="K7" s="822"/>
      <c r="L7" s="822"/>
      <c r="M7" s="1598" t="s">
        <v>232</v>
      </c>
      <c r="N7" s="1598"/>
      <c r="O7" s="1598"/>
    </row>
    <row r="8" spans="1:16" ht="12" customHeight="1">
      <c r="A8" s="794"/>
      <c r="B8" s="794"/>
      <c r="C8" s="1599"/>
      <c r="D8" s="1599"/>
      <c r="E8" s="1599"/>
      <c r="F8" s="1599"/>
      <c r="G8" s="1599"/>
      <c r="H8" s="822"/>
      <c r="I8" s="822"/>
      <c r="J8" s="822"/>
      <c r="K8" s="822"/>
      <c r="L8" s="822"/>
      <c r="M8" s="1598"/>
      <c r="N8" s="1598"/>
      <c r="O8" s="1598"/>
    </row>
    <row r="9" spans="1:16" ht="13.5" thickBot="1">
      <c r="A9" s="794"/>
      <c r="B9" s="794"/>
      <c r="C9" s="1647"/>
      <c r="D9" s="1647"/>
      <c r="E9" s="1647"/>
      <c r="F9" s="1647"/>
      <c r="G9" s="1647"/>
      <c r="H9" s="794"/>
      <c r="K9" s="794"/>
      <c r="L9" s="794"/>
      <c r="M9" s="1381" t="s">
        <v>226</v>
      </c>
      <c r="N9" s="1381"/>
      <c r="O9" s="1381"/>
      <c r="P9" s="1381"/>
    </row>
    <row r="10" spans="1:16" ht="16.5" thickTop="1">
      <c r="A10" s="794"/>
      <c r="B10" s="774"/>
      <c r="C10" s="1649" t="s">
        <v>231</v>
      </c>
      <c r="D10" s="1649"/>
      <c r="E10" s="1649"/>
      <c r="F10" s="1649"/>
      <c r="G10" s="1649"/>
      <c r="H10" s="230"/>
      <c r="I10" s="483"/>
      <c r="J10" s="823" t="s">
        <v>251</v>
      </c>
      <c r="K10" s="776">
        <f>Main!E9</f>
        <v>30</v>
      </c>
      <c r="L10" s="275" t="s">
        <v>234</v>
      </c>
      <c r="M10" s="1381"/>
      <c r="N10" s="1381"/>
      <c r="O10" s="1381"/>
      <c r="P10" s="1381"/>
    </row>
    <row r="11" spans="1:16" ht="15.75">
      <c r="A11" s="794"/>
      <c r="B11" s="774"/>
      <c r="C11" s="1602" t="str">
        <f>CONCATENATE(Main!E8,(Main!F8))</f>
        <v>Sri.soumil</v>
      </c>
      <c r="D11" s="1602"/>
      <c r="E11" s="1602"/>
      <c r="F11" s="1602"/>
      <c r="G11" s="1602"/>
      <c r="H11" s="230"/>
      <c r="I11" s="483"/>
      <c r="J11" s="778" t="s">
        <v>425</v>
      </c>
      <c r="K11" s="776">
        <f>Main!E11</f>
        <v>25</v>
      </c>
      <c r="L11" s="275" t="s">
        <v>234</v>
      </c>
      <c r="M11" s="794"/>
      <c r="N11" s="794"/>
      <c r="O11" s="794"/>
    </row>
    <row r="12" spans="1:16" ht="15.75">
      <c r="A12" s="794"/>
      <c r="B12" s="476"/>
      <c r="C12" s="1621" t="s">
        <v>227</v>
      </c>
      <c r="D12" s="1621"/>
      <c r="E12" s="1621"/>
      <c r="F12" s="1621"/>
      <c r="G12" s="1621"/>
      <c r="H12" s="476"/>
      <c r="I12" s="1605" t="s">
        <v>424</v>
      </c>
      <c r="J12" s="1605"/>
      <c r="K12" s="1601">
        <f>Main!E10</f>
        <v>2500000</v>
      </c>
      <c r="L12" s="1601"/>
      <c r="M12" s="794"/>
      <c r="N12" s="794"/>
      <c r="O12" s="794"/>
    </row>
    <row r="13" spans="1:16" ht="15.75">
      <c r="A13" s="794"/>
      <c r="B13" s="30"/>
      <c r="C13" s="1621"/>
      <c r="D13" s="1621"/>
      <c r="E13" s="1621"/>
      <c r="F13" s="1621"/>
      <c r="G13" s="1621"/>
      <c r="H13" s="482"/>
      <c r="I13" s="1603"/>
      <c r="J13" s="1603"/>
      <c r="K13" s="56"/>
      <c r="L13" s="481"/>
      <c r="M13" s="794"/>
      <c r="N13" s="794"/>
      <c r="O13" s="794"/>
    </row>
    <row r="14" spans="1:16" ht="16.5" customHeight="1">
      <c r="A14" s="794"/>
      <c r="B14" s="480" t="s">
        <v>224</v>
      </c>
      <c r="C14" s="1640" t="s">
        <v>423</v>
      </c>
      <c r="D14" s="1640"/>
      <c r="E14" s="1640"/>
      <c r="F14" s="1640"/>
      <c r="G14" s="1640"/>
      <c r="H14" s="1641"/>
      <c r="I14" s="1642" t="s">
        <v>230</v>
      </c>
      <c r="J14" s="1643"/>
      <c r="K14" s="459" t="s">
        <v>16</v>
      </c>
      <c r="L14" s="459" t="s">
        <v>15</v>
      </c>
      <c r="M14" s="1596" t="s">
        <v>228</v>
      </c>
      <c r="N14" s="1597"/>
      <c r="O14" s="1597"/>
    </row>
    <row r="15" spans="1:16" ht="15" customHeight="1">
      <c r="A15" s="794"/>
      <c r="B15" s="480" t="s">
        <v>224</v>
      </c>
      <c r="C15" s="1640" t="s">
        <v>422</v>
      </c>
      <c r="D15" s="1640"/>
      <c r="E15" s="1640"/>
      <c r="F15" s="1640"/>
      <c r="G15" s="1640"/>
      <c r="H15" s="1641"/>
      <c r="I15" s="1622" t="s">
        <v>2126</v>
      </c>
      <c r="J15" s="1623"/>
      <c r="K15" s="1644">
        <f>DAT!AT13</f>
        <v>5782</v>
      </c>
      <c r="L15" s="1644">
        <f>DAT!AU13</f>
        <v>2949</v>
      </c>
      <c r="M15" s="1597"/>
      <c r="N15" s="1597"/>
      <c r="O15" s="1597"/>
    </row>
    <row r="16" spans="1:16" ht="18">
      <c r="A16" s="794"/>
      <c r="B16" s="38" t="s">
        <v>224</v>
      </c>
      <c r="C16" s="1525" t="s">
        <v>421</v>
      </c>
      <c r="D16" s="1525"/>
      <c r="E16" s="1525"/>
      <c r="F16" s="1525"/>
      <c r="G16" s="1525"/>
      <c r="H16" s="1648"/>
      <c r="I16" s="1624"/>
      <c r="J16" s="1625"/>
      <c r="K16" s="1645"/>
      <c r="L16" s="1650"/>
      <c r="M16" s="1391" t="s">
        <v>226</v>
      </c>
      <c r="N16" s="1391"/>
      <c r="O16" s="1391"/>
      <c r="P16" s="1391"/>
    </row>
    <row r="17" spans="1:17" ht="16.5" customHeight="1">
      <c r="A17" s="794"/>
      <c r="B17" s="38"/>
      <c r="C17" s="1632" t="s">
        <v>420</v>
      </c>
      <c r="D17" s="1632"/>
      <c r="E17" s="1632"/>
      <c r="F17" s="1632"/>
      <c r="G17" s="1632"/>
      <c r="H17" s="1632"/>
      <c r="I17" s="1639"/>
      <c r="J17" s="1639"/>
      <c r="K17" s="794"/>
      <c r="L17" s="794"/>
      <c r="M17" s="1391"/>
      <c r="N17" s="1391"/>
      <c r="O17" s="1391"/>
      <c r="P17" s="1391"/>
    </row>
    <row r="18" spans="1:17" ht="13.5" customHeight="1">
      <c r="A18" s="794"/>
      <c r="B18" s="38" t="s">
        <v>224</v>
      </c>
      <c r="C18" s="1652" t="s">
        <v>419</v>
      </c>
      <c r="D18" s="1652"/>
      <c r="E18" s="1652"/>
      <c r="F18" s="1652"/>
      <c r="G18" s="1652"/>
      <c r="H18" s="1652"/>
      <c r="I18" s="1652"/>
      <c r="J18" s="794"/>
      <c r="K18" s="794"/>
      <c r="L18" s="794"/>
      <c r="M18" s="794"/>
      <c r="N18" s="794"/>
      <c r="O18" s="794"/>
    </row>
    <row r="19" spans="1:17" ht="15" customHeight="1">
      <c r="A19" s="794"/>
      <c r="B19" s="38" t="s">
        <v>224</v>
      </c>
      <c r="C19" s="1653" t="s">
        <v>418</v>
      </c>
      <c r="D19" s="1653"/>
      <c r="E19" s="1653"/>
      <c r="F19" s="1653"/>
      <c r="G19" s="1653"/>
      <c r="H19" s="1653"/>
      <c r="I19" s="1653"/>
      <c r="J19" s="794"/>
      <c r="K19" s="794"/>
      <c r="L19" s="794"/>
      <c r="M19" s="794"/>
      <c r="N19" s="794"/>
      <c r="O19" s="794"/>
    </row>
    <row r="20" spans="1:17" ht="13.5" customHeight="1">
      <c r="A20" s="794"/>
      <c r="B20" s="38" t="s">
        <v>224</v>
      </c>
      <c r="C20" s="1652" t="s">
        <v>417</v>
      </c>
      <c r="D20" s="1652"/>
      <c r="E20" s="1652"/>
      <c r="F20" s="1652"/>
      <c r="G20" s="1652"/>
      <c r="H20" s="1652"/>
      <c r="I20" s="1652"/>
      <c r="J20" s="794"/>
      <c r="K20" s="794"/>
      <c r="L20" s="794"/>
      <c r="M20" s="794"/>
      <c r="N20" s="794"/>
      <c r="O20" s="794"/>
    </row>
    <row r="21" spans="1:17" ht="13.5" customHeight="1">
      <c r="A21" s="794"/>
      <c r="B21" s="38" t="s">
        <v>224</v>
      </c>
      <c r="C21" s="1652" t="s">
        <v>416</v>
      </c>
      <c r="D21" s="1652"/>
      <c r="E21" s="1652"/>
      <c r="F21" s="1652"/>
      <c r="G21" s="1652"/>
      <c r="H21" s="1652"/>
      <c r="I21" s="1652"/>
      <c r="J21" s="794"/>
      <c r="K21" s="794"/>
      <c r="L21" s="794"/>
      <c r="M21" s="794"/>
      <c r="N21" s="794"/>
      <c r="O21" s="794"/>
    </row>
    <row r="22" spans="1:17" ht="13.5" customHeight="1">
      <c r="A22" s="794"/>
      <c r="B22" s="38"/>
      <c r="C22" s="779"/>
      <c r="D22" s="779"/>
      <c r="E22" s="779"/>
      <c r="F22" s="779"/>
      <c r="G22" s="779"/>
      <c r="H22" s="779"/>
      <c r="I22" s="779"/>
      <c r="J22" s="794"/>
      <c r="K22" s="794"/>
      <c r="L22" s="794"/>
      <c r="M22" s="794"/>
      <c r="N22" s="794"/>
      <c r="O22" s="794"/>
    </row>
    <row r="23" spans="1:17" ht="18">
      <c r="A23" s="1654" t="s">
        <v>330</v>
      </c>
      <c r="B23" s="38"/>
      <c r="C23" s="1607" t="s">
        <v>17</v>
      </c>
      <c r="D23" s="1608" t="s">
        <v>223</v>
      </c>
      <c r="E23" s="1609" t="s">
        <v>222</v>
      </c>
      <c r="F23" s="1611" t="s">
        <v>221</v>
      </c>
      <c r="G23" s="1611"/>
      <c r="H23" s="53"/>
      <c r="I23" s="53"/>
      <c r="J23" s="794"/>
      <c r="K23" s="794"/>
      <c r="L23" s="794"/>
      <c r="M23" s="794"/>
      <c r="N23" s="794"/>
      <c r="O23" s="794"/>
    </row>
    <row r="24" spans="1:17" ht="15">
      <c r="A24" s="1654"/>
      <c r="B24" s="794"/>
      <c r="C24" s="1607"/>
      <c r="D24" s="1608"/>
      <c r="E24" s="1610"/>
      <c r="F24" s="1611"/>
      <c r="G24" s="1611"/>
      <c r="H24" s="479"/>
      <c r="I24" s="479"/>
      <c r="J24" s="794"/>
      <c r="K24" s="794"/>
      <c r="L24" s="794"/>
      <c r="M24" s="794"/>
      <c r="N24" s="794"/>
      <c r="O24" s="794"/>
    </row>
    <row r="25" spans="1:17" ht="13.7" customHeight="1">
      <c r="A25" s="792">
        <v>0</v>
      </c>
      <c r="B25" s="38"/>
      <c r="C25" s="474">
        <f>K10</f>
        <v>30</v>
      </c>
      <c r="D25" s="477" t="str">
        <f ca="1">IF(A25&lt;$K$11,(((DAY(NOW())&amp;"/")&amp;MONTH(NOW()))&amp;"/")&amp;((YEAR(NOW()))),0)</f>
        <v>9/5/2018</v>
      </c>
      <c r="E25" s="477">
        <f t="shared" ref="E25:E60" si="0">IF(A25&lt;$K$11,$K$15," ")</f>
        <v>5782</v>
      </c>
      <c r="F25" s="1651">
        <f t="shared" ref="F25:F60" si="1">IF(A25&lt;$K$11,$K$12," ")</f>
        <v>2500000</v>
      </c>
      <c r="G25" s="1651"/>
      <c r="H25" s="478"/>
      <c r="I25" s="478"/>
      <c r="J25" s="794"/>
      <c r="K25" s="794"/>
      <c r="L25" s="794"/>
      <c r="M25" s="794"/>
      <c r="N25" s="794"/>
      <c r="O25" s="794"/>
    </row>
    <row r="26" spans="1:17" ht="13.7" customHeight="1">
      <c r="A26" s="792">
        <v>1</v>
      </c>
      <c r="B26" s="794"/>
      <c r="C26" s="474">
        <f t="shared" ref="C26:C60" si="2">IF(A26&lt;$K$11,$C$25+A26," ")</f>
        <v>31</v>
      </c>
      <c r="D26" s="477" t="str">
        <f t="shared" ref="D26:D60" ca="1" si="3">IF(A26&lt;$K$11,(((DAY(NOW())&amp;"/")&amp;MONTH(NOW()))&amp;"/")&amp;((YEAR(NOW())))+A26," ")</f>
        <v>9/5/2019</v>
      </c>
      <c r="E26" s="477">
        <f t="shared" si="0"/>
        <v>5782</v>
      </c>
      <c r="F26" s="1651">
        <f t="shared" si="1"/>
        <v>2500000</v>
      </c>
      <c r="G26" s="1651"/>
      <c r="H26" s="794"/>
      <c r="I26" s="794"/>
      <c r="J26" s="794"/>
      <c r="K26" s="794"/>
      <c r="L26" s="794"/>
      <c r="M26" s="794"/>
      <c r="N26" s="794"/>
      <c r="O26" s="794"/>
    </row>
    <row r="27" spans="1:17" ht="13.7" customHeight="1">
      <c r="A27" s="792">
        <v>2</v>
      </c>
      <c r="B27" s="794"/>
      <c r="C27" s="474">
        <f t="shared" si="2"/>
        <v>32</v>
      </c>
      <c r="D27" s="477" t="str">
        <f t="shared" ca="1" si="3"/>
        <v>9/5/2020</v>
      </c>
      <c r="E27" s="477">
        <f t="shared" si="0"/>
        <v>5782</v>
      </c>
      <c r="F27" s="1651">
        <f t="shared" si="1"/>
        <v>2500000</v>
      </c>
      <c r="G27" s="1651"/>
      <c r="H27" s="794"/>
      <c r="I27" s="794"/>
      <c r="J27" s="794"/>
      <c r="K27" s="794"/>
      <c r="L27" s="794"/>
      <c r="M27" s="794"/>
      <c r="N27" s="794"/>
      <c r="O27" s="794"/>
      <c r="P27" s="1646"/>
      <c r="Q27" s="1646"/>
    </row>
    <row r="28" spans="1:17" ht="13.7" customHeight="1">
      <c r="A28" s="792">
        <v>3</v>
      </c>
      <c r="B28" s="794"/>
      <c r="C28" s="474">
        <f t="shared" si="2"/>
        <v>33</v>
      </c>
      <c r="D28" s="477" t="str">
        <f t="shared" ca="1" si="3"/>
        <v>9/5/2021</v>
      </c>
      <c r="E28" s="477">
        <f t="shared" si="0"/>
        <v>5782</v>
      </c>
      <c r="F28" s="1651">
        <f t="shared" si="1"/>
        <v>2500000</v>
      </c>
      <c r="G28" s="1651"/>
      <c r="H28" s="794"/>
      <c r="I28" s="794"/>
      <c r="J28" s="794"/>
      <c r="K28" s="794"/>
      <c r="L28" s="794"/>
      <c r="M28" s="794"/>
      <c r="N28" s="794"/>
      <c r="O28" s="794"/>
    </row>
    <row r="29" spans="1:17" ht="13.7" customHeight="1">
      <c r="A29" s="792">
        <v>4</v>
      </c>
      <c r="B29" s="794"/>
      <c r="C29" s="474">
        <f t="shared" si="2"/>
        <v>34</v>
      </c>
      <c r="D29" s="477" t="str">
        <f t="shared" ca="1" si="3"/>
        <v>9/5/2022</v>
      </c>
      <c r="E29" s="477">
        <f t="shared" si="0"/>
        <v>5782</v>
      </c>
      <c r="F29" s="1651">
        <f t="shared" si="1"/>
        <v>2500000</v>
      </c>
      <c r="G29" s="1651"/>
      <c r="H29" s="794"/>
      <c r="I29" s="794"/>
      <c r="J29" s="794"/>
      <c r="K29" s="794"/>
      <c r="L29" s="794"/>
      <c r="M29" s="794"/>
      <c r="N29" s="794"/>
      <c r="O29" s="794"/>
      <c r="P29" s="1646"/>
      <c r="Q29" s="1646"/>
    </row>
    <row r="30" spans="1:17" ht="13.7" customHeight="1">
      <c r="A30" s="792">
        <v>5</v>
      </c>
      <c r="B30" s="794"/>
      <c r="C30" s="474">
        <f t="shared" si="2"/>
        <v>35</v>
      </c>
      <c r="D30" s="477" t="str">
        <f t="shared" ca="1" si="3"/>
        <v>9/5/2023</v>
      </c>
      <c r="E30" s="477">
        <f t="shared" si="0"/>
        <v>5782</v>
      </c>
      <c r="F30" s="1651">
        <f t="shared" si="1"/>
        <v>2500000</v>
      </c>
      <c r="G30" s="1651"/>
      <c r="H30" s="794"/>
      <c r="I30" s="794"/>
      <c r="J30" s="794"/>
      <c r="K30" s="794"/>
      <c r="L30" s="794"/>
      <c r="M30" s="794"/>
      <c r="N30" s="794"/>
      <c r="O30" s="794"/>
    </row>
    <row r="31" spans="1:17" ht="13.7" customHeight="1">
      <c r="A31" s="792">
        <v>6</v>
      </c>
      <c r="B31" s="794"/>
      <c r="C31" s="474">
        <f t="shared" si="2"/>
        <v>36</v>
      </c>
      <c r="D31" s="477" t="str">
        <f t="shared" ca="1" si="3"/>
        <v>9/5/2024</v>
      </c>
      <c r="E31" s="477">
        <f t="shared" si="0"/>
        <v>5782</v>
      </c>
      <c r="F31" s="1651">
        <f t="shared" si="1"/>
        <v>2500000</v>
      </c>
      <c r="G31" s="1651"/>
      <c r="H31" s="794"/>
      <c r="I31" s="794"/>
      <c r="J31" s="794"/>
      <c r="K31" s="794"/>
      <c r="L31" s="794"/>
      <c r="M31" s="794"/>
      <c r="N31" s="794"/>
      <c r="O31" s="794"/>
    </row>
    <row r="32" spans="1:17" ht="13.7" customHeight="1">
      <c r="A32" s="792">
        <v>7</v>
      </c>
      <c r="B32" s="794"/>
      <c r="C32" s="474">
        <f t="shared" si="2"/>
        <v>37</v>
      </c>
      <c r="D32" s="477" t="str">
        <f t="shared" ca="1" si="3"/>
        <v>9/5/2025</v>
      </c>
      <c r="E32" s="477">
        <f t="shared" si="0"/>
        <v>5782</v>
      </c>
      <c r="F32" s="1651">
        <f t="shared" si="1"/>
        <v>2500000</v>
      </c>
      <c r="G32" s="1651"/>
      <c r="H32" s="794"/>
      <c r="I32" s="794"/>
      <c r="J32" s="794"/>
      <c r="K32" s="794"/>
      <c r="L32" s="794"/>
      <c r="M32" s="794"/>
      <c r="N32" s="794"/>
      <c r="O32" s="794"/>
    </row>
    <row r="33" spans="1:15" ht="13.7" customHeight="1">
      <c r="A33" s="792">
        <v>8</v>
      </c>
      <c r="B33" s="794"/>
      <c r="C33" s="474">
        <f t="shared" si="2"/>
        <v>38</v>
      </c>
      <c r="D33" s="477" t="str">
        <f t="shared" ca="1" si="3"/>
        <v>9/5/2026</v>
      </c>
      <c r="E33" s="477">
        <f t="shared" si="0"/>
        <v>5782</v>
      </c>
      <c r="F33" s="1651">
        <f t="shared" si="1"/>
        <v>2500000</v>
      </c>
      <c r="G33" s="1651"/>
      <c r="H33" s="794"/>
      <c r="I33" s="794"/>
      <c r="J33" s="794"/>
      <c r="K33" s="794"/>
      <c r="L33" s="794"/>
      <c r="M33" s="794"/>
      <c r="N33" s="794"/>
      <c r="O33" s="794"/>
    </row>
    <row r="34" spans="1:15" ht="13.7" customHeight="1">
      <c r="A34" s="792">
        <v>9</v>
      </c>
      <c r="B34" s="794"/>
      <c r="C34" s="474">
        <f t="shared" si="2"/>
        <v>39</v>
      </c>
      <c r="D34" s="477" t="str">
        <f t="shared" ca="1" si="3"/>
        <v>9/5/2027</v>
      </c>
      <c r="E34" s="477">
        <f t="shared" si="0"/>
        <v>5782</v>
      </c>
      <c r="F34" s="1651">
        <f t="shared" si="1"/>
        <v>2500000</v>
      </c>
      <c r="G34" s="1651"/>
      <c r="H34" s="794"/>
      <c r="I34" s="794"/>
      <c r="J34" s="794"/>
      <c r="K34" s="794"/>
      <c r="L34" s="794"/>
      <c r="M34" s="794"/>
      <c r="N34" s="794"/>
      <c r="O34" s="794"/>
    </row>
    <row r="35" spans="1:15" ht="13.7" customHeight="1">
      <c r="A35" s="792">
        <v>10</v>
      </c>
      <c r="B35" s="794"/>
      <c r="C35" s="474">
        <f t="shared" si="2"/>
        <v>40</v>
      </c>
      <c r="D35" s="477" t="str">
        <f t="shared" ca="1" si="3"/>
        <v>9/5/2028</v>
      </c>
      <c r="E35" s="477">
        <f t="shared" si="0"/>
        <v>5782</v>
      </c>
      <c r="F35" s="1651">
        <f t="shared" si="1"/>
        <v>2500000</v>
      </c>
      <c r="G35" s="1651"/>
      <c r="H35" s="794"/>
      <c r="I35" s="794"/>
      <c r="J35" s="794"/>
      <c r="K35" s="794"/>
      <c r="L35" s="794"/>
      <c r="M35" s="794"/>
      <c r="N35" s="794"/>
      <c r="O35" s="794"/>
    </row>
    <row r="36" spans="1:15" ht="13.7" customHeight="1">
      <c r="A36" s="792">
        <v>11</v>
      </c>
      <c r="B36" s="794"/>
      <c r="C36" s="474">
        <f t="shared" si="2"/>
        <v>41</v>
      </c>
      <c r="D36" s="477" t="str">
        <f t="shared" ca="1" si="3"/>
        <v>9/5/2029</v>
      </c>
      <c r="E36" s="477">
        <f t="shared" si="0"/>
        <v>5782</v>
      </c>
      <c r="F36" s="1651">
        <f t="shared" si="1"/>
        <v>2500000</v>
      </c>
      <c r="G36" s="1651"/>
      <c r="H36" s="794"/>
      <c r="I36" s="794"/>
      <c r="J36" s="794"/>
      <c r="K36" s="794"/>
      <c r="L36" s="794"/>
      <c r="M36" s="794"/>
      <c r="N36" s="794"/>
      <c r="O36" s="794"/>
    </row>
    <row r="37" spans="1:15" ht="13.7" customHeight="1">
      <c r="A37" s="792">
        <v>12</v>
      </c>
      <c r="B37" s="794"/>
      <c r="C37" s="474">
        <f t="shared" si="2"/>
        <v>42</v>
      </c>
      <c r="D37" s="477" t="str">
        <f t="shared" ca="1" si="3"/>
        <v>9/5/2030</v>
      </c>
      <c r="E37" s="477">
        <f t="shared" si="0"/>
        <v>5782</v>
      </c>
      <c r="F37" s="1651">
        <f t="shared" si="1"/>
        <v>2500000</v>
      </c>
      <c r="G37" s="1651"/>
      <c r="H37" s="794"/>
      <c r="I37" s="794"/>
      <c r="J37" s="794"/>
      <c r="K37" s="794"/>
      <c r="L37" s="794"/>
      <c r="M37" s="794"/>
      <c r="N37" s="794"/>
      <c r="O37" s="794"/>
    </row>
    <row r="38" spans="1:15" ht="13.7" customHeight="1">
      <c r="A38" s="792">
        <v>13</v>
      </c>
      <c r="B38" s="794"/>
      <c r="C38" s="474">
        <f t="shared" si="2"/>
        <v>43</v>
      </c>
      <c r="D38" s="477" t="str">
        <f t="shared" ca="1" si="3"/>
        <v>9/5/2031</v>
      </c>
      <c r="E38" s="477">
        <f t="shared" si="0"/>
        <v>5782</v>
      </c>
      <c r="F38" s="1651">
        <f t="shared" si="1"/>
        <v>2500000</v>
      </c>
      <c r="G38" s="1651"/>
      <c r="H38" s="794"/>
      <c r="I38" s="794"/>
      <c r="J38" s="794"/>
      <c r="K38" s="794"/>
      <c r="L38" s="794"/>
      <c r="M38" s="794"/>
      <c r="N38" s="794"/>
      <c r="O38" s="794"/>
    </row>
    <row r="39" spans="1:15" ht="13.7" customHeight="1">
      <c r="A39" s="792">
        <v>14</v>
      </c>
      <c r="B39" s="794"/>
      <c r="C39" s="474">
        <f t="shared" si="2"/>
        <v>44</v>
      </c>
      <c r="D39" s="477" t="str">
        <f t="shared" ca="1" si="3"/>
        <v>9/5/2032</v>
      </c>
      <c r="E39" s="477">
        <f t="shared" si="0"/>
        <v>5782</v>
      </c>
      <c r="F39" s="1651">
        <f t="shared" si="1"/>
        <v>2500000</v>
      </c>
      <c r="G39" s="1651"/>
      <c r="H39" s="794"/>
      <c r="I39" s="794"/>
      <c r="J39" s="794"/>
      <c r="K39" s="794"/>
      <c r="L39" s="794"/>
      <c r="M39" s="794"/>
      <c r="N39" s="794"/>
      <c r="O39" s="794"/>
    </row>
    <row r="40" spans="1:15" ht="14.25" customHeight="1">
      <c r="A40" s="792">
        <v>15</v>
      </c>
      <c r="B40" s="794"/>
      <c r="C40" s="474">
        <f t="shared" si="2"/>
        <v>45</v>
      </c>
      <c r="D40" s="477" t="str">
        <f t="shared" ca="1" si="3"/>
        <v>9/5/2033</v>
      </c>
      <c r="E40" s="477">
        <f t="shared" si="0"/>
        <v>5782</v>
      </c>
      <c r="F40" s="1651">
        <f t="shared" si="1"/>
        <v>2500000</v>
      </c>
      <c r="G40" s="1651"/>
      <c r="H40" s="794"/>
      <c r="I40" s="794"/>
      <c r="J40" s="794"/>
      <c r="K40" s="794"/>
      <c r="L40" s="794"/>
      <c r="M40" s="794"/>
      <c r="N40" s="794"/>
      <c r="O40" s="794"/>
    </row>
    <row r="41" spans="1:15" ht="13.7" customHeight="1">
      <c r="A41" s="792">
        <v>16</v>
      </c>
      <c r="B41" s="794"/>
      <c r="C41" s="474">
        <f t="shared" si="2"/>
        <v>46</v>
      </c>
      <c r="D41" s="477" t="str">
        <f t="shared" ca="1" si="3"/>
        <v>9/5/2034</v>
      </c>
      <c r="E41" s="477">
        <f t="shared" si="0"/>
        <v>5782</v>
      </c>
      <c r="F41" s="1651">
        <f t="shared" si="1"/>
        <v>2500000</v>
      </c>
      <c r="G41" s="1651"/>
      <c r="H41" s="794"/>
      <c r="I41" s="794"/>
      <c r="J41" s="794"/>
      <c r="K41" s="794"/>
      <c r="L41" s="794"/>
      <c r="M41" s="794"/>
      <c r="N41" s="794"/>
      <c r="O41" s="794"/>
    </row>
    <row r="42" spans="1:15" ht="15" customHeight="1">
      <c r="A42" s="792">
        <v>17</v>
      </c>
      <c r="B42" s="794"/>
      <c r="C42" s="474">
        <f t="shared" si="2"/>
        <v>47</v>
      </c>
      <c r="D42" s="477" t="str">
        <f t="shared" ca="1" si="3"/>
        <v>9/5/2035</v>
      </c>
      <c r="E42" s="477">
        <f t="shared" si="0"/>
        <v>5782</v>
      </c>
      <c r="F42" s="1651">
        <f t="shared" si="1"/>
        <v>2500000</v>
      </c>
      <c r="G42" s="1651"/>
      <c r="H42" s="794"/>
      <c r="I42" s="794"/>
      <c r="J42" s="794"/>
      <c r="K42" s="794"/>
      <c r="L42" s="794"/>
      <c r="M42" s="794"/>
      <c r="N42" s="794"/>
      <c r="O42" s="794"/>
    </row>
    <row r="43" spans="1:15" ht="13.7" customHeight="1">
      <c r="A43" s="792">
        <v>18</v>
      </c>
      <c r="B43" s="794"/>
      <c r="C43" s="474">
        <f t="shared" si="2"/>
        <v>48</v>
      </c>
      <c r="D43" s="477" t="str">
        <f t="shared" ca="1" si="3"/>
        <v>9/5/2036</v>
      </c>
      <c r="E43" s="477">
        <f t="shared" si="0"/>
        <v>5782</v>
      </c>
      <c r="F43" s="1651">
        <f t="shared" si="1"/>
        <v>2500000</v>
      </c>
      <c r="G43" s="1651"/>
      <c r="H43" s="794"/>
      <c r="I43" s="30"/>
      <c r="J43" s="30"/>
      <c r="K43" s="30"/>
      <c r="L43" s="30"/>
      <c r="M43" s="794"/>
      <c r="N43" s="794"/>
      <c r="O43" s="794"/>
    </row>
    <row r="44" spans="1:15" ht="13.7" customHeight="1">
      <c r="A44" s="792">
        <v>19</v>
      </c>
      <c r="B44" s="794"/>
      <c r="C44" s="474">
        <f t="shared" si="2"/>
        <v>49</v>
      </c>
      <c r="D44" s="477" t="str">
        <f t="shared" ca="1" si="3"/>
        <v>9/5/2037</v>
      </c>
      <c r="E44" s="477">
        <f t="shared" si="0"/>
        <v>5782</v>
      </c>
      <c r="F44" s="1651">
        <f t="shared" si="1"/>
        <v>2500000</v>
      </c>
      <c r="G44" s="1651"/>
      <c r="H44" s="794"/>
      <c r="I44" s="30"/>
      <c r="J44" s="30"/>
      <c r="K44" s="30"/>
      <c r="L44" s="30"/>
      <c r="M44" s="794"/>
      <c r="N44" s="794"/>
      <c r="O44" s="794"/>
    </row>
    <row r="45" spans="1:15" ht="13.7" customHeight="1">
      <c r="A45" s="792">
        <v>20</v>
      </c>
      <c r="B45" s="794"/>
      <c r="C45" s="474">
        <f t="shared" si="2"/>
        <v>50</v>
      </c>
      <c r="D45" s="477" t="str">
        <f t="shared" ca="1" si="3"/>
        <v>9/5/2038</v>
      </c>
      <c r="E45" s="477">
        <f t="shared" si="0"/>
        <v>5782</v>
      </c>
      <c r="F45" s="1651">
        <f t="shared" si="1"/>
        <v>2500000</v>
      </c>
      <c r="G45" s="1651"/>
      <c r="H45" s="794"/>
      <c r="I45" s="30"/>
      <c r="J45" s="30"/>
      <c r="K45" s="30"/>
      <c r="L45" s="30"/>
      <c r="M45" s="794"/>
      <c r="N45" s="794"/>
      <c r="O45" s="794"/>
    </row>
    <row r="46" spans="1:15" ht="13.7" customHeight="1">
      <c r="A46" s="792">
        <v>21</v>
      </c>
      <c r="B46" s="794"/>
      <c r="C46" s="474">
        <f t="shared" si="2"/>
        <v>51</v>
      </c>
      <c r="D46" s="477" t="str">
        <f t="shared" ca="1" si="3"/>
        <v>9/5/2039</v>
      </c>
      <c r="E46" s="477">
        <f t="shared" si="0"/>
        <v>5782</v>
      </c>
      <c r="F46" s="1651">
        <f t="shared" si="1"/>
        <v>2500000</v>
      </c>
      <c r="G46" s="1651"/>
      <c r="H46" s="794"/>
      <c r="I46" s="30"/>
      <c r="J46" s="30"/>
      <c r="K46" s="30"/>
      <c r="L46" s="30"/>
      <c r="M46" s="794"/>
      <c r="N46" s="794"/>
      <c r="O46" s="794"/>
    </row>
    <row r="47" spans="1:15" ht="13.7" customHeight="1">
      <c r="A47" s="792">
        <v>22</v>
      </c>
      <c r="B47" s="794"/>
      <c r="C47" s="474">
        <f t="shared" si="2"/>
        <v>52</v>
      </c>
      <c r="D47" s="477" t="str">
        <f t="shared" ca="1" si="3"/>
        <v>9/5/2040</v>
      </c>
      <c r="E47" s="477">
        <f t="shared" si="0"/>
        <v>5782</v>
      </c>
      <c r="F47" s="1651">
        <f t="shared" si="1"/>
        <v>2500000</v>
      </c>
      <c r="G47" s="1651"/>
      <c r="H47" s="794"/>
      <c r="I47" s="30"/>
      <c r="J47" s="30"/>
      <c r="K47" s="30"/>
      <c r="L47" s="30"/>
      <c r="M47" s="794"/>
      <c r="N47" s="794"/>
      <c r="O47" s="794"/>
    </row>
    <row r="48" spans="1:15" ht="13.7" customHeight="1">
      <c r="A48" s="792">
        <v>23</v>
      </c>
      <c r="B48" s="794"/>
      <c r="C48" s="474">
        <f t="shared" si="2"/>
        <v>53</v>
      </c>
      <c r="D48" s="477" t="str">
        <f t="shared" ca="1" si="3"/>
        <v>9/5/2041</v>
      </c>
      <c r="E48" s="477">
        <f t="shared" si="0"/>
        <v>5782</v>
      </c>
      <c r="F48" s="1651">
        <f t="shared" si="1"/>
        <v>2500000</v>
      </c>
      <c r="G48" s="1651"/>
      <c r="H48" s="794"/>
      <c r="I48" s="30"/>
      <c r="J48" s="30"/>
      <c r="K48" s="30"/>
      <c r="L48" s="30"/>
      <c r="M48" s="794"/>
      <c r="N48" s="794"/>
      <c r="O48" s="794"/>
    </row>
    <row r="49" spans="1:15" ht="15.75" customHeight="1" thickBot="1">
      <c r="A49" s="792">
        <v>24</v>
      </c>
      <c r="B49" s="794"/>
      <c r="C49" s="474">
        <f t="shared" si="2"/>
        <v>54</v>
      </c>
      <c r="D49" s="477" t="str">
        <f t="shared" ca="1" si="3"/>
        <v>9/5/2042</v>
      </c>
      <c r="E49" s="477">
        <f t="shared" si="0"/>
        <v>5782</v>
      </c>
      <c r="F49" s="1651">
        <f t="shared" si="1"/>
        <v>2500000</v>
      </c>
      <c r="G49" s="1651"/>
      <c r="H49" s="794"/>
      <c r="I49" s="30"/>
      <c r="J49" s="30"/>
      <c r="K49" s="30"/>
      <c r="L49" s="30"/>
      <c r="M49" s="794"/>
      <c r="N49" s="794"/>
      <c r="O49" s="794"/>
    </row>
    <row r="50" spans="1:15" ht="13.7" customHeight="1" thickTop="1" thickBot="1">
      <c r="A50" s="792">
        <v>25</v>
      </c>
      <c r="B50" s="794"/>
      <c r="C50" s="474" t="str">
        <f t="shared" si="2"/>
        <v xml:space="preserve"> </v>
      </c>
      <c r="D50" s="474" t="str">
        <f t="shared" ca="1" si="3"/>
        <v xml:space="preserve"> </v>
      </c>
      <c r="E50" s="474" t="str">
        <f t="shared" si="0"/>
        <v xml:space="preserve"> </v>
      </c>
      <c r="F50" s="1631" t="str">
        <f t="shared" si="1"/>
        <v xml:space="preserve"> </v>
      </c>
      <c r="G50" s="1631"/>
      <c r="H50" s="794"/>
      <c r="I50" s="1633" t="s">
        <v>261</v>
      </c>
      <c r="J50" s="1633"/>
      <c r="K50" s="1633"/>
      <c r="L50" s="1633"/>
      <c r="M50" s="794"/>
      <c r="N50" s="794"/>
      <c r="O50" s="794"/>
    </row>
    <row r="51" spans="1:15" ht="13.7" customHeight="1" thickTop="1">
      <c r="A51" s="475">
        <v>26</v>
      </c>
      <c r="B51" s="794"/>
      <c r="C51" s="474" t="str">
        <f t="shared" si="2"/>
        <v xml:space="preserve"> </v>
      </c>
      <c r="D51" s="474" t="str">
        <f t="shared" ca="1" si="3"/>
        <v xml:space="preserve"> </v>
      </c>
      <c r="E51" s="474" t="str">
        <f t="shared" si="0"/>
        <v xml:space="preserve"> </v>
      </c>
      <c r="F51" s="1631" t="str">
        <f t="shared" si="1"/>
        <v xml:space="preserve"> </v>
      </c>
      <c r="G51" s="1631"/>
      <c r="H51" s="794"/>
      <c r="I51" s="30"/>
      <c r="J51" s="30"/>
      <c r="K51" s="30"/>
      <c r="L51" s="30"/>
      <c r="M51" s="794"/>
      <c r="N51" s="794"/>
      <c r="O51" s="794"/>
    </row>
    <row r="52" spans="1:15" ht="13.7" customHeight="1">
      <c r="A52" s="475">
        <v>27</v>
      </c>
      <c r="B52" s="794"/>
      <c r="C52" s="474" t="str">
        <f t="shared" si="2"/>
        <v xml:space="preserve"> </v>
      </c>
      <c r="D52" s="474" t="str">
        <f t="shared" ca="1" si="3"/>
        <v xml:space="preserve"> </v>
      </c>
      <c r="E52" s="474" t="str">
        <f t="shared" si="0"/>
        <v xml:space="preserve"> </v>
      </c>
      <c r="F52" s="1631" t="str">
        <f t="shared" si="1"/>
        <v xml:space="preserve"> </v>
      </c>
      <c r="G52" s="1631"/>
      <c r="H52" s="794"/>
      <c r="I52" s="1655" t="str">
        <f>'VASANTHAM HOME'!E9</f>
        <v>ENTER YOUR NAME</v>
      </c>
      <c r="J52" s="1655"/>
      <c r="K52" s="1655"/>
      <c r="L52" s="1655"/>
      <c r="M52" s="794"/>
      <c r="N52" s="794"/>
      <c r="O52" s="794"/>
    </row>
    <row r="53" spans="1:15" ht="13.7" customHeight="1">
      <c r="A53" s="475">
        <v>28</v>
      </c>
      <c r="B53" s="794"/>
      <c r="C53" s="474" t="str">
        <f t="shared" si="2"/>
        <v xml:space="preserve"> </v>
      </c>
      <c r="D53" s="474" t="str">
        <f t="shared" ca="1" si="3"/>
        <v xml:space="preserve"> </v>
      </c>
      <c r="E53" s="474" t="str">
        <f t="shared" si="0"/>
        <v xml:space="preserve"> </v>
      </c>
      <c r="F53" s="1631" t="str">
        <f t="shared" si="1"/>
        <v xml:space="preserve"> </v>
      </c>
      <c r="G53" s="1631"/>
      <c r="H53" s="794"/>
      <c r="I53" s="1655" t="str">
        <f>'VASANTHAM HOME'!E10</f>
        <v>DESIGNATION</v>
      </c>
      <c r="J53" s="1655"/>
      <c r="K53" s="1655"/>
      <c r="L53" s="1655"/>
      <c r="M53" s="794"/>
      <c r="N53" s="794"/>
      <c r="O53" s="794"/>
    </row>
    <row r="54" spans="1:15" ht="13.7" customHeight="1">
      <c r="A54" s="475">
        <v>29</v>
      </c>
      <c r="B54" s="794"/>
      <c r="C54" s="474" t="str">
        <f t="shared" si="2"/>
        <v xml:space="preserve"> </v>
      </c>
      <c r="D54" s="474" t="str">
        <f t="shared" ca="1" si="3"/>
        <v xml:space="preserve"> </v>
      </c>
      <c r="E54" s="474" t="str">
        <f t="shared" si="0"/>
        <v xml:space="preserve"> </v>
      </c>
      <c r="F54" s="1631" t="str">
        <f t="shared" si="1"/>
        <v xml:space="preserve"> </v>
      </c>
      <c r="G54" s="1631"/>
      <c r="H54" s="794"/>
      <c r="I54" s="1655" t="str">
        <f>'VASANTHAM HOME'!E11</f>
        <v>ADDRESS 1</v>
      </c>
      <c r="J54" s="1655"/>
      <c r="K54" s="1655"/>
      <c r="L54" s="1655"/>
      <c r="M54" s="794"/>
      <c r="N54" s="794"/>
      <c r="O54" s="794"/>
    </row>
    <row r="55" spans="1:15" ht="13.7" customHeight="1">
      <c r="A55" s="475">
        <v>30</v>
      </c>
      <c r="B55" s="794"/>
      <c r="C55" s="474" t="str">
        <f t="shared" si="2"/>
        <v xml:space="preserve"> </v>
      </c>
      <c r="D55" s="474" t="str">
        <f t="shared" ca="1" si="3"/>
        <v xml:space="preserve"> </v>
      </c>
      <c r="E55" s="474" t="str">
        <f t="shared" si="0"/>
        <v xml:space="preserve"> </v>
      </c>
      <c r="F55" s="1631" t="str">
        <f t="shared" si="1"/>
        <v xml:space="preserve"> </v>
      </c>
      <c r="G55" s="1631"/>
      <c r="H55" s="794"/>
      <c r="I55" s="1655" t="str">
        <f>'VASANTHAM HOME'!E12</f>
        <v>ADDRESS 2</v>
      </c>
      <c r="J55" s="1655"/>
      <c r="K55" s="1655"/>
      <c r="L55" s="1655"/>
      <c r="M55" s="794"/>
      <c r="N55" s="794"/>
      <c r="O55" s="794"/>
    </row>
    <row r="56" spans="1:15" ht="13.7" customHeight="1">
      <c r="A56" s="475">
        <v>31</v>
      </c>
      <c r="B56" s="794"/>
      <c r="C56" s="474" t="str">
        <f t="shared" si="2"/>
        <v xml:space="preserve"> </v>
      </c>
      <c r="D56" s="474" t="str">
        <f t="shared" ca="1" si="3"/>
        <v xml:space="preserve"> </v>
      </c>
      <c r="E56" s="474" t="str">
        <f t="shared" si="0"/>
        <v xml:space="preserve"> </v>
      </c>
      <c r="F56" s="1631" t="str">
        <f t="shared" si="1"/>
        <v xml:space="preserve"> </v>
      </c>
      <c r="G56" s="1631"/>
      <c r="H56" s="794"/>
      <c r="I56" s="1655" t="str">
        <f>'VASANTHAM HOME'!E13</f>
        <v>ADDRESS 3</v>
      </c>
      <c r="J56" s="1655"/>
      <c r="K56" s="1655"/>
      <c r="L56" s="1655"/>
      <c r="M56" s="794"/>
      <c r="N56" s="794"/>
      <c r="O56" s="794"/>
    </row>
    <row r="57" spans="1:15" ht="13.7" customHeight="1">
      <c r="A57" s="475">
        <v>32</v>
      </c>
      <c r="B57" s="794"/>
      <c r="C57" s="474" t="str">
        <f t="shared" si="2"/>
        <v xml:space="preserve"> </v>
      </c>
      <c r="D57" s="474" t="str">
        <f t="shared" ca="1" si="3"/>
        <v xml:space="preserve"> </v>
      </c>
      <c r="E57" s="474" t="str">
        <f t="shared" si="0"/>
        <v xml:space="preserve"> </v>
      </c>
      <c r="F57" s="1631" t="str">
        <f t="shared" si="1"/>
        <v xml:space="preserve"> </v>
      </c>
      <c r="G57" s="1631"/>
      <c r="H57" s="794"/>
      <c r="I57" s="1655" t="str">
        <f>'VASANTHAM HOME'!E14</f>
        <v>MOBILE NO :</v>
      </c>
      <c r="J57" s="1655"/>
      <c r="K57" s="1655"/>
      <c r="L57" s="1655"/>
      <c r="M57" s="794"/>
      <c r="N57" s="794"/>
      <c r="O57" s="794"/>
    </row>
    <row r="58" spans="1:15" ht="13.7" customHeight="1">
      <c r="A58" s="475">
        <v>33</v>
      </c>
      <c r="B58" s="794"/>
      <c r="C58" s="474" t="str">
        <f t="shared" si="2"/>
        <v xml:space="preserve"> </v>
      </c>
      <c r="D58" s="474" t="str">
        <f t="shared" ca="1" si="3"/>
        <v xml:space="preserve"> </v>
      </c>
      <c r="E58" s="474" t="str">
        <f t="shared" si="0"/>
        <v xml:space="preserve"> </v>
      </c>
      <c r="F58" s="1631" t="str">
        <f t="shared" si="1"/>
        <v xml:space="preserve"> </v>
      </c>
      <c r="G58" s="1631"/>
      <c r="H58" s="794"/>
      <c r="I58" s="1655" t="str">
        <f>'VASANTHAM HOME'!E15</f>
        <v>E.MAIL ID :</v>
      </c>
      <c r="J58" s="1655"/>
      <c r="K58" s="1655"/>
      <c r="L58" s="1655"/>
      <c r="M58" s="794"/>
      <c r="N58" s="794"/>
      <c r="O58" s="794"/>
    </row>
    <row r="59" spans="1:15" ht="13.7" customHeight="1">
      <c r="A59" s="475">
        <v>34</v>
      </c>
      <c r="B59" s="794"/>
      <c r="C59" s="474" t="str">
        <f t="shared" si="2"/>
        <v xml:space="preserve"> </v>
      </c>
      <c r="D59" s="474" t="str">
        <f t="shared" ca="1" si="3"/>
        <v xml:space="preserve"> </v>
      </c>
      <c r="E59" s="474" t="str">
        <f t="shared" si="0"/>
        <v xml:space="preserve"> </v>
      </c>
      <c r="F59" s="1631" t="str">
        <f t="shared" si="1"/>
        <v xml:space="preserve"> </v>
      </c>
      <c r="G59" s="1631"/>
      <c r="H59" s="794"/>
      <c r="I59" s="476"/>
      <c r="J59" s="476"/>
      <c r="K59" s="476"/>
      <c r="L59" s="476"/>
      <c r="M59" s="794"/>
      <c r="N59" s="794"/>
      <c r="O59" s="794"/>
    </row>
    <row r="60" spans="1:15" ht="13.7" customHeight="1">
      <c r="A60" s="475">
        <v>35</v>
      </c>
      <c r="B60" s="794"/>
      <c r="C60" s="474" t="str">
        <f t="shared" si="2"/>
        <v xml:space="preserve"> </v>
      </c>
      <c r="D60" s="474" t="str">
        <f t="shared" ca="1" si="3"/>
        <v xml:space="preserve"> </v>
      </c>
      <c r="E60" s="474" t="str">
        <f t="shared" si="0"/>
        <v xml:space="preserve"> </v>
      </c>
      <c r="F60" s="1631" t="str">
        <f t="shared" si="1"/>
        <v xml:space="preserve"> </v>
      </c>
      <c r="G60" s="1631"/>
      <c r="H60" s="794"/>
      <c r="I60" s="794"/>
      <c r="J60" s="794"/>
      <c r="K60" s="794"/>
      <c r="L60" s="794"/>
      <c r="M60" s="794"/>
      <c r="N60" s="794"/>
      <c r="O60" s="794"/>
    </row>
    <row r="61" spans="1:15" s="794" customFormat="1" ht="12" customHeight="1">
      <c r="A61" s="473"/>
      <c r="C61" s="789"/>
      <c r="D61" s="788"/>
      <c r="E61" s="788"/>
      <c r="F61" s="472"/>
      <c r="G61" s="472"/>
    </row>
    <row r="62" spans="1:15" s="794" customFormat="1" ht="13.5">
      <c r="A62" s="473"/>
      <c r="C62" s="789"/>
      <c r="D62" s="788"/>
      <c r="E62" s="788"/>
      <c r="F62" s="472"/>
      <c r="G62" s="472"/>
    </row>
    <row r="63" spans="1:15" s="794" customFormat="1" ht="12.75">
      <c r="A63" s="763"/>
    </row>
    <row r="64" spans="1:15" ht="12.75" hidden="1"/>
  </sheetData>
  <mergeCells count="78">
    <mergeCell ref="F59:G59"/>
    <mergeCell ref="F60:G60"/>
    <mergeCell ref="F56:G56"/>
    <mergeCell ref="I56:L56"/>
    <mergeCell ref="F57:G57"/>
    <mergeCell ref="I57:L57"/>
    <mergeCell ref="F58:G58"/>
    <mergeCell ref="I58:L58"/>
    <mergeCell ref="F53:G53"/>
    <mergeCell ref="I53:L53"/>
    <mergeCell ref="F54:G54"/>
    <mergeCell ref="I54:L54"/>
    <mergeCell ref="F55:G55"/>
    <mergeCell ref="I55:L55"/>
    <mergeCell ref="F52:G52"/>
    <mergeCell ref="I52:L52"/>
    <mergeCell ref="F42:G42"/>
    <mergeCell ref="F43:G43"/>
    <mergeCell ref="F44:G44"/>
    <mergeCell ref="F45:G45"/>
    <mergeCell ref="F46:G46"/>
    <mergeCell ref="F47:G47"/>
    <mergeCell ref="F48:G48"/>
    <mergeCell ref="F49:G49"/>
    <mergeCell ref="F50:G50"/>
    <mergeCell ref="I50:L50"/>
    <mergeCell ref="F51:G51"/>
    <mergeCell ref="F41:G41"/>
    <mergeCell ref="F30:G30"/>
    <mergeCell ref="F31:G31"/>
    <mergeCell ref="F32:G32"/>
    <mergeCell ref="F33:G33"/>
    <mergeCell ref="F34:G34"/>
    <mergeCell ref="F35:G35"/>
    <mergeCell ref="F37:G37"/>
    <mergeCell ref="F38:G38"/>
    <mergeCell ref="F39:G39"/>
    <mergeCell ref="F40:G40"/>
    <mergeCell ref="A23:A24"/>
    <mergeCell ref="C23:C24"/>
    <mergeCell ref="D23:D24"/>
    <mergeCell ref="E23:E24"/>
    <mergeCell ref="F23:G24"/>
    <mergeCell ref="C19:I19"/>
    <mergeCell ref="C20:I20"/>
    <mergeCell ref="C21:I21"/>
    <mergeCell ref="F25:G25"/>
    <mergeCell ref="F36:G36"/>
    <mergeCell ref="F26:G26"/>
    <mergeCell ref="P29:Q29"/>
    <mergeCell ref="C7:G9"/>
    <mergeCell ref="C16:H16"/>
    <mergeCell ref="M7:O8"/>
    <mergeCell ref="M9:P10"/>
    <mergeCell ref="C10:G10"/>
    <mergeCell ref="C11:G11"/>
    <mergeCell ref="C12:G13"/>
    <mergeCell ref="M16:P17"/>
    <mergeCell ref="L15:L16"/>
    <mergeCell ref="F27:G27"/>
    <mergeCell ref="P27:Q27"/>
    <mergeCell ref="F28:G28"/>
    <mergeCell ref="F29:G29"/>
    <mergeCell ref="C18:I18"/>
    <mergeCell ref="C17:H17"/>
    <mergeCell ref="I17:J17"/>
    <mergeCell ref="C14:H14"/>
    <mergeCell ref="I14:J14"/>
    <mergeCell ref="M14:O15"/>
    <mergeCell ref="C15:H15"/>
    <mergeCell ref="I15:J16"/>
    <mergeCell ref="K15:K16"/>
    <mergeCell ref="I12:J12"/>
    <mergeCell ref="K12:L12"/>
    <mergeCell ref="I13:J13"/>
    <mergeCell ref="K3:L3"/>
    <mergeCell ref="K5:L5"/>
    <mergeCell ref="K6:L6"/>
  </mergeCells>
  <hyperlinks>
    <hyperlink ref="M16:P17" location="Main!A1" display="CLICK HERE"/>
    <hyperlink ref="M9:P10" location="'VASANTHAM HOME'!A1" display="CLICK HERE"/>
  </hyperlinks>
  <pageMargins left="0.7" right="0.7" top="0.75" bottom="0.75" header="0.3" footer="0.3"/>
  <pageSetup scale="80" orientation="portrait" r:id="rId1"/>
  <headerFooter>
    <oddFooter>&amp;C&amp;K02-049VASANTHAM SMART</oddFooter>
  </headerFooter>
  <drawing r:id="rId2"/>
</worksheet>
</file>

<file path=xl/worksheets/sheet9.xml><?xml version="1.0" encoding="utf-8"?>
<worksheet xmlns="http://schemas.openxmlformats.org/spreadsheetml/2006/main" xmlns:r="http://schemas.openxmlformats.org/officeDocument/2006/relationships">
  <sheetPr codeName="Sheet17"/>
  <dimension ref="A1:V58"/>
  <sheetViews>
    <sheetView showGridLines="0" showRowColHeaders="0" topLeftCell="B1" workbookViewId="0">
      <selection activeCell="Q1" sqref="Q1"/>
    </sheetView>
  </sheetViews>
  <sheetFormatPr defaultColWidth="0" defaultRowHeight="0" customHeight="1" zeroHeight="1"/>
  <cols>
    <col min="1" max="1" width="3.5" style="165" hidden="1" customWidth="1"/>
    <col min="2" max="2" width="4.125" style="165" customWidth="1"/>
    <col min="3" max="3" width="4.5" style="165" customWidth="1"/>
    <col min="4" max="4" width="10.875" style="165" customWidth="1"/>
    <col min="5" max="7" width="9.875" style="165" customWidth="1"/>
    <col min="8" max="8" width="11.375" style="165" customWidth="1"/>
    <col min="9" max="9" width="10.5" style="165" customWidth="1"/>
    <col min="10" max="10" width="6.5" style="165" customWidth="1"/>
    <col min="11" max="11" width="4.375" style="165" customWidth="1"/>
    <col min="12" max="12" width="8.375" style="165" customWidth="1"/>
    <col min="13" max="13" width="7.875" style="165" customWidth="1"/>
    <col min="14" max="14" width="9.125" style="165" customWidth="1"/>
    <col min="15" max="15" width="11.125" style="165" customWidth="1"/>
    <col min="16" max="17" width="9.125" style="165" customWidth="1"/>
    <col min="18" max="22" width="0" style="165" hidden="1" customWidth="1"/>
    <col min="23" max="16384" width="9.125" style="165" hidden="1"/>
  </cols>
  <sheetData>
    <row r="1" spans="2:18" ht="13.5" customHeight="1">
      <c r="B1" s="30"/>
      <c r="E1" s="30"/>
      <c r="F1" s="30"/>
      <c r="G1" s="30"/>
      <c r="H1" s="30"/>
      <c r="I1" s="30"/>
      <c r="J1" s="30"/>
      <c r="K1" s="30"/>
      <c r="L1" s="30"/>
      <c r="M1" s="30"/>
      <c r="N1" s="30"/>
      <c r="O1" s="30"/>
      <c r="P1" s="30"/>
      <c r="Q1" s="30"/>
    </row>
    <row r="2" spans="2:18" ht="13.5" customHeight="1">
      <c r="B2" s="30"/>
      <c r="E2" s="30"/>
      <c r="F2" s="30"/>
      <c r="G2" s="30"/>
      <c r="H2" s="30"/>
      <c r="I2" s="30"/>
      <c r="J2" s="30"/>
      <c r="K2" s="30"/>
      <c r="L2" s="30"/>
      <c r="M2" s="1612">
        <f ca="1">TODAY()</f>
        <v>43229</v>
      </c>
      <c r="N2" s="1612"/>
      <c r="O2" s="30"/>
      <c r="P2" s="30"/>
      <c r="Q2" s="30"/>
    </row>
    <row r="3" spans="2:18" ht="13.5" customHeight="1">
      <c r="B3" s="30"/>
      <c r="E3" s="30"/>
      <c r="F3" s="30"/>
      <c r="G3" s="30"/>
      <c r="H3" s="30"/>
      <c r="I3" s="30"/>
      <c r="J3" s="30"/>
      <c r="K3" s="30"/>
      <c r="L3" s="30"/>
      <c r="M3" s="30"/>
      <c r="N3" s="30"/>
      <c r="O3" s="30"/>
      <c r="P3" s="30"/>
      <c r="Q3" s="30"/>
    </row>
    <row r="4" spans="2:18" ht="13.5" customHeight="1">
      <c r="B4" s="30"/>
      <c r="E4" s="30"/>
      <c r="F4" s="30"/>
      <c r="G4" s="30"/>
      <c r="H4" s="30"/>
      <c r="I4" s="30"/>
      <c r="J4" s="30"/>
      <c r="K4" s="30"/>
      <c r="L4" s="1656" t="s">
        <v>415</v>
      </c>
      <c r="M4" s="1656"/>
      <c r="N4" s="1656"/>
      <c r="O4" s="1598" t="s">
        <v>232</v>
      </c>
      <c r="P4" s="1598"/>
      <c r="Q4" s="1598"/>
    </row>
    <row r="5" spans="2:18" ht="14.25" customHeight="1">
      <c r="B5" s="30"/>
      <c r="C5" s="30"/>
      <c r="D5" s="30"/>
      <c r="E5" s="30"/>
      <c r="F5" s="30"/>
      <c r="G5" s="30"/>
      <c r="H5" s="30"/>
      <c r="I5" s="30"/>
      <c r="J5" s="30"/>
      <c r="K5" s="30"/>
      <c r="L5" s="1657" t="s">
        <v>414</v>
      </c>
      <c r="M5" s="1657"/>
      <c r="N5" s="1657"/>
      <c r="O5" s="1598"/>
      <c r="P5" s="1598"/>
      <c r="Q5" s="1598"/>
    </row>
    <row r="6" spans="2:18" ht="12.75" customHeight="1">
      <c r="B6" s="30"/>
      <c r="C6" s="1661" t="s">
        <v>90</v>
      </c>
      <c r="D6" s="1661"/>
      <c r="E6" s="1661"/>
      <c r="F6" s="1661"/>
      <c r="G6" s="1661"/>
      <c r="H6" s="471"/>
      <c r="I6" s="471"/>
      <c r="J6" s="471"/>
      <c r="K6" s="471"/>
      <c r="L6" s="471"/>
      <c r="M6" s="30"/>
      <c r="N6" s="30"/>
      <c r="O6" s="1381" t="s">
        <v>226</v>
      </c>
      <c r="P6" s="1381"/>
      <c r="Q6" s="1381"/>
      <c r="R6" s="1381"/>
    </row>
    <row r="7" spans="2:18" ht="16.5" customHeight="1" thickBot="1">
      <c r="B7" s="30"/>
      <c r="C7" s="1662"/>
      <c r="D7" s="1662"/>
      <c r="E7" s="1662"/>
      <c r="F7" s="1662"/>
      <c r="G7" s="1662"/>
      <c r="H7" s="470"/>
      <c r="I7" s="470"/>
      <c r="J7" s="469"/>
      <c r="K7" s="469"/>
      <c r="L7" s="782" t="s">
        <v>251</v>
      </c>
      <c r="M7" s="781">
        <f>Main!E9</f>
        <v>30</v>
      </c>
      <c r="N7" s="465" t="s">
        <v>234</v>
      </c>
      <c r="O7" s="1381"/>
      <c r="P7" s="1381"/>
      <c r="Q7" s="1381"/>
      <c r="R7" s="1381"/>
    </row>
    <row r="8" spans="2:18" ht="16.5" thickTop="1">
      <c r="B8" s="30"/>
      <c r="C8" s="1665" t="s">
        <v>231</v>
      </c>
      <c r="D8" s="1665"/>
      <c r="E8" s="1665"/>
      <c r="F8" s="1665"/>
      <c r="G8" s="1665"/>
      <c r="H8" s="468"/>
      <c r="I8" s="468"/>
      <c r="J8" s="467"/>
      <c r="K8" s="467"/>
      <c r="L8" s="466" t="s">
        <v>235</v>
      </c>
      <c r="M8" s="781">
        <f>Main!E11</f>
        <v>25</v>
      </c>
      <c r="N8" s="465" t="s">
        <v>234</v>
      </c>
      <c r="O8" s="30"/>
      <c r="P8" s="30"/>
      <c r="Q8" s="30"/>
    </row>
    <row r="9" spans="2:18" ht="15.75">
      <c r="B9" s="30"/>
      <c r="C9" s="1666" t="str">
        <f>CONCATENATE(Main!E8,(Main!F8))</f>
        <v>Sri.soumil</v>
      </c>
      <c r="D9" s="1666"/>
      <c r="E9" s="1666"/>
      <c r="F9" s="1666"/>
      <c r="G9" s="1666"/>
      <c r="H9" s="464"/>
      <c r="I9" s="464"/>
      <c r="J9" s="1667" t="s">
        <v>233</v>
      </c>
      <c r="K9" s="1667"/>
      <c r="L9" s="1667"/>
      <c r="M9" s="1663">
        <f>Main!E10</f>
        <v>2500000</v>
      </c>
      <c r="N9" s="1663"/>
      <c r="O9" s="30"/>
      <c r="P9" s="30"/>
      <c r="Q9" s="30"/>
    </row>
    <row r="10" spans="2:18" ht="15.75">
      <c r="B10" s="30"/>
      <c r="C10" s="463"/>
      <c r="D10" s="463"/>
      <c r="E10" s="463"/>
      <c r="F10" s="463"/>
      <c r="G10" s="462"/>
      <c r="H10" s="462"/>
      <c r="I10" s="462"/>
      <c r="J10" s="461"/>
      <c r="K10" s="461"/>
      <c r="L10" s="461"/>
      <c r="M10" s="460"/>
      <c r="N10" s="460"/>
      <c r="O10" s="30"/>
      <c r="P10" s="30"/>
      <c r="Q10" s="30"/>
    </row>
    <row r="11" spans="2:18" ht="15" customHeight="1">
      <c r="B11" s="30"/>
      <c r="C11" s="1642" t="s">
        <v>230</v>
      </c>
      <c r="D11" s="1664"/>
      <c r="E11" s="1643"/>
      <c r="F11" s="459" t="s">
        <v>16</v>
      </c>
      <c r="G11" s="459" t="s">
        <v>15</v>
      </c>
      <c r="H11" s="459" t="s">
        <v>14</v>
      </c>
      <c r="I11" s="459" t="s">
        <v>229</v>
      </c>
      <c r="J11" s="794"/>
      <c r="K11" s="794"/>
      <c r="L11" s="458"/>
      <c r="M11" s="458"/>
      <c r="N11" s="458"/>
      <c r="O11" s="30"/>
      <c r="P11" s="30"/>
      <c r="Q11" s="30"/>
    </row>
    <row r="12" spans="2:18" ht="15" customHeight="1">
      <c r="B12" s="30"/>
      <c r="C12" s="1622" t="s">
        <v>2113</v>
      </c>
      <c r="D12" s="1675"/>
      <c r="E12" s="1623"/>
      <c r="F12" s="1670" t="e">
        <f>DAT!AT14</f>
        <v>#N/A</v>
      </c>
      <c r="G12" s="1670" t="e">
        <f>DAT!AU14</f>
        <v>#N/A</v>
      </c>
      <c r="H12" s="1670" t="e">
        <f>DAT!AV14</f>
        <v>#N/A</v>
      </c>
      <c r="I12" s="1670" t="e">
        <f>DAT!AW14</f>
        <v>#N/A</v>
      </c>
      <c r="J12" s="794"/>
      <c r="K12" s="794"/>
      <c r="L12" s="458"/>
      <c r="M12" s="458"/>
      <c r="N12" s="458"/>
      <c r="O12" s="1596" t="s">
        <v>228</v>
      </c>
      <c r="P12" s="1597"/>
      <c r="Q12" s="1597"/>
    </row>
    <row r="13" spans="2:18" ht="15" customHeight="1">
      <c r="B13" s="30"/>
      <c r="C13" s="1624"/>
      <c r="D13" s="1676"/>
      <c r="E13" s="1625"/>
      <c r="F13" s="1671"/>
      <c r="G13" s="1671"/>
      <c r="H13" s="1671"/>
      <c r="I13" s="1671"/>
      <c r="J13" s="794"/>
      <c r="K13" s="794"/>
      <c r="L13" s="1660" t="e">
        <f>CONCATENATE(" SAVINGS                                    PER DAY", " ", " "," ", " "," "," "," "," ", " "," "," "," "," "," "," ", " "," "," "," "," ", " "," ",   "Rs.  ",(DAT!AZ14)," "," "," ","ONLY")</f>
        <v>#N/A</v>
      </c>
      <c r="M13" s="1660"/>
      <c r="N13" s="457"/>
      <c r="O13" s="1597"/>
      <c r="P13" s="1597"/>
      <c r="Q13" s="1597"/>
    </row>
    <row r="14" spans="2:18" ht="15" customHeight="1">
      <c r="B14" s="30"/>
      <c r="C14" s="48"/>
      <c r="D14" s="48"/>
      <c r="E14" s="48"/>
      <c r="F14" s="47"/>
      <c r="G14" s="47"/>
      <c r="H14" s="47"/>
      <c r="I14" s="47"/>
      <c r="J14" s="794"/>
      <c r="K14" s="794"/>
      <c r="L14" s="1660"/>
      <c r="M14" s="1660"/>
      <c r="N14" s="457"/>
      <c r="O14" s="1391" t="s">
        <v>226</v>
      </c>
      <c r="P14" s="1391"/>
      <c r="Q14" s="1391"/>
      <c r="R14" s="1391"/>
    </row>
    <row r="15" spans="2:18" ht="12" customHeight="1">
      <c r="B15" s="30"/>
      <c r="C15" s="1672" t="s">
        <v>227</v>
      </c>
      <c r="D15" s="1672"/>
      <c r="E15" s="1672"/>
      <c r="F15" s="1672"/>
      <c r="G15" s="1672"/>
      <c r="H15" s="30"/>
      <c r="I15" s="30"/>
      <c r="J15" s="30"/>
      <c r="K15" s="30"/>
      <c r="L15" s="1660"/>
      <c r="M15" s="1660"/>
      <c r="N15" s="30"/>
      <c r="O15" s="1391"/>
      <c r="P15" s="1391"/>
      <c r="Q15" s="1391"/>
      <c r="R15" s="1391"/>
    </row>
    <row r="16" spans="2:18" ht="15">
      <c r="B16" s="30"/>
      <c r="C16" s="1672"/>
      <c r="D16" s="1672"/>
      <c r="E16" s="1672"/>
      <c r="F16" s="1672"/>
      <c r="G16" s="1672"/>
      <c r="H16" s="1673"/>
      <c r="I16" s="1673"/>
      <c r="J16" s="456"/>
      <c r="K16" s="456"/>
      <c r="L16" s="1660"/>
      <c r="M16" s="1660"/>
      <c r="N16" s="30"/>
      <c r="O16" s="30"/>
      <c r="P16" s="30"/>
      <c r="Q16" s="30"/>
    </row>
    <row r="17" spans="1:17" ht="16.5" customHeight="1">
      <c r="A17" s="455" t="s">
        <v>224</v>
      </c>
      <c r="B17" s="454" t="s">
        <v>224</v>
      </c>
      <c r="C17" s="1674" t="s">
        <v>413</v>
      </c>
      <c r="D17" s="1674"/>
      <c r="E17" s="1674"/>
      <c r="F17" s="1674"/>
      <c r="G17" s="1674"/>
      <c r="H17" s="1674"/>
      <c r="I17" s="1674"/>
      <c r="J17" s="43"/>
      <c r="K17" s="43"/>
      <c r="L17" s="43"/>
      <c r="M17" s="43"/>
      <c r="N17" s="30"/>
      <c r="O17" s="30"/>
      <c r="P17" s="30"/>
      <c r="Q17" s="30"/>
    </row>
    <row r="18" spans="1:17" ht="16.5" customHeight="1">
      <c r="A18" s="455" t="s">
        <v>224</v>
      </c>
      <c r="B18" s="454" t="s">
        <v>224</v>
      </c>
      <c r="C18" s="1674" t="s">
        <v>412</v>
      </c>
      <c r="D18" s="1674"/>
      <c r="E18" s="1674"/>
      <c r="F18" s="1674"/>
      <c r="G18" s="1674"/>
      <c r="H18" s="1674"/>
      <c r="I18" s="1674"/>
      <c r="J18" s="43"/>
      <c r="K18" s="43"/>
      <c r="L18" s="43"/>
      <c r="M18" s="43"/>
      <c r="N18" s="30"/>
      <c r="O18" s="30"/>
      <c r="P18" s="30"/>
      <c r="Q18" s="30"/>
    </row>
    <row r="19" spans="1:17" ht="17.25" customHeight="1">
      <c r="A19" s="455" t="s">
        <v>224</v>
      </c>
      <c r="B19" s="454" t="s">
        <v>224</v>
      </c>
      <c r="C19" s="1668" t="s">
        <v>411</v>
      </c>
      <c r="D19" s="1668"/>
      <c r="E19" s="1668"/>
      <c r="F19" s="1668"/>
      <c r="G19" s="1668"/>
      <c r="H19" s="1668"/>
      <c r="I19" s="1668"/>
      <c r="J19" s="40"/>
      <c r="K19" s="40"/>
      <c r="L19" s="40"/>
      <c r="M19" s="40"/>
      <c r="N19" s="30"/>
      <c r="O19" s="30"/>
      <c r="P19" s="30"/>
      <c r="Q19" s="30"/>
    </row>
    <row r="20" spans="1:17" ht="15" customHeight="1">
      <c r="A20" s="455"/>
      <c r="B20" s="454"/>
      <c r="C20" s="1669" t="s">
        <v>410</v>
      </c>
      <c r="D20" s="1669"/>
      <c r="E20" s="1669"/>
      <c r="F20" s="1669"/>
      <c r="G20" s="1669"/>
      <c r="H20" s="1669"/>
      <c r="I20" s="1669"/>
      <c r="J20" s="40"/>
      <c r="K20" s="40"/>
      <c r="L20" s="40"/>
      <c r="M20" s="40"/>
      <c r="N20" s="30"/>
      <c r="O20" s="30"/>
      <c r="P20" s="30"/>
      <c r="Q20" s="30"/>
    </row>
    <row r="21" spans="1:17" ht="12.75" customHeight="1">
      <c r="B21" s="454" t="s">
        <v>224</v>
      </c>
      <c r="C21" s="1668" t="s">
        <v>409</v>
      </c>
      <c r="D21" s="1668"/>
      <c r="E21" s="1668"/>
      <c r="F21" s="1668"/>
      <c r="G21" s="1668"/>
      <c r="H21" s="1668"/>
      <c r="I21" s="1668"/>
      <c r="J21" s="40"/>
      <c r="K21" s="40"/>
      <c r="L21" s="40"/>
      <c r="M21" s="40"/>
      <c r="N21" s="30"/>
      <c r="O21" s="30"/>
      <c r="P21" s="30"/>
      <c r="Q21" s="30"/>
    </row>
    <row r="22" spans="1:17" ht="16.5" customHeight="1">
      <c r="A22" s="455" t="s">
        <v>224</v>
      </c>
      <c r="B22" s="454" t="s">
        <v>224</v>
      </c>
      <c r="C22" s="1681" t="s">
        <v>408</v>
      </c>
      <c r="D22" s="1681"/>
      <c r="E22" s="1681"/>
      <c r="F22" s="1681"/>
      <c r="G22" s="1681"/>
      <c r="H22" s="1681"/>
      <c r="I22" s="1681"/>
      <c r="J22" s="40"/>
      <c r="K22" s="40"/>
      <c r="L22" s="40"/>
      <c r="M22" s="40"/>
      <c r="N22" s="30"/>
      <c r="O22" s="30"/>
      <c r="P22" s="1658"/>
      <c r="Q22" s="1659"/>
    </row>
    <row r="23" spans="1:17" ht="15">
      <c r="A23" s="1654" t="s">
        <v>330</v>
      </c>
      <c r="B23" s="377"/>
      <c r="C23" s="1607" t="s">
        <v>17</v>
      </c>
      <c r="D23" s="1677" t="s">
        <v>223</v>
      </c>
      <c r="E23" s="1609" t="s">
        <v>222</v>
      </c>
      <c r="F23" s="1611" t="s">
        <v>221</v>
      </c>
      <c r="G23" s="1611"/>
      <c r="H23" s="1611" t="s">
        <v>220</v>
      </c>
      <c r="I23" s="1611" t="s">
        <v>219</v>
      </c>
      <c r="J23" s="30"/>
      <c r="K23" s="30"/>
      <c r="L23" s="30"/>
      <c r="M23" s="30"/>
      <c r="N23" s="30"/>
      <c r="O23" s="30"/>
      <c r="P23" s="30"/>
      <c r="Q23" s="30"/>
    </row>
    <row r="24" spans="1:17" ht="15">
      <c r="A24" s="1654"/>
      <c r="B24" s="377"/>
      <c r="C24" s="1607"/>
      <c r="D24" s="1678"/>
      <c r="E24" s="1610"/>
      <c r="F24" s="775" t="s">
        <v>217</v>
      </c>
      <c r="G24" s="775" t="s">
        <v>216</v>
      </c>
      <c r="H24" s="1611"/>
      <c r="I24" s="1611"/>
      <c r="J24" s="30"/>
      <c r="K24" s="30"/>
      <c r="L24" s="30"/>
      <c r="M24" s="30"/>
      <c r="N24" s="30"/>
      <c r="O24" s="30"/>
      <c r="P24" s="30"/>
      <c r="Q24" s="30"/>
    </row>
    <row r="25" spans="1:17" ht="15">
      <c r="A25" s="453">
        <v>0</v>
      </c>
      <c r="B25" s="29"/>
      <c r="C25" s="452">
        <f>M7</f>
        <v>30</v>
      </c>
      <c r="D25" s="445" t="str">
        <f ca="1">IF(A24&lt;$M$8,(((DAY(NOW())&amp;"/")&amp;MONTH(NOW()))&amp;"/")&amp;((YEAR(NOW()))),0)</f>
        <v>9/5/2018</v>
      </c>
      <c r="E25" s="451" t="e">
        <f>DAT!AT14</f>
        <v>#N/A</v>
      </c>
      <c r="F25" s="443" t="e">
        <f>IF(A25&lt;$M$8,MAT!AZ134," ")</f>
        <v>#N/A</v>
      </c>
      <c r="G25" s="443" t="e">
        <f>IF(A25&lt;$M$8,MAT!BA134," ")</f>
        <v>#N/A</v>
      </c>
      <c r="H25" s="450">
        <v>0</v>
      </c>
      <c r="I25" s="449">
        <v>0</v>
      </c>
      <c r="J25" s="30"/>
      <c r="K25" s="30"/>
      <c r="L25" s="30"/>
      <c r="M25" s="30"/>
      <c r="N25" s="30"/>
      <c r="O25" s="30"/>
      <c r="P25" s="30"/>
      <c r="Q25" s="30"/>
    </row>
    <row r="26" spans="1:17" ht="15">
      <c r="A26" s="447">
        <v>1</v>
      </c>
      <c r="B26" s="29"/>
      <c r="C26" s="444">
        <f t="shared" ref="C26:C44" si="0">IF(A26&lt;$M$8,$C$25+A26," ")</f>
        <v>31</v>
      </c>
      <c r="D26" s="445" t="str">
        <f t="shared" ref="D26:D44" ca="1" si="1">IF(A26&lt;$M$8,(((DAY(NOW())&amp;"/")&amp;MONTH(NOW()))&amp;"/")&amp;((YEAR(NOW())))+A26," ")</f>
        <v>9/5/2019</v>
      </c>
      <c r="E26" s="444" t="e">
        <f>IF(A26&lt;$M$8,DAT!$AY$14," ")</f>
        <v>#N/A</v>
      </c>
      <c r="F26" s="443" t="e">
        <f>IF(A26&lt;$M$8,MAT!AZ135," ")</f>
        <v>#N/A</v>
      </c>
      <c r="G26" s="443" t="e">
        <f>IF(A26&lt;$M$8,MAT!BA135," ")</f>
        <v>#N/A</v>
      </c>
      <c r="H26" s="443">
        <v>0</v>
      </c>
      <c r="I26" s="448">
        <v>0</v>
      </c>
      <c r="J26" s="30"/>
      <c r="K26" s="30"/>
      <c r="L26" s="30"/>
      <c r="M26" s="30"/>
      <c r="N26" s="30"/>
      <c r="O26" s="30"/>
      <c r="P26" s="30"/>
      <c r="Q26" s="30"/>
    </row>
    <row r="27" spans="1:17" ht="15">
      <c r="A27" s="447">
        <v>2</v>
      </c>
      <c r="B27" s="29"/>
      <c r="C27" s="444">
        <f t="shared" si="0"/>
        <v>32</v>
      </c>
      <c r="D27" s="445" t="str">
        <f t="shared" ca="1" si="1"/>
        <v>9/5/2020</v>
      </c>
      <c r="E27" s="444" t="e">
        <f>IF(A27&lt;$M$8,DAT!$AY$14," ")</f>
        <v>#N/A</v>
      </c>
      <c r="F27" s="443" t="e">
        <f>IF(A27&lt;$M$8,MAT!AZ136," ")</f>
        <v>#N/A</v>
      </c>
      <c r="G27" s="443" t="e">
        <f>IF(A27&lt;$M$8,MAT!BA136," ")</f>
        <v>#N/A</v>
      </c>
      <c r="H27" s="443">
        <v>0</v>
      </c>
      <c r="I27" s="448">
        <v>0</v>
      </c>
      <c r="J27" s="30"/>
      <c r="K27" s="30"/>
      <c r="L27" s="30"/>
      <c r="M27" s="30"/>
      <c r="N27" s="30"/>
      <c r="O27" s="30"/>
      <c r="P27" s="30"/>
      <c r="Q27" s="30"/>
    </row>
    <row r="28" spans="1:17" ht="15">
      <c r="A28" s="447">
        <v>3</v>
      </c>
      <c r="B28" s="29"/>
      <c r="C28" s="444">
        <f t="shared" si="0"/>
        <v>33</v>
      </c>
      <c r="D28" s="445" t="str">
        <f t="shared" ca="1" si="1"/>
        <v>9/5/2021</v>
      </c>
      <c r="E28" s="444" t="e">
        <f>IF(A28&lt;$M$8,DAT!$AY$14," ")</f>
        <v>#N/A</v>
      </c>
      <c r="F28" s="443" t="e">
        <f>IF(A28&lt;$M$8,MAT!AZ137," ")</f>
        <v>#N/A</v>
      </c>
      <c r="G28" s="443" t="e">
        <f>IF(A28&lt;$M$8,MAT!BA137," ")</f>
        <v>#N/A</v>
      </c>
      <c r="H28" s="443" t="e">
        <f>IF(A28&lt;$M$8,MAT!AP136," ")</f>
        <v>#N/A</v>
      </c>
      <c r="I28" s="443" t="e">
        <f>IF(A28&lt;$M$8,MAT!AQ136," ")</f>
        <v>#N/A</v>
      </c>
      <c r="J28" s="30"/>
      <c r="K28" s="30"/>
      <c r="L28" s="30"/>
      <c r="M28" s="30"/>
      <c r="N28" s="30"/>
      <c r="O28" s="30"/>
      <c r="P28" s="30"/>
      <c r="Q28" s="30"/>
    </row>
    <row r="29" spans="1:17" ht="15">
      <c r="A29" s="447">
        <v>4</v>
      </c>
      <c r="B29" s="29"/>
      <c r="C29" s="444">
        <f t="shared" si="0"/>
        <v>34</v>
      </c>
      <c r="D29" s="445" t="str">
        <f t="shared" ca="1" si="1"/>
        <v>9/5/2022</v>
      </c>
      <c r="E29" s="444" t="e">
        <f>IF(A29&lt;$M$8,DAT!$AY$14," ")</f>
        <v>#N/A</v>
      </c>
      <c r="F29" s="443" t="e">
        <f>IF(A29&lt;$M$8,MAT!AZ138," ")</f>
        <v>#N/A</v>
      </c>
      <c r="G29" s="443" t="e">
        <f>IF(A29&lt;$M$8,MAT!BA138," ")</f>
        <v>#N/A</v>
      </c>
      <c r="H29" s="443" t="e">
        <f>IF(A29&lt;$M$8,MAT!AP137," ")</f>
        <v>#N/A</v>
      </c>
      <c r="I29" s="443" t="e">
        <f>IF(A29&lt;$M$8,MAT!AQ137," ")</f>
        <v>#N/A</v>
      </c>
      <c r="J29" s="30"/>
      <c r="K29" s="30"/>
      <c r="L29" s="30"/>
      <c r="M29" s="30"/>
      <c r="N29" s="30"/>
      <c r="O29" s="30"/>
      <c r="P29" s="30"/>
      <c r="Q29" s="30"/>
    </row>
    <row r="30" spans="1:17" ht="15">
      <c r="A30" s="447">
        <v>5</v>
      </c>
      <c r="B30" s="29"/>
      <c r="C30" s="444">
        <f t="shared" si="0"/>
        <v>35</v>
      </c>
      <c r="D30" s="445" t="str">
        <f t="shared" ca="1" si="1"/>
        <v>9/5/2023</v>
      </c>
      <c r="E30" s="444" t="e">
        <f>IF(A30&lt;$M$8,DAT!$AY$14," ")</f>
        <v>#N/A</v>
      </c>
      <c r="F30" s="443" t="e">
        <f>IF(A30&lt;$M$8,MAT!AZ139," ")</f>
        <v>#N/A</v>
      </c>
      <c r="G30" s="443" t="e">
        <f>IF(A30&lt;$M$8,MAT!BA139," ")</f>
        <v>#N/A</v>
      </c>
      <c r="H30" s="443" t="e">
        <f>IF(A30&lt;$M$8,MAT!AP138," ")</f>
        <v>#N/A</v>
      </c>
      <c r="I30" s="443" t="e">
        <f>IF(A30&lt;$M$8,MAT!AQ138," ")</f>
        <v>#N/A</v>
      </c>
      <c r="J30" s="30"/>
      <c r="K30" s="30"/>
      <c r="L30" s="30"/>
      <c r="M30" s="30"/>
      <c r="N30" s="30"/>
      <c r="O30" s="30"/>
      <c r="P30" s="30"/>
      <c r="Q30" s="30"/>
    </row>
    <row r="31" spans="1:17" ht="15">
      <c r="A31" s="447">
        <v>6</v>
      </c>
      <c r="B31" s="29"/>
      <c r="C31" s="444">
        <f t="shared" si="0"/>
        <v>36</v>
      </c>
      <c r="D31" s="445" t="str">
        <f t="shared" ca="1" si="1"/>
        <v>9/5/2024</v>
      </c>
      <c r="E31" s="444" t="e">
        <f>IF(A31&lt;$M$8,DAT!$AY$14," ")</f>
        <v>#N/A</v>
      </c>
      <c r="F31" s="443" t="e">
        <f>IF(A31&lt;$M$8,MAT!AZ140," ")</f>
        <v>#N/A</v>
      </c>
      <c r="G31" s="443" t="e">
        <f>IF(A31&lt;$M$8,MAT!BA140," ")</f>
        <v>#N/A</v>
      </c>
      <c r="H31" s="443" t="e">
        <f>IF(A31&lt;$M$8,MAT!AP139," ")</f>
        <v>#N/A</v>
      </c>
      <c r="I31" s="443" t="e">
        <f>IF(A31&lt;$M$8,MAT!AQ139," ")</f>
        <v>#N/A</v>
      </c>
      <c r="J31" s="30"/>
      <c r="K31" s="30"/>
      <c r="L31" s="30"/>
      <c r="M31" s="30"/>
      <c r="N31" s="30"/>
      <c r="O31" s="30"/>
      <c r="P31" s="30"/>
      <c r="Q31" s="30"/>
    </row>
    <row r="32" spans="1:17" ht="15">
      <c r="A32" s="447">
        <v>7</v>
      </c>
      <c r="B32" s="29"/>
      <c r="C32" s="444">
        <f t="shared" si="0"/>
        <v>37</v>
      </c>
      <c r="D32" s="445" t="str">
        <f t="shared" ca="1" si="1"/>
        <v>9/5/2025</v>
      </c>
      <c r="E32" s="444" t="e">
        <f>IF(A32&lt;$M$8,DAT!$AY$14," ")</f>
        <v>#N/A</v>
      </c>
      <c r="F32" s="443" t="e">
        <f>IF(A32&lt;$M$8,MAT!AZ141," ")</f>
        <v>#N/A</v>
      </c>
      <c r="G32" s="443" t="e">
        <f>IF(A32&lt;$M$8,MAT!BA141," ")</f>
        <v>#N/A</v>
      </c>
      <c r="H32" s="443" t="e">
        <f>IF(A32&lt;$M$8,MAT!AP140," ")</f>
        <v>#N/A</v>
      </c>
      <c r="I32" s="443" t="e">
        <f>IF(A32&lt;$M$8,MAT!AQ140," ")</f>
        <v>#N/A</v>
      </c>
      <c r="J32" s="30"/>
      <c r="K32" s="30"/>
      <c r="L32" s="30"/>
      <c r="M32" s="30"/>
      <c r="N32" s="30"/>
      <c r="O32" s="30"/>
      <c r="P32" s="30"/>
      <c r="Q32" s="30"/>
    </row>
    <row r="33" spans="1:17" ht="15">
      <c r="A33" s="447">
        <v>8</v>
      </c>
      <c r="B33" s="29"/>
      <c r="C33" s="444">
        <f t="shared" si="0"/>
        <v>38</v>
      </c>
      <c r="D33" s="445" t="str">
        <f t="shared" ca="1" si="1"/>
        <v>9/5/2026</v>
      </c>
      <c r="E33" s="444" t="e">
        <f>IF(A33&lt;$M$8,DAT!$AY$14," ")</f>
        <v>#N/A</v>
      </c>
      <c r="F33" s="443" t="e">
        <f>IF(A33&lt;$M$8,MAT!AZ142," ")</f>
        <v>#N/A</v>
      </c>
      <c r="G33" s="443" t="e">
        <f>IF(A33&lt;$M$8,MAT!BA142," ")</f>
        <v>#N/A</v>
      </c>
      <c r="H33" s="443" t="e">
        <f>IF(A33&lt;$M$8,MAT!AP141," ")</f>
        <v>#N/A</v>
      </c>
      <c r="I33" s="443" t="e">
        <f>IF(A33&lt;$M$8,MAT!AQ141," ")</f>
        <v>#N/A</v>
      </c>
      <c r="J33" s="30"/>
      <c r="K33" s="377"/>
      <c r="L33" s="377"/>
      <c r="M33" s="30"/>
      <c r="N33" s="30"/>
      <c r="O33" s="30"/>
      <c r="P33" s="30"/>
      <c r="Q33" s="30"/>
    </row>
    <row r="34" spans="1:17" ht="15.75" customHeight="1">
      <c r="A34" s="447">
        <v>9</v>
      </c>
      <c r="B34" s="29"/>
      <c r="C34" s="444">
        <f t="shared" si="0"/>
        <v>39</v>
      </c>
      <c r="D34" s="445" t="str">
        <f t="shared" ca="1" si="1"/>
        <v>9/5/2027</v>
      </c>
      <c r="E34" s="444" t="e">
        <f>IF(A34&lt;$M$8,DAT!$AY$14," ")</f>
        <v>#N/A</v>
      </c>
      <c r="F34" s="443" t="e">
        <f>IF(A34&lt;$M$8,MAT!AZ143," ")</f>
        <v>#N/A</v>
      </c>
      <c r="G34" s="443" t="e">
        <f>IF(A34&lt;$M$8,MAT!BA143," ")</f>
        <v>#N/A</v>
      </c>
      <c r="H34" s="443" t="e">
        <f>IF(A34&lt;$M$8,MAT!AP142," ")</f>
        <v>#N/A</v>
      </c>
      <c r="I34" s="443" t="e">
        <f>IF(A34&lt;$M$8,MAT!AQ142," ")</f>
        <v>#N/A</v>
      </c>
      <c r="J34" s="794"/>
      <c r="K34" s="293"/>
      <c r="L34" s="293"/>
      <c r="M34" s="794"/>
      <c r="N34" s="794"/>
      <c r="O34" s="30"/>
      <c r="P34" s="30"/>
      <c r="Q34" s="30"/>
    </row>
    <row r="35" spans="1:17" ht="15" customHeight="1">
      <c r="A35" s="447">
        <v>10</v>
      </c>
      <c r="B35" s="29"/>
      <c r="C35" s="444">
        <f t="shared" si="0"/>
        <v>40</v>
      </c>
      <c r="D35" s="445" t="str">
        <f t="shared" ca="1" si="1"/>
        <v>9/5/2028</v>
      </c>
      <c r="E35" s="444" t="e">
        <f>IF(A35&lt;$M$8,DAT!$AY$14," ")</f>
        <v>#N/A</v>
      </c>
      <c r="F35" s="443" t="e">
        <f>IF(A35&lt;$M$8,MAT!AZ144," ")</f>
        <v>#N/A</v>
      </c>
      <c r="G35" s="443" t="e">
        <f>IF(A35&lt;$M$8,MAT!BA144," ")</f>
        <v>#N/A</v>
      </c>
      <c r="H35" s="443" t="e">
        <f>IF(A35&lt;$M$8,MAT!AP143," ")</f>
        <v>#N/A</v>
      </c>
      <c r="I35" s="443" t="e">
        <f>IF(A35&lt;$M$8,MAT!AQ143," ")</f>
        <v>#N/A</v>
      </c>
      <c r="J35" s="1682" t="s">
        <v>264</v>
      </c>
      <c r="K35" s="1683"/>
      <c r="L35" s="1683"/>
      <c r="M35" s="1683"/>
      <c r="N35" s="1683"/>
      <c r="O35" s="30"/>
      <c r="P35" s="30"/>
      <c r="Q35" s="30"/>
    </row>
    <row r="36" spans="1:17" ht="15.75">
      <c r="A36" s="447">
        <v>11</v>
      </c>
      <c r="B36" s="29"/>
      <c r="C36" s="444">
        <f t="shared" si="0"/>
        <v>41</v>
      </c>
      <c r="D36" s="445" t="str">
        <f t="shared" ca="1" si="1"/>
        <v>9/5/2029</v>
      </c>
      <c r="E36" s="444" t="e">
        <f>IF(A36&lt;$M$8,DAT!$AY$14," ")</f>
        <v>#N/A</v>
      </c>
      <c r="F36" s="443" t="e">
        <f>IF(A36&lt;$M$8,MAT!AZ145," ")</f>
        <v>#N/A</v>
      </c>
      <c r="G36" s="443" t="e">
        <f>IF(A36&lt;$M$8,MAT!BA145," ")</f>
        <v>#N/A</v>
      </c>
      <c r="H36" s="443" t="e">
        <f>IF(A36&lt;$M$8,MAT!AP144," ")</f>
        <v>#N/A</v>
      </c>
      <c r="I36" s="443" t="e">
        <f>IF(A36&lt;$M$8,MAT!AQ144," ")</f>
        <v>#N/A</v>
      </c>
      <c r="J36" s="233"/>
      <c r="K36" s="108"/>
      <c r="L36" s="108" t="s">
        <v>210</v>
      </c>
      <c r="M36" s="1686" t="e">
        <f>SUM(E25:E44)</f>
        <v>#N/A</v>
      </c>
      <c r="N36" s="1686"/>
      <c r="O36" s="30"/>
      <c r="P36" s="30"/>
      <c r="Q36" s="30"/>
    </row>
    <row r="37" spans="1:17" ht="15">
      <c r="A37" s="447">
        <v>12</v>
      </c>
      <c r="B37" s="29"/>
      <c r="C37" s="444">
        <f t="shared" si="0"/>
        <v>42</v>
      </c>
      <c r="D37" s="445" t="str">
        <f t="shared" ca="1" si="1"/>
        <v>9/5/2030</v>
      </c>
      <c r="E37" s="444" t="e">
        <f>IF(A37&lt;$M$8,DAT!$AY$14," ")</f>
        <v>#N/A</v>
      </c>
      <c r="F37" s="443" t="e">
        <f>IF(A37&lt;$M$8,MAT!AZ146," ")</f>
        <v>#N/A</v>
      </c>
      <c r="G37" s="443" t="e">
        <f>IF(A37&lt;$M$8,MAT!BA146," ")</f>
        <v>#N/A</v>
      </c>
      <c r="H37" s="443" t="e">
        <f>IF(A37&lt;$M$8,MAT!AP145," ")</f>
        <v>#N/A</v>
      </c>
      <c r="I37" s="443" t="e">
        <f>IF(A37&lt;$M$8,MAT!AQ145," ")</f>
        <v>#N/A</v>
      </c>
      <c r="J37" s="1682" t="s">
        <v>263</v>
      </c>
      <c r="K37" s="1683"/>
      <c r="L37" s="1683"/>
      <c r="M37" s="1683"/>
      <c r="N37" s="1683"/>
      <c r="O37" s="30"/>
      <c r="P37" s="30"/>
      <c r="Q37" s="30"/>
    </row>
    <row r="38" spans="1:17" ht="15.75">
      <c r="A38" s="447">
        <v>13</v>
      </c>
      <c r="B38" s="29"/>
      <c r="C38" s="444">
        <f t="shared" si="0"/>
        <v>43</v>
      </c>
      <c r="D38" s="445" t="str">
        <f t="shared" ca="1" si="1"/>
        <v>9/5/2031</v>
      </c>
      <c r="E38" s="444" t="e">
        <f>IF(A38&lt;$M$8,DAT!$AY$14," ")</f>
        <v>#N/A</v>
      </c>
      <c r="F38" s="443" t="e">
        <f>IF(A38&lt;$M$8,MAT!AZ147," ")</f>
        <v>#N/A</v>
      </c>
      <c r="G38" s="443" t="e">
        <f>IF(A38&lt;$M$8,MAT!BA147," ")</f>
        <v>#N/A</v>
      </c>
      <c r="H38" s="443" t="e">
        <f>IF(A38&lt;$M$8,MAT!AP146," ")</f>
        <v>#N/A</v>
      </c>
      <c r="I38" s="443" t="e">
        <f>IF(A38&lt;$M$8,MAT!AQ146," ")</f>
        <v>#N/A</v>
      </c>
      <c r="J38" s="233"/>
      <c r="K38" s="179"/>
      <c r="L38" s="108" t="s">
        <v>210</v>
      </c>
      <c r="M38" s="1686" t="e">
        <f>F51</f>
        <v>#N/A</v>
      </c>
      <c r="N38" s="1686"/>
      <c r="O38" s="30"/>
      <c r="P38" s="30"/>
      <c r="Q38" s="30"/>
    </row>
    <row r="39" spans="1:17" ht="15.75">
      <c r="A39" s="447">
        <v>14</v>
      </c>
      <c r="B39" s="29"/>
      <c r="C39" s="444">
        <f t="shared" si="0"/>
        <v>44</v>
      </c>
      <c r="D39" s="445" t="str">
        <f t="shared" ca="1" si="1"/>
        <v>9/5/2032</v>
      </c>
      <c r="E39" s="444" t="e">
        <f>IF(A39&lt;$M$8,DAT!$AY$14," ")</f>
        <v>#N/A</v>
      </c>
      <c r="F39" s="443" t="e">
        <f>IF(A39&lt;$M$8,MAT!AZ148," ")</f>
        <v>#N/A</v>
      </c>
      <c r="G39" s="443" t="e">
        <f>IF(A39&lt;$M$8,MAT!BA148," ")</f>
        <v>#N/A</v>
      </c>
      <c r="H39" s="443" t="e">
        <f>IF(A39&lt;$M$8,MAT!AP147," ")</f>
        <v>#N/A</v>
      </c>
      <c r="I39" s="443" t="e">
        <f>IF(A39&lt;$M$8,MAT!AQ147," ")</f>
        <v>#N/A</v>
      </c>
      <c r="J39" s="1684" t="s">
        <v>262</v>
      </c>
      <c r="K39" s="1685"/>
      <c r="L39" s="1685"/>
      <c r="M39" s="1685"/>
      <c r="N39" s="1685"/>
      <c r="O39" s="30"/>
      <c r="P39" s="30"/>
      <c r="Q39" s="30"/>
    </row>
    <row r="40" spans="1:17" ht="18">
      <c r="A40" s="447">
        <v>15</v>
      </c>
      <c r="B40" s="29"/>
      <c r="C40" s="444">
        <f t="shared" si="0"/>
        <v>45</v>
      </c>
      <c r="D40" s="445" t="str">
        <f t="shared" ca="1" si="1"/>
        <v>9/5/2033</v>
      </c>
      <c r="E40" s="444" t="e">
        <f>IF(A40&lt;$M$8,DAT!$AY$14," ")</f>
        <v>#N/A</v>
      </c>
      <c r="F40" s="443" t="e">
        <f>IF(A40&lt;$M$8,MAT!AZ149," ")</f>
        <v>#N/A</v>
      </c>
      <c r="G40" s="443" t="e">
        <f>IF(A40&lt;$M$8,MAT!BA149," ")</f>
        <v>#N/A</v>
      </c>
      <c r="H40" s="443" t="e">
        <f>IF(A40&lt;$M$8,MAT!AP148," ")</f>
        <v>#N/A</v>
      </c>
      <c r="I40" s="443" t="e">
        <f>IF(A40&lt;$M$8,MAT!AQ148," ")</f>
        <v>#N/A</v>
      </c>
      <c r="J40" s="232"/>
      <c r="K40" s="178"/>
      <c r="L40" s="108" t="s">
        <v>210</v>
      </c>
      <c r="M40" s="1687" t="e">
        <f>M38-M36</f>
        <v>#N/A</v>
      </c>
      <c r="N40" s="1687"/>
      <c r="O40" s="30"/>
      <c r="P40" s="30"/>
      <c r="Q40" s="30"/>
    </row>
    <row r="41" spans="1:17" ht="15">
      <c r="A41" s="447">
        <v>16</v>
      </c>
      <c r="B41" s="29"/>
      <c r="C41" s="444">
        <f t="shared" si="0"/>
        <v>46</v>
      </c>
      <c r="D41" s="445" t="str">
        <f t="shared" ca="1" si="1"/>
        <v>9/5/2034</v>
      </c>
      <c r="E41" s="444" t="e">
        <f>IF(A41&lt;$M$8,DAT!$AY$14," ")</f>
        <v>#N/A</v>
      </c>
      <c r="F41" s="443" t="e">
        <f>IF(A41&lt;$M$8,MAT!AZ150," ")</f>
        <v>#N/A</v>
      </c>
      <c r="G41" s="443" t="e">
        <f>IF(A41&lt;$M$8,MAT!BA150," ")</f>
        <v>#N/A</v>
      </c>
      <c r="H41" s="443" t="e">
        <f>IF(A41&lt;$M$8,MAT!AP149," ")</f>
        <v>#N/A</v>
      </c>
      <c r="I41" s="443" t="e">
        <f>IF(A41&lt;$M$8,MAT!AQ149," ")</f>
        <v>#N/A</v>
      </c>
      <c r="J41" s="232"/>
      <c r="K41" s="106"/>
      <c r="L41" s="106"/>
      <c r="M41" s="106"/>
      <c r="N41" s="794"/>
      <c r="O41" s="30"/>
      <c r="P41" s="30"/>
      <c r="Q41" s="30"/>
    </row>
    <row r="42" spans="1:17" ht="15">
      <c r="A42" s="447">
        <v>17</v>
      </c>
      <c r="B42" s="29"/>
      <c r="C42" s="444">
        <f t="shared" si="0"/>
        <v>47</v>
      </c>
      <c r="D42" s="445" t="str">
        <f t="shared" ca="1" si="1"/>
        <v>9/5/2035</v>
      </c>
      <c r="E42" s="444" t="e">
        <f>IF(A42&lt;$M$8,DAT!$AY$14," ")</f>
        <v>#N/A</v>
      </c>
      <c r="F42" s="443" t="e">
        <f>IF(A42&lt;$M$8,MAT!AZ151," ")</f>
        <v>#N/A</v>
      </c>
      <c r="G42" s="443" t="e">
        <f>IF(A42&lt;$M$8,MAT!BA151," ")</f>
        <v>#N/A</v>
      </c>
      <c r="H42" s="443" t="e">
        <f>IF(A42&lt;$M$8,MAT!AP150," ")</f>
        <v>#N/A</v>
      </c>
      <c r="I42" s="443" t="e">
        <f>IF(A42&lt;$M$8,MAT!AQ150," ")</f>
        <v>#N/A</v>
      </c>
      <c r="J42" s="70"/>
      <c r="K42" s="1679" t="str">
        <f>IF(Main!L13="YES","EFFECTIVE  YIELD  -  IRR","INSURING              LIVES")</f>
        <v>INSURING              LIVES</v>
      </c>
      <c r="L42" s="1679"/>
      <c r="M42" s="1679"/>
      <c r="N42" s="69"/>
      <c r="O42" s="30"/>
      <c r="P42" s="30"/>
      <c r="Q42" s="30"/>
    </row>
    <row r="43" spans="1:17" ht="15">
      <c r="A43" s="447">
        <v>18</v>
      </c>
      <c r="B43" s="29"/>
      <c r="C43" s="444">
        <f t="shared" si="0"/>
        <v>48</v>
      </c>
      <c r="D43" s="445" t="str">
        <f t="shared" ca="1" si="1"/>
        <v>9/5/2036</v>
      </c>
      <c r="E43" s="444" t="e">
        <f>IF(A43&lt;$M$8,DAT!$AY$14," ")</f>
        <v>#N/A</v>
      </c>
      <c r="F43" s="443" t="e">
        <f>IF(A43&lt;$M$8,MAT!AZ152," ")</f>
        <v>#N/A</v>
      </c>
      <c r="G43" s="443" t="e">
        <f>IF(A43&lt;$M$8,MAT!BA152," ")</f>
        <v>#N/A</v>
      </c>
      <c r="H43" s="443" t="e">
        <f>IF(A43&lt;$M$8,MAT!AP151," ")</f>
        <v>#N/A</v>
      </c>
      <c r="I43" s="443" t="e">
        <f>IF(A43&lt;$M$8,MAT!AQ151," ")</f>
        <v>#N/A</v>
      </c>
      <c r="J43" s="70"/>
      <c r="K43" s="1679"/>
      <c r="L43" s="1679"/>
      <c r="M43" s="1679"/>
      <c r="N43" s="69"/>
      <c r="O43" s="30"/>
      <c r="P43" s="30"/>
      <c r="Q43" s="30"/>
    </row>
    <row r="44" spans="1:17" ht="16.5" customHeight="1">
      <c r="A44" s="447">
        <v>19</v>
      </c>
      <c r="B44" s="29"/>
      <c r="C44" s="446">
        <f t="shared" si="0"/>
        <v>49</v>
      </c>
      <c r="D44" s="445" t="str">
        <f t="shared" ca="1" si="1"/>
        <v>9/5/2037</v>
      </c>
      <c r="E44" s="444" t="e">
        <f>IF(A44&lt;$M$8,DAT!$AY$14," ")</f>
        <v>#N/A</v>
      </c>
      <c r="F44" s="443" t="e">
        <f>IF(A44&lt;$M$8,MAT!AZ153," ")</f>
        <v>#N/A</v>
      </c>
      <c r="G44" s="443" t="e">
        <f>IF(A44&lt;$M$8,MAT!BA153," ")</f>
        <v>#N/A</v>
      </c>
      <c r="H44" s="443" t="e">
        <f>IF(A44&lt;$M$8,MAT!AP152," ")</f>
        <v>#N/A</v>
      </c>
      <c r="I44" s="443" t="e">
        <f>IF(A44&lt;$M$8,MAT!AQ152," ")</f>
        <v>#N/A</v>
      </c>
      <c r="J44" s="314"/>
      <c r="K44" s="1680" t="str">
        <f>IF(Main!L13="YES",MAT!BX129,"ENSURING              SMILES")</f>
        <v>ENSURING              SMILES</v>
      </c>
      <c r="L44" s="1680"/>
      <c r="M44" s="1680"/>
      <c r="N44" s="440"/>
      <c r="O44" s="30"/>
      <c r="P44" s="30"/>
      <c r="Q44" s="30"/>
    </row>
    <row r="45" spans="1:17" ht="17.25" customHeight="1" thickBot="1">
      <c r="A45" s="438"/>
      <c r="B45" s="19"/>
      <c r="C45" s="27"/>
      <c r="D45" s="442"/>
      <c r="E45" s="442"/>
      <c r="F45" s="47"/>
      <c r="G45" s="441"/>
      <c r="H45" s="441"/>
      <c r="I45" s="441"/>
      <c r="J45" s="440"/>
      <c r="K45" s="1680"/>
      <c r="L45" s="1680"/>
      <c r="M45" s="1680"/>
      <c r="N45" s="439"/>
      <c r="O45" s="30"/>
      <c r="P45" s="30"/>
      <c r="Q45" s="30"/>
    </row>
    <row r="46" spans="1:17" ht="16.5" customHeight="1" thickTop="1" thickBot="1">
      <c r="A46" s="438"/>
      <c r="B46" s="19"/>
      <c r="C46" s="1688" t="s">
        <v>407</v>
      </c>
      <c r="D46" s="1688"/>
      <c r="E46" s="1688"/>
      <c r="F46" s="1688"/>
      <c r="G46" s="1688"/>
      <c r="H46" s="49"/>
      <c r="I46" s="49"/>
      <c r="J46" s="30"/>
      <c r="K46" s="30"/>
      <c r="L46" s="30"/>
      <c r="M46" s="30"/>
      <c r="N46" s="30"/>
      <c r="O46" s="30"/>
      <c r="P46" s="30"/>
      <c r="Q46" s="30"/>
    </row>
    <row r="47" spans="1:17" ht="13.5" customHeight="1" thickTop="1" thickBot="1">
      <c r="B47" s="30"/>
      <c r="C47" s="1688"/>
      <c r="D47" s="1688"/>
      <c r="E47" s="1688"/>
      <c r="F47" s="1688"/>
      <c r="G47" s="1688"/>
      <c r="H47" s="30"/>
      <c r="I47" s="1689" t="s">
        <v>212</v>
      </c>
      <c r="J47" s="1632" t="str">
        <f>'VASANTHAM HOME'!E9</f>
        <v>ENTER YOUR NAME</v>
      </c>
      <c r="K47" s="1632"/>
      <c r="L47" s="1632"/>
      <c r="M47" s="1632"/>
      <c r="N47" s="1632"/>
      <c r="O47" s="30"/>
      <c r="P47" s="30"/>
      <c r="Q47" s="30"/>
    </row>
    <row r="48" spans="1:17" ht="15" customHeight="1" thickTop="1" thickBot="1">
      <c r="B48" s="30"/>
      <c r="C48" s="437" t="s">
        <v>406</v>
      </c>
      <c r="D48" s="436">
        <f>M7+M8</f>
        <v>55</v>
      </c>
      <c r="E48" s="435" t="s">
        <v>405</v>
      </c>
      <c r="F48" s="1690" t="str">
        <f ca="1">(((DAY(NOW())&amp;"/")&amp;MONTH(NOW()))&amp;"/")&amp;((YEAR(NOW())))+M8</f>
        <v>9/5/2043</v>
      </c>
      <c r="G48" s="1691"/>
      <c r="H48" s="30"/>
      <c r="I48" s="1689"/>
      <c r="J48" s="1632" t="str">
        <f>'VASANTHAM HOME'!E10</f>
        <v>DESIGNATION</v>
      </c>
      <c r="K48" s="1632"/>
      <c r="L48" s="1632"/>
      <c r="M48" s="1632"/>
      <c r="N48" s="1632"/>
      <c r="O48" s="30"/>
      <c r="P48" s="30"/>
      <c r="Q48" s="30"/>
    </row>
    <row r="49" spans="1:17" ht="15" customHeight="1" thickTop="1" thickBot="1">
      <c r="B49" s="30"/>
      <c r="C49" s="1692" t="s">
        <v>404</v>
      </c>
      <c r="D49" s="1692"/>
      <c r="E49" s="1692"/>
      <c r="F49" s="1694">
        <f>M9</f>
        <v>2500000</v>
      </c>
      <c r="G49" s="1695"/>
      <c r="H49" s="30"/>
      <c r="I49" s="1689"/>
      <c r="J49" s="1632" t="str">
        <f>'VASANTHAM HOME'!E11</f>
        <v>ADDRESS 1</v>
      </c>
      <c r="K49" s="1632"/>
      <c r="L49" s="1632"/>
      <c r="M49" s="1632"/>
      <c r="N49" s="1632"/>
      <c r="O49" s="30"/>
      <c r="P49" s="30"/>
      <c r="Q49" s="30"/>
    </row>
    <row r="50" spans="1:17" ht="15.75" customHeight="1" thickTop="1" thickBot="1">
      <c r="B50" s="30"/>
      <c r="C50" s="1692" t="s">
        <v>403</v>
      </c>
      <c r="D50" s="1692"/>
      <c r="E50" s="1692"/>
      <c r="F50" s="1696" t="e">
        <f>MAT!AT133</f>
        <v>#N/A</v>
      </c>
      <c r="G50" s="1695"/>
      <c r="H50" s="30"/>
      <c r="I50" s="1689"/>
      <c r="J50" s="1632" t="str">
        <f>'VASANTHAM HOME'!E12</f>
        <v>ADDRESS 2</v>
      </c>
      <c r="K50" s="1632"/>
      <c r="L50" s="1632"/>
      <c r="M50" s="1632"/>
      <c r="N50" s="1632"/>
      <c r="O50" s="30"/>
      <c r="P50" s="30"/>
      <c r="Q50" s="30"/>
    </row>
    <row r="51" spans="1:17" ht="17.25" customHeight="1" thickTop="1" thickBot="1">
      <c r="B51" s="30"/>
      <c r="C51" s="1692" t="s">
        <v>402</v>
      </c>
      <c r="D51" s="1692"/>
      <c r="E51" s="1692"/>
      <c r="F51" s="1696" t="e">
        <f>MAT!AL137</f>
        <v>#N/A</v>
      </c>
      <c r="G51" s="1695"/>
      <c r="H51" s="30"/>
      <c r="I51" s="1689"/>
      <c r="J51" s="1632" t="str">
        <f>'VASANTHAM HOME'!E13</f>
        <v>ADDRESS 3</v>
      </c>
      <c r="K51" s="1632"/>
      <c r="L51" s="1632"/>
      <c r="M51" s="1632"/>
      <c r="N51" s="1632"/>
      <c r="O51" s="30"/>
      <c r="P51" s="30"/>
      <c r="Q51" s="30"/>
    </row>
    <row r="52" spans="1:17" ht="14.25" customHeight="1" thickTop="1">
      <c r="B52" s="30"/>
      <c r="C52" s="30"/>
      <c r="D52" s="30"/>
      <c r="E52" s="30"/>
      <c r="F52" s="30"/>
      <c r="G52" s="30"/>
      <c r="H52" s="30"/>
      <c r="I52" s="1689"/>
      <c r="J52" s="1632" t="str">
        <f>'VASANTHAM HOME'!E14</f>
        <v>MOBILE NO :</v>
      </c>
      <c r="K52" s="1632"/>
      <c r="L52" s="1632"/>
      <c r="M52" s="1632"/>
      <c r="N52" s="1632"/>
      <c r="O52" s="30"/>
      <c r="P52" s="30"/>
      <c r="Q52" s="30"/>
    </row>
    <row r="53" spans="1:17" ht="15">
      <c r="A53" s="434"/>
      <c r="B53" s="398"/>
      <c r="C53" s="398"/>
      <c r="D53" s="398"/>
      <c r="E53" s="398"/>
      <c r="F53" s="398"/>
      <c r="G53" s="398"/>
      <c r="H53" s="398"/>
      <c r="I53" s="1689"/>
      <c r="J53" s="1632" t="str">
        <f>'VASANTHAM HOME'!E15</f>
        <v>E.MAIL ID :</v>
      </c>
      <c r="K53" s="1632"/>
      <c r="L53" s="1632"/>
      <c r="M53" s="1632"/>
      <c r="N53" s="1632"/>
      <c r="O53" s="30"/>
      <c r="P53" s="30"/>
      <c r="Q53" s="30"/>
    </row>
    <row r="54" spans="1:17" s="30" customFormat="1" ht="15">
      <c r="A54" s="165"/>
      <c r="B54" s="398"/>
      <c r="C54" s="1693" t="s">
        <v>401</v>
      </c>
      <c r="D54" s="1693"/>
      <c r="E54" s="1693"/>
      <c r="F54" s="1693"/>
      <c r="G54" s="1693"/>
      <c r="H54" s="1693"/>
      <c r="I54" s="1693"/>
      <c r="J54" s="1693"/>
      <c r="K54" s="1693"/>
      <c r="L54" s="1693"/>
      <c r="M54" s="1693"/>
      <c r="N54" s="398"/>
    </row>
    <row r="55" spans="1:17" s="30" customFormat="1" ht="11.25" customHeight="1">
      <c r="A55" s="165"/>
    </row>
    <row r="56" spans="1:17" s="30" customFormat="1" ht="15">
      <c r="A56" s="165"/>
    </row>
    <row r="57" spans="1:17" ht="15" hidden="1"/>
    <row r="58" spans="1:17" s="30" customFormat="1" ht="15">
      <c r="A58" s="165"/>
    </row>
  </sheetData>
  <protectedRanges>
    <protectedRange sqref="L13:L16" name="Range1"/>
  </protectedRanges>
  <mergeCells count="60">
    <mergeCell ref="C54:M54"/>
    <mergeCell ref="F49:G49"/>
    <mergeCell ref="J49:N49"/>
    <mergeCell ref="C50:E50"/>
    <mergeCell ref="F50:G50"/>
    <mergeCell ref="J50:N50"/>
    <mergeCell ref="C51:E51"/>
    <mergeCell ref="F51:G51"/>
    <mergeCell ref="J51:N51"/>
    <mergeCell ref="J52:N52"/>
    <mergeCell ref="C46:G47"/>
    <mergeCell ref="I47:I53"/>
    <mergeCell ref="J47:N47"/>
    <mergeCell ref="F48:G48"/>
    <mergeCell ref="J48:N48"/>
    <mergeCell ref="C49:E49"/>
    <mergeCell ref="J53:N53"/>
    <mergeCell ref="K42:M43"/>
    <mergeCell ref="K44:M45"/>
    <mergeCell ref="C22:I22"/>
    <mergeCell ref="I23:I24"/>
    <mergeCell ref="H23:H24"/>
    <mergeCell ref="J35:N35"/>
    <mergeCell ref="J37:N37"/>
    <mergeCell ref="J39:N39"/>
    <mergeCell ref="M36:N36"/>
    <mergeCell ref="M38:N38"/>
    <mergeCell ref="M40:N40"/>
    <mergeCell ref="A23:A24"/>
    <mergeCell ref="C23:C24"/>
    <mergeCell ref="D23:D24"/>
    <mergeCell ref="E23:E24"/>
    <mergeCell ref="F23:G23"/>
    <mergeCell ref="C19:I19"/>
    <mergeCell ref="C20:I20"/>
    <mergeCell ref="C21:I21"/>
    <mergeCell ref="H12:H13"/>
    <mergeCell ref="I12:I13"/>
    <mergeCell ref="F12:F13"/>
    <mergeCell ref="G12:G13"/>
    <mergeCell ref="C15:G16"/>
    <mergeCell ref="H16:I16"/>
    <mergeCell ref="C17:I17"/>
    <mergeCell ref="C12:E13"/>
    <mergeCell ref="C18:I18"/>
    <mergeCell ref="C6:G7"/>
    <mergeCell ref="O6:R7"/>
    <mergeCell ref="M9:N9"/>
    <mergeCell ref="C11:E11"/>
    <mergeCell ref="C8:G8"/>
    <mergeCell ref="C9:G9"/>
    <mergeCell ref="J9:L9"/>
    <mergeCell ref="M2:N2"/>
    <mergeCell ref="L4:N4"/>
    <mergeCell ref="O4:Q5"/>
    <mergeCell ref="L5:N5"/>
    <mergeCell ref="P22:Q22"/>
    <mergeCell ref="O12:Q13"/>
    <mergeCell ref="L13:M16"/>
    <mergeCell ref="O14:R15"/>
  </mergeCells>
  <hyperlinks>
    <hyperlink ref="O14:R15" location="Main!A1" display="CLICK HERE"/>
    <hyperlink ref="O6:R7" location="'VASANTHAM HOME'!A1" display="CLICK HERE"/>
  </hyperlinks>
  <pageMargins left="0.7" right="0.7" top="0.75" bottom="0.75" header="0.3" footer="0.3"/>
  <pageSetup scale="80" orientation="portrait" r:id="rId1"/>
  <headerFooter>
    <oddFooter>&amp;C&amp;K02-049VASANTHAM SMART</oddFooter>
  </headerFooter>
  <drawing r:id="rId2"/>
</worksheet>
</file>

<file path=xl/worksheets/sheet10.xml><?xml version="1.0" encoding="utf-8"?>
<worksheet xmlns="http://schemas.openxmlformats.org/spreadsheetml/2006/main" xmlns:r="http://schemas.openxmlformats.org/officeDocument/2006/relationships">
  <sheetPr codeName="Sheet18"/>
  <dimension ref="A1:V61"/>
  <sheetViews>
    <sheetView showGridLines="0" showRowColHeaders="0" workbookViewId="0">
      <selection activeCell="N1" sqref="N1"/>
    </sheetView>
  </sheetViews>
  <sheetFormatPr defaultColWidth="0" defaultRowHeight="0" customHeight="1" zeroHeight="1"/>
  <cols>
    <col min="1" max="1" width="3.375" style="165" customWidth="1"/>
    <col min="2" max="2" width="4.625" style="165" customWidth="1"/>
    <col min="3" max="3" width="10.375" style="165" customWidth="1"/>
    <col min="4" max="5" width="10.875" style="165" customWidth="1"/>
    <col min="6" max="6" width="11.5" style="165" customWidth="1"/>
    <col min="7" max="7" width="11.375" style="165" customWidth="1"/>
    <col min="8" max="8" width="11.5" style="165" customWidth="1"/>
    <col min="9" max="9" width="15.375" style="165" customWidth="1"/>
    <col min="10" max="10" width="8.375" style="165" customWidth="1"/>
    <col min="11" max="11" width="9.5" style="165" customWidth="1"/>
    <col min="12" max="12" width="5.125" style="165" customWidth="1"/>
    <col min="13" max="13" width="10.5" style="165" customWidth="1"/>
    <col min="14" max="14" width="6.5" style="165" customWidth="1"/>
    <col min="15" max="15" width="6.375" style="165" hidden="1" customWidth="1"/>
    <col min="16" max="16" width="9.5" style="165" customWidth="1"/>
    <col min="17" max="20" width="9.125" style="165" hidden="1" customWidth="1"/>
    <col min="21" max="22" width="0" style="165" hidden="1" customWidth="1"/>
    <col min="23" max="16384" width="9.125" style="165" hidden="1"/>
  </cols>
  <sheetData>
    <row r="1" spans="1:16" s="30" customFormat="1" ht="15"/>
    <row r="2" spans="1:16" s="30" customFormat="1" ht="15">
      <c r="J2" s="1697">
        <f ca="1">TODAY()</f>
        <v>43229</v>
      </c>
      <c r="K2" s="1697"/>
    </row>
    <row r="3" spans="1:16" s="30" customFormat="1" ht="15"/>
    <row r="4" spans="1:16" s="30" customFormat="1" ht="14.25" customHeight="1">
      <c r="C4" s="396"/>
      <c r="D4" s="397"/>
      <c r="E4" s="397"/>
      <c r="F4" s="397"/>
      <c r="G4" s="396"/>
      <c r="H4" s="396"/>
      <c r="I4" s="395"/>
    </row>
    <row r="5" spans="1:16" s="1598" customFormat="1" ht="15.75" customHeight="1">
      <c r="A5" s="30"/>
      <c r="B5" s="393"/>
      <c r="C5" s="1698" t="s">
        <v>382</v>
      </c>
      <c r="D5" s="1698"/>
      <c r="E5" s="1698"/>
      <c r="F5" s="1698"/>
      <c r="G5" s="1698"/>
      <c r="H5" s="394"/>
      <c r="I5" s="393"/>
      <c r="J5" s="30"/>
      <c r="K5" s="30"/>
      <c r="L5" s="30"/>
      <c r="M5" s="1598" t="s">
        <v>232</v>
      </c>
    </row>
    <row r="6" spans="1:16" s="1598" customFormat="1" ht="15.75" customHeight="1">
      <c r="A6" s="30"/>
      <c r="B6" s="1699" t="s">
        <v>381</v>
      </c>
      <c r="C6" s="1699"/>
      <c r="D6" s="1699"/>
      <c r="E6" s="1699"/>
      <c r="F6" s="1699"/>
      <c r="G6" s="1699"/>
      <c r="H6" s="392"/>
      <c r="I6" s="1613" t="s">
        <v>380</v>
      </c>
      <c r="J6" s="1613"/>
      <c r="K6" s="1613"/>
      <c r="L6" s="30"/>
    </row>
    <row r="7" spans="1:16" s="30" customFormat="1" ht="15.75" customHeight="1">
      <c r="B7" s="1699"/>
      <c r="C7" s="1699"/>
      <c r="D7" s="1699"/>
      <c r="E7" s="1699"/>
      <c r="F7" s="1699"/>
      <c r="G7" s="1699"/>
      <c r="H7" s="392"/>
      <c r="I7" s="1700" t="s">
        <v>379</v>
      </c>
      <c r="J7" s="1700"/>
      <c r="K7" s="1700"/>
      <c r="M7" s="1381" t="s">
        <v>226</v>
      </c>
      <c r="N7" s="1381"/>
      <c r="O7" s="1381"/>
      <c r="P7" s="1381"/>
    </row>
    <row r="8" spans="1:16" s="30" customFormat="1" ht="13.5" customHeight="1" thickBot="1">
      <c r="I8" s="391"/>
      <c r="J8" s="391"/>
      <c r="K8" s="165"/>
      <c r="M8" s="1381"/>
      <c r="N8" s="1381"/>
      <c r="O8" s="1381"/>
      <c r="P8" s="1381"/>
    </row>
    <row r="9" spans="1:16" s="30" customFormat="1" ht="20.25" customHeight="1" thickTop="1">
      <c r="B9" s="1701" t="s">
        <v>231</v>
      </c>
      <c r="C9" s="1702"/>
      <c r="D9" s="1702"/>
      <c r="E9" s="1702"/>
      <c r="F9" s="1702"/>
      <c r="G9" s="1703"/>
      <c r="H9" s="141"/>
      <c r="I9" s="140" t="s">
        <v>251</v>
      </c>
      <c r="J9" s="783">
        <f>Main!E9</f>
        <v>30</v>
      </c>
      <c r="K9" s="139" t="s">
        <v>234</v>
      </c>
    </row>
    <row r="10" spans="1:16" s="30" customFormat="1" ht="15.75" customHeight="1" thickBot="1">
      <c r="B10" s="1704" t="str">
        <f>CONCATENATE(Main!E8,(Main!F8))</f>
        <v>Sri.soumil</v>
      </c>
      <c r="C10" s="1705"/>
      <c r="D10" s="1705"/>
      <c r="E10" s="1705"/>
      <c r="F10" s="1705"/>
      <c r="G10" s="1706"/>
      <c r="H10" s="141"/>
      <c r="I10" s="140" t="s">
        <v>273</v>
      </c>
      <c r="J10" s="783">
        <f>Main!E11</f>
        <v>25</v>
      </c>
      <c r="K10" s="139" t="s">
        <v>234</v>
      </c>
    </row>
    <row r="11" spans="1:16" s="30" customFormat="1" ht="15.75" customHeight="1" thickTop="1">
      <c r="I11" s="140" t="s">
        <v>350</v>
      </c>
      <c r="J11" s="783">
        <f>Main!G12</f>
        <v>8</v>
      </c>
      <c r="K11" s="139" t="s">
        <v>234</v>
      </c>
    </row>
    <row r="12" spans="1:16" s="30" customFormat="1" ht="15.75" customHeight="1">
      <c r="B12" s="1707" t="s">
        <v>230</v>
      </c>
      <c r="C12" s="1708"/>
      <c r="D12" s="1709"/>
      <c r="E12" s="765" t="s">
        <v>16</v>
      </c>
      <c r="F12" s="765" t="s">
        <v>15</v>
      </c>
      <c r="G12" s="137" t="s">
        <v>14</v>
      </c>
      <c r="H12" s="136" t="s">
        <v>229</v>
      </c>
      <c r="I12" s="390" t="s">
        <v>272</v>
      </c>
      <c r="J12" s="1710">
        <f>Main!E10</f>
        <v>2500000</v>
      </c>
      <c r="K12" s="1710"/>
    </row>
    <row r="13" spans="1:16" s="30" customFormat="1" ht="15.75" customHeight="1">
      <c r="B13" s="1711" t="s">
        <v>2125</v>
      </c>
      <c r="C13" s="1712"/>
      <c r="D13" s="1713"/>
      <c r="E13" s="1626">
        <f>DAT!AT15</f>
        <v>206803</v>
      </c>
      <c r="F13" s="1626">
        <f>DAT!AU15</f>
        <v>104440</v>
      </c>
      <c r="G13" s="1626">
        <f>DAT!AV15</f>
        <v>52740</v>
      </c>
      <c r="H13" s="1626">
        <f>DAT!AW15</f>
        <v>17580</v>
      </c>
      <c r="I13" s="304" t="str">
        <f>IF(Main!L10="YES","TERM RIDER"," ")</f>
        <v>TERM RIDER</v>
      </c>
      <c r="J13" s="1717">
        <f>IF(Main!L10="YES",Main!N10," ")</f>
        <v>0</v>
      </c>
      <c r="K13" s="1717"/>
      <c r="M13" s="1596" t="s">
        <v>228</v>
      </c>
      <c r="N13" s="1596"/>
      <c r="O13" s="1596"/>
      <c r="P13" s="1596"/>
    </row>
    <row r="14" spans="1:16" s="30" customFormat="1" ht="15.75" customHeight="1">
      <c r="B14" s="1714"/>
      <c r="C14" s="1715"/>
      <c r="D14" s="1716"/>
      <c r="E14" s="1627"/>
      <c r="F14" s="1627"/>
      <c r="G14" s="1627"/>
      <c r="H14" s="1627"/>
      <c r="I14" s="389"/>
      <c r="J14" s="303"/>
      <c r="K14" s="303"/>
      <c r="M14" s="1596"/>
      <c r="N14" s="1596"/>
      <c r="O14" s="1596"/>
      <c r="P14" s="1596"/>
    </row>
    <row r="15" spans="1:16" s="30" customFormat="1" ht="15.75" customHeight="1">
      <c r="B15" s="1718" t="s">
        <v>271</v>
      </c>
      <c r="C15" s="1718"/>
      <c r="D15" s="1718"/>
      <c r="E15" s="1718"/>
      <c r="F15" s="794"/>
      <c r="G15" s="794"/>
      <c r="H15" s="794"/>
      <c r="I15" s="794"/>
      <c r="J15" s="1660" t="str">
        <f>CONCATENATE(" SAVINGS                                    PER DAY", " ", " "," ", " "," "," "," "," ", " "," "," "," "," "," "," ", " "," "," "," "," ", " "," ",   "Rs.  ",(DAT!AZ15)," "," "," ","ONLY")</f>
        <v xml:space="preserve"> SAVINGS                                    PER DAY                      Rs.  567   ONLY</v>
      </c>
      <c r="K15" s="1660"/>
      <c r="M15" s="1391" t="s">
        <v>226</v>
      </c>
      <c r="N15" s="1391"/>
      <c r="O15" s="1391"/>
      <c r="P15" s="1391"/>
    </row>
    <row r="16" spans="1:16" s="30" customFormat="1" ht="15.75" customHeight="1">
      <c r="B16" s="1718"/>
      <c r="C16" s="1718"/>
      <c r="D16" s="1718"/>
      <c r="E16" s="1718"/>
      <c r="F16" s="388"/>
      <c r="G16" s="387"/>
      <c r="H16" s="387"/>
      <c r="I16" s="76"/>
      <c r="J16" s="1660"/>
      <c r="K16" s="1660"/>
      <c r="M16" s="1391"/>
      <c r="N16" s="1391"/>
      <c r="O16" s="1391"/>
      <c r="P16" s="1391"/>
    </row>
    <row r="17" spans="1:15" s="30" customFormat="1" ht="15.75" customHeight="1">
      <c r="A17" s="384" t="s">
        <v>266</v>
      </c>
      <c r="B17" s="1719" t="s">
        <v>378</v>
      </c>
      <c r="C17" s="1719"/>
      <c r="D17" s="1719"/>
      <c r="E17" s="1719"/>
      <c r="F17" s="1719"/>
      <c r="G17" s="1719"/>
      <c r="H17" s="1719"/>
      <c r="I17" s="386"/>
      <c r="J17" s="1660"/>
      <c r="K17" s="1660"/>
    </row>
    <row r="18" spans="1:15" s="30" customFormat="1" ht="15.75" customHeight="1">
      <c r="A18" s="384" t="s">
        <v>266</v>
      </c>
      <c r="B18" s="1719" t="s">
        <v>377</v>
      </c>
      <c r="C18" s="1719"/>
      <c r="D18" s="1719"/>
      <c r="E18" s="1719"/>
      <c r="F18" s="1719"/>
      <c r="G18" s="1719"/>
      <c r="H18" s="1719"/>
      <c r="I18" s="386"/>
      <c r="J18" s="1660"/>
      <c r="K18" s="1660"/>
    </row>
    <row r="19" spans="1:15" s="30" customFormat="1" ht="15.75" customHeight="1">
      <c r="A19" s="384" t="s">
        <v>266</v>
      </c>
      <c r="B19" s="1720" t="s">
        <v>376</v>
      </c>
      <c r="C19" s="1720"/>
      <c r="D19" s="1720"/>
      <c r="E19" s="1720"/>
      <c r="F19" s="1720"/>
      <c r="G19" s="1720"/>
      <c r="H19" s="1720"/>
      <c r="I19" s="1720"/>
      <c r="J19" s="382"/>
      <c r="K19" s="382"/>
    </row>
    <row r="20" spans="1:15" s="30" customFormat="1" ht="18" customHeight="1">
      <c r="A20" s="384" t="s">
        <v>266</v>
      </c>
      <c r="B20" s="1721" t="s">
        <v>265</v>
      </c>
      <c r="C20" s="1721"/>
      <c r="D20" s="1721"/>
      <c r="E20" s="1721"/>
      <c r="F20" s="1721"/>
      <c r="G20" s="1721"/>
      <c r="H20" s="1721"/>
      <c r="I20" s="1721"/>
      <c r="J20" s="385"/>
      <c r="K20" s="385"/>
    </row>
    <row r="21" spans="1:15" s="30" customFormat="1" ht="15.75" customHeight="1">
      <c r="A21" s="384" t="s">
        <v>266</v>
      </c>
      <c r="B21" s="1722" t="str">
        <f>CONCATENATE("Pay   Premium    for "," "," "," ",  (J11)," "," "," ","Years      ONLY")</f>
        <v>Pay   Premium    for    8   Years      ONLY</v>
      </c>
      <c r="C21" s="1722"/>
      <c r="D21" s="1722"/>
      <c r="E21" s="1722"/>
      <c r="F21" s="1722"/>
      <c r="G21" s="1722"/>
      <c r="H21" s="1722"/>
      <c r="I21" s="383"/>
      <c r="J21" s="382"/>
      <c r="K21" s="382"/>
    </row>
    <row r="22" spans="1:15" s="30" customFormat="1" ht="15.75" customHeight="1">
      <c r="A22" s="384" t="s">
        <v>266</v>
      </c>
      <c r="B22" s="1722" t="str">
        <f>CONCATENATE("INSURANCE COVER UP TO "," "," "," ",  (J10)," "," "," ","Years ")</f>
        <v xml:space="preserve">INSURANCE COVER UP TO    25   Years </v>
      </c>
      <c r="C22" s="1722"/>
      <c r="D22" s="1722"/>
      <c r="E22" s="1722"/>
      <c r="F22" s="1722"/>
      <c r="G22" s="1722"/>
      <c r="H22" s="1722"/>
      <c r="I22" s="383"/>
      <c r="J22" s="382"/>
      <c r="K22" s="382"/>
    </row>
    <row r="23" spans="1:15" s="30" customFormat="1" ht="15.75" customHeight="1">
      <c r="B23" s="1619" t="s">
        <v>17</v>
      </c>
      <c r="C23" s="1723" t="s">
        <v>223</v>
      </c>
      <c r="D23" s="1723" t="s">
        <v>222</v>
      </c>
      <c r="E23" s="1725" t="s">
        <v>221</v>
      </c>
      <c r="F23" s="1726"/>
      <c r="G23" s="1622" t="s">
        <v>220</v>
      </c>
      <c r="H23" s="1727" t="s">
        <v>219</v>
      </c>
      <c r="O23" s="381" t="str">
        <f>Main!J10</f>
        <v>YES</v>
      </c>
    </row>
    <row r="24" spans="1:15" s="30" customFormat="1" ht="15.75" customHeight="1">
      <c r="A24" s="165"/>
      <c r="B24" s="1620"/>
      <c r="C24" s="1724"/>
      <c r="D24" s="1724"/>
      <c r="E24" s="118" t="s">
        <v>217</v>
      </c>
      <c r="F24" s="118" t="s">
        <v>216</v>
      </c>
      <c r="G24" s="1624"/>
      <c r="H24" s="1728"/>
      <c r="O24" s="381"/>
    </row>
    <row r="25" spans="1:15" s="30" customFormat="1" ht="13.7" customHeight="1">
      <c r="B25" s="111">
        <f>J9</f>
        <v>30</v>
      </c>
      <c r="C25" s="111" t="str">
        <f ca="1">IF(O25&lt;$J$10,(((DAY(NOW())&amp;"/")&amp;MONTH(NOW()))&amp;"/")&amp;((YEAR(NOW())))," ")</f>
        <v>9/5/2018</v>
      </c>
      <c r="D25" s="117">
        <f>DAT!AT15</f>
        <v>206803</v>
      </c>
      <c r="E25" s="111">
        <f>IF(O25&lt;$J$10,MAT!AH133," ")</f>
        <v>3250000</v>
      </c>
      <c r="F25" s="111">
        <f>IF(O25&lt;$J$10,MAT!AI133," ")</f>
        <v>5750000</v>
      </c>
      <c r="G25" s="116">
        <v>0</v>
      </c>
      <c r="H25" s="378">
        <v>0</v>
      </c>
      <c r="O25" s="380">
        <v>0</v>
      </c>
    </row>
    <row r="26" spans="1:15" s="30" customFormat="1" ht="13.7" customHeight="1">
      <c r="B26" s="111">
        <f t="shared" ref="B26:B45" si="0">IF(O26&lt;$J$10,$B$25+O26," ")</f>
        <v>31</v>
      </c>
      <c r="C26" s="111" t="str">
        <f t="shared" ref="C26:C45" ca="1" si="1">IF(O26&lt;$J$10,(((DAY(NOW())&amp;"/")&amp;MONTH(NOW()))&amp;"/")&amp;((YEAR(NOW())))+O26," ")</f>
        <v>9/5/2019</v>
      </c>
      <c r="D26" s="117">
        <f>IF(O26&lt;$J$11,DAT!$AY$15," ")</f>
        <v>202351</v>
      </c>
      <c r="E26" s="111">
        <f>IF(O26&lt;$J$10,MAT!AH134," ")</f>
        <v>3375000</v>
      </c>
      <c r="F26" s="111">
        <f>IF(O26&lt;$J$10,MAT!AI134," ")</f>
        <v>5875000</v>
      </c>
      <c r="G26" s="379">
        <v>0</v>
      </c>
      <c r="H26" s="378">
        <v>0</v>
      </c>
      <c r="O26" s="371">
        <v>1</v>
      </c>
    </row>
    <row r="27" spans="1:15" s="30" customFormat="1" ht="13.7" customHeight="1">
      <c r="B27" s="111">
        <f t="shared" si="0"/>
        <v>32</v>
      </c>
      <c r="C27" s="111" t="str">
        <f t="shared" ca="1" si="1"/>
        <v>9/5/2020</v>
      </c>
      <c r="D27" s="117">
        <f>IF(O27&lt;$J$11,DAT!$AY$15," ")</f>
        <v>202351</v>
      </c>
      <c r="E27" s="111">
        <f>IF(O27&lt;$J$10,MAT!AH135," ")</f>
        <v>3500000</v>
      </c>
      <c r="F27" s="111">
        <f>IF(O27&lt;$J$10,MAT!AI135," ")</f>
        <v>6000000</v>
      </c>
      <c r="G27" s="373">
        <f>IF(O27&lt;$J$10,MAT!T135," ")</f>
        <v>231021</v>
      </c>
      <c r="H27" s="372">
        <f>IF(O27&lt;$J$10,MAT!U135," ")</f>
        <v>184800</v>
      </c>
      <c r="O27" s="371">
        <f t="shared" ref="O27:O45" si="2">+O26+1</f>
        <v>2</v>
      </c>
    </row>
    <row r="28" spans="1:15" s="30" customFormat="1" ht="13.7" customHeight="1">
      <c r="B28" s="111">
        <f t="shared" si="0"/>
        <v>33</v>
      </c>
      <c r="C28" s="111" t="str">
        <f t="shared" ca="1" si="1"/>
        <v>9/5/2021</v>
      </c>
      <c r="D28" s="117">
        <f>IF(O28&lt;$J$11,DAT!$AY$15," ")</f>
        <v>202351</v>
      </c>
      <c r="E28" s="111">
        <f>IF(O28&lt;$J$10,MAT!AH136," ")</f>
        <v>3625000</v>
      </c>
      <c r="F28" s="111">
        <f>IF(O28&lt;$J$10,MAT!AI136," ")</f>
        <v>6125000</v>
      </c>
      <c r="G28" s="373">
        <f>IF(O28&lt;$J$10,MAT!T136," ")</f>
        <v>463146</v>
      </c>
      <c r="H28" s="372">
        <f>IF(O28&lt;$J$10,MAT!U136," ")</f>
        <v>370500</v>
      </c>
      <c r="O28" s="371">
        <f t="shared" si="2"/>
        <v>3</v>
      </c>
    </row>
    <row r="29" spans="1:15" s="30" customFormat="1" ht="13.7" customHeight="1">
      <c r="B29" s="111">
        <f t="shared" si="0"/>
        <v>34</v>
      </c>
      <c r="C29" s="111" t="str">
        <f t="shared" ca="1" si="1"/>
        <v>9/5/2022</v>
      </c>
      <c r="D29" s="117">
        <f>IF(O29&lt;$J$11,DAT!$AY$15," ")</f>
        <v>202351</v>
      </c>
      <c r="E29" s="111">
        <f>IF(O29&lt;$J$10,MAT!AH137," ")</f>
        <v>3750000</v>
      </c>
      <c r="F29" s="111">
        <f>IF(O29&lt;$J$10,MAT!AI137," ")</f>
        <v>6250000</v>
      </c>
      <c r="G29" s="373">
        <f>IF(O29&lt;$J$10,MAT!T137," ")</f>
        <v>579746</v>
      </c>
      <c r="H29" s="372">
        <f>IF(O29&lt;$J$10,MAT!U137," ")</f>
        <v>463800</v>
      </c>
      <c r="O29" s="371">
        <f t="shared" si="2"/>
        <v>4</v>
      </c>
    </row>
    <row r="30" spans="1:15" s="30" customFormat="1" ht="13.7" customHeight="1">
      <c r="B30" s="111">
        <f t="shared" si="0"/>
        <v>35</v>
      </c>
      <c r="C30" s="111" t="str">
        <f t="shared" ca="1" si="1"/>
        <v>9/5/2023</v>
      </c>
      <c r="D30" s="117">
        <f>IF(O30&lt;$J$11,DAT!$AY$15," ")</f>
        <v>202351</v>
      </c>
      <c r="E30" s="111">
        <f>IF(O30&lt;$J$10,MAT!AH138," ")</f>
        <v>3875000</v>
      </c>
      <c r="F30" s="111">
        <f>IF(O30&lt;$J$10,MAT!AI138," ")</f>
        <v>6375000</v>
      </c>
      <c r="G30" s="373">
        <f>IF(O30&lt;$J$10,MAT!T138," ")</f>
        <v>696969</v>
      </c>
      <c r="H30" s="372">
        <f>IF(O30&lt;$J$10,MAT!U138," ")</f>
        <v>557600</v>
      </c>
      <c r="O30" s="371">
        <f t="shared" si="2"/>
        <v>5</v>
      </c>
    </row>
    <row r="31" spans="1:15" s="30" customFormat="1" ht="13.7" customHeight="1">
      <c r="B31" s="111">
        <f t="shared" si="0"/>
        <v>36</v>
      </c>
      <c r="C31" s="111" t="str">
        <f t="shared" ca="1" si="1"/>
        <v>9/5/2024</v>
      </c>
      <c r="D31" s="117">
        <f>IF(O31&lt;$J$11,DAT!$AY$15," ")</f>
        <v>202351</v>
      </c>
      <c r="E31" s="111">
        <f>IF(O31&lt;$J$10,MAT!AH139," ")</f>
        <v>4000000</v>
      </c>
      <c r="F31" s="111">
        <f>IF(O31&lt;$J$10,MAT!AI139," ")</f>
        <v>6500000</v>
      </c>
      <c r="G31" s="373">
        <f>IF(O31&lt;$J$10,MAT!T139," ")</f>
        <v>814969</v>
      </c>
      <c r="H31" s="372">
        <f>IF(O31&lt;$J$10,MAT!U139," ")</f>
        <v>652000</v>
      </c>
      <c r="O31" s="371">
        <f t="shared" si="2"/>
        <v>6</v>
      </c>
    </row>
    <row r="32" spans="1:15" s="30" customFormat="1" ht="13.7" customHeight="1">
      <c r="B32" s="111">
        <f t="shared" si="0"/>
        <v>37</v>
      </c>
      <c r="C32" s="111" t="str">
        <f t="shared" ca="1" si="1"/>
        <v>9/5/2025</v>
      </c>
      <c r="D32" s="117">
        <f>IF(O32&lt;$J$11,DAT!$AY$15," ")</f>
        <v>202351</v>
      </c>
      <c r="E32" s="111">
        <f>IF(O32&lt;$J$10,MAT!AH140," ")</f>
        <v>4125000</v>
      </c>
      <c r="F32" s="111">
        <f>IF(O32&lt;$J$10,MAT!AI140," ")</f>
        <v>6625000</v>
      </c>
      <c r="G32" s="373">
        <f>IF(O32&lt;$J$10,MAT!T140," ")</f>
        <v>961470</v>
      </c>
      <c r="H32" s="372">
        <f>IF(O32&lt;$J$10,MAT!U140," ")</f>
        <v>769200</v>
      </c>
      <c r="O32" s="371">
        <f t="shared" si="2"/>
        <v>7</v>
      </c>
    </row>
    <row r="33" spans="2:15" s="30" customFormat="1" ht="13.7" customHeight="1">
      <c r="B33" s="111">
        <f t="shared" si="0"/>
        <v>38</v>
      </c>
      <c r="C33" s="111" t="str">
        <f t="shared" ca="1" si="1"/>
        <v>9/5/2026</v>
      </c>
      <c r="D33" s="117" t="str">
        <f>IF(O33&lt;$J$11,DAT!$AY$15," ")</f>
        <v xml:space="preserve"> </v>
      </c>
      <c r="E33" s="111">
        <f>IF(O33&lt;$J$10,MAT!AH141," ")</f>
        <v>4250000</v>
      </c>
      <c r="F33" s="111">
        <f>IF(O33&lt;$J$10,MAT!AI141," ")</f>
        <v>6750000</v>
      </c>
      <c r="G33" s="373">
        <f>IF(O33&lt;$J$10,MAT!T141," ")</f>
        <v>1116452</v>
      </c>
      <c r="H33" s="372">
        <f>IF(O33&lt;$J$10,MAT!U141," ")</f>
        <v>893200</v>
      </c>
      <c r="O33" s="371">
        <f t="shared" si="2"/>
        <v>8</v>
      </c>
    </row>
    <row r="34" spans="2:15" s="30" customFormat="1" ht="13.7" customHeight="1">
      <c r="B34" s="111">
        <f t="shared" si="0"/>
        <v>39</v>
      </c>
      <c r="C34" s="111" t="str">
        <f t="shared" ca="1" si="1"/>
        <v>9/5/2027</v>
      </c>
      <c r="D34" s="117" t="str">
        <f>IF(O34&lt;$J$11,DAT!$AY$15," ")</f>
        <v xml:space="preserve"> </v>
      </c>
      <c r="E34" s="111">
        <f>IF(O34&lt;$J$10,MAT!AH142," ")</f>
        <v>4375000</v>
      </c>
      <c r="F34" s="111">
        <f>IF(O34&lt;$J$10,MAT!AI142," ")</f>
        <v>6875000</v>
      </c>
      <c r="G34" s="373">
        <f>IF(O34&lt;$J$10,MAT!T142," ")</f>
        <v>1280099</v>
      </c>
      <c r="H34" s="372">
        <f>IF(O34&lt;$J$10,MAT!U142," ")</f>
        <v>1024100</v>
      </c>
      <c r="J34" s="377"/>
      <c r="K34" s="377"/>
      <c r="O34" s="371">
        <f t="shared" si="2"/>
        <v>9</v>
      </c>
    </row>
    <row r="35" spans="2:15" s="30" customFormat="1" ht="13.7" customHeight="1">
      <c r="B35" s="111">
        <f t="shared" si="0"/>
        <v>40</v>
      </c>
      <c r="C35" s="111" t="str">
        <f t="shared" ca="1" si="1"/>
        <v>9/5/2028</v>
      </c>
      <c r="D35" s="117" t="str">
        <f>IF(O35&lt;$J$11,DAT!$AY$15," ")</f>
        <v xml:space="preserve"> </v>
      </c>
      <c r="E35" s="111">
        <f>IF(O35&lt;$J$10,MAT!AH143," ")</f>
        <v>4500000</v>
      </c>
      <c r="F35" s="111">
        <f>IF(O35&lt;$J$10,MAT!AI143," ")</f>
        <v>7000000</v>
      </c>
      <c r="G35" s="373">
        <f>IF(O35&lt;$J$10,MAT!T143," ")</f>
        <v>1453253</v>
      </c>
      <c r="H35" s="372">
        <f>IF(O35&lt;$J$10,MAT!U143," ")</f>
        <v>1162600</v>
      </c>
      <c r="I35" s="794"/>
      <c r="J35" s="293"/>
      <c r="K35" s="293"/>
      <c r="L35" s="794"/>
      <c r="M35" s="794"/>
      <c r="O35" s="371">
        <f t="shared" si="2"/>
        <v>10</v>
      </c>
    </row>
    <row r="36" spans="2:15" s="30" customFormat="1" ht="13.7" customHeight="1">
      <c r="B36" s="111">
        <f t="shared" si="0"/>
        <v>41</v>
      </c>
      <c r="C36" s="111" t="str">
        <f t="shared" ca="1" si="1"/>
        <v>9/5/2029</v>
      </c>
      <c r="D36" s="117" t="str">
        <f>IF(O36&lt;$J$11,DAT!$AY$15," ")</f>
        <v xml:space="preserve"> </v>
      </c>
      <c r="E36" s="111">
        <f>IF(O36&lt;$J$10,MAT!AH144," ")</f>
        <v>4625000</v>
      </c>
      <c r="F36" s="111">
        <f>IF(O36&lt;$J$10,MAT!AI144," ")</f>
        <v>7125000</v>
      </c>
      <c r="G36" s="373">
        <f>IF(O36&lt;$J$10,MAT!T144," ")</f>
        <v>1626134</v>
      </c>
      <c r="H36" s="372">
        <f>IF(O36&lt;$J$10,MAT!U144," ")</f>
        <v>1300900</v>
      </c>
      <c r="I36" s="1682" t="s">
        <v>264</v>
      </c>
      <c r="J36" s="1683"/>
      <c r="K36" s="1683"/>
      <c r="L36" s="1683"/>
      <c r="M36" s="794"/>
      <c r="O36" s="371">
        <f t="shared" si="2"/>
        <v>11</v>
      </c>
    </row>
    <row r="37" spans="2:15" s="30" customFormat="1" ht="15" customHeight="1">
      <c r="B37" s="111">
        <f t="shared" si="0"/>
        <v>42</v>
      </c>
      <c r="C37" s="111" t="str">
        <f t="shared" ca="1" si="1"/>
        <v>9/5/2030</v>
      </c>
      <c r="D37" s="117" t="str">
        <f>IF(O37&lt;$J$11,DAT!$AY$15," ")</f>
        <v xml:space="preserve"> </v>
      </c>
      <c r="E37" s="111">
        <f>IF(O37&lt;$J$10,MAT!AH145," ")</f>
        <v>4750000</v>
      </c>
      <c r="F37" s="111">
        <f>IF(O37&lt;$J$10,MAT!AI145," ")</f>
        <v>7250000</v>
      </c>
      <c r="G37" s="373">
        <f>IF(O37&lt;$J$10,MAT!T145," ")</f>
        <v>1807359</v>
      </c>
      <c r="H37" s="372">
        <f>IF(O37&lt;$J$10,MAT!U145," ")</f>
        <v>1445900</v>
      </c>
      <c r="I37" s="376" t="s">
        <v>210</v>
      </c>
      <c r="J37" s="1686">
        <f>SUM(D25:D33)</f>
        <v>1623260</v>
      </c>
      <c r="K37" s="1686"/>
      <c r="L37" s="1686"/>
      <c r="M37" s="794"/>
      <c r="O37" s="371">
        <f t="shared" si="2"/>
        <v>12</v>
      </c>
    </row>
    <row r="38" spans="2:15" s="30" customFormat="1" ht="13.7" customHeight="1">
      <c r="B38" s="111">
        <f t="shared" si="0"/>
        <v>43</v>
      </c>
      <c r="C38" s="111" t="str">
        <f t="shared" ca="1" si="1"/>
        <v>9/5/2031</v>
      </c>
      <c r="D38" s="117" t="str">
        <f>IF(O38&lt;$J$11,DAT!$AY$15," ")</f>
        <v xml:space="preserve"> </v>
      </c>
      <c r="E38" s="111">
        <f>IF(O38&lt;$J$10,MAT!AH146," ")</f>
        <v>4875000</v>
      </c>
      <c r="F38" s="111">
        <f>IF(O38&lt;$J$10,MAT!AI146," ")</f>
        <v>7375000</v>
      </c>
      <c r="G38" s="373">
        <f>IF(O38&lt;$J$10,MAT!T146," ")</f>
        <v>1997273</v>
      </c>
      <c r="H38" s="372">
        <f>IF(O38&lt;$J$10,MAT!U146," ")</f>
        <v>1597800</v>
      </c>
      <c r="I38" s="1682" t="s">
        <v>263</v>
      </c>
      <c r="J38" s="1683"/>
      <c r="K38" s="1683"/>
      <c r="L38" s="1683"/>
      <c r="M38" s="794"/>
      <c r="O38" s="371">
        <f t="shared" si="2"/>
        <v>13</v>
      </c>
    </row>
    <row r="39" spans="2:15" s="30" customFormat="1" ht="15" customHeight="1">
      <c r="B39" s="111">
        <f t="shared" si="0"/>
        <v>44</v>
      </c>
      <c r="C39" s="111" t="str">
        <f t="shared" ca="1" si="1"/>
        <v>9/5/2032</v>
      </c>
      <c r="D39" s="117" t="str">
        <f>IF(O39&lt;$J$11,DAT!$AY$15," ")</f>
        <v xml:space="preserve"> </v>
      </c>
      <c r="E39" s="111">
        <f>IF(O39&lt;$J$10,MAT!AH147," ")</f>
        <v>5050000</v>
      </c>
      <c r="F39" s="111">
        <f>IF(O39&lt;$J$10,MAT!AI147," ")</f>
        <v>7550000</v>
      </c>
      <c r="G39" s="373">
        <f>IF(O39&lt;$J$10,MAT!T147," ")</f>
        <v>2196995</v>
      </c>
      <c r="H39" s="372">
        <f>IF(O39&lt;$J$10,MAT!U147," ")</f>
        <v>1757600</v>
      </c>
      <c r="I39" s="375" t="s">
        <v>210</v>
      </c>
      <c r="J39" s="1686">
        <f>E52</f>
        <v>5375000</v>
      </c>
      <c r="K39" s="1686"/>
      <c r="L39" s="1686"/>
      <c r="M39" s="794"/>
      <c r="O39" s="371">
        <f t="shared" si="2"/>
        <v>14</v>
      </c>
    </row>
    <row r="40" spans="2:15" s="30" customFormat="1" ht="13.7" customHeight="1">
      <c r="B40" s="111">
        <f t="shared" si="0"/>
        <v>45</v>
      </c>
      <c r="C40" s="111" t="str">
        <f t="shared" ca="1" si="1"/>
        <v>9/5/2033</v>
      </c>
      <c r="D40" s="117" t="str">
        <f>IF(O40&lt;$J$11,DAT!$AY$15," ")</f>
        <v xml:space="preserve"> </v>
      </c>
      <c r="E40" s="111">
        <f>IF(O40&lt;$J$10,MAT!AH148," ")</f>
        <v>5187500</v>
      </c>
      <c r="F40" s="111">
        <f>IF(O40&lt;$J$10,MAT!AI148," ")</f>
        <v>7687500</v>
      </c>
      <c r="G40" s="373">
        <f>IF(O40&lt;$J$10,MAT!T148," ")</f>
        <v>2406617</v>
      </c>
      <c r="H40" s="372">
        <f>IF(O40&lt;$J$10,MAT!U148," ")</f>
        <v>1925300</v>
      </c>
      <c r="I40" s="1684" t="s">
        <v>262</v>
      </c>
      <c r="J40" s="1685"/>
      <c r="K40" s="1685"/>
      <c r="L40" s="1685"/>
      <c r="M40" s="794"/>
      <c r="O40" s="371">
        <f t="shared" si="2"/>
        <v>15</v>
      </c>
    </row>
    <row r="41" spans="2:15" s="30" customFormat="1" ht="13.7" customHeight="1">
      <c r="B41" s="111">
        <f t="shared" si="0"/>
        <v>46</v>
      </c>
      <c r="C41" s="111" t="str">
        <f t="shared" ca="1" si="1"/>
        <v>9/5/2034</v>
      </c>
      <c r="D41" s="117" t="str">
        <f>IF(O41&lt;$J$11,DAT!$AY$15," ")</f>
        <v xml:space="preserve"> </v>
      </c>
      <c r="E41" s="111">
        <f>IF(O41&lt;$J$10,MAT!AH149," ")</f>
        <v>5325000</v>
      </c>
      <c r="F41" s="111">
        <f>IF(O41&lt;$J$10,MAT!AI149," ")</f>
        <v>7825000</v>
      </c>
      <c r="G41" s="373">
        <f>IF(O41&lt;$J$10,MAT!T149," ")</f>
        <v>2627436</v>
      </c>
      <c r="H41" s="372">
        <f>IF(O41&lt;$J$10,MAT!U149," ")</f>
        <v>2101900</v>
      </c>
      <c r="I41" s="374" t="s">
        <v>210</v>
      </c>
      <c r="J41" s="1687">
        <f>J39-J37</f>
        <v>3751740</v>
      </c>
      <c r="K41" s="1687"/>
      <c r="L41" s="1687"/>
      <c r="M41" s="794"/>
      <c r="O41" s="371">
        <f t="shared" si="2"/>
        <v>16</v>
      </c>
    </row>
    <row r="42" spans="2:15" s="30" customFormat="1" ht="13.7" customHeight="1">
      <c r="B42" s="111">
        <f t="shared" si="0"/>
        <v>47</v>
      </c>
      <c r="C42" s="111" t="str">
        <f t="shared" ca="1" si="1"/>
        <v>9/5/2035</v>
      </c>
      <c r="D42" s="117" t="str">
        <f>IF(O42&lt;$J$11,DAT!$AY$15," ")</f>
        <v xml:space="preserve"> </v>
      </c>
      <c r="E42" s="111">
        <f>IF(O42&lt;$J$10,MAT!AH150," ")</f>
        <v>5462500</v>
      </c>
      <c r="F42" s="111">
        <f>IF(O42&lt;$J$10,MAT!AI150," ")</f>
        <v>7962500</v>
      </c>
      <c r="G42" s="373">
        <f>IF(O42&lt;$J$10,MAT!T150," ")</f>
        <v>2860016</v>
      </c>
      <c r="H42" s="372">
        <f>IF(O42&lt;$J$10,MAT!U150," ")</f>
        <v>2288000</v>
      </c>
      <c r="I42" s="232"/>
      <c r="J42" s="106"/>
      <c r="K42" s="106"/>
      <c r="L42" s="106"/>
      <c r="M42" s="794"/>
      <c r="O42" s="371">
        <f t="shared" si="2"/>
        <v>17</v>
      </c>
    </row>
    <row r="43" spans="2:15" s="30" customFormat="1" ht="13.7" customHeight="1" thickBot="1">
      <c r="B43" s="111">
        <f t="shared" si="0"/>
        <v>48</v>
      </c>
      <c r="C43" s="111" t="str">
        <f t="shared" ca="1" si="1"/>
        <v>9/5/2036</v>
      </c>
      <c r="D43" s="117" t="str">
        <f>IF(O43&lt;$J$11,DAT!$AY$15," ")</f>
        <v xml:space="preserve"> </v>
      </c>
      <c r="E43" s="111">
        <f>IF(O43&lt;$J$10,MAT!AH151," ")</f>
        <v>5625000</v>
      </c>
      <c r="F43" s="111">
        <f>IF(O43&lt;$J$10,MAT!AI151," ")</f>
        <v>8125000</v>
      </c>
      <c r="G43" s="373">
        <f>IF(O43&lt;$J$10,MAT!T151," ")</f>
        <v>3105670</v>
      </c>
      <c r="H43" s="372">
        <f>IF(O43&lt;$J$10,MAT!U151," ")</f>
        <v>2484500</v>
      </c>
      <c r="O43" s="371">
        <f t="shared" si="2"/>
        <v>18</v>
      </c>
    </row>
    <row r="44" spans="2:15" s="30" customFormat="1" ht="13.7" customHeight="1" thickTop="1" thickBot="1">
      <c r="B44" s="111">
        <f t="shared" si="0"/>
        <v>49</v>
      </c>
      <c r="C44" s="111" t="str">
        <f t="shared" ca="1" si="1"/>
        <v>9/5/2037</v>
      </c>
      <c r="D44" s="117" t="str">
        <f>IF(O44&lt;$J$11,DAT!$AY$15," ")</f>
        <v xml:space="preserve"> </v>
      </c>
      <c r="E44" s="111">
        <f>IF(O44&lt;$J$10,MAT!AH152," ")</f>
        <v>5800000</v>
      </c>
      <c r="F44" s="111">
        <f>IF(O44&lt;$J$10,MAT!AI152," ")</f>
        <v>8300000</v>
      </c>
      <c r="G44" s="373">
        <f>IF(O44&lt;$J$10,MAT!T152," ")</f>
        <v>3365570</v>
      </c>
      <c r="H44" s="372">
        <f>IF(O44&lt;$J$10,MAT!U152," ")</f>
        <v>2692500</v>
      </c>
      <c r="I44" s="1633" t="s">
        <v>261</v>
      </c>
      <c r="J44" s="1633"/>
      <c r="K44" s="1633"/>
      <c r="L44" s="1633"/>
      <c r="O44" s="371">
        <f t="shared" si="2"/>
        <v>19</v>
      </c>
    </row>
    <row r="45" spans="2:15" s="30" customFormat="1" ht="13.7" customHeight="1" thickTop="1">
      <c r="B45" s="111">
        <f t="shared" si="0"/>
        <v>50</v>
      </c>
      <c r="C45" s="111" t="str">
        <f t="shared" ca="1" si="1"/>
        <v>9/5/2038</v>
      </c>
      <c r="D45" s="117" t="str">
        <f>IF(O45&lt;$J$11,DAT!$AY$15," ")</f>
        <v xml:space="preserve"> </v>
      </c>
      <c r="E45" s="111">
        <f>IF(O45&lt;$J$10,MAT!AH153," ")</f>
        <v>6000000</v>
      </c>
      <c r="F45" s="111">
        <f>IF(O45&lt;$J$10,MAT!AI153," ")</f>
        <v>8500000</v>
      </c>
      <c r="G45" s="373">
        <f>IF(O45&lt;$J$10,MAT!T153," ")</f>
        <v>3642082</v>
      </c>
      <c r="H45" s="372">
        <f>IF(O45&lt;$J$10,MAT!U153," ")</f>
        <v>2913700</v>
      </c>
      <c r="I45" s="1729"/>
      <c r="J45" s="1729"/>
      <c r="K45" s="1729"/>
      <c r="L45" s="1729"/>
      <c r="O45" s="371">
        <f t="shared" si="2"/>
        <v>20</v>
      </c>
    </row>
    <row r="46" spans="2:15" s="30" customFormat="1" ht="15.75" customHeight="1" thickBot="1">
      <c r="C46" s="789"/>
      <c r="D46" s="789"/>
      <c r="I46" s="1383" t="str">
        <f>'VASANTHAM HOME'!E9</f>
        <v>ENTER YOUR NAME</v>
      </c>
      <c r="J46" s="1383"/>
      <c r="K46" s="1383"/>
      <c r="L46" s="1383"/>
      <c r="O46" s="371"/>
    </row>
    <row r="47" spans="2:15" s="30" customFormat="1" ht="15.75" customHeight="1" thickTop="1">
      <c r="B47" s="1730" t="s">
        <v>260</v>
      </c>
      <c r="C47" s="1731"/>
      <c r="D47" s="1731"/>
      <c r="E47" s="1732"/>
      <c r="F47" s="1733" t="str">
        <f>IF(Main!L13="YES","EFFECTIVE   YIELD  -  IRR","INSURING              LIVES")</f>
        <v>INSURING              LIVES</v>
      </c>
      <c r="G47" s="1679"/>
      <c r="H47" s="365"/>
      <c r="I47" s="1383" t="str">
        <f>'VASANTHAM HOME'!E10</f>
        <v>DESIGNATION</v>
      </c>
      <c r="J47" s="1383"/>
      <c r="K47" s="1383"/>
      <c r="L47" s="1383"/>
    </row>
    <row r="48" spans="2:15" s="30" customFormat="1" ht="15.75" customHeight="1">
      <c r="B48" s="370"/>
      <c r="C48" s="369">
        <f>J9+J10</f>
        <v>55</v>
      </c>
      <c r="D48" s="368" t="s">
        <v>259</v>
      </c>
      <c r="E48" s="367" t="str">
        <f ca="1">(((DAY(NOW())&amp;"/")&amp;MONTH(NOW()))&amp;"/")&amp;((YEAR(NOW())))+J10</f>
        <v>9/5/2043</v>
      </c>
      <c r="F48" s="1733"/>
      <c r="G48" s="1679"/>
      <c r="H48" s="365"/>
      <c r="I48" s="1383" t="str">
        <f>'VASANTHAM HOME'!E11</f>
        <v>ADDRESS 1</v>
      </c>
      <c r="J48" s="1383"/>
      <c r="K48" s="1383"/>
      <c r="L48" s="1383"/>
    </row>
    <row r="49" spans="1:15" s="30" customFormat="1" ht="15.75" customHeight="1">
      <c r="B49" s="1735" t="s">
        <v>241</v>
      </c>
      <c r="C49" s="1736"/>
      <c r="D49" s="362" t="s">
        <v>210</v>
      </c>
      <c r="E49" s="366">
        <f>J12</f>
        <v>2500000</v>
      </c>
      <c r="F49" s="1737" t="str">
        <f>IF(Main!L13="YES",MAT!CH165,"ENSURING              SMILES")</f>
        <v>ENSURING              SMILES</v>
      </c>
      <c r="G49" s="1738"/>
      <c r="H49" s="365"/>
      <c r="I49" s="1383" t="str">
        <f>'VASANTHAM HOME'!E12</f>
        <v>ADDRESS 2</v>
      </c>
      <c r="J49" s="1383"/>
      <c r="K49" s="1383"/>
      <c r="L49" s="1383"/>
      <c r="O49" s="364"/>
    </row>
    <row r="50" spans="1:15" s="30" customFormat="1" ht="18" customHeight="1">
      <c r="B50" s="1735" t="s">
        <v>240</v>
      </c>
      <c r="C50" s="1736"/>
      <c r="D50" s="362" t="s">
        <v>210</v>
      </c>
      <c r="E50" s="361">
        <f>MAT!L133</f>
        <v>2625000</v>
      </c>
      <c r="F50" s="1739"/>
      <c r="G50" s="1740"/>
      <c r="H50" s="363"/>
      <c r="I50" s="1383" t="str">
        <f>'VASANTHAM HOME'!E13</f>
        <v>ADDRESS 3</v>
      </c>
      <c r="J50" s="1383"/>
      <c r="K50" s="1383"/>
      <c r="L50" s="1383"/>
    </row>
    <row r="51" spans="1:15" s="30" customFormat="1" ht="15.75" customHeight="1">
      <c r="B51" s="1735" t="s">
        <v>375</v>
      </c>
      <c r="C51" s="1736"/>
      <c r="D51" s="362" t="s">
        <v>210</v>
      </c>
      <c r="E51" s="361">
        <f>MAT!AA133</f>
        <v>250000</v>
      </c>
      <c r="F51" s="88" t="s">
        <v>374</v>
      </c>
      <c r="G51" s="1741" t="s">
        <v>256</v>
      </c>
      <c r="H51" s="1741"/>
      <c r="I51" s="1383" t="str">
        <f>'VASANTHAM HOME'!E14</f>
        <v>MOBILE NO :</v>
      </c>
      <c r="J51" s="1383"/>
      <c r="K51" s="1383"/>
      <c r="L51" s="1383"/>
    </row>
    <row r="52" spans="1:15" s="30" customFormat="1" ht="15.75" customHeight="1" thickBot="1">
      <c r="B52" s="1742" t="s">
        <v>255</v>
      </c>
      <c r="C52" s="1743"/>
      <c r="D52" s="360" t="s">
        <v>210</v>
      </c>
      <c r="E52" s="359">
        <f>MAT!N132</f>
        <v>5375000</v>
      </c>
      <c r="F52" s="88" t="s">
        <v>373</v>
      </c>
      <c r="G52" s="1741" t="s">
        <v>343</v>
      </c>
      <c r="H52" s="1741"/>
      <c r="I52" s="1383" t="str">
        <f>'VASANTHAM HOME'!E15</f>
        <v>E.MAIL ID :</v>
      </c>
      <c r="J52" s="1383"/>
      <c r="K52" s="1383"/>
      <c r="L52" s="1383"/>
    </row>
    <row r="53" spans="1:15" s="30" customFormat="1" ht="15.75" customHeight="1" thickTop="1">
      <c r="A53" s="1744" t="s">
        <v>209</v>
      </c>
      <c r="B53" s="1744"/>
      <c r="C53" s="1744"/>
    </row>
    <row r="54" spans="1:15" s="30" customFormat="1" ht="15.75" customHeight="1">
      <c r="A54" s="358">
        <v>1</v>
      </c>
      <c r="B54" s="1734" t="s">
        <v>2133</v>
      </c>
      <c r="C54" s="1734"/>
      <c r="D54" s="1734"/>
      <c r="E54" s="1734"/>
      <c r="F54" s="1734"/>
      <c r="G54" s="1734"/>
      <c r="H54" s="1734"/>
      <c r="I54" s="1734"/>
      <c r="J54" s="1734"/>
      <c r="K54" s="1734"/>
      <c r="L54" s="1734"/>
    </row>
    <row r="55" spans="1:15" s="30" customFormat="1" ht="15.75" customHeight="1">
      <c r="A55" s="358">
        <v>2</v>
      </c>
      <c r="B55" s="1734" t="s">
        <v>237</v>
      </c>
      <c r="C55" s="1734"/>
      <c r="D55" s="1734"/>
      <c r="E55" s="1734"/>
      <c r="F55" s="1734"/>
      <c r="G55" s="1734"/>
      <c r="H55" s="1734"/>
      <c r="I55" s="1734"/>
      <c r="J55" s="1734"/>
      <c r="K55" s="1734"/>
      <c r="L55" s="1734"/>
    </row>
    <row r="56" spans="1:15" s="30" customFormat="1" ht="15.75" customHeight="1"/>
    <row r="57" spans="1:15" ht="15" hidden="1"/>
    <row r="58" spans="1:15" ht="15" hidden="1"/>
    <row r="59" spans="1:15" ht="15" hidden="1"/>
    <row r="60" spans="1:15" ht="15" hidden="1"/>
    <row r="61" spans="1:15" ht="15" hidden="1"/>
  </sheetData>
  <protectedRanges>
    <protectedRange sqref="B10:H10" name="Range2"/>
    <protectedRange sqref="J9:J13" name="Range1"/>
    <protectedRange sqref="I46:L52" name="Range1_6"/>
  </protectedRanges>
  <mergeCells count="60">
    <mergeCell ref="B55:L55"/>
    <mergeCell ref="B49:C49"/>
    <mergeCell ref="F49:G50"/>
    <mergeCell ref="I49:L49"/>
    <mergeCell ref="B50:C50"/>
    <mergeCell ref="I50:L50"/>
    <mergeCell ref="B51:C51"/>
    <mergeCell ref="G51:H51"/>
    <mergeCell ref="I51:L51"/>
    <mergeCell ref="B52:C52"/>
    <mergeCell ref="G52:H52"/>
    <mergeCell ref="I52:L52"/>
    <mergeCell ref="A53:C53"/>
    <mergeCell ref="B54:L54"/>
    <mergeCell ref="I44:L44"/>
    <mergeCell ref="I45:L45"/>
    <mergeCell ref="I46:L46"/>
    <mergeCell ref="B47:E47"/>
    <mergeCell ref="F47:G48"/>
    <mergeCell ref="I47:L47"/>
    <mergeCell ref="I48:L48"/>
    <mergeCell ref="B19:I19"/>
    <mergeCell ref="B20:I20"/>
    <mergeCell ref="B21:H21"/>
    <mergeCell ref="B22:H22"/>
    <mergeCell ref="B23:B24"/>
    <mergeCell ref="C23:C24"/>
    <mergeCell ref="D23:D24"/>
    <mergeCell ref="E23:F23"/>
    <mergeCell ref="G23:G24"/>
    <mergeCell ref="H23:H24"/>
    <mergeCell ref="M13:P14"/>
    <mergeCell ref="B15:E16"/>
    <mergeCell ref="J15:K18"/>
    <mergeCell ref="M15:P16"/>
    <mergeCell ref="B17:H17"/>
    <mergeCell ref="B18:H18"/>
    <mergeCell ref="B9:G9"/>
    <mergeCell ref="B10:G10"/>
    <mergeCell ref="B12:D12"/>
    <mergeCell ref="J12:K12"/>
    <mergeCell ref="B13:D14"/>
    <mergeCell ref="E13:E14"/>
    <mergeCell ref="F13:F14"/>
    <mergeCell ref="G13:G14"/>
    <mergeCell ref="H13:H14"/>
    <mergeCell ref="J13:K13"/>
    <mergeCell ref="J2:K2"/>
    <mergeCell ref="C5:G5"/>
    <mergeCell ref="M5:XFD6"/>
    <mergeCell ref="B6:G7"/>
    <mergeCell ref="I6:K6"/>
    <mergeCell ref="I7:K7"/>
    <mergeCell ref="M7:P8"/>
    <mergeCell ref="J37:L37"/>
    <mergeCell ref="J39:L39"/>
    <mergeCell ref="J41:L41"/>
    <mergeCell ref="I36:L36"/>
    <mergeCell ref="I38:L38"/>
    <mergeCell ref="I40:L40"/>
  </mergeCells>
  <hyperlinks>
    <hyperlink ref="M15:P16" location="Main!A1" display="CLICK HERE"/>
    <hyperlink ref="M7:P8" location="'VASANTHAM HOME'!A1" display="CLICK HERE"/>
  </hyperlinks>
  <pageMargins left="0.7" right="0.7" top="0.75" bottom="0.75" header="0.3" footer="0.3"/>
  <pageSetup scale="80" orientation="portrait" horizontalDpi="4294967293" verticalDpi="4294967293" r:id="rId1"/>
  <headerFooter>
    <oddFooter>&amp;C&amp;9&amp;K02-049VASANTHAM SMART</oddFooter>
  </headerFooter>
  <drawing r:id="rId2"/>
</worksheet>
</file>

<file path=xl/worksheets/sheet11.xml><?xml version="1.0" encoding="utf-8"?>
<worksheet xmlns="http://schemas.openxmlformats.org/spreadsheetml/2006/main" xmlns:r="http://schemas.openxmlformats.org/officeDocument/2006/relationships">
  <sheetPr codeName="Sheet19"/>
  <dimension ref="A1:V65"/>
  <sheetViews>
    <sheetView showGridLines="0" showRowColHeaders="0" workbookViewId="0">
      <selection activeCell="M1" sqref="M1"/>
    </sheetView>
  </sheetViews>
  <sheetFormatPr defaultColWidth="0" defaultRowHeight="0" customHeight="1" zeroHeight="1"/>
  <cols>
    <col min="1" max="1" width="3.375" style="85" customWidth="1"/>
    <col min="2" max="2" width="4.625" style="85" customWidth="1"/>
    <col min="3" max="3" width="10.375" style="85" customWidth="1"/>
    <col min="4" max="4" width="9.875" style="85" customWidth="1"/>
    <col min="5" max="5" width="10.875" style="85" customWidth="1"/>
    <col min="6" max="6" width="11.5" style="85" customWidth="1"/>
    <col min="7" max="7" width="12.5" style="85" customWidth="1"/>
    <col min="8" max="8" width="11.5" style="85" customWidth="1"/>
    <col min="9" max="9" width="15.375" style="85" customWidth="1"/>
    <col min="10" max="10" width="8.375" style="85" customWidth="1"/>
    <col min="11" max="11" width="9.5" style="85" customWidth="1"/>
    <col min="12" max="12" width="5.125" style="85" customWidth="1"/>
    <col min="13" max="13" width="9.125" style="85" customWidth="1"/>
    <col min="14" max="14" width="6.625" style="85" customWidth="1"/>
    <col min="15" max="15" width="4.625" style="85" hidden="1" customWidth="1"/>
    <col min="16" max="16" width="9.5" style="85" customWidth="1"/>
    <col min="17" max="20" width="9.125" style="85" hidden="1" customWidth="1"/>
    <col min="21" max="22" width="0" style="85" hidden="1" customWidth="1"/>
    <col min="23" max="16384" width="9.125" style="85" hidden="1"/>
  </cols>
  <sheetData>
    <row r="1" spans="1:16" s="86" customFormat="1" ht="15"/>
    <row r="2" spans="1:16" s="86" customFormat="1" ht="15">
      <c r="J2" s="1697">
        <f ca="1">TODAY()</f>
        <v>43229</v>
      </c>
      <c r="K2" s="1697"/>
    </row>
    <row r="3" spans="1:16" s="86" customFormat="1" ht="9.75" customHeight="1"/>
    <row r="4" spans="1:16" s="86" customFormat="1" ht="14.25" customHeight="1">
      <c r="C4" s="148"/>
      <c r="D4" s="149"/>
      <c r="E4" s="149"/>
      <c r="F4" s="149"/>
      <c r="G4" s="148"/>
      <c r="H4" s="148"/>
      <c r="I4" s="147"/>
    </row>
    <row r="5" spans="1:16" s="144" customFormat="1" ht="15.75" customHeight="1">
      <c r="A5" s="86"/>
      <c r="B5" s="145"/>
      <c r="C5" s="1763"/>
      <c r="D5" s="1763"/>
      <c r="E5" s="1763"/>
      <c r="F5" s="1763"/>
      <c r="G5" s="1763"/>
      <c r="H5" s="146"/>
      <c r="I5" s="145"/>
      <c r="J5" s="86"/>
      <c r="K5" s="86"/>
      <c r="L5" s="86"/>
    </row>
    <row r="6" spans="1:16" s="144" customFormat="1" ht="15.75" customHeight="1">
      <c r="A6" s="86"/>
      <c r="B6" s="1764"/>
      <c r="C6" s="1764"/>
      <c r="D6" s="1764"/>
      <c r="E6" s="1764"/>
      <c r="F6" s="1764"/>
      <c r="G6" s="1764"/>
      <c r="H6" s="143"/>
      <c r="I6" s="1602" t="s">
        <v>275</v>
      </c>
      <c r="J6" s="1602"/>
      <c r="K6" s="1602"/>
      <c r="L6" s="86"/>
      <c r="M6" s="1748" t="s">
        <v>232</v>
      </c>
      <c r="N6" s="1748"/>
      <c r="O6" s="1748"/>
      <c r="P6" s="1748"/>
    </row>
    <row r="7" spans="1:16" s="86" customFormat="1" ht="15" customHeight="1">
      <c r="B7" s="1764"/>
      <c r="C7" s="1764"/>
      <c r="D7" s="1764"/>
      <c r="E7" s="1764"/>
      <c r="F7" s="1764"/>
      <c r="G7" s="1764"/>
      <c r="H7" s="143"/>
      <c r="I7" s="1749" t="s">
        <v>274</v>
      </c>
      <c r="J7" s="1749"/>
      <c r="K7" s="1749"/>
      <c r="M7" s="1748"/>
      <c r="N7" s="1748"/>
      <c r="O7" s="1748"/>
      <c r="P7" s="1748"/>
    </row>
    <row r="8" spans="1:16" s="86" customFormat="1" ht="9.75" customHeight="1" thickBot="1">
      <c r="I8" s="142"/>
      <c r="J8" s="142"/>
      <c r="K8" s="85"/>
      <c r="M8" s="1380" t="s">
        <v>226</v>
      </c>
      <c r="N8" s="1381"/>
      <c r="O8" s="1381"/>
      <c r="P8" s="1381"/>
    </row>
    <row r="9" spans="1:16" s="86" customFormat="1" ht="18" customHeight="1" thickTop="1">
      <c r="B9" s="1701" t="s">
        <v>231</v>
      </c>
      <c r="C9" s="1702"/>
      <c r="D9" s="1702"/>
      <c r="E9" s="1702"/>
      <c r="F9" s="1702"/>
      <c r="G9" s="1703"/>
      <c r="H9" s="141"/>
      <c r="I9" s="140" t="s">
        <v>251</v>
      </c>
      <c r="J9" s="785">
        <f>Main!E9</f>
        <v>30</v>
      </c>
      <c r="K9" s="139" t="s">
        <v>234</v>
      </c>
      <c r="M9" s="1380"/>
      <c r="N9" s="1381"/>
      <c r="O9" s="1381"/>
      <c r="P9" s="1381"/>
    </row>
    <row r="10" spans="1:16" s="86" customFormat="1" ht="15.75" customHeight="1" thickBot="1">
      <c r="B10" s="1766" t="str">
        <f>CONCATENATE(Main!E8,(Main!F8))</f>
        <v>Sri.soumil</v>
      </c>
      <c r="C10" s="1767"/>
      <c r="D10" s="1767"/>
      <c r="E10" s="1767"/>
      <c r="F10" s="1767"/>
      <c r="G10" s="1768"/>
      <c r="H10" s="141"/>
      <c r="I10" s="140" t="s">
        <v>273</v>
      </c>
      <c r="J10" s="785">
        <f>Main!E11</f>
        <v>25</v>
      </c>
      <c r="K10" s="139" t="s">
        <v>234</v>
      </c>
    </row>
    <row r="11" spans="1:16" s="86" customFormat="1" ht="15.75" customHeight="1" thickTop="1">
      <c r="I11" s="138" t="s">
        <v>272</v>
      </c>
      <c r="J11" s="1769">
        <f>Main!E10</f>
        <v>2500000</v>
      </c>
      <c r="K11" s="1770"/>
    </row>
    <row r="12" spans="1:16" s="86" customFormat="1" ht="15.75" customHeight="1" thickBot="1">
      <c r="B12" s="1707" t="s">
        <v>230</v>
      </c>
      <c r="C12" s="1708"/>
      <c r="D12" s="1709"/>
      <c r="E12" s="765" t="s">
        <v>16</v>
      </c>
      <c r="F12" s="765" t="s">
        <v>15</v>
      </c>
      <c r="G12" s="137" t="s">
        <v>14</v>
      </c>
      <c r="H12" s="136" t="s">
        <v>229</v>
      </c>
      <c r="I12" s="135"/>
      <c r="J12" s="1760"/>
      <c r="K12" s="1761"/>
    </row>
    <row r="13" spans="1:16" s="86" customFormat="1" ht="15.75" customHeight="1" thickTop="1">
      <c r="B13" s="1711" t="s">
        <v>2125</v>
      </c>
      <c r="C13" s="1712"/>
      <c r="D13" s="1713"/>
      <c r="E13" s="1626" t="e">
        <f>DAT!AT20</f>
        <v>#N/A</v>
      </c>
      <c r="F13" s="1626" t="e">
        <f>DAT!AU20</f>
        <v>#N/A</v>
      </c>
      <c r="G13" s="1626" t="e">
        <f>DAT!AV20</f>
        <v>#N/A</v>
      </c>
      <c r="H13" s="1626" t="e">
        <f>DAT!AW20</f>
        <v>#N/A</v>
      </c>
      <c r="I13" s="760"/>
      <c r="J13" s="1765"/>
      <c r="K13" s="1765"/>
      <c r="M13" s="1754" t="s">
        <v>228</v>
      </c>
      <c r="N13" s="1755"/>
      <c r="O13" s="1755"/>
      <c r="P13" s="1756"/>
    </row>
    <row r="14" spans="1:16" s="86" customFormat="1" ht="15.75" customHeight="1" thickBot="1">
      <c r="B14" s="1750"/>
      <c r="C14" s="1751"/>
      <c r="D14" s="1752"/>
      <c r="E14" s="1753"/>
      <c r="F14" s="1753"/>
      <c r="G14" s="1753"/>
      <c r="H14" s="1753"/>
      <c r="I14" s="134"/>
      <c r="J14" s="79"/>
      <c r="K14" s="79"/>
      <c r="M14" s="1757"/>
      <c r="N14" s="1758"/>
      <c r="O14" s="1758"/>
      <c r="P14" s="1759"/>
    </row>
    <row r="15" spans="1:16" s="86" customFormat="1" ht="10.5" customHeight="1" thickTop="1">
      <c r="A15" s="130"/>
      <c r="B15" s="1745" t="s">
        <v>271</v>
      </c>
      <c r="C15" s="1745"/>
      <c r="D15" s="1745"/>
      <c r="E15" s="1745"/>
      <c r="F15" s="133"/>
      <c r="G15" s="133"/>
      <c r="H15" s="133"/>
      <c r="I15" s="132"/>
      <c r="J15" s="79"/>
      <c r="K15" s="79"/>
      <c r="M15" s="131"/>
      <c r="N15" s="131"/>
      <c r="O15" s="131"/>
      <c r="P15" s="131"/>
    </row>
    <row r="16" spans="1:16" s="86" customFormat="1" ht="15.75" customHeight="1">
      <c r="A16" s="130"/>
      <c r="B16" s="1746"/>
      <c r="C16" s="1746"/>
      <c r="D16" s="1746"/>
      <c r="E16" s="1746"/>
      <c r="F16" s="129"/>
      <c r="G16" s="129"/>
      <c r="H16" s="129"/>
      <c r="I16" s="1747" t="e">
        <f>CONCATENATE("    SAVINGS         PER DAY", " ", " "," ", " "," "," "," "," ", " "," ", " "," ", "Rs.  ",(DAT!AZ20)," "," "," ", " "," "," ", " "," ", " "," ", " "," ",                   "ONLY")</f>
        <v>#N/A</v>
      </c>
      <c r="J16" s="128"/>
      <c r="K16" s="128"/>
      <c r="M16" s="1391" t="s">
        <v>226</v>
      </c>
      <c r="N16" s="1391"/>
      <c r="O16" s="1391"/>
      <c r="P16" s="1391"/>
    </row>
    <row r="17" spans="1:16" s="86" customFormat="1" ht="15.75" customHeight="1">
      <c r="A17" s="126" t="s">
        <v>266</v>
      </c>
      <c r="B17" s="1774" t="s">
        <v>270</v>
      </c>
      <c r="C17" s="1774"/>
      <c r="D17" s="1774"/>
      <c r="E17" s="1774"/>
      <c r="F17" s="1774"/>
      <c r="G17" s="1774"/>
      <c r="H17" s="1774"/>
      <c r="I17" s="1747"/>
      <c r="J17" s="128"/>
      <c r="K17" s="128"/>
      <c r="M17" s="1391"/>
      <c r="N17" s="1391"/>
      <c r="O17" s="1391"/>
      <c r="P17" s="1391"/>
    </row>
    <row r="18" spans="1:16" s="86" customFormat="1" ht="15.75" customHeight="1">
      <c r="A18" s="126" t="s">
        <v>266</v>
      </c>
      <c r="B18" s="1774" t="s">
        <v>269</v>
      </c>
      <c r="C18" s="1774"/>
      <c r="D18" s="1774"/>
      <c r="E18" s="1774"/>
      <c r="F18" s="1774"/>
      <c r="G18" s="1774"/>
      <c r="H18" s="1774"/>
      <c r="I18" s="1747"/>
      <c r="J18" s="128"/>
      <c r="K18" s="128"/>
    </row>
    <row r="19" spans="1:16" s="86" customFormat="1" ht="15.75" customHeight="1">
      <c r="A19" s="126" t="s">
        <v>266</v>
      </c>
      <c r="B19" s="1774" t="s">
        <v>268</v>
      </c>
      <c r="C19" s="1774"/>
      <c r="D19" s="1774"/>
      <c r="E19" s="1774"/>
      <c r="F19" s="1774"/>
      <c r="G19" s="1774"/>
      <c r="H19" s="1774"/>
      <c r="I19" s="1747"/>
      <c r="J19" s="128"/>
      <c r="K19" s="128"/>
    </row>
    <row r="20" spans="1:16" s="86" customFormat="1" ht="15.75" customHeight="1">
      <c r="A20" s="126" t="s">
        <v>266</v>
      </c>
      <c r="B20" s="1775" t="s">
        <v>267</v>
      </c>
      <c r="C20" s="1775"/>
      <c r="D20" s="1775"/>
      <c r="E20" s="1775"/>
      <c r="F20" s="1775"/>
      <c r="G20" s="1775"/>
      <c r="H20" s="1775"/>
      <c r="I20" s="127"/>
      <c r="J20" s="119"/>
      <c r="K20" s="119"/>
    </row>
    <row r="21" spans="1:16" s="86" customFormat="1" ht="18" customHeight="1">
      <c r="A21" s="126" t="s">
        <v>266</v>
      </c>
      <c r="B21" s="1776" t="s">
        <v>265</v>
      </c>
      <c r="C21" s="1776"/>
      <c r="D21" s="1776"/>
      <c r="E21" s="1776"/>
      <c r="F21" s="1776"/>
      <c r="G21" s="1776"/>
      <c r="H21" s="1776"/>
      <c r="I21" s="125"/>
      <c r="J21" s="124"/>
      <c r="K21" s="124"/>
    </row>
    <row r="22" spans="1:16" s="86" customFormat="1" ht="15.75" customHeight="1">
      <c r="A22" s="122"/>
      <c r="B22" s="123"/>
      <c r="C22" s="123"/>
      <c r="D22" s="123"/>
      <c r="E22" s="123"/>
      <c r="F22" s="123"/>
      <c r="G22" s="123"/>
      <c r="H22" s="123"/>
      <c r="I22" s="120"/>
      <c r="J22" s="119"/>
      <c r="K22" s="119"/>
    </row>
    <row r="23" spans="1:16" s="86" customFormat="1" ht="15.75" customHeight="1">
      <c r="A23" s="122"/>
      <c r="B23" s="121"/>
      <c r="C23" s="121"/>
      <c r="D23" s="121"/>
      <c r="E23" s="121"/>
      <c r="F23" s="121"/>
      <c r="G23" s="121"/>
      <c r="H23" s="121"/>
      <c r="I23" s="120"/>
      <c r="J23" s="119"/>
      <c r="K23" s="119"/>
    </row>
    <row r="24" spans="1:16" s="86" customFormat="1" ht="15.75" customHeight="1">
      <c r="B24" s="1619" t="s">
        <v>17</v>
      </c>
      <c r="C24" s="1723" t="s">
        <v>223</v>
      </c>
      <c r="D24" s="1723" t="s">
        <v>222</v>
      </c>
      <c r="E24" s="1725" t="s">
        <v>221</v>
      </c>
      <c r="F24" s="1726"/>
      <c r="G24" s="1622" t="s">
        <v>220</v>
      </c>
      <c r="H24" s="1727" t="s">
        <v>219</v>
      </c>
    </row>
    <row r="25" spans="1:16" s="86" customFormat="1" ht="15.75" customHeight="1">
      <c r="A25" s="85"/>
      <c r="B25" s="1777"/>
      <c r="C25" s="1778"/>
      <c r="D25" s="1778"/>
      <c r="E25" s="118" t="s">
        <v>217</v>
      </c>
      <c r="F25" s="118" t="s">
        <v>216</v>
      </c>
      <c r="G25" s="1779"/>
      <c r="H25" s="1728"/>
    </row>
    <row r="26" spans="1:16" s="86" customFormat="1" ht="13.7" customHeight="1">
      <c r="B26" s="111">
        <f>J9</f>
        <v>30</v>
      </c>
      <c r="C26" s="111" t="str">
        <f ca="1">IF(O26&lt;$J$10,(((DAY(NOW())&amp;"/")&amp;MONTH(NOW()))&amp;"/")&amp;((YEAR(NOW())))," ")</f>
        <v>9/5/2018</v>
      </c>
      <c r="D26" s="117" t="e">
        <f>DAT!AT20</f>
        <v>#N/A</v>
      </c>
      <c r="E26" s="111">
        <f>IF(O26&lt;$J$10,MAT!AD220," ")</f>
        <v>2620000</v>
      </c>
      <c r="F26" s="111">
        <f>IF(O26&lt;$J$10,MAT!AE220," ")</f>
        <v>5120000</v>
      </c>
      <c r="G26" s="116">
        <v>0</v>
      </c>
      <c r="H26" s="114">
        <v>0</v>
      </c>
      <c r="O26" s="115">
        <v>0</v>
      </c>
    </row>
    <row r="27" spans="1:16" s="86" customFormat="1" ht="13.7" customHeight="1">
      <c r="B27" s="111">
        <f t="shared" ref="B27:B45" si="0">IF(O27&lt;$J$10,$B$26+O27," ")</f>
        <v>31</v>
      </c>
      <c r="C27" s="111" t="str">
        <f t="shared" ref="C27:C45" ca="1" si="1">IF(O27&lt;$J$10,(((DAY(NOW())&amp;"/")&amp;MONTH(NOW()))&amp;"/")&amp;((YEAR(NOW())))+O27," ")</f>
        <v>9/5/2019</v>
      </c>
      <c r="D27" s="111" t="e">
        <f>IF(O27&lt;$J$10,DAT!$AY$20," ")</f>
        <v>#N/A</v>
      </c>
      <c r="E27" s="111" t="e">
        <f>IF(O27&lt;$J$10,MAT!AD221," ")</f>
        <v>#N/A</v>
      </c>
      <c r="F27" s="111" t="e">
        <f>IF(O27&lt;$J$10,MAT!AE221," ")</f>
        <v>#N/A</v>
      </c>
      <c r="G27" s="113">
        <v>0</v>
      </c>
      <c r="H27" s="114">
        <v>0</v>
      </c>
      <c r="O27" s="101">
        <v>1</v>
      </c>
    </row>
    <row r="28" spans="1:16" s="86" customFormat="1" ht="13.7" customHeight="1">
      <c r="B28" s="111">
        <f t="shared" si="0"/>
        <v>32</v>
      </c>
      <c r="C28" s="111" t="str">
        <f t="shared" ca="1" si="1"/>
        <v>9/5/2020</v>
      </c>
      <c r="D28" s="111" t="e">
        <f>IF(O28&lt;$J$10,DAT!$AY$20," ")</f>
        <v>#N/A</v>
      </c>
      <c r="E28" s="111" t="e">
        <f>IF(O28&lt;$J$10,MAT!AD222," ")</f>
        <v>#N/A</v>
      </c>
      <c r="F28" s="111" t="e">
        <f>IF(O28&lt;$J$10,MAT!AE222," ")</f>
        <v>#N/A</v>
      </c>
      <c r="G28" s="113">
        <v>0</v>
      </c>
      <c r="H28" s="112">
        <v>0</v>
      </c>
      <c r="O28" s="101">
        <f t="shared" ref="O28:O45" si="2">O27+1</f>
        <v>2</v>
      </c>
    </row>
    <row r="29" spans="1:16" s="86" customFormat="1" ht="13.7" customHeight="1">
      <c r="B29" s="111">
        <f t="shared" si="0"/>
        <v>33</v>
      </c>
      <c r="C29" s="111" t="str">
        <f t="shared" ca="1" si="1"/>
        <v>9/5/2021</v>
      </c>
      <c r="D29" s="111" t="e">
        <f>IF(O29&lt;$J$10,DAT!$AY$20," ")</f>
        <v>#N/A</v>
      </c>
      <c r="E29" s="111" t="e">
        <f>IF(O29&lt;$J$10,MAT!AD223," ")</f>
        <v>#N/A</v>
      </c>
      <c r="F29" s="111" t="e">
        <f>IF(O29&lt;$J$10,MAT!AE223," ")</f>
        <v>#N/A</v>
      </c>
      <c r="G29" s="110" t="e">
        <f>IF(O29&lt;$J$10,MAT!T222," ")</f>
        <v>#N/A</v>
      </c>
      <c r="H29" s="109" t="e">
        <f>IF(O29&lt;$J$10,MAT!U222," ")</f>
        <v>#N/A</v>
      </c>
      <c r="O29" s="101">
        <f t="shared" si="2"/>
        <v>3</v>
      </c>
    </row>
    <row r="30" spans="1:16" s="86" customFormat="1" ht="13.7" customHeight="1">
      <c r="B30" s="111">
        <f t="shared" si="0"/>
        <v>34</v>
      </c>
      <c r="C30" s="111" t="str">
        <f t="shared" ca="1" si="1"/>
        <v>9/5/2022</v>
      </c>
      <c r="D30" s="111" t="e">
        <f>IF(O30&lt;$J$10,DAT!$AY$20," ")</f>
        <v>#N/A</v>
      </c>
      <c r="E30" s="111" t="e">
        <f>IF(O30&lt;$J$10,MAT!AD224," ")</f>
        <v>#N/A</v>
      </c>
      <c r="F30" s="111" t="e">
        <f>IF(O30&lt;$J$10,MAT!AE224," ")</f>
        <v>#N/A</v>
      </c>
      <c r="G30" s="110" t="e">
        <f>IF(O30&lt;$J$10,MAT!T223," ")</f>
        <v>#N/A</v>
      </c>
      <c r="H30" s="109" t="e">
        <f>IF(O30&lt;$J$10,MAT!U223," ")</f>
        <v>#N/A</v>
      </c>
      <c r="O30" s="101">
        <f t="shared" si="2"/>
        <v>4</v>
      </c>
    </row>
    <row r="31" spans="1:16" s="86" customFormat="1" ht="13.7" customHeight="1">
      <c r="B31" s="111">
        <f t="shared" si="0"/>
        <v>35</v>
      </c>
      <c r="C31" s="111" t="str">
        <f t="shared" ca="1" si="1"/>
        <v>9/5/2023</v>
      </c>
      <c r="D31" s="111" t="e">
        <f>IF(O31&lt;$J$10,DAT!$AY$20," ")</f>
        <v>#N/A</v>
      </c>
      <c r="E31" s="111" t="e">
        <f>IF(O31&lt;$J$10,MAT!AD225," ")</f>
        <v>#N/A</v>
      </c>
      <c r="F31" s="111" t="e">
        <f>IF(O31&lt;$J$10,MAT!AE225," ")</f>
        <v>#N/A</v>
      </c>
      <c r="G31" s="110" t="e">
        <f>IF(O31&lt;$J$10,MAT!T224," ")</f>
        <v>#N/A</v>
      </c>
      <c r="H31" s="109" t="e">
        <f>IF(O31&lt;$J$10,MAT!U224," ")</f>
        <v>#N/A</v>
      </c>
      <c r="O31" s="101">
        <f t="shared" si="2"/>
        <v>5</v>
      </c>
    </row>
    <row r="32" spans="1:16" s="86" customFormat="1" ht="13.7" customHeight="1">
      <c r="B32" s="111">
        <f t="shared" si="0"/>
        <v>36</v>
      </c>
      <c r="C32" s="111" t="str">
        <f t="shared" ca="1" si="1"/>
        <v>9/5/2024</v>
      </c>
      <c r="D32" s="111" t="e">
        <f>IF(O32&lt;$J$10,DAT!$AY$20," ")</f>
        <v>#N/A</v>
      </c>
      <c r="E32" s="111" t="e">
        <f>IF(O32&lt;$J$10,MAT!AD226," ")</f>
        <v>#N/A</v>
      </c>
      <c r="F32" s="111" t="e">
        <f>IF(O32&lt;$J$10,MAT!AE226," ")</f>
        <v>#N/A</v>
      </c>
      <c r="G32" s="110" t="e">
        <f>IF(O32&lt;$J$10,MAT!T225," ")</f>
        <v>#N/A</v>
      </c>
      <c r="H32" s="109" t="e">
        <f>IF(O32&lt;$J$10,MAT!U225," ")</f>
        <v>#N/A</v>
      </c>
      <c r="O32" s="101">
        <f t="shared" si="2"/>
        <v>6</v>
      </c>
    </row>
    <row r="33" spans="2:15" s="86" customFormat="1" ht="13.7" customHeight="1">
      <c r="B33" s="111">
        <f t="shared" si="0"/>
        <v>37</v>
      </c>
      <c r="C33" s="111" t="str">
        <f t="shared" ca="1" si="1"/>
        <v>9/5/2025</v>
      </c>
      <c r="D33" s="111" t="e">
        <f>IF(O33&lt;$J$10,DAT!$AY$20," ")</f>
        <v>#N/A</v>
      </c>
      <c r="E33" s="111" t="e">
        <f>IF(O33&lt;$J$10,MAT!AD227," ")</f>
        <v>#N/A</v>
      </c>
      <c r="F33" s="111" t="e">
        <f>IF(O33&lt;$J$10,MAT!AE227," ")</f>
        <v>#N/A</v>
      </c>
      <c r="G33" s="110" t="e">
        <f>IF(O33&lt;$J$10,MAT!T226," ")</f>
        <v>#N/A</v>
      </c>
      <c r="H33" s="109" t="e">
        <f>IF(O33&lt;$J$10,MAT!U226," ")</f>
        <v>#N/A</v>
      </c>
      <c r="O33" s="101">
        <f t="shared" si="2"/>
        <v>7</v>
      </c>
    </row>
    <row r="34" spans="2:15" s="86" customFormat="1" ht="13.7" customHeight="1">
      <c r="B34" s="111">
        <f t="shared" si="0"/>
        <v>38</v>
      </c>
      <c r="C34" s="111" t="str">
        <f t="shared" ca="1" si="1"/>
        <v>9/5/2026</v>
      </c>
      <c r="D34" s="111" t="e">
        <f>IF(O34&lt;$J$10,DAT!$AY$20," ")</f>
        <v>#N/A</v>
      </c>
      <c r="E34" s="111" t="e">
        <f>IF(O34&lt;$J$10,MAT!AD228," ")</f>
        <v>#N/A</v>
      </c>
      <c r="F34" s="111" t="e">
        <f>IF(O34&lt;$J$10,MAT!AE228," ")</f>
        <v>#N/A</v>
      </c>
      <c r="G34" s="110" t="e">
        <f>IF(O34&lt;$J$10,MAT!T227," ")</f>
        <v>#N/A</v>
      </c>
      <c r="H34" s="109" t="e">
        <f>IF(O34&lt;$J$10,MAT!U227," ")</f>
        <v>#N/A</v>
      </c>
      <c r="O34" s="101">
        <f t="shared" si="2"/>
        <v>8</v>
      </c>
    </row>
    <row r="35" spans="2:15" s="86" customFormat="1" ht="13.7" customHeight="1">
      <c r="B35" s="111">
        <f t="shared" si="0"/>
        <v>39</v>
      </c>
      <c r="C35" s="111" t="str">
        <f t="shared" ca="1" si="1"/>
        <v>9/5/2027</v>
      </c>
      <c r="D35" s="111" t="e">
        <f>IF(O35&lt;$J$10,DAT!$AY$20," ")</f>
        <v>#N/A</v>
      </c>
      <c r="E35" s="111" t="e">
        <f>IF(O35&lt;$J$10,MAT!AD229," ")</f>
        <v>#N/A</v>
      </c>
      <c r="F35" s="111" t="e">
        <f>IF(O35&lt;$J$10,MAT!AE229," ")</f>
        <v>#N/A</v>
      </c>
      <c r="G35" s="110" t="e">
        <f>IF(O35&lt;$J$10,MAT!T228," ")</f>
        <v>#N/A</v>
      </c>
      <c r="H35" s="109" t="e">
        <f>IF(O35&lt;$J$10,MAT!U228," ")</f>
        <v>#N/A</v>
      </c>
      <c r="O35" s="101">
        <f t="shared" si="2"/>
        <v>9</v>
      </c>
    </row>
    <row r="36" spans="2:15" s="86" customFormat="1" ht="13.7" customHeight="1">
      <c r="B36" s="111">
        <f t="shared" si="0"/>
        <v>40</v>
      </c>
      <c r="C36" s="111" t="str">
        <f t="shared" ca="1" si="1"/>
        <v>9/5/2028</v>
      </c>
      <c r="D36" s="111" t="e">
        <f>IF(O36&lt;$J$10,DAT!$AY$20," ")</f>
        <v>#N/A</v>
      </c>
      <c r="E36" s="111" t="e">
        <f>IF(O36&lt;$J$10,MAT!AD230," ")</f>
        <v>#N/A</v>
      </c>
      <c r="F36" s="111" t="e">
        <f>IF(O36&lt;$J$10,MAT!AE230," ")</f>
        <v>#N/A</v>
      </c>
      <c r="G36" s="110" t="e">
        <f>IF(O36&lt;$J$10,MAT!T229," ")</f>
        <v>#N/A</v>
      </c>
      <c r="H36" s="109" t="e">
        <f>IF(O36&lt;$J$10,MAT!U229," ")</f>
        <v>#N/A</v>
      </c>
      <c r="O36" s="101">
        <f t="shared" si="2"/>
        <v>10</v>
      </c>
    </row>
    <row r="37" spans="2:15" s="86" customFormat="1" ht="15" customHeight="1">
      <c r="B37" s="111">
        <f t="shared" si="0"/>
        <v>41</v>
      </c>
      <c r="C37" s="111" t="str">
        <f t="shared" ca="1" si="1"/>
        <v>9/5/2029</v>
      </c>
      <c r="D37" s="111" t="e">
        <f>IF(O37&lt;$J$10,DAT!$AY$20," ")</f>
        <v>#N/A</v>
      </c>
      <c r="E37" s="111" t="e">
        <f>IF(O37&lt;$J$10,MAT!AD231," ")</f>
        <v>#N/A</v>
      </c>
      <c r="F37" s="111" t="e">
        <f>IF(O37&lt;$J$10,MAT!AE231," ")</f>
        <v>#N/A</v>
      </c>
      <c r="G37" s="110" t="e">
        <f>IF(O37&lt;$J$10,MAT!T230," ")</f>
        <v>#N/A</v>
      </c>
      <c r="H37" s="109" t="e">
        <f>IF(O37&lt;$J$10,MAT!U230," ")</f>
        <v>#N/A</v>
      </c>
      <c r="O37" s="101">
        <f t="shared" si="2"/>
        <v>11</v>
      </c>
    </row>
    <row r="38" spans="2:15" s="86" customFormat="1" ht="15" customHeight="1">
      <c r="B38" s="111">
        <f t="shared" si="0"/>
        <v>42</v>
      </c>
      <c r="C38" s="111" t="str">
        <f t="shared" ca="1" si="1"/>
        <v>9/5/2030</v>
      </c>
      <c r="D38" s="111" t="e">
        <f>IF(O38&lt;$J$10,DAT!$AY$20," ")</f>
        <v>#N/A</v>
      </c>
      <c r="E38" s="111" t="e">
        <f>IF(O38&lt;$J$10,MAT!AD232," ")</f>
        <v>#N/A</v>
      </c>
      <c r="F38" s="111" t="e">
        <f>IF(O38&lt;$J$10,MAT!AE232," ")</f>
        <v>#N/A</v>
      </c>
      <c r="G38" s="110" t="e">
        <f>IF(O38&lt;$J$10,MAT!T231," ")</f>
        <v>#N/A</v>
      </c>
      <c r="H38" s="109" t="e">
        <f>IF(O38&lt;$J$10,MAT!U231," ")</f>
        <v>#N/A</v>
      </c>
      <c r="O38" s="101">
        <f t="shared" si="2"/>
        <v>12</v>
      </c>
    </row>
    <row r="39" spans="2:15" s="86" customFormat="1" ht="13.7" customHeight="1">
      <c r="B39" s="111">
        <f t="shared" si="0"/>
        <v>43</v>
      </c>
      <c r="C39" s="111" t="str">
        <f t="shared" ca="1" si="1"/>
        <v>9/5/2031</v>
      </c>
      <c r="D39" s="111" t="e">
        <f>IF(O39&lt;$J$10,DAT!$AY$20," ")</f>
        <v>#N/A</v>
      </c>
      <c r="E39" s="111" t="e">
        <f>IF(O39&lt;$J$10,MAT!AD233," ")</f>
        <v>#N/A</v>
      </c>
      <c r="F39" s="111" t="e">
        <f>IF(O39&lt;$J$10,MAT!AE233," ")</f>
        <v>#N/A</v>
      </c>
      <c r="G39" s="110" t="e">
        <f>IF(O39&lt;$J$10,MAT!T232," ")</f>
        <v>#N/A</v>
      </c>
      <c r="H39" s="109" t="e">
        <f>IF(O39&lt;$J$10,MAT!U232," ")</f>
        <v>#N/A</v>
      </c>
      <c r="O39" s="101">
        <f t="shared" si="2"/>
        <v>13</v>
      </c>
    </row>
    <row r="40" spans="2:15" s="86" customFormat="1" ht="15" customHeight="1">
      <c r="B40" s="111">
        <f t="shared" si="0"/>
        <v>44</v>
      </c>
      <c r="C40" s="111" t="str">
        <f t="shared" ca="1" si="1"/>
        <v>9/5/2032</v>
      </c>
      <c r="D40" s="111" t="e">
        <f>IF(O40&lt;$J$10,DAT!$AY$20," ")</f>
        <v>#N/A</v>
      </c>
      <c r="E40" s="111" t="e">
        <f>IF(O40&lt;$J$10,MAT!AD234," ")</f>
        <v>#N/A</v>
      </c>
      <c r="F40" s="111" t="e">
        <f>IF(O40&lt;$J$10,MAT!AE234," ")</f>
        <v>#N/A</v>
      </c>
      <c r="G40" s="110" t="e">
        <f>IF(O40&lt;$J$10,MAT!T233," ")</f>
        <v>#N/A</v>
      </c>
      <c r="H40" s="109" t="e">
        <f>IF(O40&lt;$J$10,MAT!U233," ")</f>
        <v>#N/A</v>
      </c>
      <c r="I40" s="1682" t="s">
        <v>264</v>
      </c>
      <c r="J40" s="1683"/>
      <c r="K40" s="1683"/>
      <c r="L40" s="1683"/>
      <c r="O40" s="101">
        <f t="shared" si="2"/>
        <v>14</v>
      </c>
    </row>
    <row r="41" spans="2:15" s="86" customFormat="1" ht="13.7" customHeight="1">
      <c r="B41" s="111">
        <f t="shared" si="0"/>
        <v>45</v>
      </c>
      <c r="C41" s="111" t="str">
        <f t="shared" ca="1" si="1"/>
        <v>9/5/2033</v>
      </c>
      <c r="D41" s="111" t="e">
        <f>IF(O41&lt;$J$10,DAT!$AY$20," ")</f>
        <v>#N/A</v>
      </c>
      <c r="E41" s="111" t="e">
        <f>IF(O41&lt;$J$10,MAT!AD235," ")</f>
        <v>#N/A</v>
      </c>
      <c r="F41" s="111" t="e">
        <f>IF(O41&lt;$J$10,MAT!AE235," ")</f>
        <v>#N/A</v>
      </c>
      <c r="G41" s="110" t="e">
        <f>IF(O41&lt;$J$10,MAT!T234," ")</f>
        <v>#N/A</v>
      </c>
      <c r="H41" s="109" t="e">
        <f>IF(O41&lt;$J$10,MAT!U234," ")</f>
        <v>#N/A</v>
      </c>
      <c r="I41" s="108" t="s">
        <v>210</v>
      </c>
      <c r="J41" s="1686" t="e">
        <f>SUM(D26:D45)</f>
        <v>#N/A</v>
      </c>
      <c r="K41" s="1771"/>
      <c r="L41" s="1771"/>
      <c r="O41" s="101">
        <f t="shared" si="2"/>
        <v>15</v>
      </c>
    </row>
    <row r="42" spans="2:15" s="86" customFormat="1" ht="13.7" customHeight="1">
      <c r="B42" s="111">
        <f t="shared" si="0"/>
        <v>46</v>
      </c>
      <c r="C42" s="111" t="str">
        <f t="shared" ca="1" si="1"/>
        <v>9/5/2034</v>
      </c>
      <c r="D42" s="111" t="e">
        <f>IF(O42&lt;$J$10,DAT!$AY$20," ")</f>
        <v>#N/A</v>
      </c>
      <c r="E42" s="111" t="e">
        <f>IF(O42&lt;$J$10,MAT!AD236," ")</f>
        <v>#N/A</v>
      </c>
      <c r="F42" s="111" t="e">
        <f>IF(O42&lt;$J$10,MAT!AE236," ")</f>
        <v>#N/A</v>
      </c>
      <c r="G42" s="110" t="e">
        <f>IF(O42&lt;$J$10,MAT!T235," ")</f>
        <v>#N/A</v>
      </c>
      <c r="H42" s="109" t="e">
        <f>IF(O42&lt;$J$10,MAT!U235," ")</f>
        <v>#N/A</v>
      </c>
      <c r="I42" s="1682" t="s">
        <v>263</v>
      </c>
      <c r="J42" s="1683"/>
      <c r="K42" s="1683"/>
      <c r="L42" s="1683"/>
      <c r="O42" s="101">
        <f t="shared" si="2"/>
        <v>16</v>
      </c>
    </row>
    <row r="43" spans="2:15" s="86" customFormat="1" ht="13.7" customHeight="1">
      <c r="B43" s="111">
        <f t="shared" si="0"/>
        <v>47</v>
      </c>
      <c r="C43" s="111" t="str">
        <f t="shared" ca="1" si="1"/>
        <v>9/5/2035</v>
      </c>
      <c r="D43" s="111" t="e">
        <f>IF(O43&lt;$J$10,DAT!$AY$20," ")</f>
        <v>#N/A</v>
      </c>
      <c r="E43" s="111" t="e">
        <f>IF(O43&lt;$J$10,MAT!AD237," ")</f>
        <v>#N/A</v>
      </c>
      <c r="F43" s="111" t="e">
        <f>IF(O43&lt;$J$10,MAT!AE237," ")</f>
        <v>#N/A</v>
      </c>
      <c r="G43" s="110" t="e">
        <f>IF(O43&lt;$J$10,MAT!T236," ")</f>
        <v>#N/A</v>
      </c>
      <c r="H43" s="109" t="e">
        <f>IF(O43&lt;$J$10,MAT!U236," ")</f>
        <v>#N/A</v>
      </c>
      <c r="I43" s="108" t="s">
        <v>210</v>
      </c>
      <c r="J43" s="1686">
        <f>E56</f>
        <v>4900000</v>
      </c>
      <c r="K43" s="1686"/>
      <c r="L43" s="1686"/>
      <c r="O43" s="101">
        <f t="shared" si="2"/>
        <v>17</v>
      </c>
    </row>
    <row r="44" spans="2:15" s="86" customFormat="1" ht="13.7" customHeight="1">
      <c r="B44" s="111">
        <f t="shared" si="0"/>
        <v>48</v>
      </c>
      <c r="C44" s="111" t="str">
        <f t="shared" ca="1" si="1"/>
        <v>9/5/2036</v>
      </c>
      <c r="D44" s="111" t="e">
        <f>IF(O44&lt;$J$10,DAT!$AY$20," ")</f>
        <v>#N/A</v>
      </c>
      <c r="E44" s="111" t="e">
        <f>IF(O44&lt;$J$10,MAT!AD238," ")</f>
        <v>#N/A</v>
      </c>
      <c r="F44" s="111" t="e">
        <f>IF(O44&lt;$J$10,MAT!AE238," ")</f>
        <v>#N/A</v>
      </c>
      <c r="G44" s="110" t="e">
        <f>IF(O44&lt;$J$10,MAT!T237," ")</f>
        <v>#N/A</v>
      </c>
      <c r="H44" s="109" t="e">
        <f>IF(O44&lt;$J$10,MAT!U237," ")</f>
        <v>#N/A</v>
      </c>
      <c r="I44" s="1684" t="s">
        <v>262</v>
      </c>
      <c r="J44" s="1685"/>
      <c r="K44" s="1685"/>
      <c r="L44" s="1685"/>
      <c r="O44" s="101">
        <f t="shared" si="2"/>
        <v>18</v>
      </c>
    </row>
    <row r="45" spans="2:15" s="86" customFormat="1" ht="13.7" customHeight="1">
      <c r="B45" s="111">
        <f t="shared" si="0"/>
        <v>49</v>
      </c>
      <c r="C45" s="111" t="str">
        <f t="shared" ca="1" si="1"/>
        <v>9/5/2037</v>
      </c>
      <c r="D45" s="111" t="e">
        <f>IF(O45&lt;$J$10,DAT!$AY$20," ")</f>
        <v>#N/A</v>
      </c>
      <c r="E45" s="111" t="e">
        <f>IF(O45&lt;$J$10,MAT!AD239," ")</f>
        <v>#N/A</v>
      </c>
      <c r="F45" s="111" t="e">
        <f>IF(O45&lt;$J$10,MAT!AE239," ")</f>
        <v>#N/A</v>
      </c>
      <c r="G45" s="110" t="e">
        <f>IF(O45&lt;$J$10,MAT!T238," ")</f>
        <v>#N/A</v>
      </c>
      <c r="H45" s="109" t="e">
        <f>IF(O45&lt;$J$10,MAT!U238," ")</f>
        <v>#N/A</v>
      </c>
      <c r="I45" s="108" t="s">
        <v>210</v>
      </c>
      <c r="J45" s="1687" t="e">
        <f>J43-J41</f>
        <v>#N/A</v>
      </c>
      <c r="K45" s="1687"/>
      <c r="L45" s="1687"/>
      <c r="O45" s="101">
        <f t="shared" si="2"/>
        <v>19</v>
      </c>
    </row>
    <row r="46" spans="2:15" s="86" customFormat="1" ht="13.7" customHeight="1">
      <c r="B46" s="104"/>
      <c r="C46" s="104"/>
      <c r="D46" s="105"/>
      <c r="E46" s="104"/>
      <c r="F46" s="104"/>
      <c r="G46" s="103"/>
      <c r="H46" s="107"/>
      <c r="I46" s="106"/>
      <c r="J46" s="106"/>
      <c r="K46" s="106"/>
      <c r="L46" s="106"/>
      <c r="O46" s="101"/>
    </row>
    <row r="47" spans="2:15" s="86" customFormat="1" ht="13.7" customHeight="1" thickBot="1">
      <c r="B47" s="104"/>
      <c r="C47" s="104"/>
      <c r="D47" s="105"/>
      <c r="E47" s="104"/>
      <c r="F47" s="104"/>
      <c r="G47" s="103"/>
      <c r="H47" s="103"/>
      <c r="I47" s="102"/>
      <c r="J47" s="102"/>
      <c r="K47" s="102"/>
      <c r="L47" s="102"/>
      <c r="O47" s="101"/>
    </row>
    <row r="48" spans="2:15" s="86" customFormat="1" ht="13.7" customHeight="1" thickTop="1" thickBot="1">
      <c r="B48" s="104"/>
      <c r="C48" s="104"/>
      <c r="D48" s="105"/>
      <c r="E48" s="104"/>
      <c r="F48" s="104"/>
      <c r="G48" s="103"/>
      <c r="H48" s="103"/>
      <c r="I48" s="1762" t="s">
        <v>261</v>
      </c>
      <c r="J48" s="1762"/>
      <c r="K48" s="1762"/>
      <c r="L48" s="1762"/>
      <c r="O48" s="101"/>
    </row>
    <row r="49" spans="1:15" s="86" customFormat="1" ht="13.7" customHeight="1" thickTop="1">
      <c r="B49" s="104"/>
      <c r="C49" s="104"/>
      <c r="D49" s="105"/>
      <c r="E49" s="104"/>
      <c r="F49" s="104"/>
      <c r="G49" s="103"/>
      <c r="H49" s="103"/>
      <c r="I49" s="102"/>
      <c r="J49" s="102"/>
      <c r="K49" s="102"/>
      <c r="L49" s="102"/>
      <c r="O49" s="101"/>
    </row>
    <row r="50" spans="1:15" s="86" customFormat="1" ht="15.75" customHeight="1" thickBot="1">
      <c r="C50" s="789"/>
      <c r="D50" s="789"/>
      <c r="I50" s="1383" t="str">
        <f>'VASANTHAM HOME'!E9</f>
        <v>ENTER YOUR NAME</v>
      </c>
      <c r="J50" s="1383"/>
      <c r="K50" s="1383"/>
      <c r="L50" s="1383"/>
      <c r="O50" s="101"/>
    </row>
    <row r="51" spans="1:15" s="86" customFormat="1" ht="15.75" customHeight="1" thickTop="1">
      <c r="B51" s="1780" t="s">
        <v>260</v>
      </c>
      <c r="C51" s="1781"/>
      <c r="D51" s="1781"/>
      <c r="E51" s="1782"/>
      <c r="F51" s="96"/>
      <c r="G51" s="1679" t="str">
        <f>IF(Main!L13="YES","EFFECTIVE    YIELD    -       IRR","INSURING                           LIVES")</f>
        <v>INSURING                           LIVES</v>
      </c>
      <c r="H51" s="1679"/>
      <c r="I51" s="1383" t="str">
        <f>'VASANTHAM HOME'!E10</f>
        <v>DESIGNATION</v>
      </c>
      <c r="J51" s="1383"/>
      <c r="K51" s="1383"/>
      <c r="L51" s="1383"/>
    </row>
    <row r="52" spans="1:15" s="86" customFormat="1" ht="15.75" customHeight="1">
      <c r="B52" s="100"/>
      <c r="C52" s="99">
        <f>J9+J10</f>
        <v>55</v>
      </c>
      <c r="D52" s="98" t="s">
        <v>259</v>
      </c>
      <c r="E52" s="97" t="str">
        <f ca="1">(((DAY(NOW())&amp;"/")&amp;MONTH(NOW()))&amp;"/")&amp;((YEAR(NOW())))+J10</f>
        <v>9/5/2043</v>
      </c>
      <c r="F52" s="96"/>
      <c r="G52" s="1679"/>
      <c r="H52" s="1679"/>
      <c r="I52" s="1383" t="str">
        <f>'VASANTHAM HOME'!E11</f>
        <v>ADDRESS 1</v>
      </c>
      <c r="J52" s="1383"/>
      <c r="K52" s="1383"/>
      <c r="L52" s="1383"/>
    </row>
    <row r="53" spans="1:15" s="86" customFormat="1" ht="15.75" customHeight="1">
      <c r="B53" s="1783" t="s">
        <v>241</v>
      </c>
      <c r="C53" s="1784"/>
      <c r="D53" s="92" t="s">
        <v>210</v>
      </c>
      <c r="E53" s="91">
        <f>J11</f>
        <v>2500000</v>
      </c>
      <c r="F53" s="95"/>
      <c r="G53" s="1738" t="str">
        <f>IF(Main!L13="YES",MAT!CM129,"ENSURING              SMILES")</f>
        <v>ENSURING              SMILES</v>
      </c>
      <c r="H53" s="1738"/>
      <c r="I53" s="1383" t="str">
        <f>'VASANTHAM HOME'!E12</f>
        <v>ADDRESS 2</v>
      </c>
      <c r="J53" s="1383"/>
      <c r="K53" s="1383"/>
      <c r="L53" s="1383"/>
      <c r="O53" s="94"/>
    </row>
    <row r="54" spans="1:15" s="86" customFormat="1" ht="18" customHeight="1">
      <c r="B54" s="1783" t="s">
        <v>258</v>
      </c>
      <c r="C54" s="1784"/>
      <c r="D54" s="92" t="s">
        <v>210</v>
      </c>
      <c r="E54" s="91">
        <f>MAT!L220</f>
        <v>2050000</v>
      </c>
      <c r="F54" s="93"/>
      <c r="G54" s="1740"/>
      <c r="H54" s="1740"/>
      <c r="I54" s="1383" t="str">
        <f>'VASANTHAM HOME'!E13</f>
        <v>ADDRESS 3</v>
      </c>
      <c r="J54" s="1383"/>
      <c r="K54" s="1383"/>
      <c r="L54" s="1383"/>
    </row>
    <row r="55" spans="1:15" s="86" customFormat="1" ht="15.75" customHeight="1">
      <c r="B55" s="1783" t="str">
        <f>IF(MAT!AA220=0," ","*   F. A. BONUS")</f>
        <v>*   F. A. BONUS</v>
      </c>
      <c r="C55" s="1784"/>
      <c r="D55" s="92" t="str">
        <f>IF(MAT!AA220=0," ","Rs.")</f>
        <v>Rs.</v>
      </c>
      <c r="E55" s="91">
        <f>IF(MAT!AA220=0," ",MAT!AA220)</f>
        <v>350000</v>
      </c>
      <c r="F55" s="88" t="s">
        <v>257</v>
      </c>
      <c r="G55" s="1741" t="s">
        <v>256</v>
      </c>
      <c r="H55" s="1741"/>
      <c r="I55" s="1383" t="str">
        <f>'VASANTHAM HOME'!E14</f>
        <v>MOBILE NO :</v>
      </c>
      <c r="J55" s="1383"/>
      <c r="K55" s="1383"/>
      <c r="L55" s="1383"/>
    </row>
    <row r="56" spans="1:15" s="86" customFormat="1" ht="15.75" customHeight="1" thickBot="1">
      <c r="B56" s="1785" t="s">
        <v>255</v>
      </c>
      <c r="C56" s="1786"/>
      <c r="D56" s="90" t="s">
        <v>210</v>
      </c>
      <c r="E56" s="89">
        <f>MAT!P220</f>
        <v>4900000</v>
      </c>
      <c r="F56" s="88" t="str">
        <f>IF(MAT!AA220=0," ","*   F. A. BONUS")</f>
        <v>*   F. A. BONUS</v>
      </c>
      <c r="G56" s="1741" t="str">
        <f>IF(MAT!AA220=0," ","Final Additional Bonus")</f>
        <v>Final Additional Bonus</v>
      </c>
      <c r="H56" s="1741"/>
      <c r="I56" s="1383" t="str">
        <f>'VASANTHAM HOME'!E15</f>
        <v>E.MAIL ID :</v>
      </c>
      <c r="J56" s="1383"/>
      <c r="K56" s="1383"/>
      <c r="L56" s="1383"/>
    </row>
    <row r="57" spans="1:15" s="86" customFormat="1" ht="12.75" customHeight="1" thickTop="1">
      <c r="A57" s="1772" t="s">
        <v>209</v>
      </c>
      <c r="B57" s="1772"/>
      <c r="C57" s="1772"/>
    </row>
    <row r="58" spans="1:15" s="86" customFormat="1" ht="15.75" customHeight="1">
      <c r="A58" s="87">
        <v>1</v>
      </c>
      <c r="B58" s="1773" t="s">
        <v>2132</v>
      </c>
      <c r="C58" s="1773"/>
      <c r="D58" s="1773"/>
      <c r="E58" s="1773"/>
      <c r="F58" s="1773"/>
      <c r="G58" s="1773"/>
      <c r="H58" s="1773"/>
      <c r="I58" s="1773"/>
      <c r="J58" s="1773"/>
      <c r="K58" s="1773"/>
      <c r="L58" s="1773"/>
    </row>
    <row r="59" spans="1:15" s="86" customFormat="1" ht="15.75" customHeight="1">
      <c r="A59" s="87">
        <v>2</v>
      </c>
      <c r="B59" s="1773" t="s">
        <v>237</v>
      </c>
      <c r="C59" s="1773"/>
      <c r="D59" s="1773"/>
      <c r="E59" s="1773"/>
      <c r="F59" s="1773"/>
      <c r="G59" s="1773"/>
      <c r="H59" s="1773"/>
      <c r="I59" s="1773"/>
      <c r="J59" s="1773"/>
      <c r="K59" s="1773"/>
      <c r="L59" s="1773"/>
    </row>
    <row r="60" spans="1:15" s="86" customFormat="1" ht="15.75" customHeight="1"/>
    <row r="61" spans="1:15" ht="15" hidden="1"/>
    <row r="62" spans="1:15" ht="15" hidden="1"/>
    <row r="63" spans="1:15" ht="15" hidden="1"/>
    <row r="64" spans="1:15" ht="15" hidden="1"/>
    <row r="65" ht="15" hidden="1"/>
  </sheetData>
  <protectedRanges>
    <protectedRange sqref="B10:H10" name="Range2"/>
    <protectedRange sqref="J9:J13" name="Range1"/>
    <protectedRange sqref="I50:L56" name="Range1_6"/>
  </protectedRanges>
  <mergeCells count="59">
    <mergeCell ref="B51:E51"/>
    <mergeCell ref="G51:H52"/>
    <mergeCell ref="I51:L51"/>
    <mergeCell ref="J45:L45"/>
    <mergeCell ref="B59:L59"/>
    <mergeCell ref="B53:C53"/>
    <mergeCell ref="G53:H54"/>
    <mergeCell ref="I53:L53"/>
    <mergeCell ref="B54:C54"/>
    <mergeCell ref="I54:L54"/>
    <mergeCell ref="B55:C55"/>
    <mergeCell ref="G55:H55"/>
    <mergeCell ref="I55:L55"/>
    <mergeCell ref="B56:C56"/>
    <mergeCell ref="G56:H56"/>
    <mergeCell ref="I56:L56"/>
    <mergeCell ref="A57:C57"/>
    <mergeCell ref="B58:L58"/>
    <mergeCell ref="M16:P17"/>
    <mergeCell ref="B17:H17"/>
    <mergeCell ref="B18:H18"/>
    <mergeCell ref="B19:H19"/>
    <mergeCell ref="I52:L52"/>
    <mergeCell ref="B20:H20"/>
    <mergeCell ref="B21:H21"/>
    <mergeCell ref="B24:B25"/>
    <mergeCell ref="C24:C25"/>
    <mergeCell ref="D24:D25"/>
    <mergeCell ref="E24:F24"/>
    <mergeCell ref="G24:G25"/>
    <mergeCell ref="H24:H25"/>
    <mergeCell ref="I40:L40"/>
    <mergeCell ref="I48:L48"/>
    <mergeCell ref="I50:L50"/>
    <mergeCell ref="J2:K2"/>
    <mergeCell ref="C5:G5"/>
    <mergeCell ref="B6:G7"/>
    <mergeCell ref="I6:K6"/>
    <mergeCell ref="G13:G14"/>
    <mergeCell ref="H13:H14"/>
    <mergeCell ref="J13:K13"/>
    <mergeCell ref="B9:G9"/>
    <mergeCell ref="B10:G10"/>
    <mergeCell ref="J11:K11"/>
    <mergeCell ref="I42:L42"/>
    <mergeCell ref="I44:L44"/>
    <mergeCell ref="J41:L41"/>
    <mergeCell ref="J43:L43"/>
    <mergeCell ref="B15:E16"/>
    <mergeCell ref="I16:I19"/>
    <mergeCell ref="M6:P7"/>
    <mergeCell ref="I7:K7"/>
    <mergeCell ref="B13:D14"/>
    <mergeCell ref="E13:E14"/>
    <mergeCell ref="F13:F14"/>
    <mergeCell ref="M8:P9"/>
    <mergeCell ref="M13:P14"/>
    <mergeCell ref="B12:D12"/>
    <mergeCell ref="J12:K12"/>
  </mergeCells>
  <hyperlinks>
    <hyperlink ref="M16:P17" location="Main!A1" display="CLICK HERE"/>
    <hyperlink ref="M8:P9" location="'VASANTHAM HOME'!A1" display="CLICK HERE"/>
  </hyperlinks>
  <pageMargins left="0.7" right="0.7" top="0.75" bottom="0.75" header="0.3" footer="0.3"/>
  <pageSetup scale="80" orientation="portrait" horizontalDpi="4294967293" verticalDpi="4294967293" r:id="rId1"/>
  <headerFooter>
    <oddFooter>&amp;C&amp;K02-049VASANTHAM SMART</oddFooter>
  </headerFooter>
  <drawing r:id="rId2"/>
</worksheet>
</file>

<file path=xl/worksheets/sheet12.xml><?xml version="1.0" encoding="utf-8"?>
<worksheet xmlns="http://schemas.openxmlformats.org/spreadsheetml/2006/main" xmlns:r="http://schemas.openxmlformats.org/officeDocument/2006/relationships">
  <sheetPr codeName="Sheet211"/>
  <dimension ref="A1:V66"/>
  <sheetViews>
    <sheetView showGridLines="0" showRowColHeaders="0" workbookViewId="0">
      <selection activeCell="M7" sqref="M7:P8"/>
    </sheetView>
  </sheetViews>
  <sheetFormatPr defaultColWidth="0" defaultRowHeight="0" customHeight="1" zeroHeight="1"/>
  <cols>
    <col min="1" max="1" width="3.375" style="85" customWidth="1"/>
    <col min="2" max="2" width="4.625" style="85" customWidth="1"/>
    <col min="3" max="3" width="10.375" style="85" customWidth="1"/>
    <col min="4" max="4" width="10.5" style="85" customWidth="1"/>
    <col min="5" max="5" width="10.875" style="85" customWidth="1"/>
    <col min="6" max="6" width="11.5" style="85" customWidth="1"/>
    <col min="7" max="7" width="12.5" style="85" customWidth="1"/>
    <col min="8" max="8" width="11.5" style="85" customWidth="1"/>
    <col min="9" max="9" width="15.375" style="85" customWidth="1"/>
    <col min="10" max="10" width="8.375" style="85" customWidth="1"/>
    <col min="11" max="11" width="9" style="85" customWidth="1"/>
    <col min="12" max="12" width="5.375" style="85" customWidth="1"/>
    <col min="13" max="13" width="12.5" style="85" customWidth="1"/>
    <col min="14" max="14" width="5.375" style="85" customWidth="1"/>
    <col min="15" max="15" width="3" style="85" bestFit="1" customWidth="1"/>
    <col min="16" max="16" width="9.5" style="85" customWidth="1"/>
    <col min="17" max="20" width="9.125" style="85" hidden="1" customWidth="1"/>
    <col min="21" max="22" width="0" style="85" hidden="1" customWidth="1"/>
    <col min="23" max="16384" width="9.125" style="85" hidden="1"/>
  </cols>
  <sheetData>
    <row r="1" spans="1:16" s="86" customFormat="1" ht="15"/>
    <row r="2" spans="1:16" s="86" customFormat="1" ht="15">
      <c r="J2" s="1697">
        <f ca="1">TODAY()</f>
        <v>43229</v>
      </c>
      <c r="K2" s="1697"/>
    </row>
    <row r="3" spans="1:16" s="86" customFormat="1" ht="9.75" customHeight="1"/>
    <row r="4" spans="1:16" s="86" customFormat="1" ht="14.25" customHeight="1">
      <c r="C4" s="148"/>
      <c r="D4" s="149"/>
      <c r="E4" s="149"/>
      <c r="F4" s="149"/>
      <c r="G4" s="148"/>
      <c r="H4" s="148"/>
      <c r="I4" s="147"/>
    </row>
    <row r="5" spans="1:16" s="144" customFormat="1" ht="15.75" customHeight="1">
      <c r="A5" s="86"/>
      <c r="B5" s="145"/>
      <c r="C5" s="1763"/>
      <c r="D5" s="1763"/>
      <c r="E5" s="1763"/>
      <c r="F5" s="1763"/>
      <c r="G5" s="1763"/>
      <c r="H5" s="146"/>
      <c r="I5" s="145"/>
      <c r="J5" s="86"/>
      <c r="K5" s="86"/>
      <c r="L5" s="86"/>
    </row>
    <row r="6" spans="1:16" s="144" customFormat="1" ht="15.75" customHeight="1">
      <c r="A6" s="86"/>
      <c r="B6" s="1764"/>
      <c r="C6" s="1764"/>
      <c r="D6" s="1764"/>
      <c r="E6" s="1764"/>
      <c r="F6" s="1764"/>
      <c r="G6" s="1764"/>
      <c r="H6" s="143"/>
      <c r="I6" s="1602" t="s">
        <v>353</v>
      </c>
      <c r="J6" s="1602"/>
      <c r="K6" s="1602"/>
      <c r="L6" s="86"/>
      <c r="M6" s="1789" t="s">
        <v>352</v>
      </c>
      <c r="N6" s="1789"/>
      <c r="O6" s="1789"/>
      <c r="P6" s="1789"/>
    </row>
    <row r="7" spans="1:16" s="86" customFormat="1" ht="15" customHeight="1">
      <c r="B7" s="1764"/>
      <c r="C7" s="1764"/>
      <c r="D7" s="1764"/>
      <c r="E7" s="1764"/>
      <c r="F7" s="1764"/>
      <c r="G7" s="1764"/>
      <c r="H7" s="143"/>
      <c r="I7" s="1749" t="s">
        <v>351</v>
      </c>
      <c r="J7" s="1749"/>
      <c r="K7" s="1749"/>
      <c r="L7" s="305"/>
      <c r="M7" s="1790" t="s">
        <v>226</v>
      </c>
      <c r="N7" s="1790"/>
      <c r="O7" s="1790"/>
      <c r="P7" s="1790"/>
    </row>
    <row r="8" spans="1:16" s="86" customFormat="1" ht="9.75" customHeight="1" thickBot="1">
      <c r="I8" s="142"/>
      <c r="J8" s="142"/>
      <c r="K8" s="85"/>
      <c r="L8" s="305"/>
      <c r="M8" s="1790"/>
      <c r="N8" s="1790"/>
      <c r="O8" s="1790"/>
      <c r="P8" s="1790"/>
    </row>
    <row r="9" spans="1:16" s="86" customFormat="1" ht="18" customHeight="1" thickTop="1">
      <c r="B9" s="1701" t="s">
        <v>231</v>
      </c>
      <c r="C9" s="1702"/>
      <c r="D9" s="1702"/>
      <c r="E9" s="1702"/>
      <c r="F9" s="1702"/>
      <c r="G9" s="1703"/>
      <c r="H9" s="141"/>
      <c r="I9" s="140" t="s">
        <v>251</v>
      </c>
      <c r="J9" s="785">
        <f>Main!E9</f>
        <v>30</v>
      </c>
      <c r="K9" s="139" t="s">
        <v>234</v>
      </c>
    </row>
    <row r="10" spans="1:16" s="86" customFormat="1" ht="15.75" customHeight="1" thickBot="1">
      <c r="B10" s="1766" t="str">
        <f>CONCATENATE(Main!E8,(Main!F8))</f>
        <v>Sri.soumil</v>
      </c>
      <c r="C10" s="1767"/>
      <c r="D10" s="1767"/>
      <c r="E10" s="1767"/>
      <c r="F10" s="1767"/>
      <c r="G10" s="1768"/>
      <c r="H10" s="141"/>
      <c r="I10" s="140" t="s">
        <v>273</v>
      </c>
      <c r="J10" s="785">
        <f>Main!E11</f>
        <v>25</v>
      </c>
      <c r="K10" s="139" t="s">
        <v>234</v>
      </c>
    </row>
    <row r="11" spans="1:16" s="86" customFormat="1" ht="15.75" customHeight="1" thickTop="1">
      <c r="I11" s="140" t="s">
        <v>350</v>
      </c>
      <c r="J11" s="784">
        <f>Main!E12</f>
        <v>22</v>
      </c>
      <c r="K11" s="139" t="s">
        <v>234</v>
      </c>
    </row>
    <row r="12" spans="1:16" s="86" customFormat="1" ht="15.75" customHeight="1" thickBot="1">
      <c r="B12" s="1707" t="s">
        <v>230</v>
      </c>
      <c r="C12" s="1708"/>
      <c r="D12" s="1709"/>
      <c r="E12" s="765" t="s">
        <v>16</v>
      </c>
      <c r="F12" s="765" t="s">
        <v>15</v>
      </c>
      <c r="G12" s="137" t="s">
        <v>14</v>
      </c>
      <c r="H12" s="136" t="s">
        <v>229</v>
      </c>
      <c r="I12" s="138" t="s">
        <v>272</v>
      </c>
      <c r="J12" s="1787">
        <f>Main!E10</f>
        <v>2500000</v>
      </c>
      <c r="K12" s="1788"/>
    </row>
    <row r="13" spans="1:16" s="86" customFormat="1" ht="15.75" customHeight="1" thickTop="1">
      <c r="B13" s="1711" t="s">
        <v>2125</v>
      </c>
      <c r="C13" s="1712"/>
      <c r="D13" s="1713"/>
      <c r="E13" s="1626">
        <f>DAT!AT19</f>
        <v>118132</v>
      </c>
      <c r="F13" s="1626">
        <f>DAT!AU19</f>
        <v>59675</v>
      </c>
      <c r="G13" s="1626">
        <f>DAT!AV19</f>
        <v>30142</v>
      </c>
      <c r="H13" s="1626">
        <f>DAT!AW19</f>
        <v>10048</v>
      </c>
      <c r="I13" s="304" t="str">
        <f>IF(Main!L10="YES","TERM RIDER"," ")</f>
        <v>TERM RIDER</v>
      </c>
      <c r="J13" s="1791">
        <f>IF(Main!L10="YES",Main!N10," ")</f>
        <v>0</v>
      </c>
      <c r="K13" s="1791"/>
      <c r="M13" s="1754" t="s">
        <v>228</v>
      </c>
      <c r="N13" s="1755"/>
      <c r="O13" s="1755"/>
      <c r="P13" s="1756"/>
    </row>
    <row r="14" spans="1:16" s="86" customFormat="1" ht="15.75" customHeight="1" thickBot="1">
      <c r="B14" s="1750"/>
      <c r="C14" s="1751"/>
      <c r="D14" s="1752"/>
      <c r="E14" s="1753"/>
      <c r="F14" s="1753"/>
      <c r="G14" s="1753"/>
      <c r="H14" s="1753"/>
      <c r="I14" s="134"/>
      <c r="J14" s="303"/>
      <c r="K14" s="303"/>
      <c r="M14" s="1757"/>
      <c r="N14" s="1758"/>
      <c r="O14" s="1758"/>
      <c r="P14" s="1759"/>
    </row>
    <row r="15" spans="1:16" s="86" customFormat="1" ht="10.5" customHeight="1" thickTop="1">
      <c r="B15" s="769"/>
      <c r="C15" s="769"/>
      <c r="D15" s="769"/>
      <c r="E15" s="302"/>
      <c r="F15" s="301"/>
      <c r="G15" s="301"/>
      <c r="H15" s="301"/>
      <c r="I15" s="300"/>
      <c r="J15" s="79"/>
      <c r="K15" s="79"/>
      <c r="M15" s="131"/>
      <c r="N15" s="131"/>
      <c r="O15" s="131"/>
      <c r="P15" s="131"/>
    </row>
    <row r="16" spans="1:16" s="86" customFormat="1" ht="15.75" customHeight="1">
      <c r="B16" s="1792" t="s">
        <v>271</v>
      </c>
      <c r="C16" s="1792"/>
      <c r="D16" s="1792"/>
      <c r="E16" s="1792"/>
      <c r="F16" s="299"/>
      <c r="G16" s="299"/>
      <c r="H16" s="299"/>
      <c r="I16" s="1793" t="str">
        <f>CONCATENATE("    SAVINGS         PER DAY", " ", " "," ", " "," "," "," "," ", " "," ", " "," ", "Rs.  ",(DAT!AZ19)," "," "," ", " "," "," ", " "," ", " "," ", " "," ",                   "ONLY")</f>
        <v xml:space="preserve">    SAVINGS         PER DAY            Rs.  324            ONLY</v>
      </c>
      <c r="J16" s="128"/>
      <c r="K16" s="128"/>
      <c r="M16" s="1794" t="s">
        <v>226</v>
      </c>
      <c r="N16" s="1391"/>
      <c r="O16" s="1391"/>
      <c r="P16" s="1391"/>
    </row>
    <row r="17" spans="1:16" s="86" customFormat="1" ht="15.75" customHeight="1">
      <c r="A17" s="298" t="s">
        <v>266</v>
      </c>
      <c r="B17" s="1795" t="s">
        <v>349</v>
      </c>
      <c r="C17" s="1795"/>
      <c r="D17" s="1795"/>
      <c r="E17" s="1795"/>
      <c r="F17" s="1795"/>
      <c r="G17" s="1795"/>
      <c r="H17" s="1795"/>
      <c r="I17" s="1793"/>
      <c r="J17" s="128"/>
      <c r="K17" s="128"/>
      <c r="M17" s="1794"/>
      <c r="N17" s="1391"/>
      <c r="O17" s="1391"/>
      <c r="P17" s="1391"/>
    </row>
    <row r="18" spans="1:16" s="86" customFormat="1" ht="15.75" customHeight="1">
      <c r="A18" s="298" t="s">
        <v>266</v>
      </c>
      <c r="B18" s="1795" t="s">
        <v>348</v>
      </c>
      <c r="C18" s="1795"/>
      <c r="D18" s="1795"/>
      <c r="E18" s="1795"/>
      <c r="F18" s="1795"/>
      <c r="G18" s="1795"/>
      <c r="H18" s="1795"/>
      <c r="I18" s="1793"/>
      <c r="J18" s="128"/>
      <c r="K18" s="128"/>
    </row>
    <row r="19" spans="1:16" s="86" customFormat="1" ht="15.75" customHeight="1">
      <c r="A19" s="298" t="s">
        <v>266</v>
      </c>
      <c r="B19" s="1795" t="s">
        <v>347</v>
      </c>
      <c r="C19" s="1795"/>
      <c r="D19" s="1795"/>
      <c r="E19" s="1795"/>
      <c r="F19" s="1795"/>
      <c r="G19" s="1795"/>
      <c r="H19" s="1795"/>
      <c r="I19" s="1793"/>
      <c r="J19" s="128"/>
      <c r="K19" s="128"/>
    </row>
    <row r="20" spans="1:16" s="86" customFormat="1" ht="15.75" customHeight="1">
      <c r="A20" s="298" t="s">
        <v>266</v>
      </c>
      <c r="B20" s="1796" t="s">
        <v>346</v>
      </c>
      <c r="C20" s="1796"/>
      <c r="D20" s="1796"/>
      <c r="E20" s="1796"/>
      <c r="F20" s="1796"/>
      <c r="G20" s="1796"/>
      <c r="H20" s="1796"/>
      <c r="I20" s="1796"/>
      <c r="J20" s="119"/>
      <c r="K20" s="119"/>
    </row>
    <row r="21" spans="1:16" s="86" customFormat="1" ht="18" customHeight="1">
      <c r="A21" s="298" t="s">
        <v>266</v>
      </c>
      <c r="B21" s="1797" t="s">
        <v>265</v>
      </c>
      <c r="C21" s="1797"/>
      <c r="D21" s="1797"/>
      <c r="E21" s="1797"/>
      <c r="F21" s="1797"/>
      <c r="G21" s="1797"/>
      <c r="H21" s="1797"/>
      <c r="I21" s="1797"/>
      <c r="J21" s="124"/>
      <c r="K21" s="124"/>
    </row>
    <row r="22" spans="1:16" s="86" customFormat="1" ht="15.75" customHeight="1">
      <c r="A22" s="298" t="s">
        <v>266</v>
      </c>
      <c r="B22" s="1798" t="str">
        <f>CONCATENATE("Pay   Premium    for "," "," "," ",  (J11)," "," "," ","Years   ONLY")</f>
        <v>Pay   Premium    for    22   Years   ONLY</v>
      </c>
      <c r="C22" s="1798"/>
      <c r="D22" s="1798"/>
      <c r="E22" s="1798"/>
      <c r="F22" s="1798"/>
      <c r="G22" s="1798"/>
      <c r="H22" s="1798"/>
      <c r="I22" s="297"/>
      <c r="J22" s="119"/>
      <c r="K22" s="119"/>
    </row>
    <row r="23" spans="1:16" s="86" customFormat="1" ht="15.75" customHeight="1">
      <c r="A23" s="298" t="s">
        <v>266</v>
      </c>
      <c r="B23" s="1798" t="str">
        <f>CONCATENATE("INSURANCE COVER UP TO "," "," "," ",  (J10)," "," "," ","Years ")</f>
        <v xml:space="preserve">INSURANCE COVER UP TO    25   Years </v>
      </c>
      <c r="C23" s="1798"/>
      <c r="D23" s="1798"/>
      <c r="E23" s="1798"/>
      <c r="F23" s="1798"/>
      <c r="G23" s="1798"/>
      <c r="H23" s="1798"/>
      <c r="I23" s="297"/>
      <c r="J23" s="119"/>
      <c r="K23" s="119"/>
    </row>
    <row r="24" spans="1:16" s="86" customFormat="1" ht="15.75" customHeight="1">
      <c r="B24" s="1619" t="s">
        <v>17</v>
      </c>
      <c r="C24" s="1723" t="s">
        <v>223</v>
      </c>
      <c r="D24" s="1723" t="s">
        <v>222</v>
      </c>
      <c r="E24" s="1725" t="s">
        <v>221</v>
      </c>
      <c r="F24" s="1726"/>
      <c r="G24" s="1622" t="s">
        <v>220</v>
      </c>
      <c r="H24" s="1727" t="s">
        <v>219</v>
      </c>
    </row>
    <row r="25" spans="1:16" s="86" customFormat="1" ht="15.75" customHeight="1">
      <c r="A25" s="85"/>
      <c r="B25" s="1777"/>
      <c r="C25" s="1778"/>
      <c r="D25" s="1778"/>
      <c r="E25" s="118" t="s">
        <v>217</v>
      </c>
      <c r="F25" s="118" t="s">
        <v>216</v>
      </c>
      <c r="G25" s="1779"/>
      <c r="H25" s="1728"/>
    </row>
    <row r="26" spans="1:16" s="86" customFormat="1" ht="13.7" customHeight="1">
      <c r="B26" s="111">
        <f>J9</f>
        <v>30</v>
      </c>
      <c r="C26" s="111" t="str">
        <f ca="1">IF(O26&lt;$J$10,(((DAY(NOW())&amp;"/")&amp;MONTH(NOW()))&amp;"/")&amp;((YEAR(NOW())))," ")</f>
        <v>9/5/2018</v>
      </c>
      <c r="D26" s="117">
        <f>DAT!AT19</f>
        <v>118132</v>
      </c>
      <c r="E26" s="111">
        <f>IF(O26&lt;$J$10,MAT!AD189," ")</f>
        <v>2625000</v>
      </c>
      <c r="F26" s="111">
        <f>IF(O26&lt;$J$10,MAT!AE189," ")</f>
        <v>5125000</v>
      </c>
      <c r="G26" s="116">
        <v>0</v>
      </c>
      <c r="H26" s="114">
        <v>0</v>
      </c>
      <c r="O26" s="296">
        <v>0</v>
      </c>
    </row>
    <row r="27" spans="1:16" s="86" customFormat="1" ht="13.7" customHeight="1">
      <c r="B27" s="111">
        <f t="shared" ref="B27:B50" si="0">IF(O27&lt;$J$10,$B$26+O27," ")</f>
        <v>31</v>
      </c>
      <c r="C27" s="111" t="str">
        <f t="shared" ref="C27:C50" ca="1" si="1">IF(O27&lt;$J$10,(((DAY(NOW())&amp;"/")&amp;MONTH(NOW()))&amp;"/")&amp;((YEAR(NOW())))+O27," ")</f>
        <v>9/5/2019</v>
      </c>
      <c r="D27" s="290">
        <f>IF(O27&lt;$J$11,DAT!$AY$19," ")</f>
        <v>115589</v>
      </c>
      <c r="E27" s="111">
        <f>IF(O27&lt;$J$10,MAT!AD190," ")</f>
        <v>2750000</v>
      </c>
      <c r="F27" s="111">
        <f>IF(O27&lt;$J$10,MAT!AE190," ")</f>
        <v>5250000</v>
      </c>
      <c r="G27" s="113">
        <v>0</v>
      </c>
      <c r="H27" s="114">
        <v>0</v>
      </c>
      <c r="O27" s="289">
        <v>1</v>
      </c>
    </row>
    <row r="28" spans="1:16" s="86" customFormat="1" ht="13.7" customHeight="1">
      <c r="B28" s="111">
        <f t="shared" si="0"/>
        <v>32</v>
      </c>
      <c r="C28" s="111" t="str">
        <f t="shared" ca="1" si="1"/>
        <v>9/5/2020</v>
      </c>
      <c r="D28" s="290">
        <f>IF(O28&lt;$J$11,DAT!$AY$19," ")</f>
        <v>115589</v>
      </c>
      <c r="E28" s="111">
        <f>IF(O28&lt;$J$10,MAT!AD191," ")</f>
        <v>2875000</v>
      </c>
      <c r="F28" s="111">
        <f>IF(O28&lt;$J$10,MAT!AE191," ")</f>
        <v>5375000</v>
      </c>
      <c r="G28" s="113">
        <v>0</v>
      </c>
      <c r="H28" s="112">
        <v>0</v>
      </c>
      <c r="O28" s="289">
        <f t="shared" ref="O28:O40" si="2">O27+1</f>
        <v>2</v>
      </c>
    </row>
    <row r="29" spans="1:16" s="86" customFormat="1" ht="13.7" customHeight="1">
      <c r="B29" s="111">
        <f t="shared" si="0"/>
        <v>33</v>
      </c>
      <c r="C29" s="111" t="str">
        <f t="shared" ca="1" si="1"/>
        <v>9/5/2021</v>
      </c>
      <c r="D29" s="290">
        <f>IF(O29&lt;$J$11,DAT!$AY$19," ")</f>
        <v>115589</v>
      </c>
      <c r="E29" s="111">
        <f>IF(O29&lt;$J$10,MAT!AD192," ")</f>
        <v>3000000</v>
      </c>
      <c r="F29" s="111">
        <f>IF(O29&lt;$J$10,MAT!AE192," ")</f>
        <v>5500000</v>
      </c>
      <c r="G29" s="110">
        <f>IF(O29&lt;$J$10,MAT!T191," ")</f>
        <v>156116</v>
      </c>
      <c r="H29" s="109">
        <f>IF(O29&lt;$J$10,MAT!U191," ")</f>
        <v>124900</v>
      </c>
      <c r="O29" s="289">
        <f t="shared" si="2"/>
        <v>3</v>
      </c>
    </row>
    <row r="30" spans="1:16" s="86" customFormat="1" ht="13.7" customHeight="1">
      <c r="B30" s="111">
        <f t="shared" si="0"/>
        <v>34</v>
      </c>
      <c r="C30" s="111" t="str">
        <f t="shared" ca="1" si="1"/>
        <v>9/5/2022</v>
      </c>
      <c r="D30" s="290">
        <f>IF(O30&lt;$J$11,DAT!$AY$19," ")</f>
        <v>115589</v>
      </c>
      <c r="E30" s="111">
        <f>IF(O30&lt;$J$10,MAT!AD193," ")</f>
        <v>3125000</v>
      </c>
      <c r="F30" s="111">
        <f>IF(O30&lt;$J$10,MAT!AE193," ")</f>
        <v>5625000</v>
      </c>
      <c r="G30" s="110">
        <f>IF(O30&lt;$J$10,MAT!T192," ")</f>
        <v>296690</v>
      </c>
      <c r="H30" s="109">
        <f>IF(O30&lt;$J$10,MAT!U192," ")</f>
        <v>237400</v>
      </c>
      <c r="O30" s="289">
        <f t="shared" si="2"/>
        <v>4</v>
      </c>
    </row>
    <row r="31" spans="1:16" s="86" customFormat="1" ht="13.7" customHeight="1">
      <c r="B31" s="111">
        <f t="shared" si="0"/>
        <v>35</v>
      </c>
      <c r="C31" s="111" t="str">
        <f t="shared" ca="1" si="1"/>
        <v>9/5/2023</v>
      </c>
      <c r="D31" s="290">
        <f>IF(O31&lt;$J$11,DAT!$AY$19," ")</f>
        <v>115589</v>
      </c>
      <c r="E31" s="111">
        <f>IF(O31&lt;$J$10,MAT!AD194," ")</f>
        <v>3250000</v>
      </c>
      <c r="F31" s="111">
        <f>IF(O31&lt;$J$10,MAT!AE194," ")</f>
        <v>5750000</v>
      </c>
      <c r="G31" s="110">
        <f>IF(O31&lt;$J$10,MAT!T193," ")</f>
        <v>371676</v>
      </c>
      <c r="H31" s="109">
        <f>IF(O31&lt;$J$10,MAT!U193," ")</f>
        <v>297300</v>
      </c>
      <c r="O31" s="289">
        <f t="shared" si="2"/>
        <v>5</v>
      </c>
    </row>
    <row r="32" spans="1:16" s="86" customFormat="1" ht="13.7" customHeight="1">
      <c r="B32" s="111">
        <f t="shared" si="0"/>
        <v>36</v>
      </c>
      <c r="C32" s="111" t="str">
        <f t="shared" ca="1" si="1"/>
        <v>9/5/2024</v>
      </c>
      <c r="D32" s="290">
        <f>IF(O32&lt;$J$11,DAT!$AY$19," ")</f>
        <v>115589</v>
      </c>
      <c r="E32" s="111">
        <f>IF(O32&lt;$J$10,MAT!AD195," ")</f>
        <v>3375000</v>
      </c>
      <c r="F32" s="111">
        <f>IF(O32&lt;$J$10,MAT!AE195," ")</f>
        <v>5875000</v>
      </c>
      <c r="G32" s="110">
        <f>IF(O32&lt;$J$10,MAT!T194," ")</f>
        <v>447285</v>
      </c>
      <c r="H32" s="109">
        <f>IF(O32&lt;$J$10,MAT!U194," ")</f>
        <v>357800</v>
      </c>
      <c r="O32" s="289">
        <f t="shared" si="2"/>
        <v>6</v>
      </c>
    </row>
    <row r="33" spans="2:15" s="86" customFormat="1" ht="13.7" customHeight="1">
      <c r="B33" s="111">
        <f t="shared" si="0"/>
        <v>37</v>
      </c>
      <c r="C33" s="111" t="str">
        <f t="shared" ca="1" si="1"/>
        <v>9/5/2025</v>
      </c>
      <c r="D33" s="290">
        <f>IF(O33&lt;$J$11,DAT!$AY$19," ")</f>
        <v>115589</v>
      </c>
      <c r="E33" s="111">
        <f>IF(O33&lt;$J$10,MAT!AD196," ")</f>
        <v>3500000</v>
      </c>
      <c r="F33" s="111">
        <f>IF(O33&lt;$J$10,MAT!AE196," ")</f>
        <v>6000000</v>
      </c>
      <c r="G33" s="110">
        <f>IF(O33&lt;$J$10,MAT!T195," ")</f>
        <v>523671</v>
      </c>
      <c r="H33" s="109">
        <f>IF(O33&lt;$J$10,MAT!U195," ")</f>
        <v>418900</v>
      </c>
      <c r="O33" s="289">
        <f t="shared" si="2"/>
        <v>7</v>
      </c>
    </row>
    <row r="34" spans="2:15" s="86" customFormat="1" ht="13.7" customHeight="1">
      <c r="B34" s="111">
        <f t="shared" si="0"/>
        <v>38</v>
      </c>
      <c r="C34" s="111" t="str">
        <f t="shared" ca="1" si="1"/>
        <v>9/5/2026</v>
      </c>
      <c r="D34" s="290">
        <f>IF(O34&lt;$J$11,DAT!$AY$19," ")</f>
        <v>115589</v>
      </c>
      <c r="E34" s="111">
        <f>IF(O34&lt;$J$10,MAT!AD197," ")</f>
        <v>3625000</v>
      </c>
      <c r="F34" s="111">
        <f>IF(O34&lt;$J$10,MAT!AE197," ")</f>
        <v>6125000</v>
      </c>
      <c r="G34" s="110">
        <f>IF(O34&lt;$J$10,MAT!T196," ")</f>
        <v>616839</v>
      </c>
      <c r="H34" s="109">
        <f>IF(O34&lt;$J$10,MAT!U196," ")</f>
        <v>493500</v>
      </c>
      <c r="O34" s="289">
        <f t="shared" si="2"/>
        <v>8</v>
      </c>
    </row>
    <row r="35" spans="2:15" s="86" customFormat="1" ht="13.7" customHeight="1">
      <c r="B35" s="111">
        <f t="shared" si="0"/>
        <v>39</v>
      </c>
      <c r="C35" s="111" t="str">
        <f t="shared" ca="1" si="1"/>
        <v>9/5/2027</v>
      </c>
      <c r="D35" s="290">
        <f>IF(O35&lt;$J$11,DAT!$AY$19," ")</f>
        <v>115589</v>
      </c>
      <c r="E35" s="111">
        <f>IF(O35&lt;$J$10,MAT!AD198," ")</f>
        <v>3750000</v>
      </c>
      <c r="F35" s="111">
        <f>IF(O35&lt;$J$10,MAT!AE198," ")</f>
        <v>6250000</v>
      </c>
      <c r="G35" s="110">
        <f>IF(O35&lt;$J$10,MAT!T197," ")</f>
        <v>715484</v>
      </c>
      <c r="H35" s="109">
        <f>IF(O35&lt;$J$10,MAT!U197," ")</f>
        <v>572400</v>
      </c>
      <c r="O35" s="289">
        <f t="shared" si="2"/>
        <v>9</v>
      </c>
    </row>
    <row r="36" spans="2:15" s="86" customFormat="1" ht="13.7" customHeight="1">
      <c r="B36" s="111">
        <f t="shared" si="0"/>
        <v>40</v>
      </c>
      <c r="C36" s="111" t="str">
        <f t="shared" ca="1" si="1"/>
        <v>9/5/2028</v>
      </c>
      <c r="D36" s="290">
        <f>IF(O36&lt;$J$11,DAT!$AY$19," ")</f>
        <v>115589</v>
      </c>
      <c r="E36" s="111">
        <f>IF(O36&lt;$J$10,MAT!AD199," ")</f>
        <v>3875000</v>
      </c>
      <c r="F36" s="111">
        <f>IF(O36&lt;$J$10,MAT!AE199," ")</f>
        <v>6375000</v>
      </c>
      <c r="G36" s="110">
        <f>IF(O36&lt;$J$10,MAT!T198," ")</f>
        <v>819932</v>
      </c>
      <c r="H36" s="109">
        <f>IF(O36&lt;$J$10,MAT!U198," ")</f>
        <v>655900</v>
      </c>
      <c r="O36" s="289">
        <f t="shared" si="2"/>
        <v>10</v>
      </c>
    </row>
    <row r="37" spans="2:15" s="86" customFormat="1" ht="15" customHeight="1">
      <c r="B37" s="111">
        <f t="shared" si="0"/>
        <v>41</v>
      </c>
      <c r="C37" s="111" t="str">
        <f t="shared" ca="1" si="1"/>
        <v>9/5/2029</v>
      </c>
      <c r="D37" s="290">
        <f>IF(O37&lt;$J$11,DAT!$AY$19," ")</f>
        <v>115589</v>
      </c>
      <c r="E37" s="111">
        <f>IF(O37&lt;$J$10,MAT!AD200," ")</f>
        <v>4000000</v>
      </c>
      <c r="F37" s="111">
        <f>IF(O37&lt;$J$10,MAT!AE200," ")</f>
        <v>6500000</v>
      </c>
      <c r="G37" s="110">
        <f>IF(O37&lt;$J$10,MAT!T199," ")</f>
        <v>930864</v>
      </c>
      <c r="H37" s="109">
        <f>IF(O37&lt;$J$10,MAT!U199," ")</f>
        <v>744700</v>
      </c>
      <c r="O37" s="289">
        <f t="shared" si="2"/>
        <v>11</v>
      </c>
    </row>
    <row r="38" spans="2:15" s="86" customFormat="1" ht="15" customHeight="1">
      <c r="B38" s="111">
        <f t="shared" si="0"/>
        <v>42</v>
      </c>
      <c r="C38" s="111" t="str">
        <f t="shared" ca="1" si="1"/>
        <v>9/5/2030</v>
      </c>
      <c r="D38" s="290">
        <f>IF(O38&lt;$J$11,DAT!$AY$19," ")</f>
        <v>115589</v>
      </c>
      <c r="E38" s="111">
        <f>IF(O38&lt;$J$10,MAT!AD201," ")</f>
        <v>4125000</v>
      </c>
      <c r="F38" s="111">
        <f>IF(O38&lt;$J$10,MAT!AE201," ")</f>
        <v>6625000</v>
      </c>
      <c r="G38" s="110">
        <f>IF(O38&lt;$J$10,MAT!T200," ")</f>
        <v>1038677</v>
      </c>
      <c r="H38" s="109">
        <f>IF(O38&lt;$J$10,MAT!U200," ")</f>
        <v>830900</v>
      </c>
      <c r="O38" s="289">
        <f t="shared" si="2"/>
        <v>12</v>
      </c>
    </row>
    <row r="39" spans="2:15" s="86" customFormat="1" ht="13.7" customHeight="1">
      <c r="B39" s="111">
        <f t="shared" si="0"/>
        <v>43</v>
      </c>
      <c r="C39" s="111" t="str">
        <f t="shared" ca="1" si="1"/>
        <v>9/5/2031</v>
      </c>
      <c r="D39" s="290">
        <f>IF(O39&lt;$J$11,DAT!$AY$19," ")</f>
        <v>115589</v>
      </c>
      <c r="E39" s="111">
        <f>IF(O39&lt;$J$10,MAT!AD202," ")</f>
        <v>4250000</v>
      </c>
      <c r="F39" s="111">
        <f>IF(O39&lt;$J$10,MAT!AE202," ")</f>
        <v>6750000</v>
      </c>
      <c r="G39" s="110">
        <f>IF(O39&lt;$J$10,MAT!T201," ")</f>
        <v>1198665</v>
      </c>
      <c r="H39" s="109">
        <f>IF(O39&lt;$J$10,MAT!U201," ")</f>
        <v>958900</v>
      </c>
      <c r="O39" s="289">
        <f t="shared" si="2"/>
        <v>13</v>
      </c>
    </row>
    <row r="40" spans="2:15" s="86" customFormat="1" ht="15" customHeight="1">
      <c r="B40" s="111">
        <f t="shared" si="0"/>
        <v>44</v>
      </c>
      <c r="C40" s="111" t="str">
        <f t="shared" ca="1" si="1"/>
        <v>9/5/2032</v>
      </c>
      <c r="D40" s="290">
        <f>IF(O40&lt;$J$11,DAT!$AY$19," ")</f>
        <v>115589</v>
      </c>
      <c r="E40" s="111">
        <f>IF(O40&lt;$J$10,MAT!AD203," ")</f>
        <v>4425000</v>
      </c>
      <c r="F40" s="111">
        <f>IF(O40&lt;$J$10,MAT!AE203," ")</f>
        <v>6925000</v>
      </c>
      <c r="G40" s="110">
        <f>IF(O40&lt;$J$10,MAT!T202," ")</f>
        <v>1388835</v>
      </c>
      <c r="H40" s="109">
        <f>IF(O40&lt;$J$10,MAT!U202," ")</f>
        <v>1111100</v>
      </c>
      <c r="O40" s="289">
        <f t="shared" si="2"/>
        <v>14</v>
      </c>
    </row>
    <row r="41" spans="2:15" s="86" customFormat="1" ht="13.7" customHeight="1">
      <c r="B41" s="111">
        <f t="shared" si="0"/>
        <v>45</v>
      </c>
      <c r="C41" s="111" t="str">
        <f t="shared" ca="1" si="1"/>
        <v>9/5/2033</v>
      </c>
      <c r="D41" s="290">
        <f>IF(O41&lt;$J$11,DAT!$AY$19," ")</f>
        <v>115589</v>
      </c>
      <c r="E41" s="111">
        <f>IF(O41&lt;$J$10,MAT!AD204," ")</f>
        <v>4562500</v>
      </c>
      <c r="F41" s="111">
        <f>IF(O41&lt;$J$10,MAT!AE204," ")</f>
        <v>7062500</v>
      </c>
      <c r="G41" s="110">
        <f>IF(O41&lt;$J$10,MAT!T203," ")</f>
        <v>1600763</v>
      </c>
      <c r="H41" s="109">
        <f>IF(O41&lt;$J$10,MAT!U203," ")</f>
        <v>1280600</v>
      </c>
      <c r="I41" s="295"/>
      <c r="J41" s="294"/>
      <c r="K41" s="294"/>
      <c r="L41" s="294"/>
      <c r="M41" s="293"/>
      <c r="N41" s="293"/>
      <c r="O41" s="291">
        <v>15</v>
      </c>
    </row>
    <row r="42" spans="2:15" s="86" customFormat="1" ht="13.7" customHeight="1">
      <c r="B42" s="111">
        <f t="shared" si="0"/>
        <v>46</v>
      </c>
      <c r="C42" s="111" t="str">
        <f t="shared" ca="1" si="1"/>
        <v>9/5/2034</v>
      </c>
      <c r="D42" s="290">
        <f>IF(O42&lt;$J$11,DAT!$AY$19," ")</f>
        <v>115589</v>
      </c>
      <c r="E42" s="111">
        <f>IF(O42&lt;$J$10,MAT!AD205," ")</f>
        <v>4700000</v>
      </c>
      <c r="F42" s="111">
        <f>IF(O42&lt;$J$10,MAT!AE205," ")</f>
        <v>7200000</v>
      </c>
      <c r="G42" s="110">
        <f>IF(O42&lt;$J$10,MAT!T204," ")</f>
        <v>1809000</v>
      </c>
      <c r="H42" s="109">
        <f>IF(O42&lt;$J$10,MAT!U204," ")</f>
        <v>1447200</v>
      </c>
      <c r="I42" s="1682" t="s">
        <v>264</v>
      </c>
      <c r="J42" s="1683"/>
      <c r="K42" s="1683"/>
      <c r="L42" s="1683"/>
      <c r="M42" s="293"/>
      <c r="N42" s="293"/>
      <c r="O42" s="291">
        <v>16</v>
      </c>
    </row>
    <row r="43" spans="2:15" s="86" customFormat="1" ht="13.7" customHeight="1">
      <c r="B43" s="111">
        <f t="shared" si="0"/>
        <v>47</v>
      </c>
      <c r="C43" s="111" t="str">
        <f t="shared" ca="1" si="1"/>
        <v>9/5/2035</v>
      </c>
      <c r="D43" s="290">
        <f>IF(O43&lt;$J$11,DAT!$AY$19," ")</f>
        <v>115589</v>
      </c>
      <c r="E43" s="111">
        <f>IF(O43&lt;$J$10,MAT!AD206," ")</f>
        <v>4837500</v>
      </c>
      <c r="F43" s="111">
        <f>IF(O43&lt;$J$10,MAT!AE206," ")</f>
        <v>7337500</v>
      </c>
      <c r="G43" s="110">
        <f>IF(O43&lt;$J$10,MAT!T205," ")</f>
        <v>2042550</v>
      </c>
      <c r="H43" s="109">
        <f>IF(O43&lt;$J$10,MAT!U205," ")</f>
        <v>1634000</v>
      </c>
      <c r="I43" s="108" t="s">
        <v>210</v>
      </c>
      <c r="J43" s="1686">
        <f>SUM(D26:D41)</f>
        <v>1851967</v>
      </c>
      <c r="K43" s="1771"/>
      <c r="L43" s="1771"/>
      <c r="M43" s="292"/>
      <c r="N43" s="292"/>
      <c r="O43" s="291">
        <v>17</v>
      </c>
    </row>
    <row r="44" spans="2:15" s="86" customFormat="1" ht="13.7" customHeight="1">
      <c r="B44" s="111">
        <f t="shared" si="0"/>
        <v>48</v>
      </c>
      <c r="C44" s="111" t="str">
        <f t="shared" ca="1" si="1"/>
        <v>9/5/2036</v>
      </c>
      <c r="D44" s="290">
        <f>IF(O44&lt;$J$11,DAT!$AY$19," ")</f>
        <v>115589</v>
      </c>
      <c r="E44" s="111">
        <f>IF(O44&lt;$J$10,MAT!AD207," ")</f>
        <v>5000000</v>
      </c>
      <c r="F44" s="111">
        <f>IF(O44&lt;$J$10,MAT!AE207," ")</f>
        <v>7500000</v>
      </c>
      <c r="G44" s="110">
        <f>IF(O44&lt;$J$10,MAT!T206," ")</f>
        <v>2306475</v>
      </c>
      <c r="H44" s="109">
        <f>IF(O44&lt;$J$10,MAT!U206," ")</f>
        <v>1845200</v>
      </c>
      <c r="I44" s="1682" t="s">
        <v>263</v>
      </c>
      <c r="J44" s="1683"/>
      <c r="K44" s="1683"/>
      <c r="L44" s="1683"/>
      <c r="M44" s="292"/>
      <c r="N44" s="292"/>
      <c r="O44" s="291">
        <v>18</v>
      </c>
    </row>
    <row r="45" spans="2:15" s="86" customFormat="1" ht="13.7" customHeight="1">
      <c r="B45" s="111">
        <f t="shared" si="0"/>
        <v>49</v>
      </c>
      <c r="C45" s="111" t="str">
        <f t="shared" ca="1" si="1"/>
        <v>9/5/2037</v>
      </c>
      <c r="D45" s="290">
        <f>IF(O45&lt;$J$11,DAT!$AY$19," ")</f>
        <v>115589</v>
      </c>
      <c r="E45" s="111">
        <f>IF(O45&lt;$J$10,MAT!AD208," ")</f>
        <v>5175000</v>
      </c>
      <c r="F45" s="111">
        <f>IF(O45&lt;$J$10,MAT!AE208," ")</f>
        <v>7675000</v>
      </c>
      <c r="G45" s="110">
        <f>IF(O45&lt;$J$10,MAT!T207," ")</f>
        <v>2605613</v>
      </c>
      <c r="H45" s="109">
        <f>IF(O45&lt;$J$10,MAT!U207," ")</f>
        <v>2084500</v>
      </c>
      <c r="I45" s="108" t="s">
        <v>210</v>
      </c>
      <c r="J45" s="1686">
        <f>E57</f>
        <v>6750000</v>
      </c>
      <c r="K45" s="1686"/>
      <c r="L45" s="1686"/>
      <c r="M45" s="292"/>
      <c r="N45" s="292"/>
      <c r="O45" s="291">
        <v>19</v>
      </c>
    </row>
    <row r="46" spans="2:15" s="86" customFormat="1" ht="13.7" customHeight="1">
      <c r="B46" s="111">
        <f t="shared" si="0"/>
        <v>50</v>
      </c>
      <c r="C46" s="111" t="str">
        <f t="shared" ca="1" si="1"/>
        <v>9/5/2038</v>
      </c>
      <c r="D46" s="290">
        <f>IF(O46&lt;$J$11,DAT!$AY$19," ")</f>
        <v>115589</v>
      </c>
      <c r="E46" s="111">
        <f>IF(O46&lt;$J$10,MAT!AD209," ")</f>
        <v>5375000</v>
      </c>
      <c r="F46" s="111">
        <f>IF(O46&lt;$J$10,MAT!AE209," ")</f>
        <v>7875000</v>
      </c>
      <c r="G46" s="110">
        <f>IF(O46&lt;$J$10,MAT!T208," ")</f>
        <v>2947050</v>
      </c>
      <c r="H46" s="109">
        <f>IF(O46&lt;$J$10,MAT!U208," ")</f>
        <v>2357600</v>
      </c>
      <c r="I46" s="1684" t="s">
        <v>262</v>
      </c>
      <c r="J46" s="1685"/>
      <c r="K46" s="1685"/>
      <c r="L46" s="1685"/>
      <c r="O46" s="291">
        <v>20</v>
      </c>
    </row>
    <row r="47" spans="2:15" s="86" customFormat="1" ht="13.7" customHeight="1">
      <c r="B47" s="111">
        <f t="shared" si="0"/>
        <v>51</v>
      </c>
      <c r="C47" s="111" t="str">
        <f t="shared" ca="1" si="1"/>
        <v>9/5/2039</v>
      </c>
      <c r="D47" s="290">
        <f>IF(O47&lt;$J$11,DAT!$AY$19," ")</f>
        <v>115589</v>
      </c>
      <c r="E47" s="111">
        <f>IF(O47&lt;$J$10,MAT!AD210," ")</f>
        <v>5625000</v>
      </c>
      <c r="F47" s="111">
        <f>IF(O47&lt;$J$10,MAT!AE210," ")</f>
        <v>8125000</v>
      </c>
      <c r="G47" s="110">
        <f>IF(O47&lt;$J$10,MAT!T209," ")</f>
        <v>3363728</v>
      </c>
      <c r="H47" s="109">
        <f>IF(O47&lt;$J$10,MAT!U209," ")</f>
        <v>2691000</v>
      </c>
      <c r="I47" s="108" t="s">
        <v>210</v>
      </c>
      <c r="J47" s="1687">
        <f>J45-J43</f>
        <v>4898033</v>
      </c>
      <c r="K47" s="1687"/>
      <c r="L47" s="1687"/>
      <c r="O47" s="289">
        <v>21</v>
      </c>
    </row>
    <row r="48" spans="2:15" s="86" customFormat="1" ht="13.7" customHeight="1" thickBot="1">
      <c r="B48" s="111">
        <f t="shared" si="0"/>
        <v>52</v>
      </c>
      <c r="C48" s="111" t="str">
        <f t="shared" ca="1" si="1"/>
        <v>9/5/2040</v>
      </c>
      <c r="D48" s="290" t="str">
        <f>IF(O48&lt;$J$11,DAT!$AY$19," ")</f>
        <v xml:space="preserve"> </v>
      </c>
      <c r="E48" s="111">
        <f>IF(O48&lt;$J$10,MAT!AD211," ")</f>
        <v>6000000</v>
      </c>
      <c r="F48" s="111">
        <f>IF(O48&lt;$J$10,MAT!AE211," ")</f>
        <v>8500000</v>
      </c>
      <c r="G48" s="110">
        <f>IF(O48&lt;$J$10,MAT!T210," ")</f>
        <v>3831795</v>
      </c>
      <c r="H48" s="109">
        <f>IF(O48&lt;$J$10,MAT!U210," ")</f>
        <v>3065400</v>
      </c>
      <c r="I48" s="232"/>
      <c r="J48" s="106"/>
      <c r="K48" s="106"/>
      <c r="L48" s="106"/>
      <c r="O48" s="289">
        <f>O47+1</f>
        <v>22</v>
      </c>
    </row>
    <row r="49" spans="1:15" s="86" customFormat="1" ht="13.7" customHeight="1" thickTop="1" thickBot="1">
      <c r="B49" s="111">
        <f t="shared" si="0"/>
        <v>53</v>
      </c>
      <c r="C49" s="111" t="str">
        <f t="shared" ca="1" si="1"/>
        <v>9/5/2041</v>
      </c>
      <c r="D49" s="290" t="str">
        <f>IF(O49&lt;$J$11,DAT!$AY$19," ")</f>
        <v xml:space="preserve"> </v>
      </c>
      <c r="E49" s="111">
        <f>IF(O49&lt;$J$10,MAT!AD212," ")</f>
        <v>6375000</v>
      </c>
      <c r="F49" s="111">
        <f>IF(O49&lt;$J$10,MAT!AE212," ")</f>
        <v>8875000</v>
      </c>
      <c r="G49" s="110">
        <f>IF(O49&lt;$J$10,MAT!T211," ")</f>
        <v>4359420</v>
      </c>
      <c r="H49" s="109">
        <f>IF(O49&lt;$J$10,MAT!U211," ")</f>
        <v>3487500</v>
      </c>
      <c r="I49" s="1799" t="s">
        <v>261</v>
      </c>
      <c r="J49" s="1800"/>
      <c r="K49" s="1800"/>
      <c r="L49" s="1800"/>
      <c r="O49" s="289">
        <f>O48+1</f>
        <v>23</v>
      </c>
    </row>
    <row r="50" spans="1:15" s="86" customFormat="1" ht="13.7" customHeight="1" thickTop="1">
      <c r="B50" s="111">
        <f t="shared" si="0"/>
        <v>54</v>
      </c>
      <c r="C50" s="111" t="str">
        <f t="shared" ca="1" si="1"/>
        <v>9/5/2042</v>
      </c>
      <c r="D50" s="290" t="str">
        <f>IF(O50&lt;$J$11,DAT!$AY$19," ")</f>
        <v xml:space="preserve"> </v>
      </c>
      <c r="E50" s="111">
        <f>IF(O50&lt;$J$10,MAT!AD213," ")</f>
        <v>6750000</v>
      </c>
      <c r="F50" s="111">
        <f>IF(O50&lt;$J$10,MAT!AE213," ")</f>
        <v>9250000</v>
      </c>
      <c r="G50" s="110">
        <f>IF(O50&lt;$J$10,MAT!T212," ")</f>
        <v>4953960</v>
      </c>
      <c r="H50" s="109">
        <f>IF(O50&lt;$J$10,MAT!U212," ")</f>
        <v>3963200</v>
      </c>
      <c r="I50" s="102"/>
      <c r="J50" s="102"/>
      <c r="K50" s="102"/>
      <c r="L50" s="102"/>
      <c r="O50" s="289">
        <f>O49+1</f>
        <v>24</v>
      </c>
    </row>
    <row r="51" spans="1:15" s="86" customFormat="1" ht="15.75" customHeight="1" thickBot="1">
      <c r="C51" s="789"/>
      <c r="D51" s="789"/>
      <c r="I51" s="1632" t="str">
        <f>'VASANTHAM HOME'!E9</f>
        <v>ENTER YOUR NAME</v>
      </c>
      <c r="J51" s="1632"/>
      <c r="K51" s="1632"/>
      <c r="L51" s="1632"/>
      <c r="O51" s="101"/>
    </row>
    <row r="52" spans="1:15" s="86" customFormat="1" ht="15.75" customHeight="1" thickTop="1">
      <c r="B52" s="1780" t="s">
        <v>260</v>
      </c>
      <c r="C52" s="1781"/>
      <c r="D52" s="1781"/>
      <c r="E52" s="1782"/>
      <c r="F52" s="96"/>
      <c r="G52" s="1679" t="str">
        <f>IF(Main!L13="YES", "EFFECTIVE   YIELD - IRR", "INSURING                           LIVES")</f>
        <v>INSURING                           LIVES</v>
      </c>
      <c r="H52" s="1679"/>
      <c r="I52" s="1632" t="str">
        <f>'VASANTHAM HOME'!E10</f>
        <v>DESIGNATION</v>
      </c>
      <c r="J52" s="1632"/>
      <c r="K52" s="1632"/>
      <c r="L52" s="1632"/>
      <c r="O52" s="288"/>
    </row>
    <row r="53" spans="1:15" s="86" customFormat="1" ht="15.75" customHeight="1">
      <c r="B53" s="100"/>
      <c r="C53" s="99">
        <f>J9+J10</f>
        <v>55</v>
      </c>
      <c r="D53" s="98" t="s">
        <v>259</v>
      </c>
      <c r="E53" s="97" t="str">
        <f ca="1">(((DAY(NOW())&amp;"/")&amp;MONTH(NOW()))&amp;"/")&amp;((YEAR(NOW())))+J10</f>
        <v>9/5/2043</v>
      </c>
      <c r="F53" s="96"/>
      <c r="G53" s="1679"/>
      <c r="H53" s="1679"/>
      <c r="I53" s="1632" t="str">
        <f>'VASANTHAM HOME'!E11</f>
        <v>ADDRESS 1</v>
      </c>
      <c r="J53" s="1632"/>
      <c r="K53" s="1632"/>
      <c r="L53" s="1632"/>
    </row>
    <row r="54" spans="1:15" s="86" customFormat="1" ht="15.75" customHeight="1">
      <c r="B54" s="1783" t="s">
        <v>241</v>
      </c>
      <c r="C54" s="1784"/>
      <c r="D54" s="92" t="s">
        <v>210</v>
      </c>
      <c r="E54" s="287">
        <f>J12</f>
        <v>2500000</v>
      </c>
      <c r="F54" s="95"/>
      <c r="G54" s="1738" t="str">
        <f>IF(Main!L13="YES", MAT!CS160,"ENSURING              SMILES")</f>
        <v>ENSURING              SMILES</v>
      </c>
      <c r="H54" s="1738"/>
      <c r="I54" s="1632" t="str">
        <f>'VASANTHAM HOME'!E12</f>
        <v>ADDRESS 2</v>
      </c>
      <c r="J54" s="1632"/>
      <c r="K54" s="1632"/>
      <c r="L54" s="1632"/>
      <c r="O54" s="94"/>
    </row>
    <row r="55" spans="1:15" s="86" customFormat="1" ht="18" customHeight="1">
      <c r="B55" s="1783" t="s">
        <v>258</v>
      </c>
      <c r="C55" s="1784"/>
      <c r="D55" s="92" t="s">
        <v>210</v>
      </c>
      <c r="E55" s="91">
        <f>MAT!L189</f>
        <v>3125000</v>
      </c>
      <c r="F55" s="93"/>
      <c r="G55" s="1740"/>
      <c r="H55" s="1740"/>
      <c r="I55" s="1632" t="str">
        <f>'VASANTHAM HOME'!E13</f>
        <v>ADDRESS 3</v>
      </c>
      <c r="J55" s="1632"/>
      <c r="K55" s="1632"/>
      <c r="L55" s="1632"/>
    </row>
    <row r="56" spans="1:15" s="86" customFormat="1" ht="15.75" customHeight="1">
      <c r="B56" s="1783" t="s">
        <v>345</v>
      </c>
      <c r="C56" s="1784"/>
      <c r="D56" s="92" t="s">
        <v>210</v>
      </c>
      <c r="E56" s="91">
        <f>MAT!AA189</f>
        <v>1125000</v>
      </c>
      <c r="F56" s="88" t="s">
        <v>257</v>
      </c>
      <c r="G56" s="1741" t="s">
        <v>256</v>
      </c>
      <c r="H56" s="1741"/>
      <c r="I56" s="1632" t="str">
        <f>'VASANTHAM HOME'!E14</f>
        <v>MOBILE NO :</v>
      </c>
      <c r="J56" s="1632"/>
      <c r="K56" s="1632"/>
      <c r="L56" s="1632"/>
    </row>
    <row r="57" spans="1:15" s="86" customFormat="1" ht="15.75" customHeight="1" thickBot="1">
      <c r="B57" s="1785" t="s">
        <v>255</v>
      </c>
      <c r="C57" s="1786"/>
      <c r="D57" s="90" t="s">
        <v>210</v>
      </c>
      <c r="E57" s="89">
        <f>MAT!P188</f>
        <v>6750000</v>
      </c>
      <c r="F57" s="88" t="s">
        <v>344</v>
      </c>
      <c r="G57" s="1741" t="s">
        <v>343</v>
      </c>
      <c r="H57" s="1741"/>
      <c r="I57" s="1632" t="str">
        <f>'VASANTHAM HOME'!E15</f>
        <v>E.MAIL ID :</v>
      </c>
      <c r="J57" s="1632"/>
      <c r="K57" s="1632"/>
      <c r="L57" s="1632"/>
    </row>
    <row r="58" spans="1:15" s="86" customFormat="1" ht="12.75" customHeight="1" thickTop="1">
      <c r="A58" s="1801" t="s">
        <v>209</v>
      </c>
      <c r="B58" s="1801"/>
      <c r="C58" s="1801"/>
      <c r="D58" s="286"/>
      <c r="E58" s="286"/>
      <c r="F58" s="286"/>
      <c r="G58" s="286"/>
      <c r="H58" s="286"/>
      <c r="I58" s="286"/>
      <c r="J58" s="286"/>
      <c r="K58" s="286"/>
      <c r="L58" s="286"/>
    </row>
    <row r="59" spans="1:15" s="86" customFormat="1" ht="15.75" customHeight="1">
      <c r="A59" s="87">
        <v>1</v>
      </c>
      <c r="B59" s="1802" t="s">
        <v>2134</v>
      </c>
      <c r="C59" s="1802"/>
      <c r="D59" s="1802"/>
      <c r="E59" s="1802"/>
      <c r="F59" s="1802"/>
      <c r="G59" s="1802"/>
      <c r="H59" s="1802"/>
      <c r="I59" s="1802"/>
      <c r="J59" s="1802"/>
      <c r="K59" s="1802"/>
      <c r="L59" s="1802"/>
    </row>
    <row r="60" spans="1:15" s="86" customFormat="1" ht="15.75" customHeight="1">
      <c r="A60" s="87">
        <v>2</v>
      </c>
      <c r="B60" s="1802" t="s">
        <v>237</v>
      </c>
      <c r="C60" s="1802"/>
      <c r="D60" s="1802"/>
      <c r="E60" s="1802"/>
      <c r="F60" s="1802"/>
      <c r="G60" s="1802"/>
      <c r="H60" s="1802"/>
      <c r="I60" s="1802"/>
      <c r="J60" s="1802"/>
      <c r="K60" s="1802"/>
      <c r="L60" s="1802"/>
    </row>
    <row r="61" spans="1:15" s="86" customFormat="1" ht="15.75" customHeight="1"/>
    <row r="62" spans="1:15" ht="15" hidden="1"/>
    <row r="63" spans="1:15" ht="15" hidden="1"/>
    <row r="64" spans="1:15" ht="15" hidden="1"/>
    <row r="65" ht="15" hidden="1"/>
    <row r="66" ht="15" hidden="1"/>
  </sheetData>
  <protectedRanges>
    <protectedRange sqref="B10:H10" name="Range2"/>
    <protectedRange sqref="J9:J13" name="Range1"/>
    <protectedRange sqref="I51:L57" name="Range1_6"/>
  </protectedRanges>
  <mergeCells count="60">
    <mergeCell ref="A58:C58"/>
    <mergeCell ref="B59:L59"/>
    <mergeCell ref="B60:L60"/>
    <mergeCell ref="B56:C56"/>
    <mergeCell ref="G56:H56"/>
    <mergeCell ref="I56:L56"/>
    <mergeCell ref="B57:C57"/>
    <mergeCell ref="G57:H57"/>
    <mergeCell ref="I57:L57"/>
    <mergeCell ref="B54:C54"/>
    <mergeCell ref="G54:H55"/>
    <mergeCell ref="I54:L54"/>
    <mergeCell ref="B55:C55"/>
    <mergeCell ref="I55:L55"/>
    <mergeCell ref="I46:L46"/>
    <mergeCell ref="I49:L49"/>
    <mergeCell ref="I44:L44"/>
    <mergeCell ref="G24:G25"/>
    <mergeCell ref="B52:E52"/>
    <mergeCell ref="G52:H53"/>
    <mergeCell ref="I52:L52"/>
    <mergeCell ref="I53:L53"/>
    <mergeCell ref="H24:H25"/>
    <mergeCell ref="J43:L43"/>
    <mergeCell ref="B13:D14"/>
    <mergeCell ref="E13:E14"/>
    <mergeCell ref="F13:F14"/>
    <mergeCell ref="G13:G14"/>
    <mergeCell ref="I51:L51"/>
    <mergeCell ref="B20:I20"/>
    <mergeCell ref="B21:I21"/>
    <mergeCell ref="B22:H22"/>
    <mergeCell ref="B23:H23"/>
    <mergeCell ref="B24:B25"/>
    <mergeCell ref="C24:C25"/>
    <mergeCell ref="D24:D25"/>
    <mergeCell ref="E24:F24"/>
    <mergeCell ref="J45:L45"/>
    <mergeCell ref="J47:L47"/>
    <mergeCell ref="I42:L42"/>
    <mergeCell ref="B16:E16"/>
    <mergeCell ref="I16:I19"/>
    <mergeCell ref="M16:P17"/>
    <mergeCell ref="B17:H17"/>
    <mergeCell ref="B18:H18"/>
    <mergeCell ref="B19:H19"/>
    <mergeCell ref="M6:P6"/>
    <mergeCell ref="I7:K7"/>
    <mergeCell ref="M7:P8"/>
    <mergeCell ref="M13:P14"/>
    <mergeCell ref="H13:H14"/>
    <mergeCell ref="J13:K13"/>
    <mergeCell ref="B12:D12"/>
    <mergeCell ref="J12:K12"/>
    <mergeCell ref="B9:G9"/>
    <mergeCell ref="B10:G10"/>
    <mergeCell ref="J2:K2"/>
    <mergeCell ref="C5:G5"/>
    <mergeCell ref="B6:G7"/>
    <mergeCell ref="I6:K6"/>
  </mergeCells>
  <hyperlinks>
    <hyperlink ref="M16:P17" location="Main!A1" display="CLICK HERE"/>
    <hyperlink ref="M7:O8" location="'LIC VASANTHAM - HOME'!A1" display="CLICK HERE"/>
    <hyperlink ref="M7:P8" location="'VASANTHAM HOME'!A1" display="CLICK HERE"/>
  </hyperlinks>
  <pageMargins left="0.7" right="0.7" top="0.75" bottom="0.75" header="0.3" footer="0.3"/>
  <pageSetup scale="80" orientation="portrait" horizontalDpi="4294967293" verticalDpi="4294967293" r:id="rId1"/>
  <headerFooter>
    <oddFooter xml:space="preserve">&amp;C&amp;K00-048VASANTHAM   SMART </oddFooter>
  </headerFooter>
  <drawing r:id="rId2"/>
</worksheet>
</file>

<file path=xl/worksheets/sheet13.xml><?xml version="1.0" encoding="utf-8"?>
<worksheet xmlns="http://schemas.openxmlformats.org/spreadsheetml/2006/main" xmlns:r="http://schemas.openxmlformats.org/officeDocument/2006/relationships">
  <sheetPr codeName="Sheet22"/>
  <dimension ref="A1:V64"/>
  <sheetViews>
    <sheetView showGridLines="0" showRowColHeaders="0" topLeftCell="B1" workbookViewId="0">
      <selection activeCell="O2" sqref="O2"/>
    </sheetView>
  </sheetViews>
  <sheetFormatPr defaultColWidth="0" defaultRowHeight="0" customHeight="1" zeroHeight="1"/>
  <cols>
    <col min="1" max="1" width="4" style="763" hidden="1" customWidth="1"/>
    <col min="2" max="2" width="4" style="763" customWidth="1"/>
    <col min="3" max="3" width="5.625" style="763" customWidth="1"/>
    <col min="4" max="4" width="11.125" style="763" customWidth="1"/>
    <col min="5" max="5" width="11.625" style="763" customWidth="1"/>
    <col min="6" max="6" width="11.875" style="763" customWidth="1"/>
    <col min="7" max="7" width="11.5" style="763" customWidth="1"/>
    <col min="8" max="8" width="10.875" style="763" customWidth="1"/>
    <col min="9" max="9" width="6.875" style="763" customWidth="1"/>
    <col min="10" max="11" width="9.125" style="763" customWidth="1"/>
    <col min="12" max="12" width="10.875" style="763" customWidth="1"/>
    <col min="13" max="13" width="8.5" style="763" customWidth="1"/>
    <col min="14" max="14" width="2.5" style="763" customWidth="1"/>
    <col min="15" max="17" width="9.125" style="763" customWidth="1"/>
    <col min="18" max="22" width="0" style="763" hidden="1" customWidth="1"/>
    <col min="23" max="16384" width="9.125" style="763" hidden="1"/>
  </cols>
  <sheetData>
    <row r="1" spans="2:17" ht="9.75" customHeight="1">
      <c r="B1" s="794"/>
      <c r="C1" s="794"/>
      <c r="D1" s="794"/>
      <c r="E1" s="794"/>
      <c r="F1" s="794"/>
      <c r="G1" s="794"/>
      <c r="H1" s="794"/>
      <c r="I1" s="794"/>
      <c r="J1" s="794"/>
      <c r="K1" s="794"/>
      <c r="L1" s="794"/>
      <c r="M1" s="794"/>
      <c r="N1" s="794"/>
      <c r="O1" s="794"/>
      <c r="P1" s="794"/>
      <c r="Q1" s="794"/>
    </row>
    <row r="2" spans="2:17" ht="16.5" customHeight="1">
      <c r="B2" s="794"/>
      <c r="C2" s="794"/>
      <c r="D2" s="551"/>
      <c r="E2" s="551"/>
      <c r="F2" s="551"/>
      <c r="G2" s="551"/>
      <c r="H2" s="551"/>
      <c r="I2" s="551"/>
      <c r="J2" s="794"/>
      <c r="K2" s="1637">
        <f ca="1">TODAY()</f>
        <v>43229</v>
      </c>
      <c r="L2" s="1637"/>
      <c r="M2" s="794"/>
      <c r="N2" s="794"/>
      <c r="O2" s="794"/>
      <c r="P2" s="794"/>
      <c r="Q2" s="794"/>
    </row>
    <row r="3" spans="2:17" ht="16.5" customHeight="1">
      <c r="B3" s="794"/>
      <c r="C3" s="794"/>
      <c r="D3" s="552"/>
      <c r="E3" s="552"/>
      <c r="F3" s="552"/>
      <c r="G3" s="552"/>
      <c r="H3" s="552"/>
      <c r="I3" s="552"/>
      <c r="J3" s="794"/>
      <c r="K3" s="794"/>
      <c r="L3" s="794"/>
      <c r="M3" s="794"/>
      <c r="N3" s="794"/>
      <c r="O3" s="794"/>
      <c r="P3" s="794"/>
      <c r="Q3" s="794"/>
    </row>
    <row r="4" spans="2:17" ht="13.5" customHeight="1">
      <c r="B4" s="794"/>
      <c r="C4" s="794"/>
      <c r="D4" s="794"/>
      <c r="E4" s="794"/>
      <c r="F4" s="794"/>
      <c r="G4" s="794"/>
      <c r="H4" s="794"/>
      <c r="I4" s="794"/>
      <c r="J4" s="794"/>
      <c r="K4" s="1807" t="s">
        <v>468</v>
      </c>
      <c r="L4" s="1807"/>
      <c r="M4" s="794"/>
      <c r="N4" s="794"/>
      <c r="O4" s="794"/>
      <c r="P4" s="794"/>
      <c r="Q4" s="794"/>
    </row>
    <row r="5" spans="2:17" ht="13.5" customHeight="1">
      <c r="B5" s="794"/>
      <c r="C5" s="794"/>
      <c r="D5" s="794"/>
      <c r="E5" s="794"/>
      <c r="F5" s="794"/>
      <c r="G5" s="794"/>
      <c r="H5" s="794"/>
      <c r="I5" s="794"/>
      <c r="J5" s="794"/>
      <c r="K5" s="1808" t="s">
        <v>467</v>
      </c>
      <c r="L5" s="1808"/>
      <c r="M5" s="794"/>
      <c r="N5" s="794"/>
      <c r="O5" s="794"/>
      <c r="P5" s="794"/>
      <c r="Q5" s="794"/>
    </row>
    <row r="6" spans="2:17" ht="9.75" customHeight="1">
      <c r="B6" s="794"/>
      <c r="C6" s="551"/>
      <c r="D6" s="551"/>
      <c r="E6" s="551"/>
      <c r="F6" s="551"/>
      <c r="G6" s="551"/>
      <c r="H6" s="234"/>
      <c r="I6" s="56"/>
      <c r="J6" s="794"/>
      <c r="K6" s="794"/>
      <c r="L6" s="794"/>
      <c r="M6" s="794"/>
      <c r="N6" s="794"/>
      <c r="O6" s="794"/>
      <c r="P6" s="794"/>
      <c r="Q6" s="794"/>
    </row>
    <row r="7" spans="2:17" ht="15.75" customHeight="1">
      <c r="B7" s="794"/>
      <c r="C7" s="1809" t="s">
        <v>342</v>
      </c>
      <c r="D7" s="1809"/>
      <c r="E7" s="1809"/>
      <c r="F7" s="1809"/>
      <c r="G7" s="1809"/>
      <c r="H7" s="55"/>
      <c r="I7" s="55"/>
      <c r="J7" s="278"/>
      <c r="K7" s="790" t="s">
        <v>251</v>
      </c>
      <c r="L7" s="791">
        <f>Main!E9</f>
        <v>30</v>
      </c>
      <c r="M7" s="275" t="s">
        <v>234</v>
      </c>
      <c r="N7" s="794"/>
      <c r="O7" s="1598" t="s">
        <v>232</v>
      </c>
      <c r="P7" s="1598"/>
      <c r="Q7" s="1598"/>
    </row>
    <row r="8" spans="2:17" ht="15.75" customHeight="1" thickBot="1">
      <c r="B8" s="794"/>
      <c r="C8" s="1803" t="s">
        <v>466</v>
      </c>
      <c r="D8" s="1803"/>
      <c r="E8" s="1803"/>
      <c r="F8" s="1803"/>
      <c r="G8" s="1803"/>
      <c r="H8" s="794"/>
      <c r="I8" s="794"/>
      <c r="J8" s="278"/>
      <c r="K8" s="823" t="s">
        <v>425</v>
      </c>
      <c r="L8" s="791">
        <f>Main!E11</f>
        <v>25</v>
      </c>
      <c r="M8" s="275" t="s">
        <v>234</v>
      </c>
      <c r="N8" s="794"/>
      <c r="O8" s="1598"/>
      <c r="P8" s="1598"/>
      <c r="Q8" s="1598"/>
    </row>
    <row r="9" spans="2:17" ht="17.25" customHeight="1" thickTop="1">
      <c r="B9" s="794"/>
      <c r="C9" s="1810" t="s">
        <v>231</v>
      </c>
      <c r="D9" s="1810"/>
      <c r="E9" s="1810"/>
      <c r="F9" s="1810"/>
      <c r="G9" s="1810"/>
      <c r="I9" s="56"/>
      <c r="J9" s="1811" t="s">
        <v>233</v>
      </c>
      <c r="K9" s="1811"/>
      <c r="L9" s="1812">
        <f>Main!E10</f>
        <v>2500000</v>
      </c>
      <c r="M9" s="1812"/>
      <c r="N9" s="794"/>
      <c r="O9" s="1381" t="s">
        <v>226</v>
      </c>
      <c r="P9" s="1381"/>
      <c r="Q9" s="1381"/>
    </row>
    <row r="10" spans="2:17" ht="14.25">
      <c r="B10" s="794"/>
      <c r="C10" s="1602" t="str">
        <f>CONCATENATE(Main!E8,(Main!F8))</f>
        <v>Sri.soumil</v>
      </c>
      <c r="D10" s="1602"/>
      <c r="E10" s="1602"/>
      <c r="F10" s="1602"/>
      <c r="G10" s="1602"/>
      <c r="H10" s="794"/>
      <c r="I10" s="794"/>
      <c r="J10" s="794"/>
      <c r="K10" s="794"/>
      <c r="L10" s="794"/>
      <c r="M10" s="794"/>
      <c r="N10" s="794"/>
      <c r="O10" s="1381"/>
      <c r="P10" s="1381"/>
      <c r="Q10" s="1381"/>
    </row>
    <row r="11" spans="2:17" ht="15" customHeight="1">
      <c r="B11" s="794"/>
      <c r="C11" s="794"/>
      <c r="D11" s="36"/>
      <c r="E11" s="36"/>
      <c r="F11" s="36"/>
      <c r="G11" s="36"/>
      <c r="H11" s="550"/>
      <c r="I11" s="1804" t="s">
        <v>342</v>
      </c>
      <c r="J11" s="1805"/>
      <c r="K11" s="1805"/>
      <c r="L11" s="1805"/>
      <c r="M11" s="1806"/>
      <c r="N11" s="794"/>
      <c r="O11" s="794"/>
      <c r="P11" s="794"/>
      <c r="Q11" s="794"/>
    </row>
    <row r="12" spans="2:17" ht="15" customHeight="1">
      <c r="B12" s="794"/>
      <c r="C12" s="794"/>
      <c r="D12" s="36"/>
      <c r="E12" s="36"/>
      <c r="F12" s="36"/>
      <c r="G12" s="36"/>
      <c r="H12" s="549"/>
      <c r="I12" s="1824" t="s">
        <v>2124</v>
      </c>
      <c r="J12" s="1825"/>
      <c r="K12" s="1826"/>
      <c r="L12" s="1819">
        <f>DAT!AS8</f>
        <v>1151851</v>
      </c>
      <c r="M12" s="1820"/>
      <c r="N12" s="794"/>
      <c r="O12" s="794"/>
      <c r="P12" s="794"/>
      <c r="Q12" s="794"/>
    </row>
    <row r="13" spans="2:17" ht="15.75">
      <c r="B13" s="794"/>
      <c r="C13" s="1621" t="s">
        <v>227</v>
      </c>
      <c r="D13" s="1621"/>
      <c r="E13" s="1621"/>
      <c r="F13" s="1621"/>
      <c r="G13" s="794"/>
      <c r="H13" s="549"/>
      <c r="I13" s="1827"/>
      <c r="J13" s="1828"/>
      <c r="K13" s="1829"/>
      <c r="L13" s="1821"/>
      <c r="M13" s="1822"/>
      <c r="N13" s="794"/>
      <c r="O13" s="1596" t="s">
        <v>228</v>
      </c>
      <c r="P13" s="1597"/>
      <c r="Q13" s="1597"/>
    </row>
    <row r="14" spans="2:17" ht="15.75">
      <c r="B14" s="794"/>
      <c r="C14" s="794"/>
      <c r="D14" s="36"/>
      <c r="E14" s="36"/>
      <c r="F14" s="36"/>
      <c r="G14" s="36"/>
      <c r="H14" s="549"/>
      <c r="I14" s="794"/>
      <c r="J14" s="794"/>
      <c r="K14" s="794"/>
      <c r="L14" s="794"/>
      <c r="M14" s="794"/>
      <c r="N14" s="794"/>
      <c r="O14" s="1597"/>
      <c r="P14" s="1597"/>
      <c r="Q14" s="1597"/>
    </row>
    <row r="15" spans="2:17" ht="0.75" customHeight="1">
      <c r="C15" s="794"/>
      <c r="D15" s="794"/>
      <c r="E15" s="794"/>
      <c r="F15" s="794"/>
      <c r="G15" s="794"/>
      <c r="H15" s="794"/>
      <c r="I15" s="794"/>
      <c r="J15" s="794"/>
      <c r="K15" s="794"/>
      <c r="L15" s="794"/>
      <c r="M15" s="794"/>
      <c r="N15" s="794"/>
      <c r="O15" s="794"/>
      <c r="P15" s="794"/>
      <c r="Q15" s="794"/>
    </row>
    <row r="16" spans="2:17" ht="15">
      <c r="B16" s="545" t="s">
        <v>224</v>
      </c>
      <c r="C16" s="1815" t="s">
        <v>465</v>
      </c>
      <c r="D16" s="1815"/>
      <c r="E16" s="1815"/>
      <c r="F16" s="1815"/>
      <c r="G16" s="1815"/>
      <c r="H16" s="1815"/>
      <c r="I16" s="794"/>
      <c r="J16" s="794"/>
      <c r="K16" s="794"/>
      <c r="L16" s="794"/>
      <c r="M16" s="794"/>
      <c r="N16" s="794"/>
      <c r="O16" s="1391" t="s">
        <v>226</v>
      </c>
      <c r="P16" s="1391"/>
      <c r="Q16" s="1391"/>
    </row>
    <row r="17" spans="1:17" ht="15.75" customHeight="1">
      <c r="A17" s="546" t="s">
        <v>224</v>
      </c>
      <c r="B17" s="545"/>
      <c r="C17" s="1816" t="s">
        <v>464</v>
      </c>
      <c r="D17" s="1816"/>
      <c r="E17" s="1816"/>
      <c r="F17" s="1816"/>
      <c r="G17" s="1816"/>
      <c r="H17" s="1816"/>
      <c r="I17" s="1816"/>
      <c r="J17" s="548"/>
      <c r="K17" s="794"/>
      <c r="L17" s="794"/>
      <c r="M17" s="794"/>
      <c r="N17" s="794"/>
      <c r="O17" s="1391"/>
      <c r="P17" s="1391"/>
      <c r="Q17" s="1391"/>
    </row>
    <row r="18" spans="1:17" ht="15">
      <c r="A18" s="546" t="s">
        <v>224</v>
      </c>
      <c r="B18" s="545" t="s">
        <v>224</v>
      </c>
      <c r="C18" s="1832" t="s">
        <v>463</v>
      </c>
      <c r="D18" s="1832"/>
      <c r="E18" s="1832"/>
      <c r="F18" s="1832"/>
      <c r="G18" s="1832"/>
      <c r="H18" s="1832"/>
      <c r="I18" s="1832"/>
      <c r="J18" s="794"/>
      <c r="K18" s="794"/>
      <c r="L18" s="794"/>
      <c r="M18" s="794"/>
      <c r="N18" s="794"/>
      <c r="O18" s="794"/>
      <c r="P18" s="794"/>
      <c r="Q18" s="794"/>
    </row>
    <row r="19" spans="1:17" ht="15">
      <c r="A19" s="547"/>
      <c r="B19" s="76"/>
      <c r="C19" s="1823" t="s">
        <v>462</v>
      </c>
      <c r="D19" s="1823"/>
      <c r="E19" s="1823"/>
      <c r="F19" s="1823"/>
      <c r="G19" s="1823"/>
      <c r="H19" s="1823"/>
      <c r="I19" s="1823"/>
      <c r="J19" s="794"/>
      <c r="K19" s="794"/>
      <c r="L19" s="794"/>
      <c r="M19" s="794"/>
      <c r="N19" s="794"/>
      <c r="O19" s="794"/>
      <c r="P19" s="794"/>
      <c r="Q19" s="794"/>
    </row>
    <row r="20" spans="1:17" ht="15">
      <c r="A20" s="546" t="s">
        <v>224</v>
      </c>
      <c r="B20" s="545" t="s">
        <v>224</v>
      </c>
      <c r="C20" s="1813" t="s">
        <v>461</v>
      </c>
      <c r="D20" s="1813"/>
      <c r="E20" s="1813"/>
      <c r="F20" s="1813"/>
      <c r="G20" s="1813"/>
      <c r="H20" s="1813"/>
      <c r="I20" s="1813"/>
      <c r="J20" s="794"/>
      <c r="K20" s="794"/>
      <c r="L20" s="794"/>
      <c r="M20" s="794"/>
      <c r="N20" s="794"/>
      <c r="O20" s="794"/>
      <c r="P20" s="794"/>
      <c r="Q20" s="794"/>
    </row>
    <row r="21" spans="1:17" ht="15">
      <c r="A21" s="546" t="s">
        <v>224</v>
      </c>
      <c r="B21" s="545" t="s">
        <v>224</v>
      </c>
      <c r="C21" s="1814" t="s">
        <v>460</v>
      </c>
      <c r="D21" s="1814"/>
      <c r="E21" s="1814"/>
      <c r="F21" s="1814"/>
      <c r="G21" s="1814"/>
      <c r="H21" s="1814"/>
      <c r="I21" s="1814"/>
      <c r="J21" s="794"/>
      <c r="K21" s="794"/>
      <c r="L21" s="794"/>
      <c r="M21" s="794"/>
      <c r="N21" s="794"/>
      <c r="O21" s="794"/>
      <c r="P21" s="794"/>
      <c r="Q21" s="794"/>
    </row>
    <row r="22" spans="1:17" ht="15">
      <c r="A22" s="546" t="s">
        <v>224</v>
      </c>
      <c r="B22" s="545" t="s">
        <v>224</v>
      </c>
      <c r="C22" s="1839" t="s">
        <v>459</v>
      </c>
      <c r="D22" s="1839"/>
      <c r="E22" s="1839"/>
      <c r="F22" s="1839"/>
      <c r="G22" s="1839"/>
      <c r="H22" s="1839"/>
      <c r="I22" s="1839"/>
      <c r="J22" s="794"/>
      <c r="K22" s="794"/>
      <c r="L22" s="794"/>
      <c r="M22" s="794"/>
      <c r="N22" s="794"/>
      <c r="O22" s="794"/>
      <c r="P22" s="794"/>
      <c r="Q22" s="794"/>
    </row>
    <row r="23" spans="1:17" ht="15">
      <c r="A23" s="546" t="s">
        <v>224</v>
      </c>
      <c r="B23" s="545" t="s">
        <v>224</v>
      </c>
      <c r="C23" s="1840" t="s">
        <v>458</v>
      </c>
      <c r="D23" s="1840"/>
      <c r="E23" s="1840"/>
      <c r="F23" s="1840"/>
      <c r="G23" s="1840"/>
      <c r="H23" s="1840"/>
      <c r="I23" s="1840"/>
      <c r="J23" s="794"/>
      <c r="K23" s="794"/>
      <c r="L23" s="794"/>
      <c r="M23" s="794"/>
      <c r="N23" s="794"/>
      <c r="O23" s="794"/>
      <c r="P23" s="794"/>
      <c r="Q23" s="794"/>
    </row>
    <row r="24" spans="1:17" ht="15">
      <c r="A24" s="546" t="s">
        <v>224</v>
      </c>
      <c r="B24" s="545" t="s">
        <v>224</v>
      </c>
      <c r="C24" s="1841" t="s">
        <v>457</v>
      </c>
      <c r="D24" s="1841"/>
      <c r="E24" s="1841"/>
      <c r="F24" s="1841"/>
      <c r="G24" s="1841"/>
      <c r="H24" s="1841"/>
      <c r="I24" s="1841"/>
      <c r="J24" s="794"/>
      <c r="K24" s="794"/>
      <c r="L24" s="794"/>
      <c r="M24" s="794"/>
      <c r="N24" s="794"/>
      <c r="O24" s="794"/>
      <c r="P24" s="794"/>
      <c r="Q24" s="794"/>
    </row>
    <row r="25" spans="1:17" ht="15">
      <c r="A25" s="546" t="s">
        <v>224</v>
      </c>
      <c r="B25" s="545" t="s">
        <v>224</v>
      </c>
      <c r="C25" s="1818" t="s">
        <v>456</v>
      </c>
      <c r="D25" s="1818"/>
      <c r="E25" s="1818"/>
      <c r="F25" s="1818"/>
      <c r="G25" s="1818"/>
      <c r="H25" s="1818"/>
      <c r="I25" s="1818"/>
      <c r="J25" s="794"/>
      <c r="K25" s="794"/>
      <c r="L25" s="794"/>
      <c r="M25" s="794"/>
      <c r="N25" s="794"/>
      <c r="O25" s="794"/>
      <c r="P25" s="794"/>
      <c r="Q25" s="794"/>
    </row>
    <row r="26" spans="1:17" ht="15">
      <c r="A26" s="546" t="s">
        <v>224</v>
      </c>
      <c r="B26" s="545" t="s">
        <v>224</v>
      </c>
      <c r="C26" s="1817" t="s">
        <v>455</v>
      </c>
      <c r="D26" s="1817"/>
      <c r="E26" s="1817"/>
      <c r="F26" s="1817"/>
      <c r="G26" s="1817"/>
      <c r="H26" s="1817"/>
      <c r="I26" s="1817"/>
      <c r="J26" s="794"/>
      <c r="K26" s="794"/>
      <c r="L26" s="794"/>
      <c r="M26" s="794"/>
      <c r="N26" s="794"/>
      <c r="O26" s="794"/>
      <c r="P26" s="794"/>
      <c r="Q26" s="794"/>
    </row>
    <row r="27" spans="1:17" ht="15">
      <c r="A27" s="546" t="s">
        <v>224</v>
      </c>
      <c r="B27" s="545" t="s">
        <v>224</v>
      </c>
      <c r="C27" s="1831" t="s">
        <v>470</v>
      </c>
      <c r="D27" s="1831"/>
      <c r="E27" s="1831"/>
      <c r="F27" s="1831"/>
      <c r="G27" s="1831"/>
      <c r="H27" s="1831"/>
      <c r="I27" s="1831"/>
      <c r="J27" s="794"/>
      <c r="K27" s="794"/>
      <c r="L27" s="794"/>
      <c r="M27" s="794"/>
      <c r="N27" s="794"/>
      <c r="O27" s="794"/>
      <c r="P27" s="794"/>
      <c r="Q27" s="794"/>
    </row>
    <row r="28" spans="1:17" ht="15">
      <c r="A28" s="546" t="s">
        <v>224</v>
      </c>
      <c r="B28" s="545" t="s">
        <v>224</v>
      </c>
      <c r="C28" s="1831" t="s">
        <v>442</v>
      </c>
      <c r="D28" s="1831"/>
      <c r="E28" s="1831"/>
      <c r="F28" s="1831"/>
      <c r="G28" s="1831"/>
      <c r="H28" s="1831"/>
      <c r="I28" s="1831"/>
      <c r="J28" s="794"/>
      <c r="K28" s="794"/>
      <c r="L28" s="794"/>
      <c r="M28" s="794"/>
      <c r="N28" s="794"/>
      <c r="O28" s="794"/>
      <c r="P28" s="794"/>
      <c r="Q28" s="794"/>
    </row>
    <row r="29" spans="1:17" ht="15">
      <c r="A29" s="546" t="s">
        <v>224</v>
      </c>
      <c r="B29" s="545" t="s">
        <v>224</v>
      </c>
      <c r="C29" s="1831" t="s">
        <v>440</v>
      </c>
      <c r="D29" s="1831"/>
      <c r="E29" s="1831"/>
      <c r="F29" s="1831"/>
      <c r="G29" s="1831"/>
      <c r="H29" s="1831"/>
      <c r="I29" s="1831"/>
      <c r="J29" s="794"/>
      <c r="K29" s="794"/>
      <c r="L29" s="794"/>
      <c r="M29" s="794"/>
      <c r="N29" s="794"/>
      <c r="O29" s="794"/>
      <c r="P29" s="794"/>
      <c r="Q29" s="794"/>
    </row>
    <row r="30" spans="1:17" ht="16.5" customHeight="1">
      <c r="A30" s="546" t="s">
        <v>224</v>
      </c>
      <c r="B30" s="545"/>
      <c r="C30" s="1831"/>
      <c r="D30" s="1831"/>
      <c r="E30" s="1831"/>
      <c r="F30" s="1831"/>
      <c r="G30" s="1831"/>
      <c r="H30" s="1831"/>
      <c r="I30" s="1831"/>
      <c r="J30" s="794"/>
      <c r="K30" s="794"/>
      <c r="L30" s="794"/>
      <c r="M30" s="794"/>
      <c r="N30" s="794"/>
      <c r="O30" s="794"/>
      <c r="P30" s="794"/>
      <c r="Q30" s="794"/>
    </row>
    <row r="31" spans="1:17" ht="24" customHeight="1">
      <c r="A31" s="1606" t="s">
        <v>330</v>
      </c>
      <c r="B31" s="516"/>
      <c r="C31" s="1842" t="s">
        <v>17</v>
      </c>
      <c r="D31" s="1843" t="s">
        <v>223</v>
      </c>
      <c r="E31" s="1843" t="s">
        <v>342</v>
      </c>
      <c r="F31" s="1835" t="s">
        <v>221</v>
      </c>
      <c r="G31" s="1835" t="s">
        <v>220</v>
      </c>
      <c r="H31" s="1835" t="s">
        <v>219</v>
      </c>
      <c r="I31" s="794"/>
      <c r="J31" s="794"/>
      <c r="K31" s="794"/>
      <c r="L31" s="794"/>
      <c r="M31" s="794"/>
      <c r="N31" s="794"/>
      <c r="O31" s="794"/>
      <c r="P31" s="794"/>
      <c r="Q31" s="794"/>
    </row>
    <row r="32" spans="1:17" ht="12.75">
      <c r="A32" s="1606"/>
      <c r="B32" s="516"/>
      <c r="C32" s="1842"/>
      <c r="D32" s="1844"/>
      <c r="E32" s="1844"/>
      <c r="F32" s="1835"/>
      <c r="G32" s="1835"/>
      <c r="H32" s="1835"/>
      <c r="I32" s="794"/>
      <c r="J32" s="794"/>
      <c r="K32" s="794"/>
      <c r="L32" s="794"/>
      <c r="M32" s="794"/>
      <c r="N32" s="794"/>
      <c r="O32" s="794"/>
      <c r="P32" s="794"/>
      <c r="Q32" s="794"/>
    </row>
    <row r="33" spans="1:17" ht="12.75">
      <c r="A33" s="486">
        <v>0</v>
      </c>
      <c r="B33" s="539"/>
      <c r="C33" s="415">
        <f>L7</f>
        <v>30</v>
      </c>
      <c r="D33" s="538" t="str">
        <f ca="1">IF(A33&lt;$L$8,(((DAY(NOW())&amp;"/")&amp;MONTH(NOW()))&amp;"/")&amp;((YEAR(NOW()))),0)</f>
        <v>9/5/2018</v>
      </c>
      <c r="E33" s="544">
        <f>L12</f>
        <v>1151851</v>
      </c>
      <c r="F33" s="62">
        <f>IF(L7&lt;=8,DAT!AB8,IF(A33&lt;$L$8,MAT!AQ220,0))</f>
        <v>2627500</v>
      </c>
      <c r="G33" s="61">
        <f>IF(A33&lt;$L$8,MAT!AS220," ")</f>
        <v>771575</v>
      </c>
      <c r="H33" s="543">
        <v>0</v>
      </c>
      <c r="I33" s="794"/>
      <c r="J33" s="794"/>
      <c r="K33" s="794"/>
      <c r="L33" s="794"/>
      <c r="M33" s="794"/>
      <c r="N33" s="794"/>
      <c r="O33" s="794"/>
      <c r="P33" s="794"/>
      <c r="Q33" s="794"/>
    </row>
    <row r="34" spans="1:17" ht="13.5" thickBot="1">
      <c r="A34" s="486">
        <v>1</v>
      </c>
      <c r="B34" s="539"/>
      <c r="C34" s="62">
        <f t="shared" ref="C34:C57" si="0">IF(A34&lt;$L$8,$C$33+A34," ")</f>
        <v>31</v>
      </c>
      <c r="D34" s="538" t="str">
        <f t="shared" ref="D34:D57" ca="1" si="1">IF(A34&lt;$L$8,(((DAY(NOW())&amp;"/")&amp;MONTH(NOW()))&amp;"/")&amp;((YEAR(NOW())))+A34," ")</f>
        <v>9/5/2019</v>
      </c>
      <c r="E34" s="538">
        <f t="shared" ref="E34:E57" si="2">IF(A34&lt;$L$8,0," ")</f>
        <v>0</v>
      </c>
      <c r="F34" s="62">
        <f>IF(L7&lt;=8,DAT!AB8,IF(A34&lt;$L$8,MAT!AQ221,0))</f>
        <v>2755000</v>
      </c>
      <c r="G34" s="61">
        <f>IF(A34&lt;$L$8,MAT!AS221," ")</f>
        <v>992025</v>
      </c>
      <c r="H34" s="61">
        <f>IF(A34&lt;$L$8,MAT!AT221," ")</f>
        <v>297600</v>
      </c>
      <c r="I34" s="794"/>
      <c r="J34" s="794"/>
      <c r="K34" s="794"/>
      <c r="L34" s="794"/>
      <c r="M34" s="794"/>
      <c r="N34" s="794"/>
      <c r="O34" s="794"/>
      <c r="P34" s="794"/>
      <c r="Q34" s="794"/>
    </row>
    <row r="35" spans="1:17" ht="13.5" customHeight="1" thickTop="1" thickBot="1">
      <c r="A35" s="486">
        <v>2</v>
      </c>
      <c r="B35" s="539"/>
      <c r="C35" s="62">
        <f t="shared" si="0"/>
        <v>32</v>
      </c>
      <c r="D35" s="538" t="str">
        <f t="shared" ca="1" si="1"/>
        <v>9/5/2020</v>
      </c>
      <c r="E35" s="538">
        <f t="shared" si="2"/>
        <v>0</v>
      </c>
      <c r="F35" s="62">
        <f>IF(L7&lt;=8,DAT!AB8,IF(A35&lt;$L$8,MAT!AQ222,0))</f>
        <v>2882500</v>
      </c>
      <c r="G35" s="61">
        <f>IF(A35&lt;$L$8,MAT!AS222," ")</f>
        <v>1106775</v>
      </c>
      <c r="H35" s="61">
        <f>IF(A35&lt;$L$8,MAT!AT222," ")</f>
        <v>387400</v>
      </c>
      <c r="I35" s="794"/>
      <c r="J35" s="1836" t="s">
        <v>454</v>
      </c>
      <c r="K35" s="1836"/>
      <c r="L35" s="1836"/>
      <c r="M35" s="1836"/>
      <c r="N35" s="794"/>
      <c r="O35" s="794"/>
      <c r="P35" s="794"/>
      <c r="Q35" s="794"/>
    </row>
    <row r="36" spans="1:17" ht="12.75" customHeight="1" thickTop="1" thickBot="1">
      <c r="A36" s="486">
        <v>3</v>
      </c>
      <c r="B36" s="539"/>
      <c r="C36" s="62">
        <f t="shared" si="0"/>
        <v>33</v>
      </c>
      <c r="D36" s="538" t="str">
        <f t="shared" ca="1" si="1"/>
        <v>9/5/2021</v>
      </c>
      <c r="E36" s="538">
        <f t="shared" si="2"/>
        <v>0</v>
      </c>
      <c r="F36" s="62">
        <f>IF(A36&lt;$L$8,MAT!AQ223," ")</f>
        <v>3010000</v>
      </c>
      <c r="G36" s="61">
        <f>IF(A36&lt;$L$8,MAT!AS223," ")</f>
        <v>1145025</v>
      </c>
      <c r="H36" s="61">
        <f>IF(A36&lt;$L$8,MAT!AT223," ")</f>
        <v>458000</v>
      </c>
      <c r="I36" s="794"/>
      <c r="J36" s="1836"/>
      <c r="K36" s="1836"/>
      <c r="L36" s="1836"/>
      <c r="M36" s="1836"/>
      <c r="N36" s="794"/>
      <c r="O36" s="794"/>
      <c r="P36" s="542"/>
      <c r="Q36" s="794"/>
    </row>
    <row r="37" spans="1:17" ht="14.25" customHeight="1" thickTop="1" thickBot="1">
      <c r="A37" s="486">
        <v>4</v>
      </c>
      <c r="B37" s="539"/>
      <c r="C37" s="62">
        <f t="shared" si="0"/>
        <v>34</v>
      </c>
      <c r="D37" s="538" t="str">
        <f t="shared" ca="1" si="1"/>
        <v>9/5/2022</v>
      </c>
      <c r="E37" s="538">
        <f t="shared" si="2"/>
        <v>0</v>
      </c>
      <c r="F37" s="62">
        <f>IF(A37&lt;$L$8,MAT!AQ224," ")</f>
        <v>3137500</v>
      </c>
      <c r="G37" s="61">
        <f>IF(A37&lt;$L$8,MAT!AS224," ")</f>
        <v>1183275</v>
      </c>
      <c r="H37" s="61">
        <f>IF(A37&lt;$L$8,MAT!AT224," ")</f>
        <v>532500</v>
      </c>
      <c r="I37" s="794"/>
      <c r="J37" s="541">
        <f>L8+L7</f>
        <v>55</v>
      </c>
      <c r="K37" s="540" t="s">
        <v>234</v>
      </c>
      <c r="L37" s="1837" t="str">
        <f ca="1">(((DAY(NOW())&amp;"/")&amp;MONTH(NOW()))&amp;"/")&amp;((YEAR(NOW())))+L8</f>
        <v>9/5/2043</v>
      </c>
      <c r="M37" s="1838"/>
      <c r="N37" s="794"/>
      <c r="O37" s="794"/>
      <c r="P37" s="794"/>
      <c r="Q37" s="794"/>
    </row>
    <row r="38" spans="1:17" ht="15.75" customHeight="1" thickTop="1" thickBot="1">
      <c r="A38" s="486">
        <v>5</v>
      </c>
      <c r="B38" s="539"/>
      <c r="C38" s="62">
        <f t="shared" si="0"/>
        <v>35</v>
      </c>
      <c r="D38" s="538" t="str">
        <f t="shared" ca="1" si="1"/>
        <v>9/5/2023</v>
      </c>
      <c r="E38" s="538">
        <f t="shared" si="2"/>
        <v>0</v>
      </c>
      <c r="F38" s="62">
        <f>IF(A38&lt;$L$8,MAT!AQ225," ")</f>
        <v>3265000</v>
      </c>
      <c r="G38" s="61">
        <f>IF(A38&lt;$L$8,MAT!AS225," ")</f>
        <v>1259775</v>
      </c>
      <c r="H38" s="61">
        <f>IF(A38&lt;$L$8,MAT!AT225," ")</f>
        <v>629900</v>
      </c>
      <c r="I38" s="794"/>
      <c r="J38" s="1830" t="s">
        <v>452</v>
      </c>
      <c r="K38" s="1830"/>
      <c r="L38" s="1834">
        <f>L9</f>
        <v>2500000</v>
      </c>
      <c r="M38" s="1834"/>
      <c r="N38" s="794"/>
      <c r="O38" s="794"/>
      <c r="P38" s="794"/>
      <c r="Q38" s="794"/>
    </row>
    <row r="39" spans="1:17" ht="14.25" customHeight="1" thickTop="1" thickBot="1">
      <c r="A39" s="486">
        <v>6</v>
      </c>
      <c r="B39" s="539"/>
      <c r="C39" s="62">
        <f t="shared" si="0"/>
        <v>36</v>
      </c>
      <c r="D39" s="538" t="str">
        <f t="shared" ca="1" si="1"/>
        <v>9/5/2024</v>
      </c>
      <c r="E39" s="538">
        <f t="shared" si="2"/>
        <v>0</v>
      </c>
      <c r="F39" s="62">
        <f>IF(A39&lt;$L$8,MAT!AQ226," ")</f>
        <v>3392500</v>
      </c>
      <c r="G39" s="61">
        <f>IF(A39&lt;$L$8,MAT!AS226," ")</f>
        <v>1304400</v>
      </c>
      <c r="H39" s="61">
        <f>IF(A39&lt;$L$8,MAT!AT226," ")</f>
        <v>717400</v>
      </c>
      <c r="I39" s="794"/>
      <c r="J39" s="1830" t="s">
        <v>453</v>
      </c>
      <c r="K39" s="1830"/>
      <c r="L39" s="1833">
        <f>MAT!AO219</f>
        <v>3187500</v>
      </c>
      <c r="M39" s="1834"/>
      <c r="N39" s="794"/>
      <c r="O39" s="794"/>
      <c r="P39" s="794"/>
      <c r="Q39" s="794"/>
    </row>
    <row r="40" spans="1:17" ht="15" customHeight="1" thickTop="1" thickBot="1">
      <c r="A40" s="486">
        <v>7</v>
      </c>
      <c r="B40" s="539"/>
      <c r="C40" s="62">
        <f t="shared" si="0"/>
        <v>37</v>
      </c>
      <c r="D40" s="538" t="str">
        <f t="shared" ca="1" si="1"/>
        <v>9/5/2025</v>
      </c>
      <c r="E40" s="538">
        <f t="shared" si="2"/>
        <v>0</v>
      </c>
      <c r="F40" s="62">
        <f>IF(A40&lt;$L$8,MAT!AQ227," ")</f>
        <v>3520000</v>
      </c>
      <c r="G40" s="61">
        <f>IF(A40&lt;$L$8,MAT!AS227," ")</f>
        <v>1400025</v>
      </c>
      <c r="H40" s="61">
        <f>IF(A40&lt;$L$8,MAT!AT227," ")</f>
        <v>840000</v>
      </c>
      <c r="I40" s="794"/>
      <c r="J40" s="1830" t="s">
        <v>373</v>
      </c>
      <c r="K40" s="1830"/>
      <c r="L40" s="1833">
        <f>MAT!AM219</f>
        <v>1125000</v>
      </c>
      <c r="M40" s="1834"/>
      <c r="N40" s="794"/>
      <c r="O40" s="794"/>
      <c r="P40" s="794"/>
      <c r="Q40" s="794"/>
    </row>
    <row r="41" spans="1:17" ht="15" customHeight="1" thickTop="1" thickBot="1">
      <c r="A41" s="486">
        <v>8</v>
      </c>
      <c r="B41" s="539"/>
      <c r="C41" s="62">
        <f t="shared" si="0"/>
        <v>38</v>
      </c>
      <c r="D41" s="538" t="str">
        <f t="shared" ca="1" si="1"/>
        <v>9/5/2026</v>
      </c>
      <c r="E41" s="538">
        <f t="shared" si="2"/>
        <v>0</v>
      </c>
      <c r="F41" s="62">
        <f>IF(A41&lt;$L$8,MAT!AQ228," ")</f>
        <v>3647500</v>
      </c>
      <c r="G41" s="61">
        <f>IF(A41&lt;$L$8,MAT!AS228," ")</f>
        <v>1451025</v>
      </c>
      <c r="H41" s="61">
        <f>IF(A41&lt;$L$8,MAT!AT228," ")</f>
        <v>943200</v>
      </c>
      <c r="I41" s="794"/>
      <c r="J41" s="1830" t="s">
        <v>238</v>
      </c>
      <c r="K41" s="1830"/>
      <c r="L41" s="1845">
        <f>MAT!AK219</f>
        <v>6812500</v>
      </c>
      <c r="M41" s="1846"/>
      <c r="N41" s="794"/>
      <c r="O41" s="794"/>
      <c r="P41" s="794"/>
      <c r="Q41" s="794"/>
    </row>
    <row r="42" spans="1:17" ht="13.5" thickTop="1">
      <c r="A42" s="486">
        <v>9</v>
      </c>
      <c r="B42" s="539"/>
      <c r="C42" s="62">
        <f t="shared" si="0"/>
        <v>39</v>
      </c>
      <c r="D42" s="538" t="str">
        <f t="shared" ca="1" si="1"/>
        <v>9/5/2027</v>
      </c>
      <c r="E42" s="538">
        <f t="shared" si="2"/>
        <v>0</v>
      </c>
      <c r="F42" s="62">
        <f>IF(A42&lt;$L$8,MAT!AQ229," ")</f>
        <v>3775000</v>
      </c>
      <c r="G42" s="61">
        <f>IF(A42&lt;$L$8,MAT!AS229," ")</f>
        <v>1502025</v>
      </c>
      <c r="H42" s="61">
        <f>IF(A42&lt;$L$8,MAT!AT229," ")</f>
        <v>976300</v>
      </c>
      <c r="I42" s="794"/>
      <c r="J42" s="794"/>
      <c r="K42" s="794"/>
      <c r="L42" s="794"/>
      <c r="M42" s="794"/>
      <c r="N42" s="794"/>
      <c r="O42" s="794"/>
      <c r="P42" s="794"/>
      <c r="Q42" s="794"/>
    </row>
    <row r="43" spans="1:17" ht="13.5" thickBot="1">
      <c r="A43" s="486">
        <v>10</v>
      </c>
      <c r="B43" s="539"/>
      <c r="C43" s="62">
        <f t="shared" si="0"/>
        <v>40</v>
      </c>
      <c r="D43" s="538" t="str">
        <f t="shared" ca="1" si="1"/>
        <v>9/5/2028</v>
      </c>
      <c r="E43" s="538">
        <f t="shared" si="2"/>
        <v>0</v>
      </c>
      <c r="F43" s="62">
        <f>IF(A43&lt;$L$8,MAT!AQ230," ")</f>
        <v>3902500</v>
      </c>
      <c r="G43" s="61">
        <f>IF(A43&lt;$L$8,MAT!AS230," ")</f>
        <v>1553025</v>
      </c>
      <c r="H43" s="61">
        <f>IF(A43&lt;$L$8,MAT!AT230," ")</f>
        <v>1242400</v>
      </c>
      <c r="I43" s="794"/>
      <c r="J43" s="794"/>
      <c r="K43" s="794"/>
      <c r="L43" s="794"/>
      <c r="M43" s="794"/>
      <c r="N43" s="794"/>
      <c r="O43" s="794"/>
      <c r="P43" s="794"/>
      <c r="Q43" s="794"/>
    </row>
    <row r="44" spans="1:17" ht="15" customHeight="1" thickTop="1">
      <c r="A44" s="486">
        <v>11</v>
      </c>
      <c r="B44" s="539"/>
      <c r="C44" s="62">
        <f t="shared" si="0"/>
        <v>41</v>
      </c>
      <c r="D44" s="538" t="str">
        <f t="shared" ca="1" si="1"/>
        <v>9/5/2029</v>
      </c>
      <c r="E44" s="538">
        <f t="shared" si="2"/>
        <v>0</v>
      </c>
      <c r="F44" s="62">
        <f>IF(A44&lt;$L$8,MAT!AQ231," ")</f>
        <v>4030000</v>
      </c>
      <c r="G44" s="61">
        <f>IF(A44&lt;$L$8,MAT!AS231," ")</f>
        <v>1680525</v>
      </c>
      <c r="H44" s="61">
        <f>IF(A44&lt;$L$8,MAT!AT231," ")</f>
        <v>1512500</v>
      </c>
      <c r="I44" s="794"/>
      <c r="J44" s="1847" t="s">
        <v>212</v>
      </c>
      <c r="K44" s="1847"/>
      <c r="L44" s="1847"/>
      <c r="M44" s="1847"/>
      <c r="N44" s="794"/>
      <c r="O44" s="794"/>
      <c r="P44" s="794"/>
      <c r="Q44" s="794"/>
    </row>
    <row r="45" spans="1:17" ht="12" customHeight="1" thickBot="1">
      <c r="A45" s="486">
        <v>12</v>
      </c>
      <c r="B45" s="539"/>
      <c r="C45" s="62">
        <f t="shared" si="0"/>
        <v>42</v>
      </c>
      <c r="D45" s="538" t="str">
        <f t="shared" ca="1" si="1"/>
        <v>9/5/2030</v>
      </c>
      <c r="E45" s="538">
        <f t="shared" si="2"/>
        <v>0</v>
      </c>
      <c r="F45" s="62">
        <f>IF(A45&lt;$L$8,MAT!AQ232," ")</f>
        <v>4157500</v>
      </c>
      <c r="G45" s="61">
        <f>IF(A45&lt;$L$8,MAT!AS232," ")</f>
        <v>1737900</v>
      </c>
      <c r="H45" s="61">
        <f>IF(A45&lt;$L$8,MAT!AT232," ")</f>
        <v>1564100</v>
      </c>
      <c r="I45" s="794"/>
      <c r="J45" s="1848"/>
      <c r="K45" s="1848"/>
      <c r="L45" s="1848"/>
      <c r="M45" s="1848"/>
      <c r="N45" s="794"/>
      <c r="O45" s="794"/>
      <c r="P45" s="794"/>
      <c r="Q45" s="794"/>
    </row>
    <row r="46" spans="1:17" ht="15" customHeight="1" thickTop="1">
      <c r="A46" s="486">
        <v>13</v>
      </c>
      <c r="B46" s="539"/>
      <c r="C46" s="62">
        <f t="shared" si="0"/>
        <v>43</v>
      </c>
      <c r="D46" s="538" t="str">
        <f t="shared" ca="1" si="1"/>
        <v>9/5/2031</v>
      </c>
      <c r="E46" s="538">
        <f t="shared" si="2"/>
        <v>0</v>
      </c>
      <c r="F46" s="62">
        <f>IF(A46&lt;$L$8,MAT!AQ233," ")</f>
        <v>4285000</v>
      </c>
      <c r="G46" s="61">
        <f>IF(A46&lt;$L$8,MAT!AS233," ")</f>
        <v>1795275</v>
      </c>
      <c r="H46" s="61">
        <f>IF(A46&lt;$L$8,MAT!AT233," ")</f>
        <v>1615700</v>
      </c>
      <c r="I46" s="794"/>
      <c r="J46" s="794"/>
      <c r="K46" s="794"/>
      <c r="L46" s="794"/>
      <c r="M46" s="794"/>
      <c r="N46" s="794"/>
      <c r="O46" s="794"/>
      <c r="P46" s="794"/>
      <c r="Q46" s="794"/>
    </row>
    <row r="47" spans="1:17" ht="12.75">
      <c r="A47" s="486">
        <v>14</v>
      </c>
      <c r="B47" s="539"/>
      <c r="C47" s="62">
        <f t="shared" si="0"/>
        <v>44</v>
      </c>
      <c r="D47" s="538" t="str">
        <f t="shared" ca="1" si="1"/>
        <v>9/5/2032</v>
      </c>
      <c r="E47" s="538">
        <f t="shared" si="2"/>
        <v>0</v>
      </c>
      <c r="F47" s="62">
        <f>IF(A47&lt;$L$8,MAT!AQ234," ")</f>
        <v>4462500</v>
      </c>
      <c r="G47" s="61">
        <f>IF(A47&lt;$L$8,MAT!AS234," ")</f>
        <v>1852650</v>
      </c>
      <c r="H47" s="61">
        <f>IF(A47&lt;$L$8,MAT!AT234," ")</f>
        <v>1667400</v>
      </c>
      <c r="I47" s="271"/>
      <c r="J47" s="1383" t="str">
        <f>'VASANTHAM HOME'!E9</f>
        <v>ENTER YOUR NAME</v>
      </c>
      <c r="K47" s="1383"/>
      <c r="L47" s="1383"/>
      <c r="M47" s="1383"/>
      <c r="N47" s="794"/>
      <c r="O47" s="794"/>
      <c r="P47" s="794"/>
      <c r="Q47" s="794"/>
    </row>
    <row r="48" spans="1:17" ht="12.75">
      <c r="A48" s="486">
        <v>15</v>
      </c>
      <c r="B48" s="539"/>
      <c r="C48" s="62">
        <f t="shared" si="0"/>
        <v>45</v>
      </c>
      <c r="D48" s="538" t="str">
        <f t="shared" ca="1" si="1"/>
        <v>9/5/2033</v>
      </c>
      <c r="E48" s="538">
        <f t="shared" si="2"/>
        <v>0</v>
      </c>
      <c r="F48" s="62">
        <f>IF(A48&lt;$L$8,MAT!AQ235," ")</f>
        <v>4602500</v>
      </c>
      <c r="G48" s="61">
        <f>IF(A48&lt;$L$8,MAT!AS235," ")</f>
        <v>1910025</v>
      </c>
      <c r="H48" s="61">
        <f>IF(A48&lt;$L$8,MAT!AT235," ")</f>
        <v>1719000</v>
      </c>
      <c r="I48" s="271"/>
      <c r="J48" s="1383" t="str">
        <f>'VASANTHAM HOME'!E10</f>
        <v>DESIGNATION</v>
      </c>
      <c r="K48" s="1383"/>
      <c r="L48" s="1383"/>
      <c r="M48" s="1383"/>
      <c r="N48" s="794"/>
      <c r="O48" s="794"/>
      <c r="P48" s="794"/>
      <c r="Q48" s="794"/>
    </row>
    <row r="49" spans="1:17" ht="12.75">
      <c r="A49" s="486">
        <v>16</v>
      </c>
      <c r="B49" s="539"/>
      <c r="C49" s="62">
        <f t="shared" si="0"/>
        <v>46</v>
      </c>
      <c r="D49" s="538" t="str">
        <f t="shared" ca="1" si="1"/>
        <v>9/5/2034</v>
      </c>
      <c r="E49" s="538">
        <f t="shared" si="2"/>
        <v>0</v>
      </c>
      <c r="F49" s="62">
        <f>IF(A49&lt;$L$8,MAT!AQ236," ")</f>
        <v>4742500</v>
      </c>
      <c r="G49" s="61">
        <f>IF(A49&lt;$L$8,MAT!AS236," ")</f>
        <v>1967400</v>
      </c>
      <c r="H49" s="61">
        <f>IF(A49&lt;$L$8,MAT!AT236," ")</f>
        <v>1770700</v>
      </c>
      <c r="I49" s="271"/>
      <c r="J49" s="1383" t="str">
        <f>'VASANTHAM HOME'!E11</f>
        <v>ADDRESS 1</v>
      </c>
      <c r="K49" s="1383"/>
      <c r="L49" s="1383"/>
      <c r="M49" s="1383"/>
      <c r="N49" s="794"/>
      <c r="O49" s="794"/>
      <c r="P49" s="794"/>
      <c r="Q49" s="794"/>
    </row>
    <row r="50" spans="1:17" ht="12.75">
      <c r="A50" s="486">
        <v>17</v>
      </c>
      <c r="B50" s="539"/>
      <c r="C50" s="62">
        <f t="shared" si="0"/>
        <v>47</v>
      </c>
      <c r="D50" s="538" t="str">
        <f t="shared" ca="1" si="1"/>
        <v>9/5/2035</v>
      </c>
      <c r="E50" s="538">
        <f t="shared" si="2"/>
        <v>0</v>
      </c>
      <c r="F50" s="62">
        <f>IF(A50&lt;$L$8,MAT!AQ237," ")</f>
        <v>4882500</v>
      </c>
      <c r="G50" s="61">
        <f>IF(A50&lt;$L$8,MAT!AS237," ")</f>
        <v>2024775</v>
      </c>
      <c r="H50" s="61">
        <f>IF(A50&lt;$L$8,MAT!AT237," ")</f>
        <v>1822300</v>
      </c>
      <c r="I50" s="271"/>
      <c r="J50" s="1383" t="str">
        <f>'VASANTHAM HOME'!E12</f>
        <v>ADDRESS 2</v>
      </c>
      <c r="K50" s="1383"/>
      <c r="L50" s="1383"/>
      <c r="M50" s="1383"/>
      <c r="N50" s="794"/>
      <c r="O50" s="794"/>
      <c r="P50" s="794"/>
      <c r="Q50" s="794"/>
    </row>
    <row r="51" spans="1:17" ht="12.75">
      <c r="A51" s="486">
        <v>18</v>
      </c>
      <c r="B51" s="539"/>
      <c r="C51" s="62">
        <f t="shared" si="0"/>
        <v>48</v>
      </c>
      <c r="D51" s="538" t="str">
        <f t="shared" ca="1" si="1"/>
        <v>9/5/2036</v>
      </c>
      <c r="E51" s="538">
        <f t="shared" si="2"/>
        <v>0</v>
      </c>
      <c r="F51" s="62">
        <f>IF(A51&lt;$L$8,MAT!AQ238," ")</f>
        <v>5047500</v>
      </c>
      <c r="G51" s="61">
        <f>IF(A51&lt;$L$8,MAT!AS238," ")</f>
        <v>2082150</v>
      </c>
      <c r="H51" s="61">
        <f>IF(A51&lt;$L$8,MAT!AT238," ")</f>
        <v>1873900</v>
      </c>
      <c r="I51" s="271"/>
      <c r="J51" s="1383" t="str">
        <f>'VASANTHAM HOME'!E13</f>
        <v>ADDRESS 3</v>
      </c>
      <c r="K51" s="1383"/>
      <c r="L51" s="1383"/>
      <c r="M51" s="1383"/>
      <c r="N51" s="794"/>
      <c r="O51" s="794"/>
      <c r="P51" s="794"/>
      <c r="Q51" s="794"/>
    </row>
    <row r="52" spans="1:17" ht="12.75">
      <c r="A52" s="486">
        <v>19</v>
      </c>
      <c r="B52" s="539"/>
      <c r="C52" s="62">
        <f t="shared" si="0"/>
        <v>49</v>
      </c>
      <c r="D52" s="538" t="str">
        <f t="shared" ca="1" si="1"/>
        <v>9/5/2037</v>
      </c>
      <c r="E52" s="538">
        <f t="shared" si="2"/>
        <v>0</v>
      </c>
      <c r="F52" s="62">
        <f>IF(A52&lt;$L$8,MAT!AQ239," ")</f>
        <v>5225000</v>
      </c>
      <c r="G52" s="61">
        <f>IF(A52&lt;$L$8,MAT!AS239," ")</f>
        <v>2139525</v>
      </c>
      <c r="H52" s="61">
        <f>IF(A52&lt;$L$8,MAT!AT239," ")</f>
        <v>1925600</v>
      </c>
      <c r="I52" s="271"/>
      <c r="J52" s="1383" t="str">
        <f>'VASANTHAM HOME'!E14</f>
        <v>MOBILE NO :</v>
      </c>
      <c r="K52" s="1383"/>
      <c r="L52" s="1383"/>
      <c r="M52" s="1383"/>
      <c r="N52" s="794"/>
      <c r="O52" s="794"/>
      <c r="P52" s="794"/>
      <c r="Q52" s="794"/>
    </row>
    <row r="53" spans="1:17" ht="12.75">
      <c r="A53" s="486">
        <v>20</v>
      </c>
      <c r="B53" s="539"/>
      <c r="C53" s="62">
        <f t="shared" si="0"/>
        <v>50</v>
      </c>
      <c r="D53" s="538" t="str">
        <f t="shared" ca="1" si="1"/>
        <v>9/5/2038</v>
      </c>
      <c r="E53" s="538">
        <f t="shared" si="2"/>
        <v>0</v>
      </c>
      <c r="F53" s="62">
        <f>IF(A53&lt;$L$8,MAT!AQ240," ")</f>
        <v>5427500</v>
      </c>
      <c r="G53" s="61">
        <f>IF(A53&lt;$L$8,MAT!AS240," ")</f>
        <v>2196900</v>
      </c>
      <c r="H53" s="61">
        <f>IF(A53&lt;$L$8,MAT!AT240," ")</f>
        <v>1977200</v>
      </c>
      <c r="I53" s="271"/>
      <c r="J53" s="1383" t="str">
        <f>'VASANTHAM HOME'!E15</f>
        <v>E.MAIL ID :</v>
      </c>
      <c r="K53" s="1383"/>
      <c r="L53" s="1383"/>
      <c r="M53" s="1383"/>
      <c r="N53" s="794"/>
      <c r="O53" s="794"/>
      <c r="P53" s="794"/>
      <c r="Q53" s="794"/>
    </row>
    <row r="54" spans="1:17" ht="12.75">
      <c r="A54" s="486">
        <v>21</v>
      </c>
      <c r="B54" s="539"/>
      <c r="C54" s="62">
        <f t="shared" si="0"/>
        <v>51</v>
      </c>
      <c r="D54" s="538" t="str">
        <f t="shared" ca="1" si="1"/>
        <v>9/5/2039</v>
      </c>
      <c r="E54" s="538">
        <f t="shared" si="2"/>
        <v>0</v>
      </c>
      <c r="F54" s="62">
        <f>IF(A54&lt;$L$8,MAT!AQ241," ")</f>
        <v>5680000</v>
      </c>
      <c r="G54" s="61">
        <f>IF(A54&lt;$L$8,MAT!AS241," ")</f>
        <v>2675025</v>
      </c>
      <c r="H54" s="61">
        <f>IF(A54&lt;$L$8,MAT!AT241," ")</f>
        <v>2407500</v>
      </c>
      <c r="I54" s="271"/>
      <c r="J54" s="794"/>
      <c r="K54" s="794"/>
      <c r="L54" s="794"/>
      <c r="M54" s="794"/>
      <c r="N54" s="794"/>
      <c r="O54" s="794"/>
      <c r="P54" s="794"/>
      <c r="Q54" s="794"/>
    </row>
    <row r="55" spans="1:17" ht="12.75">
      <c r="A55" s="486">
        <v>22</v>
      </c>
      <c r="B55" s="539"/>
      <c r="C55" s="62">
        <f t="shared" si="0"/>
        <v>52</v>
      </c>
      <c r="D55" s="538" t="str">
        <f t="shared" ca="1" si="1"/>
        <v>9/5/2040</v>
      </c>
      <c r="E55" s="538">
        <f t="shared" si="2"/>
        <v>0</v>
      </c>
      <c r="F55" s="62">
        <f>IF(A55&lt;$L$8,MAT!AQ242," ")</f>
        <v>6057500</v>
      </c>
      <c r="G55" s="61">
        <f>IF(A55&lt;$L$8,MAT!AS242," ")</f>
        <v>2751525</v>
      </c>
      <c r="H55" s="61">
        <f>IF(A55&lt;$L$8,MAT!AT242," ")</f>
        <v>2476400</v>
      </c>
      <c r="I55" s="794"/>
      <c r="J55" s="537" t="s">
        <v>452</v>
      </c>
      <c r="K55" s="1850" t="s">
        <v>241</v>
      </c>
      <c r="L55" s="1850"/>
      <c r="M55" s="794"/>
      <c r="N55" s="794"/>
      <c r="O55" s="794"/>
      <c r="P55" s="794"/>
      <c r="Q55" s="794"/>
    </row>
    <row r="56" spans="1:17" ht="12.75">
      <c r="A56" s="486">
        <v>23</v>
      </c>
      <c r="B56" s="539"/>
      <c r="C56" s="62">
        <f t="shared" si="0"/>
        <v>53</v>
      </c>
      <c r="D56" s="538" t="str">
        <f t="shared" ca="1" si="1"/>
        <v>9/5/2041</v>
      </c>
      <c r="E56" s="538">
        <f t="shared" si="2"/>
        <v>0</v>
      </c>
      <c r="F56" s="62">
        <f>IF(A56&lt;$L$8,MAT!AQ243," ")</f>
        <v>6435000</v>
      </c>
      <c r="G56" s="61">
        <f>IF(A56&lt;$L$8,MAT!AS243," ")</f>
        <v>3134025</v>
      </c>
      <c r="H56" s="61">
        <f>IF(A56&lt;$L$8,MAT!AT243," ")</f>
        <v>2820600</v>
      </c>
      <c r="I56" s="794"/>
      <c r="J56" s="537" t="s">
        <v>374</v>
      </c>
      <c r="K56" s="1850" t="s">
        <v>256</v>
      </c>
      <c r="L56" s="1850"/>
      <c r="M56" s="794"/>
      <c r="N56" s="794"/>
      <c r="O56" s="794"/>
      <c r="P56" s="794"/>
      <c r="Q56" s="794"/>
    </row>
    <row r="57" spans="1:17" ht="12.75">
      <c r="A57" s="486">
        <v>24</v>
      </c>
      <c r="B57" s="539"/>
      <c r="C57" s="62">
        <f t="shared" si="0"/>
        <v>54</v>
      </c>
      <c r="D57" s="538" t="str">
        <f t="shared" ca="1" si="1"/>
        <v>9/5/2042</v>
      </c>
      <c r="E57" s="538">
        <f t="shared" si="2"/>
        <v>0</v>
      </c>
      <c r="F57" s="62">
        <f>IF(A57&lt;$L$8,MAT!AQ244," ")</f>
        <v>6812500</v>
      </c>
      <c r="G57" s="61">
        <f>IF(A57&lt;$L$8,MAT!AS244," ")</f>
        <v>3223275</v>
      </c>
      <c r="H57" s="61">
        <f>IF(A57&lt;$L$8,MAT!AT244," ")</f>
        <v>2900900</v>
      </c>
      <c r="I57" s="794"/>
      <c r="J57" s="537" t="s">
        <v>373</v>
      </c>
      <c r="K57" s="1850" t="s">
        <v>343</v>
      </c>
      <c r="L57" s="1850"/>
      <c r="M57" s="794"/>
      <c r="N57" s="794"/>
      <c r="O57" s="794"/>
      <c r="P57" s="794"/>
      <c r="Q57" s="794"/>
    </row>
    <row r="58" spans="1:17" ht="12.75">
      <c r="A58" s="486">
        <v>25</v>
      </c>
      <c r="B58" s="533"/>
      <c r="C58" s="26"/>
      <c r="D58" s="506"/>
      <c r="E58" s="506"/>
      <c r="F58" s="789"/>
      <c r="G58" s="536"/>
      <c r="H58" s="536"/>
      <c r="I58" s="794"/>
      <c r="J58" s="535"/>
      <c r="K58" s="534"/>
      <c r="L58" s="534"/>
      <c r="M58" s="794"/>
      <c r="N58" s="794"/>
      <c r="O58" s="794"/>
      <c r="P58" s="794"/>
      <c r="Q58" s="794"/>
    </row>
    <row r="59" spans="1:17" ht="12.75">
      <c r="A59" s="486"/>
      <c r="B59" s="533"/>
      <c r="C59" s="777"/>
      <c r="D59" s="794"/>
      <c r="E59" s="794"/>
      <c r="F59" s="794"/>
      <c r="G59" s="794"/>
      <c r="H59" s="794"/>
      <c r="I59" s="794"/>
      <c r="J59" s="794"/>
      <c r="K59" s="794"/>
      <c r="L59" s="794"/>
      <c r="M59" s="794"/>
      <c r="N59" s="794"/>
      <c r="O59" s="794"/>
      <c r="P59" s="794"/>
      <c r="Q59" s="794"/>
    </row>
    <row r="60" spans="1:17" ht="12.75">
      <c r="B60" s="532" t="s">
        <v>209</v>
      </c>
      <c r="C60" s="56"/>
      <c r="D60" s="794"/>
      <c r="E60" s="794"/>
      <c r="F60" s="794"/>
      <c r="G60" s="794"/>
      <c r="H60" s="794"/>
      <c r="I60" s="794"/>
      <c r="J60" s="794"/>
      <c r="K60" s="794"/>
      <c r="L60" s="794"/>
      <c r="M60" s="794"/>
      <c r="N60" s="794"/>
      <c r="O60" s="794"/>
      <c r="P60" s="794"/>
      <c r="Q60" s="794"/>
    </row>
    <row r="61" spans="1:17" ht="12.75">
      <c r="A61" s="531"/>
      <c r="B61" s="530">
        <v>1</v>
      </c>
      <c r="C61" s="1849" t="s">
        <v>2135</v>
      </c>
      <c r="D61" s="1849"/>
      <c r="E61" s="1849"/>
      <c r="F61" s="1849"/>
      <c r="G61" s="1849"/>
      <c r="H61" s="1849"/>
      <c r="I61" s="1849"/>
      <c r="J61" s="1849"/>
      <c r="K61" s="1849"/>
      <c r="L61" s="1849"/>
      <c r="M61" s="1849"/>
      <c r="N61" s="794"/>
      <c r="O61" s="794"/>
      <c r="P61" s="794"/>
      <c r="Q61" s="794"/>
    </row>
    <row r="62" spans="1:17" ht="12.75">
      <c r="A62" s="531"/>
      <c r="B62" s="530">
        <v>2</v>
      </c>
      <c r="C62" s="1849" t="s">
        <v>237</v>
      </c>
      <c r="D62" s="1849"/>
      <c r="E62" s="1849"/>
      <c r="F62" s="1849"/>
      <c r="G62" s="1849"/>
      <c r="H62" s="1849"/>
      <c r="I62" s="1849"/>
      <c r="J62" s="1849"/>
      <c r="K62" s="1849"/>
      <c r="L62" s="1849"/>
      <c r="M62" s="1849"/>
      <c r="N62" s="794"/>
      <c r="O62" s="794"/>
      <c r="P62" s="794"/>
      <c r="Q62" s="794"/>
    </row>
    <row r="63" spans="1:17" ht="12.75">
      <c r="C63" s="794"/>
      <c r="D63" s="794"/>
      <c r="E63" s="794"/>
      <c r="F63" s="794"/>
      <c r="G63" s="794"/>
      <c r="H63" s="794"/>
      <c r="I63" s="794"/>
      <c r="J63" s="794"/>
      <c r="K63" s="794"/>
      <c r="L63" s="794"/>
      <c r="M63" s="794"/>
      <c r="N63" s="794"/>
      <c r="O63" s="794"/>
      <c r="P63" s="794"/>
      <c r="Q63" s="794"/>
    </row>
    <row r="64" spans="1:17" ht="12.75" hidden="1"/>
  </sheetData>
  <mergeCells count="62">
    <mergeCell ref="C62:M62"/>
    <mergeCell ref="J53:M53"/>
    <mergeCell ref="J47:M47"/>
    <mergeCell ref="K55:L55"/>
    <mergeCell ref="K56:L56"/>
    <mergeCell ref="K57:L57"/>
    <mergeCell ref="C61:M61"/>
    <mergeCell ref="J48:M48"/>
    <mergeCell ref="J49:M49"/>
    <mergeCell ref="J50:M50"/>
    <mergeCell ref="J51:M51"/>
    <mergeCell ref="J52:M52"/>
    <mergeCell ref="J40:K40"/>
    <mergeCell ref="L40:M40"/>
    <mergeCell ref="J41:K41"/>
    <mergeCell ref="L41:M41"/>
    <mergeCell ref="J44:M45"/>
    <mergeCell ref="A31:A32"/>
    <mergeCell ref="C31:C32"/>
    <mergeCell ref="D31:D32"/>
    <mergeCell ref="E31:E32"/>
    <mergeCell ref="F31:F32"/>
    <mergeCell ref="J39:K39"/>
    <mergeCell ref="C29:I29"/>
    <mergeCell ref="C18:I18"/>
    <mergeCell ref="L39:M39"/>
    <mergeCell ref="C30:I30"/>
    <mergeCell ref="G31:G32"/>
    <mergeCell ref="H31:H32"/>
    <mergeCell ref="J35:M36"/>
    <mergeCell ref="L37:M37"/>
    <mergeCell ref="J38:K38"/>
    <mergeCell ref="L38:M38"/>
    <mergeCell ref="C27:I27"/>
    <mergeCell ref="C28:I28"/>
    <mergeCell ref="C22:I22"/>
    <mergeCell ref="C23:I23"/>
    <mergeCell ref="C24:I24"/>
    <mergeCell ref="O13:Q14"/>
    <mergeCell ref="O16:Q17"/>
    <mergeCell ref="L12:M13"/>
    <mergeCell ref="C13:F13"/>
    <mergeCell ref="C19:I19"/>
    <mergeCell ref="I12:K13"/>
    <mergeCell ref="C20:I20"/>
    <mergeCell ref="C21:I21"/>
    <mergeCell ref="C16:H16"/>
    <mergeCell ref="C17:I17"/>
    <mergeCell ref="C26:I26"/>
    <mergeCell ref="C25:I25"/>
    <mergeCell ref="K2:L2"/>
    <mergeCell ref="K4:L4"/>
    <mergeCell ref="K5:L5"/>
    <mergeCell ref="C7:G7"/>
    <mergeCell ref="C9:G9"/>
    <mergeCell ref="J9:K9"/>
    <mergeCell ref="L9:M9"/>
    <mergeCell ref="O9:Q10"/>
    <mergeCell ref="C10:G10"/>
    <mergeCell ref="O7:Q8"/>
    <mergeCell ref="C8:G8"/>
    <mergeCell ref="I11:M11"/>
  </mergeCells>
  <hyperlinks>
    <hyperlink ref="O16:Q17" location="Main!A1" display="CLICK HERE"/>
    <hyperlink ref="O9:Q10" location="'VASANTHAM HOME'!A1" display="CLICK HERE"/>
  </hyperlinks>
  <pageMargins left="0.7" right="0.7" top="0.75" bottom="0.75" header="0.3" footer="0.3"/>
  <pageSetup scale="80" orientation="portrait" r:id="rId1"/>
  <headerFooter>
    <oddFooter>&amp;C&amp;10&amp;K02-048VASANTHAM SMART</oddFooter>
  </headerFooter>
  <drawing r:id="rId2"/>
</worksheet>
</file>

<file path=xl/worksheets/sheet14.xml><?xml version="1.0" encoding="utf-8"?>
<worksheet xmlns="http://schemas.openxmlformats.org/spreadsheetml/2006/main" xmlns:r="http://schemas.openxmlformats.org/officeDocument/2006/relationships">
  <sheetPr codeName="Sheet23"/>
  <dimension ref="A1:U56"/>
  <sheetViews>
    <sheetView showGridLines="0" showRowColHeaders="0" topLeftCell="B1" workbookViewId="0">
      <selection activeCell="N1" sqref="N1"/>
    </sheetView>
  </sheetViews>
  <sheetFormatPr defaultColWidth="0" defaultRowHeight="0" customHeight="1" zeroHeight="1"/>
  <cols>
    <col min="1" max="1" width="4.875" style="165" hidden="1" customWidth="1"/>
    <col min="2" max="2" width="4.5" style="165" customWidth="1"/>
    <col min="3" max="3" width="6.125" style="165" customWidth="1"/>
    <col min="4" max="4" width="10.875" style="165" customWidth="1"/>
    <col min="5" max="5" width="10.5" style="165" customWidth="1"/>
    <col min="6" max="6" width="11.125" style="165" customWidth="1"/>
    <col min="7" max="7" width="10.5" style="165" customWidth="1"/>
    <col min="8" max="8" width="12.375" style="165" customWidth="1"/>
    <col min="9" max="9" width="11.5" style="165" customWidth="1"/>
    <col min="10" max="10" width="9.375" style="165" customWidth="1"/>
    <col min="11" max="11" width="9.125" style="165" customWidth="1"/>
    <col min="12" max="12" width="7.5" style="165" customWidth="1"/>
    <col min="13" max="13" width="8.5" style="165" customWidth="1"/>
    <col min="14" max="16" width="9.125" style="165" customWidth="1"/>
    <col min="17" max="21" width="0" style="165" hidden="1" customWidth="1"/>
    <col min="22" max="16384" width="9.125" style="165" hidden="1"/>
  </cols>
  <sheetData>
    <row r="1" spans="1:19" s="30" customFormat="1" ht="15">
      <c r="A1" s="165"/>
      <c r="C1" s="518"/>
      <c r="D1" s="518"/>
      <c r="E1" s="518"/>
      <c r="F1" s="518"/>
      <c r="G1" s="518"/>
    </row>
    <row r="2" spans="1:19" s="30" customFormat="1" ht="15.75">
      <c r="A2" s="165"/>
      <c r="C2" s="529"/>
      <c r="D2" s="529"/>
      <c r="E2" s="529"/>
      <c r="F2" s="529"/>
      <c r="G2" s="529"/>
      <c r="K2" s="1637">
        <f ca="1">TODAY()</f>
        <v>43229</v>
      </c>
      <c r="L2" s="1637"/>
    </row>
    <row r="3" spans="1:19" s="30" customFormat="1" ht="15">
      <c r="A3" s="165"/>
    </row>
    <row r="4" spans="1:19" s="30" customFormat="1" ht="15">
      <c r="A4" s="165"/>
      <c r="H4" s="165"/>
    </row>
    <row r="5" spans="1:19" s="30" customFormat="1" ht="15">
      <c r="A5" s="165"/>
      <c r="K5" s="1853" t="s">
        <v>451</v>
      </c>
      <c r="L5" s="1853"/>
    </row>
    <row r="6" spans="1:19" s="30" customFormat="1" ht="15" customHeight="1">
      <c r="A6" s="165"/>
      <c r="C6" s="1854" t="s">
        <v>112</v>
      </c>
      <c r="D6" s="1854"/>
      <c r="E6" s="1854"/>
      <c r="F6" s="1854"/>
      <c r="G6" s="1854"/>
      <c r="H6" s="471"/>
      <c r="K6" s="1655" t="s">
        <v>450</v>
      </c>
      <c r="L6" s="1655"/>
    </row>
    <row r="7" spans="1:19" s="30" customFormat="1" ht="15" customHeight="1">
      <c r="A7" s="165"/>
      <c r="C7" s="1854"/>
      <c r="D7" s="1854"/>
      <c r="E7" s="1854"/>
      <c r="F7" s="1854"/>
      <c r="G7" s="1854"/>
      <c r="H7" s="471"/>
      <c r="N7" s="1598" t="s">
        <v>232</v>
      </c>
      <c r="O7" s="1598"/>
      <c r="P7" s="1598"/>
    </row>
    <row r="8" spans="1:19" s="30" customFormat="1" ht="13.5" customHeight="1" thickBot="1">
      <c r="A8" s="165"/>
      <c r="C8" s="1855"/>
      <c r="D8" s="1855"/>
      <c r="E8" s="1855"/>
      <c r="F8" s="1855"/>
      <c r="G8" s="1855"/>
      <c r="H8" s="522"/>
      <c r="I8" s="377"/>
      <c r="N8" s="1598"/>
      <c r="O8" s="1598"/>
      <c r="P8" s="1598"/>
    </row>
    <row r="9" spans="1:19" s="30" customFormat="1" ht="16.5" customHeight="1" thickTop="1">
      <c r="A9" s="165"/>
      <c r="C9" s="1851" t="s">
        <v>231</v>
      </c>
      <c r="D9" s="1851"/>
      <c r="E9" s="1851"/>
      <c r="F9" s="1851"/>
      <c r="G9" s="1851"/>
      <c r="H9" s="528"/>
      <c r="I9" s="526"/>
      <c r="J9" s="525" t="s">
        <v>251</v>
      </c>
      <c r="K9" s="793">
        <f>Main!E9</f>
        <v>30</v>
      </c>
      <c r="L9" s="524" t="s">
        <v>234</v>
      </c>
      <c r="N9" s="1381" t="s">
        <v>226</v>
      </c>
      <c r="O9" s="1381"/>
      <c r="P9" s="1381"/>
    </row>
    <row r="10" spans="1:19" s="30" customFormat="1" ht="18.75" customHeight="1">
      <c r="A10" s="165"/>
      <c r="C10" s="1852" t="str">
        <f>CONCATENATE(Main!E8,(Main!F8))</f>
        <v>Sri.soumil</v>
      </c>
      <c r="D10" s="1852"/>
      <c r="E10" s="1852"/>
      <c r="F10" s="1852"/>
      <c r="G10" s="1852"/>
      <c r="H10" s="527"/>
      <c r="I10" s="526"/>
      <c r="J10" s="525" t="s">
        <v>425</v>
      </c>
      <c r="K10" s="793">
        <f>Main!E11</f>
        <v>25</v>
      </c>
      <c r="L10" s="524" t="s">
        <v>234</v>
      </c>
      <c r="N10" s="1381"/>
      <c r="O10" s="1381"/>
      <c r="P10" s="1381"/>
    </row>
    <row r="11" spans="1:19" s="30" customFormat="1" ht="16.5" customHeight="1">
      <c r="A11" s="165"/>
      <c r="C11" s="1873" t="s">
        <v>449</v>
      </c>
      <c r="D11" s="1873"/>
      <c r="E11" s="1873"/>
      <c r="F11" s="1873"/>
      <c r="G11" s="1873"/>
      <c r="H11" s="377"/>
      <c r="I11" s="1864" t="s">
        <v>233</v>
      </c>
      <c r="J11" s="1864"/>
      <c r="K11" s="1865">
        <f>Main!E10</f>
        <v>2500000</v>
      </c>
      <c r="L11" s="1865"/>
    </row>
    <row r="12" spans="1:19" s="30" customFormat="1" ht="15" customHeight="1">
      <c r="A12" s="165"/>
      <c r="C12" s="1873"/>
      <c r="D12" s="1873"/>
      <c r="E12" s="1873"/>
      <c r="F12" s="1873"/>
      <c r="G12" s="1873"/>
      <c r="H12" s="377"/>
      <c r="I12" s="377"/>
    </row>
    <row r="13" spans="1:19" s="30" customFormat="1" ht="16.5" customHeight="1">
      <c r="A13" s="165"/>
      <c r="C13" s="1862" t="s">
        <v>448</v>
      </c>
      <c r="D13" s="1862"/>
      <c r="E13" s="1862"/>
      <c r="F13" s="1862"/>
      <c r="G13" s="1862"/>
      <c r="I13" s="1866" t="s">
        <v>342</v>
      </c>
      <c r="J13" s="1867"/>
      <c r="K13" s="1867"/>
      <c r="L13" s="1868"/>
      <c r="N13" s="1596" t="s">
        <v>228</v>
      </c>
      <c r="O13" s="1597"/>
      <c r="P13" s="1597"/>
    </row>
    <row r="14" spans="1:19" s="30" customFormat="1" ht="16.5" customHeight="1">
      <c r="A14" s="165"/>
      <c r="C14" s="523"/>
      <c r="D14" s="1860" t="s">
        <v>447</v>
      </c>
      <c r="E14" s="1860"/>
      <c r="F14" s="1860"/>
      <c r="G14" s="1860"/>
      <c r="H14" s="1861"/>
      <c r="I14" s="1622" t="s">
        <v>2122</v>
      </c>
      <c r="J14" s="1623"/>
      <c r="K14" s="1856">
        <f>DAT!AS7</f>
        <v>1961413</v>
      </c>
      <c r="L14" s="1857"/>
      <c r="N14" s="1597"/>
      <c r="O14" s="1597"/>
      <c r="P14" s="1597"/>
      <c r="S14" s="522"/>
    </row>
    <row r="15" spans="1:19" s="30" customFormat="1" ht="13.5" customHeight="1">
      <c r="A15" s="165"/>
      <c r="D15" s="36"/>
      <c r="E15" s="36"/>
      <c r="F15" s="36"/>
      <c r="G15" s="36"/>
      <c r="H15" s="521"/>
      <c r="I15" s="1624"/>
      <c r="J15" s="1625"/>
      <c r="K15" s="1858"/>
      <c r="L15" s="1859"/>
      <c r="N15" s="1391" t="s">
        <v>226</v>
      </c>
      <c r="O15" s="1391"/>
      <c r="P15" s="1391"/>
    </row>
    <row r="16" spans="1:19" s="30" customFormat="1" ht="11.25" customHeight="1">
      <c r="A16" s="165"/>
      <c r="D16" s="1869" t="s">
        <v>227</v>
      </c>
      <c r="E16" s="1869"/>
      <c r="F16" s="1869"/>
      <c r="G16" s="36"/>
      <c r="H16" s="36"/>
      <c r="I16" s="1639"/>
      <c r="J16" s="1639"/>
      <c r="K16" s="1870"/>
      <c r="L16" s="1870"/>
      <c r="N16" s="1391"/>
      <c r="O16" s="1391"/>
      <c r="P16" s="1391"/>
      <c r="S16" s="520"/>
    </row>
    <row r="17" spans="1:20" s="30" customFormat="1" ht="18.75" customHeight="1">
      <c r="A17" s="165"/>
      <c r="C17" s="383"/>
      <c r="D17" s="1869"/>
      <c r="E17" s="1869"/>
      <c r="F17" s="1869"/>
      <c r="G17" s="383"/>
      <c r="H17" s="383"/>
      <c r="S17" s="520"/>
    </row>
    <row r="18" spans="1:20" s="30" customFormat="1" ht="18">
      <c r="A18" s="519"/>
      <c r="B18" s="454" t="s">
        <v>224</v>
      </c>
      <c r="C18" s="1871" t="s">
        <v>446</v>
      </c>
      <c r="D18" s="1872"/>
      <c r="E18" s="1872"/>
      <c r="F18" s="1872"/>
      <c r="G18" s="1872"/>
      <c r="H18" s="1872"/>
    </row>
    <row r="19" spans="1:20" s="30" customFormat="1" ht="18">
      <c r="A19" s="455"/>
      <c r="B19" s="454" t="s">
        <v>224</v>
      </c>
      <c r="C19" s="1871" t="s">
        <v>445</v>
      </c>
      <c r="D19" s="1872"/>
      <c r="E19" s="1872"/>
      <c r="F19" s="1872"/>
      <c r="G19" s="1872"/>
      <c r="H19" s="1872"/>
    </row>
    <row r="20" spans="1:20" s="30" customFormat="1" ht="18">
      <c r="A20" s="455"/>
      <c r="B20" s="454" t="s">
        <v>224</v>
      </c>
      <c r="C20" s="1863" t="s">
        <v>444</v>
      </c>
      <c r="D20" s="1863"/>
      <c r="E20" s="1863"/>
      <c r="F20" s="1863"/>
      <c r="G20" s="1863"/>
      <c r="H20" s="1863"/>
    </row>
    <row r="21" spans="1:20" s="30" customFormat="1" ht="18">
      <c r="A21" s="455"/>
      <c r="B21" s="454" t="s">
        <v>224</v>
      </c>
      <c r="C21" s="1881" t="s">
        <v>443</v>
      </c>
      <c r="D21" s="1881"/>
      <c r="E21" s="1881"/>
      <c r="F21" s="1881"/>
      <c r="G21" s="1881"/>
      <c r="H21" s="1881"/>
    </row>
    <row r="22" spans="1:20" s="30" customFormat="1" ht="18">
      <c r="A22" s="455"/>
      <c r="B22" s="454" t="s">
        <v>224</v>
      </c>
      <c r="C22" s="1881" t="s">
        <v>442</v>
      </c>
      <c r="D22" s="1881"/>
      <c r="E22" s="1881"/>
      <c r="F22" s="1881"/>
      <c r="G22" s="1881"/>
      <c r="H22" s="1881"/>
      <c r="Q22" s="518"/>
      <c r="R22" s="518"/>
      <c r="S22" s="518"/>
    </row>
    <row r="23" spans="1:20" s="30" customFormat="1" ht="18">
      <c r="A23" s="455"/>
      <c r="B23" s="454" t="s">
        <v>224</v>
      </c>
      <c r="C23" s="1871" t="s">
        <v>441</v>
      </c>
      <c r="D23" s="1871"/>
      <c r="E23" s="1871"/>
      <c r="F23" s="1871"/>
      <c r="G23" s="1871"/>
      <c r="H23" s="1871"/>
    </row>
    <row r="24" spans="1:20" s="30" customFormat="1" ht="18">
      <c r="A24" s="455"/>
      <c r="B24" s="454" t="s">
        <v>224</v>
      </c>
      <c r="C24" s="1881" t="s">
        <v>440</v>
      </c>
      <c r="D24" s="1881"/>
      <c r="E24" s="1881"/>
      <c r="F24" s="1881"/>
      <c r="G24" s="1881"/>
      <c r="H24" s="1881"/>
      <c r="R24" s="517"/>
      <c r="S24" s="517"/>
      <c r="T24" s="517"/>
    </row>
    <row r="25" spans="1:20" s="30" customFormat="1" ht="15">
      <c r="A25" s="165"/>
    </row>
    <row r="26" spans="1:20" s="30" customFormat="1" ht="15">
      <c r="A26" s="1874"/>
      <c r="B26" s="516"/>
      <c r="C26" s="1875" t="s">
        <v>17</v>
      </c>
      <c r="D26" s="1876" t="s">
        <v>223</v>
      </c>
      <c r="E26" s="1876" t="s">
        <v>342</v>
      </c>
      <c r="F26" s="1878" t="s">
        <v>439</v>
      </c>
      <c r="G26" s="1880" t="s">
        <v>366</v>
      </c>
      <c r="H26" s="1880" t="s">
        <v>220</v>
      </c>
      <c r="I26" s="1880" t="s">
        <v>219</v>
      </c>
      <c r="J26" s="515"/>
      <c r="K26" s="515"/>
      <c r="L26" s="515"/>
    </row>
    <row r="27" spans="1:20" s="30" customFormat="1" ht="15">
      <c r="A27" s="1874"/>
      <c r="B27" s="516"/>
      <c r="C27" s="1875"/>
      <c r="D27" s="1877"/>
      <c r="E27" s="1877"/>
      <c r="F27" s="1879"/>
      <c r="G27" s="1880"/>
      <c r="H27" s="1880"/>
      <c r="I27" s="1880"/>
      <c r="J27" s="515"/>
      <c r="K27" s="515"/>
      <c r="L27" s="515"/>
    </row>
    <row r="28" spans="1:20" s="30" customFormat="1" ht="15">
      <c r="A28" s="509">
        <v>0</v>
      </c>
      <c r="B28" s="29"/>
      <c r="C28" s="508">
        <f>K9</f>
        <v>30</v>
      </c>
      <c r="D28" s="508" t="str">
        <f ca="1">IF(A28&lt;$K$10,(((DAY(NOW())&amp;"/")&amp;MONTH(NOW()))&amp;"/")&amp;((YEAR(NOW()))),0)</f>
        <v>9/5/2018</v>
      </c>
      <c r="E28" s="514">
        <f>K14</f>
        <v>1961413</v>
      </c>
      <c r="F28" s="508">
        <f>K11</f>
        <v>2500000</v>
      </c>
      <c r="G28" s="512">
        <v>0</v>
      </c>
      <c r="H28" s="372">
        <f>MAT!BJ137</f>
        <v>1693947.375</v>
      </c>
      <c r="I28" s="513">
        <v>0</v>
      </c>
    </row>
    <row r="29" spans="1:20" s="30" customFormat="1" ht="15">
      <c r="A29" s="509">
        <v>1</v>
      </c>
      <c r="B29" s="29"/>
      <c r="C29" s="508">
        <f t="shared" ref="C29:C42" si="0">IF(A29&lt;$K$10,$C$28+A29," ")</f>
        <v>31</v>
      </c>
      <c r="D29" s="508" t="str">
        <f t="shared" ref="D29:D42" ca="1" si="1">IF(A29&lt;$K$10,(((DAY(NOW())&amp;"/")&amp;MONTH(NOW()))&amp;"/")&amp;((YEAR(NOW())))+A29," ")</f>
        <v>9/5/2019</v>
      </c>
      <c r="E29" s="508">
        <f t="shared" ref="E29:E42" si="2">IF(A29&lt;$K$10,0," ")</f>
        <v>0</v>
      </c>
      <c r="F29" s="508">
        <f>IF(A29&lt;$K$10,$K$11," ")</f>
        <v>2500000</v>
      </c>
      <c r="G29" s="512">
        <v>0</v>
      </c>
      <c r="H29" s="372">
        <f>MAT!BJ138</f>
        <v>1787794.875</v>
      </c>
      <c r="I29" s="508">
        <f t="shared" ref="I29:I36" si="3">IF(A29&lt;$K$10,(ROUND(H29*60%,-2))," ")</f>
        <v>1072700</v>
      </c>
    </row>
    <row r="30" spans="1:20" s="30" customFormat="1" ht="16.5" customHeight="1">
      <c r="A30" s="509">
        <v>2</v>
      </c>
      <c r="B30" s="29"/>
      <c r="C30" s="508">
        <f t="shared" si="0"/>
        <v>32</v>
      </c>
      <c r="D30" s="508" t="str">
        <f t="shared" ca="1" si="1"/>
        <v>9/5/2020</v>
      </c>
      <c r="E30" s="508">
        <f t="shared" si="2"/>
        <v>0</v>
      </c>
      <c r="F30" s="508">
        <f>IF(A30&lt;$K$10,$K$11," ")</f>
        <v>2500000</v>
      </c>
      <c r="G30" s="512">
        <v>0</v>
      </c>
      <c r="H30" s="372">
        <f>MAT!BJ139</f>
        <v>1576638</v>
      </c>
      <c r="I30" s="508">
        <f t="shared" si="3"/>
        <v>946000</v>
      </c>
      <c r="J30" s="476"/>
      <c r="K30" s="476"/>
      <c r="L30" s="476"/>
    </row>
    <row r="31" spans="1:20" s="30" customFormat="1" ht="15">
      <c r="A31" s="509">
        <v>3</v>
      </c>
      <c r="B31" s="29"/>
      <c r="C31" s="508">
        <f t="shared" si="0"/>
        <v>33</v>
      </c>
      <c r="D31" s="508" t="str">
        <f t="shared" ca="1" si="1"/>
        <v>9/5/2021</v>
      </c>
      <c r="E31" s="508">
        <f t="shared" si="2"/>
        <v>0</v>
      </c>
      <c r="F31" s="508">
        <f>IF(A31&lt;$K$10,$K$11," ")</f>
        <v>2500000</v>
      </c>
      <c r="G31" s="508">
        <f>K11*15%</f>
        <v>375000</v>
      </c>
      <c r="H31" s="372">
        <f>MAT!BJ140</f>
        <v>1670485.5</v>
      </c>
      <c r="I31" s="508">
        <f t="shared" si="3"/>
        <v>1002300</v>
      </c>
    </row>
    <row r="32" spans="1:20" s="30" customFormat="1" ht="15">
      <c r="A32" s="509">
        <v>4</v>
      </c>
      <c r="B32" s="29"/>
      <c r="C32" s="508">
        <f t="shared" si="0"/>
        <v>34</v>
      </c>
      <c r="D32" s="508" t="str">
        <f t="shared" ca="1" si="1"/>
        <v>9/5/2022</v>
      </c>
      <c r="E32" s="508">
        <f t="shared" si="2"/>
        <v>0</v>
      </c>
      <c r="F32" s="508">
        <f>IF(A32&lt;$K$10,$K$11," ")</f>
        <v>2500000</v>
      </c>
      <c r="G32" s="512">
        <v>0</v>
      </c>
      <c r="H32" s="372">
        <f>MAT!BJ141</f>
        <v>1764333</v>
      </c>
      <c r="I32" s="508">
        <f t="shared" si="3"/>
        <v>1058600</v>
      </c>
      <c r="J32" s="476"/>
      <c r="K32" s="476"/>
      <c r="L32" s="476"/>
    </row>
    <row r="33" spans="1:13" s="30" customFormat="1" ht="15.75" customHeight="1">
      <c r="A33" s="509">
        <v>5</v>
      </c>
      <c r="B33" s="29"/>
      <c r="C33" s="508">
        <f t="shared" si="0"/>
        <v>35</v>
      </c>
      <c r="D33" s="508" t="str">
        <f t="shared" ca="1" si="1"/>
        <v>9/5/2023</v>
      </c>
      <c r="E33" s="508">
        <f t="shared" si="2"/>
        <v>0</v>
      </c>
      <c r="F33" s="508">
        <f>IF(A33&lt;$K$10,MAT!$BG$134," ")</f>
        <v>3437500</v>
      </c>
      <c r="G33" s="512">
        <v>0</v>
      </c>
      <c r="H33" s="372">
        <f>MAT!BJ142</f>
        <v>1557868.5</v>
      </c>
      <c r="I33" s="508">
        <f t="shared" si="3"/>
        <v>934700</v>
      </c>
      <c r="J33" s="476"/>
      <c r="K33" s="476"/>
      <c r="L33" s="476"/>
    </row>
    <row r="34" spans="1:13" s="30" customFormat="1" ht="15">
      <c r="A34" s="509">
        <v>6</v>
      </c>
      <c r="B34" s="29"/>
      <c r="C34" s="508">
        <f t="shared" si="0"/>
        <v>36</v>
      </c>
      <c r="D34" s="508" t="str">
        <f t="shared" ca="1" si="1"/>
        <v>9/5/2024</v>
      </c>
      <c r="E34" s="508">
        <f t="shared" si="2"/>
        <v>0</v>
      </c>
      <c r="F34" s="508">
        <f>IF(A34&lt;$K$10,MAT!$BG$134," ")</f>
        <v>3437500</v>
      </c>
      <c r="G34" s="508">
        <f>K11*15%</f>
        <v>375000</v>
      </c>
      <c r="H34" s="372">
        <f>MAT!BJ143</f>
        <v>1651716</v>
      </c>
      <c r="I34" s="508">
        <f t="shared" si="3"/>
        <v>991000</v>
      </c>
    </row>
    <row r="35" spans="1:13" s="30" customFormat="1" ht="15">
      <c r="A35" s="509">
        <v>7</v>
      </c>
      <c r="B35" s="29"/>
      <c r="C35" s="508">
        <f t="shared" si="0"/>
        <v>37</v>
      </c>
      <c r="D35" s="508" t="str">
        <f t="shared" ca="1" si="1"/>
        <v>9/5/2025</v>
      </c>
      <c r="E35" s="508">
        <f t="shared" si="2"/>
        <v>0</v>
      </c>
      <c r="F35" s="508">
        <f>IF(A35&lt;$K$10,MAT!$BG$134," ")</f>
        <v>3437500</v>
      </c>
      <c r="G35" s="512">
        <v>0</v>
      </c>
      <c r="H35" s="372">
        <f>MAT!BJ144</f>
        <v>1745563.5</v>
      </c>
      <c r="I35" s="508">
        <f t="shared" si="3"/>
        <v>1047300</v>
      </c>
    </row>
    <row r="36" spans="1:13" s="30" customFormat="1" ht="15">
      <c r="A36" s="509">
        <v>8</v>
      </c>
      <c r="B36" s="29"/>
      <c r="C36" s="508">
        <f t="shared" si="0"/>
        <v>38</v>
      </c>
      <c r="D36" s="508" t="str">
        <f t="shared" ca="1" si="1"/>
        <v>9/5/2026</v>
      </c>
      <c r="E36" s="508">
        <f t="shared" si="2"/>
        <v>0</v>
      </c>
      <c r="F36" s="508">
        <f>IF(A36&lt;$K$10,MAT!$BG$134," ")</f>
        <v>3437500</v>
      </c>
      <c r="G36" s="512">
        <v>0</v>
      </c>
      <c r="H36" s="372">
        <f>MAT!BJ145</f>
        <v>1539099</v>
      </c>
      <c r="I36" s="508">
        <f t="shared" si="3"/>
        <v>923500</v>
      </c>
    </row>
    <row r="37" spans="1:13" s="30" customFormat="1" ht="15">
      <c r="A37" s="509">
        <v>9</v>
      </c>
      <c r="B37" s="29"/>
      <c r="C37" s="508">
        <f t="shared" si="0"/>
        <v>39</v>
      </c>
      <c r="D37" s="508" t="str">
        <f t="shared" ca="1" si="1"/>
        <v>9/5/2027</v>
      </c>
      <c r="E37" s="508">
        <f t="shared" si="2"/>
        <v>0</v>
      </c>
      <c r="F37" s="508">
        <f>IF(A37&lt;$K$10,MAT!$BG$134," ")</f>
        <v>3437500</v>
      </c>
      <c r="G37" s="508" t="str">
        <f>IF(OR(K10=12,K10=15),K11*15%," ")</f>
        <v xml:space="preserve"> </v>
      </c>
      <c r="H37" s="372" t="str">
        <f>IF(OR($K$10=12,$K$10=15),MAT!BJ146," ")</f>
        <v xml:space="preserve"> </v>
      </c>
      <c r="I37" s="508" t="str">
        <f>IF(OR(K10=12,K10=15),ROUND(H37*60%,-2)," ")</f>
        <v xml:space="preserve"> </v>
      </c>
      <c r="J37" s="1882"/>
      <c r="K37" s="1883"/>
      <c r="L37" s="1883"/>
      <c r="M37" s="1883"/>
    </row>
    <row r="38" spans="1:13" s="30" customFormat="1" ht="15">
      <c r="A38" s="509">
        <v>10</v>
      </c>
      <c r="B38" s="29"/>
      <c r="C38" s="508">
        <f t="shared" si="0"/>
        <v>40</v>
      </c>
      <c r="D38" s="508" t="str">
        <f t="shared" ca="1" si="1"/>
        <v>9/5/2028</v>
      </c>
      <c r="E38" s="508">
        <f t="shared" si="2"/>
        <v>0</v>
      </c>
      <c r="F38" s="508">
        <f>IF(A38&lt;$K$10,MAT!$BG$134," ")</f>
        <v>3437500</v>
      </c>
      <c r="G38" s="508">
        <f>IF(A38&lt;$K$10,0," ")</f>
        <v>0</v>
      </c>
      <c r="H38" s="372" t="str">
        <f>IF(OR($K$10=12,$K$10=15),MAT!BJ147," ")</f>
        <v xml:space="preserve"> </v>
      </c>
      <c r="I38" s="508" t="str">
        <f>IF(OR(K10=12,K10=15),ROUND(H38*60%,-2)," ")</f>
        <v xml:space="preserve"> </v>
      </c>
      <c r="J38" s="511"/>
      <c r="K38" s="510"/>
      <c r="L38" s="1884"/>
      <c r="M38" s="1884"/>
    </row>
    <row r="39" spans="1:13" s="30" customFormat="1" ht="15.75" customHeight="1">
      <c r="A39" s="509">
        <v>11</v>
      </c>
      <c r="B39" s="29"/>
      <c r="C39" s="508">
        <f t="shared" si="0"/>
        <v>41</v>
      </c>
      <c r="D39" s="508" t="str">
        <f t="shared" ca="1" si="1"/>
        <v>9/5/2029</v>
      </c>
      <c r="E39" s="508">
        <f t="shared" si="2"/>
        <v>0</v>
      </c>
      <c r="F39" s="508">
        <f>IF(A39&lt;$K$10,MAT!$BG$134," ")</f>
        <v>3437500</v>
      </c>
      <c r="G39" s="508">
        <f>IF(A39&lt;$K$10,0," ")</f>
        <v>0</v>
      </c>
      <c r="H39" s="372" t="str">
        <f>IF(OR($K$10=12,$K$10=15),MAT!BJ148," ")</f>
        <v xml:space="preserve"> </v>
      </c>
      <c r="I39" s="508" t="str">
        <f>IF(OR(K10=12,K10=15),ROUND(H39*60%,-2)," ")</f>
        <v xml:space="preserve"> </v>
      </c>
      <c r="J39" s="1885"/>
      <c r="K39" s="1886"/>
      <c r="L39" s="1886"/>
      <c r="M39" s="1886"/>
    </row>
    <row r="40" spans="1:13" s="30" customFormat="1" ht="17.25" customHeight="1">
      <c r="A40" s="509">
        <v>12</v>
      </c>
      <c r="B40" s="29"/>
      <c r="C40" s="508">
        <f t="shared" si="0"/>
        <v>42</v>
      </c>
      <c r="D40" s="508" t="str">
        <f t="shared" ca="1" si="1"/>
        <v>9/5/2030</v>
      </c>
      <c r="E40" s="508">
        <f t="shared" si="2"/>
        <v>0</v>
      </c>
      <c r="F40" s="508">
        <f>IF(A40&lt;$K$10,MAT!$BG$134," ")</f>
        <v>3437500</v>
      </c>
      <c r="G40" s="508" t="str">
        <f>IF(K10=15,K11*15%," ")</f>
        <v xml:space="preserve"> </v>
      </c>
      <c r="H40" s="372" t="str">
        <f>IF(($K$10=15),MAT!BJ149," ")</f>
        <v xml:space="preserve"> </v>
      </c>
      <c r="I40" s="508" t="str">
        <f>IF(K10=15,ROUND(H40*60%,-2)," ")</f>
        <v xml:space="preserve"> </v>
      </c>
      <c r="J40" s="1885"/>
      <c r="K40" s="1886"/>
      <c r="L40" s="1886"/>
      <c r="M40" s="1886"/>
    </row>
    <row r="41" spans="1:13" s="30" customFormat="1" ht="15">
      <c r="A41" s="509">
        <v>13</v>
      </c>
      <c r="B41" s="29"/>
      <c r="C41" s="508">
        <f t="shared" si="0"/>
        <v>43</v>
      </c>
      <c r="D41" s="508" t="str">
        <f t="shared" ca="1" si="1"/>
        <v>9/5/2031</v>
      </c>
      <c r="E41" s="508">
        <f t="shared" si="2"/>
        <v>0</v>
      </c>
      <c r="F41" s="508">
        <f>IF(A41&lt;$K$10,MAT!$BG$134," ")</f>
        <v>3437500</v>
      </c>
      <c r="G41" s="508">
        <f>IF(A41&lt;$K$10,0," ")</f>
        <v>0</v>
      </c>
      <c r="H41" s="372" t="str">
        <f>IF(($K$10=15),MAT!BJ150," ")</f>
        <v xml:space="preserve"> </v>
      </c>
      <c r="I41" s="508" t="str">
        <f>IF(K10=15,ROUND(H41*60%,-2)," ")</f>
        <v xml:space="preserve"> </v>
      </c>
    </row>
    <row r="42" spans="1:13" s="30" customFormat="1" ht="15">
      <c r="A42" s="509">
        <v>14</v>
      </c>
      <c r="B42" s="29"/>
      <c r="C42" s="508">
        <f t="shared" si="0"/>
        <v>44</v>
      </c>
      <c r="D42" s="508" t="str">
        <f t="shared" ca="1" si="1"/>
        <v>9/5/2032</v>
      </c>
      <c r="E42" s="508">
        <f t="shared" si="2"/>
        <v>0</v>
      </c>
      <c r="F42" s="508">
        <f>IF(A42&lt;$K$10,MAT!$BG$134," ")</f>
        <v>3437500</v>
      </c>
      <c r="G42" s="508">
        <f>IF(A42&lt;$K$10,0," ")</f>
        <v>0</v>
      </c>
      <c r="H42" s="372" t="str">
        <f>IF(($K$10=15),MAT!BJ151," ")</f>
        <v xml:space="preserve"> </v>
      </c>
      <c r="I42" s="508" t="str">
        <f>IF(K10=15,ROUND(H42*60%,-2)," ")</f>
        <v xml:space="preserve"> </v>
      </c>
    </row>
    <row r="43" spans="1:13" s="30" customFormat="1" ht="15">
      <c r="A43" s="19"/>
      <c r="B43" s="19"/>
      <c r="C43" s="507"/>
      <c r="D43" s="507"/>
      <c r="E43" s="507"/>
      <c r="F43" s="507"/>
      <c r="G43" s="507"/>
      <c r="H43" s="507"/>
      <c r="I43" s="442"/>
      <c r="J43" s="505"/>
      <c r="K43" s="505"/>
      <c r="L43" s="505"/>
    </row>
    <row r="44" spans="1:13" s="30" customFormat="1" ht="15.75" thickBot="1">
      <c r="A44" s="19"/>
      <c r="B44" s="19"/>
      <c r="C44" s="502"/>
      <c r="D44" s="502"/>
      <c r="E44" s="502"/>
      <c r="F44" s="502"/>
      <c r="G44" s="502"/>
      <c r="H44" s="502"/>
      <c r="I44" s="506"/>
      <c r="J44" s="505"/>
      <c r="K44" s="505"/>
      <c r="L44" s="505"/>
    </row>
    <row r="45" spans="1:13" s="30" customFormat="1" ht="16.5" thickTop="1" thickBot="1">
      <c r="A45" s="19"/>
      <c r="B45" s="19"/>
      <c r="C45" s="1888" t="s">
        <v>398</v>
      </c>
      <c r="D45" s="1690"/>
      <c r="E45" s="1690"/>
      <c r="F45" s="1691"/>
      <c r="G45" s="502"/>
      <c r="H45" s="1892" t="s">
        <v>212</v>
      </c>
      <c r="I45" s="1383" t="str">
        <f>'VASANTHAM HOME'!E9</f>
        <v>ENTER YOUR NAME</v>
      </c>
      <c r="J45" s="1383"/>
      <c r="K45" s="1383"/>
      <c r="L45" s="1383"/>
    </row>
    <row r="46" spans="1:13" s="30" customFormat="1" ht="15.75" thickTop="1">
      <c r="A46" s="19"/>
      <c r="B46" s="19"/>
      <c r="C46" s="1889"/>
      <c r="D46" s="1890"/>
      <c r="E46" s="1890"/>
      <c r="F46" s="1891"/>
      <c r="G46" s="502"/>
      <c r="H46" s="1892"/>
      <c r="I46" s="1383" t="str">
        <f>'VASANTHAM HOME'!E10</f>
        <v>DESIGNATION</v>
      </c>
      <c r="J46" s="1383"/>
      <c r="K46" s="1383"/>
      <c r="L46" s="1383"/>
    </row>
    <row r="47" spans="1:13" s="30" customFormat="1" ht="15.75" thickBot="1">
      <c r="A47" s="19"/>
      <c r="B47" s="19"/>
      <c r="C47" s="504">
        <f>$K$9+$K$10</f>
        <v>55</v>
      </c>
      <c r="D47" s="503" t="s">
        <v>211</v>
      </c>
      <c r="E47" s="1893" t="str">
        <f ca="1">(((DAY(NOW())&amp;"/")&amp;MONTH(NOW()))&amp;"/")&amp;((YEAR(NOW())))+$K$10</f>
        <v>9/5/2043</v>
      </c>
      <c r="F47" s="1894"/>
      <c r="G47" s="502"/>
      <c r="H47" s="1892"/>
      <c r="I47" s="1383" t="str">
        <f>'VASANTHAM HOME'!E11</f>
        <v>ADDRESS 1</v>
      </c>
      <c r="J47" s="1383"/>
      <c r="K47" s="1383"/>
      <c r="L47" s="1383"/>
    </row>
    <row r="48" spans="1:13" s="30" customFormat="1" ht="16.5" thickTop="1" thickBot="1">
      <c r="A48" s="19"/>
      <c r="B48" s="19"/>
      <c r="C48" s="1895" t="s">
        <v>210</v>
      </c>
      <c r="D48" s="1896">
        <f>DAT!AB7+MAT!BF134</f>
        <v>2814450</v>
      </c>
      <c r="E48" s="1897"/>
      <c r="F48" s="1898"/>
      <c r="G48" s="502"/>
      <c r="H48" s="1892"/>
      <c r="I48" s="1383" t="str">
        <f>'VASANTHAM HOME'!E12</f>
        <v>ADDRESS 2</v>
      </c>
      <c r="J48" s="1383"/>
      <c r="K48" s="1383"/>
      <c r="L48" s="1383"/>
    </row>
    <row r="49" spans="1:13" s="30" customFormat="1" ht="16.5" thickTop="1" thickBot="1">
      <c r="A49" s="19"/>
      <c r="B49" s="19"/>
      <c r="C49" s="1895"/>
      <c r="D49" s="1899"/>
      <c r="E49" s="1899"/>
      <c r="F49" s="1900"/>
      <c r="G49" s="502"/>
      <c r="H49" s="1892"/>
      <c r="I49" s="1383" t="str">
        <f>'VASANTHAM HOME'!E13</f>
        <v>ADDRESS 3</v>
      </c>
      <c r="J49" s="1383"/>
      <c r="K49" s="1383"/>
      <c r="L49" s="1383"/>
    </row>
    <row r="50" spans="1:13" s="30" customFormat="1" ht="15.75" thickTop="1">
      <c r="A50" s="19"/>
      <c r="B50" s="19"/>
      <c r="C50" s="502"/>
      <c r="D50" s="502"/>
      <c r="E50" s="502"/>
      <c r="F50" s="502"/>
      <c r="G50" s="502"/>
      <c r="H50" s="1892"/>
      <c r="I50" s="1383" t="str">
        <f>'VASANTHAM HOME'!E14</f>
        <v>MOBILE NO :</v>
      </c>
      <c r="J50" s="1383"/>
      <c r="K50" s="1383"/>
      <c r="L50" s="1383"/>
    </row>
    <row r="51" spans="1:13" s="30" customFormat="1" ht="15">
      <c r="A51" s="19"/>
      <c r="B51" s="19"/>
      <c r="C51" s="502"/>
      <c r="D51" s="502"/>
      <c r="E51" s="502"/>
      <c r="F51" s="502"/>
      <c r="G51" s="502"/>
      <c r="H51" s="1892"/>
      <c r="I51" s="1383" t="str">
        <f>'VASANTHAM HOME'!E15</f>
        <v>E.MAIL ID :</v>
      </c>
      <c r="J51" s="1383"/>
      <c r="K51" s="1383"/>
      <c r="L51" s="1383"/>
    </row>
    <row r="52" spans="1:13" s="30" customFormat="1" ht="12" customHeight="1">
      <c r="A52" s="501"/>
      <c r="B52" s="501"/>
      <c r="C52" s="501"/>
      <c r="D52" s="501"/>
      <c r="E52" s="501"/>
      <c r="F52" s="501"/>
      <c r="G52" s="501"/>
      <c r="H52" s="501"/>
      <c r="I52" s="501"/>
      <c r="J52" s="501"/>
      <c r="K52" s="501"/>
      <c r="L52" s="501"/>
    </row>
    <row r="53" spans="1:13" s="30" customFormat="1" ht="15">
      <c r="A53" s="500"/>
      <c r="B53" s="1887" t="s">
        <v>438</v>
      </c>
      <c r="C53" s="1887"/>
      <c r="D53" s="1887"/>
      <c r="E53" s="1887"/>
      <c r="F53" s="1887"/>
      <c r="G53" s="1887"/>
      <c r="H53" s="1887"/>
      <c r="I53" s="1887"/>
      <c r="J53" s="1887"/>
      <c r="K53" s="1887"/>
      <c r="L53" s="1887"/>
      <c r="M53" s="1887"/>
    </row>
    <row r="54" spans="1:13" s="30" customFormat="1" ht="15"/>
    <row r="55" spans="1:13" s="30" customFormat="1" ht="15">
      <c r="A55" s="165"/>
    </row>
    <row r="56" spans="1:13" ht="15" hidden="1"/>
  </sheetData>
  <mergeCells count="53">
    <mergeCell ref="I50:L50"/>
    <mergeCell ref="I51:L51"/>
    <mergeCell ref="B53:M53"/>
    <mergeCell ref="C45:F46"/>
    <mergeCell ref="H45:H51"/>
    <mergeCell ref="I45:L45"/>
    <mergeCell ref="I46:L46"/>
    <mergeCell ref="E47:F47"/>
    <mergeCell ref="I47:L47"/>
    <mergeCell ref="C48:C49"/>
    <mergeCell ref="D48:F49"/>
    <mergeCell ref="I48:L48"/>
    <mergeCell ref="I49:L49"/>
    <mergeCell ref="I26:I27"/>
    <mergeCell ref="J37:M37"/>
    <mergeCell ref="L38:M38"/>
    <mergeCell ref="J39:J40"/>
    <mergeCell ref="K39:M40"/>
    <mergeCell ref="H26:H27"/>
    <mergeCell ref="C21:H21"/>
    <mergeCell ref="C22:H22"/>
    <mergeCell ref="C23:H23"/>
    <mergeCell ref="C24:H24"/>
    <mergeCell ref="G26:G27"/>
    <mergeCell ref="A26:A27"/>
    <mergeCell ref="C26:C27"/>
    <mergeCell ref="D26:D27"/>
    <mergeCell ref="E26:E27"/>
    <mergeCell ref="F26:F27"/>
    <mergeCell ref="C20:H20"/>
    <mergeCell ref="I11:J11"/>
    <mergeCell ref="K11:L11"/>
    <mergeCell ref="I13:L13"/>
    <mergeCell ref="D16:F17"/>
    <mergeCell ref="I16:J16"/>
    <mergeCell ref="K16:L16"/>
    <mergeCell ref="C18:H18"/>
    <mergeCell ref="C19:H19"/>
    <mergeCell ref="C11:G12"/>
    <mergeCell ref="N13:P14"/>
    <mergeCell ref="I14:J15"/>
    <mergeCell ref="K14:L15"/>
    <mergeCell ref="N15:P16"/>
    <mergeCell ref="D14:H14"/>
    <mergeCell ref="C13:G13"/>
    <mergeCell ref="C9:G9"/>
    <mergeCell ref="N9:P10"/>
    <mergeCell ref="C10:G10"/>
    <mergeCell ref="K2:L2"/>
    <mergeCell ref="K5:L5"/>
    <mergeCell ref="C6:G8"/>
    <mergeCell ref="K6:L6"/>
    <mergeCell ref="N7:P8"/>
  </mergeCells>
  <hyperlinks>
    <hyperlink ref="N15:P16" location="Main!A1" display="CLICK HERE"/>
    <hyperlink ref="N9:P10" location="'VASANTHAM HOME'!A1" display="CLICK HERE"/>
  </hyperlinks>
  <pageMargins left="0.7" right="0.7" top="0.75" bottom="0.75" header="0.3" footer="0.3"/>
  <pageSetup scale="80" orientation="portrait" r:id="rId1"/>
  <headerFooter>
    <oddFooter>&amp;C&amp;K02-049VASANTHAM SMART</oddFooter>
  </headerFooter>
  <drawing r:id="rId2"/>
</worksheet>
</file>

<file path=xl/worksheets/sheet15.xml><?xml version="1.0" encoding="utf-8"?>
<worksheet xmlns="http://schemas.openxmlformats.org/spreadsheetml/2006/main" xmlns:r="http://schemas.openxmlformats.org/officeDocument/2006/relationships">
  <sheetPr codeName="Sheet24"/>
  <dimension ref="A1:U67"/>
  <sheetViews>
    <sheetView showGridLines="0" showRowColHeaders="0" workbookViewId="0">
      <selection activeCell="O18" sqref="O18:Q19"/>
    </sheetView>
  </sheetViews>
  <sheetFormatPr defaultColWidth="0" defaultRowHeight="0" customHeight="1" zeroHeight="1"/>
  <cols>
    <col min="1" max="1" width="0.125" style="230" customWidth="1"/>
    <col min="2" max="2" width="3.625" style="230" customWidth="1"/>
    <col min="3" max="3" width="5.5" style="230" customWidth="1"/>
    <col min="4" max="4" width="9.625" style="230" customWidth="1"/>
    <col min="5" max="5" width="10" style="230" customWidth="1"/>
    <col min="6" max="6" width="11.5" style="230" customWidth="1"/>
    <col min="7" max="7" width="12.375" style="230" customWidth="1"/>
    <col min="8" max="8" width="10.875" style="230" customWidth="1"/>
    <col min="9" max="9" width="10.5" style="230" customWidth="1"/>
    <col min="10" max="12" width="9.125" style="230" customWidth="1"/>
    <col min="13" max="13" width="10.5" style="230" customWidth="1"/>
    <col min="14" max="14" width="6.875" style="774" customWidth="1"/>
    <col min="15" max="17" width="9.125" style="774" customWidth="1"/>
    <col min="18" max="21" width="0" style="230" hidden="1" customWidth="1"/>
    <col min="22" max="16384" width="9.125" style="230" hidden="1"/>
  </cols>
  <sheetData>
    <row r="1" spans="2:17" ht="12.75">
      <c r="B1" s="774"/>
      <c r="C1" s="774"/>
      <c r="D1" s="331"/>
      <c r="E1" s="331"/>
      <c r="F1" s="258"/>
      <c r="G1" s="258"/>
      <c r="H1" s="258"/>
      <c r="I1" s="258"/>
      <c r="J1" s="258"/>
      <c r="K1" s="774"/>
      <c r="L1" s="774"/>
      <c r="M1" s="774"/>
    </row>
    <row r="2" spans="2:17" ht="15.75">
      <c r="B2" s="774"/>
      <c r="C2" s="774"/>
      <c r="D2" s="331"/>
      <c r="E2" s="331"/>
      <c r="F2" s="258"/>
      <c r="G2" s="258"/>
      <c r="H2" s="258"/>
      <c r="I2" s="258"/>
      <c r="J2" s="258"/>
      <c r="K2" s="330"/>
      <c r="L2" s="1637">
        <f ca="1">TODAY()</f>
        <v>43229</v>
      </c>
      <c r="M2" s="1637"/>
    </row>
    <row r="3" spans="2:17" ht="12.75">
      <c r="B3" s="774"/>
      <c r="C3" s="774"/>
      <c r="D3" s="774"/>
      <c r="E3" s="774"/>
      <c r="F3" s="258"/>
      <c r="G3" s="258"/>
      <c r="H3" s="258"/>
      <c r="I3" s="258"/>
      <c r="J3" s="258"/>
      <c r="K3" s="774"/>
      <c r="L3" s="774"/>
      <c r="M3" s="774"/>
    </row>
    <row r="4" spans="2:17" ht="12.75" customHeight="1">
      <c r="B4" s="774"/>
      <c r="C4" s="774"/>
      <c r="D4" s="774"/>
      <c r="E4" s="774"/>
      <c r="F4" s="794"/>
      <c r="G4" s="794"/>
      <c r="H4" s="794"/>
      <c r="I4" s="794"/>
      <c r="J4" s="794"/>
      <c r="K4" s="774"/>
      <c r="L4" s="1904" t="s">
        <v>363</v>
      </c>
      <c r="M4" s="1904"/>
    </row>
    <row r="5" spans="2:17" ht="12.75" customHeight="1">
      <c r="B5" s="774"/>
      <c r="C5" s="774"/>
      <c r="D5" s="774"/>
      <c r="E5" s="774"/>
      <c r="F5" s="794"/>
      <c r="G5" s="794"/>
      <c r="H5" s="794"/>
      <c r="I5" s="794"/>
      <c r="J5" s="794"/>
      <c r="K5" s="774"/>
      <c r="L5" s="1904" t="s">
        <v>362</v>
      </c>
      <c r="M5" s="1904"/>
    </row>
    <row r="6" spans="2:17" ht="9" customHeight="1">
      <c r="B6" s="774"/>
      <c r="C6" s="1912" t="s">
        <v>361</v>
      </c>
      <c r="D6" s="1912"/>
      <c r="E6" s="1912"/>
      <c r="F6" s="1912"/>
      <c r="G6" s="1912"/>
      <c r="H6" s="794"/>
      <c r="I6" s="794"/>
      <c r="J6" s="794"/>
      <c r="K6" s="774"/>
      <c r="L6" s="774"/>
      <c r="M6" s="774"/>
    </row>
    <row r="7" spans="2:17" ht="12.75">
      <c r="B7" s="774"/>
      <c r="C7" s="1912"/>
      <c r="D7" s="1912"/>
      <c r="E7" s="1912"/>
      <c r="F7" s="1912"/>
      <c r="G7" s="1912"/>
      <c r="H7" s="325"/>
      <c r="I7" s="325"/>
      <c r="K7" s="774"/>
      <c r="L7" s="774"/>
      <c r="M7" s="774"/>
    </row>
    <row r="8" spans="2:17" ht="16.5" thickBot="1">
      <c r="B8" s="774"/>
      <c r="C8" s="1913"/>
      <c r="D8" s="1913"/>
      <c r="E8" s="1913"/>
      <c r="F8" s="1913"/>
      <c r="G8" s="1913"/>
      <c r="H8" s="325"/>
      <c r="I8" s="325"/>
      <c r="J8" s="329"/>
      <c r="K8" s="327" t="s">
        <v>251</v>
      </c>
      <c r="L8" s="795">
        <f>Main!E9</f>
        <v>30</v>
      </c>
      <c r="M8" s="326" t="s">
        <v>234</v>
      </c>
      <c r="O8" s="1598" t="s">
        <v>232</v>
      </c>
      <c r="P8" s="1598"/>
      <c r="Q8" s="1598"/>
    </row>
    <row r="9" spans="2:17" ht="16.5" thickTop="1">
      <c r="B9" s="774"/>
      <c r="C9" s="1901" t="s">
        <v>231</v>
      </c>
      <c r="D9" s="1901"/>
      <c r="E9" s="1901"/>
      <c r="F9" s="1901"/>
      <c r="G9" s="1901"/>
      <c r="H9" s="325"/>
      <c r="I9" s="324"/>
      <c r="J9" s="328"/>
      <c r="K9" s="327" t="s">
        <v>235</v>
      </c>
      <c r="L9" s="795">
        <f>Main!E11</f>
        <v>25</v>
      </c>
      <c r="M9" s="326" t="s">
        <v>234</v>
      </c>
      <c r="O9" s="1598"/>
      <c r="P9" s="1598"/>
      <c r="Q9" s="1598"/>
    </row>
    <row r="10" spans="2:17" ht="15.75">
      <c r="B10" s="774"/>
      <c r="C10" s="1907" t="str">
        <f>CONCATENATE(Main!E8,(Main!F8))</f>
        <v>Sri.soumil</v>
      </c>
      <c r="D10" s="1907"/>
      <c r="E10" s="1907"/>
      <c r="F10" s="1907"/>
      <c r="G10" s="1907"/>
      <c r="H10" s="325"/>
      <c r="I10" s="324"/>
      <c r="J10" s="1908" t="s">
        <v>233</v>
      </c>
      <c r="K10" s="1908"/>
      <c r="L10" s="1909">
        <f>Main!E10</f>
        <v>2500000</v>
      </c>
      <c r="M10" s="1909"/>
      <c r="O10" s="1381" t="s">
        <v>226</v>
      </c>
      <c r="P10" s="1381"/>
      <c r="Q10" s="1381"/>
    </row>
    <row r="11" spans="2:17" ht="17.25" customHeight="1">
      <c r="B11" s="774"/>
      <c r="C11" s="30"/>
      <c r="D11" s="30"/>
      <c r="E11" s="30"/>
      <c r="F11" s="30"/>
      <c r="G11" s="30"/>
      <c r="H11" s="325"/>
      <c r="I11" s="324"/>
      <c r="J11" s="1902" t="str">
        <f>IF(Main!L10="YES","TERM RIDER"," ")</f>
        <v>TERM RIDER</v>
      </c>
      <c r="K11" s="1902"/>
      <c r="L11" s="1903">
        <f>IF(Main!L10="YES",Main!N10," ")</f>
        <v>0</v>
      </c>
      <c r="M11" s="1903"/>
      <c r="O11" s="1381"/>
      <c r="P11" s="1381"/>
      <c r="Q11" s="1381"/>
    </row>
    <row r="12" spans="2:17" ht="12.75" customHeight="1">
      <c r="B12" s="774"/>
      <c r="C12" s="1910" t="s">
        <v>230</v>
      </c>
      <c r="D12" s="1910"/>
      <c r="E12" s="1910"/>
      <c r="F12" s="1910" t="s">
        <v>16</v>
      </c>
      <c r="G12" s="1910" t="s">
        <v>15</v>
      </c>
      <c r="H12" s="1910" t="s">
        <v>14</v>
      </c>
      <c r="I12" s="1910" t="s">
        <v>229</v>
      </c>
      <c r="J12" s="49"/>
      <c r="K12" s="323"/>
      <c r="L12" s="1920" t="str">
        <f>CONCATENATE(" SAVINGS                                    PER DAY", " ", " "," ", " "," "," "," "," ", " "," "," "," "," "," "," ", " "," "," "," "," ", " "," ",   "Rs.  ",(DAT!AZ6)," "," "," ","ONLY")</f>
        <v xml:space="preserve"> SAVINGS                                    PER DAY                      Rs.  314   ONLY</v>
      </c>
      <c r="M12" s="1920"/>
    </row>
    <row r="13" spans="2:17" ht="12.75" customHeight="1">
      <c r="B13" s="774"/>
      <c r="C13" s="1911"/>
      <c r="D13" s="1911"/>
      <c r="E13" s="1911"/>
      <c r="F13" s="1911"/>
      <c r="G13" s="1911"/>
      <c r="H13" s="1911"/>
      <c r="I13" s="1911"/>
      <c r="J13" s="46"/>
      <c r="K13" s="323"/>
      <c r="L13" s="1920"/>
      <c r="M13" s="1920"/>
    </row>
    <row r="14" spans="2:17" ht="12.75" customHeight="1">
      <c r="B14" s="774"/>
      <c r="C14" s="1921" t="s">
        <v>2123</v>
      </c>
      <c r="D14" s="1922"/>
      <c r="E14" s="1905"/>
      <c r="F14" s="1905">
        <f>DAT!AT6</f>
        <v>114467</v>
      </c>
      <c r="G14" s="1905">
        <f>DAT!AU6</f>
        <v>57844</v>
      </c>
      <c r="H14" s="1905">
        <f>DAT!AV6</f>
        <v>29228</v>
      </c>
      <c r="I14" s="1905">
        <f>DAT!AW6</f>
        <v>9743</v>
      </c>
      <c r="J14" s="1915"/>
      <c r="K14" s="323"/>
      <c r="L14" s="1920"/>
      <c r="M14" s="1920"/>
    </row>
    <row r="15" spans="2:17" ht="12.75" customHeight="1">
      <c r="B15" s="774"/>
      <c r="C15" s="1923"/>
      <c r="D15" s="1924"/>
      <c r="E15" s="1906"/>
      <c r="F15" s="1906"/>
      <c r="G15" s="1906"/>
      <c r="H15" s="1906"/>
      <c r="I15" s="1906"/>
      <c r="J15" s="1915"/>
      <c r="K15" s="323"/>
      <c r="L15" s="1920"/>
      <c r="M15" s="1920"/>
    </row>
    <row r="16" spans="2:17" ht="12.75" customHeight="1">
      <c r="B16" s="774"/>
      <c r="C16" s="1916" t="s">
        <v>227</v>
      </c>
      <c r="D16" s="1916"/>
      <c r="E16" s="1916"/>
      <c r="F16" s="1916"/>
      <c r="G16" s="758"/>
      <c r="H16" s="758"/>
      <c r="I16" s="758"/>
      <c r="J16" s="46"/>
      <c r="K16" s="323"/>
      <c r="L16" s="1920"/>
      <c r="M16" s="1920"/>
      <c r="O16" s="1596" t="s">
        <v>228</v>
      </c>
      <c r="P16" s="1597"/>
      <c r="Q16" s="1597"/>
    </row>
    <row r="17" spans="1:17" ht="13.5" customHeight="1">
      <c r="C17" s="1917"/>
      <c r="D17" s="1917"/>
      <c r="E17" s="1917"/>
      <c r="F17" s="1917"/>
      <c r="G17" s="774"/>
      <c r="H17" s="774"/>
      <c r="I17" s="774"/>
      <c r="J17" s="774"/>
      <c r="K17" s="774"/>
      <c r="L17" s="1920"/>
      <c r="M17" s="1920"/>
      <c r="O17" s="1597"/>
      <c r="P17" s="1597"/>
      <c r="Q17" s="1597"/>
    </row>
    <row r="18" spans="1:17" ht="15">
      <c r="B18" s="320" t="s">
        <v>243</v>
      </c>
      <c r="C18" s="1918" t="s">
        <v>360</v>
      </c>
      <c r="D18" s="1918"/>
      <c r="E18" s="1918"/>
      <c r="F18" s="1918"/>
      <c r="G18" s="1918"/>
      <c r="H18" s="1918"/>
      <c r="I18" s="1918"/>
      <c r="J18" s="1918"/>
      <c r="K18" s="774"/>
      <c r="L18" s="774"/>
      <c r="M18" s="774"/>
      <c r="O18" s="1391" t="s">
        <v>226</v>
      </c>
      <c r="P18" s="1391"/>
      <c r="Q18" s="1391"/>
    </row>
    <row r="19" spans="1:17" ht="15">
      <c r="B19" s="320" t="s">
        <v>243</v>
      </c>
      <c r="C19" s="1919" t="str">
        <f>CONCATENATE( "Risk coverage 125 % of Basic Sum Assured.     i.e.  Rs.",(L10*125%))</f>
        <v>Risk coverage 125 % of Basic Sum Assured.     i.e.  Rs.3125000</v>
      </c>
      <c r="D19" s="1919"/>
      <c r="E19" s="1919"/>
      <c r="F19" s="1919"/>
      <c r="G19" s="1919"/>
      <c r="H19" s="1919"/>
      <c r="I19" s="1919"/>
      <c r="J19" s="1919"/>
      <c r="K19" s="774"/>
      <c r="L19" s="774"/>
      <c r="M19" s="774"/>
      <c r="O19" s="1391"/>
      <c r="P19" s="1391"/>
      <c r="Q19" s="1391"/>
    </row>
    <row r="20" spans="1:17" ht="15">
      <c r="B20" s="320" t="s">
        <v>243</v>
      </c>
      <c r="C20" s="1918" t="s">
        <v>248</v>
      </c>
      <c r="D20" s="1918"/>
      <c r="E20" s="1918"/>
      <c r="F20" s="1918"/>
      <c r="G20" s="1918"/>
      <c r="H20" s="1926"/>
      <c r="I20" s="1926"/>
      <c r="J20" s="774"/>
      <c r="K20" s="774"/>
      <c r="L20" s="774"/>
      <c r="M20" s="774"/>
    </row>
    <row r="21" spans="1:17" ht="15">
      <c r="B21" s="320" t="s">
        <v>243</v>
      </c>
      <c r="C21" s="1918" t="s">
        <v>247</v>
      </c>
      <c r="D21" s="1918"/>
      <c r="E21" s="1918"/>
      <c r="F21" s="1918"/>
      <c r="G21" s="1918"/>
      <c r="H21" s="1918"/>
      <c r="I21" s="1918"/>
      <c r="J21" s="774"/>
      <c r="K21" s="774"/>
      <c r="L21" s="774"/>
      <c r="M21" s="774"/>
    </row>
    <row r="22" spans="1:17" ht="18.75">
      <c r="B22" s="320" t="s">
        <v>243</v>
      </c>
      <c r="C22" s="1914" t="s">
        <v>246</v>
      </c>
      <c r="D22" s="1914"/>
      <c r="E22" s="1914"/>
      <c r="F22" s="1914"/>
      <c r="G22" s="1914"/>
      <c r="H22" s="1914"/>
      <c r="I22" s="1914"/>
      <c r="J22" s="774"/>
      <c r="Q22" s="322" t="s">
        <v>359</v>
      </c>
    </row>
    <row r="23" spans="1:17" ht="11.25" customHeight="1">
      <c r="B23" s="321"/>
      <c r="C23" s="1925" t="s">
        <v>245</v>
      </c>
      <c r="D23" s="1925"/>
      <c r="E23" s="1925"/>
      <c r="F23" s="1925"/>
      <c r="G23" s="1925"/>
      <c r="H23" s="1925"/>
      <c r="I23" s="1925"/>
      <c r="J23" s="774"/>
    </row>
    <row r="24" spans="1:17" ht="15">
      <c r="B24" s="320" t="s">
        <v>243</v>
      </c>
      <c r="C24" s="1914" t="s">
        <v>244</v>
      </c>
      <c r="D24" s="1914"/>
      <c r="E24" s="1914"/>
      <c r="F24" s="1914"/>
      <c r="G24" s="1914"/>
      <c r="H24" s="1914"/>
      <c r="I24" s="1914"/>
      <c r="J24" s="774"/>
    </row>
    <row r="25" spans="1:17" ht="15">
      <c r="B25" s="320" t="s">
        <v>243</v>
      </c>
      <c r="C25" s="1927" t="s">
        <v>225</v>
      </c>
      <c r="D25" s="1927"/>
      <c r="E25" s="1927"/>
      <c r="F25" s="1927"/>
      <c r="G25" s="1927"/>
      <c r="H25" s="1927"/>
      <c r="I25" s="1927"/>
      <c r="J25" s="774"/>
    </row>
    <row r="26" spans="1:17" ht="12.75">
      <c r="A26" s="1928"/>
      <c r="B26" s="774"/>
      <c r="C26" s="1929" t="s">
        <v>17</v>
      </c>
      <c r="D26" s="1930" t="s">
        <v>223</v>
      </c>
      <c r="E26" s="1931" t="s">
        <v>222</v>
      </c>
      <c r="F26" s="1933" t="s">
        <v>221</v>
      </c>
      <c r="G26" s="1933"/>
      <c r="H26" s="1933" t="s">
        <v>220</v>
      </c>
      <c r="I26" s="1933" t="s">
        <v>219</v>
      </c>
    </row>
    <row r="27" spans="1:17" ht="12.75">
      <c r="A27" s="1928"/>
      <c r="B27" s="774"/>
      <c r="C27" s="1929"/>
      <c r="D27" s="1930"/>
      <c r="E27" s="1932"/>
      <c r="F27" s="754" t="s">
        <v>217</v>
      </c>
      <c r="G27" s="754" t="s">
        <v>216</v>
      </c>
      <c r="H27" s="1933"/>
      <c r="I27" s="1933"/>
    </row>
    <row r="28" spans="1:17" ht="12.75">
      <c r="A28" s="309">
        <v>0</v>
      </c>
      <c r="B28" s="774"/>
      <c r="C28" s="290">
        <f>L8</f>
        <v>30</v>
      </c>
      <c r="D28" s="290" t="str">
        <f ca="1">IF(A28&lt;$L$9,(((DAY(NOW())&amp;"/")&amp;MONTH(NOW()))&amp;"/")&amp;((YEAR(NOW())))," ")</f>
        <v>9/5/2018</v>
      </c>
      <c r="E28" s="290">
        <f>DAT!AT6</f>
        <v>114467</v>
      </c>
      <c r="F28" s="290">
        <f>IF(A28&lt;$L$9,MAT!AD93," ")</f>
        <v>3247500</v>
      </c>
      <c r="G28" s="290">
        <f>IF(A28&lt;$L$9,MAT!AE93," ")</f>
        <v>5747500</v>
      </c>
      <c r="H28" s="308">
        <v>0</v>
      </c>
      <c r="I28" s="290">
        <v>0</v>
      </c>
      <c r="J28" s="1958" t="s">
        <v>358</v>
      </c>
      <c r="K28" s="1959"/>
      <c r="L28" s="1959"/>
      <c r="M28" s="1959"/>
    </row>
    <row r="29" spans="1:17" ht="12.75">
      <c r="A29" s="309">
        <v>1</v>
      </c>
      <c r="B29" s="774"/>
      <c r="C29" s="319">
        <f t="shared" ref="C29:C62" si="0">IF(A29&lt;$L$9,$C$28+A29," ")</f>
        <v>31</v>
      </c>
      <c r="D29" s="290" t="str">
        <f t="shared" ref="D29:D62" ca="1" si="1">IF(A29&lt;$L$9,(((DAY(NOW())&amp;"/")&amp;MONTH(NOW()))&amp;"/")&amp;((YEAR(NOW())))+A29," ")</f>
        <v>9/5/2019</v>
      </c>
      <c r="E29" s="290">
        <f>IF(A29&lt;$L$9,DAT!$AY$6," ")</f>
        <v>112003</v>
      </c>
      <c r="F29" s="290">
        <f>IF(A29&lt;$L$9,MAT!AD94," ")</f>
        <v>3370000</v>
      </c>
      <c r="G29" s="290">
        <f>IF(A29&lt;$L$9,MAT!AE94," ")</f>
        <v>5870000</v>
      </c>
      <c r="H29" s="308">
        <v>0</v>
      </c>
      <c r="I29" s="290">
        <v>0</v>
      </c>
      <c r="J29" s="1958"/>
      <c r="K29" s="1959"/>
      <c r="L29" s="1959"/>
      <c r="M29" s="1959"/>
    </row>
    <row r="30" spans="1:17" ht="12.75" customHeight="1">
      <c r="A30" s="309">
        <v>2</v>
      </c>
      <c r="B30" s="774"/>
      <c r="C30" s="290">
        <f t="shared" si="0"/>
        <v>32</v>
      </c>
      <c r="D30" s="290" t="str">
        <f t="shared" ca="1" si="1"/>
        <v>9/5/2020</v>
      </c>
      <c r="E30" s="290">
        <f>IF(A30&lt;$L$9,DAT!$AY$6," ")</f>
        <v>112003</v>
      </c>
      <c r="F30" s="290">
        <f>IF(A30&lt;$L$9,MAT!AD95," ")</f>
        <v>3492500</v>
      </c>
      <c r="G30" s="290">
        <f>IF(A30&lt;$L$9,MAT!AE95," ")</f>
        <v>5992500</v>
      </c>
      <c r="H30" s="308">
        <v>0</v>
      </c>
      <c r="I30" s="290">
        <v>0</v>
      </c>
      <c r="J30" s="1975">
        <f>L8+L9</f>
        <v>55</v>
      </c>
      <c r="K30" s="1976" t="s">
        <v>234</v>
      </c>
      <c r="L30" s="1975" t="str">
        <f ca="1">(((DAY(NOW())&amp;"/")&amp;MONTH(NOW()))&amp;"/")&amp;((YEAR(NOW())))+L9</f>
        <v>9/5/2043</v>
      </c>
      <c r="M30" s="1975"/>
    </row>
    <row r="31" spans="1:17" ht="12.75" customHeight="1">
      <c r="A31" s="309">
        <v>3</v>
      </c>
      <c r="B31" s="774"/>
      <c r="C31" s="290">
        <f t="shared" si="0"/>
        <v>33</v>
      </c>
      <c r="D31" s="290" t="str">
        <f t="shared" ca="1" si="1"/>
        <v>9/5/2021</v>
      </c>
      <c r="E31" s="290">
        <f>IF(A31&lt;$L$9,DAT!$AY$6," ")</f>
        <v>112003</v>
      </c>
      <c r="F31" s="290">
        <f>IF(A31&lt;$L$9,MAT!AD96," ")</f>
        <v>3615000</v>
      </c>
      <c r="G31" s="290">
        <f>IF(A31&lt;$L$9,MAT!AE96," ")</f>
        <v>6115000</v>
      </c>
      <c r="H31" s="308">
        <f>IF(A31&lt;$L$9,MAT!T95," ")</f>
        <v>152488</v>
      </c>
      <c r="I31" s="308">
        <f>IF(A31&lt;$L$9,MAT!U95," ")</f>
        <v>122000</v>
      </c>
      <c r="J31" s="1975"/>
      <c r="K31" s="1976"/>
      <c r="L31" s="1975"/>
      <c r="M31" s="1975"/>
    </row>
    <row r="32" spans="1:17" ht="13.5" customHeight="1">
      <c r="A32" s="309">
        <v>4</v>
      </c>
      <c r="B32" s="774"/>
      <c r="C32" s="290">
        <f t="shared" si="0"/>
        <v>34</v>
      </c>
      <c r="D32" s="290" t="str">
        <f t="shared" ca="1" si="1"/>
        <v>9/5/2022</v>
      </c>
      <c r="E32" s="290">
        <f>IF(A32&lt;$L$9,DAT!$AY$6," ")</f>
        <v>112003</v>
      </c>
      <c r="F32" s="290">
        <f>IF(A32&lt;$L$9,MAT!AD97," ")</f>
        <v>3737500</v>
      </c>
      <c r="G32" s="290">
        <f>IF(A32&lt;$L$9,MAT!AE97," ")</f>
        <v>6237500</v>
      </c>
      <c r="H32" s="308">
        <f>IF(A32&lt;$L$9,MAT!T96," ")</f>
        <v>289634</v>
      </c>
      <c r="I32" s="308">
        <f>IF(A32&lt;$L$9,MAT!U96," ")</f>
        <v>231700</v>
      </c>
      <c r="J32" s="1965" t="s">
        <v>241</v>
      </c>
      <c r="K32" s="1966"/>
      <c r="L32" s="1977">
        <f>L10</f>
        <v>2500000</v>
      </c>
      <c r="M32" s="1968"/>
    </row>
    <row r="33" spans="1:13" ht="12" customHeight="1">
      <c r="A33" s="309">
        <v>5</v>
      </c>
      <c r="B33" s="774"/>
      <c r="C33" s="290">
        <f t="shared" si="0"/>
        <v>35</v>
      </c>
      <c r="D33" s="290" t="str">
        <f t="shared" ca="1" si="1"/>
        <v>9/5/2023</v>
      </c>
      <c r="E33" s="290">
        <f>IF(A33&lt;$L$9,DAT!$AY$6," ")</f>
        <v>112003</v>
      </c>
      <c r="F33" s="290">
        <f>IF(A33&lt;$L$9,MAT!AD98," ")</f>
        <v>3860000</v>
      </c>
      <c r="G33" s="290">
        <f>IF(A33&lt;$L$9,MAT!AE98," ")</f>
        <v>6360000</v>
      </c>
      <c r="H33" s="308">
        <f>IF(A33&lt;$L$9,MAT!T97," ")</f>
        <v>362839</v>
      </c>
      <c r="I33" s="308">
        <f>IF(A33&lt;$L$9,MAT!U97," ")</f>
        <v>290300</v>
      </c>
      <c r="J33" s="1965" t="s">
        <v>240</v>
      </c>
      <c r="K33" s="1966"/>
      <c r="L33" s="1967">
        <f>MAT!L93</f>
        <v>3062500</v>
      </c>
      <c r="M33" s="1968"/>
    </row>
    <row r="34" spans="1:13" ht="11.25" customHeight="1">
      <c r="A34" s="309">
        <v>6</v>
      </c>
      <c r="B34" s="774"/>
      <c r="C34" s="290">
        <f t="shared" si="0"/>
        <v>36</v>
      </c>
      <c r="D34" s="290" t="str">
        <f t="shared" ca="1" si="1"/>
        <v>9/5/2024</v>
      </c>
      <c r="E34" s="290">
        <f>IF(A34&lt;$L$9,DAT!$AY$6," ")</f>
        <v>112003</v>
      </c>
      <c r="F34" s="290">
        <f>IF(A34&lt;$L$9,MAT!AD99," ")</f>
        <v>3982500</v>
      </c>
      <c r="G34" s="290">
        <f>IF(A34&lt;$L$9,MAT!AE99," ")</f>
        <v>6482500</v>
      </c>
      <c r="H34" s="308">
        <f>IF(A34&lt;$L$9,MAT!T98," ")</f>
        <v>436656</v>
      </c>
      <c r="I34" s="308">
        <f>IF(A34&lt;$L$9,MAT!U98," ")</f>
        <v>349300</v>
      </c>
      <c r="J34" s="1965" t="str">
        <f>IF(MAT!AA93=0," ","FINAL ADD. BONUS")</f>
        <v>FINAL ADD. BONUS</v>
      </c>
      <c r="K34" s="1966"/>
      <c r="L34" s="1967">
        <f>IF(MAT!AA93=0," ",MAT!AA93)</f>
        <v>1125000</v>
      </c>
      <c r="M34" s="1968"/>
    </row>
    <row r="35" spans="1:13" ht="12.75" customHeight="1">
      <c r="A35" s="309">
        <v>7</v>
      </c>
      <c r="B35" s="774"/>
      <c r="C35" s="290">
        <f t="shared" si="0"/>
        <v>37</v>
      </c>
      <c r="D35" s="290" t="str">
        <f t="shared" ca="1" si="1"/>
        <v>9/5/2025</v>
      </c>
      <c r="E35" s="290">
        <f>IF(A35&lt;$L$9,DAT!$AY$6," ")</f>
        <v>112003</v>
      </c>
      <c r="F35" s="290">
        <f>IF(A35&lt;$L$9,MAT!AD100," ")</f>
        <v>4105000</v>
      </c>
      <c r="G35" s="290">
        <f>IF(A35&lt;$L$9,MAT!AE100," ")</f>
        <v>6605000</v>
      </c>
      <c r="H35" s="308">
        <f>IF(A35&lt;$L$9,MAT!T99," ")</f>
        <v>511233</v>
      </c>
      <c r="I35" s="553">
        <f>IF(A35&lt;$L$9,MAT!U99," ")</f>
        <v>409000</v>
      </c>
      <c r="J35" s="1969" t="s">
        <v>238</v>
      </c>
      <c r="K35" s="1969"/>
      <c r="L35" s="1971">
        <f>MAT!G96</f>
        <v>6687500</v>
      </c>
      <c r="M35" s="1972"/>
    </row>
    <row r="36" spans="1:13" ht="11.25" customHeight="1">
      <c r="A36" s="309">
        <v>8</v>
      </c>
      <c r="B36" s="774"/>
      <c r="C36" s="290">
        <f t="shared" si="0"/>
        <v>38</v>
      </c>
      <c r="D36" s="290" t="str">
        <f t="shared" ca="1" si="1"/>
        <v>9/5/2026</v>
      </c>
      <c r="E36" s="290">
        <f>IF(A36&lt;$L$9,DAT!$AY$6," ")</f>
        <v>112003</v>
      </c>
      <c r="F36" s="290">
        <f>IF(A36&lt;$L$9,MAT!AD101," ")</f>
        <v>4227500</v>
      </c>
      <c r="G36" s="290">
        <f>IF(A36&lt;$L$9,MAT!AE101," ")</f>
        <v>6727500</v>
      </c>
      <c r="H36" s="308">
        <f>IF(A36&lt;$L$9,MAT!T100," ")</f>
        <v>602179</v>
      </c>
      <c r="I36" s="553">
        <f>IF(A36&lt;$L$9,MAT!U100," ")</f>
        <v>481700</v>
      </c>
      <c r="J36" s="1970"/>
      <c r="K36" s="1970"/>
      <c r="L36" s="1973"/>
      <c r="M36" s="1974"/>
    </row>
    <row r="37" spans="1:13" ht="12.75" customHeight="1">
      <c r="A37" s="309">
        <v>9</v>
      </c>
      <c r="B37" s="774"/>
      <c r="C37" s="290">
        <f t="shared" si="0"/>
        <v>39</v>
      </c>
      <c r="D37" s="290" t="str">
        <f t="shared" ca="1" si="1"/>
        <v>9/5/2027</v>
      </c>
      <c r="E37" s="290">
        <f>IF(A37&lt;$L$9,DAT!$AY$6," ")</f>
        <v>112003</v>
      </c>
      <c r="F37" s="290">
        <f>IF(A37&lt;$L$9,MAT!AD102," ")</f>
        <v>4350000</v>
      </c>
      <c r="G37" s="290">
        <f>IF(A37&lt;$L$9,MAT!AE102," ")</f>
        <v>6850000</v>
      </c>
      <c r="H37" s="308">
        <f>IF(A37&lt;$L$9,MAT!T101," ")</f>
        <v>698472</v>
      </c>
      <c r="I37" s="308">
        <f>IF(A37&lt;$L$9,MAT!U101," ")</f>
        <v>558800</v>
      </c>
      <c r="J37" s="1960" t="s">
        <v>215</v>
      </c>
      <c r="K37" s="1961"/>
      <c r="L37" s="1961"/>
      <c r="M37" s="1961"/>
    </row>
    <row r="38" spans="1:13" ht="12" customHeight="1">
      <c r="A38" s="309">
        <v>10</v>
      </c>
      <c r="B38" s="774"/>
      <c r="C38" s="290">
        <f t="shared" si="0"/>
        <v>40</v>
      </c>
      <c r="D38" s="290" t="str">
        <f t="shared" ca="1" si="1"/>
        <v>9/5/2028</v>
      </c>
      <c r="E38" s="290">
        <f>IF(A38&lt;$L$9,DAT!$AY$6," ")</f>
        <v>112003</v>
      </c>
      <c r="F38" s="290">
        <f>IF(A38&lt;$L$9,MAT!AD103," ")</f>
        <v>4472500</v>
      </c>
      <c r="G38" s="290">
        <f>IF(A38&lt;$L$9,MAT!AE103," ")</f>
        <v>6972500</v>
      </c>
      <c r="H38" s="308">
        <f>IF(A38&lt;$L$9,MAT!T102," ")</f>
        <v>800431</v>
      </c>
      <c r="I38" s="308">
        <f>IF(A38&lt;$L$9,MAT!U102," ")</f>
        <v>640300</v>
      </c>
      <c r="J38" s="34"/>
      <c r="K38" s="31" t="s">
        <v>210</v>
      </c>
      <c r="L38" s="1962">
        <f>SUM(E28:E62)</f>
        <v>2802539</v>
      </c>
      <c r="M38" s="1962"/>
    </row>
    <row r="39" spans="1:13" ht="13.5" customHeight="1">
      <c r="A39" s="309">
        <v>11</v>
      </c>
      <c r="B39" s="774"/>
      <c r="C39" s="290">
        <f t="shared" si="0"/>
        <v>41</v>
      </c>
      <c r="D39" s="290" t="str">
        <f t="shared" ca="1" si="1"/>
        <v>9/5/2029</v>
      </c>
      <c r="E39" s="290">
        <f>IF(A39&lt;$L$9,DAT!$AY$6," ")</f>
        <v>112003</v>
      </c>
      <c r="F39" s="290">
        <f>IF(A39&lt;$L$9,MAT!AD104," ")</f>
        <v>4595000</v>
      </c>
      <c r="G39" s="290">
        <f>IF(A39&lt;$L$9,MAT!AE104," ")</f>
        <v>7095000</v>
      </c>
      <c r="H39" s="308">
        <f>IF(A39&lt;$L$9,MAT!T103," ")</f>
        <v>908726</v>
      </c>
      <c r="I39" s="308">
        <f>IF(A39&lt;$L$9,MAT!U103," ")</f>
        <v>727000</v>
      </c>
      <c r="J39" s="1960" t="s">
        <v>214</v>
      </c>
      <c r="K39" s="1961"/>
      <c r="L39" s="1961"/>
      <c r="M39" s="1961"/>
    </row>
    <row r="40" spans="1:13" ht="12.75" customHeight="1">
      <c r="A40" s="309">
        <v>12</v>
      </c>
      <c r="B40" s="774"/>
      <c r="C40" s="290">
        <f t="shared" si="0"/>
        <v>42</v>
      </c>
      <c r="D40" s="290" t="str">
        <f t="shared" ca="1" si="1"/>
        <v>9/5/2030</v>
      </c>
      <c r="E40" s="290">
        <f>IF(A40&lt;$L$9,DAT!$AY$6," ")</f>
        <v>112003</v>
      </c>
      <c r="F40" s="290">
        <f>IF(A40&lt;$L$9,MAT!AD105," ")</f>
        <v>4717500</v>
      </c>
      <c r="G40" s="290">
        <f>IF(A40&lt;$L$9,MAT!AE105," ")</f>
        <v>7217500</v>
      </c>
      <c r="H40" s="308">
        <f>IF(A40&lt;$L$9,MAT!T104," ")</f>
        <v>1017270</v>
      </c>
      <c r="I40" s="308">
        <f>IF(A40&lt;$L$9,MAT!U104," ")</f>
        <v>813800</v>
      </c>
      <c r="J40" s="33"/>
      <c r="K40" s="31" t="s">
        <v>210</v>
      </c>
      <c r="L40" s="1934">
        <f>L35</f>
        <v>6687500</v>
      </c>
      <c r="M40" s="1935"/>
    </row>
    <row r="41" spans="1:13" ht="12.75" customHeight="1">
      <c r="A41" s="309">
        <v>13</v>
      </c>
      <c r="B41" s="774"/>
      <c r="C41" s="290">
        <f t="shared" si="0"/>
        <v>43</v>
      </c>
      <c r="D41" s="290" t="str">
        <f t="shared" ca="1" si="1"/>
        <v>9/5/2031</v>
      </c>
      <c r="E41" s="290">
        <f>IF(A41&lt;$L$9,DAT!$AY$6," ")</f>
        <v>112003</v>
      </c>
      <c r="F41" s="290">
        <f>IF(A41&lt;$L$9,MAT!AD106," ")</f>
        <v>4840000</v>
      </c>
      <c r="G41" s="290">
        <f>IF(A41&lt;$L$9,MAT!AE106," ")</f>
        <v>7340000</v>
      </c>
      <c r="H41" s="308">
        <f>IF(A41&lt;$L$9,MAT!T105," ")</f>
        <v>1185347</v>
      </c>
      <c r="I41" s="308">
        <f>IF(A41&lt;$L$9,MAT!U105," ")</f>
        <v>948300</v>
      </c>
      <c r="J41" s="1963" t="s">
        <v>213</v>
      </c>
      <c r="K41" s="1964"/>
      <c r="L41" s="1964"/>
      <c r="M41" s="1964"/>
    </row>
    <row r="42" spans="1:13" ht="12.75" customHeight="1">
      <c r="A42" s="309">
        <v>14</v>
      </c>
      <c r="B42" s="774"/>
      <c r="C42" s="290">
        <f t="shared" si="0"/>
        <v>44</v>
      </c>
      <c r="D42" s="290" t="str">
        <f t="shared" ca="1" si="1"/>
        <v>9/5/2032</v>
      </c>
      <c r="E42" s="290">
        <f>IF(A42&lt;$L$9,DAT!$AY$6," ")</f>
        <v>112003</v>
      </c>
      <c r="F42" s="290">
        <f>IF(A42&lt;$L$9,MAT!AD107," ")</f>
        <v>5012500</v>
      </c>
      <c r="G42" s="290">
        <f>IF(A42&lt;$L$9,MAT!AE107," ")</f>
        <v>7512500</v>
      </c>
      <c r="H42" s="308">
        <f>IF(A42&lt;$L$9,MAT!T106," ")</f>
        <v>1373404</v>
      </c>
      <c r="I42" s="308">
        <f>IF(A42&lt;$L$9,MAT!U106," ")</f>
        <v>1098700</v>
      </c>
      <c r="J42" s="32"/>
      <c r="K42" s="31" t="s">
        <v>210</v>
      </c>
      <c r="L42" s="1947">
        <f>L40-L38</f>
        <v>3884961</v>
      </c>
      <c r="M42" s="1948"/>
    </row>
    <row r="43" spans="1:13" ht="14.25" customHeight="1">
      <c r="A43" s="309">
        <v>15</v>
      </c>
      <c r="B43" s="774"/>
      <c r="C43" s="290">
        <f t="shared" si="0"/>
        <v>45</v>
      </c>
      <c r="D43" s="290" t="str">
        <f t="shared" ca="1" si="1"/>
        <v>9/5/2033</v>
      </c>
      <c r="E43" s="290">
        <f>IF(A43&lt;$L$9,DAT!$AY$6," ")</f>
        <v>112003</v>
      </c>
      <c r="F43" s="290">
        <f>IF(A43&lt;$L$9,MAT!AD108," ")</f>
        <v>5147500</v>
      </c>
      <c r="G43" s="290">
        <f>IF(A43&lt;$L$9,MAT!AE108," ")</f>
        <v>7647500</v>
      </c>
      <c r="H43" s="308">
        <f>IF(A43&lt;$L$9,MAT!T107," ")</f>
        <v>1582976</v>
      </c>
      <c r="I43" s="308">
        <f>IF(A43&lt;$L$9,MAT!U107," ")</f>
        <v>1266400</v>
      </c>
      <c r="J43" s="318"/>
      <c r="K43" s="317"/>
      <c r="M43" s="316"/>
    </row>
    <row r="44" spans="1:13" ht="14.25" customHeight="1">
      <c r="A44" s="309">
        <v>16</v>
      </c>
      <c r="B44" s="774"/>
      <c r="C44" s="290">
        <f t="shared" si="0"/>
        <v>46</v>
      </c>
      <c r="D44" s="290" t="str">
        <f t="shared" ca="1" si="1"/>
        <v>9/5/2034</v>
      </c>
      <c r="E44" s="290">
        <f>IF(A44&lt;$L$9,DAT!$AY$6," ")</f>
        <v>112003</v>
      </c>
      <c r="F44" s="290">
        <f>IF(A44&lt;$L$9,MAT!AD109," ")</f>
        <v>5282500</v>
      </c>
      <c r="G44" s="290">
        <f>IF(A44&lt;$L$9,MAT!AE109," ")</f>
        <v>7782500</v>
      </c>
      <c r="H44" s="308">
        <f>IF(A44&lt;$L$9,MAT!T108," ")</f>
        <v>1788900</v>
      </c>
      <c r="I44" s="308">
        <f>IF(A44&lt;$L$9,MAT!U108," ")</f>
        <v>1431100</v>
      </c>
      <c r="J44" s="315"/>
      <c r="K44" s="1679" t="str">
        <f>IF(Main!L13="YES","EFFECTIVE    YIELD    -       IRR","INSURING                           LIVES")</f>
        <v>INSURING                           LIVES</v>
      </c>
      <c r="L44" s="1679"/>
      <c r="M44" s="1679"/>
    </row>
    <row r="45" spans="1:13" ht="14.25" customHeight="1">
      <c r="A45" s="309">
        <v>17</v>
      </c>
      <c r="B45" s="774"/>
      <c r="C45" s="290">
        <f t="shared" si="0"/>
        <v>47</v>
      </c>
      <c r="D45" s="290" t="str">
        <f t="shared" ca="1" si="1"/>
        <v>9/5/2035</v>
      </c>
      <c r="E45" s="290">
        <f>IF(A45&lt;$L$9,DAT!$AY$6," ")</f>
        <v>112003</v>
      </c>
      <c r="F45" s="290">
        <f>IF(A45&lt;$L$9,MAT!AD110," ")</f>
        <v>5417500</v>
      </c>
      <c r="G45" s="290">
        <f>IF(A45&lt;$L$9,MAT!AE110," ")</f>
        <v>7917500</v>
      </c>
      <c r="H45" s="308">
        <f>IF(A45&lt;$L$9,MAT!T109," ")</f>
        <v>2019855</v>
      </c>
      <c r="I45" s="308">
        <f>IF(A45&lt;$L$9,MAT!U109," ")</f>
        <v>1615900</v>
      </c>
      <c r="J45" s="315"/>
      <c r="K45" s="1679"/>
      <c r="L45" s="1679"/>
      <c r="M45" s="1679"/>
    </row>
    <row r="46" spans="1:13" ht="14.25" customHeight="1">
      <c r="A46" s="309">
        <v>18</v>
      </c>
      <c r="B46" s="774"/>
      <c r="C46" s="290">
        <f t="shared" si="0"/>
        <v>48</v>
      </c>
      <c r="D46" s="290" t="str">
        <f t="shared" ca="1" si="1"/>
        <v>9/5/2036</v>
      </c>
      <c r="E46" s="290">
        <f>IF(A46&lt;$L$9,DAT!$AY$6," ")</f>
        <v>112003</v>
      </c>
      <c r="F46" s="290">
        <f>IF(A46&lt;$L$9,MAT!AD111," ")</f>
        <v>5577500</v>
      </c>
      <c r="G46" s="290">
        <f>IF(A46&lt;$L$9,MAT!AE111," ")</f>
        <v>8077500</v>
      </c>
      <c r="H46" s="308">
        <f>IF(A46&lt;$L$9,MAT!T110," ")</f>
        <v>2280848</v>
      </c>
      <c r="I46" s="308">
        <f>IF(A46&lt;$L$9,MAT!U110," ")</f>
        <v>1824700</v>
      </c>
      <c r="J46" s="314"/>
      <c r="K46" s="1937" t="str">
        <f>IF(Main!L13="YES",MAT!BR91,"ENSURING              SMILES")</f>
        <v>ENSURING              SMILES</v>
      </c>
      <c r="L46" s="1937"/>
      <c r="M46" s="1937"/>
    </row>
    <row r="47" spans="1:13" ht="15" customHeight="1">
      <c r="A47" s="309">
        <v>19</v>
      </c>
      <c r="B47" s="774"/>
      <c r="C47" s="290">
        <f t="shared" si="0"/>
        <v>49</v>
      </c>
      <c r="D47" s="290" t="str">
        <f t="shared" ca="1" si="1"/>
        <v>9/5/2037</v>
      </c>
      <c r="E47" s="290">
        <f>IF(A47&lt;$L$9,DAT!$AY$6," ")</f>
        <v>112003</v>
      </c>
      <c r="F47" s="290">
        <f>IF(A47&lt;$L$9,MAT!AD112," ")</f>
        <v>5750000</v>
      </c>
      <c r="G47" s="290">
        <f>IF(A47&lt;$L$9,MAT!AE112," ")</f>
        <v>8250000</v>
      </c>
      <c r="H47" s="308">
        <f>IF(A47&lt;$L$9,MAT!T111," ")</f>
        <v>2576661</v>
      </c>
      <c r="I47" s="308">
        <f>IF(A47&lt;$L$9,MAT!U111," ")</f>
        <v>2061300</v>
      </c>
      <c r="J47" s="313"/>
      <c r="K47" s="1937"/>
      <c r="L47" s="1937"/>
      <c r="M47" s="1937"/>
    </row>
    <row r="48" spans="1:13" ht="12.75" customHeight="1">
      <c r="A48" s="309">
        <v>20</v>
      </c>
      <c r="B48" s="774"/>
      <c r="C48" s="290">
        <f t="shared" si="0"/>
        <v>50</v>
      </c>
      <c r="D48" s="290" t="str">
        <f t="shared" ca="1" si="1"/>
        <v>9/5/2038</v>
      </c>
      <c r="E48" s="290">
        <f>IF(A48&lt;$L$9,DAT!$AY$6," ")</f>
        <v>112003</v>
      </c>
      <c r="F48" s="290">
        <f>IF(A48&lt;$L$9,MAT!AD113," ")</f>
        <v>5947500</v>
      </c>
      <c r="G48" s="290">
        <f>IF(A48&lt;$L$9,MAT!AE113," ")</f>
        <v>8447500</v>
      </c>
      <c r="H48" s="308">
        <f>IF(A48&lt;$L$9,MAT!T112," ")</f>
        <v>2914305</v>
      </c>
      <c r="I48" s="308">
        <f>IF(A48&lt;$L$9,MAT!U112," ")</f>
        <v>2331400</v>
      </c>
      <c r="J48" s="312"/>
      <c r="K48" s="1938"/>
      <c r="L48" s="1938"/>
      <c r="M48" s="1938"/>
    </row>
    <row r="49" spans="1:14" ht="14.25" customHeight="1">
      <c r="A49" s="309">
        <v>21</v>
      </c>
      <c r="B49" s="774"/>
      <c r="C49" s="290">
        <f t="shared" si="0"/>
        <v>51</v>
      </c>
      <c r="D49" s="290" t="str">
        <f t="shared" ca="1" si="1"/>
        <v>9/5/2039</v>
      </c>
      <c r="E49" s="290">
        <f>IF(A49&lt;$L$9,DAT!$AY$6," ")</f>
        <v>112003</v>
      </c>
      <c r="F49" s="290">
        <f>IF(A49&lt;$L$9,MAT!AD114," ")</f>
        <v>6195000</v>
      </c>
      <c r="G49" s="290">
        <f>IF(A49&lt;$L$9,MAT!AE114," ")</f>
        <v>8695000</v>
      </c>
      <c r="H49" s="308">
        <f>IF(A49&lt;$L$9,MAT!T113," ")</f>
        <v>3326353</v>
      </c>
      <c r="I49" s="308">
        <f>IF(A49&lt;$L$9,MAT!U113," ")</f>
        <v>2661100</v>
      </c>
      <c r="J49" s="1939" t="s">
        <v>357</v>
      </c>
      <c r="K49" s="1940"/>
      <c r="L49" s="1940"/>
      <c r="M49" s="1941"/>
    </row>
    <row r="50" spans="1:14" ht="11.25" customHeight="1">
      <c r="A50" s="309">
        <v>22</v>
      </c>
      <c r="B50" s="774"/>
      <c r="C50" s="290">
        <f t="shared" si="0"/>
        <v>52</v>
      </c>
      <c r="D50" s="290" t="str">
        <f t="shared" ca="1" si="1"/>
        <v>9/5/2040</v>
      </c>
      <c r="E50" s="290">
        <f>IF(A50&lt;$L$9,DAT!$AY$6," ")</f>
        <v>112003</v>
      </c>
      <c r="F50" s="290">
        <f>IF(A50&lt;$L$9,MAT!AD115," ")</f>
        <v>6567500</v>
      </c>
      <c r="G50" s="290">
        <f>IF(A50&lt;$L$9,MAT!AE115," ")</f>
        <v>9067500</v>
      </c>
      <c r="H50" s="308">
        <f>IF(A50&lt;$L$9,MAT!T114," ")</f>
        <v>3789220</v>
      </c>
      <c r="I50" s="308">
        <f>IF(A50&lt;$L$9,MAT!U114," ")</f>
        <v>3031400</v>
      </c>
      <c r="J50" s="1942"/>
      <c r="K50" s="1943"/>
      <c r="L50" s="1943"/>
      <c r="M50" s="1944"/>
    </row>
    <row r="51" spans="1:14" ht="14.25" customHeight="1">
      <c r="A51" s="309">
        <v>23</v>
      </c>
      <c r="B51" s="774"/>
      <c r="C51" s="290">
        <f t="shared" si="0"/>
        <v>53</v>
      </c>
      <c r="D51" s="290" t="str">
        <f t="shared" ca="1" si="1"/>
        <v>9/5/2041</v>
      </c>
      <c r="E51" s="290">
        <f>IF(A51&lt;$L$9,DAT!$AY$6," ")</f>
        <v>112003</v>
      </c>
      <c r="F51" s="290">
        <f>IF(A51&lt;$L$9,MAT!AD116," ")</f>
        <v>6940000</v>
      </c>
      <c r="G51" s="290">
        <f>IF(A51&lt;$L$9,MAT!AE116," ")</f>
        <v>9440000</v>
      </c>
      <c r="H51" s="308">
        <f>IF(A51&lt;$L$9,MAT!T115," ")</f>
        <v>4310982</v>
      </c>
      <c r="I51" s="308">
        <f>IF(A51&lt;$L$9,MAT!U115," ")</f>
        <v>3448800</v>
      </c>
      <c r="J51" s="1945" t="s">
        <v>356</v>
      </c>
      <c r="K51" s="311">
        <f>J30</f>
        <v>55</v>
      </c>
      <c r="L51" s="1946" t="s">
        <v>355</v>
      </c>
      <c r="M51" s="311">
        <v>100</v>
      </c>
    </row>
    <row r="52" spans="1:14" ht="12.75">
      <c r="A52" s="309">
        <v>24</v>
      </c>
      <c r="B52" s="774"/>
      <c r="C52" s="290">
        <f t="shared" si="0"/>
        <v>54</v>
      </c>
      <c r="D52" s="290" t="str">
        <f t="shared" ca="1" si="1"/>
        <v>9/5/2042</v>
      </c>
      <c r="E52" s="290">
        <f>IF(A52&lt;$L$9,DAT!$AY$6," ")</f>
        <v>112003</v>
      </c>
      <c r="F52" s="290">
        <f>IF(A52&lt;$L$9,MAT!AD117," ")</f>
        <v>7312500</v>
      </c>
      <c r="G52" s="290">
        <f>IF(A52&lt;$L$9,MAT!AE117," ")</f>
        <v>9812500</v>
      </c>
      <c r="H52" s="308">
        <f>IF(A52&lt;$L$9,MAT!T116," ")</f>
        <v>4898916</v>
      </c>
      <c r="I52" s="308">
        <f>IF(A52&lt;$L$9,MAT!U116," ")</f>
        <v>3919100</v>
      </c>
      <c r="J52" s="1945"/>
      <c r="K52" s="310" t="s">
        <v>234</v>
      </c>
      <c r="L52" s="1946"/>
      <c r="M52" s="310" t="s">
        <v>234</v>
      </c>
    </row>
    <row r="53" spans="1:14" ht="12.75">
      <c r="A53" s="309">
        <v>25</v>
      </c>
      <c r="B53" s="774"/>
      <c r="C53" s="290" t="str">
        <f t="shared" si="0"/>
        <v xml:space="preserve"> </v>
      </c>
      <c r="D53" s="290" t="str">
        <f t="shared" ca="1" si="1"/>
        <v xml:space="preserve"> </v>
      </c>
      <c r="E53" s="290" t="str">
        <f>IF(A53&lt;$L$9,DAT!$AY$6," ")</f>
        <v xml:space="preserve"> </v>
      </c>
      <c r="F53" s="290" t="str">
        <f>IF(A53&lt;$L$9,MAT!AD118," ")</f>
        <v xml:space="preserve"> </v>
      </c>
      <c r="G53" s="290" t="str">
        <f>IF(A53&lt;$L$9,MAT!AE118," ")</f>
        <v xml:space="preserve"> </v>
      </c>
      <c r="H53" s="308" t="str">
        <f>IF(A53&lt;$L$9,MAT!T117," ")</f>
        <v xml:space="preserve"> </v>
      </c>
      <c r="I53" s="308" t="str">
        <f>IF(A53&lt;$L$9,MAT!U117," ")</f>
        <v xml:space="preserve"> </v>
      </c>
      <c r="J53" s="1950" t="s">
        <v>210</v>
      </c>
      <c r="K53" s="1951">
        <f>L10</f>
        <v>2500000</v>
      </c>
      <c r="L53" s="1951"/>
      <c r="M53" s="1951"/>
    </row>
    <row r="54" spans="1:14" ht="12.75">
      <c r="A54" s="309">
        <v>26</v>
      </c>
      <c r="B54" s="774"/>
      <c r="C54" s="290" t="str">
        <f t="shared" si="0"/>
        <v xml:space="preserve"> </v>
      </c>
      <c r="D54" s="290" t="str">
        <f t="shared" ca="1" si="1"/>
        <v xml:space="preserve"> </v>
      </c>
      <c r="E54" s="290" t="str">
        <f>IF(A54&lt;$L$9,DAT!$AY$6," ")</f>
        <v xml:space="preserve"> </v>
      </c>
      <c r="F54" s="290" t="str">
        <f>IF(A54&lt;$L$9,MAT!AD119," ")</f>
        <v xml:space="preserve"> </v>
      </c>
      <c r="G54" s="290" t="str">
        <f>IF(A54&lt;$L$9,MAT!AE119," ")</f>
        <v xml:space="preserve"> </v>
      </c>
      <c r="H54" s="308" t="str">
        <f>IF(A54&lt;$L$9,MAT!T118," ")</f>
        <v xml:space="preserve"> </v>
      </c>
      <c r="I54" s="308" t="str">
        <f>IF(A54&lt;$L$9,MAT!U118," ")</f>
        <v xml:space="preserve"> </v>
      </c>
      <c r="J54" s="1950"/>
      <c r="K54" s="1951"/>
      <c r="L54" s="1951"/>
      <c r="M54" s="1951"/>
    </row>
    <row r="55" spans="1:14" ht="13.5" customHeight="1">
      <c r="A55" s="309">
        <v>27</v>
      </c>
      <c r="B55" s="774"/>
      <c r="C55" s="290" t="str">
        <f t="shared" si="0"/>
        <v xml:space="preserve"> </v>
      </c>
      <c r="D55" s="290" t="str">
        <f t="shared" ca="1" si="1"/>
        <v xml:space="preserve"> </v>
      </c>
      <c r="E55" s="290" t="str">
        <f>IF(A55&lt;$L$9,DAT!$AY$6," ")</f>
        <v xml:space="preserve"> </v>
      </c>
      <c r="F55" s="290" t="str">
        <f>IF(A55&lt;$L$9,MAT!AD120," ")</f>
        <v xml:space="preserve"> </v>
      </c>
      <c r="G55" s="290" t="str">
        <f>IF(A55&lt;$L$9,MAT!AE120," ")</f>
        <v xml:space="preserve"> </v>
      </c>
      <c r="H55" s="308" t="str">
        <f>IF(A55&lt;$L$9,MAT!T119," ")</f>
        <v xml:space="preserve"> </v>
      </c>
      <c r="I55" s="308" t="str">
        <f>IF(A55&lt;$L$9,MAT!U119," ")</f>
        <v xml:space="preserve"> </v>
      </c>
      <c r="J55" s="1954" t="s">
        <v>308</v>
      </c>
      <c r="K55" s="1955"/>
      <c r="L55" s="1955"/>
      <c r="M55" s="1955"/>
    </row>
    <row r="56" spans="1:14" ht="12.75">
      <c r="A56" s="309">
        <v>28</v>
      </c>
      <c r="B56" s="774"/>
      <c r="C56" s="290" t="str">
        <f t="shared" si="0"/>
        <v xml:space="preserve"> </v>
      </c>
      <c r="D56" s="290" t="str">
        <f t="shared" ca="1" si="1"/>
        <v xml:space="preserve"> </v>
      </c>
      <c r="E56" s="290" t="str">
        <f>IF(A56&lt;$L$9,DAT!$AY$6," ")</f>
        <v xml:space="preserve"> </v>
      </c>
      <c r="F56" s="290" t="str">
        <f>IF(A56&lt;$L$9,MAT!AD121," ")</f>
        <v xml:space="preserve"> </v>
      </c>
      <c r="G56" s="290" t="str">
        <f>IF(A56&lt;$L$9,MAT!AE121," ")</f>
        <v xml:space="preserve"> </v>
      </c>
      <c r="H56" s="308" t="str">
        <f>IF(A56&lt;$L$9,MAT!T120," ")</f>
        <v xml:space="preserve"> </v>
      </c>
      <c r="I56" s="308" t="str">
        <f>IF(A56&lt;$L$9,MAT!U120," ")</f>
        <v xml:space="preserve"> </v>
      </c>
      <c r="J56" s="1956"/>
      <c r="K56" s="1957"/>
      <c r="L56" s="1957"/>
      <c r="M56" s="1957"/>
    </row>
    <row r="57" spans="1:14" ht="12.75">
      <c r="A57" s="309">
        <v>29</v>
      </c>
      <c r="B57" s="774"/>
      <c r="C57" s="290" t="str">
        <f t="shared" si="0"/>
        <v xml:space="preserve"> </v>
      </c>
      <c r="D57" s="290" t="str">
        <f t="shared" ca="1" si="1"/>
        <v xml:space="preserve"> </v>
      </c>
      <c r="E57" s="290" t="str">
        <f>IF(A57&lt;$L$9,DAT!$AY$6," ")</f>
        <v xml:space="preserve"> </v>
      </c>
      <c r="F57" s="290" t="str">
        <f>IF(A57&lt;$L$9,MAT!AD122," ")</f>
        <v xml:space="preserve"> </v>
      </c>
      <c r="G57" s="290" t="str">
        <f>IF(A57&lt;$L$9,MAT!AE122," ")</f>
        <v xml:space="preserve"> </v>
      </c>
      <c r="H57" s="308" t="str">
        <f>IF(A57&lt;$L$9,MAT!T121," ")</f>
        <v xml:space="preserve"> </v>
      </c>
      <c r="I57" s="308" t="str">
        <f>IF(A57&lt;$L$9,MAT!U121," ")</f>
        <v xml:space="preserve"> </v>
      </c>
      <c r="J57" s="1936" t="str">
        <f>'VASANTHAM HOME'!E9</f>
        <v>ENTER YOUR NAME</v>
      </c>
      <c r="K57" s="1383"/>
      <c r="L57" s="1383"/>
      <c r="M57" s="1383"/>
      <c r="N57" s="234"/>
    </row>
    <row r="58" spans="1:14" ht="12.75">
      <c r="A58" s="309">
        <v>30</v>
      </c>
      <c r="B58" s="774"/>
      <c r="C58" s="290" t="str">
        <f t="shared" si="0"/>
        <v xml:space="preserve"> </v>
      </c>
      <c r="D58" s="290" t="str">
        <f t="shared" ca="1" si="1"/>
        <v xml:space="preserve"> </v>
      </c>
      <c r="E58" s="290" t="str">
        <f>IF(A58&lt;$L$9,DAT!$AY$6," ")</f>
        <v xml:space="preserve"> </v>
      </c>
      <c r="F58" s="290" t="str">
        <f>IF(A58&lt;$L$9,MAT!AD123," ")</f>
        <v xml:space="preserve"> </v>
      </c>
      <c r="G58" s="290" t="str">
        <f>IF(A58&lt;$L$9,MAT!AE123," ")</f>
        <v xml:space="preserve"> </v>
      </c>
      <c r="H58" s="308" t="str">
        <f>IF(A58&lt;$L$9,MAT!T122," ")</f>
        <v xml:space="preserve"> </v>
      </c>
      <c r="I58" s="308" t="str">
        <f>IF(A58&lt;$L$9,MAT!U122," ")</f>
        <v xml:space="preserve"> </v>
      </c>
      <c r="J58" s="1936" t="str">
        <f>'VASANTHAM HOME'!E10</f>
        <v>DESIGNATION</v>
      </c>
      <c r="K58" s="1383"/>
      <c r="L58" s="1383"/>
      <c r="M58" s="1383"/>
    </row>
    <row r="59" spans="1:14" ht="12.75">
      <c r="A59" s="309">
        <v>31</v>
      </c>
      <c r="B59" s="774"/>
      <c r="C59" s="290" t="str">
        <f t="shared" si="0"/>
        <v xml:space="preserve"> </v>
      </c>
      <c r="D59" s="290" t="str">
        <f t="shared" ca="1" si="1"/>
        <v xml:space="preserve"> </v>
      </c>
      <c r="E59" s="290" t="str">
        <f>IF(A59&lt;$L$9,DAT!$AY$6," ")</f>
        <v xml:space="preserve"> </v>
      </c>
      <c r="F59" s="290" t="str">
        <f>IF(A59&lt;$L$9,MAT!AD124," ")</f>
        <v xml:space="preserve"> </v>
      </c>
      <c r="G59" s="290" t="str">
        <f>IF(A59&lt;$L$9,MAT!AE124," ")</f>
        <v xml:space="preserve"> </v>
      </c>
      <c r="H59" s="308" t="str">
        <f>IF(A59&lt;$L$9,MAT!T123," ")</f>
        <v xml:space="preserve"> </v>
      </c>
      <c r="I59" s="308" t="str">
        <f>IF(A59&lt;$L$9,MAT!U123," ")</f>
        <v xml:space="preserve"> </v>
      </c>
      <c r="J59" s="1936" t="str">
        <f>'VASANTHAM HOME'!E11</f>
        <v>ADDRESS 1</v>
      </c>
      <c r="K59" s="1383"/>
      <c r="L59" s="1383"/>
      <c r="M59" s="1383"/>
    </row>
    <row r="60" spans="1:14" ht="12.75">
      <c r="A60" s="309">
        <v>32</v>
      </c>
      <c r="B60" s="774"/>
      <c r="C60" s="290" t="str">
        <f t="shared" si="0"/>
        <v xml:space="preserve"> </v>
      </c>
      <c r="D60" s="290" t="str">
        <f t="shared" ca="1" si="1"/>
        <v xml:space="preserve"> </v>
      </c>
      <c r="E60" s="290" t="str">
        <f>IF(A60&lt;$L$9,DAT!$AY$6," ")</f>
        <v xml:space="preserve"> </v>
      </c>
      <c r="F60" s="290" t="str">
        <f>IF(A60&lt;$L$9,MAT!AD125," ")</f>
        <v xml:space="preserve"> </v>
      </c>
      <c r="G60" s="290" t="str">
        <f>IF(A60&lt;$L$9,MAT!AE125," ")</f>
        <v xml:space="preserve"> </v>
      </c>
      <c r="H60" s="308" t="str">
        <f>IF(A60&lt;$L$9,MAT!T124," ")</f>
        <v xml:space="preserve"> </v>
      </c>
      <c r="I60" s="308" t="str">
        <f>IF(A60&lt;$L$9,MAT!U124," ")</f>
        <v xml:space="preserve"> </v>
      </c>
      <c r="J60" s="1936" t="str">
        <f>'VASANTHAM HOME'!E12</f>
        <v>ADDRESS 2</v>
      </c>
      <c r="K60" s="1383"/>
      <c r="L60" s="1383"/>
      <c r="M60" s="1383"/>
    </row>
    <row r="61" spans="1:14" ht="12.75">
      <c r="A61" s="309">
        <v>33</v>
      </c>
      <c r="B61" s="774"/>
      <c r="C61" s="290" t="str">
        <f t="shared" si="0"/>
        <v xml:space="preserve"> </v>
      </c>
      <c r="D61" s="290" t="str">
        <f t="shared" ca="1" si="1"/>
        <v xml:space="preserve"> </v>
      </c>
      <c r="E61" s="290" t="str">
        <f>IF(A61&lt;$L$9,DAT!$AY$6," ")</f>
        <v xml:space="preserve"> </v>
      </c>
      <c r="F61" s="290" t="str">
        <f>IF(A61&lt;$L$9,MAT!AD126," ")</f>
        <v xml:space="preserve"> </v>
      </c>
      <c r="G61" s="290" t="str">
        <f>IF(A61&lt;$L$9,MAT!AE126," ")</f>
        <v xml:space="preserve"> </v>
      </c>
      <c r="H61" s="308" t="str">
        <f>IF(A61&lt;$L$9,MAT!T125," ")</f>
        <v xml:space="preserve"> </v>
      </c>
      <c r="I61" s="308" t="str">
        <f>IF(A61&lt;$L$9,MAT!U125," ")</f>
        <v xml:space="preserve"> </v>
      </c>
      <c r="J61" s="1936" t="str">
        <f>'VASANTHAM HOME'!E13</f>
        <v>ADDRESS 3</v>
      </c>
      <c r="K61" s="1383"/>
      <c r="L61" s="1383"/>
      <c r="M61" s="1383"/>
    </row>
    <row r="62" spans="1:14" ht="12.75">
      <c r="A62" s="309">
        <v>34</v>
      </c>
      <c r="B62" s="774"/>
      <c r="C62" s="290" t="str">
        <f t="shared" si="0"/>
        <v xml:space="preserve"> </v>
      </c>
      <c r="D62" s="290" t="str">
        <f t="shared" ca="1" si="1"/>
        <v xml:space="preserve"> </v>
      </c>
      <c r="E62" s="290" t="str">
        <f>IF(A62&lt;$L$9,DAT!$AY$6," ")</f>
        <v xml:space="preserve"> </v>
      </c>
      <c r="F62" s="290" t="str">
        <f>IF(A62&lt;$L$9,MAT!AD127," ")</f>
        <v xml:space="preserve"> </v>
      </c>
      <c r="G62" s="290" t="str">
        <f>IF(A62&lt;$L$9,MAT!AE127," ")</f>
        <v xml:space="preserve"> </v>
      </c>
      <c r="H62" s="308" t="str">
        <f>IF(A62&lt;$L$9,MAT!T126," ")</f>
        <v xml:space="preserve"> </v>
      </c>
      <c r="I62" s="308" t="str">
        <f>IF(A62&lt;$L$9,MAT!U126," ")</f>
        <v xml:space="preserve"> </v>
      </c>
      <c r="J62" s="1936" t="str">
        <f>'VASANTHAM HOME'!E14</f>
        <v>MOBILE NO :</v>
      </c>
      <c r="K62" s="1383"/>
      <c r="L62" s="1383"/>
      <c r="M62" s="1383"/>
    </row>
    <row r="63" spans="1:14" ht="12.75">
      <c r="A63" s="307"/>
      <c r="B63" s="1952" t="s">
        <v>209</v>
      </c>
      <c r="C63" s="1953"/>
      <c r="D63" s="306"/>
      <c r="E63" s="306"/>
      <c r="F63" s="306"/>
      <c r="G63" s="306"/>
      <c r="H63" s="306"/>
      <c r="I63" s="306"/>
      <c r="J63" s="1936" t="str">
        <f>'VASANTHAM HOME'!E15</f>
        <v>E.MAIL ID :</v>
      </c>
      <c r="K63" s="1383"/>
      <c r="L63" s="1383"/>
      <c r="M63" s="1383"/>
    </row>
    <row r="64" spans="1:14" ht="12.75">
      <c r="B64" s="1949" t="s">
        <v>2136</v>
      </c>
      <c r="C64" s="1949"/>
      <c r="D64" s="1949"/>
      <c r="E64" s="1949"/>
      <c r="F64" s="1949"/>
      <c r="G64" s="1949"/>
      <c r="H64" s="1949"/>
      <c r="I64" s="1949"/>
      <c r="J64" s="1949"/>
      <c r="K64" s="1949"/>
      <c r="L64" s="1949"/>
      <c r="M64" s="1949"/>
    </row>
    <row r="65" spans="2:13" ht="12.75">
      <c r="B65" s="1949" t="s">
        <v>354</v>
      </c>
      <c r="C65" s="1949"/>
      <c r="D65" s="1949"/>
      <c r="E65" s="1949"/>
      <c r="F65" s="1949"/>
      <c r="G65" s="1949"/>
      <c r="H65" s="1949"/>
      <c r="I65" s="1949"/>
      <c r="J65" s="1949"/>
      <c r="K65" s="1949"/>
      <c r="L65" s="1949"/>
      <c r="M65" s="1949"/>
    </row>
    <row r="66" spans="2:13" ht="12.75">
      <c r="B66" s="774"/>
      <c r="C66" s="774"/>
      <c r="D66" s="774"/>
      <c r="E66" s="774"/>
      <c r="F66" s="774"/>
      <c r="G66" s="774"/>
      <c r="H66" s="774"/>
      <c r="I66" s="774"/>
      <c r="J66" s="774"/>
      <c r="K66" s="774"/>
      <c r="L66" s="774"/>
      <c r="M66" s="774"/>
    </row>
    <row r="67" spans="2:13" ht="12.75" hidden="1"/>
  </sheetData>
  <mergeCells count="79">
    <mergeCell ref="J28:M29"/>
    <mergeCell ref="J37:M37"/>
    <mergeCell ref="L38:M38"/>
    <mergeCell ref="J39:M39"/>
    <mergeCell ref="J41:M41"/>
    <mergeCell ref="J33:K33"/>
    <mergeCell ref="L33:M33"/>
    <mergeCell ref="J34:K34"/>
    <mergeCell ref="L34:M34"/>
    <mergeCell ref="J35:K36"/>
    <mergeCell ref="L35:M36"/>
    <mergeCell ref="J30:J31"/>
    <mergeCell ref="K30:K31"/>
    <mergeCell ref="L30:M31"/>
    <mergeCell ref="J32:K32"/>
    <mergeCell ref="L32:M32"/>
    <mergeCell ref="B64:M64"/>
    <mergeCell ref="B65:M65"/>
    <mergeCell ref="J61:M61"/>
    <mergeCell ref="J53:J54"/>
    <mergeCell ref="K53:M54"/>
    <mergeCell ref="J62:M62"/>
    <mergeCell ref="B63:C63"/>
    <mergeCell ref="J63:M63"/>
    <mergeCell ref="J55:M56"/>
    <mergeCell ref="J57:M57"/>
    <mergeCell ref="J59:M59"/>
    <mergeCell ref="J60:M60"/>
    <mergeCell ref="L40:M40"/>
    <mergeCell ref="J58:M58"/>
    <mergeCell ref="K44:M45"/>
    <mergeCell ref="K46:M48"/>
    <mergeCell ref="J49:M50"/>
    <mergeCell ref="J51:J52"/>
    <mergeCell ref="L51:L52"/>
    <mergeCell ref="L42:M42"/>
    <mergeCell ref="C25:I25"/>
    <mergeCell ref="A26:A27"/>
    <mergeCell ref="C26:C27"/>
    <mergeCell ref="D26:D27"/>
    <mergeCell ref="E26:E27"/>
    <mergeCell ref="F26:G26"/>
    <mergeCell ref="H26:H27"/>
    <mergeCell ref="I26:I27"/>
    <mergeCell ref="C24:I24"/>
    <mergeCell ref="J14:J15"/>
    <mergeCell ref="C16:F17"/>
    <mergeCell ref="O16:Q17"/>
    <mergeCell ref="C18:J18"/>
    <mergeCell ref="O18:Q19"/>
    <mergeCell ref="C19:J19"/>
    <mergeCell ref="L12:M17"/>
    <mergeCell ref="C14:E15"/>
    <mergeCell ref="F14:F15"/>
    <mergeCell ref="C22:I22"/>
    <mergeCell ref="C23:I23"/>
    <mergeCell ref="C20:G20"/>
    <mergeCell ref="H20:I20"/>
    <mergeCell ref="C21:I21"/>
    <mergeCell ref="L2:M2"/>
    <mergeCell ref="L4:M4"/>
    <mergeCell ref="L5:M5"/>
    <mergeCell ref="I14:I15"/>
    <mergeCell ref="G14:G15"/>
    <mergeCell ref="H14:H15"/>
    <mergeCell ref="C10:G10"/>
    <mergeCell ref="J10:K10"/>
    <mergeCell ref="L10:M10"/>
    <mergeCell ref="C12:E13"/>
    <mergeCell ref="F12:F13"/>
    <mergeCell ref="G12:G13"/>
    <mergeCell ref="H12:H13"/>
    <mergeCell ref="I12:I13"/>
    <mergeCell ref="C6:G8"/>
    <mergeCell ref="O8:Q9"/>
    <mergeCell ref="C9:G9"/>
    <mergeCell ref="O10:Q11"/>
    <mergeCell ref="J11:K11"/>
    <mergeCell ref="L11:M11"/>
  </mergeCells>
  <hyperlinks>
    <hyperlink ref="O18:Q19" location="Main!A1" display="CLICK HERE"/>
    <hyperlink ref="O10:Q11" location="'VASANTHAM HOME'!A1" display="CLICK HERE"/>
  </hyperlinks>
  <pageMargins left="0.7" right="0.7" top="0.75" bottom="0.75" header="0.3" footer="0.3"/>
  <pageSetup scale="80" orientation="portrait" r:id="rId1"/>
  <headerFooter>
    <oddFooter>&amp;C&amp;K02-049VASANTHAM SMART</oddFooter>
  </headerFooter>
  <drawing r:id="rId2"/>
</worksheet>
</file>

<file path=xl/worksheets/sheet16.xml><?xml version="1.0" encoding="utf-8"?>
<worksheet xmlns="http://schemas.openxmlformats.org/spreadsheetml/2006/main" xmlns:r="http://schemas.openxmlformats.org/officeDocument/2006/relationships">
  <sheetPr codeName="Sheet25"/>
  <dimension ref="A1:V68"/>
  <sheetViews>
    <sheetView showGridLines="0" showRowColHeaders="0" showWhiteSpace="0" workbookViewId="0">
      <selection activeCell="O21" sqref="O21:Q22"/>
    </sheetView>
  </sheetViews>
  <sheetFormatPr defaultColWidth="0" defaultRowHeight="0" customHeight="1" zeroHeight="1"/>
  <cols>
    <col min="1" max="1" width="6.5" style="763" customWidth="1"/>
    <col min="2" max="2" width="3.625" style="763" customWidth="1"/>
    <col min="3" max="3" width="5.5" style="763" customWidth="1"/>
    <col min="4" max="4" width="9.625" style="763" customWidth="1"/>
    <col min="5" max="5" width="10" style="763" customWidth="1"/>
    <col min="6" max="6" width="11.5" style="763" customWidth="1"/>
    <col min="7" max="7" width="12.375" style="763" customWidth="1"/>
    <col min="8" max="8" width="10.875" style="763" customWidth="1"/>
    <col min="9" max="9" width="10.5" style="763" customWidth="1"/>
    <col min="10" max="10" width="10.375" style="763" customWidth="1"/>
    <col min="11" max="11" width="7.875" style="763" customWidth="1"/>
    <col min="12" max="12" width="11.125" style="763" customWidth="1"/>
    <col min="13" max="13" width="9.625" style="763" customWidth="1"/>
    <col min="14" max="17" width="9.125" style="794" customWidth="1"/>
    <col min="18" max="22" width="0" style="794" hidden="1" customWidth="1"/>
    <col min="23" max="16384" width="9.125" style="794" hidden="1"/>
  </cols>
  <sheetData>
    <row r="1" spans="1:17" s="763" customFormat="1" ht="12.75">
      <c r="A1" s="9"/>
      <c r="B1" s="794"/>
      <c r="C1" s="794"/>
      <c r="D1" s="794"/>
      <c r="E1" s="794"/>
      <c r="F1" s="794"/>
      <c r="G1" s="794"/>
      <c r="H1" s="794"/>
      <c r="I1" s="794"/>
      <c r="J1" s="794"/>
      <c r="K1" s="794"/>
      <c r="L1" s="794"/>
      <c r="M1" s="794"/>
      <c r="N1" s="794"/>
      <c r="O1" s="794"/>
      <c r="P1" s="794"/>
      <c r="Q1" s="794"/>
    </row>
    <row r="2" spans="1:17" s="763" customFormat="1" ht="12.75" customHeight="1">
      <c r="A2" s="9"/>
      <c r="B2" s="794"/>
      <c r="C2" s="794"/>
      <c r="D2" s="777"/>
      <c r="E2" s="777"/>
      <c r="F2" s="794"/>
      <c r="G2" s="794"/>
      <c r="H2" s="794"/>
      <c r="I2" s="794"/>
      <c r="J2" s="794"/>
      <c r="K2" s="794"/>
      <c r="L2" s="1637">
        <f ca="1">TODAY()</f>
        <v>43229</v>
      </c>
      <c r="M2" s="1637"/>
      <c r="N2" s="794"/>
      <c r="O2" s="794"/>
      <c r="P2" s="794"/>
      <c r="Q2" s="794"/>
    </row>
    <row r="3" spans="1:17" s="763" customFormat="1" ht="12.75" customHeight="1">
      <c r="A3" s="9"/>
      <c r="B3" s="794"/>
      <c r="C3" s="794"/>
      <c r="D3" s="777"/>
      <c r="E3" s="777"/>
      <c r="F3" s="794"/>
      <c r="G3" s="794"/>
      <c r="H3" s="794"/>
      <c r="I3" s="794"/>
      <c r="J3" s="794"/>
      <c r="K3" s="794"/>
      <c r="L3" s="794"/>
      <c r="M3" s="794"/>
      <c r="N3" s="794"/>
      <c r="O3" s="794"/>
      <c r="P3" s="794"/>
      <c r="Q3" s="794"/>
    </row>
    <row r="4" spans="1:17" s="763" customFormat="1" ht="12.75" customHeight="1">
      <c r="A4" s="9"/>
      <c r="B4" s="794"/>
      <c r="C4" s="794"/>
      <c r="D4" s="794"/>
      <c r="E4" s="794"/>
      <c r="F4" s="794"/>
      <c r="G4" s="794"/>
      <c r="H4" s="794"/>
      <c r="I4" s="794"/>
      <c r="J4" s="794"/>
      <c r="K4" s="794"/>
      <c r="L4" s="55" t="s">
        <v>254</v>
      </c>
      <c r="M4" s="794"/>
      <c r="N4" s="794"/>
      <c r="O4" s="794"/>
      <c r="P4" s="794"/>
      <c r="Q4" s="794"/>
    </row>
    <row r="5" spans="1:17" s="763" customFormat="1" ht="13.5" customHeight="1">
      <c r="A5" s="9"/>
      <c r="B5" s="794"/>
      <c r="C5" s="1980" t="s">
        <v>253</v>
      </c>
      <c r="D5" s="1980"/>
      <c r="E5" s="1980"/>
      <c r="F5" s="1980"/>
      <c r="G5" s="1980"/>
      <c r="H5" s="794"/>
      <c r="I5" s="794"/>
      <c r="J5" s="794"/>
      <c r="K5" s="794"/>
      <c r="L5" s="55" t="s">
        <v>252</v>
      </c>
      <c r="M5" s="794"/>
      <c r="N5" s="794"/>
      <c r="O5" s="794"/>
      <c r="P5" s="794"/>
      <c r="Q5" s="794"/>
    </row>
    <row r="6" spans="1:17" s="763" customFormat="1" ht="8.25" customHeight="1">
      <c r="A6" s="9"/>
      <c r="B6" s="794"/>
      <c r="C6" s="1980"/>
      <c r="D6" s="1980"/>
      <c r="E6" s="1980"/>
      <c r="F6" s="1980"/>
      <c r="G6" s="1980"/>
      <c r="H6" s="55"/>
      <c r="I6" s="55"/>
      <c r="J6" s="794"/>
      <c r="K6" s="794"/>
      <c r="L6" s="794"/>
      <c r="M6" s="794"/>
      <c r="N6" s="794"/>
      <c r="O6" s="794"/>
      <c r="P6" s="794"/>
      <c r="Q6" s="794"/>
    </row>
    <row r="7" spans="1:17" s="763" customFormat="1" ht="16.5" thickBot="1">
      <c r="A7" s="9"/>
      <c r="B7" s="794"/>
      <c r="C7" s="1981"/>
      <c r="D7" s="1981"/>
      <c r="E7" s="1981"/>
      <c r="F7" s="1981"/>
      <c r="G7" s="1981"/>
      <c r="H7" s="55"/>
      <c r="I7" s="55"/>
      <c r="J7" s="84"/>
      <c r="K7" s="767" t="s">
        <v>251</v>
      </c>
      <c r="L7" s="796">
        <f>Main!E9</f>
        <v>30</v>
      </c>
      <c r="M7" s="82" t="s">
        <v>234</v>
      </c>
      <c r="N7" s="794"/>
      <c r="O7" s="1982" t="s">
        <v>232</v>
      </c>
      <c r="P7" s="1982"/>
      <c r="Q7" s="1982"/>
    </row>
    <row r="8" spans="1:17" s="763" customFormat="1" ht="16.5" thickTop="1">
      <c r="A8" s="9"/>
      <c r="B8" s="794"/>
      <c r="C8" s="1602" t="s">
        <v>231</v>
      </c>
      <c r="D8" s="1602"/>
      <c r="E8" s="1602"/>
      <c r="F8" s="1602"/>
      <c r="G8" s="1602"/>
      <c r="H8" s="55"/>
      <c r="I8" s="55"/>
      <c r="J8" s="83"/>
      <c r="K8" s="767" t="s">
        <v>235</v>
      </c>
      <c r="L8" s="796">
        <f>Main!E11</f>
        <v>25</v>
      </c>
      <c r="M8" s="82" t="s">
        <v>234</v>
      </c>
      <c r="N8" s="794"/>
      <c r="O8" s="1982"/>
      <c r="P8" s="1982"/>
      <c r="Q8" s="1982"/>
    </row>
    <row r="9" spans="1:17" s="763" customFormat="1" ht="15.75">
      <c r="A9" s="9"/>
      <c r="B9" s="794"/>
      <c r="C9" s="1983" t="str">
        <f>CONCATENATE(Main!E8,(Main!F8))</f>
        <v>Sri.soumil</v>
      </c>
      <c r="D9" s="1983"/>
      <c r="E9" s="1983"/>
      <c r="F9" s="1983"/>
      <c r="G9" s="1983"/>
      <c r="H9" s="55"/>
      <c r="I9" s="55"/>
      <c r="J9" s="1984" t="s">
        <v>233</v>
      </c>
      <c r="K9" s="1985"/>
      <c r="L9" s="1986">
        <f>Main!E10</f>
        <v>2500000</v>
      </c>
      <c r="M9" s="1987"/>
      <c r="N9" s="794"/>
      <c r="O9" s="1381" t="s">
        <v>226</v>
      </c>
      <c r="P9" s="1381"/>
      <c r="Q9" s="1381"/>
    </row>
    <row r="10" spans="1:17" s="763" customFormat="1" ht="17.25" customHeight="1">
      <c r="A10" s="9"/>
      <c r="B10" s="794"/>
      <c r="C10" s="75"/>
      <c r="D10" s="75"/>
      <c r="E10" s="75"/>
      <c r="F10" s="75"/>
      <c r="G10" s="75"/>
      <c r="H10" s="75"/>
      <c r="I10" s="777"/>
      <c r="J10" s="1988" t="str">
        <f>IF(Main!L10="YES","TERM RIDER"," ")</f>
        <v>TERM RIDER</v>
      </c>
      <c r="K10" s="1988"/>
      <c r="L10" s="1989">
        <f>IF(Main!L10="YES",Main!N10," ")</f>
        <v>0</v>
      </c>
      <c r="M10" s="1989"/>
      <c r="N10" s="794"/>
      <c r="O10" s="1381"/>
      <c r="P10" s="1381"/>
      <c r="Q10" s="1381"/>
    </row>
    <row r="11" spans="1:17" s="763" customFormat="1" ht="10.5" customHeight="1">
      <c r="A11" s="9"/>
      <c r="B11" s="794"/>
      <c r="C11" s="1910" t="s">
        <v>230</v>
      </c>
      <c r="D11" s="1910"/>
      <c r="E11" s="1910"/>
      <c r="F11" s="1910" t="s">
        <v>16</v>
      </c>
      <c r="G11" s="1910" t="s">
        <v>15</v>
      </c>
      <c r="H11" s="1910" t="s">
        <v>14</v>
      </c>
      <c r="I11" s="1910" t="s">
        <v>229</v>
      </c>
      <c r="L11" s="794"/>
      <c r="M11" s="794"/>
      <c r="N11" s="794"/>
      <c r="O11" s="794"/>
      <c r="P11" s="794"/>
      <c r="Q11" s="794"/>
    </row>
    <row r="12" spans="1:17" s="763" customFormat="1" ht="14.25" customHeight="1">
      <c r="A12" s="9"/>
      <c r="B12" s="794"/>
      <c r="C12" s="1911"/>
      <c r="D12" s="1911"/>
      <c r="E12" s="1911"/>
      <c r="F12" s="1911"/>
      <c r="G12" s="1911"/>
      <c r="H12" s="1911"/>
      <c r="I12" s="1911"/>
      <c r="J12" s="757"/>
      <c r="K12" s="79"/>
      <c r="L12" s="1990" t="str">
        <f>CONCATENATE(" SAVINGS                                    PER DAY", " ", " "," ", " "," "," "," "," ", " "," "," "," "," "," "," ", " "," "," "," "," ", " "," ",   "Rs.  ",(DAT!AZ5)," "," "," ","ONLY")</f>
        <v xml:space="preserve"> SAVINGS                                    PER DAY                      Rs.  272   ONLY</v>
      </c>
      <c r="M12" s="1990"/>
      <c r="N12" s="794"/>
      <c r="O12" s="794"/>
      <c r="P12" s="794"/>
      <c r="Q12" s="794"/>
    </row>
    <row r="13" spans="1:17" s="763" customFormat="1" ht="12.75" customHeight="1">
      <c r="A13" s="9"/>
      <c r="B13" s="794"/>
      <c r="C13" s="1921" t="s">
        <v>2121</v>
      </c>
      <c r="D13" s="1922"/>
      <c r="E13" s="1905"/>
      <c r="F13" s="1905">
        <f>DAT!AT5</f>
        <v>99106</v>
      </c>
      <c r="G13" s="1905">
        <f>DAT!AU5</f>
        <v>50085</v>
      </c>
      <c r="H13" s="1905">
        <f>DAT!AV5</f>
        <v>25309</v>
      </c>
      <c r="I13" s="1905">
        <f>DAT!AW5</f>
        <v>8436</v>
      </c>
      <c r="J13" s="81"/>
      <c r="K13" s="79"/>
      <c r="L13" s="1990"/>
      <c r="M13" s="1990"/>
      <c r="N13" s="794"/>
      <c r="O13" s="794"/>
      <c r="P13" s="794"/>
      <c r="Q13" s="794"/>
    </row>
    <row r="14" spans="1:17" s="763" customFormat="1" ht="12.75" customHeight="1">
      <c r="A14" s="9"/>
      <c r="B14" s="794"/>
      <c r="C14" s="1923"/>
      <c r="D14" s="1924"/>
      <c r="E14" s="1906"/>
      <c r="F14" s="1906"/>
      <c r="G14" s="1906"/>
      <c r="H14" s="1906"/>
      <c r="I14" s="1906"/>
      <c r="J14" s="81"/>
      <c r="K14" s="79"/>
      <c r="L14" s="1990"/>
      <c r="M14" s="1990"/>
      <c r="N14" s="794"/>
      <c r="O14" s="794"/>
      <c r="P14" s="794"/>
      <c r="Q14" s="794"/>
    </row>
    <row r="15" spans="1:17" s="763" customFormat="1" ht="12" customHeight="1">
      <c r="A15" s="9"/>
      <c r="B15" s="794"/>
      <c r="C15" s="1991"/>
      <c r="D15" s="1991"/>
      <c r="E15" s="1991"/>
      <c r="F15" s="80"/>
      <c r="G15" s="25"/>
      <c r="H15" s="25"/>
      <c r="I15" s="25"/>
      <c r="J15" s="13"/>
      <c r="K15" s="79"/>
      <c r="L15" s="1990"/>
      <c r="M15" s="1990"/>
      <c r="N15" s="794"/>
      <c r="O15" s="794"/>
      <c r="P15" s="794"/>
      <c r="Q15" s="794"/>
    </row>
    <row r="16" spans="1:17" s="763" customFormat="1" ht="13.5" customHeight="1">
      <c r="A16" s="9"/>
      <c r="B16" s="794"/>
      <c r="C16" s="1978" t="s">
        <v>227</v>
      </c>
      <c r="D16" s="1978"/>
      <c r="E16" s="1978"/>
      <c r="F16" s="1978"/>
      <c r="G16" s="794"/>
      <c r="H16" s="794"/>
      <c r="I16" s="794"/>
      <c r="L16" s="794"/>
      <c r="M16" s="794"/>
      <c r="N16" s="794"/>
      <c r="O16" s="794"/>
      <c r="P16" s="794"/>
      <c r="Q16" s="794"/>
    </row>
    <row r="17" spans="1:17" s="763" customFormat="1" ht="3" hidden="1" customHeight="1">
      <c r="A17" s="9"/>
      <c r="B17" s="794"/>
      <c r="C17" s="78"/>
      <c r="D17" s="78"/>
      <c r="E17" s="78"/>
      <c r="F17" s="78"/>
      <c r="G17" s="794"/>
      <c r="H17" s="794"/>
      <c r="I17" s="794"/>
      <c r="L17" s="794"/>
      <c r="M17" s="794"/>
      <c r="N17" s="794"/>
      <c r="O17" s="794"/>
      <c r="P17" s="794"/>
      <c r="Q17" s="794"/>
    </row>
    <row r="18" spans="1:17" s="763" customFormat="1" ht="15">
      <c r="A18" s="9"/>
      <c r="B18" s="74" t="s">
        <v>243</v>
      </c>
      <c r="C18" s="1979" t="s">
        <v>250</v>
      </c>
      <c r="D18" s="1979"/>
      <c r="E18" s="1979"/>
      <c r="F18" s="1979"/>
      <c r="G18" s="1979"/>
      <c r="H18" s="77"/>
      <c r="I18" s="77"/>
      <c r="J18" s="794"/>
      <c r="K18" s="794"/>
      <c r="L18" s="794"/>
      <c r="N18" s="794"/>
      <c r="O18" s="794"/>
      <c r="P18" s="794"/>
      <c r="Q18" s="794"/>
    </row>
    <row r="19" spans="1:17" s="763" customFormat="1" ht="15">
      <c r="A19" s="9"/>
      <c r="B19" s="74" t="s">
        <v>243</v>
      </c>
      <c r="C19" s="1979" t="s">
        <v>249</v>
      </c>
      <c r="D19" s="1979"/>
      <c r="E19" s="1979"/>
      <c r="F19" s="1979"/>
      <c r="G19" s="1979"/>
      <c r="H19" s="77"/>
      <c r="I19" s="77"/>
      <c r="J19" s="794"/>
      <c r="K19" s="794"/>
      <c r="L19" s="794"/>
      <c r="N19" s="794"/>
      <c r="O19" s="1994" t="s">
        <v>228</v>
      </c>
      <c r="P19" s="1995"/>
      <c r="Q19" s="1995"/>
    </row>
    <row r="20" spans="1:17" s="763" customFormat="1" ht="15">
      <c r="A20" s="9"/>
      <c r="B20" s="74" t="s">
        <v>243</v>
      </c>
      <c r="C20" s="1979" t="s">
        <v>248</v>
      </c>
      <c r="D20" s="1979"/>
      <c r="E20" s="1979"/>
      <c r="F20" s="1979"/>
      <c r="G20" s="1979"/>
      <c r="H20" s="77"/>
      <c r="I20" s="77"/>
      <c r="J20" s="794"/>
      <c r="K20" s="794"/>
      <c r="L20" s="794"/>
      <c r="M20" s="794"/>
      <c r="N20" s="794"/>
      <c r="O20" s="1995"/>
      <c r="P20" s="1995"/>
      <c r="Q20" s="1995"/>
    </row>
    <row r="21" spans="1:17" s="763" customFormat="1" ht="15.75" customHeight="1">
      <c r="A21" s="9"/>
      <c r="B21" s="74" t="s">
        <v>243</v>
      </c>
      <c r="C21" s="1979" t="s">
        <v>247</v>
      </c>
      <c r="D21" s="1979"/>
      <c r="E21" s="1979"/>
      <c r="F21" s="1979"/>
      <c r="G21" s="1979"/>
      <c r="H21" s="77"/>
      <c r="I21" s="77"/>
      <c r="J21" s="794"/>
      <c r="K21" s="794"/>
      <c r="L21" s="794"/>
      <c r="M21" s="794"/>
      <c r="N21" s="794"/>
      <c r="O21" s="1391" t="s">
        <v>226</v>
      </c>
      <c r="P21" s="1391"/>
      <c r="Q21" s="1391"/>
    </row>
    <row r="22" spans="1:17" s="763" customFormat="1" ht="15.75" customHeight="1">
      <c r="A22" s="9"/>
      <c r="B22" s="74" t="s">
        <v>243</v>
      </c>
      <c r="C22" s="1992" t="s">
        <v>246</v>
      </c>
      <c r="D22" s="1992"/>
      <c r="E22" s="1992"/>
      <c r="F22" s="1992"/>
      <c r="G22" s="1992"/>
      <c r="H22" s="1992"/>
      <c r="I22" s="1992"/>
      <c r="J22" s="794"/>
      <c r="K22" s="794"/>
      <c r="L22" s="794"/>
      <c r="M22" s="794"/>
      <c r="N22" s="794"/>
      <c r="O22" s="1391"/>
      <c r="P22" s="1391"/>
      <c r="Q22" s="1391"/>
    </row>
    <row r="23" spans="1:17" s="763" customFormat="1" ht="14.25">
      <c r="A23" s="9"/>
      <c r="B23" s="76"/>
      <c r="C23" s="1993" t="s">
        <v>245</v>
      </c>
      <c r="D23" s="1993"/>
      <c r="E23" s="1993"/>
      <c r="F23" s="1993"/>
      <c r="G23" s="1993"/>
      <c r="H23" s="1993"/>
      <c r="I23" s="1993"/>
      <c r="J23" s="794"/>
      <c r="K23" s="794"/>
      <c r="L23" s="794"/>
      <c r="M23" s="794"/>
      <c r="N23" s="794"/>
      <c r="O23" s="794"/>
      <c r="P23" s="794"/>
      <c r="Q23" s="794"/>
    </row>
    <row r="24" spans="1:17" s="763" customFormat="1" ht="15">
      <c r="A24" s="9"/>
      <c r="B24" s="74" t="s">
        <v>243</v>
      </c>
      <c r="C24" s="1992" t="s">
        <v>244</v>
      </c>
      <c r="D24" s="1992"/>
      <c r="E24" s="1992"/>
      <c r="F24" s="1992"/>
      <c r="G24" s="1992"/>
      <c r="H24" s="1992"/>
      <c r="I24" s="1992"/>
      <c r="J24" s="794"/>
      <c r="K24" s="794"/>
      <c r="L24" s="794"/>
      <c r="M24" s="794"/>
      <c r="N24" s="794"/>
      <c r="O24" s="75"/>
      <c r="P24" s="794"/>
      <c r="Q24" s="794"/>
    </row>
    <row r="25" spans="1:17" s="763" customFormat="1" ht="15">
      <c r="A25" s="9"/>
      <c r="B25" s="74" t="s">
        <v>243</v>
      </c>
      <c r="C25" s="1996" t="s">
        <v>225</v>
      </c>
      <c r="D25" s="1996"/>
      <c r="E25" s="1996"/>
      <c r="F25" s="1996"/>
      <c r="G25" s="1996"/>
      <c r="H25" s="1996"/>
      <c r="I25" s="1996"/>
      <c r="J25" s="794"/>
      <c r="K25" s="794"/>
      <c r="L25" s="794"/>
      <c r="M25" s="794"/>
      <c r="N25" s="794"/>
      <c r="O25" s="794"/>
      <c r="P25" s="794"/>
      <c r="Q25" s="794"/>
    </row>
    <row r="26" spans="1:17" s="763" customFormat="1" ht="6" customHeight="1">
      <c r="A26" s="9"/>
      <c r="B26" s="74"/>
      <c r="C26" s="1996"/>
      <c r="D26" s="1996"/>
      <c r="E26" s="1996"/>
      <c r="F26" s="1996"/>
      <c r="G26" s="1996"/>
      <c r="H26" s="1996"/>
      <c r="I26" s="1996"/>
      <c r="J26" s="794"/>
      <c r="K26" s="794"/>
      <c r="L26" s="794"/>
      <c r="M26" s="794"/>
      <c r="N26" s="794"/>
      <c r="O26" s="794"/>
      <c r="P26" s="794"/>
      <c r="Q26" s="794"/>
    </row>
    <row r="27" spans="1:17" s="763" customFormat="1" ht="12.75">
      <c r="A27" s="1997"/>
      <c r="B27" s="794"/>
      <c r="C27" s="1929" t="s">
        <v>17</v>
      </c>
      <c r="D27" s="1998" t="s">
        <v>223</v>
      </c>
      <c r="E27" s="1931" t="s">
        <v>222</v>
      </c>
      <c r="F27" s="1933" t="s">
        <v>221</v>
      </c>
      <c r="G27" s="1933"/>
      <c r="H27" s="1933" t="s">
        <v>220</v>
      </c>
      <c r="I27" s="1933" t="s">
        <v>219</v>
      </c>
      <c r="J27" s="794"/>
      <c r="K27" s="794"/>
      <c r="L27" s="794"/>
      <c r="M27" s="794"/>
      <c r="N27" s="794"/>
      <c r="O27" s="794"/>
      <c r="P27" s="794"/>
      <c r="Q27" s="794"/>
    </row>
    <row r="28" spans="1:17" s="763" customFormat="1" ht="12.75">
      <c r="A28" s="1997"/>
      <c r="B28" s="794"/>
      <c r="C28" s="1929"/>
      <c r="D28" s="1998"/>
      <c r="E28" s="1932"/>
      <c r="F28" s="754" t="s">
        <v>217</v>
      </c>
      <c r="G28" s="754" t="s">
        <v>216</v>
      </c>
      <c r="H28" s="1933"/>
      <c r="I28" s="1933"/>
      <c r="J28" s="794"/>
      <c r="K28" s="794"/>
      <c r="L28" s="794"/>
      <c r="M28" s="794"/>
      <c r="N28" s="794"/>
      <c r="O28" s="794"/>
      <c r="P28" s="794"/>
      <c r="Q28" s="794"/>
    </row>
    <row r="29" spans="1:17" s="763" customFormat="1" ht="12.75">
      <c r="A29" s="71">
        <v>0</v>
      </c>
      <c r="B29" s="794"/>
      <c r="C29" s="62">
        <f>L7</f>
        <v>30</v>
      </c>
      <c r="D29" s="62" t="str">
        <f ca="1">IF(A29&lt;$L$8,(((DAY(NOW())&amp;"/")&amp;MONTH(NOW()))&amp;"/")&amp;((YEAR(NOW())))," ")</f>
        <v>9/5/2018</v>
      </c>
      <c r="E29" s="62">
        <f>IF(A29&lt;$L$8,F13," ")</f>
        <v>99106</v>
      </c>
      <c r="F29" s="62">
        <f>IF(A29&lt;$L$8,MAT!AD54," ")</f>
        <v>2620000</v>
      </c>
      <c r="G29" s="62">
        <f>IF(A29&lt;$L$8,MAT!AE54," ")</f>
        <v>5120000</v>
      </c>
      <c r="H29" s="61">
        <v>0</v>
      </c>
      <c r="I29" s="61">
        <v>0</v>
      </c>
      <c r="J29" s="794"/>
      <c r="K29" s="794"/>
      <c r="L29" s="794"/>
      <c r="M29" s="794"/>
      <c r="N29" s="794"/>
      <c r="O29" s="794"/>
      <c r="P29" s="794"/>
      <c r="Q29" s="794"/>
    </row>
    <row r="30" spans="1:17" s="763" customFormat="1" ht="13.5" customHeight="1">
      <c r="A30" s="71">
        <v>1</v>
      </c>
      <c r="B30" s="794"/>
      <c r="C30" s="62">
        <f t="shared" ref="C30:C63" si="0">IF(A30&lt;$L$8,$C$29+A30," ")</f>
        <v>31</v>
      </c>
      <c r="D30" s="62" t="str">
        <f t="shared" ref="D30:D63" ca="1" si="1">IF(A30&lt;$L$8,(((DAY(NOW())&amp;"/")&amp;MONTH(NOW()))&amp;"/")&amp;((YEAR(NOW())))+A30," ")</f>
        <v>9/5/2019</v>
      </c>
      <c r="E30" s="62">
        <f>IF(A30&lt;$L$8,DAT!$AY$5," ")</f>
        <v>96972</v>
      </c>
      <c r="F30" s="62">
        <f>IF(A30&lt;$L$8,MAT!AD55," ")</f>
        <v>2740000</v>
      </c>
      <c r="G30" s="62">
        <f>IF(A30&lt;$L$8,MAT!AE55," ")</f>
        <v>5240000</v>
      </c>
      <c r="H30" s="61">
        <v>0</v>
      </c>
      <c r="I30" s="61">
        <v>0</v>
      </c>
      <c r="J30" s="794"/>
      <c r="K30" s="794"/>
      <c r="L30" s="794"/>
      <c r="M30" s="794"/>
      <c r="N30" s="794"/>
      <c r="O30" s="794"/>
      <c r="P30" s="794"/>
      <c r="Q30" s="794"/>
    </row>
    <row r="31" spans="1:17" s="763" customFormat="1" ht="12.75">
      <c r="A31" s="71">
        <v>2</v>
      </c>
      <c r="B31" s="794"/>
      <c r="C31" s="62">
        <f t="shared" si="0"/>
        <v>32</v>
      </c>
      <c r="D31" s="62" t="str">
        <f t="shared" ca="1" si="1"/>
        <v>9/5/2020</v>
      </c>
      <c r="E31" s="62">
        <f>IF(A31&lt;$L$8,DAT!$AY$5," ")</f>
        <v>96972</v>
      </c>
      <c r="F31" s="62">
        <f>IF(A31&lt;$L$8,MAT!AD56," ")</f>
        <v>2860000</v>
      </c>
      <c r="G31" s="62">
        <f>IF(A31&lt;$L$8,MAT!AE56," ")</f>
        <v>5360000</v>
      </c>
      <c r="H31" s="61">
        <v>0</v>
      </c>
      <c r="I31" s="61">
        <v>0</v>
      </c>
      <c r="J31" s="794"/>
      <c r="K31" s="794"/>
      <c r="L31" s="794"/>
      <c r="M31" s="794"/>
      <c r="N31" s="794"/>
      <c r="O31" s="794"/>
      <c r="P31" s="794"/>
      <c r="Q31" s="794"/>
    </row>
    <row r="32" spans="1:17" s="763" customFormat="1" ht="12.75">
      <c r="A32" s="71">
        <v>3</v>
      </c>
      <c r="B32" s="794"/>
      <c r="C32" s="62">
        <f t="shared" si="0"/>
        <v>33</v>
      </c>
      <c r="D32" s="62" t="str">
        <f t="shared" ca="1" si="1"/>
        <v>9/5/2021</v>
      </c>
      <c r="E32" s="62">
        <f>IF(A32&lt;$L$8,DAT!$AY$5," ")</f>
        <v>96972</v>
      </c>
      <c r="F32" s="62">
        <f>IF(A32&lt;$L$8,MAT!AD57," ")</f>
        <v>2980000</v>
      </c>
      <c r="G32" s="62">
        <f>IF(A32&lt;$L$8,MAT!AE57," ")</f>
        <v>5480000</v>
      </c>
      <c r="H32" s="61">
        <f>IF(A32&lt;$L$8,MAT!T56," ")</f>
        <v>138112</v>
      </c>
      <c r="I32" s="61">
        <f>IF(A32&lt;$L$8,MAT!U56," ")</f>
        <v>110500</v>
      </c>
      <c r="J32" s="794"/>
      <c r="K32" s="794"/>
      <c r="L32" s="794"/>
      <c r="M32" s="794"/>
      <c r="N32" s="794"/>
      <c r="O32" s="794"/>
      <c r="P32" s="794"/>
      <c r="Q32" s="794"/>
    </row>
    <row r="33" spans="1:13" ht="14.25" customHeight="1">
      <c r="A33" s="71">
        <v>4</v>
      </c>
      <c r="B33" s="794"/>
      <c r="C33" s="62">
        <f t="shared" si="0"/>
        <v>34</v>
      </c>
      <c r="D33" s="62" t="str">
        <f t="shared" ca="1" si="1"/>
        <v>9/5/2022</v>
      </c>
      <c r="E33" s="62">
        <f>IF(A33&lt;$L$8,DAT!$AY$5," ")</f>
        <v>96972</v>
      </c>
      <c r="F33" s="62">
        <f>IF(A33&lt;$L$8,MAT!AD58," ")</f>
        <v>3100000</v>
      </c>
      <c r="G33" s="62">
        <f>IF(A33&lt;$L$8,MAT!AE58," ")</f>
        <v>5600000</v>
      </c>
      <c r="H33" s="61">
        <f>IF(A33&lt;$L$8,MAT!T57," ")</f>
        <v>258692</v>
      </c>
      <c r="I33" s="61">
        <f>IF(A33&lt;$L$8,MAT!U57," ")</f>
        <v>207000</v>
      </c>
      <c r="J33" s="1999" t="s">
        <v>242</v>
      </c>
      <c r="K33" s="2000"/>
      <c r="L33" s="2000"/>
      <c r="M33" s="2001"/>
    </row>
    <row r="34" spans="1:13" ht="12.75" customHeight="1">
      <c r="A34" s="71">
        <v>5</v>
      </c>
      <c r="B34" s="794"/>
      <c r="C34" s="62">
        <f t="shared" si="0"/>
        <v>35</v>
      </c>
      <c r="D34" s="62" t="str">
        <f t="shared" ca="1" si="1"/>
        <v>9/5/2023</v>
      </c>
      <c r="E34" s="62">
        <f>IF(A34&lt;$L$8,DAT!$AY$5," ")</f>
        <v>96972</v>
      </c>
      <c r="F34" s="62">
        <f>IF(A34&lt;$L$8,MAT!AD59," ")</f>
        <v>3220000</v>
      </c>
      <c r="G34" s="62">
        <f>IF(A34&lt;$L$8,MAT!AE59," ")</f>
        <v>5720000</v>
      </c>
      <c r="H34" s="61">
        <f>IF(A34&lt;$L$8,MAT!T58," ")</f>
        <v>324145</v>
      </c>
      <c r="I34" s="61">
        <f>IF(A34&lt;$L$8,MAT!U58," ")</f>
        <v>259300</v>
      </c>
      <c r="J34" s="1999"/>
      <c r="K34" s="2000"/>
      <c r="L34" s="2000"/>
      <c r="M34" s="2001"/>
    </row>
    <row r="35" spans="1:13" ht="12.75" customHeight="1">
      <c r="A35" s="71">
        <v>6</v>
      </c>
      <c r="B35" s="794"/>
      <c r="C35" s="62">
        <f t="shared" si="0"/>
        <v>36</v>
      </c>
      <c r="D35" s="62" t="str">
        <f t="shared" ca="1" si="1"/>
        <v>9/5/2024</v>
      </c>
      <c r="E35" s="62">
        <f>IF(A35&lt;$L$8,DAT!$AY$5," ")</f>
        <v>96972</v>
      </c>
      <c r="F35" s="62">
        <f>IF(A35&lt;$L$8,MAT!AD60," ")</f>
        <v>3340000</v>
      </c>
      <c r="G35" s="62">
        <f>IF(A35&lt;$L$8,MAT!AE60," ")</f>
        <v>5840000</v>
      </c>
      <c r="H35" s="61">
        <f>IF(A35&lt;$L$8,MAT!T59," ")</f>
        <v>390198</v>
      </c>
      <c r="I35" s="61">
        <f>IF(A35&lt;$L$8,MAT!U59," ")</f>
        <v>312200</v>
      </c>
      <c r="J35" s="2002">
        <f>L7+L8</f>
        <v>55</v>
      </c>
      <c r="K35" s="2003" t="s">
        <v>234</v>
      </c>
      <c r="L35" s="2004" t="str">
        <f ca="1">(((DAY(NOW())&amp;"/")&amp;MONTH(NOW()))&amp;"/")&amp;((YEAR(NOW())))+L8</f>
        <v>9/5/2043</v>
      </c>
      <c r="M35" s="2005"/>
    </row>
    <row r="36" spans="1:13" ht="12.75" customHeight="1">
      <c r="A36" s="71">
        <v>7</v>
      </c>
      <c r="B36" s="794"/>
      <c r="C36" s="62">
        <f t="shared" si="0"/>
        <v>37</v>
      </c>
      <c r="D36" s="62" t="str">
        <f t="shared" ca="1" si="1"/>
        <v>9/5/2025</v>
      </c>
      <c r="E36" s="62">
        <f>IF(A36&lt;$L$8,DAT!$AY$5," ")</f>
        <v>96972</v>
      </c>
      <c r="F36" s="62">
        <f>IF(A36&lt;$L$8,MAT!AD61," ")</f>
        <v>3460000</v>
      </c>
      <c r="G36" s="62">
        <f>IF(A36&lt;$L$8,MAT!AE61," ")</f>
        <v>5960000</v>
      </c>
      <c r="H36" s="61">
        <f>IF(A36&lt;$L$8,MAT!T60," ")</f>
        <v>456995</v>
      </c>
      <c r="I36" s="61">
        <f>IF(A36&lt;$L$8,MAT!U60," ")</f>
        <v>365600</v>
      </c>
      <c r="J36" s="2002"/>
      <c r="K36" s="2003"/>
      <c r="L36" s="2004"/>
      <c r="M36" s="2005"/>
    </row>
    <row r="37" spans="1:13" ht="15">
      <c r="A37" s="71">
        <v>8</v>
      </c>
      <c r="B37" s="794"/>
      <c r="C37" s="62">
        <f t="shared" si="0"/>
        <v>38</v>
      </c>
      <c r="D37" s="62" t="str">
        <f t="shared" ca="1" si="1"/>
        <v>9/5/2026</v>
      </c>
      <c r="E37" s="62">
        <f>IF(A37&lt;$L$8,DAT!$AY$5," ")</f>
        <v>96972</v>
      </c>
      <c r="F37" s="62">
        <f>IF(A37&lt;$L$8,MAT!AD62," ")</f>
        <v>3580000</v>
      </c>
      <c r="G37" s="62">
        <f>IF(A37&lt;$L$8,MAT!AE62," ")</f>
        <v>6080000</v>
      </c>
      <c r="H37" s="61">
        <f>IF(A37&lt;$L$8,MAT!T61," ")</f>
        <v>538065</v>
      </c>
      <c r="I37" s="61">
        <f>IF(A37&lt;$L$8,MAT!U61," ")</f>
        <v>430500</v>
      </c>
      <c r="J37" s="2006" t="s">
        <v>241</v>
      </c>
      <c r="K37" s="2007"/>
      <c r="L37" s="2008">
        <f>L9</f>
        <v>2500000</v>
      </c>
      <c r="M37" s="2008"/>
    </row>
    <row r="38" spans="1:13" ht="15">
      <c r="A38" s="71">
        <v>9</v>
      </c>
      <c r="B38" s="794"/>
      <c r="C38" s="62">
        <f t="shared" si="0"/>
        <v>39</v>
      </c>
      <c r="D38" s="62" t="str">
        <f t="shared" ca="1" si="1"/>
        <v>9/5/2027</v>
      </c>
      <c r="E38" s="62">
        <f>IF(A38&lt;$L$8,DAT!$AY$5," ")</f>
        <v>96972</v>
      </c>
      <c r="F38" s="62">
        <f>IF(A38&lt;$L$8,MAT!AD63," ")</f>
        <v>3700000</v>
      </c>
      <c r="G38" s="62">
        <f>IF(A38&lt;$L$8,MAT!AE63," ")</f>
        <v>6200000</v>
      </c>
      <c r="H38" s="61">
        <f>IF(A38&lt;$L$8,MAT!T62," ")</f>
        <v>623921</v>
      </c>
      <c r="I38" s="61">
        <f>IF(A38&lt;$L$8,MAT!U62," ")</f>
        <v>499100</v>
      </c>
      <c r="J38" s="2006" t="s">
        <v>240</v>
      </c>
      <c r="K38" s="2007"/>
      <c r="L38" s="2009">
        <f>MAT!L54</f>
        <v>3000000</v>
      </c>
      <c r="M38" s="2008"/>
    </row>
    <row r="39" spans="1:13" ht="15">
      <c r="A39" s="71">
        <v>10</v>
      </c>
      <c r="B39" s="794"/>
      <c r="C39" s="62">
        <f t="shared" si="0"/>
        <v>40</v>
      </c>
      <c r="D39" s="62" t="str">
        <f t="shared" ca="1" si="1"/>
        <v>9/5/2028</v>
      </c>
      <c r="E39" s="62">
        <f>IF(A39&lt;$L$8,DAT!$AY$5," ")</f>
        <v>96972</v>
      </c>
      <c r="F39" s="62">
        <f>IF(A39&lt;$L$8,MAT!AD64," ")</f>
        <v>3820000</v>
      </c>
      <c r="G39" s="62">
        <f>IF(A39&lt;$L$8,MAT!AE64," ")</f>
        <v>6320000</v>
      </c>
      <c r="H39" s="61">
        <f>IF(A39&lt;$L$8,MAT!T63," ")</f>
        <v>724240</v>
      </c>
      <c r="I39" s="61">
        <f>IF(A39&lt;$L$8,MAT!U63," ")</f>
        <v>579400</v>
      </c>
      <c r="J39" s="2006" t="s">
        <v>239</v>
      </c>
      <c r="K39" s="2007"/>
      <c r="L39" s="2009">
        <f>MAT!AA54</f>
        <v>1125000</v>
      </c>
      <c r="M39" s="2008"/>
    </row>
    <row r="40" spans="1:13" ht="14.25" customHeight="1">
      <c r="A40" s="71">
        <v>11</v>
      </c>
      <c r="B40" s="794"/>
      <c r="C40" s="62">
        <f t="shared" si="0"/>
        <v>41</v>
      </c>
      <c r="D40" s="62" t="str">
        <f t="shared" ca="1" si="1"/>
        <v>9/5/2029</v>
      </c>
      <c r="E40" s="62">
        <f>IF(A40&lt;$L$8,DAT!$AY$5," ")</f>
        <v>96972</v>
      </c>
      <c r="F40" s="62">
        <f>IF(A40&lt;$L$8,MAT!AD65," ")</f>
        <v>3940000</v>
      </c>
      <c r="G40" s="62">
        <f>IF(A40&lt;$L$8,MAT!AE65," ")</f>
        <v>6440000</v>
      </c>
      <c r="H40" s="61">
        <f>IF(A40&lt;$L$8,MAT!T64," ")</f>
        <v>857164</v>
      </c>
      <c r="I40" s="61">
        <f>IF(A40&lt;$L$8,MAT!U64," ")</f>
        <v>685700</v>
      </c>
      <c r="J40" s="2010" t="s">
        <v>238</v>
      </c>
      <c r="K40" s="2010"/>
      <c r="L40" s="2011">
        <f>MAT!G57</f>
        <v>6625000</v>
      </c>
      <c r="M40" s="2012"/>
    </row>
    <row r="41" spans="1:13" ht="12.75" customHeight="1">
      <c r="A41" s="71">
        <v>12</v>
      </c>
      <c r="B41" s="794"/>
      <c r="C41" s="62">
        <f t="shared" si="0"/>
        <v>42</v>
      </c>
      <c r="D41" s="62" t="str">
        <f t="shared" ca="1" si="1"/>
        <v>9/5/2030</v>
      </c>
      <c r="E41" s="62">
        <f>IF(A41&lt;$L$8,DAT!$AY$5," ")</f>
        <v>96972</v>
      </c>
      <c r="F41" s="62">
        <f>IF(A41&lt;$L$8,MAT!AD66," ")</f>
        <v>4060000</v>
      </c>
      <c r="G41" s="62">
        <f>IF(A41&lt;$L$8,MAT!AE66," ")</f>
        <v>6560000</v>
      </c>
      <c r="H41" s="61">
        <f>IF(A41&lt;$L$8,MAT!T65," ")</f>
        <v>1005840</v>
      </c>
      <c r="I41" s="61">
        <f>IF(A41&lt;$L$8,MAT!U65," ")</f>
        <v>804700</v>
      </c>
      <c r="J41" s="73"/>
      <c r="K41" s="72"/>
      <c r="L41" s="72"/>
      <c r="M41" s="72"/>
    </row>
    <row r="42" spans="1:13" ht="12.75" customHeight="1">
      <c r="A42" s="71">
        <v>13</v>
      </c>
      <c r="B42" s="794"/>
      <c r="C42" s="62">
        <f t="shared" si="0"/>
        <v>43</v>
      </c>
      <c r="D42" s="62" t="str">
        <f t="shared" ca="1" si="1"/>
        <v>9/5/2031</v>
      </c>
      <c r="E42" s="62">
        <f>IF(A42&lt;$L$8,DAT!$AY$5," ")</f>
        <v>96972</v>
      </c>
      <c r="F42" s="62">
        <f>IF(A42&lt;$L$8,MAT!AD67," ")</f>
        <v>4180000</v>
      </c>
      <c r="G42" s="62">
        <f>IF(A42&lt;$L$8,MAT!AE67," ")</f>
        <v>6680000</v>
      </c>
      <c r="H42" s="61">
        <f>IF(A42&lt;$L$8,MAT!T66," ")</f>
        <v>1172028</v>
      </c>
      <c r="I42" s="61">
        <f>IF(A42&lt;$L$8,MAT!U66," ")</f>
        <v>937600</v>
      </c>
      <c r="J42" s="1960" t="s">
        <v>215</v>
      </c>
      <c r="K42" s="1961"/>
      <c r="L42" s="1961"/>
      <c r="M42" s="1961"/>
    </row>
    <row r="43" spans="1:13" ht="12.75" customHeight="1">
      <c r="A43" s="71">
        <v>14</v>
      </c>
      <c r="B43" s="794"/>
      <c r="C43" s="62">
        <f t="shared" si="0"/>
        <v>44</v>
      </c>
      <c r="D43" s="62" t="str">
        <f t="shared" ca="1" si="1"/>
        <v>9/5/2032</v>
      </c>
      <c r="E43" s="62">
        <f>IF(A43&lt;$L$8,DAT!$AY$5," ")</f>
        <v>96972</v>
      </c>
      <c r="F43" s="62">
        <f>IF(A43&lt;$L$8,MAT!AD68," ")</f>
        <v>4350000</v>
      </c>
      <c r="G43" s="62">
        <f>IF(A43&lt;$L$8,MAT!AE68," ")</f>
        <v>6850000</v>
      </c>
      <c r="H43" s="61">
        <f>IF(A43&lt;$L$8,MAT!T67," ")</f>
        <v>1357972</v>
      </c>
      <c r="I43" s="61">
        <f>IF(A43&lt;$L$8,MAT!U67," ")</f>
        <v>1086400</v>
      </c>
      <c r="J43" s="34"/>
      <c r="K43" s="31" t="s">
        <v>210</v>
      </c>
      <c r="L43" s="1962">
        <f>SUM(E29:E63)</f>
        <v>2426434</v>
      </c>
      <c r="M43" s="1962"/>
    </row>
    <row r="44" spans="1:13" ht="15.75" customHeight="1">
      <c r="A44" s="71">
        <v>15</v>
      </c>
      <c r="B44" s="794"/>
      <c r="C44" s="62">
        <f t="shared" si="0"/>
        <v>45</v>
      </c>
      <c r="D44" s="62" t="str">
        <f t="shared" ca="1" si="1"/>
        <v>9/5/2033</v>
      </c>
      <c r="E44" s="62">
        <f>IF(A44&lt;$L$8,DAT!$AY$5," ")</f>
        <v>96972</v>
      </c>
      <c r="F44" s="62">
        <f>IF(A44&lt;$L$8,MAT!AD69," ")</f>
        <v>4482500</v>
      </c>
      <c r="G44" s="62">
        <f>IF(A44&lt;$L$8,MAT!AE69," ")</f>
        <v>6982500</v>
      </c>
      <c r="H44" s="61">
        <f>IF(A44&lt;$L$8,MAT!T68," ")</f>
        <v>1565190</v>
      </c>
      <c r="I44" s="61">
        <f>IF(A44&lt;$L$8,MAT!U68," ")</f>
        <v>1252200</v>
      </c>
      <c r="J44" s="1960" t="s">
        <v>214</v>
      </c>
      <c r="K44" s="1961"/>
      <c r="L44" s="1961"/>
      <c r="M44" s="1961"/>
    </row>
    <row r="45" spans="1:13" ht="14.25" customHeight="1">
      <c r="A45" s="71">
        <v>16</v>
      </c>
      <c r="B45" s="794"/>
      <c r="C45" s="62">
        <f t="shared" si="0"/>
        <v>46</v>
      </c>
      <c r="D45" s="62" t="str">
        <f t="shared" ca="1" si="1"/>
        <v>9/5/2034</v>
      </c>
      <c r="E45" s="62">
        <f>IF(A45&lt;$L$8,DAT!$AY$5," ")</f>
        <v>96972</v>
      </c>
      <c r="F45" s="62">
        <f>IF(A45&lt;$L$8,MAT!AD70," ")</f>
        <v>4615000</v>
      </c>
      <c r="G45" s="62">
        <f>IF(A45&lt;$L$8,MAT!AE70," ")</f>
        <v>7115000</v>
      </c>
      <c r="H45" s="61">
        <f>IF(A45&lt;$L$8,MAT!T69," ")</f>
        <v>1768800</v>
      </c>
      <c r="I45" s="61">
        <f>IF(A45&lt;$L$8,MAT!U69," ")</f>
        <v>1415000</v>
      </c>
      <c r="J45" s="33"/>
      <c r="K45" s="31" t="s">
        <v>210</v>
      </c>
      <c r="L45" s="1934">
        <f>L40</f>
        <v>6625000</v>
      </c>
      <c r="M45" s="1935"/>
    </row>
    <row r="46" spans="1:13" ht="12.75" customHeight="1">
      <c r="A46" s="71">
        <v>17</v>
      </c>
      <c r="B46" s="794"/>
      <c r="C46" s="62">
        <f t="shared" si="0"/>
        <v>47</v>
      </c>
      <c r="D46" s="62" t="str">
        <f t="shared" ca="1" si="1"/>
        <v>9/5/2035</v>
      </c>
      <c r="E46" s="62">
        <f>IF(A46&lt;$L$8,DAT!$AY$5," ")</f>
        <v>96972</v>
      </c>
      <c r="F46" s="62">
        <f>IF(A46&lt;$L$8,MAT!AD71," ")</f>
        <v>4747500</v>
      </c>
      <c r="G46" s="62">
        <f>IF(A46&lt;$L$8,MAT!AE71," ")</f>
        <v>7247500</v>
      </c>
      <c r="H46" s="61">
        <f>IF(A46&lt;$L$8,MAT!T70," ")</f>
        <v>1997160</v>
      </c>
      <c r="I46" s="61">
        <f>IF(A46&lt;$L$8,MAT!U70," ")</f>
        <v>1597700</v>
      </c>
      <c r="J46" s="1963" t="s">
        <v>213</v>
      </c>
      <c r="K46" s="1964"/>
      <c r="L46" s="1964"/>
      <c r="M46" s="1964"/>
    </row>
    <row r="47" spans="1:13" ht="13.5" customHeight="1">
      <c r="A47" s="71">
        <v>18</v>
      </c>
      <c r="B47" s="794"/>
      <c r="C47" s="62">
        <f t="shared" si="0"/>
        <v>48</v>
      </c>
      <c r="D47" s="62" t="str">
        <f t="shared" ca="1" si="1"/>
        <v>9/5/2036</v>
      </c>
      <c r="E47" s="62">
        <f>IF(A47&lt;$L$8,DAT!$AY$5," ")</f>
        <v>96972</v>
      </c>
      <c r="F47" s="62">
        <f>IF(A47&lt;$L$8,MAT!AD72," ")</f>
        <v>4905000</v>
      </c>
      <c r="G47" s="62">
        <f>IF(A47&lt;$L$8,MAT!AE72," ")</f>
        <v>7405000</v>
      </c>
      <c r="H47" s="61">
        <f>IF(A47&lt;$L$8,MAT!T71," ")</f>
        <v>2255220</v>
      </c>
      <c r="I47" s="61">
        <f>IF(A47&lt;$L$8,MAT!U71," ")</f>
        <v>1804200</v>
      </c>
      <c r="J47" s="32"/>
      <c r="K47" s="31" t="s">
        <v>210</v>
      </c>
      <c r="L47" s="1947">
        <f>L45-L43</f>
        <v>4198566</v>
      </c>
      <c r="M47" s="1948"/>
    </row>
    <row r="48" spans="1:13" ht="13.5" customHeight="1">
      <c r="A48" s="71">
        <v>19</v>
      </c>
      <c r="B48" s="794"/>
      <c r="C48" s="62">
        <f t="shared" si="0"/>
        <v>49</v>
      </c>
      <c r="D48" s="62" t="str">
        <f t="shared" ca="1" si="1"/>
        <v>9/5/2037</v>
      </c>
      <c r="E48" s="62">
        <f>IF(A48&lt;$L$8,DAT!$AY$5," ")</f>
        <v>96972</v>
      </c>
      <c r="F48" s="62">
        <f>IF(A48&lt;$L$8,MAT!AD73," ")</f>
        <v>5075000</v>
      </c>
      <c r="G48" s="62">
        <f>IF(A48&lt;$L$8,MAT!AE73," ")</f>
        <v>7575000</v>
      </c>
      <c r="H48" s="61">
        <f>IF(A48&lt;$L$8,MAT!T72," ")</f>
        <v>2547710</v>
      </c>
      <c r="I48" s="61">
        <f>IF(A48&lt;$L$8,MAT!U72," ")</f>
        <v>2038200</v>
      </c>
      <c r="J48" s="794"/>
      <c r="K48" s="1679" t="str">
        <f>IF(Main!L13="YES","EFFECTIVE  YIELD  -  IRR","INSURING              LIVES")</f>
        <v>INSURING              LIVES</v>
      </c>
      <c r="L48" s="1679"/>
      <c r="M48" s="794"/>
    </row>
    <row r="49" spans="1:13" ht="15" customHeight="1">
      <c r="A49" s="71">
        <v>20</v>
      </c>
      <c r="B49" s="794"/>
      <c r="C49" s="62">
        <f t="shared" si="0"/>
        <v>50</v>
      </c>
      <c r="D49" s="62" t="str">
        <f t="shared" ca="1" si="1"/>
        <v>9/5/2038</v>
      </c>
      <c r="E49" s="62">
        <f>IF(A49&lt;$L$8,DAT!$AY$5," ")</f>
        <v>96972</v>
      </c>
      <c r="F49" s="62">
        <f>IF(A49&lt;$L$8,MAT!AD74," ")</f>
        <v>5270000</v>
      </c>
      <c r="G49" s="62">
        <f>IF(A49&lt;$L$8,MAT!AE74," ")</f>
        <v>7770000</v>
      </c>
      <c r="H49" s="61">
        <f>IF(A49&lt;$L$8,MAT!T73," ")</f>
        <v>2881560</v>
      </c>
      <c r="I49" s="61">
        <f>IF(A49&lt;$L$8,MAT!U73," ")</f>
        <v>2305200</v>
      </c>
      <c r="J49" s="70"/>
      <c r="K49" s="1679"/>
      <c r="L49" s="1679"/>
      <c r="M49" s="69"/>
    </row>
    <row r="50" spans="1:13" ht="14.25" customHeight="1">
      <c r="A50" s="71">
        <v>21</v>
      </c>
      <c r="B50" s="794"/>
      <c r="C50" s="63">
        <f t="shared" si="0"/>
        <v>51</v>
      </c>
      <c r="D50" s="62" t="str">
        <f t="shared" ca="1" si="1"/>
        <v>9/5/2039</v>
      </c>
      <c r="E50" s="62">
        <f>IF(A50&lt;$L$8,DAT!$AY$5," ")</f>
        <v>96972</v>
      </c>
      <c r="F50" s="62">
        <f>IF(A50&lt;$L$8,MAT!AD75," ")</f>
        <v>5515000</v>
      </c>
      <c r="G50" s="62">
        <f>IF(A50&lt;$L$8,MAT!AE75," ")</f>
        <v>8015000</v>
      </c>
      <c r="H50" s="61">
        <f>IF(A50&lt;$L$8,MAT!T74," ")</f>
        <v>3288978</v>
      </c>
      <c r="I50" s="61">
        <f>IF(A50&lt;$L$8,MAT!U74," ")</f>
        <v>2631200</v>
      </c>
      <c r="J50" s="70"/>
      <c r="K50" s="1679"/>
      <c r="L50" s="1679"/>
      <c r="M50" s="69"/>
    </row>
    <row r="51" spans="1:13" ht="15" customHeight="1">
      <c r="A51" s="64">
        <v>22</v>
      </c>
      <c r="B51" s="794"/>
      <c r="C51" s="63">
        <f t="shared" si="0"/>
        <v>52</v>
      </c>
      <c r="D51" s="62" t="str">
        <f t="shared" ca="1" si="1"/>
        <v>9/5/2040</v>
      </c>
      <c r="E51" s="62">
        <f>IF(A51&lt;$L$8,DAT!$AY$5," ")</f>
        <v>96972</v>
      </c>
      <c r="F51" s="62">
        <f>IF(A51&lt;$L$8,MAT!AD76," ")</f>
        <v>5885000</v>
      </c>
      <c r="G51" s="62">
        <f>IF(A51&lt;$L$8,MAT!AE76," ")</f>
        <v>8385000</v>
      </c>
      <c r="H51" s="61">
        <f>IF(A51&lt;$L$8,MAT!T75," ")</f>
        <v>3746644</v>
      </c>
      <c r="I51" s="61">
        <f>IF(A51&lt;$L$8,MAT!U75," ")</f>
        <v>2997300</v>
      </c>
      <c r="J51" s="68"/>
      <c r="K51" s="2013" t="str">
        <f>IF(Main!L13="YES",MAT!BR50,"ENSURING              SMILES")</f>
        <v>ENSURING              SMILES</v>
      </c>
      <c r="L51" s="2013"/>
      <c r="M51" s="66"/>
    </row>
    <row r="52" spans="1:13" ht="13.5" customHeight="1">
      <c r="A52" s="64">
        <v>23</v>
      </c>
      <c r="B52" s="794"/>
      <c r="C52" s="63">
        <f t="shared" si="0"/>
        <v>53</v>
      </c>
      <c r="D52" s="62" t="str">
        <f t="shared" ca="1" si="1"/>
        <v>9/5/2041</v>
      </c>
      <c r="E52" s="62">
        <f>IF(A52&lt;$L$8,DAT!$AY$5," ")</f>
        <v>96972</v>
      </c>
      <c r="F52" s="62">
        <f>IF(A52&lt;$L$8,MAT!AD77," ")</f>
        <v>6255000</v>
      </c>
      <c r="G52" s="62">
        <f>IF(A52&lt;$L$8,MAT!AE77," ")</f>
        <v>8755000</v>
      </c>
      <c r="H52" s="61">
        <f>IF(A52&lt;$L$8,MAT!T76," ")</f>
        <v>4262544</v>
      </c>
      <c r="I52" s="61">
        <f>IF(A52&lt;$L$8,MAT!U76," ")</f>
        <v>3410000</v>
      </c>
      <c r="J52" s="67"/>
      <c r="K52" s="2013"/>
      <c r="L52" s="2013"/>
      <c r="M52" s="66"/>
    </row>
    <row r="53" spans="1:13" ht="14.25" customHeight="1">
      <c r="A53" s="64">
        <v>24</v>
      </c>
      <c r="B53" s="794"/>
      <c r="C53" s="63">
        <f t="shared" si="0"/>
        <v>54</v>
      </c>
      <c r="D53" s="62" t="str">
        <f t="shared" ca="1" si="1"/>
        <v>9/5/2042</v>
      </c>
      <c r="E53" s="62">
        <f>IF(A53&lt;$L$8,DAT!$AY$5," ")</f>
        <v>96972</v>
      </c>
      <c r="F53" s="62">
        <f>IF(A53&lt;$L$8,MAT!AD78," ")</f>
        <v>6625000</v>
      </c>
      <c r="G53" s="62">
        <f>IF(A53&lt;$L$8,MAT!AE78," ")</f>
        <v>9125000</v>
      </c>
      <c r="H53" s="61">
        <f>IF(A53&lt;$L$8,MAT!T77," ")</f>
        <v>4843872</v>
      </c>
      <c r="I53" s="61">
        <f>IF(A53&lt;$L$8,MAT!U77," ")</f>
        <v>3875100</v>
      </c>
      <c r="J53" s="794"/>
      <c r="K53" s="2013"/>
      <c r="L53" s="2013"/>
      <c r="M53" s="794"/>
    </row>
    <row r="54" spans="1:13" ht="14.25" customHeight="1">
      <c r="A54" s="65">
        <v>25</v>
      </c>
      <c r="B54" s="794"/>
      <c r="C54" s="63" t="str">
        <f t="shared" si="0"/>
        <v xml:space="preserve"> </v>
      </c>
      <c r="D54" s="62" t="str">
        <f t="shared" ca="1" si="1"/>
        <v xml:space="preserve"> </v>
      </c>
      <c r="E54" s="62" t="str">
        <f>IF(A54&lt;$L$8,DAT!$AY$5," ")</f>
        <v xml:space="preserve"> </v>
      </c>
      <c r="F54" s="62" t="str">
        <f>IF(A54&lt;$L$8,MAT!AD79," ")</f>
        <v xml:space="preserve"> </v>
      </c>
      <c r="G54" s="62" t="str">
        <f>IF(A54&lt;$L$8,MAT!AE79," ")</f>
        <v xml:space="preserve"> </v>
      </c>
      <c r="H54" s="61" t="str">
        <f>IF(A54&lt;$L$8,MAT!T78," ")</f>
        <v xml:space="preserve"> </v>
      </c>
      <c r="I54" s="61" t="str">
        <f>IF(A54&lt;$L$8,MAT!U78," ")</f>
        <v xml:space="preserve"> </v>
      </c>
      <c r="J54" s="2014" t="s">
        <v>212</v>
      </c>
      <c r="K54" s="2015"/>
      <c r="L54" s="2015"/>
      <c r="M54" s="2015"/>
    </row>
    <row r="55" spans="1:13" ht="15" customHeight="1">
      <c r="A55" s="64">
        <v>26</v>
      </c>
      <c r="B55" s="794"/>
      <c r="C55" s="63" t="str">
        <f t="shared" si="0"/>
        <v xml:space="preserve"> </v>
      </c>
      <c r="D55" s="62" t="str">
        <f t="shared" ca="1" si="1"/>
        <v xml:space="preserve"> </v>
      </c>
      <c r="E55" s="62" t="str">
        <f>IF(A55&lt;$L$8,DAT!$AY$5," ")</f>
        <v xml:space="preserve"> </v>
      </c>
      <c r="F55" s="62" t="str">
        <f>IF(A55&lt;$L$8,MAT!AD80," ")</f>
        <v xml:space="preserve"> </v>
      </c>
      <c r="G55" s="62" t="str">
        <f>IF(A55&lt;$L$8,MAT!AE80," ")</f>
        <v xml:space="preserve"> </v>
      </c>
      <c r="H55" s="61" t="str">
        <f>IF(A55&lt;$L$8,MAT!T79," ")</f>
        <v xml:space="preserve"> </v>
      </c>
      <c r="I55" s="61" t="str">
        <f>IF(A55&lt;$L$8,MAT!U79," ")</f>
        <v xml:space="preserve"> </v>
      </c>
      <c r="J55" s="2014"/>
      <c r="K55" s="2015"/>
      <c r="L55" s="2015"/>
      <c r="M55" s="2015"/>
    </row>
    <row r="56" spans="1:13" ht="14.25" customHeight="1">
      <c r="A56" s="64">
        <v>27</v>
      </c>
      <c r="B56" s="794"/>
      <c r="C56" s="63" t="str">
        <f t="shared" si="0"/>
        <v xml:space="preserve"> </v>
      </c>
      <c r="D56" s="62" t="str">
        <f t="shared" ca="1" si="1"/>
        <v xml:space="preserve"> </v>
      </c>
      <c r="E56" s="62" t="str">
        <f>IF(A56&lt;$L$8,DAT!$AY$5," ")</f>
        <v xml:space="preserve"> </v>
      </c>
      <c r="F56" s="62" t="str">
        <f>IF(A56&lt;$L$8,MAT!AD81," ")</f>
        <v xml:space="preserve"> </v>
      </c>
      <c r="G56" s="62" t="str">
        <f>IF(A56&lt;$L$8,MAT!AE81," ")</f>
        <v xml:space="preserve"> </v>
      </c>
      <c r="H56" s="61" t="str">
        <f>IF(A56&lt;$L$8,MAT!T80," ")</f>
        <v xml:space="preserve"> </v>
      </c>
      <c r="I56" s="61" t="str">
        <f>IF(A56&lt;$L$8,MAT!U80," ")</f>
        <v xml:space="preserve"> </v>
      </c>
      <c r="J56" s="1936" t="str">
        <f>'VASANTHAM HOME'!E9</f>
        <v>ENTER YOUR NAME</v>
      </c>
      <c r="K56" s="1383"/>
      <c r="L56" s="1383"/>
      <c r="M56" s="1383"/>
    </row>
    <row r="57" spans="1:13" ht="15" customHeight="1">
      <c r="A57" s="64">
        <v>28</v>
      </c>
      <c r="B57" s="794"/>
      <c r="C57" s="63" t="str">
        <f t="shared" si="0"/>
        <v xml:space="preserve"> </v>
      </c>
      <c r="D57" s="62" t="str">
        <f t="shared" ca="1" si="1"/>
        <v xml:space="preserve"> </v>
      </c>
      <c r="E57" s="62" t="str">
        <f>IF(A57&lt;$L$8,DAT!$AY$5," ")</f>
        <v xml:space="preserve"> </v>
      </c>
      <c r="F57" s="62" t="str">
        <f>IF(A57&lt;$L$8,MAT!AD82," ")</f>
        <v xml:space="preserve"> </v>
      </c>
      <c r="G57" s="62" t="str">
        <f>IF(A57&lt;$L$8,MAT!AE82," ")</f>
        <v xml:space="preserve"> </v>
      </c>
      <c r="H57" s="61" t="str">
        <f>IF(A57&lt;$L$8,MAT!T81," ")</f>
        <v xml:space="preserve"> </v>
      </c>
      <c r="I57" s="61" t="str">
        <f>IF(A57&lt;$L$8,MAT!U81," ")</f>
        <v xml:space="preserve"> </v>
      </c>
      <c r="J57" s="1936" t="str">
        <f>'VASANTHAM HOME'!E10</f>
        <v>DESIGNATION</v>
      </c>
      <c r="K57" s="1383"/>
      <c r="L57" s="1383"/>
      <c r="M57" s="1383"/>
    </row>
    <row r="58" spans="1:13" ht="12.75">
      <c r="A58" s="64">
        <v>29</v>
      </c>
      <c r="B58" s="794"/>
      <c r="C58" s="63" t="str">
        <f t="shared" si="0"/>
        <v xml:space="preserve"> </v>
      </c>
      <c r="D58" s="62" t="str">
        <f t="shared" ca="1" si="1"/>
        <v xml:space="preserve"> </v>
      </c>
      <c r="E58" s="62" t="str">
        <f>IF(A58&lt;$L$8,DAT!$AY$5," ")</f>
        <v xml:space="preserve"> </v>
      </c>
      <c r="F58" s="62" t="str">
        <f>IF(A58&lt;$L$8,MAT!AD83," ")</f>
        <v xml:space="preserve"> </v>
      </c>
      <c r="G58" s="62" t="str">
        <f>IF(A58&lt;$L$8,MAT!AE83," ")</f>
        <v xml:space="preserve"> </v>
      </c>
      <c r="H58" s="61" t="str">
        <f>IF(A58&lt;$L$8,MAT!T82," ")</f>
        <v xml:space="preserve"> </v>
      </c>
      <c r="I58" s="61" t="str">
        <f>IF(A58&lt;$L$8,MAT!U82," ")</f>
        <v xml:space="preserve"> </v>
      </c>
      <c r="J58" s="1936" t="str">
        <f>'VASANTHAM HOME'!E11</f>
        <v>ADDRESS 1</v>
      </c>
      <c r="K58" s="1383"/>
      <c r="L58" s="1383"/>
      <c r="M58" s="1383"/>
    </row>
    <row r="59" spans="1:13" ht="12.75">
      <c r="A59" s="64">
        <v>30</v>
      </c>
      <c r="B59" s="794"/>
      <c r="C59" s="63" t="str">
        <f t="shared" si="0"/>
        <v xml:space="preserve"> </v>
      </c>
      <c r="D59" s="62" t="str">
        <f t="shared" ca="1" si="1"/>
        <v xml:space="preserve"> </v>
      </c>
      <c r="E59" s="62" t="str">
        <f>IF(A59&lt;$L$8,DAT!$AY$5," ")</f>
        <v xml:space="preserve"> </v>
      </c>
      <c r="F59" s="62" t="str">
        <f>IF(A59&lt;$L$8,MAT!AD84," ")</f>
        <v xml:space="preserve"> </v>
      </c>
      <c r="G59" s="62" t="str">
        <f>IF(A59&lt;$L$8,MAT!AE84," ")</f>
        <v xml:space="preserve"> </v>
      </c>
      <c r="H59" s="61" t="str">
        <f>IF(A59&lt;$L$8,MAT!T83," ")</f>
        <v xml:space="preserve"> </v>
      </c>
      <c r="I59" s="61" t="str">
        <f>IF(A59&lt;$L$8,MAT!U83," ")</f>
        <v xml:space="preserve"> </v>
      </c>
      <c r="J59" s="1936" t="str">
        <f>'VASANTHAM HOME'!E12</f>
        <v>ADDRESS 2</v>
      </c>
      <c r="K59" s="1383"/>
      <c r="L59" s="1383"/>
      <c r="M59" s="1383"/>
    </row>
    <row r="60" spans="1:13" ht="12.75">
      <c r="A60" s="64">
        <v>31</v>
      </c>
      <c r="B60" s="794"/>
      <c r="C60" s="63" t="str">
        <f t="shared" si="0"/>
        <v xml:space="preserve"> </v>
      </c>
      <c r="D60" s="62" t="str">
        <f t="shared" ca="1" si="1"/>
        <v xml:space="preserve"> </v>
      </c>
      <c r="E60" s="62" t="str">
        <f>IF(A60&lt;$L$8,DAT!$AY$5," ")</f>
        <v xml:space="preserve"> </v>
      </c>
      <c r="F60" s="62" t="str">
        <f>IF(A60&lt;$L$8,MAT!AD85," ")</f>
        <v xml:space="preserve"> </v>
      </c>
      <c r="G60" s="62" t="str">
        <f>IF(A60&lt;$L$8,MAT!AE85," ")</f>
        <v xml:space="preserve"> </v>
      </c>
      <c r="H60" s="61" t="str">
        <f>IF(A60&lt;$L$8,MAT!T84," ")</f>
        <v xml:space="preserve"> </v>
      </c>
      <c r="I60" s="61" t="str">
        <f>IF(A60&lt;$L$8,MAT!U84," ")</f>
        <v xml:space="preserve"> </v>
      </c>
      <c r="J60" s="1936" t="str">
        <f>'VASANTHAM HOME'!E13</f>
        <v>ADDRESS 3</v>
      </c>
      <c r="K60" s="1383"/>
      <c r="L60" s="1383"/>
      <c r="M60" s="1383"/>
    </row>
    <row r="61" spans="1:13" ht="12.75">
      <c r="A61" s="64">
        <v>32</v>
      </c>
      <c r="B61" s="794"/>
      <c r="C61" s="63" t="str">
        <f t="shared" si="0"/>
        <v xml:space="preserve"> </v>
      </c>
      <c r="D61" s="62" t="str">
        <f t="shared" ca="1" si="1"/>
        <v xml:space="preserve"> </v>
      </c>
      <c r="E61" s="62" t="str">
        <f>IF(A61&lt;$L$8,DAT!$AY$5," ")</f>
        <v xml:space="preserve"> </v>
      </c>
      <c r="F61" s="62" t="str">
        <f>IF(A61&lt;$L$8,MAT!AD86," ")</f>
        <v xml:space="preserve"> </v>
      </c>
      <c r="G61" s="62" t="str">
        <f>IF(A61&lt;$L$8,MAT!AE86," ")</f>
        <v xml:space="preserve"> </v>
      </c>
      <c r="H61" s="61" t="str">
        <f>IF(A61&lt;$L$8,MAT!T85," ")</f>
        <v xml:space="preserve"> </v>
      </c>
      <c r="I61" s="61" t="str">
        <f>IF(A61&lt;$L$8,MAT!U85," ")</f>
        <v xml:space="preserve"> </v>
      </c>
      <c r="J61" s="1936" t="str">
        <f>'VASANTHAM HOME'!E14</f>
        <v>MOBILE NO :</v>
      </c>
      <c r="K61" s="1383"/>
      <c r="L61" s="1383"/>
      <c r="M61" s="1383"/>
    </row>
    <row r="62" spans="1:13" ht="12.75">
      <c r="A62" s="64">
        <v>33</v>
      </c>
      <c r="B62" s="794"/>
      <c r="C62" s="63" t="str">
        <f t="shared" si="0"/>
        <v xml:space="preserve"> </v>
      </c>
      <c r="D62" s="62" t="str">
        <f t="shared" ca="1" si="1"/>
        <v xml:space="preserve"> </v>
      </c>
      <c r="E62" s="62" t="str">
        <f>IF(A62&lt;$L$8,DAT!$AY$5," ")</f>
        <v xml:space="preserve"> </v>
      </c>
      <c r="F62" s="62" t="str">
        <f>IF(A62&lt;$L$8,MAT!AD87," ")</f>
        <v xml:space="preserve"> </v>
      </c>
      <c r="G62" s="62" t="str">
        <f>IF(A62&lt;$L$8,MAT!AE87," ")</f>
        <v xml:space="preserve"> </v>
      </c>
      <c r="H62" s="61" t="str">
        <f>IF(A62&lt;$L$8,MAT!T86," ")</f>
        <v xml:space="preserve"> </v>
      </c>
      <c r="I62" s="61" t="str">
        <f>IF(A62&lt;$L$8,MAT!U86," ")</f>
        <v xml:space="preserve"> </v>
      </c>
      <c r="J62" s="1936" t="str">
        <f>'VASANTHAM HOME'!E15</f>
        <v>E.MAIL ID :</v>
      </c>
      <c r="K62" s="1383"/>
      <c r="L62" s="1383"/>
      <c r="M62" s="1383"/>
    </row>
    <row r="63" spans="1:13" ht="13.5" customHeight="1">
      <c r="A63" s="64">
        <v>34</v>
      </c>
      <c r="B63" s="794"/>
      <c r="C63" s="63" t="str">
        <f t="shared" si="0"/>
        <v xml:space="preserve"> </v>
      </c>
      <c r="D63" s="62" t="str">
        <f t="shared" ca="1" si="1"/>
        <v xml:space="preserve"> </v>
      </c>
      <c r="E63" s="62" t="str">
        <f>IF(A63&lt;$L$8,DAT!$AY$5," ")</f>
        <v xml:space="preserve"> </v>
      </c>
      <c r="F63" s="62" t="str">
        <f>IF(A63&lt;$L$8,MAT!AD88," ")</f>
        <v xml:space="preserve"> </v>
      </c>
      <c r="G63" s="62" t="str">
        <f>IF(A63&lt;$L$8,MAT!AE88," ")</f>
        <v xml:space="preserve"> </v>
      </c>
      <c r="H63" s="61" t="str">
        <f>IF(A63&lt;$L$8,MAT!T87," ")</f>
        <v xml:space="preserve"> </v>
      </c>
      <c r="I63" s="61" t="str">
        <f>IF(A63&lt;$L$8,MAT!U87," ")</f>
        <v xml:space="preserve"> </v>
      </c>
      <c r="J63" s="794"/>
      <c r="K63" s="794"/>
      <c r="L63" s="794"/>
      <c r="M63" s="794"/>
    </row>
    <row r="64" spans="1:13" ht="12.75">
      <c r="A64" s="9"/>
      <c r="B64" s="2017" t="s">
        <v>209</v>
      </c>
      <c r="C64" s="2018"/>
      <c r="D64" s="801"/>
      <c r="E64" s="801"/>
      <c r="F64" s="801"/>
      <c r="G64" s="801"/>
      <c r="H64" s="801"/>
      <c r="I64" s="801"/>
      <c r="J64" s="801"/>
      <c r="K64" s="801"/>
      <c r="L64" s="794"/>
      <c r="M64" s="794"/>
    </row>
    <row r="65" spans="1:13" ht="12.75">
      <c r="A65" s="9"/>
      <c r="B65" s="60">
        <v>1</v>
      </c>
      <c r="C65" s="2016" t="s">
        <v>2131</v>
      </c>
      <c r="D65" s="2016"/>
      <c r="E65" s="2016"/>
      <c r="F65" s="2016"/>
      <c r="G65" s="2016"/>
      <c r="H65" s="2016"/>
      <c r="I65" s="2016"/>
      <c r="J65" s="2016"/>
      <c r="K65" s="2016"/>
      <c r="L65" s="2016"/>
      <c r="M65" s="2016"/>
    </row>
    <row r="66" spans="1:13" ht="12.75">
      <c r="A66" s="9"/>
      <c r="B66" s="60">
        <v>2</v>
      </c>
      <c r="C66" s="2016" t="s">
        <v>237</v>
      </c>
      <c r="D66" s="2016"/>
      <c r="E66" s="2016"/>
      <c r="F66" s="2016"/>
      <c r="G66" s="2016"/>
      <c r="H66" s="2016"/>
      <c r="I66" s="2016"/>
      <c r="J66" s="2016"/>
      <c r="K66" s="2016"/>
      <c r="L66" s="2016"/>
      <c r="M66" s="2016"/>
    </row>
    <row r="67" spans="1:13" ht="12.75">
      <c r="A67" s="9"/>
      <c r="B67" s="794"/>
      <c r="C67" s="794"/>
      <c r="D67" s="794"/>
      <c r="E67" s="794"/>
      <c r="F67" s="794"/>
      <c r="G67" s="794"/>
      <c r="H67" s="794"/>
      <c r="I67" s="794"/>
      <c r="J67" s="794"/>
      <c r="K67" s="794"/>
      <c r="L67" s="794"/>
      <c r="M67" s="794"/>
    </row>
    <row r="68" spans="1:13" ht="12.75" hidden="1"/>
  </sheetData>
  <mergeCells count="72">
    <mergeCell ref="C66:M66"/>
    <mergeCell ref="J59:M59"/>
    <mergeCell ref="J60:M60"/>
    <mergeCell ref="J61:M61"/>
    <mergeCell ref="J62:M62"/>
    <mergeCell ref="B64:C64"/>
    <mergeCell ref="C65:M65"/>
    <mergeCell ref="J58:M58"/>
    <mergeCell ref="J42:M42"/>
    <mergeCell ref="L43:M43"/>
    <mergeCell ref="J44:M44"/>
    <mergeCell ref="L45:M45"/>
    <mergeCell ref="J46:M46"/>
    <mergeCell ref="L47:M47"/>
    <mergeCell ref="K48:L50"/>
    <mergeCell ref="K51:L53"/>
    <mergeCell ref="J54:M55"/>
    <mergeCell ref="J56:M56"/>
    <mergeCell ref="J57:M57"/>
    <mergeCell ref="J38:K38"/>
    <mergeCell ref="L38:M38"/>
    <mergeCell ref="J39:K39"/>
    <mergeCell ref="L39:M39"/>
    <mergeCell ref="J40:K40"/>
    <mergeCell ref="L40:M40"/>
    <mergeCell ref="J33:M34"/>
    <mergeCell ref="J35:J36"/>
    <mergeCell ref="K35:K36"/>
    <mergeCell ref="L35:M36"/>
    <mergeCell ref="J37:K37"/>
    <mergeCell ref="L37:M37"/>
    <mergeCell ref="C26:I26"/>
    <mergeCell ref="C25:I25"/>
    <mergeCell ref="C21:G21"/>
    <mergeCell ref="A27:A28"/>
    <mergeCell ref="C27:C28"/>
    <mergeCell ref="D27:D28"/>
    <mergeCell ref="E27:E28"/>
    <mergeCell ref="F27:G27"/>
    <mergeCell ref="H27:H28"/>
    <mergeCell ref="I27:I28"/>
    <mergeCell ref="C19:G19"/>
    <mergeCell ref="O21:Q22"/>
    <mergeCell ref="C22:I22"/>
    <mergeCell ref="C23:I23"/>
    <mergeCell ref="C24:I24"/>
    <mergeCell ref="O19:Q20"/>
    <mergeCell ref="C20:G20"/>
    <mergeCell ref="H13:H14"/>
    <mergeCell ref="I13:I14"/>
    <mergeCell ref="C15:E15"/>
    <mergeCell ref="C11:E12"/>
    <mergeCell ref="F11:F12"/>
    <mergeCell ref="G11:G12"/>
    <mergeCell ref="H11:H12"/>
    <mergeCell ref="I11:I12"/>
    <mergeCell ref="C16:F16"/>
    <mergeCell ref="C18:G18"/>
    <mergeCell ref="L2:M2"/>
    <mergeCell ref="C5:G7"/>
    <mergeCell ref="O7:Q8"/>
    <mergeCell ref="C8:G8"/>
    <mergeCell ref="C9:G9"/>
    <mergeCell ref="J9:K9"/>
    <mergeCell ref="L9:M9"/>
    <mergeCell ref="O9:Q10"/>
    <mergeCell ref="J10:K10"/>
    <mergeCell ref="L10:M10"/>
    <mergeCell ref="L12:M15"/>
    <mergeCell ref="C13:E14"/>
    <mergeCell ref="F13:F14"/>
    <mergeCell ref="G13:G14"/>
  </mergeCells>
  <hyperlinks>
    <hyperlink ref="O21:Q22" location="Main!A1" display="CLICK HERE"/>
    <hyperlink ref="O9:Q10" location="'VASANTHAM HOME'!A1" display="CLICK HERE"/>
  </hyperlinks>
  <pageMargins left="0.7" right="0.7" top="0.75" bottom="0.75" header="0.3" footer="0.3"/>
  <pageSetup scale="79" orientation="portrait" r:id="rId1"/>
  <headerFooter>
    <oddFooter>&amp;C&amp;K02-049VASANTHAM SMART</oddFooter>
  </headerFooter>
  <drawing r:id="rId2"/>
</worksheet>
</file>

<file path=xl/worksheets/sheet17.xml><?xml version="1.0" encoding="utf-8"?>
<worksheet xmlns="http://schemas.openxmlformats.org/spreadsheetml/2006/main" xmlns:r="http://schemas.openxmlformats.org/officeDocument/2006/relationships">
  <sheetPr codeName="Sheet26"/>
  <dimension ref="A1:X68"/>
  <sheetViews>
    <sheetView showGridLines="0" showRowColHeaders="0" workbookViewId="0">
      <selection activeCell="O1" sqref="O1"/>
    </sheetView>
  </sheetViews>
  <sheetFormatPr defaultColWidth="0" defaultRowHeight="0" customHeight="1" zeroHeight="1"/>
  <cols>
    <col min="1" max="1" width="5.125" style="9" customWidth="1"/>
    <col min="2" max="2" width="3.625" style="763" customWidth="1"/>
    <col min="3" max="3" width="5.5" style="763" customWidth="1"/>
    <col min="4" max="4" width="9.625" style="763" customWidth="1"/>
    <col min="5" max="5" width="10" style="763" customWidth="1"/>
    <col min="6" max="7" width="11.5" style="763" customWidth="1"/>
    <col min="8" max="8" width="10.875" style="763" customWidth="1"/>
    <col min="9" max="9" width="10.5" style="763" customWidth="1"/>
    <col min="10" max="10" width="12.375" style="763" customWidth="1"/>
    <col min="11" max="11" width="7" style="763" customWidth="1"/>
    <col min="12" max="13" width="8" style="763" customWidth="1"/>
    <col min="14" max="14" width="4.5" style="763" customWidth="1"/>
    <col min="15" max="17" width="9.125" style="794" customWidth="1"/>
    <col min="18" max="24" width="0" style="794" hidden="1" customWidth="1"/>
    <col min="25" max="16384" width="9.125" style="794" hidden="1"/>
  </cols>
  <sheetData>
    <row r="1" spans="1:19" s="763" customFormat="1" ht="11.25" customHeight="1">
      <c r="A1" s="9"/>
      <c r="B1" s="794"/>
      <c r="C1" s="794"/>
      <c r="D1" s="794"/>
      <c r="E1" s="794"/>
      <c r="F1" s="794"/>
      <c r="G1" s="794"/>
      <c r="H1" s="794"/>
      <c r="I1" s="794"/>
      <c r="J1" s="794"/>
      <c r="K1" s="794"/>
      <c r="L1" s="794"/>
      <c r="M1" s="794"/>
      <c r="N1" s="794"/>
      <c r="O1" s="794"/>
      <c r="P1" s="794"/>
      <c r="Q1" s="794"/>
    </row>
    <row r="2" spans="1:19" s="763" customFormat="1" ht="13.5" customHeight="1">
      <c r="A2" s="9"/>
      <c r="B2" s="794"/>
      <c r="C2" s="794"/>
      <c r="D2" s="794"/>
      <c r="E2" s="794"/>
      <c r="F2" s="794"/>
      <c r="G2" s="794"/>
      <c r="H2" s="794"/>
      <c r="I2" s="794"/>
      <c r="J2" s="794"/>
      <c r="K2" s="794"/>
      <c r="L2" s="1637">
        <f ca="1">TODAY()</f>
        <v>43229</v>
      </c>
      <c r="M2" s="1637"/>
      <c r="N2" s="794"/>
      <c r="O2" s="794"/>
      <c r="P2" s="794"/>
      <c r="Q2" s="794"/>
    </row>
    <row r="3" spans="1:19" s="763" customFormat="1" ht="13.5" customHeight="1">
      <c r="A3" s="9"/>
      <c r="B3" s="794"/>
      <c r="C3" s="794"/>
      <c r="D3" s="794"/>
      <c r="E3" s="794"/>
      <c r="F3" s="794"/>
      <c r="G3" s="794"/>
      <c r="H3" s="794"/>
      <c r="I3" s="794"/>
      <c r="J3" s="794"/>
      <c r="K3" s="1635" t="s">
        <v>400</v>
      </c>
      <c r="L3" s="1635"/>
      <c r="M3" s="1635"/>
      <c r="N3" s="794"/>
      <c r="O3" s="794"/>
      <c r="P3" s="794"/>
      <c r="Q3" s="794"/>
    </row>
    <row r="4" spans="1:19" s="763" customFormat="1" ht="19.5" customHeight="1">
      <c r="A4" s="9"/>
      <c r="B4" s="794"/>
      <c r="C4" s="794"/>
      <c r="D4" s="794"/>
      <c r="E4" s="794"/>
      <c r="F4" s="794"/>
      <c r="G4" s="794"/>
      <c r="H4" s="794"/>
      <c r="I4" s="794"/>
      <c r="J4" s="794"/>
      <c r="K4" s="2021" t="s">
        <v>396</v>
      </c>
      <c r="L4" s="2021"/>
      <c r="M4" s="2021"/>
      <c r="N4" s="794"/>
      <c r="O4" s="794"/>
      <c r="P4" s="794"/>
      <c r="Q4" s="794"/>
    </row>
    <row r="5" spans="1:19" s="763" customFormat="1" ht="15.75" customHeight="1">
      <c r="A5" s="9"/>
      <c r="B5" s="794"/>
      <c r="C5" s="794"/>
      <c r="D5" s="777"/>
      <c r="E5" s="59"/>
      <c r="F5" s="59"/>
      <c r="G5" s="59"/>
      <c r="H5" s="59"/>
      <c r="I5" s="58"/>
      <c r="J5" s="428"/>
      <c r="K5" s="767" t="s">
        <v>236</v>
      </c>
      <c r="L5" s="797">
        <f>Main!E9</f>
        <v>30</v>
      </c>
      <c r="M5" s="433" t="s">
        <v>234</v>
      </c>
      <c r="N5" s="794"/>
      <c r="O5" s="794"/>
      <c r="P5" s="794"/>
      <c r="Q5" s="794"/>
    </row>
    <row r="6" spans="1:19" s="763" customFormat="1" ht="15.75" customHeight="1">
      <c r="A6" s="9"/>
      <c r="B6" s="794"/>
      <c r="C6" s="57"/>
      <c r="D6" s="57"/>
      <c r="E6" s="57"/>
      <c r="F6" s="57"/>
      <c r="G6" s="57"/>
      <c r="H6" s="57"/>
      <c r="I6" s="58"/>
      <c r="J6" s="427"/>
      <c r="K6" s="767" t="s">
        <v>235</v>
      </c>
      <c r="L6" s="797">
        <v>25</v>
      </c>
      <c r="M6" s="433" t="s">
        <v>234</v>
      </c>
      <c r="N6" s="794"/>
      <c r="O6" s="794"/>
      <c r="P6" s="794"/>
      <c r="Q6" s="794"/>
    </row>
    <row r="7" spans="1:19" s="763" customFormat="1" ht="15" customHeight="1">
      <c r="A7" s="9"/>
      <c r="B7" s="794"/>
      <c r="C7" s="2022" t="s">
        <v>395</v>
      </c>
      <c r="D7" s="2022"/>
      <c r="E7" s="2022"/>
      <c r="F7" s="2022"/>
      <c r="G7" s="2022"/>
      <c r="H7" s="57"/>
      <c r="I7" s="58"/>
      <c r="J7" s="1985" t="s">
        <v>233</v>
      </c>
      <c r="K7" s="1985"/>
      <c r="L7" s="1989">
        <f>Main!E10</f>
        <v>2500000</v>
      </c>
      <c r="M7" s="1989"/>
      <c r="N7" s="794"/>
      <c r="O7" s="1598" t="s">
        <v>232</v>
      </c>
      <c r="P7" s="1598"/>
      <c r="Q7" s="1598"/>
    </row>
    <row r="8" spans="1:19" s="763" customFormat="1" ht="21" thickBot="1">
      <c r="A8" s="9"/>
      <c r="B8" s="794"/>
      <c r="C8" s="2023"/>
      <c r="D8" s="2023"/>
      <c r="E8" s="2023"/>
      <c r="F8" s="2023"/>
      <c r="G8" s="2023"/>
      <c r="H8" s="57"/>
      <c r="I8" s="55"/>
      <c r="J8" s="2024" t="str">
        <f>IF(Main!L10="YES","TERM RIDER"," ")</f>
        <v>TERM RIDER</v>
      </c>
      <c r="K8" s="2024"/>
      <c r="L8" s="2025">
        <f>IF(Main!L10="YES",Main!N10," ")</f>
        <v>0</v>
      </c>
      <c r="M8" s="2025"/>
      <c r="N8" s="794"/>
      <c r="O8" s="1598"/>
      <c r="P8" s="1598"/>
      <c r="Q8" s="1598"/>
    </row>
    <row r="9" spans="1:19" s="763" customFormat="1" ht="17.25" hidden="1" thickTop="1" thickBot="1">
      <c r="A9" s="9"/>
      <c r="B9" s="794"/>
      <c r="C9" s="794"/>
      <c r="D9" s="55"/>
      <c r="E9" s="55"/>
      <c r="F9" s="55"/>
      <c r="G9" s="56"/>
      <c r="H9" s="55"/>
      <c r="I9" s="55"/>
      <c r="J9" s="794"/>
      <c r="K9" s="50"/>
      <c r="L9" s="791"/>
      <c r="M9" s="54"/>
      <c r="N9" s="794"/>
      <c r="O9" s="794"/>
      <c r="P9" s="794"/>
      <c r="Q9" s="794"/>
    </row>
    <row r="10" spans="1:19" s="763" customFormat="1" ht="15.75" thickTop="1">
      <c r="A10" s="9"/>
      <c r="B10" s="794"/>
      <c r="C10" s="1602" t="s">
        <v>231</v>
      </c>
      <c r="D10" s="1602"/>
      <c r="E10" s="1602"/>
      <c r="F10" s="1602"/>
      <c r="G10" s="1602"/>
      <c r="H10" s="53"/>
      <c r="I10" s="53"/>
      <c r="J10" s="52"/>
      <c r="K10" s="2026"/>
      <c r="L10" s="2026"/>
      <c r="M10" s="2026"/>
      <c r="N10" s="794"/>
      <c r="O10" s="1381" t="s">
        <v>226</v>
      </c>
      <c r="P10" s="1381"/>
      <c r="Q10" s="1381"/>
    </row>
    <row r="11" spans="1:19" s="763" customFormat="1" ht="15.75">
      <c r="A11" s="9"/>
      <c r="B11" s="794"/>
      <c r="C11" s="1983" t="str">
        <f>CONCATENATE(Main!E8,(Main!F8))</f>
        <v>Sri.soumil</v>
      </c>
      <c r="D11" s="1983"/>
      <c r="E11" s="1983"/>
      <c r="F11" s="1983"/>
      <c r="G11" s="1983"/>
      <c r="H11" s="52"/>
      <c r="I11" s="2027"/>
      <c r="J11" s="2027"/>
      <c r="K11" s="2028" t="s">
        <v>394</v>
      </c>
      <c r="L11" s="2028"/>
      <c r="M11" s="2028"/>
      <c r="N11" s="794"/>
      <c r="O11" s="1381"/>
      <c r="P11" s="1381"/>
      <c r="Q11" s="1381"/>
      <c r="R11" s="1635"/>
      <c r="S11" s="1635"/>
    </row>
    <row r="12" spans="1:19" s="763" customFormat="1" ht="12.75" customHeight="1">
      <c r="A12" s="9"/>
      <c r="B12" s="794"/>
      <c r="C12" s="51"/>
      <c r="D12" s="51"/>
      <c r="E12" s="51"/>
      <c r="F12" s="51"/>
      <c r="G12" s="787"/>
      <c r="H12" s="787"/>
      <c r="I12" s="787"/>
      <c r="J12" s="50"/>
      <c r="K12" s="555">
        <v>20</v>
      </c>
      <c r="L12" s="2035" t="s">
        <v>393</v>
      </c>
      <c r="M12" s="2035"/>
      <c r="N12" s="794"/>
      <c r="O12" s="794"/>
      <c r="P12" s="794"/>
      <c r="Q12" s="794"/>
    </row>
    <row r="13" spans="1:19" s="763" customFormat="1" ht="15" customHeight="1">
      <c r="A13" s="9"/>
      <c r="B13" s="794"/>
      <c r="C13" s="2029" t="s">
        <v>230</v>
      </c>
      <c r="D13" s="2030"/>
      <c r="E13" s="2031"/>
      <c r="F13" s="1910" t="s">
        <v>16</v>
      </c>
      <c r="G13" s="1910" t="s">
        <v>15</v>
      </c>
      <c r="H13" s="1910" t="s">
        <v>14</v>
      </c>
      <c r="I13" s="1910" t="s">
        <v>229</v>
      </c>
      <c r="K13" s="794"/>
      <c r="L13" s="794"/>
      <c r="M13" s="794"/>
      <c r="N13" s="794"/>
      <c r="O13" s="794"/>
      <c r="P13" s="794"/>
      <c r="Q13" s="794"/>
      <c r="R13" s="1635"/>
      <c r="S13" s="1635"/>
    </row>
    <row r="14" spans="1:19" s="763" customFormat="1" ht="12.75" customHeight="1">
      <c r="A14" s="9"/>
      <c r="B14" s="794"/>
      <c r="C14" s="2029"/>
      <c r="D14" s="2030"/>
      <c r="E14" s="2031"/>
      <c r="F14" s="1911"/>
      <c r="G14" s="1911"/>
      <c r="H14" s="1911"/>
      <c r="I14" s="1911"/>
      <c r="J14" s="49"/>
      <c r="K14" s="2036" t="str">
        <f>CONCATENATE(" SAVINGS                                    PER DAY", " ", " "," ", " "," "," "," "," ", " "," "," "," "," "," "," ", " "," "," "," "," ", " "," ",   "Rs.  ",(DAT!AZ11)," "," "," ","ONLY")</f>
        <v xml:space="preserve"> SAVINGS                                    PER DAY                      Rs.  418   ONLY</v>
      </c>
      <c r="L14" s="2036"/>
      <c r="M14" s="554"/>
      <c r="N14" s="794"/>
      <c r="O14" s="794"/>
      <c r="P14" s="794"/>
      <c r="Q14" s="794"/>
    </row>
    <row r="15" spans="1:19" s="763" customFormat="1" ht="12.75" customHeight="1">
      <c r="A15" s="9"/>
      <c r="B15" s="794"/>
      <c r="C15" s="2032" t="s">
        <v>2120</v>
      </c>
      <c r="D15" s="2033"/>
      <c r="E15" s="2034"/>
      <c r="F15" s="1910">
        <f>DAT!AT11</f>
        <v>152495</v>
      </c>
      <c r="G15" s="1910">
        <f>DAT!AU11</f>
        <v>77050</v>
      </c>
      <c r="H15" s="1910">
        <f>DAT!AV11</f>
        <v>38926</v>
      </c>
      <c r="I15" s="1910">
        <f>DAT!AW11</f>
        <v>12976</v>
      </c>
      <c r="J15" s="46"/>
      <c r="K15" s="2036"/>
      <c r="L15" s="2036"/>
      <c r="M15" s="554"/>
      <c r="N15" s="794"/>
      <c r="O15" s="794"/>
      <c r="P15" s="794"/>
      <c r="Q15" s="794"/>
    </row>
    <row r="16" spans="1:19" s="763" customFormat="1" ht="12.75" customHeight="1">
      <c r="A16" s="9"/>
      <c r="B16" s="794"/>
      <c r="C16" s="2032"/>
      <c r="D16" s="2033"/>
      <c r="E16" s="2034"/>
      <c r="F16" s="1911"/>
      <c r="G16" s="1911"/>
      <c r="H16" s="1911"/>
      <c r="I16" s="1911"/>
      <c r="J16" s="46"/>
      <c r="K16" s="2036"/>
      <c r="L16" s="2036"/>
      <c r="M16" s="554"/>
      <c r="N16" s="794"/>
      <c r="O16" s="794"/>
      <c r="P16" s="794"/>
      <c r="Q16" s="794"/>
    </row>
    <row r="17" spans="1:17" s="763" customFormat="1" ht="12.75" customHeight="1">
      <c r="A17" s="9"/>
      <c r="B17" s="777"/>
      <c r="C17" s="48"/>
      <c r="D17" s="48"/>
      <c r="E17" s="48"/>
      <c r="F17" s="48"/>
      <c r="G17" s="47"/>
      <c r="H17" s="47"/>
      <c r="I17" s="47"/>
      <c r="J17" s="46"/>
      <c r="K17" s="2036"/>
      <c r="L17" s="2036"/>
      <c r="M17" s="554"/>
      <c r="N17" s="794"/>
      <c r="O17" s="1596" t="s">
        <v>228</v>
      </c>
      <c r="P17" s="1597"/>
      <c r="Q17" s="1597"/>
    </row>
    <row r="18" spans="1:17" s="763" customFormat="1" ht="9" customHeight="1">
      <c r="A18" s="9"/>
      <c r="B18" s="794"/>
      <c r="C18" s="2041" t="s">
        <v>227</v>
      </c>
      <c r="D18" s="2041"/>
      <c r="E18" s="2041"/>
      <c r="F18" s="2041"/>
      <c r="G18" s="794"/>
      <c r="H18" s="794"/>
      <c r="I18" s="794"/>
      <c r="K18" s="2036"/>
      <c r="L18" s="2036"/>
      <c r="M18" s="554"/>
      <c r="N18" s="794"/>
      <c r="O18" s="1597"/>
      <c r="P18" s="1597"/>
      <c r="Q18" s="1597"/>
    </row>
    <row r="19" spans="1:17" s="763" customFormat="1" ht="14.25" customHeight="1">
      <c r="A19" s="9"/>
      <c r="B19" s="794"/>
      <c r="C19" s="2041"/>
      <c r="D19" s="2041"/>
      <c r="E19" s="2041"/>
      <c r="F19" s="2041"/>
      <c r="G19" s="45"/>
      <c r="H19" s="1673"/>
      <c r="I19" s="1673"/>
      <c r="J19" s="44"/>
      <c r="K19" s="2036"/>
      <c r="L19" s="2036"/>
      <c r="M19" s="554"/>
      <c r="N19" s="794"/>
      <c r="O19" s="1391" t="s">
        <v>226</v>
      </c>
      <c r="P19" s="1391"/>
      <c r="Q19" s="1391"/>
    </row>
    <row r="20" spans="1:17" s="763" customFormat="1" ht="14.25" customHeight="1">
      <c r="A20" s="39"/>
      <c r="B20" s="38" t="s">
        <v>224</v>
      </c>
      <c r="C20" s="2042" t="s">
        <v>392</v>
      </c>
      <c r="D20" s="2042"/>
      <c r="E20" s="2042"/>
      <c r="F20" s="2042"/>
      <c r="G20" s="2042"/>
      <c r="H20" s="2042"/>
      <c r="I20" s="2042"/>
      <c r="J20" s="2042"/>
      <c r="K20" s="43"/>
      <c r="L20" s="43"/>
      <c r="M20" s="794"/>
      <c r="N20" s="794"/>
      <c r="O20" s="1391"/>
      <c r="P20" s="1391"/>
      <c r="Q20" s="1391"/>
    </row>
    <row r="21" spans="1:17" s="763" customFormat="1" ht="14.25" customHeight="1">
      <c r="A21" s="39"/>
      <c r="B21" s="38" t="s">
        <v>224</v>
      </c>
      <c r="C21" s="2038" t="str">
        <f>CONCATENATE("Risk coverage 125 % of Basic Sum Assured.     i.e.  Rs.",(L7*125%))</f>
        <v>Risk coverage 125 % of Basic Sum Assured.     i.e.  Rs.3125000</v>
      </c>
      <c r="D21" s="2038"/>
      <c r="E21" s="2038"/>
      <c r="F21" s="2038"/>
      <c r="G21" s="2038"/>
      <c r="H21" s="2038"/>
      <c r="I21" s="2038"/>
      <c r="J21" s="2038"/>
      <c r="K21" s="43"/>
      <c r="L21" s="43"/>
      <c r="M21" s="794"/>
      <c r="N21" s="794"/>
      <c r="O21" s="794"/>
      <c r="P21" s="794"/>
      <c r="Q21" s="794"/>
    </row>
    <row r="22" spans="1:17" s="763" customFormat="1" ht="13.5" customHeight="1">
      <c r="A22" s="39"/>
      <c r="B22" s="38" t="s">
        <v>224</v>
      </c>
      <c r="C22" s="2038" t="s">
        <v>399</v>
      </c>
      <c r="D22" s="2038"/>
      <c r="E22" s="2038"/>
      <c r="F22" s="2038"/>
      <c r="G22" s="2038"/>
      <c r="H22" s="2038"/>
      <c r="I22" s="2038"/>
      <c r="J22" s="2038"/>
      <c r="K22" s="42"/>
      <c r="L22" s="42"/>
      <c r="O22" s="794"/>
      <c r="P22" s="794"/>
      <c r="Q22" s="794"/>
    </row>
    <row r="23" spans="1:17" s="763" customFormat="1" ht="13.5" customHeight="1">
      <c r="A23" s="39"/>
      <c r="B23" s="38"/>
      <c r="C23" s="2039" t="s">
        <v>390</v>
      </c>
      <c r="D23" s="2039"/>
      <c r="E23" s="2039"/>
      <c r="F23" s="2039"/>
      <c r="G23" s="2039"/>
      <c r="H23" s="422" t="s">
        <v>389</v>
      </c>
      <c r="I23" s="2038">
        <f>L7*15%</f>
        <v>375000</v>
      </c>
      <c r="J23" s="2038"/>
      <c r="K23" s="41"/>
      <c r="L23" s="41"/>
      <c r="M23" s="41"/>
      <c r="O23" s="794"/>
      <c r="P23" s="794"/>
      <c r="Q23" s="794"/>
    </row>
    <row r="24" spans="1:17" s="763" customFormat="1" ht="13.5" customHeight="1">
      <c r="A24" s="39"/>
      <c r="B24" s="38" t="s">
        <v>224</v>
      </c>
      <c r="C24" s="2040" t="s">
        <v>388</v>
      </c>
      <c r="D24" s="2040"/>
      <c r="E24" s="2040"/>
      <c r="F24" s="2040"/>
      <c r="G24" s="2040"/>
      <c r="H24" s="2040"/>
      <c r="I24" s="2040"/>
      <c r="J24" s="2040"/>
      <c r="K24" s="421"/>
      <c r="L24" s="421"/>
      <c r="O24" s="794"/>
      <c r="P24" s="794"/>
      <c r="Q24" s="794"/>
    </row>
    <row r="25" spans="1:17" s="763" customFormat="1" ht="13.5" customHeight="1">
      <c r="A25" s="39"/>
      <c r="B25" s="38"/>
      <c r="C25" s="2037" t="s">
        <v>387</v>
      </c>
      <c r="D25" s="2037"/>
      <c r="E25" s="2037"/>
      <c r="F25" s="2037"/>
      <c r="G25" s="2037"/>
      <c r="H25" s="2037"/>
      <c r="I25" s="2037"/>
      <c r="J25" s="2037"/>
      <c r="K25" s="421"/>
      <c r="L25" s="421"/>
      <c r="O25" s="794"/>
      <c r="P25" s="794"/>
      <c r="Q25" s="794"/>
    </row>
    <row r="26" spans="1:17" s="763" customFormat="1" ht="13.5" customHeight="1">
      <c r="A26" s="39"/>
      <c r="B26" s="38" t="s">
        <v>224</v>
      </c>
      <c r="C26" s="2040" t="s">
        <v>386</v>
      </c>
      <c r="D26" s="2040"/>
      <c r="E26" s="2040"/>
      <c r="F26" s="2040"/>
      <c r="G26" s="2040"/>
      <c r="H26" s="2040"/>
      <c r="I26" s="2040"/>
      <c r="J26" s="2040"/>
      <c r="K26" s="421"/>
      <c r="L26" s="421"/>
      <c r="O26" s="794"/>
      <c r="P26" s="794"/>
      <c r="Q26" s="794"/>
    </row>
    <row r="27" spans="1:17" s="763" customFormat="1" ht="14.25" customHeight="1">
      <c r="A27" s="39"/>
      <c r="B27" s="38" t="s">
        <v>224</v>
      </c>
      <c r="C27" s="2043" t="s">
        <v>385</v>
      </c>
      <c r="D27" s="2043"/>
      <c r="E27" s="2043"/>
      <c r="F27" s="2043"/>
      <c r="G27" s="2043"/>
      <c r="H27" s="2043"/>
      <c r="I27" s="2043"/>
      <c r="J27" s="2043"/>
      <c r="K27" s="37"/>
      <c r="L27" s="37"/>
      <c r="O27" s="794"/>
      <c r="P27" s="794"/>
      <c r="Q27" s="794"/>
    </row>
    <row r="28" spans="1:17" s="763" customFormat="1" ht="6" customHeight="1">
      <c r="A28" s="9"/>
      <c r="B28" s="794"/>
      <c r="C28" s="794"/>
      <c r="D28" s="794"/>
      <c r="E28" s="794"/>
      <c r="F28" s="794"/>
      <c r="G28" s="794"/>
      <c r="H28" s="794"/>
      <c r="I28" s="794"/>
      <c r="J28" s="794"/>
      <c r="O28" s="794"/>
      <c r="P28" s="794"/>
      <c r="Q28" s="794"/>
    </row>
    <row r="29" spans="1:17" s="763" customFormat="1" ht="12.75">
      <c r="A29" s="2044"/>
      <c r="B29" s="777"/>
      <c r="C29" s="1842" t="s">
        <v>17</v>
      </c>
      <c r="D29" s="2045" t="s">
        <v>223</v>
      </c>
      <c r="E29" s="2045" t="s">
        <v>222</v>
      </c>
      <c r="F29" s="1835" t="s">
        <v>221</v>
      </c>
      <c r="G29" s="1835"/>
      <c r="H29" s="1835" t="s">
        <v>220</v>
      </c>
      <c r="I29" s="1835" t="s">
        <v>219</v>
      </c>
      <c r="J29" s="2047" t="s">
        <v>218</v>
      </c>
      <c r="O29" s="794"/>
      <c r="P29" s="794"/>
      <c r="Q29" s="794"/>
    </row>
    <row r="30" spans="1:17" s="763" customFormat="1" ht="12.75">
      <c r="A30" s="2044"/>
      <c r="B30" s="777"/>
      <c r="C30" s="1842"/>
      <c r="D30" s="2046"/>
      <c r="E30" s="2046"/>
      <c r="F30" s="786" t="s">
        <v>217</v>
      </c>
      <c r="G30" s="786" t="s">
        <v>216</v>
      </c>
      <c r="H30" s="1835"/>
      <c r="I30" s="1835"/>
      <c r="J30" s="2047"/>
      <c r="O30" s="794"/>
      <c r="P30" s="794"/>
      <c r="Q30" s="794"/>
    </row>
    <row r="31" spans="1:17" ht="12.75">
      <c r="A31" s="28">
        <v>0</v>
      </c>
      <c r="B31" s="29"/>
      <c r="C31" s="432">
        <f>L5</f>
        <v>30</v>
      </c>
      <c r="D31" s="257" t="str">
        <f ca="1">IF(A31&lt;$L$6,(((DAY(NOW())&amp;"/")&amp;MONTH(NOW()))&amp;"/")&amp;((YEAR(NOW()))),0)</f>
        <v>9/5/2018</v>
      </c>
      <c r="E31" s="431">
        <f>DAT!AT11</f>
        <v>152495</v>
      </c>
      <c r="F31" s="413">
        <f>IF(A31&lt;$L$6,MAT!BL94,0)</f>
        <v>3235000</v>
      </c>
      <c r="G31" s="413">
        <f>IF(A31&lt;$L$6,MAT!BM94,0)</f>
        <v>5735000</v>
      </c>
      <c r="H31" s="430">
        <v>0</v>
      </c>
      <c r="I31" s="35">
        <v>0</v>
      </c>
      <c r="J31" s="35">
        <v>0</v>
      </c>
      <c r="K31" s="764"/>
    </row>
    <row r="32" spans="1:17" ht="12.75">
      <c r="A32" s="28">
        <v>1</v>
      </c>
      <c r="B32" s="29"/>
      <c r="C32" s="415">
        <f t="shared" ref="C32:C55" si="0">IF(A32&lt;$L$6,$C$31+A32,0)</f>
        <v>31</v>
      </c>
      <c r="D32" s="62" t="str">
        <f t="shared" ref="D32:D55" ca="1" si="1">IF(A32&lt;$L$6,(((DAY(NOW())&amp;"/")&amp;MONTH(NOW()))&amp;"/")&amp;((YEAR(NOW())))+A32,0)</f>
        <v>9/5/2019</v>
      </c>
      <c r="E32" s="62">
        <f>DAT!$AY$11</f>
        <v>149211</v>
      </c>
      <c r="F32" s="413">
        <f>IF(A32&lt;$L$6,MAT!BL95,0)</f>
        <v>3345000</v>
      </c>
      <c r="G32" s="413">
        <f>IF(A32&lt;$L$6,MAT!BM95,0)</f>
        <v>5845000</v>
      </c>
      <c r="H32" s="413">
        <v>0</v>
      </c>
      <c r="I32" s="768">
        <v>0</v>
      </c>
      <c r="J32" s="768">
        <v>0</v>
      </c>
      <c r="K32" s="777"/>
      <c r="L32" s="794"/>
      <c r="M32" s="794"/>
      <c r="N32" s="794"/>
    </row>
    <row r="33" spans="1:14" ht="12.75">
      <c r="A33" s="28">
        <v>2</v>
      </c>
      <c r="B33" s="29"/>
      <c r="C33" s="415">
        <f t="shared" si="0"/>
        <v>32</v>
      </c>
      <c r="D33" s="62" t="str">
        <f t="shared" ca="1" si="1"/>
        <v>9/5/2020</v>
      </c>
      <c r="E33" s="62">
        <f>DAT!$AY$11</f>
        <v>149211</v>
      </c>
      <c r="F33" s="413">
        <f>IF(A33&lt;$L$6,MAT!BL96,0)</f>
        <v>3455000</v>
      </c>
      <c r="G33" s="413">
        <f>IF(A33&lt;$L$6,MAT!BM96,0)</f>
        <v>5955000</v>
      </c>
      <c r="H33" s="413">
        <v>0</v>
      </c>
      <c r="I33" s="768">
        <v>0</v>
      </c>
      <c r="J33" s="768">
        <v>0</v>
      </c>
      <c r="K33" s="777"/>
      <c r="L33" s="794"/>
      <c r="M33" s="794"/>
      <c r="N33" s="794"/>
    </row>
    <row r="34" spans="1:14" ht="12.75">
      <c r="A34" s="28">
        <v>3</v>
      </c>
      <c r="B34" s="29"/>
      <c r="C34" s="415">
        <f t="shared" si="0"/>
        <v>33</v>
      </c>
      <c r="D34" s="62" t="str">
        <f t="shared" ca="1" si="1"/>
        <v>9/5/2021</v>
      </c>
      <c r="E34" s="62">
        <f>DAT!$AY$11</f>
        <v>149211</v>
      </c>
      <c r="F34" s="413">
        <f>IF(A34&lt;$L$6,MAT!BL97,0)</f>
        <v>3565000</v>
      </c>
      <c r="G34" s="413">
        <f>IF(A34&lt;$L$6,MAT!BM97,0)</f>
        <v>6065000</v>
      </c>
      <c r="H34" s="413">
        <f>IF(A34&lt;$L$6,MAT!BB96,0)</f>
        <v>404362.5</v>
      </c>
      <c r="I34" s="413">
        <f>IF(A34&lt;$L$6,MAT!BC96,0)</f>
        <v>363900</v>
      </c>
      <c r="J34" s="768">
        <v>0</v>
      </c>
      <c r="K34" s="777"/>
      <c r="L34" s="794"/>
      <c r="M34" s="794"/>
      <c r="N34" s="794"/>
    </row>
    <row r="35" spans="1:14" ht="12.75">
      <c r="A35" s="28">
        <v>4</v>
      </c>
      <c r="B35" s="29"/>
      <c r="C35" s="415">
        <f t="shared" si="0"/>
        <v>34</v>
      </c>
      <c r="D35" s="62" t="str">
        <f t="shared" ca="1" si="1"/>
        <v>9/5/2022</v>
      </c>
      <c r="E35" s="62">
        <f>DAT!$AY$11</f>
        <v>149211</v>
      </c>
      <c r="F35" s="413">
        <f>IF(A35&lt;$L$6,MAT!BL98,0)</f>
        <v>3675000</v>
      </c>
      <c r="G35" s="413">
        <f>IF(A35&lt;$L$6,MAT!BM98,0)</f>
        <v>6175000</v>
      </c>
      <c r="H35" s="413">
        <f>IF(A35&lt;$L$6,MAT!BB97,0)</f>
        <v>546550</v>
      </c>
      <c r="I35" s="413">
        <f>IF(A35&lt;$L$6,MAT!BC97,0)</f>
        <v>491900</v>
      </c>
      <c r="J35" s="768">
        <v>0</v>
      </c>
      <c r="K35" s="777"/>
      <c r="L35" s="794"/>
      <c r="M35" s="794"/>
      <c r="N35" s="794"/>
    </row>
    <row r="36" spans="1:14" ht="12.75">
      <c r="A36" s="28">
        <v>5</v>
      </c>
      <c r="B36" s="29"/>
      <c r="C36" s="415">
        <f t="shared" si="0"/>
        <v>35</v>
      </c>
      <c r="D36" s="62" t="str">
        <f t="shared" ca="1" si="1"/>
        <v>9/5/2023</v>
      </c>
      <c r="E36" s="62">
        <f>DAT!$AY$11</f>
        <v>149211</v>
      </c>
      <c r="F36" s="413">
        <f>IF(A36&lt;$L$6,MAT!BL99,0)</f>
        <v>3785000</v>
      </c>
      <c r="G36" s="413">
        <f>IF(A36&lt;$L$6,MAT!BM99,0)</f>
        <v>6285000</v>
      </c>
      <c r="H36" s="413">
        <f>IF(A36&lt;$L$6,MAT!BB98,0)</f>
        <v>318187.5</v>
      </c>
      <c r="I36" s="413">
        <f>IF(A36&lt;$L$6,MAT!BC98,0)</f>
        <v>286400</v>
      </c>
      <c r="J36" s="416">
        <f>L7*15%</f>
        <v>375000</v>
      </c>
      <c r="K36" s="2019" t="s">
        <v>215</v>
      </c>
      <c r="L36" s="2020"/>
      <c r="M36" s="2020"/>
      <c r="N36" s="2020"/>
    </row>
    <row r="37" spans="1:14" ht="13.5" customHeight="1">
      <c r="A37" s="28">
        <v>6</v>
      </c>
      <c r="B37" s="29"/>
      <c r="C37" s="415">
        <f t="shared" si="0"/>
        <v>36</v>
      </c>
      <c r="D37" s="62" t="str">
        <f t="shared" ca="1" si="1"/>
        <v>9/5/2024</v>
      </c>
      <c r="E37" s="62">
        <f>DAT!$AY$11</f>
        <v>149211</v>
      </c>
      <c r="F37" s="413">
        <f>IF(A37&lt;$L$6,MAT!BL100,0)</f>
        <v>3895000</v>
      </c>
      <c r="G37" s="413">
        <f>IF(A37&lt;$L$6,MAT!BM100,0)</f>
        <v>6395000</v>
      </c>
      <c r="H37" s="413">
        <f>IF(A37&lt;$L$6,MAT!BB99,0)</f>
        <v>469725</v>
      </c>
      <c r="I37" s="413">
        <f>IF(A37&lt;$L$6,MAT!BC99,0)</f>
        <v>422800</v>
      </c>
      <c r="J37" s="768">
        <v>0</v>
      </c>
      <c r="K37" s="34"/>
      <c r="L37" s="31" t="s">
        <v>210</v>
      </c>
      <c r="M37" s="1962">
        <f>SUM(E31:E50)</f>
        <v>2987504</v>
      </c>
      <c r="N37" s="1962"/>
    </row>
    <row r="38" spans="1:14" ht="12" customHeight="1">
      <c r="A38" s="28">
        <v>7</v>
      </c>
      <c r="B38" s="29"/>
      <c r="C38" s="415">
        <f t="shared" si="0"/>
        <v>37</v>
      </c>
      <c r="D38" s="62" t="str">
        <f t="shared" ca="1" si="1"/>
        <v>9/5/2025</v>
      </c>
      <c r="E38" s="62">
        <f>DAT!$AY$11</f>
        <v>149211</v>
      </c>
      <c r="F38" s="413">
        <f>IF(A38&lt;$L$6,MAT!BL101,0)</f>
        <v>4005000</v>
      </c>
      <c r="G38" s="413">
        <f>IF(A38&lt;$L$6,MAT!BM101,0)</f>
        <v>6505000</v>
      </c>
      <c r="H38" s="413">
        <f>IF(A38&lt;$L$6,MAT!BB100,0)</f>
        <v>626700</v>
      </c>
      <c r="I38" s="413">
        <f>IF(A38&lt;$L$6,MAT!BC100,0)</f>
        <v>564000</v>
      </c>
      <c r="J38" s="768">
        <v>0</v>
      </c>
      <c r="K38" s="2019" t="s">
        <v>214</v>
      </c>
      <c r="L38" s="2020"/>
      <c r="M38" s="2020"/>
      <c r="N38" s="2020"/>
    </row>
    <row r="39" spans="1:14" ht="15" customHeight="1">
      <c r="A39" s="28">
        <v>8</v>
      </c>
      <c r="B39" s="29"/>
      <c r="C39" s="415">
        <f t="shared" si="0"/>
        <v>38</v>
      </c>
      <c r="D39" s="62" t="str">
        <f t="shared" ca="1" si="1"/>
        <v>9/5/2026</v>
      </c>
      <c r="E39" s="62">
        <f>DAT!$AY$11</f>
        <v>149211</v>
      </c>
      <c r="F39" s="413">
        <f>IF(A39&lt;$L$6,MAT!BL102,0)</f>
        <v>4115000</v>
      </c>
      <c r="G39" s="413">
        <f>IF(A39&lt;$L$6,MAT!BM102,0)</f>
        <v>6615000</v>
      </c>
      <c r="H39" s="413">
        <f>IF(A39&lt;$L$6,MAT!BB101,0)</f>
        <v>789700</v>
      </c>
      <c r="I39" s="413">
        <f>IF(A39&lt;$L$6,MAT!BC101,0)</f>
        <v>710700</v>
      </c>
      <c r="J39" s="768">
        <v>0</v>
      </c>
      <c r="K39" s="33"/>
      <c r="L39" s="31" t="s">
        <v>210</v>
      </c>
      <c r="M39" s="1934">
        <f>G60+J36+J41+J46+J51</f>
        <v>5812500</v>
      </c>
      <c r="N39" s="1935"/>
    </row>
    <row r="40" spans="1:14" ht="13.5" customHeight="1">
      <c r="A40" s="28">
        <v>9</v>
      </c>
      <c r="B40" s="29"/>
      <c r="C40" s="415">
        <f t="shared" si="0"/>
        <v>39</v>
      </c>
      <c r="D40" s="62" t="str">
        <f t="shared" ca="1" si="1"/>
        <v>9/5/2027</v>
      </c>
      <c r="E40" s="62">
        <f>DAT!$AY$11</f>
        <v>149211</v>
      </c>
      <c r="F40" s="413">
        <f>IF(A40&lt;$L$6,MAT!BL103,0)</f>
        <v>4225000</v>
      </c>
      <c r="G40" s="413">
        <f>IF(A40&lt;$L$6,MAT!BM103,0)</f>
        <v>6725000</v>
      </c>
      <c r="H40" s="413">
        <f>IF(A40&lt;$L$6,MAT!BB102,0)</f>
        <v>959362.5</v>
      </c>
      <c r="I40" s="413">
        <f>IF(A40&lt;$L$6,MAT!BC102,0)</f>
        <v>863400</v>
      </c>
      <c r="J40" s="768">
        <v>0</v>
      </c>
      <c r="K40" s="1963" t="s">
        <v>213</v>
      </c>
      <c r="L40" s="1964"/>
      <c r="M40" s="1964"/>
      <c r="N40" s="1964"/>
    </row>
    <row r="41" spans="1:14" ht="14.25" customHeight="1">
      <c r="A41" s="28">
        <v>10</v>
      </c>
      <c r="B41" s="29"/>
      <c r="C41" s="415">
        <f t="shared" si="0"/>
        <v>40</v>
      </c>
      <c r="D41" s="62" t="str">
        <f t="shared" ca="1" si="1"/>
        <v>9/5/2028</v>
      </c>
      <c r="E41" s="62">
        <f>DAT!$AY$11</f>
        <v>149211</v>
      </c>
      <c r="F41" s="413">
        <f>IF(A41&lt;$L$6,MAT!BL104,0)</f>
        <v>4335000</v>
      </c>
      <c r="G41" s="413">
        <f>IF(A41&lt;$L$6,MAT!BM104,0)</f>
        <v>6835000</v>
      </c>
      <c r="H41" s="413">
        <f>IF(A41&lt;$L$6,MAT!BB103,0)</f>
        <v>761500</v>
      </c>
      <c r="I41" s="413">
        <f>IF(A41&lt;$L$6,MAT!BC103,0)</f>
        <v>685400</v>
      </c>
      <c r="J41" s="416">
        <f>L7*15%</f>
        <v>375000</v>
      </c>
      <c r="K41" s="32"/>
      <c r="L41" s="31" t="s">
        <v>210</v>
      </c>
      <c r="M41" s="1947">
        <f>M39-M37</f>
        <v>2824996</v>
      </c>
      <c r="N41" s="1948"/>
    </row>
    <row r="42" spans="1:14" ht="12.75" customHeight="1">
      <c r="A42" s="28">
        <v>11</v>
      </c>
      <c r="B42" s="29"/>
      <c r="C42" s="415">
        <f t="shared" si="0"/>
        <v>41</v>
      </c>
      <c r="D42" s="62" t="str">
        <f t="shared" ca="1" si="1"/>
        <v>9/5/2029</v>
      </c>
      <c r="E42" s="62">
        <f>DAT!$AY$11</f>
        <v>149211</v>
      </c>
      <c r="F42" s="413">
        <f>IF(A42&lt;$L$6,MAT!BL105,0)</f>
        <v>4445000</v>
      </c>
      <c r="G42" s="413">
        <f>IF(A42&lt;$L$6,MAT!BM105,0)</f>
        <v>6945000</v>
      </c>
      <c r="H42" s="413">
        <f>IF(A42&lt;$L$6,MAT!BB104,0)</f>
        <v>947025</v>
      </c>
      <c r="I42" s="413">
        <f>IF(A42&lt;$L$6,MAT!BC104,0)</f>
        <v>852300</v>
      </c>
      <c r="J42" s="768">
        <v>0</v>
      </c>
      <c r="K42" s="30"/>
      <c r="L42" s="30"/>
      <c r="M42" s="30"/>
      <c r="N42" s="30"/>
    </row>
    <row r="43" spans="1:14" ht="13.5" customHeight="1">
      <c r="A43" s="28">
        <v>12</v>
      </c>
      <c r="B43" s="29"/>
      <c r="C43" s="415">
        <f t="shared" si="0"/>
        <v>42</v>
      </c>
      <c r="D43" s="62" t="str">
        <f t="shared" ca="1" si="1"/>
        <v>9/5/2030</v>
      </c>
      <c r="E43" s="62">
        <f>DAT!$AY$11</f>
        <v>149211</v>
      </c>
      <c r="F43" s="413">
        <f>IF(A43&lt;$L$6,MAT!BL106,0)</f>
        <v>4555000</v>
      </c>
      <c r="G43" s="413">
        <f>IF(A43&lt;$L$6,MAT!BM106,0)</f>
        <v>7055000</v>
      </c>
      <c r="H43" s="413">
        <f>IF(A43&lt;$L$6,MAT!BB105,0)</f>
        <v>1141500</v>
      </c>
      <c r="I43" s="413">
        <f>IF(A43&lt;$L$6,MAT!BC105,0)</f>
        <v>1027400</v>
      </c>
      <c r="J43" s="768">
        <v>0</v>
      </c>
      <c r="K43" s="30"/>
      <c r="L43" s="30"/>
      <c r="M43" s="30"/>
      <c r="N43" s="30"/>
    </row>
    <row r="44" spans="1:14" ht="12.75">
      <c r="A44" s="28">
        <v>13</v>
      </c>
      <c r="B44" s="29"/>
      <c r="C44" s="415">
        <f t="shared" si="0"/>
        <v>43</v>
      </c>
      <c r="D44" s="62" t="str">
        <f t="shared" ca="1" si="1"/>
        <v>9/5/2031</v>
      </c>
      <c r="E44" s="62">
        <f>DAT!$AY$11</f>
        <v>149211</v>
      </c>
      <c r="F44" s="413">
        <f>IF(A44&lt;$L$6,MAT!BL107,0)</f>
        <v>4665000</v>
      </c>
      <c r="G44" s="413">
        <f>IF(A44&lt;$L$6,MAT!BM107,0)</f>
        <v>7165000</v>
      </c>
      <c r="H44" s="413">
        <f>IF(A44&lt;$L$6,MAT!BB106,0)</f>
        <v>1345925</v>
      </c>
      <c r="I44" s="413">
        <f>IF(A44&lt;$L$6,MAT!BC106,0)</f>
        <v>1211300</v>
      </c>
      <c r="J44" s="768">
        <v>0</v>
      </c>
      <c r="K44" s="777"/>
      <c r="L44" s="777"/>
      <c r="M44" s="777"/>
      <c r="N44" s="777"/>
    </row>
    <row r="45" spans="1:14" ht="13.5" customHeight="1">
      <c r="A45" s="28">
        <v>14</v>
      </c>
      <c r="B45" s="29"/>
      <c r="C45" s="415">
        <f t="shared" si="0"/>
        <v>44</v>
      </c>
      <c r="D45" s="62" t="str">
        <f t="shared" ca="1" si="1"/>
        <v>9/5/2032</v>
      </c>
      <c r="E45" s="62">
        <f>DAT!$AY$11</f>
        <v>149211</v>
      </c>
      <c r="F45" s="413">
        <f>IF(A45&lt;$L$6,MAT!BL108,0)</f>
        <v>4825000</v>
      </c>
      <c r="G45" s="413">
        <f>IF(A45&lt;$L$6,MAT!BM108,0)</f>
        <v>7325000</v>
      </c>
      <c r="H45" s="413">
        <f>IF(A45&lt;$L$6,MAT!BB107,0)</f>
        <v>1561575</v>
      </c>
      <c r="I45" s="413">
        <f>IF(A45&lt;$L$6,MAT!BC107,0)</f>
        <v>1405400</v>
      </c>
      <c r="J45" s="768">
        <v>0</v>
      </c>
      <c r="K45" s="30"/>
      <c r="L45" s="30"/>
      <c r="M45" s="30"/>
      <c r="N45" s="30"/>
    </row>
    <row r="46" spans="1:14" ht="12.75">
      <c r="A46" s="28">
        <v>15</v>
      </c>
      <c r="B46" s="29"/>
      <c r="C46" s="415">
        <f t="shared" si="0"/>
        <v>45</v>
      </c>
      <c r="D46" s="62" t="str">
        <f t="shared" ca="1" si="1"/>
        <v>9/5/2033</v>
      </c>
      <c r="E46" s="62">
        <f>DAT!$AY$11</f>
        <v>149211</v>
      </c>
      <c r="F46" s="413">
        <f>IF(A46&lt;$L$6,MAT!BL109,0)</f>
        <v>4935000</v>
      </c>
      <c r="G46" s="413">
        <f>IF(A46&lt;$L$6,MAT!BM109,0)</f>
        <v>7435000</v>
      </c>
      <c r="H46" s="413">
        <f>IF(A46&lt;$L$6,MAT!BB108,0)</f>
        <v>1414312.5</v>
      </c>
      <c r="I46" s="413">
        <f>IF(A46&lt;$L$6,MAT!BC108,0)</f>
        <v>1272900</v>
      </c>
      <c r="J46" s="416">
        <f>L7*15%</f>
        <v>375000</v>
      </c>
      <c r="K46" s="2048" t="str">
        <f>IF(Main!L13="YES","EFFECTIVE  YIELD   -   IRR","INSURING                           LIVES")</f>
        <v>INSURING                           LIVES</v>
      </c>
      <c r="L46" s="2049"/>
      <c r="M46" s="2049"/>
      <c r="N46" s="2049"/>
    </row>
    <row r="47" spans="1:14" ht="12.75">
      <c r="A47" s="28">
        <v>16</v>
      </c>
      <c r="B47" s="29"/>
      <c r="C47" s="415">
        <f t="shared" si="0"/>
        <v>46</v>
      </c>
      <c r="D47" s="62" t="str">
        <f t="shared" ca="1" si="1"/>
        <v>9/5/2034</v>
      </c>
      <c r="E47" s="62">
        <f>DAT!$AY$11</f>
        <v>149211</v>
      </c>
      <c r="F47" s="413">
        <f>IF(A47&lt;$L$6,MAT!BL110,0)</f>
        <v>5045000</v>
      </c>
      <c r="G47" s="413">
        <f>IF(A47&lt;$L$6,MAT!BM110,0)</f>
        <v>7545000</v>
      </c>
      <c r="H47" s="413">
        <f>IF(A47&lt;$L$6,MAT!BB109,0)</f>
        <v>1640000</v>
      </c>
      <c r="I47" s="413">
        <f>IF(A47&lt;$L$6,MAT!BC109,0)</f>
        <v>1476000</v>
      </c>
      <c r="J47" s="768">
        <v>0</v>
      </c>
      <c r="K47" s="2048"/>
      <c r="L47" s="2049"/>
      <c r="M47" s="2049"/>
      <c r="N47" s="2049"/>
    </row>
    <row r="48" spans="1:14" ht="12.75" customHeight="1">
      <c r="A48" s="28">
        <v>17</v>
      </c>
      <c r="B48" s="29"/>
      <c r="C48" s="415">
        <f t="shared" si="0"/>
        <v>47</v>
      </c>
      <c r="D48" s="62" t="str">
        <f t="shared" ca="1" si="1"/>
        <v>9/5/2035</v>
      </c>
      <c r="E48" s="62">
        <f>DAT!$AY$11</f>
        <v>149211</v>
      </c>
      <c r="F48" s="413">
        <f>IF(A48&lt;$L$6,MAT!BL111,0)</f>
        <v>5155000</v>
      </c>
      <c r="G48" s="413">
        <f>IF(A48&lt;$L$6,MAT!BM111,0)</f>
        <v>7655000</v>
      </c>
      <c r="H48" s="413">
        <f>IF(A48&lt;$L$6,MAT!BB110,0)</f>
        <v>1879750</v>
      </c>
      <c r="I48" s="413">
        <f>IF(A48&lt;$L$6,MAT!BC110,0)</f>
        <v>1691800</v>
      </c>
      <c r="J48" s="768">
        <v>0</v>
      </c>
      <c r="K48" s="2048"/>
      <c r="L48" s="2049"/>
      <c r="M48" s="2049"/>
      <c r="N48" s="2049"/>
    </row>
    <row r="49" spans="1:14" ht="12.75" customHeight="1">
      <c r="A49" s="28">
        <v>18</v>
      </c>
      <c r="B49" s="29"/>
      <c r="C49" s="415">
        <f t="shared" si="0"/>
        <v>48</v>
      </c>
      <c r="D49" s="62" t="str">
        <f t="shared" ca="1" si="1"/>
        <v>9/5/2036</v>
      </c>
      <c r="E49" s="62">
        <f>DAT!$AY$11</f>
        <v>149211</v>
      </c>
      <c r="F49" s="413">
        <f>IF(A49&lt;$L$6,MAT!BL112,0)</f>
        <v>5265000</v>
      </c>
      <c r="G49" s="413">
        <f>IF(A49&lt;$L$6,MAT!BM112,0)</f>
        <v>7765000</v>
      </c>
      <c r="H49" s="413">
        <f>IF(A49&lt;$L$6,MAT!BB111,0)</f>
        <v>2136375</v>
      </c>
      <c r="I49" s="413">
        <f>IF(A49&lt;$L$6,MAT!BC111,0)</f>
        <v>1922700</v>
      </c>
      <c r="J49" s="768">
        <v>0</v>
      </c>
      <c r="K49" s="2050" t="str">
        <f>IF(Main!L13="YES",MAT!BU130,"ENSURING              SMILES")</f>
        <v>ENSURING              SMILES</v>
      </c>
      <c r="L49" s="2051"/>
      <c r="M49" s="2051"/>
      <c r="N49" s="2051"/>
    </row>
    <row r="50" spans="1:14" ht="12.75">
      <c r="A50" s="28">
        <v>19</v>
      </c>
      <c r="B50" s="29"/>
      <c r="C50" s="415">
        <f t="shared" si="0"/>
        <v>49</v>
      </c>
      <c r="D50" s="62" t="str">
        <f t="shared" ca="1" si="1"/>
        <v>9/5/2037</v>
      </c>
      <c r="E50" s="62">
        <f>DAT!$AY$11</f>
        <v>149211</v>
      </c>
      <c r="F50" s="413">
        <f>IF(A50&lt;$L$6,MAT!BL113,0)</f>
        <v>5425000</v>
      </c>
      <c r="G50" s="413">
        <f>IF(A50&lt;$L$6,MAT!BM113,0)</f>
        <v>7925000</v>
      </c>
      <c r="H50" s="413">
        <f>IF(A50&lt;$L$6,MAT!BB112,0)</f>
        <v>2412562.5</v>
      </c>
      <c r="I50" s="413">
        <f>IF(A50&lt;$L$6,MAT!BC112,0)</f>
        <v>2171300</v>
      </c>
      <c r="J50" s="768">
        <v>0</v>
      </c>
      <c r="K50" s="2050"/>
      <c r="L50" s="2051"/>
      <c r="M50" s="2051"/>
      <c r="N50" s="2051"/>
    </row>
    <row r="51" spans="1:14" ht="12.75">
      <c r="A51" s="28">
        <v>20</v>
      </c>
      <c r="B51" s="19"/>
      <c r="C51" s="415">
        <f t="shared" si="0"/>
        <v>50</v>
      </c>
      <c r="D51" s="62" t="str">
        <f t="shared" ca="1" si="1"/>
        <v>9/5/2038</v>
      </c>
      <c r="E51" s="768">
        <v>0</v>
      </c>
      <c r="F51" s="413">
        <f>IF(A51&lt;$L$6,MAT!BL114,0)</f>
        <v>5535000</v>
      </c>
      <c r="G51" s="413">
        <f>IF(A51&lt;$L$6,MAT!BM114,0)</f>
        <v>8035000</v>
      </c>
      <c r="H51" s="413">
        <f>IF(A51&lt;$L$6,MAT!BB113,0)</f>
        <v>2337250</v>
      </c>
      <c r="I51" s="413">
        <f>IF(A51&lt;$L$6,MAT!BC113,0)</f>
        <v>2103500</v>
      </c>
      <c r="J51" s="429">
        <f>L7*15%</f>
        <v>375000</v>
      </c>
      <c r="K51" s="2050"/>
      <c r="L51" s="2051"/>
      <c r="M51" s="2051"/>
      <c r="N51" s="2051"/>
    </row>
    <row r="52" spans="1:14" ht="12.75">
      <c r="A52" s="28">
        <v>21</v>
      </c>
      <c r="B52" s="777"/>
      <c r="C52" s="415">
        <f t="shared" si="0"/>
        <v>51</v>
      </c>
      <c r="D52" s="62" t="str">
        <f t="shared" ca="1" si="1"/>
        <v>9/5/2039</v>
      </c>
      <c r="E52" s="768">
        <v>0</v>
      </c>
      <c r="F52" s="413">
        <f>IF(A52&lt;$L$6,MAT!BL115,0)</f>
        <v>5645000</v>
      </c>
      <c r="G52" s="413">
        <f>IF(A52&lt;$L$6,MAT!BM115,0)</f>
        <v>8145000</v>
      </c>
      <c r="H52" s="413">
        <f>IF(A52&lt;$L$6,MAT!BB114,0)</f>
        <v>2678737.5</v>
      </c>
      <c r="I52" s="413">
        <f>IF(A52&lt;$L$6,MAT!BC114,0)</f>
        <v>2410900</v>
      </c>
      <c r="J52" s="768">
        <v>0</v>
      </c>
      <c r="K52" s="2052"/>
      <c r="L52" s="2053"/>
      <c r="M52" s="2053"/>
      <c r="N52" s="2053"/>
    </row>
    <row r="53" spans="1:14" ht="14.25" customHeight="1">
      <c r="A53" s="17">
        <v>22</v>
      </c>
      <c r="B53" s="777"/>
      <c r="C53" s="415">
        <f t="shared" si="0"/>
        <v>52</v>
      </c>
      <c r="D53" s="62" t="str">
        <f t="shared" ca="1" si="1"/>
        <v>9/5/2040</v>
      </c>
      <c r="E53" s="768">
        <v>0</v>
      </c>
      <c r="F53" s="413">
        <f>IF(A53&lt;$L$6,MAT!BL116,0)</f>
        <v>5755000</v>
      </c>
      <c r="G53" s="413">
        <f>IF(A53&lt;$L$6,MAT!BM116,0)</f>
        <v>8255000</v>
      </c>
      <c r="H53" s="413">
        <f>IF(A53&lt;$L$6,MAT!BB115,0)</f>
        <v>3048775</v>
      </c>
      <c r="I53" s="413">
        <f>IF(A53&lt;$L$6,MAT!BC115,0)</f>
        <v>2743900</v>
      </c>
      <c r="J53" s="768">
        <v>0</v>
      </c>
      <c r="K53" s="2052"/>
      <c r="L53" s="2053"/>
      <c r="M53" s="2053"/>
      <c r="N53" s="2053"/>
    </row>
    <row r="54" spans="1:14" ht="12.75">
      <c r="A54" s="17">
        <v>23</v>
      </c>
      <c r="B54" s="777"/>
      <c r="C54" s="415">
        <f t="shared" si="0"/>
        <v>53</v>
      </c>
      <c r="D54" s="62" t="str">
        <f t="shared" ca="1" si="1"/>
        <v>9/5/2041</v>
      </c>
      <c r="E54" s="768">
        <v>0</v>
      </c>
      <c r="F54" s="413">
        <f>IF(A54&lt;$L$6,MAT!BL117,0)</f>
        <v>5865000</v>
      </c>
      <c r="G54" s="413">
        <f>IF(A54&lt;$L$6,MAT!BM117,0)</f>
        <v>8365000</v>
      </c>
      <c r="H54" s="413">
        <f>IF(A54&lt;$L$6,MAT!BB116,0)</f>
        <v>3451900</v>
      </c>
      <c r="I54" s="413">
        <f>IF(A54&lt;$L$6,MAT!BC116,0)</f>
        <v>3106700</v>
      </c>
      <c r="J54" s="768">
        <v>0</v>
      </c>
      <c r="K54" s="2052"/>
      <c r="L54" s="2053"/>
      <c r="M54" s="2053"/>
      <c r="N54" s="2053"/>
    </row>
    <row r="55" spans="1:14" ht="12.75">
      <c r="A55" s="17">
        <v>24</v>
      </c>
      <c r="B55" s="777"/>
      <c r="C55" s="415">
        <f t="shared" si="0"/>
        <v>54</v>
      </c>
      <c r="D55" s="62" t="str">
        <f t="shared" ca="1" si="1"/>
        <v>9/5/2042</v>
      </c>
      <c r="E55" s="768">
        <v>0</v>
      </c>
      <c r="F55" s="413">
        <f>IF(A55&lt;$L$6,MAT!BL118,0)</f>
        <v>6437500</v>
      </c>
      <c r="G55" s="413">
        <f>IF(A55&lt;$L$6,MAT!BM118,0)</f>
        <v>8937500</v>
      </c>
      <c r="H55" s="413">
        <f>IF(A55&lt;$L$6,MAT!BB117,0)</f>
        <v>3892200</v>
      </c>
      <c r="I55" s="413">
        <f>IF(A55&lt;$L$6,MAT!BC117,0)</f>
        <v>3503000</v>
      </c>
      <c r="J55" s="768">
        <v>0</v>
      </c>
      <c r="K55" s="794"/>
      <c r="L55" s="794"/>
      <c r="M55" s="794"/>
      <c r="N55" s="794"/>
    </row>
    <row r="56" spans="1:14" ht="13.5" thickBot="1">
      <c r="A56" s="17"/>
      <c r="B56" s="777"/>
      <c r="C56" s="19"/>
      <c r="D56" s="789"/>
      <c r="E56" s="757"/>
      <c r="F56" s="13"/>
      <c r="G56" s="757"/>
      <c r="H56" s="13"/>
      <c r="I56" s="13"/>
      <c r="J56" s="757"/>
      <c r="K56" s="794"/>
      <c r="L56" s="794"/>
      <c r="M56" s="794"/>
      <c r="N56" s="794"/>
    </row>
    <row r="57" spans="1:14" ht="14.25" customHeight="1" thickTop="1" thickBot="1">
      <c r="A57" s="17"/>
      <c r="B57" s="777"/>
      <c r="C57" s="23"/>
      <c r="D57" s="23"/>
      <c r="E57" s="23"/>
      <c r="F57" s="2054" t="s">
        <v>398</v>
      </c>
      <c r="G57" s="2055"/>
      <c r="H57" s="2056"/>
      <c r="I57" s="2057" t="s">
        <v>212</v>
      </c>
      <c r="J57" s="1383" t="str">
        <f>'VASANTHAM HOME'!E9</f>
        <v>ENTER YOUR NAME</v>
      </c>
      <c r="K57" s="1383"/>
      <c r="L57" s="1383"/>
      <c r="M57" s="1383"/>
      <c r="N57" s="1383"/>
    </row>
    <row r="58" spans="1:14" ht="12.75" customHeight="1" thickTop="1" thickBot="1">
      <c r="A58" s="17"/>
      <c r="B58" s="777"/>
      <c r="C58" s="23"/>
      <c r="D58" s="23"/>
      <c r="E58" s="23"/>
      <c r="F58" s="2054"/>
      <c r="G58" s="2055"/>
      <c r="H58" s="2056"/>
      <c r="I58" s="2057"/>
      <c r="J58" s="1383" t="str">
        <f>'VASANTHAM HOME'!E10</f>
        <v>DESIGNATION</v>
      </c>
      <c r="K58" s="1383"/>
      <c r="L58" s="1383"/>
      <c r="M58" s="1383"/>
      <c r="N58" s="1383"/>
    </row>
    <row r="59" spans="1:14" ht="16.5" thickTop="1" thickBot="1">
      <c r="A59" s="17"/>
      <c r="B59" s="777"/>
      <c r="C59" s="24"/>
      <c r="D59" s="802"/>
      <c r="E59" s="23"/>
      <c r="F59" s="22">
        <f>$L$5+$L$6</f>
        <v>55</v>
      </c>
      <c r="G59" s="798" t="s">
        <v>211</v>
      </c>
      <c r="H59" s="799" t="str">
        <f ca="1">(((DAY(NOW())&amp;"/")&amp;MONTH(NOW()))&amp;"/")&amp;((YEAR(NOW())))+$L$6</f>
        <v>9/5/2043</v>
      </c>
      <c r="I59" s="2057"/>
      <c r="J59" s="1383" t="str">
        <f>'VASANTHAM HOME'!E11</f>
        <v>ADDRESS 1</v>
      </c>
      <c r="K59" s="1383"/>
      <c r="L59" s="1383"/>
      <c r="M59" s="1383"/>
      <c r="N59" s="1383"/>
    </row>
    <row r="60" spans="1:14" ht="14.25" customHeight="1" thickTop="1" thickBot="1">
      <c r="A60" s="17"/>
      <c r="B60" s="777"/>
      <c r="C60" s="21"/>
      <c r="D60" s="20"/>
      <c r="E60" s="20"/>
      <c r="F60" s="2058" t="s">
        <v>210</v>
      </c>
      <c r="G60" s="2059">
        <f>((($L$7*(40/100))+((($L$7/1000)*44)*25))+MAT!BI118)</f>
        <v>4312500</v>
      </c>
      <c r="H60" s="2060"/>
      <c r="I60" s="2057"/>
      <c r="J60" s="1383" t="str">
        <f>'VASANTHAM HOME'!E12</f>
        <v>ADDRESS 2</v>
      </c>
      <c r="K60" s="1383"/>
      <c r="L60" s="1383"/>
      <c r="M60" s="1383"/>
      <c r="N60" s="1383"/>
    </row>
    <row r="61" spans="1:14" ht="12" customHeight="1" thickTop="1" thickBot="1">
      <c r="A61" s="17"/>
      <c r="B61" s="777"/>
      <c r="C61" s="21"/>
      <c r="D61" s="20"/>
      <c r="E61" s="20"/>
      <c r="F61" s="2058"/>
      <c r="G61" s="2059"/>
      <c r="H61" s="2060"/>
      <c r="I61" s="2057"/>
      <c r="J61" s="1383" t="str">
        <f>'VASANTHAM HOME'!E13</f>
        <v>ADDRESS 3</v>
      </c>
      <c r="K61" s="1383"/>
      <c r="L61" s="1383"/>
      <c r="M61" s="1383"/>
      <c r="N61" s="1383"/>
    </row>
    <row r="62" spans="1:14" ht="13.5" thickTop="1">
      <c r="A62" s="17"/>
      <c r="B62" s="777"/>
      <c r="C62" s="19"/>
      <c r="D62" s="789"/>
      <c r="E62" s="757"/>
      <c r="F62" s="13"/>
      <c r="G62" s="18"/>
      <c r="H62" s="12"/>
      <c r="I62" s="2057"/>
      <c r="J62" s="1383" t="str">
        <f>'VASANTHAM HOME'!E14</f>
        <v>MOBILE NO :</v>
      </c>
      <c r="K62" s="1383"/>
      <c r="L62" s="1383"/>
      <c r="M62" s="1383"/>
      <c r="N62" s="1383"/>
    </row>
    <row r="63" spans="1:14" ht="12.75">
      <c r="A63" s="17"/>
      <c r="B63" s="777"/>
      <c r="C63" s="16"/>
      <c r="D63" s="15"/>
      <c r="E63" s="14"/>
      <c r="F63" s="13"/>
      <c r="G63" s="757"/>
      <c r="H63" s="12"/>
      <c r="I63" s="2057"/>
      <c r="J63" s="1383" t="str">
        <f>'VASANTHAM HOME'!E15</f>
        <v>E.MAIL ID :</v>
      </c>
      <c r="K63" s="1383"/>
      <c r="L63" s="1383"/>
      <c r="M63" s="1383"/>
      <c r="N63" s="1383"/>
    </row>
    <row r="64" spans="1:14" ht="12.75">
      <c r="B64" s="2062" t="s">
        <v>209</v>
      </c>
      <c r="C64" s="2062"/>
      <c r="D64" s="11"/>
      <c r="E64" s="11"/>
      <c r="F64" s="11"/>
      <c r="G64" s="11"/>
      <c r="H64" s="11"/>
      <c r="I64" s="11"/>
      <c r="J64" s="11"/>
      <c r="K64" s="11"/>
      <c r="L64" s="11"/>
      <c r="M64" s="11"/>
      <c r="N64" s="11"/>
    </row>
    <row r="65" spans="1:14" ht="12.75">
      <c r="A65" s="10"/>
      <c r="B65" s="2061" t="s">
        <v>2137</v>
      </c>
      <c r="C65" s="2061"/>
      <c r="D65" s="2061"/>
      <c r="E65" s="2061"/>
      <c r="F65" s="2061"/>
      <c r="G65" s="2061"/>
      <c r="H65" s="2061"/>
      <c r="I65" s="2061"/>
      <c r="J65" s="2061"/>
      <c r="K65" s="2061"/>
      <c r="L65" s="2061"/>
      <c r="M65" s="2061"/>
      <c r="N65" s="2061"/>
    </row>
    <row r="66" spans="1:14" ht="12.75">
      <c r="B66" s="2061" t="s">
        <v>383</v>
      </c>
      <c r="C66" s="2061"/>
      <c r="D66" s="2061"/>
      <c r="E66" s="2061"/>
      <c r="F66" s="2061"/>
      <c r="G66" s="2061"/>
      <c r="H66" s="2061"/>
      <c r="I66" s="2061"/>
      <c r="J66" s="2061"/>
      <c r="K66" s="2061"/>
      <c r="L66" s="2061"/>
      <c r="M66" s="2061"/>
      <c r="N66" s="2061"/>
    </row>
    <row r="67" spans="1:14" ht="12.75">
      <c r="B67" s="794"/>
      <c r="C67" s="794"/>
      <c r="D67" s="794"/>
      <c r="E67" s="794"/>
      <c r="F67" s="794"/>
      <c r="G67" s="794"/>
      <c r="H67" s="794"/>
      <c r="I67" s="794"/>
      <c r="J67" s="794"/>
      <c r="K67" s="794"/>
      <c r="L67" s="794"/>
      <c r="M67" s="794"/>
      <c r="N67" s="794"/>
    </row>
    <row r="68" spans="1:14" ht="12.75" hidden="1"/>
  </sheetData>
  <mergeCells count="73">
    <mergeCell ref="B66:N66"/>
    <mergeCell ref="J60:N60"/>
    <mergeCell ref="J61:N61"/>
    <mergeCell ref="J62:N62"/>
    <mergeCell ref="J63:N63"/>
    <mergeCell ref="B64:C64"/>
    <mergeCell ref="B65:N65"/>
    <mergeCell ref="K46:N48"/>
    <mergeCell ref="K49:N51"/>
    <mergeCell ref="K52:N54"/>
    <mergeCell ref="F57:H58"/>
    <mergeCell ref="I57:I63"/>
    <mergeCell ref="J57:N57"/>
    <mergeCell ref="J58:N58"/>
    <mergeCell ref="J59:N59"/>
    <mergeCell ref="F60:F61"/>
    <mergeCell ref="G60:H61"/>
    <mergeCell ref="C26:J26"/>
    <mergeCell ref="C27:J27"/>
    <mergeCell ref="A29:A30"/>
    <mergeCell ref="C29:C30"/>
    <mergeCell ref="D29:D30"/>
    <mergeCell ref="E29:E30"/>
    <mergeCell ref="F29:G29"/>
    <mergeCell ref="H29:H30"/>
    <mergeCell ref="I29:I30"/>
    <mergeCell ref="J29:J30"/>
    <mergeCell ref="O17:Q18"/>
    <mergeCell ref="C18:F19"/>
    <mergeCell ref="H19:I19"/>
    <mergeCell ref="O19:Q20"/>
    <mergeCell ref="C20:J20"/>
    <mergeCell ref="C15:E16"/>
    <mergeCell ref="F15:F16"/>
    <mergeCell ref="L12:M12"/>
    <mergeCell ref="K14:L19"/>
    <mergeCell ref="C25:J25"/>
    <mergeCell ref="G15:G16"/>
    <mergeCell ref="H15:H16"/>
    <mergeCell ref="I15:I16"/>
    <mergeCell ref="C21:J21"/>
    <mergeCell ref="C22:J22"/>
    <mergeCell ref="C23:G23"/>
    <mergeCell ref="I23:J23"/>
    <mergeCell ref="C24:J24"/>
    <mergeCell ref="R11:S11"/>
    <mergeCell ref="C13:E14"/>
    <mergeCell ref="F13:F14"/>
    <mergeCell ref="G13:G14"/>
    <mergeCell ref="H13:H14"/>
    <mergeCell ref="I13:I14"/>
    <mergeCell ref="R13:S13"/>
    <mergeCell ref="O7:Q8"/>
    <mergeCell ref="J8:K8"/>
    <mergeCell ref="L8:M8"/>
    <mergeCell ref="C10:G10"/>
    <mergeCell ref="K10:M10"/>
    <mergeCell ref="O10:Q11"/>
    <mergeCell ref="C11:G11"/>
    <mergeCell ref="I11:J11"/>
    <mergeCell ref="K11:M11"/>
    <mergeCell ref="L2:M2"/>
    <mergeCell ref="K3:M3"/>
    <mergeCell ref="K4:M4"/>
    <mergeCell ref="C7:G8"/>
    <mergeCell ref="J7:K7"/>
    <mergeCell ref="L7:M7"/>
    <mergeCell ref="M41:N41"/>
    <mergeCell ref="K36:N36"/>
    <mergeCell ref="M37:N37"/>
    <mergeCell ref="K38:N38"/>
    <mergeCell ref="M39:N39"/>
    <mergeCell ref="K40:N40"/>
  </mergeCells>
  <hyperlinks>
    <hyperlink ref="O19:Q20" location="Main!A1" display="CLICK HERE"/>
    <hyperlink ref="O10:Q11" location="'VASANTHAM HOME'!A1" display="CLICK HERE"/>
  </hyperlinks>
  <pageMargins left="0.7" right="0.7" top="0.75" bottom="0.75" header="0.3" footer="0.3"/>
  <pageSetup scale="80" orientation="portrait" r:id="rId1"/>
  <headerFooter>
    <oddFooter>&amp;C&amp;9&amp;K02-049VASANTHAM SMART</oddFooter>
  </headerFooter>
  <drawing r:id="rId2"/>
</worksheet>
</file>

<file path=xl/worksheets/sheet18.xml><?xml version="1.0" encoding="utf-8"?>
<worksheet xmlns="http://schemas.openxmlformats.org/spreadsheetml/2006/main" xmlns:r="http://schemas.openxmlformats.org/officeDocument/2006/relationships">
  <sheetPr codeName="Sheet27"/>
  <dimension ref="A1:W66"/>
  <sheetViews>
    <sheetView showGridLines="0" showRowColHeaders="0" topLeftCell="B1" workbookViewId="0">
      <selection activeCell="O1" sqref="O1"/>
    </sheetView>
  </sheetViews>
  <sheetFormatPr defaultColWidth="0" defaultRowHeight="0" customHeight="1" zeroHeight="1"/>
  <cols>
    <col min="1" max="1" width="3.5" style="763" hidden="1" customWidth="1"/>
    <col min="2" max="2" width="3.625" style="763" customWidth="1"/>
    <col min="3" max="3" width="5.5" style="763" customWidth="1"/>
    <col min="4" max="4" width="9.625" style="763" customWidth="1"/>
    <col min="5" max="5" width="10" style="763" customWidth="1"/>
    <col min="6" max="7" width="11.5" style="763" customWidth="1"/>
    <col min="8" max="8" width="10.875" style="763" customWidth="1"/>
    <col min="9" max="9" width="10.5" style="763" customWidth="1"/>
    <col min="10" max="10" width="12.375" style="763" customWidth="1"/>
    <col min="11" max="11" width="7" style="763" customWidth="1"/>
    <col min="12" max="13" width="8" style="763" customWidth="1"/>
    <col min="14" max="14" width="4.5" style="763" customWidth="1"/>
    <col min="15" max="17" width="9.125" style="794" customWidth="1"/>
    <col min="18" max="23" width="0" style="763" hidden="1" customWidth="1"/>
    <col min="24" max="16384" width="9.125" style="763" hidden="1"/>
  </cols>
  <sheetData>
    <row r="1" spans="2:17" ht="9.75" customHeight="1">
      <c r="B1" s="794"/>
      <c r="C1" s="794"/>
      <c r="D1" s="794"/>
      <c r="E1" s="794"/>
      <c r="F1" s="794"/>
      <c r="G1" s="794"/>
      <c r="H1" s="794"/>
      <c r="I1" s="794"/>
      <c r="J1" s="794"/>
      <c r="K1" s="794"/>
      <c r="L1" s="794"/>
      <c r="M1" s="794"/>
      <c r="N1" s="794"/>
    </row>
    <row r="2" spans="2:17" ht="12.75" customHeight="1">
      <c r="B2" s="794"/>
      <c r="C2" s="794"/>
      <c r="D2" s="794"/>
      <c r="E2" s="794"/>
      <c r="F2" s="794"/>
      <c r="G2" s="794"/>
      <c r="H2" s="794"/>
      <c r="I2" s="794"/>
      <c r="J2" s="794"/>
      <c r="K2" s="794"/>
      <c r="L2" s="1637">
        <f ca="1">TODAY()</f>
        <v>43229</v>
      </c>
      <c r="M2" s="1637"/>
      <c r="N2" s="794"/>
    </row>
    <row r="3" spans="2:17" ht="11.25" customHeight="1">
      <c r="B3" s="794"/>
      <c r="C3" s="794"/>
      <c r="D3" s="794"/>
      <c r="E3" s="794"/>
      <c r="F3" s="794"/>
      <c r="G3" s="794"/>
      <c r="H3" s="794"/>
      <c r="I3" s="794"/>
      <c r="J3" s="794"/>
      <c r="K3" s="794"/>
      <c r="L3" s="794"/>
      <c r="M3" s="794"/>
      <c r="N3" s="794"/>
    </row>
    <row r="4" spans="2:17" ht="11.25" customHeight="1">
      <c r="B4" s="794"/>
      <c r="C4" s="794"/>
      <c r="D4" s="794"/>
      <c r="E4" s="794"/>
      <c r="F4" s="794"/>
      <c r="G4" s="794"/>
      <c r="H4" s="794"/>
      <c r="I4" s="794"/>
      <c r="J4" s="794"/>
      <c r="K4" s="794"/>
      <c r="L4" s="1635" t="s">
        <v>397</v>
      </c>
      <c r="M4" s="1635"/>
      <c r="N4" s="794"/>
    </row>
    <row r="5" spans="2:17" ht="14.25" customHeight="1">
      <c r="B5" s="794"/>
      <c r="C5" s="794"/>
      <c r="D5" s="794"/>
      <c r="E5" s="794"/>
      <c r="F5" s="794"/>
      <c r="G5" s="794"/>
      <c r="H5" s="794"/>
      <c r="I5" s="794"/>
      <c r="J5" s="794"/>
      <c r="K5" s="794"/>
      <c r="L5" s="1635" t="s">
        <v>396</v>
      </c>
      <c r="M5" s="1635"/>
      <c r="N5" s="794"/>
    </row>
    <row r="6" spans="2:17" ht="14.25" customHeight="1">
      <c r="B6" s="794"/>
      <c r="C6" s="794"/>
      <c r="D6" s="794"/>
      <c r="E6" s="794"/>
      <c r="F6" s="794"/>
      <c r="G6" s="794"/>
      <c r="H6" s="794"/>
      <c r="I6" s="794"/>
      <c r="J6" s="794"/>
      <c r="K6" s="794"/>
      <c r="L6" s="794"/>
      <c r="M6" s="794"/>
      <c r="N6" s="794"/>
    </row>
    <row r="7" spans="2:17" ht="15.75" customHeight="1">
      <c r="B7" s="794"/>
      <c r="C7" s="794"/>
      <c r="D7" s="777"/>
      <c r="E7" s="425"/>
      <c r="F7" s="425"/>
      <c r="G7" s="425"/>
      <c r="H7" s="425"/>
      <c r="I7" s="424"/>
      <c r="J7" s="428"/>
      <c r="K7" s="767" t="s">
        <v>236</v>
      </c>
      <c r="L7" s="797">
        <f>Main!E9</f>
        <v>30</v>
      </c>
      <c r="M7" s="426" t="s">
        <v>234</v>
      </c>
      <c r="N7" s="794"/>
      <c r="O7" s="1598" t="s">
        <v>232</v>
      </c>
      <c r="P7" s="1598"/>
      <c r="Q7" s="1598"/>
    </row>
    <row r="8" spans="2:17" ht="15.75" customHeight="1">
      <c r="B8" s="794"/>
      <c r="C8" s="794"/>
      <c r="D8" s="777"/>
      <c r="E8" s="425"/>
      <c r="F8" s="425"/>
      <c r="G8" s="425"/>
      <c r="H8" s="425"/>
      <c r="I8" s="424"/>
      <c r="J8" s="427"/>
      <c r="K8" s="767" t="s">
        <v>235</v>
      </c>
      <c r="L8" s="797">
        <v>20</v>
      </c>
      <c r="M8" s="426" t="s">
        <v>234</v>
      </c>
      <c r="N8" s="794"/>
      <c r="O8" s="1598"/>
      <c r="P8" s="1598"/>
      <c r="Q8" s="1598"/>
    </row>
    <row r="9" spans="2:17" ht="15" customHeight="1">
      <c r="C9" s="425"/>
      <c r="D9" s="425"/>
      <c r="E9" s="425"/>
      <c r="F9" s="425"/>
      <c r="G9" s="425"/>
      <c r="H9" s="794"/>
      <c r="I9" s="424"/>
      <c r="J9" s="1985" t="s">
        <v>233</v>
      </c>
      <c r="K9" s="1985"/>
      <c r="L9" s="1989">
        <f>Main!E10</f>
        <v>2500000</v>
      </c>
      <c r="M9" s="1989"/>
      <c r="N9" s="794"/>
      <c r="O9" s="1381" t="s">
        <v>226</v>
      </c>
      <c r="P9" s="1381"/>
      <c r="Q9" s="1381"/>
    </row>
    <row r="10" spans="2:17" ht="15" customHeight="1">
      <c r="B10" s="794"/>
      <c r="C10" s="2064" t="s">
        <v>395</v>
      </c>
      <c r="D10" s="2064"/>
      <c r="E10" s="2064"/>
      <c r="F10" s="2064"/>
      <c r="G10" s="2064"/>
      <c r="H10" s="794"/>
      <c r="I10" s="55"/>
      <c r="J10" s="2024" t="str">
        <f>IF(Main!L10="YES","TERM RIDER"," ")</f>
        <v>TERM RIDER</v>
      </c>
      <c r="K10" s="2024"/>
      <c r="L10" s="2025">
        <f>IF(Main!L10="YES",Main!N10," ")</f>
        <v>0</v>
      </c>
      <c r="M10" s="2025"/>
      <c r="N10" s="794"/>
      <c r="O10" s="1381"/>
      <c r="P10" s="1381"/>
      <c r="Q10" s="1381"/>
    </row>
    <row r="11" spans="2:17" ht="16.5" customHeight="1" thickBot="1">
      <c r="B11" s="794"/>
      <c r="C11" s="2065"/>
      <c r="D11" s="2065"/>
      <c r="E11" s="2065"/>
      <c r="F11" s="2065"/>
      <c r="G11" s="2065"/>
      <c r="H11" s="794"/>
      <c r="I11" s="55"/>
      <c r="J11" s="794"/>
      <c r="K11" s="50"/>
      <c r="L11" s="791"/>
      <c r="M11" s="54"/>
      <c r="N11" s="794"/>
    </row>
    <row r="12" spans="2:17" ht="15.75" thickTop="1">
      <c r="B12" s="794"/>
      <c r="C12" s="1602" t="s">
        <v>231</v>
      </c>
      <c r="D12" s="1602"/>
      <c r="E12" s="1602"/>
      <c r="F12" s="1602"/>
      <c r="G12" s="1602"/>
      <c r="H12" s="794"/>
      <c r="I12" s="53"/>
      <c r="J12" s="52"/>
      <c r="K12" s="2063" t="s">
        <v>394</v>
      </c>
      <c r="L12" s="2063"/>
      <c r="M12" s="2063"/>
      <c r="N12" s="794"/>
    </row>
    <row r="13" spans="2:17" ht="15">
      <c r="B13" s="794"/>
      <c r="C13" s="1983" t="str">
        <f>CONCATENATE(Main!E8,(Main!F8))</f>
        <v>Sri.soumil</v>
      </c>
      <c r="D13" s="1983"/>
      <c r="E13" s="1983"/>
      <c r="F13" s="1983"/>
      <c r="G13" s="1983"/>
      <c r="H13" s="794"/>
      <c r="I13" s="423"/>
      <c r="J13" s="423"/>
      <c r="K13" s="800">
        <v>15</v>
      </c>
      <c r="L13" s="1813" t="s">
        <v>393</v>
      </c>
      <c r="M13" s="1813"/>
      <c r="N13" s="794"/>
    </row>
    <row r="14" spans="2:17" ht="14.25" customHeight="1">
      <c r="B14" s="794"/>
      <c r="C14" s="51"/>
      <c r="D14" s="51"/>
      <c r="E14" s="51"/>
      <c r="F14" s="51"/>
      <c r="G14" s="787"/>
      <c r="H14" s="787"/>
      <c r="I14" s="787"/>
      <c r="J14" s="50"/>
      <c r="K14" s="50"/>
      <c r="L14" s="791"/>
      <c r="M14" s="791"/>
      <c r="N14" s="794"/>
      <c r="O14" s="1596" t="s">
        <v>228</v>
      </c>
      <c r="P14" s="1597"/>
      <c r="Q14" s="1597"/>
    </row>
    <row r="15" spans="2:17" ht="15" customHeight="1">
      <c r="B15" s="794"/>
      <c r="C15" s="2029" t="s">
        <v>230</v>
      </c>
      <c r="D15" s="2030"/>
      <c r="E15" s="2031"/>
      <c r="F15" s="1910" t="s">
        <v>16</v>
      </c>
      <c r="G15" s="1910" t="s">
        <v>15</v>
      </c>
      <c r="H15" s="1910" t="s">
        <v>14</v>
      </c>
      <c r="I15" s="1910" t="s">
        <v>229</v>
      </c>
      <c r="K15" s="794"/>
      <c r="L15" s="794"/>
      <c r="M15" s="794"/>
      <c r="N15" s="794"/>
      <c r="O15" s="1597"/>
      <c r="P15" s="1597"/>
      <c r="Q15" s="1597"/>
    </row>
    <row r="16" spans="2:17" ht="12.75" customHeight="1">
      <c r="B16" s="794"/>
      <c r="C16" s="2029"/>
      <c r="D16" s="2030"/>
      <c r="E16" s="2031"/>
      <c r="F16" s="1911"/>
      <c r="G16" s="1911"/>
      <c r="H16" s="1911"/>
      <c r="I16" s="1911"/>
      <c r="J16" s="49"/>
      <c r="K16" s="2036" t="str">
        <f>CONCATENATE(" SAVINGS                                    PER DAY", " ", " "," ", " "," "," "," "," ", " "," "," "," "," "," "," ", " "," "," "," "," ", " "," ",   "Rs.  ",(DAT!AZ10)," "," "," ","ONLY")</f>
        <v xml:space="preserve"> SAVINGS                                    PER DAY                      Rs.  542   ONLY</v>
      </c>
      <c r="L16" s="2036"/>
      <c r="M16" s="554"/>
      <c r="N16" s="794"/>
      <c r="O16" s="1391" t="s">
        <v>226</v>
      </c>
      <c r="P16" s="1391"/>
      <c r="Q16" s="1391"/>
    </row>
    <row r="17" spans="1:17" ht="12.75" customHeight="1">
      <c r="B17" s="794"/>
      <c r="C17" s="2032" t="s">
        <v>2119</v>
      </c>
      <c r="D17" s="2033"/>
      <c r="E17" s="2034"/>
      <c r="F17" s="1910">
        <f>DAT!AT10</f>
        <v>197813</v>
      </c>
      <c r="G17" s="1910">
        <f>DAT!AU10</f>
        <v>99940</v>
      </c>
      <c r="H17" s="1910">
        <f>DAT!AV10</f>
        <v>50487</v>
      </c>
      <c r="I17" s="1910">
        <f>DAT!AW10</f>
        <v>16829</v>
      </c>
      <c r="J17" s="46"/>
      <c r="K17" s="2036"/>
      <c r="L17" s="2036"/>
      <c r="M17" s="554"/>
      <c r="N17" s="794"/>
      <c r="O17" s="1391"/>
      <c r="P17" s="1391"/>
      <c r="Q17" s="1391"/>
    </row>
    <row r="18" spans="1:17" ht="12.75" customHeight="1">
      <c r="B18" s="794"/>
      <c r="C18" s="2032"/>
      <c r="D18" s="2033"/>
      <c r="E18" s="2034"/>
      <c r="F18" s="1911"/>
      <c r="G18" s="1911"/>
      <c r="H18" s="1911"/>
      <c r="I18" s="1911"/>
      <c r="J18" s="46"/>
      <c r="K18" s="2036"/>
      <c r="L18" s="2036"/>
      <c r="M18" s="554"/>
      <c r="N18" s="794"/>
    </row>
    <row r="19" spans="1:17" ht="12.75" customHeight="1">
      <c r="B19" s="777"/>
      <c r="C19" s="48"/>
      <c r="D19" s="48"/>
      <c r="E19" s="48"/>
      <c r="F19" s="48"/>
      <c r="G19" s="47"/>
      <c r="H19" s="47"/>
      <c r="I19" s="47"/>
      <c r="J19" s="46"/>
      <c r="K19" s="2036"/>
      <c r="L19" s="2036"/>
      <c r="M19" s="554"/>
      <c r="N19" s="794"/>
    </row>
    <row r="20" spans="1:17" ht="9" customHeight="1">
      <c r="B20" s="794"/>
      <c r="C20" s="2041" t="s">
        <v>227</v>
      </c>
      <c r="D20" s="2041"/>
      <c r="E20" s="2041"/>
      <c r="F20" s="2041"/>
      <c r="G20" s="794"/>
      <c r="H20" s="794"/>
      <c r="I20" s="794"/>
      <c r="K20" s="2036"/>
      <c r="L20" s="2036"/>
      <c r="M20" s="554"/>
      <c r="N20" s="794"/>
    </row>
    <row r="21" spans="1:17" ht="14.25" customHeight="1">
      <c r="B21" s="794"/>
      <c r="C21" s="2041"/>
      <c r="D21" s="2041"/>
      <c r="E21" s="2041"/>
      <c r="F21" s="2041"/>
      <c r="G21" s="45"/>
      <c r="H21" s="1673"/>
      <c r="I21" s="1673"/>
      <c r="J21" s="44"/>
      <c r="K21" s="2036"/>
      <c r="L21" s="2036"/>
      <c r="M21" s="554"/>
      <c r="N21" s="794"/>
    </row>
    <row r="22" spans="1:17" ht="14.25" customHeight="1">
      <c r="A22" s="420"/>
      <c r="B22" s="38" t="s">
        <v>224</v>
      </c>
      <c r="C22" s="2042" t="s">
        <v>392</v>
      </c>
      <c r="D22" s="2042"/>
      <c r="E22" s="2042"/>
      <c r="F22" s="2042"/>
      <c r="G22" s="2042"/>
      <c r="H22" s="2042"/>
      <c r="I22" s="2042"/>
      <c r="J22" s="2042"/>
      <c r="K22" s="43"/>
      <c r="L22" s="43"/>
      <c r="M22" s="794"/>
      <c r="N22" s="794"/>
    </row>
    <row r="23" spans="1:17" ht="14.25" customHeight="1">
      <c r="A23" s="420"/>
      <c r="B23" s="38" t="s">
        <v>224</v>
      </c>
      <c r="C23" s="2038" t="str">
        <f>CONCATENATE( "Risk coverage 125 % of Basic Sum Assured.     i.e.  Rs.",(L9*125%))</f>
        <v>Risk coverage 125 % of Basic Sum Assured.     i.e.  Rs.3125000</v>
      </c>
      <c r="D23" s="2038"/>
      <c r="E23" s="2038"/>
      <c r="F23" s="2038"/>
      <c r="G23" s="2038"/>
      <c r="H23" s="2038"/>
      <c r="I23" s="2038"/>
      <c r="J23" s="2038"/>
      <c r="K23" s="43"/>
      <c r="L23" s="43"/>
      <c r="M23" s="794"/>
      <c r="N23" s="794"/>
    </row>
    <row r="24" spans="1:17" ht="13.5" customHeight="1">
      <c r="A24" s="420"/>
      <c r="B24" s="38" t="s">
        <v>224</v>
      </c>
      <c r="C24" s="2038" t="s">
        <v>391</v>
      </c>
      <c r="D24" s="2038"/>
      <c r="E24" s="2038"/>
      <c r="F24" s="2038"/>
      <c r="G24" s="2038"/>
      <c r="H24" s="2038"/>
      <c r="I24" s="2038"/>
      <c r="J24" s="2038"/>
      <c r="K24" s="42"/>
      <c r="L24" s="42"/>
    </row>
    <row r="25" spans="1:17" ht="13.5" customHeight="1">
      <c r="A25" s="420"/>
      <c r="B25" s="38"/>
      <c r="C25" s="2039" t="s">
        <v>390</v>
      </c>
      <c r="D25" s="2039"/>
      <c r="E25" s="2039"/>
      <c r="F25" s="2039"/>
      <c r="G25" s="2039"/>
      <c r="H25" s="422" t="s">
        <v>389</v>
      </c>
      <c r="I25" s="2038">
        <f>L9*20%</f>
        <v>500000</v>
      </c>
      <c r="J25" s="2038"/>
      <c r="K25" s="41"/>
      <c r="L25" s="41"/>
      <c r="M25" s="41"/>
    </row>
    <row r="26" spans="1:17" ht="13.5" customHeight="1">
      <c r="A26" s="420"/>
      <c r="B26" s="38" t="s">
        <v>224</v>
      </c>
      <c r="C26" s="2040" t="s">
        <v>388</v>
      </c>
      <c r="D26" s="2040"/>
      <c r="E26" s="2040"/>
      <c r="F26" s="2040"/>
      <c r="G26" s="2040"/>
      <c r="H26" s="2040"/>
      <c r="I26" s="2040"/>
      <c r="J26" s="2040"/>
      <c r="K26" s="421"/>
      <c r="L26" s="421"/>
    </row>
    <row r="27" spans="1:17" ht="13.5" customHeight="1">
      <c r="A27" s="420"/>
      <c r="B27" s="38"/>
      <c r="C27" s="2037" t="s">
        <v>387</v>
      </c>
      <c r="D27" s="2037"/>
      <c r="E27" s="2037"/>
      <c r="F27" s="2037"/>
      <c r="G27" s="2037"/>
      <c r="H27" s="2037"/>
      <c r="I27" s="2037"/>
      <c r="J27" s="2037"/>
      <c r="K27" s="421"/>
      <c r="L27" s="421"/>
    </row>
    <row r="28" spans="1:17" ht="13.5" customHeight="1">
      <c r="A28" s="420"/>
      <c r="B28" s="38" t="s">
        <v>224</v>
      </c>
      <c r="C28" s="2040" t="s">
        <v>386</v>
      </c>
      <c r="D28" s="2040"/>
      <c r="E28" s="2040"/>
      <c r="F28" s="2040"/>
      <c r="G28" s="2040"/>
      <c r="H28" s="2040"/>
      <c r="I28" s="2040"/>
      <c r="J28" s="2040"/>
      <c r="K28" s="421"/>
      <c r="L28" s="421"/>
    </row>
    <row r="29" spans="1:17" ht="14.25" customHeight="1">
      <c r="A29" s="420"/>
      <c r="B29" s="38" t="s">
        <v>224</v>
      </c>
      <c r="C29" s="2043" t="s">
        <v>385</v>
      </c>
      <c r="D29" s="2043"/>
      <c r="E29" s="2043"/>
      <c r="F29" s="2043"/>
      <c r="G29" s="2043"/>
      <c r="H29" s="2043"/>
      <c r="I29" s="2043"/>
      <c r="J29" s="2043"/>
      <c r="K29" s="37"/>
      <c r="L29" s="37"/>
    </row>
    <row r="30" spans="1:17" ht="6" customHeight="1">
      <c r="B30" s="794"/>
      <c r="C30" s="794"/>
      <c r="D30" s="794"/>
      <c r="E30" s="794"/>
      <c r="F30" s="794"/>
      <c r="G30" s="794"/>
      <c r="H30" s="794"/>
      <c r="I30" s="794"/>
      <c r="J30" s="794"/>
    </row>
    <row r="31" spans="1:17" ht="12.75">
      <c r="A31" s="2066"/>
      <c r="B31" s="777"/>
      <c r="C31" s="1929" t="s">
        <v>17</v>
      </c>
      <c r="D31" s="1931" t="s">
        <v>223</v>
      </c>
      <c r="E31" s="1931" t="s">
        <v>222</v>
      </c>
      <c r="F31" s="1933" t="s">
        <v>221</v>
      </c>
      <c r="G31" s="1933"/>
      <c r="H31" s="1933" t="s">
        <v>220</v>
      </c>
      <c r="I31" s="1933" t="s">
        <v>219</v>
      </c>
      <c r="J31" s="2067" t="s">
        <v>218</v>
      </c>
    </row>
    <row r="32" spans="1:17" ht="12.75">
      <c r="A32" s="2066"/>
      <c r="B32" s="777"/>
      <c r="C32" s="1929"/>
      <c r="D32" s="1932"/>
      <c r="E32" s="1932"/>
      <c r="F32" s="754" t="s">
        <v>217</v>
      </c>
      <c r="G32" s="754" t="s">
        <v>216</v>
      </c>
      <c r="H32" s="1933"/>
      <c r="I32" s="1933"/>
      <c r="J32" s="2067"/>
    </row>
    <row r="33" spans="1:14" ht="12.75">
      <c r="A33" s="419">
        <v>0</v>
      </c>
      <c r="B33" s="29"/>
      <c r="C33" s="418">
        <f>L7</f>
        <v>30</v>
      </c>
      <c r="D33" s="62" t="str">
        <f ca="1">IF(A33&lt;$L$8,(((DAY(NOW())&amp;"/")&amp;MONTH(NOW()))&amp;"/")&amp;((YEAR(NOW()))),0)</f>
        <v>9/5/2018</v>
      </c>
      <c r="E33" s="417">
        <f>DAT!AT10</f>
        <v>197813</v>
      </c>
      <c r="F33" s="413">
        <f>IF(A33&lt;$L$8,MAT!BL60,0)</f>
        <v>3222500</v>
      </c>
      <c r="G33" s="413">
        <f>IF(A33&lt;$L$8,MAT!BM60,0)</f>
        <v>5722500</v>
      </c>
      <c r="H33" s="780">
        <v>0</v>
      </c>
      <c r="I33" s="768">
        <v>0</v>
      </c>
      <c r="J33" s="768">
        <v>0</v>
      </c>
      <c r="K33" s="764"/>
    </row>
    <row r="34" spans="1:14" ht="12.75">
      <c r="A34" s="409">
        <v>1</v>
      </c>
      <c r="B34" s="29"/>
      <c r="C34" s="415">
        <f t="shared" ref="C34:C52" si="0">IF(A34&lt;$L$8,$C$33+A34,0)</f>
        <v>31</v>
      </c>
      <c r="D34" s="62" t="str">
        <f t="shared" ref="D34:D52" ca="1" si="1">IF(A34&lt;$L$8,(((DAY(NOW())&amp;"/")&amp;MONTH(NOW()))&amp;"/")&amp;((YEAR(NOW())))+A34,0)</f>
        <v>9/5/2019</v>
      </c>
      <c r="E34" s="62">
        <f>DAT!$AY$10</f>
        <v>193554</v>
      </c>
      <c r="F34" s="413">
        <f>IF(A34&lt;$L$8,MAT!BL61,0)</f>
        <v>3320000</v>
      </c>
      <c r="G34" s="413">
        <f>IF(A34&lt;$L$8,MAT!BM61,0)</f>
        <v>5820000</v>
      </c>
      <c r="H34" s="413">
        <v>0</v>
      </c>
      <c r="I34" s="768">
        <v>0</v>
      </c>
      <c r="J34" s="768">
        <v>0</v>
      </c>
      <c r="K34" s="764"/>
    </row>
    <row r="35" spans="1:14" ht="12.75">
      <c r="A35" s="409">
        <v>2</v>
      </c>
      <c r="B35" s="29"/>
      <c r="C35" s="415">
        <f t="shared" si="0"/>
        <v>32</v>
      </c>
      <c r="D35" s="62" t="str">
        <f t="shared" ca="1" si="1"/>
        <v>9/5/2020</v>
      </c>
      <c r="E35" s="62">
        <f>DAT!$AY$10</f>
        <v>193554</v>
      </c>
      <c r="F35" s="413">
        <f>IF(A35&lt;$L$8,MAT!BL62,0)</f>
        <v>3417500</v>
      </c>
      <c r="G35" s="413">
        <f>IF(A35&lt;$L$8,MAT!BM62,0)</f>
        <v>5917500</v>
      </c>
      <c r="H35" s="413">
        <v>0</v>
      </c>
      <c r="I35" s="768">
        <v>0</v>
      </c>
      <c r="J35" s="768">
        <v>0</v>
      </c>
      <c r="K35" s="764"/>
    </row>
    <row r="36" spans="1:14" ht="12.75">
      <c r="A36" s="409">
        <v>3</v>
      </c>
      <c r="B36" s="29"/>
      <c r="C36" s="415">
        <f t="shared" si="0"/>
        <v>33</v>
      </c>
      <c r="D36" s="62" t="str">
        <f t="shared" ca="1" si="1"/>
        <v>9/5/2021</v>
      </c>
      <c r="E36" s="62">
        <f>DAT!$AY$10</f>
        <v>193554</v>
      </c>
      <c r="F36" s="413">
        <f>IF(A36&lt;$L$8,MAT!BL63,0)</f>
        <v>3515000</v>
      </c>
      <c r="G36" s="413">
        <f>IF(A36&lt;$L$8,MAT!BM63,0)</f>
        <v>6015000</v>
      </c>
      <c r="H36" s="413">
        <f>IF(A36&lt;$L$8,MAT!BB62,0)</f>
        <v>432050</v>
      </c>
      <c r="I36" s="413">
        <f>IF(A36&lt;$L$8,MAT!BC62,0)</f>
        <v>388800</v>
      </c>
      <c r="J36" s="768">
        <v>0</v>
      </c>
      <c r="K36" s="764"/>
    </row>
    <row r="37" spans="1:14" ht="12.75">
      <c r="A37" s="409">
        <v>4</v>
      </c>
      <c r="B37" s="29"/>
      <c r="C37" s="415">
        <f t="shared" si="0"/>
        <v>34</v>
      </c>
      <c r="D37" s="62" t="str">
        <f t="shared" ca="1" si="1"/>
        <v>9/5/2022</v>
      </c>
      <c r="E37" s="62">
        <f>DAT!$AY$10</f>
        <v>193554</v>
      </c>
      <c r="F37" s="413">
        <f>IF(A37&lt;$L$8,MAT!BL64,0)</f>
        <v>3612500</v>
      </c>
      <c r="G37" s="413">
        <f>IF(A37&lt;$L$8,MAT!BM64,0)</f>
        <v>6112500</v>
      </c>
      <c r="H37" s="413">
        <f>IF(A37&lt;$L$8,MAT!BB63,0)</f>
        <v>590400</v>
      </c>
      <c r="I37" s="413">
        <f>IF(A37&lt;$L$8,MAT!BC63,0)</f>
        <v>531400</v>
      </c>
      <c r="J37" s="768">
        <v>0</v>
      </c>
      <c r="K37" s="764"/>
    </row>
    <row r="38" spans="1:14" ht="12.75">
      <c r="A38" s="409">
        <v>5</v>
      </c>
      <c r="B38" s="29"/>
      <c r="C38" s="415">
        <f t="shared" si="0"/>
        <v>35</v>
      </c>
      <c r="D38" s="62" t="str">
        <f t="shared" ca="1" si="1"/>
        <v>9/5/2023</v>
      </c>
      <c r="E38" s="62">
        <f>DAT!$AY$10</f>
        <v>193554</v>
      </c>
      <c r="F38" s="413">
        <f>IF(A38&lt;$L$8,MAT!BL65,0)</f>
        <v>3710000</v>
      </c>
      <c r="G38" s="413">
        <f>IF(A38&lt;$L$8,MAT!BM65,0)</f>
        <v>6210000</v>
      </c>
      <c r="H38" s="413">
        <f>IF(A38&lt;$L$8,MAT!BB64,0)</f>
        <v>257250</v>
      </c>
      <c r="I38" s="413">
        <f>IF(A38&lt;$L$8,MAT!BC64,0)</f>
        <v>231500</v>
      </c>
      <c r="J38" s="416">
        <f>L9*20%</f>
        <v>500000</v>
      </c>
      <c r="K38" s="2019" t="s">
        <v>215</v>
      </c>
      <c r="L38" s="2020"/>
      <c r="M38" s="2020"/>
      <c r="N38" s="2020"/>
    </row>
    <row r="39" spans="1:14" ht="13.5" customHeight="1">
      <c r="A39" s="409">
        <v>6</v>
      </c>
      <c r="B39" s="29"/>
      <c r="C39" s="415">
        <f t="shared" si="0"/>
        <v>36</v>
      </c>
      <c r="D39" s="62" t="str">
        <f t="shared" ca="1" si="1"/>
        <v>9/5/2024</v>
      </c>
      <c r="E39" s="62">
        <f>DAT!$AY$10</f>
        <v>193554</v>
      </c>
      <c r="F39" s="413">
        <f>IF(A39&lt;$L$8,MAT!BL66,0)</f>
        <v>3807500</v>
      </c>
      <c r="G39" s="413">
        <f>IF(A39&lt;$L$8,MAT!BM66,0)</f>
        <v>6307500</v>
      </c>
      <c r="H39" s="413">
        <f>IF(A39&lt;$L$8,MAT!BB65,0)</f>
        <v>433600</v>
      </c>
      <c r="I39" s="413">
        <f>IF(A39&lt;$L$8,MAT!BC65,0)</f>
        <v>390200</v>
      </c>
      <c r="J39" s="768">
        <v>0</v>
      </c>
      <c r="K39" s="34"/>
      <c r="L39" s="31" t="s">
        <v>210</v>
      </c>
      <c r="M39" s="1962">
        <f>SUM(E33:E52)</f>
        <v>2907569</v>
      </c>
      <c r="N39" s="1962"/>
    </row>
    <row r="40" spans="1:14" ht="12" customHeight="1">
      <c r="A40" s="409">
        <v>7</v>
      </c>
      <c r="B40" s="29"/>
      <c r="C40" s="415">
        <f t="shared" si="0"/>
        <v>37</v>
      </c>
      <c r="D40" s="62" t="str">
        <f t="shared" ca="1" si="1"/>
        <v>9/5/2025</v>
      </c>
      <c r="E40" s="62">
        <f>DAT!$AY$10</f>
        <v>193554</v>
      </c>
      <c r="F40" s="413">
        <f>IF(A40&lt;$L$8,MAT!BL67,0)</f>
        <v>3905000</v>
      </c>
      <c r="G40" s="413">
        <f>IF(A40&lt;$L$8,MAT!BM67,0)</f>
        <v>6405000</v>
      </c>
      <c r="H40" s="413">
        <f>IF(A40&lt;$L$8,MAT!BB66,0)</f>
        <v>620466.66666666674</v>
      </c>
      <c r="I40" s="413">
        <f>IF(A40&lt;$L$8,MAT!BC66,0)</f>
        <v>558400</v>
      </c>
      <c r="J40" s="768">
        <v>0</v>
      </c>
      <c r="K40" s="2019" t="s">
        <v>214</v>
      </c>
      <c r="L40" s="2020"/>
      <c r="M40" s="2020"/>
      <c r="N40" s="2020"/>
    </row>
    <row r="41" spans="1:14" ht="15" customHeight="1">
      <c r="A41" s="409">
        <v>8</v>
      </c>
      <c r="B41" s="29"/>
      <c r="C41" s="415">
        <f t="shared" si="0"/>
        <v>38</v>
      </c>
      <c r="D41" s="62" t="str">
        <f t="shared" ca="1" si="1"/>
        <v>9/5/2026</v>
      </c>
      <c r="E41" s="62">
        <f>DAT!$AY$10</f>
        <v>193554</v>
      </c>
      <c r="F41" s="413">
        <f>IF(A41&lt;$L$8,MAT!BL68,0)</f>
        <v>4002500</v>
      </c>
      <c r="G41" s="413">
        <f>IF(A41&lt;$L$8,MAT!BM68,0)</f>
        <v>6502500</v>
      </c>
      <c r="H41" s="413">
        <f>IF(A41&lt;$L$8,MAT!BB67,0)</f>
        <v>819200</v>
      </c>
      <c r="I41" s="413">
        <f>IF(A41&lt;$L$8,MAT!BC67,0)</f>
        <v>737300</v>
      </c>
      <c r="J41" s="768">
        <v>0</v>
      </c>
      <c r="K41" s="33"/>
      <c r="L41" s="31" t="s">
        <v>210</v>
      </c>
      <c r="M41" s="1934">
        <f>G57+J38+J43+J48</f>
        <v>4550000</v>
      </c>
      <c r="N41" s="1935"/>
    </row>
    <row r="42" spans="1:14" ht="13.5" customHeight="1">
      <c r="A42" s="409">
        <v>9</v>
      </c>
      <c r="B42" s="29"/>
      <c r="C42" s="415">
        <f t="shared" si="0"/>
        <v>39</v>
      </c>
      <c r="D42" s="62" t="str">
        <f t="shared" ca="1" si="1"/>
        <v>9/5/2027</v>
      </c>
      <c r="E42" s="62">
        <f>DAT!$AY$10</f>
        <v>193554</v>
      </c>
      <c r="F42" s="413">
        <f>IF(A42&lt;$L$8,MAT!BL69,0)</f>
        <v>4100000</v>
      </c>
      <c r="G42" s="413">
        <f>IF(A42&lt;$L$8,MAT!BM69,0)</f>
        <v>6600000</v>
      </c>
      <c r="H42" s="413">
        <f>IF(A42&lt;$L$8,MAT!BB68,0)</f>
        <v>1031050</v>
      </c>
      <c r="I42" s="413">
        <f>IF(A42&lt;$L$8,MAT!BC68,0)</f>
        <v>927900</v>
      </c>
      <c r="J42" s="768">
        <v>0</v>
      </c>
      <c r="K42" s="1963" t="s">
        <v>213</v>
      </c>
      <c r="L42" s="1964"/>
      <c r="M42" s="1964"/>
      <c r="N42" s="1964"/>
    </row>
    <row r="43" spans="1:14" ht="14.25" customHeight="1">
      <c r="A43" s="409">
        <v>10</v>
      </c>
      <c r="B43" s="29"/>
      <c r="C43" s="415">
        <f t="shared" si="0"/>
        <v>40</v>
      </c>
      <c r="D43" s="62" t="str">
        <f t="shared" ca="1" si="1"/>
        <v>9/5/2028</v>
      </c>
      <c r="E43" s="62">
        <f>DAT!$AY$10</f>
        <v>193554</v>
      </c>
      <c r="F43" s="413">
        <f>IF(A43&lt;$L$8,MAT!BL70,0)</f>
        <v>4197500</v>
      </c>
      <c r="G43" s="413">
        <f>IF(A43&lt;$L$8,MAT!BM70,0)</f>
        <v>6697500</v>
      </c>
      <c r="H43" s="413">
        <f>IF(A43&lt;$L$8,MAT!BB69,0)</f>
        <v>757333.33333333326</v>
      </c>
      <c r="I43" s="413">
        <f>IF(A43&lt;$L$8,MAT!BC69,0)</f>
        <v>681600</v>
      </c>
      <c r="J43" s="416">
        <f>L9*20%</f>
        <v>500000</v>
      </c>
      <c r="K43" s="32"/>
      <c r="L43" s="31" t="s">
        <v>210</v>
      </c>
      <c r="M43" s="1947">
        <f>M41-M39</f>
        <v>1642431</v>
      </c>
      <c r="N43" s="1948"/>
    </row>
    <row r="44" spans="1:14" ht="12.75" customHeight="1">
      <c r="A44" s="409">
        <v>11</v>
      </c>
      <c r="B44" s="29"/>
      <c r="C44" s="415">
        <f t="shared" si="0"/>
        <v>41</v>
      </c>
      <c r="D44" s="62" t="str">
        <f t="shared" ca="1" si="1"/>
        <v>9/5/2029</v>
      </c>
      <c r="E44" s="62">
        <f>DAT!$AY$10</f>
        <v>193554</v>
      </c>
      <c r="F44" s="413">
        <f>IF(A44&lt;$L$8,MAT!BL71,0)</f>
        <v>4295000</v>
      </c>
      <c r="G44" s="413">
        <f>IF(A44&lt;$L$8,MAT!BM71,0)</f>
        <v>6795000</v>
      </c>
      <c r="H44" s="413">
        <f>IF(A44&lt;$L$8,MAT!BB70,0)</f>
        <v>985500</v>
      </c>
      <c r="I44" s="413">
        <f>IF(A44&lt;$L$8,MAT!BC70,0)</f>
        <v>887000</v>
      </c>
      <c r="J44" s="768">
        <v>0</v>
      </c>
      <c r="K44" s="30"/>
      <c r="L44" s="30"/>
      <c r="M44" s="30"/>
      <c r="N44" s="30"/>
    </row>
    <row r="45" spans="1:14" ht="13.5" customHeight="1">
      <c r="A45" s="409">
        <v>12</v>
      </c>
      <c r="B45" s="29"/>
      <c r="C45" s="415">
        <f t="shared" si="0"/>
        <v>42</v>
      </c>
      <c r="D45" s="62" t="str">
        <f t="shared" ca="1" si="1"/>
        <v>9/5/2030</v>
      </c>
      <c r="E45" s="62">
        <f>DAT!$AY$10</f>
        <v>193554</v>
      </c>
      <c r="F45" s="413">
        <f>IF(A45&lt;$L$8,MAT!BL72,0)</f>
        <v>4392500</v>
      </c>
      <c r="G45" s="413">
        <f>IF(A45&lt;$L$8,MAT!BM72,0)</f>
        <v>6892500</v>
      </c>
      <c r="H45" s="413">
        <f>IF(A45&lt;$L$8,MAT!BB71,0)</f>
        <v>1230000</v>
      </c>
      <c r="I45" s="413">
        <f>IF(A45&lt;$L$8,MAT!BC71,0)</f>
        <v>1107000</v>
      </c>
      <c r="J45" s="768">
        <v>0</v>
      </c>
      <c r="K45" s="30"/>
      <c r="L45" s="30"/>
      <c r="M45" s="30"/>
      <c r="N45" s="30"/>
    </row>
    <row r="46" spans="1:14" ht="12.75" customHeight="1">
      <c r="A46" s="409">
        <v>13</v>
      </c>
      <c r="B46" s="29"/>
      <c r="C46" s="415">
        <f t="shared" si="0"/>
        <v>43</v>
      </c>
      <c r="D46" s="62" t="str">
        <f t="shared" ca="1" si="1"/>
        <v>9/5/2031</v>
      </c>
      <c r="E46" s="62">
        <f>DAT!$AY$10</f>
        <v>193554</v>
      </c>
      <c r="F46" s="413">
        <f>IF(A46&lt;$L$8,MAT!BL73,0)</f>
        <v>4490000</v>
      </c>
      <c r="G46" s="413">
        <f>IF(A46&lt;$L$8,MAT!BM73,0)</f>
        <v>6990000</v>
      </c>
      <c r="H46" s="413">
        <f>IF(A46&lt;$L$8,MAT!BB72,0)</f>
        <v>1493833.3333333335</v>
      </c>
      <c r="I46" s="413">
        <f>IF(A46&lt;$L$8,MAT!BC72,0)</f>
        <v>1344500</v>
      </c>
      <c r="J46" s="768">
        <v>0</v>
      </c>
      <c r="K46" s="2048" t="str">
        <f>IF(Main!L13="YES","EFFECTIVE  YIELD   -   IRR","INSURING                           LIVES")</f>
        <v>INSURING                           LIVES</v>
      </c>
      <c r="L46" s="2049"/>
      <c r="M46" s="2049"/>
      <c r="N46" s="2049"/>
    </row>
    <row r="47" spans="1:14" ht="13.5" customHeight="1">
      <c r="A47" s="409">
        <v>14</v>
      </c>
      <c r="B47" s="29"/>
      <c r="C47" s="415">
        <f t="shared" si="0"/>
        <v>44</v>
      </c>
      <c r="D47" s="62" t="str">
        <f t="shared" ca="1" si="1"/>
        <v>9/5/2032</v>
      </c>
      <c r="E47" s="62">
        <f>DAT!$AY$10</f>
        <v>193554</v>
      </c>
      <c r="F47" s="413">
        <f>IF(A47&lt;$L$8,MAT!BL74,0)</f>
        <v>4637500</v>
      </c>
      <c r="G47" s="413">
        <f>IF(A47&lt;$L$8,MAT!BM74,0)</f>
        <v>7137500</v>
      </c>
      <c r="H47" s="413">
        <f>IF(A47&lt;$L$8,MAT!BB73,0)</f>
        <v>1780633.3333333335</v>
      </c>
      <c r="I47" s="413">
        <f>IF(A47&lt;$L$8,MAT!BC73,0)</f>
        <v>1602600</v>
      </c>
      <c r="J47" s="768">
        <v>0</v>
      </c>
      <c r="K47" s="2048"/>
      <c r="L47" s="2049"/>
      <c r="M47" s="2049"/>
      <c r="N47" s="2049"/>
    </row>
    <row r="48" spans="1:14" ht="12.75" customHeight="1">
      <c r="A48" s="409">
        <v>15</v>
      </c>
      <c r="B48" s="29"/>
      <c r="C48" s="415">
        <f t="shared" si="0"/>
        <v>45</v>
      </c>
      <c r="D48" s="62" t="str">
        <f t="shared" ca="1" si="1"/>
        <v>9/5/2033</v>
      </c>
      <c r="E48" s="768">
        <v>0</v>
      </c>
      <c r="F48" s="413">
        <f>IF(A48&lt;$L$8,MAT!BL75,0)</f>
        <v>4735000</v>
      </c>
      <c r="G48" s="413">
        <f>IF(A48&lt;$L$8,MAT!BM75,0)</f>
        <v>7235000</v>
      </c>
      <c r="H48" s="413">
        <f>IF(A48&lt;$L$8,MAT!BB74,0)</f>
        <v>1594500</v>
      </c>
      <c r="I48" s="413">
        <f>IF(A48&lt;$L$8,MAT!BC74,0)</f>
        <v>1435100</v>
      </c>
      <c r="J48" s="416">
        <f>L9*20%</f>
        <v>500000</v>
      </c>
      <c r="K48" s="2048"/>
      <c r="L48" s="2049"/>
      <c r="M48" s="2049"/>
      <c r="N48" s="2049"/>
    </row>
    <row r="49" spans="1:14" ht="12.75" customHeight="1">
      <c r="A49" s="409">
        <v>16</v>
      </c>
      <c r="B49" s="29"/>
      <c r="C49" s="415">
        <f t="shared" si="0"/>
        <v>46</v>
      </c>
      <c r="D49" s="62" t="str">
        <f t="shared" ca="1" si="1"/>
        <v>9/5/2034</v>
      </c>
      <c r="E49" s="768">
        <v>0</v>
      </c>
      <c r="F49" s="413">
        <f>IF(A49&lt;$L$8,MAT!BL76,0)</f>
        <v>4832500</v>
      </c>
      <c r="G49" s="413">
        <f>IF(A49&lt;$L$8,MAT!BM76,0)</f>
        <v>7332500</v>
      </c>
      <c r="H49" s="413">
        <f>IF(A49&lt;$L$8,MAT!BB75,0)</f>
        <v>1954400</v>
      </c>
      <c r="I49" s="413">
        <f>IF(A49&lt;$L$8,MAT!BC75,0)</f>
        <v>1759000</v>
      </c>
      <c r="J49" s="768">
        <v>0</v>
      </c>
      <c r="K49" s="2050" t="str">
        <f>IF(Main!L13="YES",MAT!BT130,"ENSURING              SMILES")</f>
        <v>ENSURING              SMILES</v>
      </c>
      <c r="L49" s="2051"/>
      <c r="M49" s="2051"/>
      <c r="N49" s="2051"/>
    </row>
    <row r="50" spans="1:14" ht="13.5" customHeight="1">
      <c r="A50" s="409">
        <v>17</v>
      </c>
      <c r="B50" s="29"/>
      <c r="C50" s="415">
        <f t="shared" si="0"/>
        <v>47</v>
      </c>
      <c r="D50" s="62" t="str">
        <f t="shared" ca="1" si="1"/>
        <v>9/5/2035</v>
      </c>
      <c r="E50" s="768">
        <v>0</v>
      </c>
      <c r="F50" s="413">
        <f>IF(A50&lt;$L$8,MAT!BL77,0)</f>
        <v>4930000</v>
      </c>
      <c r="G50" s="413">
        <f>IF(A50&lt;$L$8,MAT!BM77,0)</f>
        <v>7430000</v>
      </c>
      <c r="H50" s="413">
        <f>IF(A50&lt;$L$8,MAT!BB76,0)</f>
        <v>2348516.666666667</v>
      </c>
      <c r="I50" s="413">
        <f>IF(A50&lt;$L$8,MAT!BC76,0)</f>
        <v>2113700</v>
      </c>
      <c r="J50" s="768">
        <v>0</v>
      </c>
      <c r="K50" s="2050"/>
      <c r="L50" s="2051"/>
      <c r="M50" s="2051"/>
      <c r="N50" s="2051"/>
    </row>
    <row r="51" spans="1:14" ht="12.75" customHeight="1">
      <c r="A51" s="409">
        <v>18</v>
      </c>
      <c r="B51" s="29"/>
      <c r="C51" s="415">
        <f t="shared" si="0"/>
        <v>48</v>
      </c>
      <c r="D51" s="62" t="str">
        <f t="shared" ca="1" si="1"/>
        <v>9/5/2036</v>
      </c>
      <c r="E51" s="768">
        <v>0</v>
      </c>
      <c r="F51" s="413">
        <f>IF(A51&lt;$L$8,MAT!BL78,0)</f>
        <v>5027500</v>
      </c>
      <c r="G51" s="413">
        <f>IF(A51&lt;$L$8,MAT!BM78,0)</f>
        <v>7527500</v>
      </c>
      <c r="H51" s="413">
        <f>IF(A51&lt;$L$8,MAT!BB77,0)</f>
        <v>2781300</v>
      </c>
      <c r="I51" s="413">
        <f>IF(A51&lt;$L$8,MAT!BC77,0)</f>
        <v>2503200</v>
      </c>
      <c r="J51" s="768">
        <v>0</v>
      </c>
      <c r="K51" s="2050"/>
      <c r="L51" s="2051"/>
      <c r="M51" s="2051"/>
      <c r="N51" s="2051"/>
    </row>
    <row r="52" spans="1:14" ht="12.75">
      <c r="A52" s="409">
        <v>19</v>
      </c>
      <c r="B52" s="29"/>
      <c r="C52" s="415">
        <f t="shared" si="0"/>
        <v>49</v>
      </c>
      <c r="D52" s="414" t="str">
        <f t="shared" ca="1" si="1"/>
        <v>9/5/2037</v>
      </c>
      <c r="E52" s="756">
        <v>0</v>
      </c>
      <c r="F52" s="413">
        <f>IF(A52&lt;$L$8,MAT!BL79,0)</f>
        <v>5175000</v>
      </c>
      <c r="G52" s="413">
        <f>IF(A52&lt;$L$8,MAT!BM79,0)</f>
        <v>7675000</v>
      </c>
      <c r="H52" s="413">
        <f>IF(A52&lt;$L$8,MAT!BB78,0)</f>
        <v>3257600</v>
      </c>
      <c r="I52" s="413">
        <f>IF(A52&lt;$L$8,MAT!BC78,0)</f>
        <v>2931800</v>
      </c>
      <c r="J52" s="756">
        <v>0</v>
      </c>
      <c r="K52" s="794"/>
      <c r="L52" s="794"/>
      <c r="M52" s="794"/>
      <c r="N52" s="794"/>
    </row>
    <row r="53" spans="1:14" ht="13.5" thickBot="1">
      <c r="A53" s="409"/>
      <c r="B53" s="19"/>
      <c r="C53" s="19"/>
      <c r="D53" s="412"/>
      <c r="E53" s="410"/>
      <c r="F53" s="411"/>
      <c r="G53" s="410"/>
      <c r="H53" s="411"/>
      <c r="I53" s="411"/>
      <c r="J53" s="410"/>
      <c r="K53" s="794"/>
      <c r="L53" s="794"/>
      <c r="M53" s="794"/>
      <c r="N53" s="794"/>
    </row>
    <row r="54" spans="1:14" ht="13.5" customHeight="1" thickTop="1">
      <c r="A54" s="409"/>
      <c r="B54" s="19"/>
      <c r="C54" s="23"/>
      <c r="D54" s="23"/>
      <c r="E54" s="404"/>
      <c r="F54" s="2069" t="s">
        <v>358</v>
      </c>
      <c r="G54" s="2070"/>
      <c r="H54" s="2071"/>
      <c r="I54" s="18"/>
      <c r="J54" s="18"/>
      <c r="K54" s="794"/>
      <c r="L54" s="794"/>
      <c r="M54" s="794"/>
      <c r="N54" s="794"/>
    </row>
    <row r="55" spans="1:14" ht="14.25" customHeight="1">
      <c r="A55" s="408"/>
      <c r="B55" s="777"/>
      <c r="C55" s="23"/>
      <c r="D55" s="23"/>
      <c r="E55" s="404"/>
      <c r="F55" s="2072"/>
      <c r="G55" s="2073"/>
      <c r="H55" s="2074"/>
      <c r="I55" s="1892" t="s">
        <v>212</v>
      </c>
      <c r="J55" s="1383" t="str">
        <f>'VASANTHAM HOME'!E9</f>
        <v>ENTER YOUR NAME</v>
      </c>
      <c r="K55" s="1383"/>
      <c r="L55" s="1383"/>
      <c r="M55" s="1383"/>
      <c r="N55" s="1383"/>
    </row>
    <row r="56" spans="1:14" ht="14.25" customHeight="1" thickBot="1">
      <c r="A56" s="401"/>
      <c r="B56" s="777"/>
      <c r="C56" s="23"/>
      <c r="D56" s="23"/>
      <c r="E56" s="404"/>
      <c r="F56" s="407">
        <f>$L$7+$L$8</f>
        <v>50</v>
      </c>
      <c r="G56" s="406" t="s">
        <v>384</v>
      </c>
      <c r="H56" s="405" t="str">
        <f ca="1">(((DAY(NOW())&amp;"/")&amp;MONTH(NOW()))&amp;"/")&amp;((YEAR(NOW())))+$L$8</f>
        <v>9/5/2038</v>
      </c>
      <c r="I56" s="1892"/>
      <c r="J56" s="1383" t="str">
        <f>'VASANTHAM HOME'!E10</f>
        <v>DESIGNATION</v>
      </c>
      <c r="K56" s="1383"/>
      <c r="L56" s="1383"/>
      <c r="M56" s="1383"/>
      <c r="N56" s="1383"/>
    </row>
    <row r="57" spans="1:14" ht="14.25" customHeight="1" thickTop="1" thickBot="1">
      <c r="A57" s="401"/>
      <c r="B57" s="777"/>
      <c r="C57" s="23"/>
      <c r="D57" s="23"/>
      <c r="E57" s="404"/>
      <c r="F57" s="2075" t="s">
        <v>210</v>
      </c>
      <c r="G57" s="2076">
        <f>((($L$9*(40/100))+((($L$9/1000)*39)*20))+MAT!BI79)</f>
        <v>3050000</v>
      </c>
      <c r="H57" s="2077"/>
      <c r="I57" s="1892"/>
      <c r="J57" s="1383" t="str">
        <f>'VASANTHAM HOME'!E11</f>
        <v>ADDRESS 1</v>
      </c>
      <c r="K57" s="1383"/>
      <c r="L57" s="1383"/>
      <c r="M57" s="1383"/>
      <c r="N57" s="1383"/>
    </row>
    <row r="58" spans="1:14" ht="14.25" customHeight="1" thickTop="1" thickBot="1">
      <c r="A58" s="401"/>
      <c r="B58" s="777"/>
      <c r="C58" s="23"/>
      <c r="D58" s="23"/>
      <c r="E58" s="404"/>
      <c r="F58" s="2075"/>
      <c r="G58" s="2078"/>
      <c r="H58" s="2079"/>
      <c r="I58" s="1892"/>
      <c r="J58" s="1383" t="str">
        <f>'VASANTHAM HOME'!E12</f>
        <v>ADDRESS 2</v>
      </c>
      <c r="K58" s="1383"/>
      <c r="L58" s="1383"/>
      <c r="M58" s="1383"/>
      <c r="N58" s="1383"/>
    </row>
    <row r="59" spans="1:14" ht="15" customHeight="1" thickTop="1">
      <c r="A59" s="401"/>
      <c r="B59" s="777"/>
      <c r="C59" s="403"/>
      <c r="D59" s="402"/>
      <c r="E59" s="402"/>
      <c r="F59" s="402"/>
      <c r="G59" s="18"/>
      <c r="H59" s="400"/>
      <c r="I59" s="1892"/>
      <c r="J59" s="1383" t="str">
        <f>'VASANTHAM HOME'!E13</f>
        <v>ADDRESS 3</v>
      </c>
      <c r="K59" s="1383"/>
      <c r="L59" s="1383"/>
      <c r="M59" s="1383"/>
      <c r="N59" s="1383"/>
    </row>
    <row r="60" spans="1:14" ht="13.5" customHeight="1">
      <c r="A60" s="401"/>
      <c r="B60" s="777"/>
      <c r="C60" s="403"/>
      <c r="D60" s="402"/>
      <c r="E60" s="402"/>
      <c r="F60" s="402"/>
      <c r="G60" s="18"/>
      <c r="H60" s="400"/>
      <c r="I60" s="1892"/>
      <c r="J60" s="1383" t="str">
        <f>'VASANTHAM HOME'!E14</f>
        <v>MOBILE NO :</v>
      </c>
      <c r="K60" s="1383"/>
      <c r="L60" s="1383"/>
      <c r="M60" s="1383"/>
      <c r="N60" s="1383"/>
    </row>
    <row r="61" spans="1:14" ht="12.75">
      <c r="A61" s="401"/>
      <c r="B61" s="777"/>
      <c r="C61" s="18"/>
      <c r="D61" s="18"/>
      <c r="E61" s="18"/>
      <c r="F61" s="18"/>
      <c r="G61" s="18"/>
      <c r="H61" s="400"/>
      <c r="I61" s="1892"/>
      <c r="J61" s="1383" t="str">
        <f>'VASANTHAM HOME'!E15</f>
        <v>E.MAIL ID :</v>
      </c>
      <c r="K61" s="1383"/>
      <c r="L61" s="1383"/>
      <c r="M61" s="1383"/>
      <c r="N61" s="1383"/>
    </row>
    <row r="62" spans="1:14" ht="12.75">
      <c r="A62" s="399"/>
      <c r="B62" s="2068" t="s">
        <v>209</v>
      </c>
      <c r="C62" s="2068"/>
      <c r="D62" s="299"/>
      <c r="E62" s="299"/>
      <c r="F62" s="299"/>
      <c r="G62" s="299"/>
      <c r="H62" s="299"/>
      <c r="I62" s="299"/>
      <c r="J62" s="299"/>
      <c r="K62" s="299"/>
      <c r="L62" s="299"/>
      <c r="M62" s="299"/>
      <c r="N62" s="299"/>
    </row>
    <row r="63" spans="1:14" ht="12.75">
      <c r="A63" s="398"/>
      <c r="B63" s="2061" t="s">
        <v>2138</v>
      </c>
      <c r="C63" s="2061"/>
      <c r="D63" s="2061"/>
      <c r="E63" s="2061"/>
      <c r="F63" s="2061"/>
      <c r="G63" s="2061"/>
      <c r="H63" s="2061"/>
      <c r="I63" s="2061"/>
      <c r="J63" s="2061"/>
      <c r="K63" s="2061"/>
      <c r="L63" s="2061"/>
      <c r="M63" s="2061"/>
      <c r="N63" s="2061"/>
    </row>
    <row r="64" spans="1:14" ht="12.75">
      <c r="A64" s="794"/>
      <c r="B64" s="2061" t="s">
        <v>383</v>
      </c>
      <c r="C64" s="2061"/>
      <c r="D64" s="2061"/>
      <c r="E64" s="2061"/>
      <c r="F64" s="2061"/>
      <c r="G64" s="2061"/>
      <c r="H64" s="2061"/>
      <c r="I64" s="2061"/>
      <c r="J64" s="2061"/>
      <c r="K64" s="2061"/>
      <c r="L64" s="2061"/>
      <c r="M64" s="2061"/>
      <c r="N64" s="2061"/>
    </row>
    <row r="65" spans="1:1" s="794" customFormat="1" ht="12.75">
      <c r="A65" s="763"/>
    </row>
    <row r="66" spans="1:1" ht="12.75" hidden="1"/>
  </sheetData>
  <mergeCells count="68">
    <mergeCell ref="J61:N61"/>
    <mergeCell ref="B62:C62"/>
    <mergeCell ref="B63:N63"/>
    <mergeCell ref="B64:N64"/>
    <mergeCell ref="K46:N48"/>
    <mergeCell ref="K49:N51"/>
    <mergeCell ref="F54:H55"/>
    <mergeCell ref="I55:I61"/>
    <mergeCell ref="J55:N55"/>
    <mergeCell ref="J56:N56"/>
    <mergeCell ref="F57:F58"/>
    <mergeCell ref="G57:H58"/>
    <mergeCell ref="J57:N57"/>
    <mergeCell ref="J58:N58"/>
    <mergeCell ref="J59:N59"/>
    <mergeCell ref="J60:N60"/>
    <mergeCell ref="C28:J28"/>
    <mergeCell ref="C29:J29"/>
    <mergeCell ref="A31:A32"/>
    <mergeCell ref="C31:C32"/>
    <mergeCell ref="D31:D32"/>
    <mergeCell ref="E31:E32"/>
    <mergeCell ref="F31:G31"/>
    <mergeCell ref="H31:H32"/>
    <mergeCell ref="I31:I32"/>
    <mergeCell ref="J31:J32"/>
    <mergeCell ref="C27:J27"/>
    <mergeCell ref="G17:G18"/>
    <mergeCell ref="H17:H18"/>
    <mergeCell ref="I17:I18"/>
    <mergeCell ref="C20:F21"/>
    <mergeCell ref="H21:I21"/>
    <mergeCell ref="C22:J22"/>
    <mergeCell ref="C23:J23"/>
    <mergeCell ref="C24:J24"/>
    <mergeCell ref="C25:G25"/>
    <mergeCell ref="I25:J25"/>
    <mergeCell ref="C26:J26"/>
    <mergeCell ref="L2:M2"/>
    <mergeCell ref="L4:M4"/>
    <mergeCell ref="L5:M5"/>
    <mergeCell ref="C10:G11"/>
    <mergeCell ref="J10:K10"/>
    <mergeCell ref="L10:M10"/>
    <mergeCell ref="O7:Q8"/>
    <mergeCell ref="J9:K9"/>
    <mergeCell ref="L9:M9"/>
    <mergeCell ref="O9:Q10"/>
    <mergeCell ref="C13:G13"/>
    <mergeCell ref="L13:M13"/>
    <mergeCell ref="C12:G12"/>
    <mergeCell ref="K12:M12"/>
    <mergeCell ref="O14:Q15"/>
    <mergeCell ref="C15:E16"/>
    <mergeCell ref="F15:F16"/>
    <mergeCell ref="G15:G16"/>
    <mergeCell ref="H15:H16"/>
    <mergeCell ref="I15:I16"/>
    <mergeCell ref="O16:Q17"/>
    <mergeCell ref="C17:E18"/>
    <mergeCell ref="F17:F18"/>
    <mergeCell ref="K16:L21"/>
    <mergeCell ref="M43:N43"/>
    <mergeCell ref="K38:N38"/>
    <mergeCell ref="M39:N39"/>
    <mergeCell ref="K40:N40"/>
    <mergeCell ref="M41:N41"/>
    <mergeCell ref="K42:N42"/>
  </mergeCells>
  <hyperlinks>
    <hyperlink ref="O16:Q17" location="Main!A1" display="CLICK HERE"/>
    <hyperlink ref="O9:Q10" location="'VASANTHAM HOME'!A1" display="CLICK HERE"/>
  </hyperlinks>
  <pageMargins left="0.7" right="0.7" top="0.75" bottom="0.75" header="0.3" footer="0.3"/>
  <pageSetup scale="80" orientation="portrait" r:id="rId1"/>
  <headerFooter>
    <oddFooter>&amp;C&amp;K02-049VASANTHAM SMART</oddFooter>
  </headerFooter>
  <drawing r:id="rId2"/>
</worksheet>
</file>

<file path=xl/worksheets/sheet19.xml><?xml version="1.0" encoding="utf-8"?>
<worksheet xmlns="http://schemas.openxmlformats.org/spreadsheetml/2006/main" xmlns:r="http://schemas.openxmlformats.org/officeDocument/2006/relationships">
  <sheetPr codeName="Sheet28"/>
  <dimension ref="A1:T130"/>
  <sheetViews>
    <sheetView showGridLines="0" showRowColHeaders="0" workbookViewId="0">
      <selection activeCell="O8" sqref="O8:R9"/>
    </sheetView>
  </sheetViews>
  <sheetFormatPr defaultColWidth="0" defaultRowHeight="0" customHeight="1" zeroHeight="1"/>
  <cols>
    <col min="1" max="1" width="0.375" style="150" customWidth="1"/>
    <col min="2" max="2" width="4.875" style="150" customWidth="1"/>
    <col min="3" max="3" width="6" style="150" customWidth="1"/>
    <col min="4" max="4" width="10.5" style="150" customWidth="1"/>
    <col min="5" max="5" width="11.375" style="150" customWidth="1"/>
    <col min="6" max="6" width="12.625" style="150" customWidth="1"/>
    <col min="7" max="7" width="11.375" style="150" customWidth="1"/>
    <col min="8" max="8" width="14.875" style="150" customWidth="1"/>
    <col min="9" max="9" width="15" style="150" customWidth="1"/>
    <col min="10" max="10" width="14.875" style="150" customWidth="1"/>
    <col min="11" max="13" width="5.5" style="150" customWidth="1"/>
    <col min="14" max="14" width="15.625" style="150" customWidth="1"/>
    <col min="15" max="15" width="10.625" style="150" customWidth="1"/>
    <col min="16" max="16" width="8.625" style="150" customWidth="1"/>
    <col min="17" max="17" width="7.625" style="150" customWidth="1"/>
    <col min="18" max="16384" width="0" style="150" hidden="1"/>
  </cols>
  <sheetData>
    <row r="1" spans="1:20" ht="15.75" customHeight="1"/>
    <row r="2" spans="1:20" ht="15.75" customHeight="1">
      <c r="J2" s="2080">
        <f ca="1">TODAY()</f>
        <v>43229</v>
      </c>
      <c r="K2" s="2080"/>
      <c r="L2" s="2080"/>
    </row>
    <row r="3" spans="1:20" ht="15.75" customHeight="1">
      <c r="A3" s="227"/>
      <c r="I3" s="226"/>
      <c r="J3" s="2080"/>
      <c r="K3" s="2080"/>
      <c r="L3" s="2080"/>
      <c r="M3" s="755"/>
      <c r="N3" s="755"/>
      <c r="O3" s="755"/>
      <c r="P3" s="755"/>
      <c r="Q3" s="225"/>
    </row>
    <row r="4" spans="1:20" ht="15.75" customHeight="1">
      <c r="J4" s="2094" t="str">
        <f>CONCATENATE("PLAN NO :  ",(834))</f>
        <v>PLAN NO :  834</v>
      </c>
      <c r="K4" s="2094"/>
      <c r="L4" s="2094"/>
      <c r="M4" s="2094"/>
    </row>
    <row r="5" spans="1:20" ht="15.75" customHeight="1">
      <c r="A5" s="214"/>
      <c r="C5" s="2109" t="s">
        <v>82</v>
      </c>
      <c r="D5" s="2109"/>
      <c r="E5" s="2109"/>
      <c r="F5" s="2109"/>
      <c r="G5" s="2109"/>
      <c r="H5" s="254"/>
      <c r="I5" s="254"/>
      <c r="J5" s="2094" t="str">
        <f>CONCATENATE("UIN :  512N299V01 ")</f>
        <v xml:space="preserve">UIN :  512N299V01 </v>
      </c>
      <c r="K5" s="2094"/>
      <c r="L5" s="2094"/>
      <c r="M5" s="2094"/>
      <c r="T5" s="222"/>
    </row>
    <row r="6" spans="1:20" ht="15.75" customHeight="1">
      <c r="A6" s="214">
        <f>Main!E9</f>
        <v>30</v>
      </c>
      <c r="B6" s="221"/>
      <c r="C6" s="2109"/>
      <c r="D6" s="2109"/>
      <c r="E6" s="2109"/>
      <c r="F6" s="2109"/>
      <c r="G6" s="2109"/>
      <c r="H6" s="2111" t="s">
        <v>320</v>
      </c>
      <c r="I6" s="2111"/>
      <c r="J6" s="2094" t="str">
        <f>CONCATENATE("AGE  :  ",(Main!E9),  " ", " "," ",       "YEARS")</f>
        <v>AGE  :  30   YEARS</v>
      </c>
      <c r="K6" s="2094"/>
      <c r="L6" s="2094"/>
      <c r="M6" s="2094"/>
      <c r="N6" s="253"/>
      <c r="O6" s="1598" t="s">
        <v>232</v>
      </c>
      <c r="P6" s="1598"/>
      <c r="Q6" s="1598"/>
      <c r="T6" s="150" t="s">
        <v>303</v>
      </c>
    </row>
    <row r="7" spans="1:20" ht="15.75" customHeight="1" thickBot="1">
      <c r="A7" s="214">
        <f>20-Main!E9</f>
        <v>-10</v>
      </c>
      <c r="B7" s="216"/>
      <c r="C7" s="2110"/>
      <c r="D7" s="2110"/>
      <c r="E7" s="2110"/>
      <c r="F7" s="2110"/>
      <c r="G7" s="2110"/>
      <c r="H7" s="2111"/>
      <c r="I7" s="2111"/>
      <c r="J7" s="2104" t="str">
        <f>CONCATENATE("TERM :  ",(A8),  " ", " "," ",       "YEARS")</f>
        <v>TERM :  -5   YEARS</v>
      </c>
      <c r="K7" s="2104"/>
      <c r="L7" s="2104"/>
      <c r="M7" s="2104"/>
      <c r="N7" s="771"/>
      <c r="O7" s="1598"/>
      <c r="P7" s="1598"/>
      <c r="Q7" s="1598"/>
    </row>
    <row r="8" spans="1:20" ht="15.75" customHeight="1" thickTop="1">
      <c r="A8" s="214">
        <f>25-Main!E9</f>
        <v>-5</v>
      </c>
      <c r="B8" s="191"/>
      <c r="C8" s="2105" t="s">
        <v>302</v>
      </c>
      <c r="D8" s="2105"/>
      <c r="E8" s="2105"/>
      <c r="F8" s="2105"/>
      <c r="G8" s="2105"/>
      <c r="H8" s="2111"/>
      <c r="I8" s="2111"/>
      <c r="J8" s="2106" t="str">
        <f>CONCATENATE("SUM ASSURED  : Rs.  ",(Main!E10))</f>
        <v>SUM ASSURED  : Rs.  2500000</v>
      </c>
      <c r="K8" s="2106"/>
      <c r="L8" s="2106"/>
      <c r="M8" s="2106"/>
      <c r="N8" s="252"/>
      <c r="O8" s="1380" t="s">
        <v>226</v>
      </c>
      <c r="P8" s="1381"/>
      <c r="Q8" s="1381"/>
      <c r="R8" s="1381"/>
    </row>
    <row r="9" spans="1:20" ht="15.75" customHeight="1">
      <c r="A9" s="210"/>
      <c r="B9" s="191"/>
      <c r="C9" s="2107" t="str">
        <f>CONCATENATE(Main!E8,(Main!F8))</f>
        <v>Sri.soumil</v>
      </c>
      <c r="D9" s="2107"/>
      <c r="E9" s="2107"/>
      <c r="F9" s="2107"/>
      <c r="G9" s="2107"/>
      <c r="H9" s="251"/>
      <c r="I9" s="250"/>
      <c r="J9" s="2108" t="str">
        <f>IF(Main!J12="YES","WITH PREMIUM WAIVER BENEFIT"," ")</f>
        <v>WITH PREMIUM WAIVER BENEFIT</v>
      </c>
      <c r="K9" s="2108"/>
      <c r="L9" s="2108"/>
      <c r="M9" s="2108"/>
      <c r="N9" s="207"/>
      <c r="O9" s="1380"/>
      <c r="P9" s="1381"/>
      <c r="Q9" s="1381"/>
      <c r="R9" s="1381"/>
    </row>
    <row r="10" spans="1:20" ht="18.75" customHeight="1">
      <c r="A10" s="150">
        <f>PM!AJ129</f>
        <v>2</v>
      </c>
      <c r="D10" s="249"/>
      <c r="E10" s="249"/>
      <c r="F10" s="249"/>
      <c r="G10" s="249"/>
      <c r="H10" s="248"/>
      <c r="I10" s="246"/>
      <c r="J10" s="246"/>
      <c r="K10" s="772"/>
      <c r="L10" s="772"/>
      <c r="M10" s="772"/>
      <c r="N10" s="772"/>
      <c r="O10" s="772"/>
      <c r="P10" s="772"/>
      <c r="Q10" s="206"/>
    </row>
    <row r="11" spans="1:20" ht="16.7" customHeight="1">
      <c r="A11" s="763">
        <f>IF(A7&lt;=10,2,3)</f>
        <v>2</v>
      </c>
      <c r="B11" s="165"/>
      <c r="C11" s="2095" t="s">
        <v>230</v>
      </c>
      <c r="D11" s="2096"/>
      <c r="E11" s="247" t="s">
        <v>196</v>
      </c>
      <c r="F11" s="247" t="s">
        <v>300</v>
      </c>
      <c r="G11" s="247" t="s">
        <v>198</v>
      </c>
      <c r="H11" s="247" t="s">
        <v>299</v>
      </c>
      <c r="I11" s="246"/>
      <c r="J11" s="2082" t="str">
        <f>CONCATENATE("    SAVINGS          PER DAY", " ", " "," ", " "," "," "," "," ", " "," "," ","Rs.  ",(DAT!AZ18)," "," "," "," "," "," ","ONLY")</f>
        <v xml:space="preserve">    SAVINGS          PER DAY           Rs.  828      ONLY</v>
      </c>
      <c r="K11" s="203"/>
      <c r="L11" s="203"/>
      <c r="M11" s="203"/>
      <c r="N11" s="203"/>
      <c r="O11" s="203"/>
      <c r="P11" s="203"/>
      <c r="Q11" s="203"/>
    </row>
    <row r="12" spans="1:20" ht="16.7" customHeight="1">
      <c r="A12" s="191"/>
      <c r="B12" s="165"/>
      <c r="C12" s="2097" t="s">
        <v>2118</v>
      </c>
      <c r="D12" s="2097"/>
      <c r="E12" s="2099">
        <f>DAT!AT18</f>
        <v>302358</v>
      </c>
      <c r="F12" s="2099">
        <f>DAT!AU18</f>
        <v>152823</v>
      </c>
      <c r="G12" s="2099">
        <f>DAT!AV18</f>
        <v>77234</v>
      </c>
      <c r="H12" s="2099">
        <f>DAT!AW18</f>
        <v>25745</v>
      </c>
      <c r="I12" s="246"/>
      <c r="J12" s="2082"/>
      <c r="K12" s="203"/>
      <c r="L12" s="203"/>
      <c r="M12" s="203"/>
      <c r="N12" s="203"/>
      <c r="O12" s="203"/>
      <c r="P12" s="203"/>
      <c r="Q12" s="203"/>
    </row>
    <row r="13" spans="1:20" ht="16.7" customHeight="1">
      <c r="A13" s="170">
        <f>DAT!AC18</f>
        <v>278293</v>
      </c>
      <c r="B13" s="165"/>
      <c r="C13" s="2098"/>
      <c r="D13" s="2098"/>
      <c r="E13" s="2100"/>
      <c r="F13" s="2100"/>
      <c r="G13" s="2100"/>
      <c r="H13" s="2100"/>
      <c r="I13" s="246"/>
      <c r="J13" s="2082"/>
      <c r="K13" s="197"/>
      <c r="L13" s="197"/>
      <c r="M13" s="197"/>
      <c r="N13" s="197"/>
      <c r="O13" s="1596" t="s">
        <v>228</v>
      </c>
      <c r="P13" s="1597"/>
      <c r="Q13" s="1597"/>
    </row>
    <row r="14" spans="1:20" ht="16.7" customHeight="1">
      <c r="A14" s="191"/>
      <c r="B14" s="195"/>
      <c r="C14" s="196"/>
      <c r="D14" s="244"/>
      <c r="E14" s="2115" t="s">
        <v>319</v>
      </c>
      <c r="F14" s="2115"/>
      <c r="G14" s="245"/>
      <c r="H14" s="245"/>
      <c r="I14" s="245"/>
      <c r="J14" s="2082"/>
      <c r="K14" s="245"/>
      <c r="L14" s="245"/>
      <c r="M14" s="245"/>
      <c r="N14" s="243"/>
      <c r="O14" s="1597"/>
      <c r="P14" s="1597"/>
      <c r="Q14" s="1597"/>
    </row>
    <row r="15" spans="1:20" ht="15.75" customHeight="1">
      <c r="A15" s="191"/>
      <c r="B15" s="195"/>
      <c r="C15" s="196"/>
      <c r="D15" s="244"/>
      <c r="E15" s="2116"/>
      <c r="F15" s="2116"/>
      <c r="G15" s="245"/>
      <c r="H15" s="245"/>
      <c r="I15" s="245"/>
      <c r="J15" s="245"/>
      <c r="K15" s="245"/>
      <c r="L15" s="245"/>
      <c r="M15" s="245"/>
      <c r="N15" s="243"/>
      <c r="O15" s="1794" t="s">
        <v>226</v>
      </c>
      <c r="P15" s="1391"/>
      <c r="Q15" s="1391"/>
      <c r="R15" s="1391"/>
    </row>
    <row r="16" spans="1:20" ht="15.75" customHeight="1">
      <c r="A16" s="191"/>
      <c r="B16" s="191"/>
      <c r="C16" s="192"/>
      <c r="D16" s="244"/>
      <c r="E16" s="244"/>
      <c r="F16" s="2083" t="str">
        <f>CONCATENATE("♣  Securing the future of "," ",  (Main!E8),(Main!F8))</f>
        <v>♣  Securing the future of  Sri.soumil</v>
      </c>
      <c r="G16" s="2083"/>
      <c r="H16" s="2083"/>
      <c r="I16" s="2083"/>
      <c r="J16" s="2083"/>
      <c r="K16" s="806"/>
      <c r="L16" s="806"/>
      <c r="M16" s="806"/>
      <c r="N16" s="243"/>
      <c r="O16" s="1794"/>
      <c r="P16" s="1391"/>
      <c r="Q16" s="1391"/>
      <c r="R16" s="1391"/>
    </row>
    <row r="17" spans="1:17" ht="15.75" customHeight="1">
      <c r="A17" s="191"/>
      <c r="B17" s="191"/>
      <c r="C17" s="192"/>
      <c r="D17" s="203"/>
      <c r="E17" s="203"/>
      <c r="F17" s="2083" t="s">
        <v>318</v>
      </c>
      <c r="G17" s="2083"/>
      <c r="H17" s="2083"/>
      <c r="I17" s="2083"/>
      <c r="J17" s="2083"/>
      <c r="K17" s="806"/>
      <c r="L17" s="806"/>
      <c r="M17" s="806"/>
      <c r="N17" s="203"/>
      <c r="O17" s="203"/>
      <c r="P17" s="203"/>
      <c r="Q17" s="203"/>
    </row>
    <row r="18" spans="1:17" ht="15.75" customHeight="1">
      <c r="A18" s="191"/>
      <c r="B18" s="191"/>
      <c r="C18" s="191"/>
      <c r="D18" s="191"/>
      <c r="E18" s="191"/>
      <c r="F18" s="2083"/>
      <c r="G18" s="2083"/>
      <c r="H18" s="2083"/>
      <c r="I18" s="2083"/>
      <c r="J18" s="2083"/>
      <c r="K18" s="806"/>
      <c r="L18" s="806"/>
      <c r="M18" s="806"/>
      <c r="N18" s="190"/>
      <c r="O18" s="190"/>
      <c r="P18" s="190"/>
      <c r="Q18" s="189"/>
    </row>
    <row r="19" spans="1:17" ht="15.75" customHeight="1">
      <c r="A19" s="242"/>
      <c r="B19" s="162"/>
      <c r="C19" s="162"/>
      <c r="D19" s="162"/>
      <c r="E19" s="162"/>
      <c r="F19" s="2083" t="str">
        <f>CONCATENATE("♣  Surrender  and  Loan facility is also available after payment of "," ",  (A11)," "," ","years premium.")</f>
        <v>♣  Surrender  and  Loan facility is also available after payment of  2  years premium.</v>
      </c>
      <c r="G19" s="2083"/>
      <c r="H19" s="2083"/>
      <c r="I19" s="2083"/>
      <c r="J19" s="2083"/>
      <c r="K19" s="806"/>
      <c r="L19" s="806"/>
      <c r="M19" s="806"/>
      <c r="N19" s="190"/>
      <c r="O19" s="190"/>
      <c r="P19" s="190"/>
      <c r="Q19" s="189"/>
    </row>
    <row r="20" spans="1:17" ht="15.75" customHeight="1">
      <c r="A20" s="242"/>
      <c r="B20" s="162"/>
      <c r="C20" s="162"/>
      <c r="D20" s="162"/>
      <c r="E20" s="162"/>
      <c r="F20" s="2083"/>
      <c r="G20" s="2083"/>
      <c r="H20" s="2083"/>
      <c r="I20" s="2083"/>
      <c r="J20" s="2083"/>
      <c r="K20" s="806"/>
      <c r="L20" s="806"/>
      <c r="M20" s="806"/>
      <c r="N20" s="190"/>
      <c r="O20" s="190"/>
      <c r="P20" s="190"/>
      <c r="Q20" s="189"/>
    </row>
    <row r="21" spans="1:17" ht="15.75" customHeight="1">
      <c r="A21" s="242"/>
      <c r="B21" s="162"/>
      <c r="C21" s="162"/>
      <c r="D21" s="162"/>
      <c r="E21" s="162"/>
      <c r="F21" s="2083" t="s">
        <v>317</v>
      </c>
      <c r="G21" s="2083"/>
      <c r="H21" s="2083"/>
      <c r="I21" s="2083"/>
      <c r="J21" s="2083"/>
      <c r="K21" s="806"/>
      <c r="L21" s="806"/>
      <c r="M21" s="806"/>
      <c r="N21" s="190"/>
      <c r="O21" s="190"/>
      <c r="P21" s="190"/>
      <c r="Q21" s="189"/>
    </row>
    <row r="22" spans="1:17" ht="15.75" customHeight="1">
      <c r="A22" s="242"/>
      <c r="B22" s="162"/>
      <c r="C22" s="162"/>
      <c r="D22" s="162"/>
      <c r="E22" s="162"/>
      <c r="F22" s="2083"/>
      <c r="G22" s="2083"/>
      <c r="H22" s="2083"/>
      <c r="I22" s="2083"/>
      <c r="J22" s="2083"/>
      <c r="K22" s="806"/>
      <c r="L22" s="806"/>
      <c r="M22" s="806"/>
      <c r="N22" s="190"/>
      <c r="O22" s="190"/>
      <c r="P22" s="190"/>
      <c r="Q22" s="189"/>
    </row>
    <row r="23" spans="1:17" ht="15.75" customHeight="1">
      <c r="C23" s="241"/>
      <c r="D23" s="241"/>
      <c r="E23" s="241"/>
      <c r="F23" s="2083" t="s">
        <v>316</v>
      </c>
      <c r="G23" s="2083"/>
      <c r="H23" s="2083"/>
      <c r="I23" s="2083"/>
      <c r="J23" s="2083"/>
      <c r="K23" s="806"/>
      <c r="L23" s="806"/>
      <c r="M23" s="806"/>
      <c r="N23" s="770"/>
      <c r="O23" s="770"/>
      <c r="P23" s="770"/>
      <c r="Q23" s="241"/>
    </row>
    <row r="24" spans="1:17" ht="15.75" customHeight="1">
      <c r="C24" s="241"/>
      <c r="D24" s="241"/>
      <c r="E24" s="241"/>
      <c r="F24" s="2083" t="str">
        <f>IF(A10=1," ","♣  FLEXIBLE  SURVIVAL BENEFITS FROM AGE 20  TO  24 YEARS")</f>
        <v>♣  FLEXIBLE  SURVIVAL BENEFITS FROM AGE 20  TO  24 YEARS</v>
      </c>
      <c r="G24" s="2083"/>
      <c r="H24" s="2083"/>
      <c r="I24" s="2083"/>
      <c r="J24" s="2083"/>
      <c r="K24" s="806"/>
      <c r="L24" s="806"/>
      <c r="M24" s="806"/>
      <c r="N24" s="770"/>
      <c r="O24" s="770"/>
      <c r="P24" s="770"/>
      <c r="Q24" s="241"/>
    </row>
    <row r="25" spans="1:17" ht="16.7" customHeight="1">
      <c r="C25" s="1929" t="s">
        <v>17</v>
      </c>
      <c r="D25" s="1998" t="s">
        <v>289</v>
      </c>
      <c r="E25" s="2101" t="s">
        <v>315</v>
      </c>
      <c r="F25" s="2101" t="s">
        <v>221</v>
      </c>
      <c r="G25" s="2113" t="s">
        <v>314</v>
      </c>
      <c r="H25" s="2101" t="s">
        <v>313</v>
      </c>
      <c r="I25" s="2081"/>
      <c r="J25" s="2103"/>
      <c r="K25" s="808"/>
      <c r="L25" s="808"/>
      <c r="M25" s="808"/>
      <c r="N25" s="764"/>
      <c r="O25" s="764"/>
      <c r="P25" s="764"/>
      <c r="Q25" s="186"/>
    </row>
    <row r="26" spans="1:17" ht="16.7" customHeight="1">
      <c r="C26" s="1929"/>
      <c r="D26" s="1998"/>
      <c r="E26" s="2112"/>
      <c r="F26" s="2112"/>
      <c r="G26" s="2114"/>
      <c r="H26" s="2102"/>
      <c r="I26" s="2081"/>
      <c r="J26" s="2103"/>
      <c r="K26" s="808"/>
      <c r="L26" s="808"/>
      <c r="M26" s="808"/>
      <c r="N26" s="764"/>
      <c r="O26" s="764"/>
      <c r="P26" s="764"/>
      <c r="Q26" s="186"/>
    </row>
    <row r="27" spans="1:17" ht="15.75" customHeight="1">
      <c r="A27" s="165">
        <v>0</v>
      </c>
      <c r="C27" s="214">
        <f>Main!E9</f>
        <v>30</v>
      </c>
      <c r="D27" s="174" t="str">
        <f t="shared" ref="D27:D51" ca="1" si="0">IF(A27&lt;$A$8,(((DAY(NOW())&amp;"/")&amp;MONTH(NOW()))&amp;"/")&amp;((YEAR(NOW())))+A27," ")</f>
        <v xml:space="preserve"> </v>
      </c>
      <c r="E27" s="214">
        <f>E12</f>
        <v>302358</v>
      </c>
      <c r="F27" s="214" t="str">
        <f>IF(A6&lt;8,A13,IF(A27&lt;$A$8,MAT!BH189," "))</f>
        <v xml:space="preserve"> </v>
      </c>
      <c r="G27" s="240">
        <v>0</v>
      </c>
      <c r="H27" s="177">
        <v>0</v>
      </c>
      <c r="I27" s="177"/>
      <c r="J27" s="177"/>
      <c r="K27" s="177"/>
      <c r="L27" s="177"/>
      <c r="M27" s="177"/>
      <c r="N27" s="177"/>
      <c r="O27" s="177"/>
      <c r="P27" s="177"/>
      <c r="Q27" s="177"/>
    </row>
    <row r="28" spans="1:17" ht="15.75" customHeight="1">
      <c r="A28" s="159">
        <v>1</v>
      </c>
      <c r="C28" s="174" t="str">
        <f t="shared" ref="C28:C51" si="1">IF(A28&lt;$A$8,$C$27+A28," ")</f>
        <v xml:space="preserve"> </v>
      </c>
      <c r="D28" s="174" t="str">
        <f t="shared" ca="1" si="0"/>
        <v xml:space="preserve"> </v>
      </c>
      <c r="E28" s="214" t="str">
        <f>IF(A28&lt;=$A$7,DAT!$AY$18," ")</f>
        <v xml:space="preserve"> </v>
      </c>
      <c r="F28" s="174" t="str">
        <f>IF(A6&lt;8,A13+F27,IF(A28&lt;$A$8,MAT!BH190," "))</f>
        <v xml:space="preserve"> </v>
      </c>
      <c r="G28" s="177">
        <v>0</v>
      </c>
      <c r="H28" s="177">
        <v>0</v>
      </c>
      <c r="I28" s="177"/>
      <c r="J28" s="177"/>
      <c r="K28" s="177"/>
      <c r="L28" s="177"/>
      <c r="M28" s="177"/>
      <c r="N28" s="177"/>
      <c r="O28" s="177"/>
      <c r="P28" s="177"/>
      <c r="Q28" s="177"/>
    </row>
    <row r="29" spans="1:17" ht="15.75" customHeight="1">
      <c r="A29" s="159">
        <v>2</v>
      </c>
      <c r="C29" s="174" t="str">
        <f t="shared" si="1"/>
        <v xml:space="preserve"> </v>
      </c>
      <c r="D29" s="174" t="str">
        <f t="shared" ca="1" si="0"/>
        <v xml:space="preserve"> </v>
      </c>
      <c r="E29" s="214" t="str">
        <f>IF(A29&lt;=$A$7,DAT!$AY$18," ")</f>
        <v xml:space="preserve"> </v>
      </c>
      <c r="F29" s="174" t="str">
        <f>IF(A29&lt;$A$8,MAT!BH191," ")</f>
        <v xml:space="preserve"> </v>
      </c>
      <c r="G29" s="177" t="e">
        <f>IF(A7&lt;=10,MAT!AY190,0)</f>
        <v>#N/A</v>
      </c>
      <c r="H29" s="177" t="e">
        <f>IF(A7&lt;=10,MAT!AZ190,0)</f>
        <v>#N/A</v>
      </c>
      <c r="I29" s="177"/>
      <c r="J29" s="177"/>
      <c r="K29" s="177"/>
      <c r="L29" s="177"/>
      <c r="M29" s="177"/>
      <c r="N29" s="177"/>
      <c r="O29" s="177"/>
      <c r="P29" s="177"/>
      <c r="Q29" s="177"/>
    </row>
    <row r="30" spans="1:17" ht="15.75" customHeight="1">
      <c r="A30" s="159">
        <v>3</v>
      </c>
      <c r="C30" s="174" t="str">
        <f t="shared" si="1"/>
        <v xml:space="preserve"> </v>
      </c>
      <c r="D30" s="174" t="str">
        <f t="shared" ca="1" si="0"/>
        <v xml:space="preserve"> </v>
      </c>
      <c r="E30" s="214" t="str">
        <f>IF(A30&lt;=$A$7,DAT!$AY$18," ")</f>
        <v xml:space="preserve"> </v>
      </c>
      <c r="F30" s="174" t="str">
        <f>IF(A30&lt;$A$8,MAT!BH192," ")</f>
        <v xml:space="preserve"> </v>
      </c>
      <c r="G30" s="174" t="str">
        <f>IF(A30&lt;$A$8,MAT!AY191," ")</f>
        <v xml:space="preserve"> </v>
      </c>
      <c r="H30" s="174" t="str">
        <f>IF(A30&lt;$A$8,MAT!AZ191," ")</f>
        <v xml:space="preserve"> </v>
      </c>
      <c r="I30" s="177"/>
      <c r="J30" s="177"/>
      <c r="K30" s="177"/>
      <c r="L30" s="177"/>
      <c r="M30" s="177"/>
      <c r="N30" s="177"/>
      <c r="O30" s="177"/>
      <c r="P30" s="177"/>
      <c r="Q30" s="177"/>
    </row>
    <row r="31" spans="1:17" ht="15.75" customHeight="1">
      <c r="A31" s="159">
        <v>4</v>
      </c>
      <c r="C31" s="174" t="str">
        <f t="shared" si="1"/>
        <v xml:space="preserve"> </v>
      </c>
      <c r="D31" s="174" t="str">
        <f t="shared" ca="1" si="0"/>
        <v xml:space="preserve"> </v>
      </c>
      <c r="E31" s="214" t="str">
        <f>IF(A31&lt;=$A$7,DAT!$AY$18," ")</f>
        <v xml:space="preserve"> </v>
      </c>
      <c r="F31" s="174" t="str">
        <f>IF(A31&lt;$A$8,MAT!BH193," ")</f>
        <v xml:space="preserve"> </v>
      </c>
      <c r="G31" s="174" t="str">
        <f>IF(A31&lt;$A$8,MAT!AY192," ")</f>
        <v xml:space="preserve"> </v>
      </c>
      <c r="H31" s="174" t="str">
        <f>IF(A31&lt;$A$8,MAT!AZ192," ")</f>
        <v xml:space="preserve"> </v>
      </c>
      <c r="I31" s="177"/>
      <c r="J31" s="177"/>
      <c r="K31" s="177"/>
      <c r="L31" s="177"/>
      <c r="M31" s="177"/>
      <c r="N31" s="177"/>
      <c r="O31" s="177"/>
      <c r="P31" s="177"/>
      <c r="Q31" s="177"/>
    </row>
    <row r="32" spans="1:17" ht="15.75" customHeight="1">
      <c r="A32" s="159">
        <v>5</v>
      </c>
      <c r="C32" s="174" t="str">
        <f t="shared" si="1"/>
        <v xml:space="preserve"> </v>
      </c>
      <c r="D32" s="174" t="str">
        <f t="shared" ca="1" si="0"/>
        <v xml:space="preserve"> </v>
      </c>
      <c r="E32" s="214" t="str">
        <f>IF(A32&lt;=$A$7,DAT!$AY$18," ")</f>
        <v xml:space="preserve"> </v>
      </c>
      <c r="F32" s="174" t="str">
        <f>IF(A32&lt;$A$8,MAT!BH194," ")</f>
        <v xml:space="preserve"> </v>
      </c>
      <c r="G32" s="174" t="str">
        <f>IF(A32&lt;$A$8,MAT!AY193," ")</f>
        <v xml:space="preserve"> </v>
      </c>
      <c r="H32" s="174" t="str">
        <f>IF(A32&lt;$A$8,MAT!AZ193," ")</f>
        <v xml:space="preserve"> </v>
      </c>
      <c r="I32" s="177"/>
      <c r="J32" s="177"/>
      <c r="K32" s="177"/>
      <c r="L32" s="177"/>
      <c r="M32" s="177"/>
      <c r="N32" s="177"/>
      <c r="O32" s="177"/>
      <c r="P32" s="177"/>
      <c r="Q32" s="177"/>
    </row>
    <row r="33" spans="1:17" ht="15.75" customHeight="1">
      <c r="A33" s="159">
        <v>6</v>
      </c>
      <c r="C33" s="174" t="str">
        <f t="shared" si="1"/>
        <v xml:space="preserve"> </v>
      </c>
      <c r="D33" s="174" t="str">
        <f t="shared" ca="1" si="0"/>
        <v xml:space="preserve"> </v>
      </c>
      <c r="E33" s="214" t="str">
        <f>IF(A33&lt;=$A$7,DAT!$AY$18," ")</f>
        <v xml:space="preserve"> </v>
      </c>
      <c r="F33" s="174" t="str">
        <f>IF(A33&lt;$A$8,MAT!BH195," ")</f>
        <v xml:space="preserve"> </v>
      </c>
      <c r="G33" s="174" t="str">
        <f>IF(A33&lt;$A$8,MAT!AY194," ")</f>
        <v xml:space="preserve"> </v>
      </c>
      <c r="H33" s="174" t="str">
        <f>IF(A33&lt;$A$8,MAT!AZ194," ")</f>
        <v xml:space="preserve"> </v>
      </c>
      <c r="I33" s="177"/>
      <c r="J33" s="177"/>
      <c r="K33" s="177"/>
      <c r="L33" s="177"/>
      <c r="M33" s="177"/>
      <c r="N33" s="177"/>
      <c r="O33" s="177"/>
      <c r="P33" s="177"/>
      <c r="Q33" s="177"/>
    </row>
    <row r="34" spans="1:17" ht="15.75" customHeight="1">
      <c r="A34" s="159">
        <v>7</v>
      </c>
      <c r="C34" s="174" t="str">
        <f t="shared" si="1"/>
        <v xml:space="preserve"> </v>
      </c>
      <c r="D34" s="174" t="str">
        <f t="shared" ca="1" si="0"/>
        <v xml:space="preserve"> </v>
      </c>
      <c r="E34" s="214" t="str">
        <f>IF(A34&lt;=$A$7,DAT!$AY$18," ")</f>
        <v xml:space="preserve"> </v>
      </c>
      <c r="F34" s="174" t="str">
        <f>IF(A34&lt;$A$8,MAT!BH196," ")</f>
        <v xml:space="preserve"> </v>
      </c>
      <c r="G34" s="174" t="str">
        <f>IF(A34&lt;$A$8,MAT!AY195," ")</f>
        <v xml:space="preserve"> </v>
      </c>
      <c r="H34" s="174" t="str">
        <f>IF(A34&lt;$A$8,MAT!AZ195," ")</f>
        <v xml:space="preserve"> </v>
      </c>
      <c r="I34" s="177"/>
      <c r="J34" s="177"/>
      <c r="K34" s="177"/>
      <c r="L34" s="177"/>
      <c r="M34" s="177"/>
      <c r="N34" s="177"/>
      <c r="O34" s="177"/>
      <c r="P34" s="177"/>
      <c r="Q34" s="177"/>
    </row>
    <row r="35" spans="1:17" ht="15.75" customHeight="1" thickBot="1">
      <c r="A35" s="159">
        <v>8</v>
      </c>
      <c r="C35" s="174" t="str">
        <f t="shared" si="1"/>
        <v xml:space="preserve"> </v>
      </c>
      <c r="D35" s="174" t="str">
        <f t="shared" ca="1" si="0"/>
        <v xml:space="preserve"> </v>
      </c>
      <c r="E35" s="214" t="str">
        <f>IF(A35&lt;=$A$7,DAT!$AY$18," ")</f>
        <v xml:space="preserve"> </v>
      </c>
      <c r="F35" s="174" t="str">
        <f>IF(A35&lt;$A$8,MAT!BH197," ")</f>
        <v xml:space="preserve"> </v>
      </c>
      <c r="G35" s="174" t="str">
        <f>IF(A35&lt;$A$8,MAT!AY196," ")</f>
        <v xml:space="preserve"> </v>
      </c>
      <c r="H35" s="174" t="str">
        <f>IF(A35&lt;$A$8,MAT!AZ196," ")</f>
        <v xml:space="preserve"> </v>
      </c>
      <c r="I35" s="177"/>
      <c r="J35" s="177"/>
      <c r="K35" s="177"/>
      <c r="L35" s="177"/>
      <c r="M35" s="177"/>
      <c r="N35" s="177"/>
      <c r="O35" s="177"/>
      <c r="P35" s="177"/>
      <c r="Q35" s="177"/>
    </row>
    <row r="36" spans="1:17" ht="15.75" customHeight="1" thickTop="1" thickBot="1">
      <c r="A36" s="159">
        <v>9</v>
      </c>
      <c r="C36" s="174" t="str">
        <f t="shared" si="1"/>
        <v xml:space="preserve"> </v>
      </c>
      <c r="D36" s="174" t="str">
        <f t="shared" ca="1" si="0"/>
        <v xml:space="preserve"> </v>
      </c>
      <c r="E36" s="214" t="str">
        <f>IF(A36&lt;=$A$7,DAT!$AY$18," ")</f>
        <v xml:space="preserve"> </v>
      </c>
      <c r="F36" s="174" t="str">
        <f>IF(A36&lt;$A$8,MAT!BH198," ")</f>
        <v xml:space="preserve"> </v>
      </c>
      <c r="G36" s="174" t="str">
        <f>IF(A36&lt;$A$8,MAT!AY197," ")</f>
        <v xml:space="preserve"> </v>
      </c>
      <c r="H36" s="174" t="str">
        <f>IF(A36&lt;$A$8,MAT!AZ197," ")</f>
        <v xml:space="preserve"> </v>
      </c>
      <c r="I36" s="2084" t="s">
        <v>312</v>
      </c>
      <c r="J36" s="2085"/>
      <c r="K36" s="2085"/>
      <c r="L36" s="2085"/>
      <c r="M36" s="2086"/>
      <c r="N36" s="177"/>
      <c r="O36" s="177"/>
      <c r="P36" s="177"/>
      <c r="Q36" s="177"/>
    </row>
    <row r="37" spans="1:17" ht="15.75" customHeight="1" thickTop="1">
      <c r="A37" s="159">
        <v>10</v>
      </c>
      <c r="C37" s="174" t="str">
        <f t="shared" si="1"/>
        <v xml:space="preserve"> </v>
      </c>
      <c r="D37" s="174" t="str">
        <f t="shared" ca="1" si="0"/>
        <v xml:space="preserve"> </v>
      </c>
      <c r="E37" s="214" t="str">
        <f>IF(A37&lt;=$A$7,DAT!$AY$18," ")</f>
        <v xml:space="preserve"> </v>
      </c>
      <c r="F37" s="174" t="str">
        <f>IF(A37&lt;$A$8,MAT!BH199," ")</f>
        <v xml:space="preserve"> </v>
      </c>
      <c r="G37" s="174" t="str">
        <f>IF(A37&lt;$A$8,MAT!AY198," ")</f>
        <v xml:space="preserve"> </v>
      </c>
      <c r="H37" s="174" t="str">
        <f>IF(A37&lt;$A$8,MAT!AZ198," ")</f>
        <v xml:space="preserve"> </v>
      </c>
      <c r="I37" s="239"/>
      <c r="J37" s="238"/>
      <c r="K37" s="238"/>
      <c r="L37" s="238"/>
      <c r="M37" s="238"/>
      <c r="N37" s="177"/>
      <c r="O37" s="177"/>
      <c r="P37" s="177"/>
      <c r="Q37" s="177"/>
    </row>
    <row r="38" spans="1:17" ht="15.75" customHeight="1">
      <c r="A38" s="159">
        <v>11</v>
      </c>
      <c r="C38" s="174" t="str">
        <f t="shared" si="1"/>
        <v xml:space="preserve"> </v>
      </c>
      <c r="D38" s="174" t="str">
        <f t="shared" ca="1" si="0"/>
        <v xml:space="preserve"> </v>
      </c>
      <c r="E38" s="214" t="str">
        <f>IF(A38&lt;=$A$7,DAT!$AY$18," ")</f>
        <v xml:space="preserve"> </v>
      </c>
      <c r="F38" s="174" t="str">
        <f>IF(A38&lt;$A$8,MAT!BH200," ")</f>
        <v xml:space="preserve"> </v>
      </c>
      <c r="G38" s="174" t="str">
        <f>IF(A38&lt;$A$8,MAT!AY199," ")</f>
        <v xml:space="preserve"> </v>
      </c>
      <c r="H38" s="174" t="str">
        <f>IF(A38&lt;$A$8,MAT!AZ199," ")</f>
        <v xml:space="preserve"> </v>
      </c>
      <c r="I38" s="805" t="s">
        <v>17</v>
      </c>
      <c r="J38" s="2087" t="s">
        <v>311</v>
      </c>
      <c r="K38" s="2087"/>
      <c r="L38" s="2087"/>
      <c r="M38" s="2087"/>
      <c r="N38" s="177"/>
      <c r="O38" s="177"/>
      <c r="P38" s="177"/>
      <c r="Q38" s="177"/>
    </row>
    <row r="39" spans="1:17" ht="15.75" customHeight="1">
      <c r="A39" s="159">
        <v>12</v>
      </c>
      <c r="C39" s="174" t="str">
        <f t="shared" si="1"/>
        <v xml:space="preserve"> </v>
      </c>
      <c r="D39" s="174" t="str">
        <f t="shared" ca="1" si="0"/>
        <v xml:space="preserve"> </v>
      </c>
      <c r="E39" s="214" t="str">
        <f>IF(A39&lt;=$A$7,DAT!$AY$18," ")</f>
        <v xml:space="preserve"> </v>
      </c>
      <c r="F39" s="174" t="str">
        <f>IF(A39&lt;$A$8,MAT!BH201," ")</f>
        <v xml:space="preserve"> </v>
      </c>
      <c r="G39" s="174" t="str">
        <f>IF(A39&lt;$A$8,MAT!AY200," ")</f>
        <v xml:space="preserve"> </v>
      </c>
      <c r="H39" s="174" t="str">
        <f>IF(A39&lt;$A$8,MAT!AZ200," ")</f>
        <v xml:space="preserve"> </v>
      </c>
      <c r="I39" s="237">
        <f>IF(A10=1," ",20)</f>
        <v>20</v>
      </c>
      <c r="J39" s="2088">
        <f>IF(MAT!AJ$195=0," ",MAT!AJ$195)</f>
        <v>125000</v>
      </c>
      <c r="K39" s="2088"/>
      <c r="L39" s="2088"/>
      <c r="M39" s="2088"/>
      <c r="N39" s="174"/>
      <c r="O39" s="174"/>
      <c r="P39" s="174"/>
      <c r="Q39" s="174"/>
    </row>
    <row r="40" spans="1:17" ht="15.75" customHeight="1">
      <c r="A40" s="159">
        <v>13</v>
      </c>
      <c r="C40" s="174" t="str">
        <f t="shared" si="1"/>
        <v xml:space="preserve"> </v>
      </c>
      <c r="D40" s="174" t="str">
        <f t="shared" ca="1" si="0"/>
        <v xml:space="preserve"> </v>
      </c>
      <c r="E40" s="214" t="str">
        <f>IF(A40&lt;=$A$7,DAT!$AY$18," ")</f>
        <v xml:space="preserve"> </v>
      </c>
      <c r="F40" s="174" t="str">
        <f>IF(A40&lt;$A$8,MAT!BH202," ")</f>
        <v xml:space="preserve"> </v>
      </c>
      <c r="G40" s="174" t="str">
        <f>IF(A40&lt;$A$8,MAT!AY201," ")</f>
        <v xml:space="preserve"> </v>
      </c>
      <c r="H40" s="174" t="str">
        <f>IF(A40&lt;$A$8,MAT!AZ201," ")</f>
        <v xml:space="preserve"> </v>
      </c>
      <c r="I40" s="237">
        <f>IF(A10=1," ",21)</f>
        <v>21</v>
      </c>
      <c r="J40" s="2088">
        <f>IF(MAT!AJ$195=0," ",MAT!AJ$195)</f>
        <v>125000</v>
      </c>
      <c r="K40" s="2088"/>
      <c r="L40" s="2088"/>
      <c r="M40" s="2088"/>
      <c r="N40" s="174"/>
      <c r="O40" s="174"/>
      <c r="P40" s="174"/>
      <c r="Q40" s="174"/>
    </row>
    <row r="41" spans="1:17" ht="15.75" customHeight="1">
      <c r="A41" s="159">
        <v>14</v>
      </c>
      <c r="C41" s="174" t="str">
        <f t="shared" si="1"/>
        <v xml:space="preserve"> </v>
      </c>
      <c r="D41" s="174" t="str">
        <f t="shared" ca="1" si="0"/>
        <v xml:space="preserve"> </v>
      </c>
      <c r="E41" s="214" t="str">
        <f>IF(A41&lt;=$A$7,DAT!$AY$18," ")</f>
        <v xml:space="preserve"> </v>
      </c>
      <c r="F41" s="174" t="str">
        <f>IF(A41&lt;$A$8,MAT!BH203," ")</f>
        <v xml:space="preserve"> </v>
      </c>
      <c r="G41" s="174" t="str">
        <f>IF(A41&lt;$A$8,MAT!AY202," ")</f>
        <v xml:space="preserve"> </v>
      </c>
      <c r="H41" s="174" t="str">
        <f>IF(A41&lt;$A$8,MAT!AZ202," ")</f>
        <v xml:space="preserve"> </v>
      </c>
      <c r="I41" s="237">
        <f>IF(A10=1," ",22)</f>
        <v>22</v>
      </c>
      <c r="J41" s="2088">
        <f>IF(MAT!AJ$195=0," ",MAT!AJ$195)</f>
        <v>125000</v>
      </c>
      <c r="K41" s="2088"/>
      <c r="L41" s="2088"/>
      <c r="M41" s="2088"/>
      <c r="N41" s="174"/>
      <c r="O41" s="174"/>
      <c r="P41" s="174"/>
      <c r="Q41" s="174"/>
    </row>
    <row r="42" spans="1:17" ht="15.75" customHeight="1">
      <c r="A42" s="159">
        <v>15</v>
      </c>
      <c r="C42" s="174" t="str">
        <f t="shared" si="1"/>
        <v xml:space="preserve"> </v>
      </c>
      <c r="D42" s="174" t="str">
        <f t="shared" ca="1" si="0"/>
        <v xml:space="preserve"> </v>
      </c>
      <c r="E42" s="214" t="str">
        <f>IF(A42&lt;=$A$7,DAT!$AY$18," ")</f>
        <v xml:space="preserve"> </v>
      </c>
      <c r="F42" s="174" t="str">
        <f>IF(A42&lt;$A$8,MAT!BH204," ")</f>
        <v xml:space="preserve"> </v>
      </c>
      <c r="G42" s="174" t="str">
        <f>IF(A42&lt;$A$8,MAT!AY203," ")</f>
        <v xml:space="preserve"> </v>
      </c>
      <c r="H42" s="174" t="str">
        <f>IF(A42&lt;$A$8,MAT!AZ203," ")</f>
        <v xml:space="preserve"> </v>
      </c>
      <c r="I42" s="236">
        <f>IF(A10=1," ",23)</f>
        <v>23</v>
      </c>
      <c r="J42" s="2088">
        <f>IF(MAT!AJ$195=0," ",MAT!AJ$195)</f>
        <v>125000</v>
      </c>
      <c r="K42" s="2088"/>
      <c r="L42" s="2088"/>
      <c r="M42" s="2088"/>
      <c r="N42" s="174"/>
      <c r="O42" s="174"/>
      <c r="P42" s="174"/>
      <c r="Q42" s="174"/>
    </row>
    <row r="43" spans="1:17" ht="15.75" customHeight="1">
      <c r="A43" s="159">
        <v>16</v>
      </c>
      <c r="C43" s="174" t="str">
        <f t="shared" si="1"/>
        <v xml:space="preserve"> </v>
      </c>
      <c r="D43" s="174" t="str">
        <f t="shared" ca="1" si="0"/>
        <v xml:space="preserve"> </v>
      </c>
      <c r="E43" s="214" t="str">
        <f>IF(A43&lt;=$A$7,DAT!$AY$18," ")</f>
        <v xml:space="preserve"> </v>
      </c>
      <c r="F43" s="174" t="str">
        <f>IF(A43&lt;$A$8,MAT!BH205," ")</f>
        <v xml:space="preserve"> </v>
      </c>
      <c r="G43" s="174" t="str">
        <f>IF(A43&lt;$A$8,MAT!AY204," ")</f>
        <v xml:space="preserve"> </v>
      </c>
      <c r="H43" s="174" t="str">
        <f>IF(A43&lt;$A$8,MAT!AZ204," ")</f>
        <v xml:space="preserve"> </v>
      </c>
      <c r="I43" s="236">
        <f>IF(A10=1," ",24)</f>
        <v>24</v>
      </c>
      <c r="J43" s="2088">
        <f>IF(MAT!AJ$195=0," ",MAT!AJ$195)</f>
        <v>125000</v>
      </c>
      <c r="K43" s="2088"/>
      <c r="L43" s="2088"/>
      <c r="M43" s="2088"/>
      <c r="N43" s="174"/>
      <c r="O43" s="174"/>
      <c r="P43" s="174"/>
      <c r="Q43" s="174"/>
    </row>
    <row r="44" spans="1:17" ht="15.75" customHeight="1">
      <c r="A44" s="159">
        <v>17</v>
      </c>
      <c r="C44" s="174" t="str">
        <f t="shared" si="1"/>
        <v xml:space="preserve"> </v>
      </c>
      <c r="D44" s="174" t="str">
        <f t="shared" ca="1" si="0"/>
        <v xml:space="preserve"> </v>
      </c>
      <c r="E44" s="214" t="str">
        <f>IF(A44&lt;=$A$7,DAT!$AY$18," ")</f>
        <v xml:space="preserve"> </v>
      </c>
      <c r="F44" s="174" t="str">
        <f>IF(A44&lt;$A$8,MAT!BH206," ")</f>
        <v xml:space="preserve"> </v>
      </c>
      <c r="G44" s="174" t="str">
        <f>IF(A44&lt;$A$8,MAT!AY205," ")</f>
        <v xml:space="preserve"> </v>
      </c>
      <c r="H44" s="174" t="str">
        <f>IF(A44&lt;$A$8,MAT!AZ205," ")</f>
        <v xml:space="preserve"> </v>
      </c>
      <c r="I44" s="235">
        <v>25</v>
      </c>
      <c r="J44" s="2119">
        <f>MAT!AI195</f>
        <v>1875000</v>
      </c>
      <c r="K44" s="2120"/>
      <c r="L44" s="2120"/>
      <c r="M44" s="2120"/>
      <c r="N44" s="174"/>
      <c r="O44" s="174"/>
      <c r="P44" s="174"/>
      <c r="Q44" s="174"/>
    </row>
    <row r="45" spans="1:17" ht="15.75" customHeight="1">
      <c r="A45" s="159">
        <v>18</v>
      </c>
      <c r="C45" s="174" t="str">
        <f t="shared" si="1"/>
        <v xml:space="preserve"> </v>
      </c>
      <c r="D45" s="174" t="str">
        <f t="shared" ca="1" si="0"/>
        <v xml:space="preserve"> </v>
      </c>
      <c r="E45" s="214" t="str">
        <f>IF(A45&lt;=$A$7,DAT!$AY$18," ")</f>
        <v xml:space="preserve"> </v>
      </c>
      <c r="F45" s="174" t="str">
        <f>IF(A45&lt;$A$8,MAT!BH207," ")</f>
        <v xml:space="preserve"> </v>
      </c>
      <c r="G45" s="174" t="str">
        <f>IF(A45&lt;$A$8,MAT!AY206," ")</f>
        <v xml:space="preserve"> </v>
      </c>
      <c r="H45" s="174" t="str">
        <f>IF(A45&lt;$A$8,MAT!AZ206," ")</f>
        <v xml:space="preserve"> </v>
      </c>
      <c r="I45" s="556" t="s">
        <v>310</v>
      </c>
      <c r="J45" s="2119" t="e">
        <f>MAT!AQ188</f>
        <v>#N/A</v>
      </c>
      <c r="K45" s="2120"/>
      <c r="L45" s="2120"/>
      <c r="M45" s="2120"/>
      <c r="N45" s="174"/>
      <c r="O45" s="174"/>
      <c r="P45" s="174"/>
      <c r="Q45" s="174"/>
    </row>
    <row r="46" spans="1:17" ht="15.75" customHeight="1" thickBot="1">
      <c r="A46" s="159">
        <v>19</v>
      </c>
      <c r="C46" s="174" t="str">
        <f t="shared" si="1"/>
        <v xml:space="preserve"> </v>
      </c>
      <c r="D46" s="174" t="str">
        <f t="shared" ca="1" si="0"/>
        <v xml:space="preserve"> </v>
      </c>
      <c r="E46" s="214" t="str">
        <f>IF(A46&lt;=$A$7,DAT!$AY$18," ")</f>
        <v xml:space="preserve"> </v>
      </c>
      <c r="F46" s="174" t="str">
        <f>IF(A46&lt;$A$8,MAT!BH208," ")</f>
        <v xml:space="preserve"> </v>
      </c>
      <c r="G46" s="174" t="str">
        <f>IF(A46&lt;$A$8,MAT!AY207," ")</f>
        <v xml:space="preserve"> </v>
      </c>
      <c r="H46" s="174" t="str">
        <f>IF(A46&lt;$A$8,MAT!AZ207," ")</f>
        <v xml:space="preserve"> </v>
      </c>
      <c r="I46" s="556" t="e">
        <f>IF(MAT!BF188=0," ","F.A.B.")</f>
        <v>#N/A</v>
      </c>
      <c r="J46" s="2089" t="e">
        <f>IF(MAT!BF188=0," ",MAT!BF188)</f>
        <v>#N/A</v>
      </c>
      <c r="K46" s="2089"/>
      <c r="L46" s="2089"/>
      <c r="M46" s="2089"/>
      <c r="N46" s="174"/>
      <c r="O46" s="174"/>
      <c r="P46" s="174"/>
      <c r="Q46" s="174"/>
    </row>
    <row r="47" spans="1:17" ht="15.75" customHeight="1" thickTop="1">
      <c r="A47" s="159">
        <v>20</v>
      </c>
      <c r="C47" s="174" t="str">
        <f t="shared" si="1"/>
        <v xml:space="preserve"> </v>
      </c>
      <c r="D47" s="174" t="str">
        <f t="shared" ca="1" si="0"/>
        <v xml:space="preserve"> </v>
      </c>
      <c r="E47" s="214" t="str">
        <f>IF(A47&lt;=$A$7,DAT!$AY$18," ")</f>
        <v xml:space="preserve"> </v>
      </c>
      <c r="F47" s="174" t="str">
        <f>IF(A47&lt;$A$8,MAT!BH209," ")</f>
        <v xml:space="preserve"> </v>
      </c>
      <c r="G47" s="174" t="str">
        <f>IF(A47&lt;$A$8,MAT!AY208," ")</f>
        <v xml:space="preserve"> </v>
      </c>
      <c r="H47" s="174" t="str">
        <f>IF(A47&lt;$A$8,MAT!AZ208," ")</f>
        <v xml:space="preserve"> </v>
      </c>
      <c r="I47" s="2090" t="s">
        <v>309</v>
      </c>
      <c r="J47" s="2091" t="e">
        <f>SUM(J39:M46)</f>
        <v>#N/A</v>
      </c>
      <c r="K47" s="2091"/>
      <c r="L47" s="2091"/>
      <c r="M47" s="2091"/>
      <c r="N47" s="174"/>
      <c r="O47" s="174"/>
      <c r="P47" s="174"/>
      <c r="Q47" s="174"/>
    </row>
    <row r="48" spans="1:17" ht="15.75" customHeight="1" thickBot="1">
      <c r="A48" s="159">
        <v>21</v>
      </c>
      <c r="C48" s="174" t="str">
        <f t="shared" si="1"/>
        <v xml:space="preserve"> </v>
      </c>
      <c r="D48" s="174" t="str">
        <f t="shared" ca="1" si="0"/>
        <v xml:space="preserve"> </v>
      </c>
      <c r="E48" s="214" t="str">
        <f>IF(A48&lt;=$A$7,DAT!$AY$18," ")</f>
        <v xml:space="preserve"> </v>
      </c>
      <c r="F48" s="174" t="str">
        <f>IF(A48&lt;$A$8,MAT!BH210," ")</f>
        <v xml:space="preserve"> </v>
      </c>
      <c r="G48" s="174" t="str">
        <f>IF(A48&lt;$A$8,MAT!AY209," ")</f>
        <v xml:space="preserve"> </v>
      </c>
      <c r="H48" s="174" t="str">
        <f>IF(A48&lt;$A$8,MAT!AZ209," ")</f>
        <v xml:space="preserve"> </v>
      </c>
      <c r="I48" s="2090"/>
      <c r="J48" s="2092"/>
      <c r="K48" s="2092"/>
      <c r="L48" s="2092"/>
      <c r="M48" s="2092"/>
      <c r="N48" s="174"/>
      <c r="O48" s="174"/>
      <c r="P48" s="174"/>
      <c r="Q48" s="174"/>
    </row>
    <row r="49" spans="1:17" ht="15.75" customHeight="1" thickTop="1">
      <c r="A49" s="159">
        <v>22</v>
      </c>
      <c r="C49" s="174" t="str">
        <f t="shared" si="1"/>
        <v xml:space="preserve"> </v>
      </c>
      <c r="D49" s="174" t="str">
        <f t="shared" ca="1" si="0"/>
        <v xml:space="preserve"> </v>
      </c>
      <c r="E49" s="214" t="str">
        <f>IF(A49&lt;=$A$7,DAT!$AY$18," ")</f>
        <v xml:space="preserve"> </v>
      </c>
      <c r="F49" s="174" t="str">
        <f>IF(A49&lt;$A$8,MAT!BH211," ")</f>
        <v xml:space="preserve"> </v>
      </c>
      <c r="G49" s="174" t="str">
        <f>IF(A49&lt;$A$8,MAT!AY210," ")</f>
        <v xml:space="preserve"> </v>
      </c>
      <c r="H49" s="174" t="str">
        <f>IF(A49&lt;$A$8,MAT!AZ210," ")</f>
        <v xml:space="preserve"> </v>
      </c>
      <c r="I49" s="234"/>
      <c r="J49" s="234"/>
      <c r="K49" s="234"/>
      <c r="L49" s="234"/>
      <c r="M49" s="174"/>
      <c r="N49" s="174"/>
      <c r="O49" s="174"/>
      <c r="P49" s="174"/>
      <c r="Q49" s="174"/>
    </row>
    <row r="50" spans="1:17" ht="15.75" customHeight="1">
      <c r="A50" s="159">
        <v>23</v>
      </c>
      <c r="C50" s="174" t="str">
        <f t="shared" si="1"/>
        <v xml:space="preserve"> </v>
      </c>
      <c r="D50" s="174" t="str">
        <f t="shared" ca="1" si="0"/>
        <v xml:space="preserve"> </v>
      </c>
      <c r="E50" s="214" t="str">
        <f>IF(A50&lt;=$A$7,DAT!$AY$18," ")</f>
        <v xml:space="preserve"> </v>
      </c>
      <c r="F50" s="174" t="str">
        <f>IF(A50&lt;$A$8,MAT!BH212," ")</f>
        <v xml:space="preserve"> </v>
      </c>
      <c r="G50" s="174" t="str">
        <f>IF(A50&lt;$A$8,MAT!AY211," ")</f>
        <v xml:space="preserve"> </v>
      </c>
      <c r="H50" s="174" t="str">
        <f>IF(A50&lt;$A$8,MAT!AZ211," ")</f>
        <v xml:space="preserve"> </v>
      </c>
      <c r="I50" s="1632" t="str">
        <f>'VASANTHAM HOME'!E9</f>
        <v>ENTER YOUR NAME</v>
      </c>
      <c r="J50" s="1632"/>
      <c r="K50" s="1632"/>
      <c r="L50" s="1632"/>
      <c r="M50" s="174"/>
      <c r="N50" s="174"/>
      <c r="O50" s="174"/>
      <c r="P50" s="174"/>
      <c r="Q50" s="174"/>
    </row>
    <row r="51" spans="1:17" ht="15.75" customHeight="1">
      <c r="A51" s="159">
        <v>24</v>
      </c>
      <c r="C51" s="174" t="str">
        <f t="shared" si="1"/>
        <v xml:space="preserve"> </v>
      </c>
      <c r="D51" s="174" t="str">
        <f t="shared" ca="1" si="0"/>
        <v xml:space="preserve"> </v>
      </c>
      <c r="E51" s="214" t="str">
        <f>IF(A51&lt;=$A$7,DAT!$AY$18," ")</f>
        <v xml:space="preserve"> </v>
      </c>
      <c r="F51" s="174" t="str">
        <f>IF(A51&lt;$A$8,MAT!BH213," ")</f>
        <v xml:space="preserve"> </v>
      </c>
      <c r="G51" s="174" t="str">
        <f>IF(A51&lt;$A$8,MAT!AY212," ")</f>
        <v xml:space="preserve"> </v>
      </c>
      <c r="H51" s="174" t="str">
        <f>IF(A51&lt;$A$8,MAT!AZ212," ")</f>
        <v xml:space="preserve"> </v>
      </c>
      <c r="I51" s="1632" t="str">
        <f>'VASANTHAM HOME'!E10</f>
        <v>DESIGNATION</v>
      </c>
      <c r="J51" s="1632"/>
      <c r="K51" s="1632"/>
      <c r="L51" s="1632"/>
      <c r="M51" s="230"/>
      <c r="N51" s="174"/>
      <c r="O51" s="174"/>
      <c r="P51" s="174"/>
      <c r="Q51" s="174"/>
    </row>
    <row r="52" spans="1:17" ht="16.7" customHeight="1">
      <c r="B52" s="2117" t="s">
        <v>264</v>
      </c>
      <c r="C52" s="2118"/>
      <c r="D52" s="2118"/>
      <c r="E52" s="2118"/>
      <c r="F52" s="2123" t="str">
        <f>IF(Main!L13="YES","EFFECTIVE   YIELD  -  IRR","INSURING              LIVES")</f>
        <v>INSURING              LIVES</v>
      </c>
      <c r="G52" s="2123"/>
      <c r="H52" s="2125" t="s">
        <v>308</v>
      </c>
      <c r="I52" s="1632" t="str">
        <f>'VASANTHAM HOME'!E11</f>
        <v>ADDRESS 1</v>
      </c>
      <c r="J52" s="1632"/>
      <c r="K52" s="1632"/>
      <c r="L52" s="1632"/>
      <c r="M52" s="230"/>
    </row>
    <row r="53" spans="1:17" ht="16.7" customHeight="1">
      <c r="B53" s="233"/>
      <c r="C53" s="108" t="s">
        <v>210</v>
      </c>
      <c r="D53" s="1686">
        <f>SUM(E27:E51)</f>
        <v>302358</v>
      </c>
      <c r="E53" s="1771"/>
      <c r="F53" s="2123"/>
      <c r="G53" s="2123"/>
      <c r="H53" s="2125"/>
      <c r="I53" s="1632" t="str">
        <f>'VASANTHAM HOME'!E12</f>
        <v>ADDRESS 2</v>
      </c>
      <c r="J53" s="1632"/>
      <c r="K53" s="1632"/>
      <c r="L53" s="1632"/>
      <c r="M53" s="230"/>
      <c r="N53" s="773"/>
      <c r="O53" s="773"/>
      <c r="P53" s="773"/>
      <c r="Q53" s="172"/>
    </row>
    <row r="54" spans="1:17" ht="16.7" customHeight="1">
      <c r="B54" s="2117" t="s">
        <v>263</v>
      </c>
      <c r="C54" s="2118"/>
      <c r="D54" s="2118"/>
      <c r="E54" s="2118"/>
      <c r="F54" s="2124" t="str">
        <f>IF(Main!L13="YES",MAT!CM191,"ENSURING              SMILES")</f>
        <v>ENSURING              SMILES</v>
      </c>
      <c r="G54" s="2124"/>
      <c r="H54" s="2125"/>
      <c r="I54" s="1632" t="str">
        <f>'VASANTHAM HOME'!E13</f>
        <v>ADDRESS 3</v>
      </c>
      <c r="J54" s="1632"/>
      <c r="K54" s="1632"/>
      <c r="L54" s="1632"/>
      <c r="M54" s="230"/>
      <c r="N54" s="773"/>
      <c r="O54" s="773"/>
      <c r="P54" s="773"/>
      <c r="Q54" s="172"/>
    </row>
    <row r="55" spans="1:17" ht="16.7" customHeight="1">
      <c r="B55" s="233"/>
      <c r="C55" s="179" t="s">
        <v>210</v>
      </c>
      <c r="D55" s="1686" t="e">
        <f>J47</f>
        <v>#N/A</v>
      </c>
      <c r="E55" s="1686"/>
      <c r="F55" s="2124"/>
      <c r="G55" s="2124"/>
      <c r="H55" s="2125"/>
      <c r="I55" s="1632" t="str">
        <f>'VASANTHAM HOME'!E14</f>
        <v>MOBILE NO :</v>
      </c>
      <c r="J55" s="1632"/>
      <c r="K55" s="1632"/>
      <c r="L55" s="1632"/>
      <c r="M55" s="230"/>
      <c r="N55" s="773"/>
      <c r="O55" s="773"/>
      <c r="P55" s="773"/>
      <c r="Q55" s="172"/>
    </row>
    <row r="56" spans="1:17" ht="16.7" customHeight="1">
      <c r="B56" s="1684" t="s">
        <v>262</v>
      </c>
      <c r="C56" s="1685"/>
      <c r="D56" s="1685"/>
      <c r="E56" s="1685"/>
      <c r="F56" s="803"/>
      <c r="G56" s="803"/>
      <c r="H56" s="804"/>
      <c r="I56" s="1632" t="str">
        <f>'VASANTHAM HOME'!E15</f>
        <v>E.MAIL ID :</v>
      </c>
      <c r="J56" s="1632"/>
      <c r="K56" s="1632"/>
      <c r="L56" s="1632"/>
      <c r="M56" s="230"/>
      <c r="N56" s="773"/>
      <c r="O56" s="773"/>
      <c r="P56" s="773"/>
      <c r="Q56" s="172"/>
    </row>
    <row r="57" spans="1:17" ht="16.7" customHeight="1">
      <c r="B57" s="232"/>
      <c r="C57" s="178" t="s">
        <v>210</v>
      </c>
      <c r="D57" s="1687" t="e">
        <f>D55-D53</f>
        <v>#N/A</v>
      </c>
      <c r="E57" s="2093"/>
      <c r="F57" s="803"/>
      <c r="G57" s="803"/>
      <c r="H57" s="804"/>
      <c r="I57" s="766"/>
      <c r="J57" s="766"/>
      <c r="K57" s="766"/>
      <c r="L57" s="766"/>
      <c r="M57" s="230"/>
      <c r="N57" s="773"/>
      <c r="O57" s="773"/>
      <c r="P57" s="773"/>
      <c r="Q57" s="172"/>
    </row>
    <row r="58" spans="1:17" ht="17.25" customHeight="1">
      <c r="B58" s="232"/>
      <c r="C58" s="106"/>
      <c r="D58" s="106"/>
      <c r="E58" s="106"/>
      <c r="F58" s="2126" t="s">
        <v>277</v>
      </c>
      <c r="G58" s="2126"/>
      <c r="H58" s="231"/>
      <c r="I58" s="1632"/>
      <c r="J58" s="1632"/>
      <c r="K58" s="1632"/>
      <c r="L58" s="1632"/>
      <c r="M58" s="230"/>
      <c r="N58" s="773"/>
      <c r="O58" s="773"/>
      <c r="P58" s="773"/>
      <c r="Q58" s="172"/>
    </row>
    <row r="59" spans="1:17" ht="15" customHeight="1">
      <c r="B59" s="173">
        <v>1</v>
      </c>
      <c r="C59" s="2122" t="s">
        <v>2139</v>
      </c>
      <c r="D59" s="2122"/>
      <c r="E59" s="2122"/>
      <c r="F59" s="2122"/>
      <c r="G59" s="2122"/>
      <c r="H59" s="2122"/>
      <c r="I59" s="2122"/>
      <c r="J59" s="2122"/>
      <c r="K59" s="2122"/>
      <c r="L59" s="2122"/>
      <c r="M59" s="2122"/>
      <c r="N59" s="229"/>
    </row>
    <row r="60" spans="1:17" ht="16.7" customHeight="1">
      <c r="B60" s="173">
        <v>2</v>
      </c>
      <c r="C60" s="2121" t="s">
        <v>276</v>
      </c>
      <c r="D60" s="2121"/>
      <c r="E60" s="2121"/>
      <c r="F60" s="2121"/>
      <c r="G60" s="2121"/>
      <c r="H60" s="2121"/>
      <c r="I60" s="2121"/>
      <c r="J60" s="2121"/>
      <c r="K60" s="2121"/>
      <c r="L60" s="2121"/>
      <c r="M60" s="228"/>
    </row>
    <row r="61" spans="1:17" ht="18.75" hidden="1" customHeight="1"/>
    <row r="62" spans="1:17" ht="18.75" customHeight="1"/>
    <row r="63" spans="1:17" ht="18.75" hidden="1" customHeight="1"/>
    <row r="64" spans="1:17" ht="18.75" hidden="1" customHeight="1"/>
    <row r="65" ht="18.75" hidden="1" customHeight="1"/>
    <row r="66" ht="18.75" hidden="1" customHeight="1"/>
    <row r="67" ht="18.75" hidden="1" customHeight="1"/>
    <row r="68" ht="18.75" hidden="1" customHeight="1"/>
    <row r="69" ht="18.75" hidden="1" customHeight="1"/>
    <row r="70" ht="18.75" hidden="1" customHeight="1"/>
    <row r="71" ht="18.75" hidden="1" customHeight="1"/>
    <row r="72" ht="18.75" hidden="1" customHeight="1"/>
    <row r="73" ht="18.75" hidden="1" customHeight="1"/>
    <row r="74" ht="18.75" hidden="1" customHeight="1"/>
    <row r="75" ht="18.75" hidden="1" customHeight="1"/>
    <row r="76" ht="18.75" hidden="1" customHeight="1"/>
    <row r="77" ht="18.75" hidden="1" customHeight="1"/>
    <row r="78" ht="18.75" hidden="1" customHeight="1"/>
    <row r="79" ht="18.75" hidden="1" customHeight="1"/>
    <row r="80" ht="18.75" hidden="1" customHeight="1"/>
    <row r="81" ht="18.75" hidden="1" customHeight="1"/>
    <row r="82" ht="18.75" hidden="1" customHeight="1"/>
    <row r="83" ht="18.75" hidden="1" customHeight="1"/>
    <row r="84" ht="18.75" hidden="1" customHeight="1"/>
    <row r="85" ht="18.75" hidden="1" customHeight="1"/>
    <row r="86" ht="18.75" hidden="1" customHeight="1"/>
    <row r="87" ht="18.75" hidden="1" customHeight="1"/>
    <row r="88" ht="18.75" hidden="1" customHeight="1"/>
    <row r="89" ht="18.75" hidden="1" customHeight="1"/>
    <row r="90" ht="18.75" hidden="1" customHeight="1"/>
    <row r="91" ht="18.75" hidden="1" customHeight="1"/>
    <row r="92" ht="18.75" hidden="1" customHeight="1"/>
    <row r="93" ht="18.75" hidden="1" customHeight="1"/>
    <row r="94" ht="18.75" hidden="1" customHeight="1"/>
    <row r="95" ht="18.75" hidden="1" customHeight="1"/>
    <row r="96" ht="18.75" hidden="1" customHeight="1"/>
    <row r="97" ht="18.75" hidden="1" customHeight="1"/>
    <row r="98" ht="18.75" hidden="1" customHeight="1"/>
    <row r="99" ht="18.75" hidden="1" customHeight="1"/>
    <row r="100" ht="18.75" hidden="1" customHeight="1"/>
    <row r="101" ht="18.75" hidden="1" customHeight="1"/>
    <row r="102" ht="18.75" hidden="1" customHeight="1"/>
    <row r="103" ht="18.75" hidden="1" customHeight="1"/>
    <row r="104" ht="18.75" hidden="1" customHeight="1"/>
    <row r="105" ht="18.75" hidden="1" customHeight="1"/>
    <row r="106" ht="18.75" hidden="1" customHeight="1"/>
    <row r="107" ht="18.75" hidden="1" customHeight="1"/>
    <row r="108" ht="18.75" hidden="1" customHeight="1"/>
    <row r="109" ht="18.75" hidden="1" customHeight="1"/>
    <row r="110" ht="18.75" hidden="1" customHeight="1"/>
    <row r="111" ht="18.75" hidden="1" customHeight="1"/>
    <row r="112" ht="18.75" hidden="1" customHeight="1"/>
    <row r="113" ht="18.75" hidden="1" customHeight="1"/>
    <row r="114" ht="18.75" hidden="1" customHeight="1"/>
    <row r="115" ht="18.75" hidden="1" customHeight="1"/>
    <row r="116" ht="18.75" hidden="1" customHeight="1"/>
    <row r="117" ht="18.75" hidden="1" customHeight="1"/>
    <row r="118" ht="18.75" hidden="1" customHeight="1"/>
    <row r="119" ht="18.75" hidden="1" customHeight="1"/>
    <row r="120" ht="18.75" hidden="1" customHeight="1"/>
    <row r="121" ht="18.75" hidden="1" customHeight="1"/>
    <row r="122" ht="18.75" hidden="1" customHeight="1"/>
    <row r="123" ht="18.75" hidden="1" customHeight="1"/>
    <row r="124" ht="18.75" hidden="1" customHeight="1"/>
    <row r="125" ht="18.75" hidden="1" customHeight="1"/>
    <row r="126" ht="18.75" hidden="1" customHeight="1"/>
    <row r="127" ht="18.75" hidden="1" customHeight="1"/>
    <row r="128" ht="18.75" hidden="1" customHeight="1"/>
    <row r="129" ht="18.75" hidden="1" customHeight="1"/>
    <row r="130" ht="18.75" hidden="1" customHeight="1"/>
  </sheetData>
  <mergeCells count="70">
    <mergeCell ref="B54:E54"/>
    <mergeCell ref="D55:E55"/>
    <mergeCell ref="J45:M45"/>
    <mergeCell ref="J44:M44"/>
    <mergeCell ref="C60:L60"/>
    <mergeCell ref="I51:L51"/>
    <mergeCell ref="I52:L52"/>
    <mergeCell ref="I53:L53"/>
    <mergeCell ref="I54:L54"/>
    <mergeCell ref="I55:L55"/>
    <mergeCell ref="I58:L58"/>
    <mergeCell ref="C59:M59"/>
    <mergeCell ref="F52:G53"/>
    <mergeCell ref="F54:G55"/>
    <mergeCell ref="H52:H55"/>
    <mergeCell ref="F58:G58"/>
    <mergeCell ref="B52:E52"/>
    <mergeCell ref="D53:E53"/>
    <mergeCell ref="C25:C26"/>
    <mergeCell ref="D25:D26"/>
    <mergeCell ref="E25:E26"/>
    <mergeCell ref="F25:F26"/>
    <mergeCell ref="G25:G26"/>
    <mergeCell ref="O13:Q14"/>
    <mergeCell ref="E14:F15"/>
    <mergeCell ref="O15:R16"/>
    <mergeCell ref="F16:J16"/>
    <mergeCell ref="F17:J18"/>
    <mergeCell ref="O6:Q7"/>
    <mergeCell ref="J7:M7"/>
    <mergeCell ref="C8:G8"/>
    <mergeCell ref="J8:M8"/>
    <mergeCell ref="O8:R9"/>
    <mergeCell ref="C9:G9"/>
    <mergeCell ref="J9:M9"/>
    <mergeCell ref="C5:G7"/>
    <mergeCell ref="J5:M5"/>
    <mergeCell ref="H6:I8"/>
    <mergeCell ref="B56:E56"/>
    <mergeCell ref="D57:E57"/>
    <mergeCell ref="J6:M6"/>
    <mergeCell ref="J4:M4"/>
    <mergeCell ref="C11:D11"/>
    <mergeCell ref="C12:D13"/>
    <mergeCell ref="E12:E13"/>
    <mergeCell ref="F12:F13"/>
    <mergeCell ref="G12:G13"/>
    <mergeCell ref="H12:H13"/>
    <mergeCell ref="H25:H26"/>
    <mergeCell ref="J25:J26"/>
    <mergeCell ref="F23:J23"/>
    <mergeCell ref="F24:J24"/>
    <mergeCell ref="J42:M42"/>
    <mergeCell ref="J43:M43"/>
    <mergeCell ref="J2:L2"/>
    <mergeCell ref="I56:L56"/>
    <mergeCell ref="J3:L3"/>
    <mergeCell ref="I25:I26"/>
    <mergeCell ref="J11:J14"/>
    <mergeCell ref="F19:J20"/>
    <mergeCell ref="F21:J22"/>
    <mergeCell ref="I36:M36"/>
    <mergeCell ref="J38:M38"/>
    <mergeCell ref="J39:M39"/>
    <mergeCell ref="J40:M40"/>
    <mergeCell ref="I50:L50"/>
    <mergeCell ref="J46:M46"/>
    <mergeCell ref="I47:I48"/>
    <mergeCell ref="J47:M48"/>
    <mergeCell ref="J41:M41"/>
  </mergeCells>
  <hyperlinks>
    <hyperlink ref="O15:R16" location="Main!A1" display="CLICK HERE"/>
    <hyperlink ref="O8:R9" location="'VASANTHAM HOME'!A1" display="CLICK HERE"/>
  </hyperlinks>
  <pageMargins left="0.62986111111111109" right="0.2361111111111111" top="0.74791666666666667" bottom="0.74791666666666667" header="0.51180555555555551" footer="0.51180555555555551"/>
  <pageSetup paperSize="9" scale="80" firstPageNumber="0" orientation="portrait" horizontalDpi="300" verticalDpi="300" r:id="rId1"/>
  <headerFooter alignWithMargins="0">
    <oddFooter>&amp;C&amp;K02-049VASANTHAM SMART</oddFooter>
  </headerFooter>
  <drawing r:id="rId2"/>
</worksheet>
</file>

<file path=xl/worksheets/sheet20.xml><?xml version="1.0" encoding="utf-8"?>
<worksheet xmlns="http://schemas.openxmlformats.org/spreadsheetml/2006/main" xmlns:r="http://schemas.openxmlformats.org/officeDocument/2006/relationships">
  <sheetPr codeName="Sheet29"/>
  <dimension ref="A1:T129"/>
  <sheetViews>
    <sheetView showGridLines="0" showRowColHeaders="0" topLeftCell="A4" workbookViewId="0">
      <selection activeCell="O23" sqref="O23"/>
    </sheetView>
  </sheetViews>
  <sheetFormatPr defaultColWidth="0" defaultRowHeight="0" customHeight="1" zeroHeight="1"/>
  <cols>
    <col min="1" max="1" width="0.125" style="150" customWidth="1"/>
    <col min="2" max="2" width="2.5" style="150" customWidth="1"/>
    <col min="3" max="3" width="6" style="150" customWidth="1"/>
    <col min="4" max="4" width="12.125" style="150" customWidth="1"/>
    <col min="5" max="5" width="11.375" style="150" customWidth="1"/>
    <col min="6" max="6" width="12.625" style="150" customWidth="1"/>
    <col min="7" max="7" width="11.375" style="150" customWidth="1"/>
    <col min="8" max="8" width="14.625" style="150" customWidth="1"/>
    <col min="9" max="9" width="15" style="150" customWidth="1"/>
    <col min="10" max="10" width="15.125" style="150" customWidth="1"/>
    <col min="11" max="13" width="5.5" style="150" customWidth="1"/>
    <col min="14" max="14" width="9.5" style="150" customWidth="1"/>
    <col min="15" max="15" width="14.875" style="150" customWidth="1"/>
    <col min="16" max="16" width="8.625" style="150" customWidth="1"/>
    <col min="17" max="17" width="7.625" style="150" customWidth="1"/>
    <col min="18" max="16384" width="0" style="150" hidden="1"/>
  </cols>
  <sheetData>
    <row r="1" spans="1:20" ht="15.75" customHeight="1"/>
    <row r="2" spans="1:20" ht="15.75" customHeight="1"/>
    <row r="3" spans="1:20" ht="15.75" customHeight="1">
      <c r="A3" s="227"/>
      <c r="I3" s="226"/>
      <c r="J3" s="226">
        <f ca="1">TODAY()</f>
        <v>43229</v>
      </c>
      <c r="K3" s="226"/>
      <c r="L3" s="226"/>
      <c r="M3" s="755"/>
      <c r="N3" s="755"/>
      <c r="O3" s="755"/>
      <c r="P3" s="755"/>
      <c r="Q3" s="225"/>
    </row>
    <row r="4" spans="1:20" ht="9.75" customHeight="1"/>
    <row r="5" spans="1:20" ht="15.75" customHeight="1">
      <c r="A5" s="214"/>
      <c r="H5" s="254"/>
      <c r="I5" s="254"/>
      <c r="J5" s="2094" t="str">
        <f>CONCATENATE("PLAN NO  :  ",(832))</f>
        <v>PLAN NO  :  832</v>
      </c>
      <c r="K5" s="2094"/>
      <c r="L5" s="2094"/>
      <c r="M5" s="2094"/>
    </row>
    <row r="6" spans="1:20" ht="15.75" customHeight="1">
      <c r="A6" s="214"/>
      <c r="C6" s="2152" t="s">
        <v>372</v>
      </c>
      <c r="D6" s="2152"/>
      <c r="E6" s="2152"/>
      <c r="F6" s="2152"/>
      <c r="G6" s="2152"/>
      <c r="H6" s="254"/>
      <c r="I6" s="254"/>
      <c r="J6" s="2094" t="str">
        <f>CONCATENATE("UIN :  512N296V01 ")</f>
        <v xml:space="preserve">UIN :  512N296V01 </v>
      </c>
      <c r="K6" s="2094"/>
      <c r="L6" s="2094"/>
      <c r="M6" s="2094"/>
      <c r="T6" s="222"/>
    </row>
    <row r="7" spans="1:20" ht="15.75" customHeight="1">
      <c r="A7" s="214"/>
      <c r="B7" s="221"/>
      <c r="C7" s="2152"/>
      <c r="D7" s="2152"/>
      <c r="E7" s="2152"/>
      <c r="F7" s="2152"/>
      <c r="G7" s="2152"/>
      <c r="H7" s="2111" t="s">
        <v>320</v>
      </c>
      <c r="I7" s="2111"/>
      <c r="J7" s="2094" t="str">
        <f>CONCATENATE("AGE  :  ",(Main!E9),  " ", " "," ",       "YEARS")</f>
        <v>AGE  :  30   YEARS</v>
      </c>
      <c r="K7" s="2094"/>
      <c r="L7" s="2094"/>
      <c r="M7" s="2094"/>
      <c r="N7" s="253"/>
      <c r="O7" s="2148" t="s">
        <v>232</v>
      </c>
      <c r="P7" s="2148"/>
      <c r="Q7" s="2148"/>
      <c r="T7" s="150" t="s">
        <v>303</v>
      </c>
    </row>
    <row r="8" spans="1:20" ht="15.75" customHeight="1" thickBot="1">
      <c r="A8" s="214">
        <f>Main!E9</f>
        <v>30</v>
      </c>
      <c r="B8" s="216"/>
      <c r="C8" s="2153"/>
      <c r="D8" s="2153"/>
      <c r="E8" s="2153"/>
      <c r="F8" s="2153"/>
      <c r="G8" s="2153"/>
      <c r="H8" s="2111"/>
      <c r="I8" s="2111"/>
      <c r="J8" s="2104" t="str">
        <f>CONCATENATE("TERM :  ",(A9),  " ", " "," ",       "YEARS")</f>
        <v>TERM :  -5   YEARS</v>
      </c>
      <c r="K8" s="2104"/>
      <c r="L8" s="2104"/>
      <c r="M8" s="2104"/>
      <c r="N8" s="771"/>
      <c r="O8" s="2148"/>
      <c r="P8" s="2148"/>
      <c r="Q8" s="2148"/>
    </row>
    <row r="9" spans="1:20" ht="15.75" customHeight="1" thickTop="1">
      <c r="A9" s="214">
        <f>25-Main!E9</f>
        <v>-5</v>
      </c>
      <c r="B9" s="191"/>
      <c r="C9" s="2127" t="s">
        <v>302</v>
      </c>
      <c r="D9" s="2127"/>
      <c r="E9" s="2127"/>
      <c r="F9" s="2127"/>
      <c r="G9" s="2127"/>
      <c r="H9" s="2111"/>
      <c r="I9" s="2111"/>
      <c r="J9" s="2157" t="str">
        <f>CONCATENATE("SUM ASSURED  : Rs.  ",(Main!E10))</f>
        <v>SUM ASSURED  : Rs.  2500000</v>
      </c>
      <c r="K9" s="2157"/>
      <c r="L9" s="2157"/>
      <c r="M9" s="2157"/>
      <c r="N9" s="357"/>
      <c r="O9" s="1380" t="s">
        <v>226</v>
      </c>
      <c r="P9" s="1381"/>
      <c r="Q9" s="1381"/>
      <c r="R9" s="1381"/>
    </row>
    <row r="10" spans="1:20" ht="15.75" customHeight="1">
      <c r="A10" s="210"/>
      <c r="B10" s="191"/>
      <c r="C10" s="2156" t="str">
        <f>CONCATENATE(Main!E8,(Main!F8))</f>
        <v>Sri.soumil</v>
      </c>
      <c r="D10" s="2156"/>
      <c r="E10" s="2156"/>
      <c r="F10" s="2156"/>
      <c r="G10" s="2156"/>
      <c r="H10" s="251"/>
      <c r="I10" s="356"/>
      <c r="J10" s="2158" t="str">
        <f>IF(Main!J12="YES","WITH PREMIUM WAIVER BENEFIT"," ")</f>
        <v>WITH PREMIUM WAIVER BENEFIT</v>
      </c>
      <c r="K10" s="2158"/>
      <c r="L10" s="2158"/>
      <c r="M10" s="2158"/>
      <c r="N10" s="355"/>
      <c r="O10" s="1380"/>
      <c r="P10" s="1381"/>
      <c r="Q10" s="1381"/>
      <c r="R10" s="1381"/>
    </row>
    <row r="11" spans="1:20" ht="18.75" customHeight="1">
      <c r="D11" s="249"/>
      <c r="E11" s="249"/>
      <c r="F11" s="249"/>
      <c r="G11" s="249"/>
      <c r="H11" s="248"/>
      <c r="I11" s="246"/>
      <c r="J11" s="246"/>
      <c r="K11" s="772"/>
      <c r="L11" s="772"/>
      <c r="M11" s="772"/>
      <c r="N11" s="772"/>
      <c r="O11" s="772"/>
      <c r="P11" s="772"/>
      <c r="Q11" s="206"/>
    </row>
    <row r="12" spans="1:20" ht="16.7" customHeight="1">
      <c r="A12" s="191"/>
      <c r="B12" s="346"/>
      <c r="C12" s="2154" t="s">
        <v>230</v>
      </c>
      <c r="D12" s="2155"/>
      <c r="E12" s="354" t="s">
        <v>196</v>
      </c>
      <c r="F12" s="354" t="s">
        <v>300</v>
      </c>
      <c r="G12" s="354" t="s">
        <v>198</v>
      </c>
      <c r="H12" s="354" t="s">
        <v>299</v>
      </c>
      <c r="I12" s="246"/>
      <c r="J12" s="2082" t="str">
        <f>CONCATENATE("    SAVINGS          PER DAY", " ", " "," ", " "," "," "," "," ", " "," "," ","Rs.  ",(DAT!AZ16)," "," "," "," "," "," ","ONLY")</f>
        <v xml:space="preserve">    SAVINGS          PER DAY           Rs.  662      ONLY</v>
      </c>
      <c r="K12" s="203"/>
      <c r="L12" s="203"/>
      <c r="M12" s="203"/>
      <c r="N12" s="203"/>
      <c r="O12" s="203"/>
      <c r="P12" s="203"/>
      <c r="Q12" s="203"/>
    </row>
    <row r="13" spans="1:20" ht="16.7" customHeight="1">
      <c r="A13" s="162">
        <f>DAT!AC16</f>
        <v>222555</v>
      </c>
      <c r="B13" s="346"/>
      <c r="C13" s="2097" t="s">
        <v>2118</v>
      </c>
      <c r="D13" s="2097"/>
      <c r="E13" s="2099">
        <f>DAT!AT16</f>
        <v>241800</v>
      </c>
      <c r="F13" s="2099">
        <f>DAT!AU16</f>
        <v>122223</v>
      </c>
      <c r="G13" s="2099">
        <f>DAT!AV16</f>
        <v>61774</v>
      </c>
      <c r="H13" s="2099">
        <f>DAT!AW16</f>
        <v>20592</v>
      </c>
      <c r="I13" s="246"/>
      <c r="J13" s="2082"/>
      <c r="K13" s="203"/>
      <c r="L13" s="203"/>
      <c r="M13" s="203"/>
      <c r="N13" s="203"/>
      <c r="O13" s="203"/>
      <c r="P13" s="203"/>
      <c r="Q13" s="203"/>
    </row>
    <row r="14" spans="1:20" ht="16.7" customHeight="1">
      <c r="A14" s="170"/>
      <c r="B14" s="346"/>
      <c r="C14" s="2098"/>
      <c r="D14" s="2098"/>
      <c r="E14" s="2100"/>
      <c r="F14" s="2100"/>
      <c r="G14" s="2100"/>
      <c r="H14" s="2100"/>
      <c r="I14" s="246"/>
      <c r="J14" s="2082"/>
      <c r="K14" s="197"/>
      <c r="L14" s="197"/>
      <c r="M14" s="197"/>
      <c r="N14" s="197"/>
      <c r="O14" s="2149" t="s">
        <v>228</v>
      </c>
      <c r="P14" s="2150"/>
      <c r="Q14" s="2150"/>
    </row>
    <row r="15" spans="1:20" ht="16.7" customHeight="1">
      <c r="A15" s="191"/>
      <c r="B15" s="353"/>
      <c r="C15" s="352"/>
      <c r="D15" s="350"/>
      <c r="E15" s="2160"/>
      <c r="F15" s="2160"/>
      <c r="G15" s="351"/>
      <c r="H15" s="351"/>
      <c r="I15" s="351"/>
      <c r="J15" s="2082"/>
      <c r="K15" s="351"/>
      <c r="L15" s="351"/>
      <c r="M15" s="351"/>
      <c r="N15" s="349"/>
      <c r="O15" s="2150"/>
      <c r="P15" s="2150"/>
      <c r="Q15" s="2150"/>
    </row>
    <row r="16" spans="1:20" ht="15.75" customHeight="1">
      <c r="A16" s="191"/>
      <c r="B16" s="353"/>
      <c r="C16" s="352"/>
      <c r="D16" s="350"/>
      <c r="E16" s="2160" t="s">
        <v>319</v>
      </c>
      <c r="F16" s="2160"/>
      <c r="G16" s="351"/>
      <c r="H16" s="351"/>
      <c r="I16" s="351"/>
      <c r="J16" s="351"/>
      <c r="K16" s="351"/>
      <c r="L16" s="351"/>
      <c r="M16" s="351"/>
      <c r="N16" s="349"/>
      <c r="O16" s="1794" t="s">
        <v>226</v>
      </c>
      <c r="P16" s="1391"/>
      <c r="Q16" s="1391"/>
      <c r="R16" s="1391"/>
    </row>
    <row r="17" spans="1:18" ht="15.75" customHeight="1">
      <c r="A17" s="191"/>
      <c r="B17" s="191"/>
      <c r="C17" s="192"/>
      <c r="D17" s="350"/>
      <c r="E17" s="350"/>
      <c r="F17" s="2151" t="s">
        <v>371</v>
      </c>
      <c r="G17" s="2151"/>
      <c r="H17" s="2151"/>
      <c r="I17" s="2151"/>
      <c r="J17" s="2151"/>
      <c r="K17" s="809"/>
      <c r="L17" s="809"/>
      <c r="M17" s="809"/>
      <c r="N17" s="349"/>
      <c r="O17" s="1794"/>
      <c r="P17" s="1391"/>
      <c r="Q17" s="1391"/>
      <c r="R17" s="1391"/>
    </row>
    <row r="18" spans="1:18" ht="15.75" customHeight="1">
      <c r="A18" s="191"/>
      <c r="B18" s="191"/>
      <c r="C18" s="192"/>
      <c r="D18" s="203"/>
      <c r="E18" s="203"/>
      <c r="F18" s="2151"/>
      <c r="G18" s="2151"/>
      <c r="H18" s="2151"/>
      <c r="I18" s="2151"/>
      <c r="J18" s="2151"/>
      <c r="K18" s="809"/>
      <c r="L18" s="809"/>
      <c r="M18" s="809"/>
      <c r="N18" s="203"/>
      <c r="O18" s="203"/>
      <c r="P18" s="203"/>
      <c r="Q18" s="203"/>
    </row>
    <row r="19" spans="1:18" ht="15.75" customHeight="1">
      <c r="A19" s="191"/>
      <c r="B19" s="191"/>
      <c r="C19" s="191"/>
      <c r="D19" s="191"/>
      <c r="E19" s="191"/>
      <c r="F19" s="2151" t="s">
        <v>370</v>
      </c>
      <c r="G19" s="2151"/>
      <c r="H19" s="2151"/>
      <c r="I19" s="2151"/>
      <c r="J19" s="2151"/>
      <c r="K19" s="809"/>
      <c r="L19" s="809"/>
      <c r="M19" s="809"/>
      <c r="N19" s="348"/>
      <c r="O19" s="348"/>
      <c r="P19" s="348"/>
      <c r="Q19" s="347"/>
    </row>
    <row r="20" spans="1:18" ht="15.75" customHeight="1">
      <c r="A20" s="242"/>
      <c r="B20" s="162"/>
      <c r="C20" s="162"/>
      <c r="D20" s="162"/>
      <c r="E20" s="162"/>
      <c r="F20" s="2151"/>
      <c r="G20" s="2151"/>
      <c r="H20" s="2151"/>
      <c r="I20" s="2151"/>
      <c r="J20" s="2151"/>
      <c r="K20" s="809"/>
      <c r="L20" s="809"/>
      <c r="M20" s="809"/>
      <c r="N20" s="348"/>
      <c r="O20" s="348"/>
      <c r="P20" s="348"/>
      <c r="Q20" s="347"/>
    </row>
    <row r="21" spans="1:18" ht="15.75" customHeight="1">
      <c r="A21" s="242"/>
      <c r="B21" s="162"/>
      <c r="C21" s="162"/>
      <c r="D21" s="162"/>
      <c r="E21" s="162"/>
      <c r="F21" s="2151" t="s">
        <v>369</v>
      </c>
      <c r="G21" s="2151"/>
      <c r="H21" s="2151"/>
      <c r="I21" s="2151"/>
      <c r="J21" s="2151"/>
      <c r="K21" s="809"/>
      <c r="L21" s="809"/>
      <c r="M21" s="809"/>
      <c r="N21" s="348"/>
      <c r="O21" s="348"/>
      <c r="P21" s="348"/>
      <c r="Q21" s="347"/>
    </row>
    <row r="22" spans="1:18" ht="15.75" customHeight="1">
      <c r="A22" s="242"/>
      <c r="B22" s="162"/>
      <c r="C22" s="162"/>
      <c r="D22" s="162"/>
      <c r="E22" s="162"/>
      <c r="F22" s="2151"/>
      <c r="G22" s="2151"/>
      <c r="H22" s="2151"/>
      <c r="I22" s="2151"/>
      <c r="J22" s="2151"/>
      <c r="K22" s="809"/>
      <c r="L22" s="809"/>
      <c r="M22" s="809"/>
      <c r="N22" s="348"/>
      <c r="O22" s="348"/>
      <c r="P22" s="348"/>
      <c r="Q22" s="347"/>
    </row>
    <row r="23" spans="1:18" ht="15.75" customHeight="1">
      <c r="A23" s="242"/>
      <c r="B23" s="162"/>
      <c r="C23" s="162"/>
      <c r="D23" s="162"/>
      <c r="E23" s="162"/>
      <c r="F23" s="2151" t="s">
        <v>317</v>
      </c>
      <c r="G23" s="2151"/>
      <c r="H23" s="2151"/>
      <c r="I23" s="2151"/>
      <c r="J23" s="2151"/>
      <c r="K23" s="809"/>
      <c r="L23" s="809"/>
      <c r="M23" s="809"/>
      <c r="N23" s="348"/>
      <c r="O23" s="348"/>
      <c r="P23" s="348"/>
      <c r="Q23" s="347"/>
    </row>
    <row r="24" spans="1:18" ht="15.75" customHeight="1">
      <c r="C24" s="241"/>
      <c r="D24" s="241"/>
      <c r="E24" s="241"/>
      <c r="F24" s="2151"/>
      <c r="G24" s="2151"/>
      <c r="H24" s="2151"/>
      <c r="I24" s="2151"/>
      <c r="J24" s="2151"/>
      <c r="K24" s="809"/>
      <c r="L24" s="809"/>
      <c r="M24" s="809"/>
      <c r="N24" s="770"/>
      <c r="O24" s="770"/>
      <c r="P24" s="770"/>
      <c r="Q24" s="241"/>
    </row>
    <row r="25" spans="1:18" ht="16.7" customHeight="1">
      <c r="C25" s="1929" t="s">
        <v>17</v>
      </c>
      <c r="D25" s="1998" t="s">
        <v>289</v>
      </c>
      <c r="E25" s="2101" t="s">
        <v>315</v>
      </c>
      <c r="F25" s="2101" t="s">
        <v>221</v>
      </c>
      <c r="G25" s="2113" t="s">
        <v>314</v>
      </c>
      <c r="H25" s="2101" t="s">
        <v>368</v>
      </c>
      <c r="I25" s="2081"/>
      <c r="J25" s="2103"/>
      <c r="K25" s="808"/>
      <c r="L25" s="808"/>
      <c r="M25" s="808"/>
      <c r="N25" s="764"/>
      <c r="O25" s="764"/>
      <c r="P25" s="764"/>
      <c r="Q25" s="186"/>
    </row>
    <row r="26" spans="1:18" ht="16.7" customHeight="1">
      <c r="C26" s="1929"/>
      <c r="D26" s="1998"/>
      <c r="E26" s="2131"/>
      <c r="F26" s="2131"/>
      <c r="G26" s="2159"/>
      <c r="H26" s="2132"/>
      <c r="I26" s="2081"/>
      <c r="J26" s="2103"/>
      <c r="K26" s="808"/>
      <c r="L26" s="808"/>
      <c r="M26" s="808"/>
      <c r="N26" s="764"/>
      <c r="O26" s="764"/>
      <c r="P26" s="764"/>
      <c r="Q26" s="186"/>
    </row>
    <row r="27" spans="1:18" ht="15.75" customHeight="1">
      <c r="A27" s="346">
        <v>0</v>
      </c>
      <c r="C27" s="214">
        <f>Main!E9</f>
        <v>30</v>
      </c>
      <c r="D27" s="174" t="str">
        <f t="shared" ref="D27:D51" ca="1" si="0">IF(A27&lt;$A$9,(((DAY(NOW())&amp;"/")&amp;MONTH(NOW()))&amp;"/")&amp;((YEAR(NOW())))+A27," ")</f>
        <v xml:space="preserve"> </v>
      </c>
      <c r="E27" s="214">
        <f>E13</f>
        <v>241800</v>
      </c>
      <c r="F27" s="214" t="str">
        <f>IF(A8&lt;8,A13,IF(A27&lt;$A$9,MAT!BH159," "))</f>
        <v xml:space="preserve"> </v>
      </c>
      <c r="G27" s="345">
        <v>0</v>
      </c>
      <c r="H27" s="344">
        <v>0</v>
      </c>
      <c r="I27" s="344"/>
      <c r="J27" s="344"/>
      <c r="K27" s="344"/>
      <c r="L27" s="344"/>
      <c r="M27" s="344"/>
      <c r="N27" s="344"/>
      <c r="O27" s="344"/>
      <c r="P27" s="344"/>
      <c r="Q27" s="344"/>
    </row>
    <row r="28" spans="1:18" ht="15.75" customHeight="1">
      <c r="A28" s="159">
        <v>1</v>
      </c>
      <c r="C28" s="174" t="str">
        <f t="shared" ref="C28:C51" si="1">IF(A28&lt;$A$9,$C$27+A28," ")</f>
        <v xml:space="preserve"> </v>
      </c>
      <c r="D28" s="174" t="str">
        <f t="shared" ca="1" si="0"/>
        <v xml:space="preserve"> </v>
      </c>
      <c r="E28" s="214" t="str">
        <f>IF(A28&lt;$A$9,DAT!$AY$16," ")</f>
        <v xml:space="preserve"> </v>
      </c>
      <c r="F28" s="174" t="str">
        <f>IF(A8&lt;8,F27+A13,IF(A28&lt;$A$9,MAT!BH160," "))</f>
        <v xml:space="preserve"> </v>
      </c>
      <c r="G28" s="344">
        <v>0</v>
      </c>
      <c r="H28" s="344">
        <v>0</v>
      </c>
      <c r="I28" s="344"/>
      <c r="J28" s="344"/>
      <c r="K28" s="344"/>
      <c r="L28" s="344"/>
      <c r="M28" s="344"/>
      <c r="N28" s="344"/>
      <c r="O28" s="344"/>
      <c r="P28" s="344"/>
      <c r="Q28" s="344"/>
    </row>
    <row r="29" spans="1:18" ht="15.75" customHeight="1">
      <c r="A29" s="159">
        <v>2</v>
      </c>
      <c r="C29" s="174" t="str">
        <f t="shared" si="1"/>
        <v xml:space="preserve"> </v>
      </c>
      <c r="D29" s="174" t="str">
        <f t="shared" ca="1" si="0"/>
        <v xml:space="preserve"> </v>
      </c>
      <c r="E29" s="214" t="str">
        <f>IF(A29&lt;$A$9,DAT!$AY$16," ")</f>
        <v xml:space="preserve"> </v>
      </c>
      <c r="F29" s="174" t="str">
        <f>IF(A29&lt;$A$9,MAT!BH161," ")</f>
        <v xml:space="preserve"> </v>
      </c>
      <c r="G29" s="344">
        <v>0</v>
      </c>
      <c r="H29" s="344">
        <v>0</v>
      </c>
      <c r="I29" s="344"/>
      <c r="J29" s="344"/>
      <c r="K29" s="344"/>
      <c r="L29" s="344"/>
      <c r="M29" s="344"/>
      <c r="N29" s="344"/>
      <c r="O29" s="344"/>
      <c r="P29" s="344"/>
      <c r="Q29" s="344"/>
    </row>
    <row r="30" spans="1:18" ht="15.75" customHeight="1">
      <c r="A30" s="159">
        <v>3</v>
      </c>
      <c r="C30" s="174" t="str">
        <f t="shared" si="1"/>
        <v xml:space="preserve"> </v>
      </c>
      <c r="D30" s="174" t="str">
        <f t="shared" ca="1" si="0"/>
        <v xml:space="preserve"> </v>
      </c>
      <c r="E30" s="214" t="str">
        <f>IF(A30&lt;$A$9,DAT!$AY$16," ")</f>
        <v xml:space="preserve"> </v>
      </c>
      <c r="F30" s="174" t="str">
        <f>IF(A30&lt;$A$9,MAT!BH162," ")</f>
        <v xml:space="preserve"> </v>
      </c>
      <c r="G30" s="174" t="str">
        <f>IF(A30&lt;$A$9,MAT!AY161," ")</f>
        <v xml:space="preserve"> </v>
      </c>
      <c r="H30" s="174" t="str">
        <f>IF(A30&lt;$A$9,MAT!AZ161," ")</f>
        <v xml:space="preserve"> </v>
      </c>
      <c r="I30" s="344"/>
      <c r="J30" s="344"/>
      <c r="K30" s="344"/>
      <c r="L30" s="344"/>
      <c r="M30" s="344"/>
      <c r="N30" s="344"/>
      <c r="O30" s="344"/>
      <c r="P30" s="344"/>
      <c r="Q30" s="344"/>
    </row>
    <row r="31" spans="1:18" ht="15.75" customHeight="1">
      <c r="A31" s="159">
        <v>4</v>
      </c>
      <c r="C31" s="174" t="str">
        <f t="shared" si="1"/>
        <v xml:space="preserve"> </v>
      </c>
      <c r="D31" s="174" t="str">
        <f t="shared" ca="1" si="0"/>
        <v xml:space="preserve"> </v>
      </c>
      <c r="E31" s="214" t="str">
        <f>IF(A31&lt;$A$9,DAT!$AY$16," ")</f>
        <v xml:space="preserve"> </v>
      </c>
      <c r="F31" s="174" t="str">
        <f>IF(A31&lt;$A$9,MAT!BH163," ")</f>
        <v xml:space="preserve"> </v>
      </c>
      <c r="G31" s="174" t="str">
        <f>IF(A31&lt;$A$9,MAT!AY162," ")</f>
        <v xml:space="preserve"> </v>
      </c>
      <c r="H31" s="174" t="str">
        <f>IF(A31&lt;$A$9,MAT!AZ162," ")</f>
        <v xml:space="preserve"> </v>
      </c>
      <c r="I31" s="344"/>
      <c r="J31" s="344"/>
      <c r="K31" s="344"/>
      <c r="L31" s="344"/>
      <c r="M31" s="344"/>
      <c r="N31" s="344"/>
      <c r="O31" s="344"/>
      <c r="P31" s="344"/>
      <c r="Q31" s="344"/>
    </row>
    <row r="32" spans="1:18" ht="15.75" customHeight="1">
      <c r="A32" s="159">
        <v>5</v>
      </c>
      <c r="C32" s="174" t="str">
        <f t="shared" si="1"/>
        <v xml:space="preserve"> </v>
      </c>
      <c r="D32" s="174" t="str">
        <f t="shared" ca="1" si="0"/>
        <v xml:space="preserve"> </v>
      </c>
      <c r="E32" s="214" t="str">
        <f>IF(A32&lt;$A$9,DAT!$AY$16," ")</f>
        <v xml:space="preserve"> </v>
      </c>
      <c r="F32" s="174" t="str">
        <f>IF(A32&lt;$A$9,MAT!BH164," ")</f>
        <v xml:space="preserve"> </v>
      </c>
      <c r="G32" s="174" t="str">
        <f>IF(A32&lt;$A$9,MAT!AY163," ")</f>
        <v xml:space="preserve"> </v>
      </c>
      <c r="H32" s="174" t="str">
        <f>IF(A32&lt;$A$9,MAT!AZ163," ")</f>
        <v xml:space="preserve"> </v>
      </c>
      <c r="I32" s="344"/>
      <c r="J32" s="344"/>
      <c r="K32" s="344"/>
      <c r="L32" s="344"/>
      <c r="M32" s="344"/>
      <c r="N32" s="344"/>
      <c r="O32" s="344"/>
      <c r="P32" s="344"/>
      <c r="Q32" s="344"/>
    </row>
    <row r="33" spans="1:17" ht="15.75" customHeight="1">
      <c r="A33" s="159">
        <v>6</v>
      </c>
      <c r="C33" s="174" t="str">
        <f t="shared" si="1"/>
        <v xml:space="preserve"> </v>
      </c>
      <c r="D33" s="174" t="str">
        <f t="shared" ca="1" si="0"/>
        <v xml:space="preserve"> </v>
      </c>
      <c r="E33" s="214" t="str">
        <f>IF(A33&lt;$A$9,DAT!$AY$16," ")</f>
        <v xml:space="preserve"> </v>
      </c>
      <c r="F33" s="174" t="str">
        <f>IF(A33&lt;$A$9,MAT!BH165," ")</f>
        <v xml:space="preserve"> </v>
      </c>
      <c r="G33" s="174" t="str">
        <f>IF(A33&lt;$A$9,MAT!AY164," ")</f>
        <v xml:space="preserve"> </v>
      </c>
      <c r="H33" s="174" t="str">
        <f>IF(A33&lt;$A$9,MAT!AZ164," ")</f>
        <v xml:space="preserve"> </v>
      </c>
      <c r="I33" s="344"/>
      <c r="J33" s="344"/>
      <c r="K33" s="344"/>
      <c r="L33" s="344"/>
      <c r="M33" s="344"/>
      <c r="N33" s="344"/>
      <c r="O33" s="344"/>
      <c r="P33" s="344"/>
      <c r="Q33" s="344"/>
    </row>
    <row r="34" spans="1:17" ht="15.75" customHeight="1">
      <c r="A34" s="159">
        <v>7</v>
      </c>
      <c r="C34" s="174" t="str">
        <f t="shared" si="1"/>
        <v xml:space="preserve"> </v>
      </c>
      <c r="D34" s="174" t="str">
        <f t="shared" ca="1" si="0"/>
        <v xml:space="preserve"> </v>
      </c>
      <c r="E34" s="214" t="str">
        <f>IF(A34&lt;$A$9,DAT!$AY$16," ")</f>
        <v xml:space="preserve"> </v>
      </c>
      <c r="F34" s="174" t="str">
        <f>IF(A34&lt;$A$9,MAT!BH166," ")</f>
        <v xml:space="preserve"> </v>
      </c>
      <c r="G34" s="174" t="str">
        <f>IF(A34&lt;$A$9,MAT!AY165," ")</f>
        <v xml:space="preserve"> </v>
      </c>
      <c r="H34" s="174" t="str">
        <f>IF(A34&lt;$A$9,MAT!AZ165," ")</f>
        <v xml:space="preserve"> </v>
      </c>
      <c r="I34" s="344"/>
      <c r="J34" s="344"/>
      <c r="K34" s="344"/>
      <c r="L34" s="344"/>
      <c r="M34" s="344"/>
      <c r="N34" s="344"/>
      <c r="O34" s="344"/>
      <c r="P34" s="344"/>
      <c r="Q34" s="344"/>
    </row>
    <row r="35" spans="1:17" ht="15.75" customHeight="1">
      <c r="A35" s="159">
        <v>8</v>
      </c>
      <c r="C35" s="174" t="str">
        <f t="shared" si="1"/>
        <v xml:space="preserve"> </v>
      </c>
      <c r="D35" s="174" t="str">
        <f t="shared" ca="1" si="0"/>
        <v xml:space="preserve"> </v>
      </c>
      <c r="E35" s="214" t="str">
        <f>IF(A35&lt;$A$9,DAT!$AY$16," ")</f>
        <v xml:space="preserve"> </v>
      </c>
      <c r="F35" s="174" t="str">
        <f>IF(A35&lt;$A$9,MAT!BH167," ")</f>
        <v xml:space="preserve"> </v>
      </c>
      <c r="G35" s="174" t="str">
        <f>IF(A35&lt;$A$9,MAT!AY166," ")</f>
        <v xml:space="preserve"> </v>
      </c>
      <c r="H35" s="174" t="str">
        <f>IF(A35&lt;$A$9,MAT!AZ166," ")</f>
        <v xml:space="preserve"> </v>
      </c>
      <c r="I35" s="344"/>
      <c r="J35" s="344"/>
      <c r="K35" s="344"/>
      <c r="L35" s="344"/>
      <c r="M35" s="344"/>
      <c r="N35" s="344"/>
      <c r="O35" s="344"/>
      <c r="P35" s="344"/>
      <c r="Q35" s="344"/>
    </row>
    <row r="36" spans="1:17" ht="15.75" customHeight="1">
      <c r="A36" s="159">
        <v>9</v>
      </c>
      <c r="C36" s="174" t="str">
        <f t="shared" si="1"/>
        <v xml:space="preserve"> </v>
      </c>
      <c r="D36" s="174" t="str">
        <f t="shared" ca="1" si="0"/>
        <v xml:space="preserve"> </v>
      </c>
      <c r="E36" s="214" t="str">
        <f>IF(A36&lt;$A$9,DAT!$AY$16," ")</f>
        <v xml:space="preserve"> </v>
      </c>
      <c r="F36" s="174" t="str">
        <f>IF(A36&lt;$A$9,MAT!BH168," ")</f>
        <v xml:space="preserve"> </v>
      </c>
      <c r="G36" s="174" t="str">
        <f>IF(A36&lt;$A$9,MAT!AY167," ")</f>
        <v xml:space="preserve"> </v>
      </c>
      <c r="H36" s="174" t="str">
        <f>IF(A36&lt;$A$9,MAT!AZ167," ")</f>
        <v xml:space="preserve"> </v>
      </c>
      <c r="I36" s="344"/>
      <c r="J36" s="344"/>
      <c r="K36" s="344"/>
      <c r="L36" s="344"/>
      <c r="M36" s="344"/>
      <c r="N36" s="344"/>
      <c r="O36" s="344"/>
      <c r="P36" s="344"/>
      <c r="Q36" s="344"/>
    </row>
    <row r="37" spans="1:17" ht="15.75" customHeight="1">
      <c r="A37" s="159">
        <v>10</v>
      </c>
      <c r="C37" s="174" t="str">
        <f t="shared" si="1"/>
        <v xml:space="preserve"> </v>
      </c>
      <c r="D37" s="174" t="str">
        <f t="shared" ca="1" si="0"/>
        <v xml:space="preserve"> </v>
      </c>
      <c r="E37" s="214" t="str">
        <f>IF(A37&lt;$A$9,DAT!$AY$16," ")</f>
        <v xml:space="preserve"> </v>
      </c>
      <c r="F37" s="174" t="str">
        <f>IF(A37&lt;$A$9,MAT!BH169," ")</f>
        <v xml:space="preserve"> </v>
      </c>
      <c r="G37" s="174" t="str">
        <f>IF(A37&lt;$A$9,MAT!AY168," ")</f>
        <v xml:space="preserve"> </v>
      </c>
      <c r="H37" s="174" t="str">
        <f>IF(A37&lt;$A$9,MAT!AZ168," ")</f>
        <v xml:space="preserve"> </v>
      </c>
      <c r="I37" s="1683" t="s">
        <v>264</v>
      </c>
      <c r="J37" s="1683"/>
      <c r="K37" s="1683"/>
      <c r="L37" s="1683"/>
      <c r="M37" s="1683"/>
      <c r="N37" s="344"/>
      <c r="O37" s="344"/>
      <c r="P37" s="344"/>
      <c r="Q37" s="344"/>
    </row>
    <row r="38" spans="1:17" ht="15.75" customHeight="1">
      <c r="A38" s="159">
        <v>11</v>
      </c>
      <c r="C38" s="174" t="str">
        <f t="shared" si="1"/>
        <v xml:space="preserve"> </v>
      </c>
      <c r="D38" s="174" t="str">
        <f t="shared" ca="1" si="0"/>
        <v xml:space="preserve"> </v>
      </c>
      <c r="E38" s="214" t="str">
        <f>IF(A38&lt;$A$9,DAT!$AY$16," ")</f>
        <v xml:space="preserve"> </v>
      </c>
      <c r="F38" s="174" t="str">
        <f>IF(A38&lt;$A$9,MAT!BH170," ")</f>
        <v xml:space="preserve"> </v>
      </c>
      <c r="G38" s="174" t="str">
        <f>IF(A38&lt;$A$9,MAT!AY169," ")</f>
        <v xml:space="preserve"> </v>
      </c>
      <c r="H38" s="174" t="str">
        <f>IF(A38&lt;$A$9,MAT!AZ169," ")</f>
        <v xml:space="preserve"> </v>
      </c>
      <c r="I38" s="180"/>
      <c r="J38" s="108" t="s">
        <v>210</v>
      </c>
      <c r="K38" s="1686">
        <f>SUM(E27:E51)</f>
        <v>241800</v>
      </c>
      <c r="L38" s="1686"/>
      <c r="M38" s="1686"/>
      <c r="N38" s="344"/>
      <c r="O38" s="344"/>
      <c r="P38" s="344"/>
      <c r="Q38" s="344"/>
    </row>
    <row r="39" spans="1:17" ht="15.75" customHeight="1">
      <c r="A39" s="159">
        <v>12</v>
      </c>
      <c r="C39" s="174" t="str">
        <f t="shared" si="1"/>
        <v xml:space="preserve"> </v>
      </c>
      <c r="D39" s="174" t="str">
        <f t="shared" ca="1" si="0"/>
        <v xml:space="preserve"> </v>
      </c>
      <c r="E39" s="214" t="str">
        <f>IF(A39&lt;$A$9,DAT!$AY$16," ")</f>
        <v xml:space="preserve"> </v>
      </c>
      <c r="F39" s="174" t="str">
        <f>IF(A39&lt;$A$9,MAT!BH171," ")</f>
        <v xml:space="preserve"> </v>
      </c>
      <c r="G39" s="174" t="str">
        <f>IF(A39&lt;$A$9,MAT!AY170," ")</f>
        <v xml:space="preserve"> </v>
      </c>
      <c r="H39" s="174" t="str">
        <f>IF(A39&lt;$A$9,MAT!AZ170," ")</f>
        <v xml:space="preserve"> </v>
      </c>
      <c r="I39" s="1683" t="s">
        <v>263</v>
      </c>
      <c r="J39" s="1683"/>
      <c r="K39" s="1683"/>
      <c r="L39" s="1683"/>
      <c r="M39" s="1683"/>
      <c r="N39" s="174"/>
      <c r="O39" s="174"/>
      <c r="P39" s="174"/>
      <c r="Q39" s="174"/>
    </row>
    <row r="40" spans="1:17" ht="15.75" customHeight="1">
      <c r="A40" s="159">
        <v>13</v>
      </c>
      <c r="C40" s="174" t="str">
        <f t="shared" si="1"/>
        <v xml:space="preserve"> </v>
      </c>
      <c r="D40" s="174" t="str">
        <f t="shared" ca="1" si="0"/>
        <v xml:space="preserve"> </v>
      </c>
      <c r="E40" s="214" t="str">
        <f>IF(A40&lt;$A$9,DAT!$AY$16," ")</f>
        <v xml:space="preserve"> </v>
      </c>
      <c r="F40" s="174" t="str">
        <f>IF(A40&lt;$A$9,MAT!BH172," ")</f>
        <v xml:space="preserve"> </v>
      </c>
      <c r="G40" s="174" t="str">
        <f>IF(A40&lt;$A$9,MAT!AY171," ")</f>
        <v xml:space="preserve"> </v>
      </c>
      <c r="H40" s="174" t="str">
        <f>IF(A40&lt;$A$9,MAT!AZ171," ")</f>
        <v xml:space="preserve"> </v>
      </c>
      <c r="I40" s="180"/>
      <c r="J40" s="179" t="s">
        <v>210</v>
      </c>
      <c r="K40" s="1686" t="e">
        <f>I57+E54+E55+E56</f>
        <v>#N/A</v>
      </c>
      <c r="L40" s="1686"/>
      <c r="M40" s="1686"/>
      <c r="N40" s="174"/>
      <c r="O40" s="174"/>
      <c r="P40" s="174"/>
      <c r="Q40" s="174"/>
    </row>
    <row r="41" spans="1:17" ht="15.75" customHeight="1">
      <c r="A41" s="159">
        <v>14</v>
      </c>
      <c r="C41" s="174" t="str">
        <f t="shared" si="1"/>
        <v xml:space="preserve"> </v>
      </c>
      <c r="D41" s="174" t="str">
        <f t="shared" ca="1" si="0"/>
        <v xml:space="preserve"> </v>
      </c>
      <c r="E41" s="214" t="str">
        <f>IF(A41&lt;$A$9,DAT!$AY$16," ")</f>
        <v xml:space="preserve"> </v>
      </c>
      <c r="F41" s="174" t="str">
        <f>IF(A41&lt;$A$9,MAT!BH173," ")</f>
        <v xml:space="preserve"> </v>
      </c>
      <c r="G41" s="174" t="str">
        <f>IF(A41&lt;$A$9,MAT!AY172," ")</f>
        <v xml:space="preserve"> </v>
      </c>
      <c r="H41" s="174" t="str">
        <f>IF(A41&lt;$A$9,MAT!AZ172," ")</f>
        <v xml:space="preserve"> </v>
      </c>
      <c r="I41" s="1685" t="s">
        <v>262</v>
      </c>
      <c r="J41" s="1685"/>
      <c r="K41" s="1685"/>
      <c r="L41" s="1685"/>
      <c r="M41" s="1685"/>
      <c r="N41" s="174"/>
      <c r="O41" s="174"/>
      <c r="P41" s="174"/>
      <c r="Q41" s="174"/>
    </row>
    <row r="42" spans="1:17" ht="15.75" customHeight="1">
      <c r="A42" s="159">
        <v>15</v>
      </c>
      <c r="C42" s="174" t="str">
        <f t="shared" si="1"/>
        <v xml:space="preserve"> </v>
      </c>
      <c r="D42" s="174" t="str">
        <f t="shared" ca="1" si="0"/>
        <v xml:space="preserve"> </v>
      </c>
      <c r="E42" s="214" t="str">
        <f>IF(A42&lt;$A$9,DAT!$AY$16," ")</f>
        <v xml:space="preserve"> </v>
      </c>
      <c r="F42" s="174" t="str">
        <f>IF(A42&lt;$A$9,MAT!BH174," ")</f>
        <v xml:space="preserve"> </v>
      </c>
      <c r="G42" s="174" t="str">
        <f>IF(A42&lt;$A$9,MAT!AY173," ")</f>
        <v xml:space="preserve"> </v>
      </c>
      <c r="H42" s="174" t="str">
        <f>IF(A42&lt;$A$9,MAT!AZ173," ")</f>
        <v xml:space="preserve"> </v>
      </c>
      <c r="I42" s="106"/>
      <c r="J42" s="178" t="s">
        <v>210</v>
      </c>
      <c r="K42" s="1687" t="e">
        <f>K40-K38</f>
        <v>#N/A</v>
      </c>
      <c r="L42" s="1687"/>
      <c r="M42" s="1687"/>
      <c r="N42" s="174"/>
      <c r="O42" s="174"/>
      <c r="P42" s="174"/>
      <c r="Q42" s="174"/>
    </row>
    <row r="43" spans="1:17" ht="15.75" customHeight="1">
      <c r="A43" s="159">
        <v>16</v>
      </c>
      <c r="C43" s="174" t="str">
        <f t="shared" si="1"/>
        <v xml:space="preserve"> </v>
      </c>
      <c r="D43" s="174" t="str">
        <f t="shared" ca="1" si="0"/>
        <v xml:space="preserve"> </v>
      </c>
      <c r="E43" s="214" t="str">
        <f>IF(A43&lt;$A$9,DAT!$AY$16," ")</f>
        <v xml:space="preserve"> </v>
      </c>
      <c r="F43" s="174" t="str">
        <f>IF(A43&lt;$A$9,MAT!BH175," ")</f>
        <v xml:space="preserve"> </v>
      </c>
      <c r="G43" s="174" t="str">
        <f>IF(A43&lt;$A$9,MAT!AY174," ")</f>
        <v xml:space="preserve"> </v>
      </c>
      <c r="H43" s="174" t="str">
        <f>IF(A43&lt;$A$9,MAT!AZ174," ")</f>
        <v xml:space="preserve"> </v>
      </c>
      <c r="I43" s="106"/>
      <c r="J43" s="106"/>
      <c r="K43" s="106"/>
      <c r="L43" s="106"/>
      <c r="M43" s="174"/>
      <c r="N43" s="174"/>
      <c r="O43" s="174"/>
      <c r="P43" s="174"/>
      <c r="Q43" s="174"/>
    </row>
    <row r="44" spans="1:17" ht="15.75" customHeight="1">
      <c r="A44" s="159">
        <v>17</v>
      </c>
      <c r="C44" s="174" t="str">
        <f t="shared" si="1"/>
        <v xml:space="preserve"> </v>
      </c>
      <c r="D44" s="174" t="str">
        <f t="shared" ca="1" si="0"/>
        <v xml:space="preserve"> </v>
      </c>
      <c r="E44" s="214" t="str">
        <f>IF(A44&lt;$A$9,DAT!$AY$16," ")</f>
        <v xml:space="preserve"> </v>
      </c>
      <c r="F44" s="174" t="str">
        <f>IF(A44&lt;$A$9,MAT!BH176," ")</f>
        <v xml:space="preserve"> </v>
      </c>
      <c r="G44" s="174" t="str">
        <f>IF(A44&lt;$A$9,MAT!AY175," ")</f>
        <v xml:space="preserve"> </v>
      </c>
      <c r="H44" s="174" t="str">
        <f>IF(A44&lt;$A$9,MAT!AZ175," ")</f>
        <v xml:space="preserve"> </v>
      </c>
      <c r="I44" s="343"/>
      <c r="J44" s="343"/>
      <c r="K44" s="343"/>
      <c r="L44" s="343"/>
      <c r="M44" s="174"/>
      <c r="N44" s="174"/>
      <c r="O44" s="174"/>
      <c r="P44" s="174"/>
      <c r="Q44" s="174"/>
    </row>
    <row r="45" spans="1:17" ht="15.75" customHeight="1">
      <c r="A45" s="159">
        <v>18</v>
      </c>
      <c r="C45" s="174" t="str">
        <f t="shared" si="1"/>
        <v xml:space="preserve"> </v>
      </c>
      <c r="D45" s="174" t="str">
        <f t="shared" ca="1" si="0"/>
        <v xml:space="preserve"> </v>
      </c>
      <c r="E45" s="214" t="str">
        <f>IF(A45&lt;$A$9,DAT!$AY$16," ")</f>
        <v xml:space="preserve"> </v>
      </c>
      <c r="F45" s="174" t="str">
        <f>IF(A45&lt;$A$9,MAT!BH177," ")</f>
        <v xml:space="preserve"> </v>
      </c>
      <c r="G45" s="174" t="str">
        <f>IF(A45&lt;$A$9,MAT!AY176," ")</f>
        <v xml:space="preserve"> </v>
      </c>
      <c r="H45" s="174" t="str">
        <f>IF(A45&lt;$A$9,MAT!AZ176," ")</f>
        <v xml:space="preserve"> </v>
      </c>
      <c r="I45" s="1383" t="str">
        <f>'VASANTHAM HOME'!E9</f>
        <v>ENTER YOUR NAME</v>
      </c>
      <c r="J45" s="1383"/>
      <c r="K45" s="1383"/>
      <c r="L45" s="1383"/>
      <c r="M45" s="174"/>
      <c r="N45" s="174"/>
      <c r="O45" s="174"/>
      <c r="P45" s="174"/>
      <c r="Q45" s="174"/>
    </row>
    <row r="46" spans="1:17" ht="15.75" customHeight="1">
      <c r="A46" s="159">
        <v>19</v>
      </c>
      <c r="C46" s="174" t="str">
        <f t="shared" si="1"/>
        <v xml:space="preserve"> </v>
      </c>
      <c r="D46" s="174" t="str">
        <f t="shared" ca="1" si="0"/>
        <v xml:space="preserve"> </v>
      </c>
      <c r="E46" s="214" t="str">
        <f>IF(A46&lt;$A$9,DAT!$AY$16," ")</f>
        <v xml:space="preserve"> </v>
      </c>
      <c r="F46" s="174" t="str">
        <f>IF(A46&lt;$A$9,MAT!BH178," ")</f>
        <v xml:space="preserve"> </v>
      </c>
      <c r="G46" s="174" t="str">
        <f>IF(A46&lt;$A$9,MAT!AY177," ")</f>
        <v xml:space="preserve"> </v>
      </c>
      <c r="H46" s="174" t="str">
        <f>IF(A46&lt;$A$9,MAT!AZ177," ")</f>
        <v xml:space="preserve"> </v>
      </c>
      <c r="I46" s="1383" t="str">
        <f>'VASANTHAM HOME'!E10</f>
        <v>DESIGNATION</v>
      </c>
      <c r="J46" s="1383"/>
      <c r="K46" s="1383"/>
      <c r="L46" s="1383"/>
      <c r="M46" s="174"/>
      <c r="N46" s="174"/>
      <c r="O46" s="174"/>
      <c r="P46" s="174"/>
      <c r="Q46" s="174"/>
    </row>
    <row r="47" spans="1:17" ht="15.75" customHeight="1">
      <c r="A47" s="159">
        <v>20</v>
      </c>
      <c r="C47" s="174" t="str">
        <f t="shared" si="1"/>
        <v xml:space="preserve"> </v>
      </c>
      <c r="D47" s="174" t="str">
        <f t="shared" ca="1" si="0"/>
        <v xml:space="preserve"> </v>
      </c>
      <c r="E47" s="214" t="str">
        <f>IF(A47&lt;$A$9,DAT!$AY$16," ")</f>
        <v xml:space="preserve"> </v>
      </c>
      <c r="F47" s="174" t="str">
        <f>IF(A47&lt;$A$9,MAT!BH179," ")</f>
        <v xml:space="preserve"> </v>
      </c>
      <c r="G47" s="174" t="str">
        <f>IF(A47&lt;$A$9,MAT!AY178," ")</f>
        <v xml:space="preserve"> </v>
      </c>
      <c r="H47" s="174" t="str">
        <f>IF(A47&lt;$A$9,MAT!AZ178," ")</f>
        <v xml:space="preserve"> </v>
      </c>
      <c r="I47" s="1383" t="str">
        <f>'VASANTHAM HOME'!E11</f>
        <v>ADDRESS 1</v>
      </c>
      <c r="J47" s="1383"/>
      <c r="K47" s="1383"/>
      <c r="L47" s="1383"/>
      <c r="M47" s="174"/>
      <c r="N47" s="174"/>
      <c r="O47" s="174"/>
      <c r="P47" s="174"/>
      <c r="Q47" s="174"/>
    </row>
    <row r="48" spans="1:17" ht="15.75" customHeight="1">
      <c r="A48" s="159">
        <v>21</v>
      </c>
      <c r="C48" s="174" t="str">
        <f t="shared" si="1"/>
        <v xml:space="preserve"> </v>
      </c>
      <c r="D48" s="174" t="str">
        <f t="shared" ca="1" si="0"/>
        <v xml:space="preserve"> </v>
      </c>
      <c r="E48" s="214" t="str">
        <f>IF(A48&lt;$A$9,DAT!$AY$16," ")</f>
        <v xml:space="preserve"> </v>
      </c>
      <c r="F48" s="174" t="str">
        <f>IF(A48&lt;$A$9,MAT!BH180," ")</f>
        <v xml:space="preserve"> </v>
      </c>
      <c r="G48" s="174" t="str">
        <f>IF(A48&lt;$A$9,MAT!AY179," ")</f>
        <v xml:space="preserve"> </v>
      </c>
      <c r="H48" s="174" t="str">
        <f>IF(A48&lt;$A$9,MAT!AZ179," ")</f>
        <v xml:space="preserve"> </v>
      </c>
      <c r="I48" s="1383" t="str">
        <f>'VASANTHAM HOME'!E12</f>
        <v>ADDRESS 2</v>
      </c>
      <c r="J48" s="1383"/>
      <c r="K48" s="1383"/>
      <c r="L48" s="1383"/>
      <c r="M48" s="174"/>
      <c r="N48" s="174"/>
      <c r="O48" s="174"/>
      <c r="P48" s="174"/>
      <c r="Q48" s="174"/>
    </row>
    <row r="49" spans="1:17" ht="15.75" customHeight="1">
      <c r="A49" s="159">
        <v>22</v>
      </c>
      <c r="C49" s="174" t="str">
        <f t="shared" si="1"/>
        <v xml:space="preserve"> </v>
      </c>
      <c r="D49" s="174" t="str">
        <f t="shared" ca="1" si="0"/>
        <v xml:space="preserve"> </v>
      </c>
      <c r="E49" s="214" t="str">
        <f>IF(A49&lt;$A$9,DAT!$AY$16," ")</f>
        <v xml:space="preserve"> </v>
      </c>
      <c r="F49" s="174" t="str">
        <f>IF(A49&lt;$A$9,MAT!BH181," ")</f>
        <v xml:space="preserve"> </v>
      </c>
      <c r="G49" s="174" t="str">
        <f>IF(A49&lt;$A$9,MAT!AY180," ")</f>
        <v xml:space="preserve"> </v>
      </c>
      <c r="H49" s="174" t="str">
        <f>IF(A49&lt;$A$9,MAT!AZ180," ")</f>
        <v xml:space="preserve"> </v>
      </c>
      <c r="I49" s="1383" t="str">
        <f>'VASANTHAM HOME'!E13</f>
        <v>ADDRESS 3</v>
      </c>
      <c r="J49" s="1383"/>
      <c r="K49" s="1383"/>
      <c r="L49" s="1383"/>
      <c r="M49" s="174"/>
      <c r="N49" s="174"/>
      <c r="O49" s="174"/>
      <c r="P49" s="174"/>
      <c r="Q49" s="174"/>
    </row>
    <row r="50" spans="1:17" ht="15.75" customHeight="1">
      <c r="A50" s="159">
        <v>23</v>
      </c>
      <c r="C50" s="174" t="str">
        <f t="shared" si="1"/>
        <v xml:space="preserve"> </v>
      </c>
      <c r="D50" s="174" t="str">
        <f t="shared" ca="1" si="0"/>
        <v xml:space="preserve"> </v>
      </c>
      <c r="E50" s="214" t="str">
        <f>IF(A50&lt;$A$9,DAT!$AY$16," ")</f>
        <v xml:space="preserve"> </v>
      </c>
      <c r="F50" s="174" t="str">
        <f>IF(A50&lt;$A$9,MAT!BH182," ")</f>
        <v xml:space="preserve"> </v>
      </c>
      <c r="G50" s="174" t="str">
        <f>IF(A50&lt;$A$9,MAT!AY181," ")</f>
        <v xml:space="preserve"> </v>
      </c>
      <c r="H50" s="174" t="str">
        <f>IF(A50&lt;$A$9,MAT!AZ181," ")</f>
        <v xml:space="preserve"> </v>
      </c>
      <c r="I50" s="1383" t="str">
        <f>'VASANTHAM HOME'!E14</f>
        <v>MOBILE NO :</v>
      </c>
      <c r="J50" s="1383"/>
      <c r="K50" s="1383"/>
      <c r="L50" s="1383"/>
      <c r="M50" s="174"/>
      <c r="N50" s="174"/>
      <c r="O50" s="174"/>
      <c r="P50" s="174"/>
      <c r="Q50" s="174"/>
    </row>
    <row r="51" spans="1:17" ht="15.75" customHeight="1">
      <c r="A51" s="159">
        <v>24</v>
      </c>
      <c r="C51" s="174" t="str">
        <f t="shared" si="1"/>
        <v xml:space="preserve"> </v>
      </c>
      <c r="D51" s="174" t="str">
        <f t="shared" ca="1" si="0"/>
        <v xml:space="preserve"> </v>
      </c>
      <c r="E51" s="214" t="str">
        <f>IF(A51&lt;$A$9,DAT!$AY$16," ")</f>
        <v xml:space="preserve"> </v>
      </c>
      <c r="F51" s="174" t="str">
        <f>IF(A51&lt;$A$9,MAT!BH183," ")</f>
        <v xml:space="preserve"> </v>
      </c>
      <c r="G51" s="174" t="str">
        <f>IF(A51&lt;$A$9,MAT!AY182," ")</f>
        <v xml:space="preserve"> </v>
      </c>
      <c r="H51" s="174" t="str">
        <f>IF(A51&lt;$A$9,MAT!AZ182," ")</f>
        <v xml:space="preserve"> </v>
      </c>
      <c r="I51" s="1383" t="str">
        <f>'VASANTHAM HOME'!E15</f>
        <v>E.MAIL ID :</v>
      </c>
      <c r="J51" s="1383"/>
      <c r="K51" s="1383"/>
      <c r="L51" s="1383"/>
      <c r="M51" s="174"/>
      <c r="N51" s="174"/>
      <c r="O51" s="174"/>
      <c r="P51" s="174"/>
      <c r="Q51" s="174"/>
    </row>
    <row r="52" spans="1:17" ht="16.7" customHeight="1" thickBot="1">
      <c r="C52" s="2130" t="s">
        <v>367</v>
      </c>
      <c r="D52" s="2130"/>
      <c r="E52" s="2130"/>
      <c r="F52" s="2130"/>
      <c r="G52" s="2130"/>
      <c r="H52" s="2130"/>
      <c r="I52" s="2130"/>
      <c r="N52" s="341"/>
      <c r="O52" s="341"/>
    </row>
    <row r="53" spans="1:17" ht="16.7" customHeight="1" thickTop="1" thickBot="1">
      <c r="B53" s="332"/>
      <c r="C53" s="2128" t="s">
        <v>366</v>
      </c>
      <c r="D53" s="2129"/>
      <c r="E53" s="340" t="s">
        <v>210</v>
      </c>
      <c r="F53" s="334"/>
      <c r="G53" s="2146" t="s">
        <v>365</v>
      </c>
      <c r="H53" s="2147"/>
      <c r="I53" s="342" t="str">
        <f ca="1">(((DAY(NOW())&amp;"/")&amp;MONTH(NOW()))&amp;"/")&amp;((YEAR(NOW())))+A9</f>
        <v>9/5/2013</v>
      </c>
      <c r="J53" s="2142" t="str">
        <f>IF(Main!L13="YES","EFFECTIVE  YIELD  -                  IRR","INSURING                                    LIVES")</f>
        <v>INSURING                                    LIVES</v>
      </c>
      <c r="K53" s="2143"/>
      <c r="L53" s="2143"/>
      <c r="M53" s="2143"/>
      <c r="N53" s="341"/>
      <c r="O53" s="341"/>
      <c r="P53" s="810"/>
      <c r="Q53" s="334"/>
    </row>
    <row r="54" spans="1:17" ht="16.7" customHeight="1" thickTop="1">
      <c r="B54" s="332"/>
      <c r="C54" s="340">
        <v>18</v>
      </c>
      <c r="D54" s="340" t="str">
        <f ca="1">(((DAY(NOW())&amp;"/")&amp;MONTH(NOW()))&amp;"/")&amp;((YEAR(NOW())))+A9-7</f>
        <v>9/5/2006</v>
      </c>
      <c r="E54" s="340">
        <f>Main!E10*20%</f>
        <v>500000</v>
      </c>
      <c r="F54" s="334"/>
      <c r="G54" s="2139" t="s">
        <v>241</v>
      </c>
      <c r="H54" s="2140"/>
      <c r="I54" s="339">
        <f>Main!E10*40%</f>
        <v>1000000</v>
      </c>
      <c r="J54" s="2142"/>
      <c r="K54" s="2143"/>
      <c r="L54" s="2143"/>
      <c r="M54" s="2143"/>
      <c r="N54" s="336"/>
      <c r="O54" s="336"/>
      <c r="P54" s="810"/>
      <c r="Q54" s="334"/>
    </row>
    <row r="55" spans="1:17" ht="16.7" customHeight="1">
      <c r="B55" s="332"/>
      <c r="C55" s="338">
        <v>20</v>
      </c>
      <c r="D55" s="338" t="str">
        <f ca="1">(((DAY(NOW())&amp;"/")&amp;MONTH(NOW()))&amp;"/")&amp;((YEAR(NOW())))+A9-5</f>
        <v>9/5/2008</v>
      </c>
      <c r="E55" s="338">
        <f>Main!E10*20%</f>
        <v>500000</v>
      </c>
      <c r="F55" s="810"/>
      <c r="G55" s="2139" t="s">
        <v>310</v>
      </c>
      <c r="H55" s="2140"/>
      <c r="I55" s="337" t="e">
        <f>MAT!AQ158</f>
        <v>#N/A</v>
      </c>
      <c r="J55" s="2144" t="str">
        <f>IF(Main!L13="YES",MAT!BT191,"ENSURING              SMILES")</f>
        <v>ENSURING              SMILES</v>
      </c>
      <c r="K55" s="2145"/>
      <c r="L55" s="2145"/>
      <c r="M55" s="2145"/>
      <c r="N55" s="336"/>
      <c r="O55" s="336"/>
      <c r="P55" s="810"/>
      <c r="Q55" s="334"/>
    </row>
    <row r="56" spans="1:17" ht="17.25" customHeight="1" thickBot="1">
      <c r="B56" s="332"/>
      <c r="C56" s="335">
        <v>22</v>
      </c>
      <c r="D56" s="335" t="str">
        <f ca="1">(((DAY(NOW())&amp;"/")&amp;MONTH(NOW()))&amp;"/")&amp;((YEAR(NOW())))+A9-3</f>
        <v>9/5/2010</v>
      </c>
      <c r="E56" s="335">
        <f>Main!E10*20%</f>
        <v>500000</v>
      </c>
      <c r="F56" s="334"/>
      <c r="G56" s="2137" t="s">
        <v>364</v>
      </c>
      <c r="H56" s="2138"/>
      <c r="I56" s="333" t="e">
        <f>MAT!BF159</f>
        <v>#N/A</v>
      </c>
      <c r="J56" s="2144"/>
      <c r="K56" s="2145"/>
      <c r="L56" s="2145"/>
      <c r="M56" s="2145"/>
      <c r="N56" s="810"/>
      <c r="O56" s="810"/>
      <c r="P56" s="810"/>
      <c r="Q56" s="334"/>
    </row>
    <row r="57" spans="1:17" ht="15" customHeight="1" thickTop="1" thickBot="1">
      <c r="C57" s="2134" t="s">
        <v>277</v>
      </c>
      <c r="D57" s="2134"/>
      <c r="G57" s="2135" t="s">
        <v>309</v>
      </c>
      <c r="H57" s="2136"/>
      <c r="I57" s="333" t="e">
        <f>MAT!AK166</f>
        <v>#N/A</v>
      </c>
    </row>
    <row r="58" spans="1:17" ht="15" customHeight="1" thickTop="1">
      <c r="B58" s="332">
        <v>1</v>
      </c>
      <c r="C58" s="2141" t="s">
        <v>2140</v>
      </c>
      <c r="D58" s="2141"/>
      <c r="E58" s="2141"/>
      <c r="F58" s="2141"/>
      <c r="G58" s="2141"/>
      <c r="H58" s="2141"/>
      <c r="I58" s="2141"/>
      <c r="J58" s="2141"/>
      <c r="K58" s="2141"/>
      <c r="L58" s="2141"/>
      <c r="M58" s="2141"/>
    </row>
    <row r="59" spans="1:17" ht="20.25" customHeight="1">
      <c r="B59" s="332">
        <v>2</v>
      </c>
      <c r="C59" s="2133" t="s">
        <v>276</v>
      </c>
      <c r="D59" s="2133"/>
      <c r="E59" s="2133"/>
      <c r="F59" s="2133"/>
      <c r="G59" s="2133"/>
      <c r="H59" s="2133"/>
      <c r="I59" s="2133"/>
      <c r="J59" s="2133"/>
      <c r="K59" s="2133"/>
      <c r="L59" s="2133"/>
    </row>
    <row r="60" spans="1:17" ht="18.75" hidden="1"/>
    <row r="61" spans="1:17" ht="18.75" customHeight="1"/>
    <row r="62" spans="1:17" ht="18.75" hidden="1" customHeight="1"/>
    <row r="63" spans="1:17" ht="18.75" hidden="1" customHeight="1"/>
    <row r="64" spans="1:17" ht="18.75" hidden="1" customHeight="1"/>
    <row r="65" ht="18.75" hidden="1" customHeight="1"/>
    <row r="66" ht="18.75" hidden="1" customHeight="1"/>
    <row r="67" ht="18.75" hidden="1" customHeight="1"/>
    <row r="68" ht="18.75" hidden="1" customHeight="1"/>
    <row r="69" ht="18.75" hidden="1" customHeight="1"/>
    <row r="70" ht="18.75" hidden="1" customHeight="1"/>
    <row r="71" ht="18.75" hidden="1" customHeight="1"/>
    <row r="72" ht="18.75" hidden="1" customHeight="1"/>
    <row r="73" ht="18.75" hidden="1" customHeight="1"/>
    <row r="74" ht="18.75" hidden="1" customHeight="1"/>
    <row r="75" ht="18.75" hidden="1" customHeight="1"/>
    <row r="76" ht="18.75" hidden="1" customHeight="1"/>
    <row r="77" ht="18.75" hidden="1" customHeight="1"/>
    <row r="78" ht="18.75" hidden="1" customHeight="1"/>
    <row r="79" ht="18.75" hidden="1" customHeight="1"/>
    <row r="80" ht="18.75" hidden="1" customHeight="1"/>
    <row r="81" ht="18.75" hidden="1" customHeight="1"/>
    <row r="82" ht="18.75" hidden="1" customHeight="1"/>
    <row r="83" ht="18.75" hidden="1" customHeight="1"/>
    <row r="84" ht="18.75" hidden="1" customHeight="1"/>
    <row r="85" ht="18.75" hidden="1" customHeight="1"/>
    <row r="86" ht="18.75" hidden="1" customHeight="1"/>
    <row r="87" ht="18.75" hidden="1" customHeight="1"/>
    <row r="88" ht="18.75" hidden="1" customHeight="1"/>
    <row r="89" ht="18.75" hidden="1" customHeight="1"/>
    <row r="90" ht="18.75" hidden="1" customHeight="1"/>
    <row r="91" ht="18.75" hidden="1" customHeight="1"/>
    <row r="92" ht="18.75" hidden="1" customHeight="1"/>
    <row r="93" ht="18.75" hidden="1" customHeight="1"/>
    <row r="94" ht="18.75" hidden="1" customHeight="1"/>
    <row r="95" ht="18.75" hidden="1" customHeight="1"/>
    <row r="96" ht="18.75" hidden="1" customHeight="1"/>
    <row r="97" ht="18.75" hidden="1" customHeight="1"/>
    <row r="98" ht="18.75" hidden="1" customHeight="1"/>
    <row r="99" ht="18.75" hidden="1" customHeight="1"/>
    <row r="100" ht="18.75" hidden="1" customHeight="1"/>
    <row r="101" ht="18.75" hidden="1" customHeight="1"/>
    <row r="102" ht="18.75" hidden="1" customHeight="1"/>
    <row r="103" ht="18.75" hidden="1" customHeight="1"/>
    <row r="104" ht="18.75" hidden="1" customHeight="1"/>
    <row r="105" ht="18.75" hidden="1" customHeight="1"/>
    <row r="106" ht="18.75" hidden="1" customHeight="1"/>
    <row r="107" ht="18.75" hidden="1" customHeight="1"/>
    <row r="108" ht="18.75" hidden="1" customHeight="1"/>
    <row r="109" ht="18.75" hidden="1" customHeight="1"/>
    <row r="110" ht="18.75" hidden="1" customHeight="1"/>
    <row r="111" ht="18.75" hidden="1" customHeight="1"/>
    <row r="112" ht="18.75" hidden="1" customHeight="1"/>
    <row r="113" ht="18.75" hidden="1" customHeight="1"/>
    <row r="114" ht="18.75" hidden="1" customHeight="1"/>
    <row r="115" ht="18.75" hidden="1" customHeight="1"/>
    <row r="116" ht="18.75" hidden="1" customHeight="1"/>
    <row r="117" ht="18.75" hidden="1" customHeight="1"/>
    <row r="118" ht="18.75" hidden="1" customHeight="1"/>
    <row r="119" ht="18.75" hidden="1" customHeight="1"/>
    <row r="120" ht="18.75" hidden="1" customHeight="1"/>
    <row r="121" ht="18.75" hidden="1" customHeight="1"/>
    <row r="122" ht="18.75" hidden="1" customHeight="1"/>
    <row r="123" ht="18.75" hidden="1" customHeight="1"/>
    <row r="124" ht="18.75" hidden="1" customHeight="1"/>
    <row r="125" ht="18.75" hidden="1" customHeight="1"/>
    <row r="126" ht="18.75" hidden="1" customHeight="1"/>
    <row r="127" ht="18.75" hidden="1" customHeight="1"/>
    <row r="128" ht="18.75" hidden="1" customHeight="1"/>
    <row r="129" ht="18.75" hidden="1" customHeight="1"/>
  </sheetData>
  <mergeCells count="60">
    <mergeCell ref="J12:J15"/>
    <mergeCell ref="C13:D14"/>
    <mergeCell ref="E13:E14"/>
    <mergeCell ref="F13:F14"/>
    <mergeCell ref="F23:J24"/>
    <mergeCell ref="E15:F15"/>
    <mergeCell ref="E16:F16"/>
    <mergeCell ref="F21:J22"/>
    <mergeCell ref="K42:M42"/>
    <mergeCell ref="I41:M41"/>
    <mergeCell ref="I48:L48"/>
    <mergeCell ref="F25:F26"/>
    <mergeCell ref="D25:D26"/>
    <mergeCell ref="G25:G26"/>
    <mergeCell ref="K38:M38"/>
    <mergeCell ref="I37:M37"/>
    <mergeCell ref="I39:M39"/>
    <mergeCell ref="K40:M40"/>
    <mergeCell ref="O7:Q8"/>
    <mergeCell ref="O14:Q15"/>
    <mergeCell ref="O9:R10"/>
    <mergeCell ref="O16:R17"/>
    <mergeCell ref="J25:J26"/>
    <mergeCell ref="F19:J20"/>
    <mergeCell ref="F17:J18"/>
    <mergeCell ref="I25:I26"/>
    <mergeCell ref="C6:G8"/>
    <mergeCell ref="C12:D12"/>
    <mergeCell ref="H13:H14"/>
    <mergeCell ref="C10:G10"/>
    <mergeCell ref="G13:G14"/>
    <mergeCell ref="J7:M7"/>
    <mergeCell ref="J9:M9"/>
    <mergeCell ref="J10:M10"/>
    <mergeCell ref="C59:L59"/>
    <mergeCell ref="C57:D57"/>
    <mergeCell ref="G57:H57"/>
    <mergeCell ref="G56:H56"/>
    <mergeCell ref="G54:H54"/>
    <mergeCell ref="G55:H55"/>
    <mergeCell ref="C58:M58"/>
    <mergeCell ref="J53:M54"/>
    <mergeCell ref="J55:M56"/>
    <mergeCell ref="G53:H53"/>
    <mergeCell ref="C25:C26"/>
    <mergeCell ref="C9:G9"/>
    <mergeCell ref="J5:M5"/>
    <mergeCell ref="C53:D53"/>
    <mergeCell ref="C52:I52"/>
    <mergeCell ref="E25:E26"/>
    <mergeCell ref="H25:H26"/>
    <mergeCell ref="J8:M8"/>
    <mergeCell ref="I46:L46"/>
    <mergeCell ref="I45:L45"/>
    <mergeCell ref="J6:M6"/>
    <mergeCell ref="H7:I9"/>
    <mergeCell ref="I49:L49"/>
    <mergeCell ref="I47:L47"/>
    <mergeCell ref="I51:L51"/>
    <mergeCell ref="I50:L50"/>
  </mergeCells>
  <hyperlinks>
    <hyperlink ref="O16:R17" location="Main!A1" display="CLICK HERE"/>
    <hyperlink ref="O9:R10" location="'VASANTHAM HOME'!A1" display="CLICK HERE"/>
  </hyperlinks>
  <pageMargins left="0.62986111111111109" right="0.2361111111111111" top="0.74791666666666667" bottom="0.74791666666666667" header="0.51180555555555551" footer="0.51180555555555551"/>
  <pageSetup paperSize="9" scale="80" firstPageNumber="0" orientation="portrait" horizontalDpi="300" verticalDpi="300" r:id="rId1"/>
  <headerFooter alignWithMargins="0">
    <oddFooter>&amp;C&amp;K02-049VASANTHAM SMART</oddFooter>
  </headerFooter>
  <drawing r:id="rId2"/>
</worksheet>
</file>

<file path=xl/worksheets/sheet21.xml><?xml version="1.0" encoding="utf-8"?>
<worksheet xmlns="http://schemas.openxmlformats.org/spreadsheetml/2006/main" xmlns:r="http://schemas.openxmlformats.org/officeDocument/2006/relationships">
  <sheetPr codeName="Sheet30">
    <outlinePr showOutlineSymbols="0"/>
  </sheetPr>
  <dimension ref="A1:T123"/>
  <sheetViews>
    <sheetView showGridLines="0" showRowColHeaders="0" tabSelected="1" showOutlineSymbols="0" showWhiteSpace="0" zoomScale="82" zoomScaleNormal="82" workbookViewId="0">
      <selection activeCell="O25" sqref="O25"/>
    </sheetView>
  </sheetViews>
  <sheetFormatPr defaultColWidth="0" defaultRowHeight="0" customHeight="1" zeroHeight="1"/>
  <cols>
    <col min="1" max="1" width="0.375" style="150" customWidth="1"/>
    <col min="2" max="2" width="4" style="150" customWidth="1"/>
    <col min="3" max="3" width="4.625" style="150" customWidth="1"/>
    <col min="4" max="5" width="12.625" style="150" customWidth="1"/>
    <col min="6" max="6" width="14.5" style="150" customWidth="1"/>
    <col min="7" max="7" width="13" style="150" customWidth="1"/>
    <col min="8" max="8" width="12.375" style="150" customWidth="1"/>
    <col min="9" max="9" width="11.875" style="150" customWidth="1"/>
    <col min="10" max="10" width="6.5" style="150" customWidth="1"/>
    <col min="11" max="11" width="10.5" style="150" customWidth="1"/>
    <col min="12" max="12" width="7.5" style="150" customWidth="1"/>
    <col min="13" max="16" width="7" style="150" customWidth="1"/>
    <col min="17" max="17" width="16.375" style="150" customWidth="1"/>
    <col min="18" max="16384" width="0" style="150" hidden="1"/>
  </cols>
  <sheetData>
    <row r="1" spans="1:20" ht="15.75" customHeight="1"/>
    <row r="2" spans="1:20" ht="15.75" customHeight="1"/>
    <row r="3" spans="1:20" ht="15.75" customHeight="1">
      <c r="A3" s="227"/>
      <c r="I3" s="226"/>
      <c r="J3" s="226"/>
      <c r="K3" s="1637">
        <f ca="1">TODAY()</f>
        <v>43229</v>
      </c>
      <c r="L3" s="1637"/>
      <c r="M3" s="755"/>
      <c r="N3" s="755"/>
      <c r="O3" s="755"/>
      <c r="P3" s="755"/>
      <c r="Q3" s="225"/>
    </row>
    <row r="4" spans="1:20" ht="15.75" customHeight="1">
      <c r="J4" s="2165" t="s">
        <v>307</v>
      </c>
      <c r="K4" s="2165"/>
      <c r="L4" s="2165"/>
      <c r="M4" s="2165"/>
      <c r="N4" s="818"/>
      <c r="O4" s="818"/>
      <c r="P4" s="818"/>
    </row>
    <row r="5" spans="1:20" ht="15.75" customHeight="1">
      <c r="A5" s="214"/>
      <c r="H5" s="224"/>
      <c r="I5" s="223"/>
      <c r="J5" s="2166" t="s">
        <v>306</v>
      </c>
      <c r="K5" s="2166"/>
      <c r="L5" s="2166"/>
      <c r="M5" s="2166"/>
      <c r="N5" s="819"/>
      <c r="O5" s="819"/>
      <c r="P5" s="819"/>
    </row>
    <row r="6" spans="1:20" ht="15.75" customHeight="1">
      <c r="A6" s="214"/>
      <c r="D6" s="2167" t="s">
        <v>305</v>
      </c>
      <c r="E6" s="2168"/>
      <c r="F6" s="2168"/>
      <c r="G6" s="2168"/>
      <c r="H6" s="2170" t="s">
        <v>304</v>
      </c>
      <c r="I6" s="2170"/>
      <c r="J6" s="2171" t="str">
        <f>CONCATENATE("AGE  :  ",(Main!E9),  " ", " "," ",       "YEARS")</f>
        <v>AGE  :  30   YEARS</v>
      </c>
      <c r="K6" s="2171"/>
      <c r="L6" s="2171"/>
      <c r="M6" s="2171"/>
      <c r="N6" s="820"/>
      <c r="O6" s="820"/>
      <c r="P6" s="820"/>
      <c r="T6" s="222"/>
    </row>
    <row r="7" spans="1:20" ht="15.75" customHeight="1" thickBot="1">
      <c r="A7" s="214"/>
      <c r="B7" s="221"/>
      <c r="C7" s="220"/>
      <c r="D7" s="2169"/>
      <c r="E7" s="2169"/>
      <c r="F7" s="2169"/>
      <c r="G7" s="2169"/>
      <c r="H7" s="2170"/>
      <c r="I7" s="2170"/>
      <c r="J7" s="2172" t="str">
        <f>CONCATENATE("TERM  :  ",(A10),  " ", " "," ",       "YEARS")</f>
        <v>TERM  :  25   YEARS</v>
      </c>
      <c r="K7" s="2172"/>
      <c r="L7" s="2172"/>
      <c r="M7" s="2172"/>
      <c r="N7" s="821"/>
      <c r="O7" s="821"/>
      <c r="P7" s="821"/>
      <c r="Q7" s="219"/>
      <c r="T7" s="150" t="s">
        <v>303</v>
      </c>
    </row>
    <row r="8" spans="1:20" ht="15.75" customHeight="1" thickTop="1">
      <c r="A8" s="218"/>
      <c r="B8" s="217"/>
      <c r="C8" s="2173" t="s">
        <v>302</v>
      </c>
      <c r="D8" s="2173"/>
      <c r="E8" s="2173"/>
      <c r="F8" s="2173"/>
      <c r="G8" s="2173"/>
      <c r="H8" s="2170"/>
      <c r="I8" s="2170"/>
      <c r="J8" s="2106" t="str">
        <f>CONCATENATE("P.P.TERM  :  ",(A9),  " ", " "," ",       "YEARS")</f>
        <v>P.P.TERM  :  22   YEARS</v>
      </c>
      <c r="K8" s="2106"/>
      <c r="L8" s="2106"/>
      <c r="M8" s="2106"/>
      <c r="N8" s="807"/>
      <c r="O8" s="1598" t="s">
        <v>232</v>
      </c>
      <c r="P8" s="1598"/>
      <c r="Q8" s="1598"/>
      <c r="T8" s="150" t="s">
        <v>301</v>
      </c>
    </row>
    <row r="9" spans="1:20" ht="15.75" customHeight="1">
      <c r="A9" s="214">
        <f>A10-3</f>
        <v>22</v>
      </c>
      <c r="B9" s="216"/>
      <c r="C9" s="2107" t="str">
        <f>CONCATENATE(Main!E8,(Main!F8))</f>
        <v>Sri.soumil</v>
      </c>
      <c r="D9" s="2107"/>
      <c r="E9" s="2107"/>
      <c r="F9" s="2107"/>
      <c r="G9" s="2107"/>
      <c r="H9" s="2170"/>
      <c r="I9" s="2170"/>
      <c r="J9" s="2174" t="str">
        <f>CONCATENATE("SUM ASSURED", " ",  "Rs.  ",(Main!E10))</f>
        <v>SUM ASSURED Rs.  2500000</v>
      </c>
      <c r="K9" s="2174"/>
      <c r="L9" s="2174"/>
      <c r="M9" s="2174"/>
      <c r="N9" s="215"/>
      <c r="O9" s="1598"/>
      <c r="P9" s="1598"/>
      <c r="Q9" s="1598"/>
    </row>
    <row r="10" spans="1:20" ht="15.75" customHeight="1">
      <c r="A10" s="214">
        <f>Main!E11</f>
        <v>25</v>
      </c>
      <c r="B10" s="191"/>
      <c r="C10" s="213"/>
      <c r="D10" s="213"/>
      <c r="E10" s="213"/>
      <c r="F10" s="213"/>
      <c r="G10" s="213"/>
      <c r="H10" s="212"/>
      <c r="I10" s="211"/>
      <c r="J10" s="2106" t="str">
        <f>IF(Main!L10="YES","TERM RIDER  Rs."," ")</f>
        <v>TERM RIDER  Rs.</v>
      </c>
      <c r="K10" s="2106"/>
      <c r="L10" s="2175">
        <f>IF(Main!L10="YES",(Main!N10)," ")</f>
        <v>0</v>
      </c>
      <c r="M10" s="2175"/>
      <c r="N10" s="812"/>
      <c r="O10" s="1380" t="s">
        <v>226</v>
      </c>
      <c r="P10" s="1381"/>
      <c r="Q10" s="1381"/>
      <c r="R10" s="1381"/>
    </row>
    <row r="11" spans="1:20" ht="17.25" customHeight="1">
      <c r="A11" s="210"/>
      <c r="B11" s="191"/>
      <c r="C11" s="2176" t="s">
        <v>230</v>
      </c>
      <c r="D11" s="2177"/>
      <c r="E11" s="209" t="s">
        <v>196</v>
      </c>
      <c r="F11" s="209" t="s">
        <v>300</v>
      </c>
      <c r="G11" s="209" t="s">
        <v>198</v>
      </c>
      <c r="H11" s="209" t="s">
        <v>299</v>
      </c>
      <c r="I11" s="204"/>
      <c r="J11" s="204"/>
      <c r="K11" s="198"/>
      <c r="L11" s="208"/>
      <c r="M11" s="207"/>
      <c r="N11" s="207"/>
      <c r="O11" s="1380"/>
      <c r="P11" s="1381"/>
      <c r="Q11" s="1381"/>
      <c r="R11" s="1381"/>
    </row>
    <row r="12" spans="1:20" ht="15.75" customHeight="1">
      <c r="C12" s="2186" t="s">
        <v>2117</v>
      </c>
      <c r="D12" s="2187"/>
      <c r="E12" s="2099">
        <f>DAT!AT17</f>
        <v>109096</v>
      </c>
      <c r="F12" s="2099">
        <f>DAT!AU17</f>
        <v>55130</v>
      </c>
      <c r="G12" s="2099">
        <f>DAT!AV17</f>
        <v>27856</v>
      </c>
      <c r="H12" s="2099">
        <f>DAT!AW17</f>
        <v>9285</v>
      </c>
      <c r="I12" s="204"/>
      <c r="J12" s="204"/>
      <c r="K12" s="2190" t="str">
        <f>CONCATENATE("   SAVINGS                     PER DAY"," "," "," "," "," "," "," "," "," "," "," "," "," "," "," "," "," ",," "," ",," "," ",," "," ",," "," ","Rs.  ",(DAT!AZ17)," "," "," ","ONLY")</f>
        <v xml:space="preserve">   SAVINGS                     PER DAY                         Rs.  299   ONLY</v>
      </c>
      <c r="L12" s="2190"/>
      <c r="M12" s="772"/>
      <c r="N12" s="772"/>
      <c r="O12" s="772"/>
      <c r="P12" s="772"/>
      <c r="Q12" s="206"/>
    </row>
    <row r="13" spans="1:20" ht="15.75" customHeight="1">
      <c r="A13" s="191"/>
      <c r="B13" s="165"/>
      <c r="C13" s="2188"/>
      <c r="D13" s="2189"/>
      <c r="E13" s="2100"/>
      <c r="F13" s="2100"/>
      <c r="G13" s="2100"/>
      <c r="H13" s="2100"/>
      <c r="I13" s="204"/>
      <c r="J13" s="204"/>
      <c r="K13" s="2190"/>
      <c r="L13" s="2190"/>
      <c r="M13" s="203"/>
      <c r="N13" s="203"/>
      <c r="O13" s="203"/>
      <c r="P13" s="203"/>
      <c r="Q13" s="203"/>
    </row>
    <row r="14" spans="1:20" ht="15.75" customHeight="1">
      <c r="A14" s="191"/>
      <c r="B14" s="165"/>
      <c r="C14" s="205"/>
      <c r="D14" s="205"/>
      <c r="E14" s="205"/>
      <c r="F14" s="205"/>
      <c r="G14" s="199"/>
      <c r="H14" s="199"/>
      <c r="I14" s="204"/>
      <c r="J14" s="204"/>
      <c r="K14" s="2190"/>
      <c r="L14" s="2190"/>
      <c r="M14" s="203"/>
      <c r="N14" s="203"/>
      <c r="O14" s="203"/>
      <c r="P14" s="203"/>
      <c r="Q14" s="203"/>
    </row>
    <row r="15" spans="1:20" ht="15.75" customHeight="1">
      <c r="A15" s="201"/>
      <c r="B15" s="165"/>
      <c r="C15" s="202"/>
      <c r="D15" s="2191" t="s">
        <v>227</v>
      </c>
      <c r="E15" s="2191"/>
      <c r="F15" s="2191"/>
      <c r="G15" s="199"/>
      <c r="H15" s="199"/>
      <c r="I15" s="198"/>
      <c r="J15" s="197"/>
      <c r="K15" s="2190"/>
      <c r="L15" s="2190"/>
      <c r="M15" s="197"/>
      <c r="N15" s="197"/>
      <c r="O15" s="197"/>
      <c r="P15" s="197"/>
      <c r="Q15" s="197"/>
    </row>
    <row r="16" spans="1:20" ht="15.75" customHeight="1">
      <c r="A16" s="201"/>
      <c r="B16" s="200"/>
      <c r="C16" s="36"/>
      <c r="D16" s="2191"/>
      <c r="E16" s="2191"/>
      <c r="F16" s="2191"/>
      <c r="G16" s="199"/>
      <c r="H16" s="199"/>
      <c r="I16" s="198"/>
      <c r="J16" s="197"/>
      <c r="K16" s="197"/>
      <c r="L16" s="197"/>
      <c r="M16" s="197"/>
      <c r="N16" s="197"/>
      <c r="O16" s="197"/>
      <c r="P16" s="197"/>
      <c r="Q16" s="197"/>
    </row>
    <row r="17" spans="1:18" s="193" customFormat="1" ht="21.75" customHeight="1">
      <c r="A17" s="191"/>
      <c r="B17" s="195"/>
      <c r="C17" s="196"/>
      <c r="D17" s="2161" t="s">
        <v>298</v>
      </c>
      <c r="E17" s="2161"/>
      <c r="F17" s="2161"/>
      <c r="G17" s="2161"/>
      <c r="H17" s="2161"/>
      <c r="I17" s="2161"/>
      <c r="J17" s="2161"/>
      <c r="K17" s="2161"/>
      <c r="L17" s="2161"/>
      <c r="M17" s="2161"/>
      <c r="N17" s="813"/>
      <c r="O17" s="1598" t="s">
        <v>228</v>
      </c>
      <c r="P17" s="1597"/>
      <c r="Q17" s="1597"/>
    </row>
    <row r="18" spans="1:18" s="193" customFormat="1" ht="18" customHeight="1">
      <c r="A18" s="191"/>
      <c r="B18" s="195"/>
      <c r="C18" s="194"/>
      <c r="D18" s="2192" t="s">
        <v>297</v>
      </c>
      <c r="E18" s="2192"/>
      <c r="F18" s="2192"/>
      <c r="G18" s="2192"/>
      <c r="H18" s="2192"/>
      <c r="I18" s="2192"/>
      <c r="J18" s="2192"/>
      <c r="K18" s="2192"/>
      <c r="L18" s="2192"/>
      <c r="M18" s="2192"/>
      <c r="N18" s="814"/>
      <c r="O18" s="1597"/>
      <c r="P18" s="1597"/>
      <c r="Q18" s="1597"/>
    </row>
    <row r="19" spans="1:18" ht="19.5" customHeight="1">
      <c r="A19" s="191"/>
      <c r="B19" s="191"/>
      <c r="C19" s="192"/>
      <c r="D19" s="2161" t="s">
        <v>296</v>
      </c>
      <c r="E19" s="2161"/>
      <c r="F19" s="2161"/>
      <c r="G19" s="2161"/>
      <c r="H19" s="2161"/>
      <c r="I19" s="2161"/>
      <c r="J19" s="2161"/>
      <c r="K19" s="2161"/>
      <c r="L19" s="2161"/>
      <c r="M19" s="2161"/>
      <c r="N19" s="813"/>
      <c r="O19" s="1794" t="s">
        <v>226</v>
      </c>
      <c r="P19" s="1391"/>
      <c r="Q19" s="1391"/>
      <c r="R19" s="1391"/>
    </row>
    <row r="20" spans="1:18" ht="19.5" customHeight="1">
      <c r="A20" s="191"/>
      <c r="B20" s="191"/>
      <c r="C20" s="192"/>
      <c r="D20" s="2161" t="s">
        <v>295</v>
      </c>
      <c r="E20" s="2161"/>
      <c r="F20" s="2161"/>
      <c r="G20" s="2161"/>
      <c r="H20" s="2161"/>
      <c r="I20" s="2161"/>
      <c r="J20" s="2161"/>
      <c r="K20" s="2161"/>
      <c r="L20" s="2161"/>
      <c r="M20" s="2161"/>
      <c r="N20" s="813"/>
      <c r="O20" s="1794"/>
      <c r="P20" s="1391"/>
      <c r="Q20" s="1391"/>
      <c r="R20" s="1391"/>
    </row>
    <row r="21" spans="1:18" ht="15.75" customHeight="1">
      <c r="A21" s="191"/>
      <c r="B21" s="191"/>
      <c r="C21" s="192"/>
      <c r="D21" s="2162" t="s">
        <v>294</v>
      </c>
      <c r="E21" s="2162"/>
      <c r="F21" s="2162"/>
      <c r="G21" s="2162"/>
      <c r="H21" s="2162"/>
      <c r="I21" s="2162"/>
      <c r="J21" s="2162"/>
      <c r="K21" s="188"/>
      <c r="L21" s="188"/>
      <c r="M21" s="190"/>
      <c r="N21" s="190"/>
      <c r="O21" s="190"/>
      <c r="P21" s="190"/>
      <c r="Q21" s="189"/>
    </row>
    <row r="22" spans="1:18" ht="15.75" customHeight="1">
      <c r="A22" s="192"/>
      <c r="B22" s="192"/>
      <c r="C22" s="192"/>
      <c r="D22" s="2163" t="s">
        <v>293</v>
      </c>
      <c r="E22" s="2163"/>
      <c r="F22" s="2163"/>
      <c r="G22" s="2163"/>
      <c r="H22" s="2163"/>
      <c r="I22" s="2163"/>
      <c r="J22" s="2163"/>
      <c r="K22" s="188"/>
      <c r="L22" s="189"/>
      <c r="M22" s="190"/>
      <c r="N22" s="190"/>
      <c r="O22" s="190"/>
      <c r="P22" s="190"/>
      <c r="Q22" s="189"/>
    </row>
    <row r="23" spans="1:18" ht="15.75" customHeight="1">
      <c r="A23" s="191"/>
      <c r="B23" s="191"/>
      <c r="C23" s="191"/>
      <c r="D23" s="2162" t="s">
        <v>292</v>
      </c>
      <c r="E23" s="2162"/>
      <c r="F23" s="2162"/>
      <c r="G23" s="2162"/>
      <c r="H23" s="2162"/>
      <c r="I23" s="2162"/>
      <c r="J23" s="2164"/>
      <c r="K23" s="2164"/>
      <c r="L23" s="2164"/>
      <c r="M23" s="2164"/>
      <c r="N23" s="190"/>
      <c r="O23" s="190"/>
      <c r="P23" s="190"/>
      <c r="Q23" s="189"/>
    </row>
    <row r="24" spans="1:18" ht="15.75" customHeight="1">
      <c r="D24" s="2162" t="s">
        <v>291</v>
      </c>
      <c r="E24" s="2162"/>
      <c r="F24" s="2162"/>
      <c r="G24" s="2162"/>
      <c r="H24" s="2162"/>
      <c r="I24" s="2162"/>
      <c r="J24" s="2164"/>
      <c r="K24" s="2164"/>
      <c r="L24" s="2164"/>
      <c r="M24" s="2164"/>
      <c r="N24" s="165"/>
      <c r="O24" s="165"/>
      <c r="P24" s="165"/>
    </row>
    <row r="25" spans="1:18" ht="22.5" customHeight="1">
      <c r="D25" s="2193" t="s">
        <v>290</v>
      </c>
      <c r="E25" s="2193"/>
      <c r="F25" s="2193"/>
      <c r="G25" s="2193"/>
      <c r="H25" s="2193"/>
      <c r="I25" s="2193"/>
      <c r="J25" s="815"/>
      <c r="K25" s="2194"/>
      <c r="L25" s="2194"/>
      <c r="M25" s="2194"/>
      <c r="N25" s="188"/>
      <c r="O25" s="188"/>
      <c r="P25" s="188"/>
    </row>
    <row r="26" spans="1:18" ht="15.75" customHeight="1">
      <c r="C26" s="1929" t="s">
        <v>17</v>
      </c>
      <c r="D26" s="1998" t="s">
        <v>289</v>
      </c>
      <c r="E26" s="2101" t="s">
        <v>222</v>
      </c>
      <c r="F26" s="2195" t="s">
        <v>288</v>
      </c>
      <c r="G26" s="2196"/>
      <c r="H26" s="2101" t="s">
        <v>287</v>
      </c>
      <c r="I26" s="2101" t="s">
        <v>286</v>
      </c>
      <c r="J26" s="2199"/>
      <c r="K26" s="2199"/>
      <c r="L26" s="2199"/>
      <c r="M26" s="2199"/>
      <c r="N26" s="817"/>
      <c r="O26" s="817"/>
      <c r="P26" s="817"/>
      <c r="Q26" s="186"/>
    </row>
    <row r="27" spans="1:18" ht="17.25" customHeight="1">
      <c r="C27" s="1929"/>
      <c r="D27" s="1998"/>
      <c r="E27" s="2112"/>
      <c r="F27" s="762" t="s">
        <v>217</v>
      </c>
      <c r="G27" s="759" t="s">
        <v>216</v>
      </c>
      <c r="H27" s="2197"/>
      <c r="I27" s="2198"/>
      <c r="J27" s="187"/>
      <c r="K27" s="187"/>
      <c r="L27" s="187"/>
      <c r="M27" s="187"/>
      <c r="N27" s="817"/>
      <c r="O27" s="817"/>
      <c r="P27" s="817"/>
      <c r="Q27" s="186"/>
    </row>
    <row r="28" spans="1:18" ht="15.75" customHeight="1">
      <c r="A28" s="165">
        <v>0</v>
      </c>
      <c r="C28" s="185">
        <f>Main!E9</f>
        <v>30</v>
      </c>
      <c r="D28" s="176" t="str">
        <f t="shared" ref="D28:D52" ca="1" si="0">IF(A28&lt;$A$10,(((DAY(NOW())&amp;"/")&amp;MONTH(NOW()))&amp;"/")&amp;((YEAR(NOW())))+A28," ")</f>
        <v>9/5/2018</v>
      </c>
      <c r="E28" s="185">
        <f>DAT!AT17</f>
        <v>109096</v>
      </c>
      <c r="F28" s="176">
        <f>IF(A28&lt;$A$10,MAT!AH159," ")</f>
        <v>12937500</v>
      </c>
      <c r="G28" s="176">
        <f>IF(A28&lt;$A$10,MAT!AI159," ")</f>
        <v>15437500</v>
      </c>
      <c r="H28" s="175">
        <v>0</v>
      </c>
      <c r="I28" s="184">
        <v>0</v>
      </c>
      <c r="J28" s="2178" t="s">
        <v>285</v>
      </c>
      <c r="K28" s="2179"/>
      <c r="L28" s="2179"/>
      <c r="M28" s="2180"/>
      <c r="N28" s="815"/>
      <c r="O28" s="815"/>
      <c r="P28" s="815"/>
      <c r="Q28" s="177"/>
    </row>
    <row r="29" spans="1:18" ht="15.75" customHeight="1">
      <c r="A29" s="159">
        <v>1</v>
      </c>
      <c r="C29" s="176">
        <f t="shared" ref="C29:C52" si="1">IF(A29&lt;$A$10,$C$28+A29," ")</f>
        <v>31</v>
      </c>
      <c r="D29" s="176" t="str">
        <f t="shared" ca="1" si="0"/>
        <v>9/5/2019</v>
      </c>
      <c r="E29" s="176">
        <f>IF(A29&lt;$A$9,DAT!$AY$17," ")</f>
        <v>106747</v>
      </c>
      <c r="F29" s="176">
        <f>IF(A29&lt;$A$10,MAT!AH160," ")</f>
        <v>12687500</v>
      </c>
      <c r="G29" s="176">
        <f>IF(A29&lt;$A$10,MAT!AI160," ")</f>
        <v>15187500</v>
      </c>
      <c r="H29" s="175">
        <v>0</v>
      </c>
      <c r="I29" s="175">
        <v>0</v>
      </c>
      <c r="J29" s="2181"/>
      <c r="K29" s="2182"/>
      <c r="L29" s="2182"/>
      <c r="M29" s="2183"/>
      <c r="N29" s="816"/>
      <c r="O29" s="816"/>
      <c r="P29" s="816"/>
      <c r="Q29" s="177"/>
    </row>
    <row r="30" spans="1:18" ht="15.75" customHeight="1">
      <c r="A30" s="159">
        <v>2</v>
      </c>
      <c r="C30" s="176">
        <f t="shared" si="1"/>
        <v>32</v>
      </c>
      <c r="D30" s="176" t="str">
        <f t="shared" ca="1" si="0"/>
        <v>9/5/2020</v>
      </c>
      <c r="E30" s="176">
        <f>IF(A30&lt;$A$9,DAT!$AY$17," ")</f>
        <v>106747</v>
      </c>
      <c r="F30" s="176">
        <f>IF(A30&lt;$A$10,MAT!AH161," ")</f>
        <v>12437500</v>
      </c>
      <c r="G30" s="176">
        <f>IF(A30&lt;$A$10,MAT!AI161," ")</f>
        <v>14937500</v>
      </c>
      <c r="H30" s="175">
        <v>0</v>
      </c>
      <c r="I30" s="175">
        <v>0</v>
      </c>
      <c r="J30" s="183" t="s">
        <v>284</v>
      </c>
      <c r="K30" s="2184" t="str">
        <f ca="1">(((DAY(NOW())&amp;"/")&amp;MONTH(NOW()))&amp;"/")&amp;((YEAR(NOW())))+A10</f>
        <v>9/5/2043</v>
      </c>
      <c r="L30" s="2184"/>
      <c r="M30" s="2185"/>
      <c r="N30" s="816"/>
      <c r="O30" s="816"/>
      <c r="P30" s="816"/>
      <c r="Q30" s="177"/>
    </row>
    <row r="31" spans="1:18" ht="15.75" customHeight="1">
      <c r="A31" s="159">
        <v>3</v>
      </c>
      <c r="C31" s="176">
        <f t="shared" si="1"/>
        <v>33</v>
      </c>
      <c r="D31" s="176" t="str">
        <f t="shared" ca="1" si="0"/>
        <v>9/5/2021</v>
      </c>
      <c r="E31" s="176">
        <f>IF(A31&lt;$A$9,DAT!$AY$17," ")</f>
        <v>106747</v>
      </c>
      <c r="F31" s="176">
        <f>IF(A31&lt;$A$10,MAT!AH162," ")</f>
        <v>12187500</v>
      </c>
      <c r="G31" s="176">
        <f>IF(A31&lt;$A$10,MAT!AI162," ")</f>
        <v>14687500</v>
      </c>
      <c r="H31" s="175">
        <f>IF(A31&lt;$A$10,MAT!T161," ")</f>
        <v>147637</v>
      </c>
      <c r="I31" s="175">
        <f>IF(A31&lt;$A$10,MAT!U161," ")</f>
        <v>118100</v>
      </c>
      <c r="J31" s="2201" t="str">
        <f>CONCATENATE("RS."," "," ",(MAT!AC184))</f>
        <v>RS.  6687500</v>
      </c>
      <c r="K31" s="2202"/>
      <c r="L31" s="2202"/>
      <c r="M31" s="2203"/>
      <c r="N31" s="182"/>
      <c r="O31" s="182"/>
      <c r="P31" s="182"/>
      <c r="Q31" s="177"/>
    </row>
    <row r="32" spans="1:18" ht="15.75" customHeight="1">
      <c r="A32" s="159">
        <v>4</v>
      </c>
      <c r="C32" s="176">
        <f t="shared" si="1"/>
        <v>34</v>
      </c>
      <c r="D32" s="176" t="str">
        <f t="shared" ca="1" si="0"/>
        <v>9/5/2022</v>
      </c>
      <c r="E32" s="176">
        <f>IF(A32&lt;$A$9,DAT!$AY$17," ")</f>
        <v>106747</v>
      </c>
      <c r="F32" s="176">
        <f>IF(A32&lt;$A$10,MAT!AH163," ")</f>
        <v>11937500</v>
      </c>
      <c r="G32" s="176">
        <f>IF(A32&lt;$A$10,MAT!AI163," ")</f>
        <v>14437500</v>
      </c>
      <c r="H32" s="175">
        <f>IF(A32&lt;$A$10,MAT!T162," ")</f>
        <v>278854</v>
      </c>
      <c r="I32" s="175">
        <f>IF(A32&lt;$A$10,MAT!U162," ")</f>
        <v>223100</v>
      </c>
      <c r="J32" s="2204"/>
      <c r="K32" s="2205"/>
      <c r="L32" s="2205"/>
      <c r="M32" s="2206"/>
      <c r="N32" s="182"/>
      <c r="O32" s="182"/>
      <c r="P32" s="182"/>
      <c r="Q32" s="177"/>
    </row>
    <row r="33" spans="1:17" ht="15.75" customHeight="1">
      <c r="A33" s="159">
        <v>5</v>
      </c>
      <c r="C33" s="176">
        <f t="shared" si="1"/>
        <v>35</v>
      </c>
      <c r="D33" s="176" t="str">
        <f t="shared" ca="1" si="0"/>
        <v>9/5/2023</v>
      </c>
      <c r="E33" s="176">
        <f>IF(A33&lt;$A$9,DAT!$AY$17," ")</f>
        <v>106747</v>
      </c>
      <c r="F33" s="176">
        <f>IF(A33&lt;$A$10,MAT!AH164," ")</f>
        <v>11687500</v>
      </c>
      <c r="G33" s="176">
        <f>IF(A33&lt;$A$10,MAT!AI164," ")</f>
        <v>14187500</v>
      </c>
      <c r="H33" s="175">
        <f>IF(A33&lt;$A$10,MAT!T163," ")</f>
        <v>349364</v>
      </c>
      <c r="I33" s="175">
        <f>IF(A33&lt;$A$10,MAT!U163," ")</f>
        <v>279500</v>
      </c>
      <c r="J33" s="2207" t="s">
        <v>264</v>
      </c>
      <c r="K33" s="2207"/>
      <c r="L33" s="2207"/>
      <c r="M33" s="2207"/>
      <c r="N33" s="181"/>
      <c r="O33" s="181"/>
      <c r="P33" s="181"/>
      <c r="Q33" s="177"/>
    </row>
    <row r="34" spans="1:17" ht="15.75" customHeight="1">
      <c r="A34" s="159">
        <v>6</v>
      </c>
      <c r="C34" s="176">
        <f t="shared" si="1"/>
        <v>36</v>
      </c>
      <c r="D34" s="176" t="str">
        <f t="shared" ca="1" si="0"/>
        <v>9/5/2024</v>
      </c>
      <c r="E34" s="176">
        <f>IF(A34&lt;$A$9,DAT!$AY$17," ")</f>
        <v>106747</v>
      </c>
      <c r="F34" s="176">
        <f>IF(A34&lt;$A$10,MAT!AH165," ")</f>
        <v>11437500</v>
      </c>
      <c r="G34" s="176">
        <f>IF(A34&lt;$A$10,MAT!AI165," ")</f>
        <v>13937500</v>
      </c>
      <c r="H34" s="175">
        <f>IF(A34&lt;$A$10,MAT!T164," ")</f>
        <v>420486</v>
      </c>
      <c r="I34" s="175">
        <f>IF(A34&lt;$A$10,MAT!U164," ")</f>
        <v>336400</v>
      </c>
      <c r="J34" s="180"/>
      <c r="K34" s="108" t="s">
        <v>210</v>
      </c>
      <c r="L34" s="1686">
        <f>SUM(E28:E52)</f>
        <v>2350783</v>
      </c>
      <c r="M34" s="1771"/>
      <c r="N34" s="177"/>
      <c r="O34" s="177"/>
      <c r="P34" s="177"/>
      <c r="Q34" s="177"/>
    </row>
    <row r="35" spans="1:17" ht="15.75" customHeight="1">
      <c r="A35" s="159">
        <v>7</v>
      </c>
      <c r="C35" s="176">
        <f t="shared" si="1"/>
        <v>37</v>
      </c>
      <c r="D35" s="176" t="str">
        <f t="shared" ca="1" si="0"/>
        <v>9/5/2025</v>
      </c>
      <c r="E35" s="176">
        <f>IF(A35&lt;$A$9,DAT!$AY$17," ")</f>
        <v>106747</v>
      </c>
      <c r="F35" s="176">
        <f>IF(A35&lt;$A$10,MAT!AH166," ")</f>
        <v>11187500</v>
      </c>
      <c r="G35" s="176">
        <f>IF(A35&lt;$A$10,MAT!AI166," ")</f>
        <v>13687500</v>
      </c>
      <c r="H35" s="175">
        <f>IF(A35&lt;$A$10,MAT!T165," ")</f>
        <v>492368</v>
      </c>
      <c r="I35" s="175">
        <f>IF(A35&lt;$A$10,MAT!U165," ")</f>
        <v>393900</v>
      </c>
      <c r="J35" s="2118" t="s">
        <v>263</v>
      </c>
      <c r="K35" s="2118"/>
      <c r="L35" s="2118"/>
      <c r="M35" s="2118"/>
      <c r="N35" s="177"/>
      <c r="O35" s="177"/>
      <c r="P35" s="177"/>
      <c r="Q35" s="177"/>
    </row>
    <row r="36" spans="1:17" ht="15.75" customHeight="1">
      <c r="A36" s="159">
        <v>8</v>
      </c>
      <c r="C36" s="176">
        <f t="shared" si="1"/>
        <v>38</v>
      </c>
      <c r="D36" s="176" t="str">
        <f t="shared" ca="1" si="0"/>
        <v>9/5/2026</v>
      </c>
      <c r="E36" s="176">
        <f>IF(A36&lt;$A$9,DAT!$AY$17," ")</f>
        <v>106747</v>
      </c>
      <c r="F36" s="176">
        <f>IF(A36&lt;$A$10,MAT!AH167," ")</f>
        <v>10937500</v>
      </c>
      <c r="G36" s="176">
        <f>IF(A36&lt;$A$10,MAT!AI167," ")</f>
        <v>13437500</v>
      </c>
      <c r="H36" s="175">
        <f>IF(A36&lt;$A$10,MAT!T166," ")</f>
        <v>579860</v>
      </c>
      <c r="I36" s="175">
        <f>IF(A36&lt;$A$10,MAT!U166," ")</f>
        <v>463900</v>
      </c>
      <c r="J36" s="180"/>
      <c r="K36" s="179" t="s">
        <v>210</v>
      </c>
      <c r="L36" s="1686">
        <f>MAT!AC184</f>
        <v>6687500</v>
      </c>
      <c r="M36" s="1686"/>
      <c r="N36" s="177"/>
      <c r="O36" s="177"/>
      <c r="P36" s="177"/>
      <c r="Q36" s="177"/>
    </row>
    <row r="37" spans="1:17" ht="15.75" customHeight="1">
      <c r="A37" s="159">
        <v>9</v>
      </c>
      <c r="C37" s="176">
        <f t="shared" si="1"/>
        <v>39</v>
      </c>
      <c r="D37" s="176" t="str">
        <f t="shared" ca="1" si="0"/>
        <v>9/5/2027</v>
      </c>
      <c r="E37" s="176">
        <f>IF(A37&lt;$A$9,DAT!$AY$17," ")</f>
        <v>106747</v>
      </c>
      <c r="F37" s="176">
        <f>IF(A37&lt;$A$10,MAT!AH168," ")</f>
        <v>10687500</v>
      </c>
      <c r="G37" s="176">
        <f>IF(A37&lt;$A$10,MAT!AI168," ")</f>
        <v>13187500</v>
      </c>
      <c r="H37" s="175">
        <f>IF(A37&lt;$A$10,MAT!T167," ")</f>
        <v>672505</v>
      </c>
      <c r="I37" s="175">
        <f>IF(A37&lt;$A$10,MAT!U167," ")</f>
        <v>538000</v>
      </c>
      <c r="J37" s="1685" t="s">
        <v>262</v>
      </c>
      <c r="K37" s="1685"/>
      <c r="L37" s="1685"/>
      <c r="M37" s="1685"/>
      <c r="N37" s="177"/>
      <c r="O37" s="177"/>
      <c r="P37" s="177"/>
      <c r="Q37" s="177"/>
    </row>
    <row r="38" spans="1:17" ht="15.75" customHeight="1">
      <c r="A38" s="159">
        <v>10</v>
      </c>
      <c r="C38" s="176">
        <f t="shared" si="1"/>
        <v>40</v>
      </c>
      <c r="D38" s="176" t="str">
        <f t="shared" ca="1" si="0"/>
        <v>9/5/2028</v>
      </c>
      <c r="E38" s="176">
        <f>IF(A38&lt;$A$9,DAT!$AY$17," ")</f>
        <v>106747</v>
      </c>
      <c r="F38" s="176">
        <f>IF(A38&lt;$A$10,MAT!AH169," ")</f>
        <v>10437500</v>
      </c>
      <c r="G38" s="176">
        <f>IF(A38&lt;$A$10,MAT!AI169," ")</f>
        <v>12937500</v>
      </c>
      <c r="H38" s="175">
        <f>IF(A38&lt;$A$10,MAT!T168," ")</f>
        <v>770630</v>
      </c>
      <c r="I38" s="175">
        <f>IF(A38&lt;$A$10,MAT!U168," ")</f>
        <v>616500</v>
      </c>
      <c r="J38" s="106"/>
      <c r="K38" s="178" t="s">
        <v>210</v>
      </c>
      <c r="L38" s="1687">
        <f>L36-L34</f>
        <v>4336717</v>
      </c>
      <c r="M38" s="2093"/>
      <c r="N38" s="177"/>
      <c r="O38" s="177"/>
      <c r="P38" s="177"/>
      <c r="Q38" s="177"/>
    </row>
    <row r="39" spans="1:17" ht="15.75" customHeight="1">
      <c r="A39" s="159">
        <v>11</v>
      </c>
      <c r="C39" s="176">
        <f t="shared" si="1"/>
        <v>41</v>
      </c>
      <c r="D39" s="176" t="str">
        <f t="shared" ca="1" si="0"/>
        <v>9/5/2029</v>
      </c>
      <c r="E39" s="176">
        <f>IF(A39&lt;$A$9,DAT!$AY$17," ")</f>
        <v>106747</v>
      </c>
      <c r="F39" s="176">
        <f>IF(A39&lt;$A$10,MAT!AH170," ")</f>
        <v>10187500</v>
      </c>
      <c r="G39" s="176">
        <f>IF(A39&lt;$A$10,MAT!AI170," ")</f>
        <v>12687500</v>
      </c>
      <c r="H39" s="175">
        <f>IF(A39&lt;$A$10,MAT!T169," ")</f>
        <v>874895</v>
      </c>
      <c r="I39" s="175">
        <f>IF(A39&lt;$A$10,MAT!U169," ")</f>
        <v>699900</v>
      </c>
      <c r="J39" s="106"/>
      <c r="K39" s="106"/>
      <c r="L39" s="106"/>
      <c r="M39" s="106"/>
      <c r="N39" s="177"/>
      <c r="O39" s="177"/>
      <c r="P39" s="177"/>
      <c r="Q39" s="177"/>
    </row>
    <row r="40" spans="1:17" ht="15.75" customHeight="1">
      <c r="A40" s="159">
        <v>12</v>
      </c>
      <c r="C40" s="176">
        <f t="shared" si="1"/>
        <v>42</v>
      </c>
      <c r="D40" s="176" t="str">
        <f t="shared" ca="1" si="0"/>
        <v>9/5/2030</v>
      </c>
      <c r="E40" s="176">
        <f>IF(A40&lt;$A$9,DAT!$AY$17," ")</f>
        <v>106747</v>
      </c>
      <c r="F40" s="176">
        <f>IF(A40&lt;$A$10,MAT!AH171," ")</f>
        <v>9937500</v>
      </c>
      <c r="G40" s="176">
        <f>IF(A40&lt;$A$10,MAT!AI171," ")</f>
        <v>12437500</v>
      </c>
      <c r="H40" s="175">
        <f>IF(A40&lt;$A$10,MAT!T170," ")</f>
        <v>1017270</v>
      </c>
      <c r="I40" s="175">
        <f>IF(A40&lt;$A$10,MAT!U170," ")</f>
        <v>813800</v>
      </c>
      <c r="J40" s="174"/>
      <c r="K40" s="2123" t="str">
        <f>IF(Main!L13="YES","EFFECTIVE  YIELD  -  IRR","INSURING              LIVES")</f>
        <v>INSURING              LIVES</v>
      </c>
      <c r="L40" s="2123"/>
      <c r="M40" s="174"/>
      <c r="N40" s="174"/>
      <c r="O40" s="174"/>
      <c r="P40" s="174"/>
      <c r="Q40" s="174"/>
    </row>
    <row r="41" spans="1:17" ht="15.75" customHeight="1">
      <c r="A41" s="159">
        <v>13</v>
      </c>
      <c r="C41" s="176">
        <f t="shared" si="1"/>
        <v>43</v>
      </c>
      <c r="D41" s="176" t="str">
        <f t="shared" ca="1" si="0"/>
        <v>9/5/2031</v>
      </c>
      <c r="E41" s="176">
        <f>IF(A41&lt;$A$9,DAT!$AY$17," ")</f>
        <v>106747</v>
      </c>
      <c r="F41" s="176">
        <f>IF(A41&lt;$A$10,MAT!AH172," ")</f>
        <v>9687500</v>
      </c>
      <c r="G41" s="176">
        <f>IF(A41&lt;$A$10,MAT!AI172," ")</f>
        <v>12187500</v>
      </c>
      <c r="H41" s="175">
        <f>IF(A41&lt;$A$10,MAT!T171," ")</f>
        <v>1185347</v>
      </c>
      <c r="I41" s="175">
        <f>IF(A41&lt;$A$10,MAT!U171," ")</f>
        <v>948300</v>
      </c>
      <c r="J41" s="174"/>
      <c r="K41" s="2123"/>
      <c r="L41" s="2123"/>
      <c r="M41" s="174"/>
      <c r="N41" s="174"/>
      <c r="O41" s="174"/>
      <c r="P41" s="174"/>
      <c r="Q41" s="174"/>
    </row>
    <row r="42" spans="1:17" ht="15.75" customHeight="1">
      <c r="A42" s="159">
        <v>14</v>
      </c>
      <c r="C42" s="176">
        <f t="shared" si="1"/>
        <v>44</v>
      </c>
      <c r="D42" s="176" t="str">
        <f t="shared" ca="1" si="0"/>
        <v>9/5/2032</v>
      </c>
      <c r="E42" s="176">
        <f>IF(A42&lt;$A$9,DAT!$AY$17," ")</f>
        <v>106747</v>
      </c>
      <c r="F42" s="176">
        <f>IF(A42&lt;$A$10,MAT!AH173," ")</f>
        <v>9437500</v>
      </c>
      <c r="G42" s="176">
        <f>IF(A42&lt;$A$10,MAT!AI173," ")</f>
        <v>11937500</v>
      </c>
      <c r="H42" s="175">
        <f>IF(A42&lt;$A$10,MAT!T172," ")</f>
        <v>1373404</v>
      </c>
      <c r="I42" s="175">
        <f>IF(A42&lt;$A$10,MAT!U172," ")</f>
        <v>1098700</v>
      </c>
      <c r="J42" s="174"/>
      <c r="K42" s="2200" t="str">
        <f>IF(Main!L13="YES",MAT!BT160,"ENSURING              SMILES")</f>
        <v>ENSURING              SMILES</v>
      </c>
      <c r="L42" s="2200"/>
      <c r="M42" s="174"/>
      <c r="N42" s="174"/>
      <c r="O42" s="174"/>
      <c r="P42" s="174"/>
      <c r="Q42" s="174"/>
    </row>
    <row r="43" spans="1:17" ht="15.75" customHeight="1">
      <c r="A43" s="159">
        <v>15</v>
      </c>
      <c r="C43" s="176">
        <f t="shared" si="1"/>
        <v>45</v>
      </c>
      <c r="D43" s="176" t="str">
        <f t="shared" ca="1" si="0"/>
        <v>9/5/2033</v>
      </c>
      <c r="E43" s="176">
        <f>IF(A43&lt;$A$9,DAT!$AY$17," ")</f>
        <v>106747</v>
      </c>
      <c r="F43" s="176">
        <f>IF(A43&lt;$A$10,MAT!AH174," ")</f>
        <v>9187500</v>
      </c>
      <c r="G43" s="176">
        <f>IF(A43&lt;$A$10,MAT!AI174," ")</f>
        <v>11687500</v>
      </c>
      <c r="H43" s="175">
        <f>IF(A43&lt;$A$10,MAT!T173," ")</f>
        <v>1582976</v>
      </c>
      <c r="I43" s="175">
        <f>IF(A43&lt;$A$10,MAT!U173," ")</f>
        <v>1266400</v>
      </c>
      <c r="J43" s="174"/>
      <c r="K43" s="2200"/>
      <c r="L43" s="2200"/>
      <c r="M43" s="174"/>
      <c r="N43" s="174"/>
      <c r="O43" s="174"/>
      <c r="P43" s="174"/>
      <c r="Q43" s="174"/>
    </row>
    <row r="44" spans="1:17" ht="15.75" customHeight="1">
      <c r="A44" s="159">
        <v>16</v>
      </c>
      <c r="C44" s="176">
        <f t="shared" si="1"/>
        <v>46</v>
      </c>
      <c r="D44" s="176" t="str">
        <f t="shared" ca="1" si="0"/>
        <v>9/5/2034</v>
      </c>
      <c r="E44" s="176">
        <f>IF(A44&lt;$A$9,DAT!$AY$17," ")</f>
        <v>106747</v>
      </c>
      <c r="F44" s="176">
        <f>IF(A44&lt;$A$10,MAT!AH175," ")</f>
        <v>8937500</v>
      </c>
      <c r="G44" s="176">
        <f>IF(A44&lt;$A$10,MAT!AI175," ")</f>
        <v>11437500</v>
      </c>
      <c r="H44" s="175">
        <f>IF(A44&lt;$A$10,MAT!T174," ")</f>
        <v>1788900</v>
      </c>
      <c r="I44" s="175">
        <f>IF(A44&lt;$A$10,MAT!U174," ")</f>
        <v>1431100</v>
      </c>
      <c r="J44" s="174"/>
      <c r="K44" s="174"/>
      <c r="L44" s="174"/>
      <c r="M44" s="174"/>
      <c r="N44" s="174"/>
      <c r="O44" s="174"/>
      <c r="P44" s="174"/>
      <c r="Q44" s="174"/>
    </row>
    <row r="45" spans="1:17" ht="15.75" customHeight="1">
      <c r="A45" s="159">
        <v>17</v>
      </c>
      <c r="C45" s="176">
        <f t="shared" si="1"/>
        <v>47</v>
      </c>
      <c r="D45" s="176" t="str">
        <f t="shared" ca="1" si="0"/>
        <v>9/5/2035</v>
      </c>
      <c r="E45" s="176">
        <f>IF(A45&lt;$A$9,DAT!$AY$17," ")</f>
        <v>106747</v>
      </c>
      <c r="F45" s="176">
        <f>IF(A45&lt;$A$10,MAT!AH176," ")</f>
        <v>8687500</v>
      </c>
      <c r="G45" s="176">
        <f>IF(A45&lt;$A$10,MAT!AI176," ")</f>
        <v>11187500</v>
      </c>
      <c r="H45" s="175">
        <f>IF(A45&lt;$A$10,MAT!T175," ")</f>
        <v>2019855</v>
      </c>
      <c r="I45" s="175">
        <f>IF(A45&lt;$A$10,MAT!U175," ")</f>
        <v>1615900</v>
      </c>
      <c r="J45" s="2208" t="s">
        <v>212</v>
      </c>
      <c r="K45" s="2208"/>
      <c r="L45" s="2208"/>
      <c r="M45" s="2208"/>
      <c r="N45" s="174"/>
      <c r="O45" s="174"/>
      <c r="P45" s="174"/>
      <c r="Q45" s="174"/>
    </row>
    <row r="46" spans="1:17" ht="15.75" customHeight="1">
      <c r="A46" s="159">
        <v>18</v>
      </c>
      <c r="C46" s="176">
        <f t="shared" si="1"/>
        <v>48</v>
      </c>
      <c r="D46" s="176" t="str">
        <f t="shared" ca="1" si="0"/>
        <v>9/5/2036</v>
      </c>
      <c r="E46" s="176">
        <f>IF(A46&lt;$A$9,DAT!$AY$17," ")</f>
        <v>106747</v>
      </c>
      <c r="F46" s="176">
        <f>IF(A46&lt;$A$10,MAT!AH177," ")</f>
        <v>8437500</v>
      </c>
      <c r="G46" s="176">
        <f>IF(A46&lt;$A$10,MAT!AI177," ")</f>
        <v>10937500</v>
      </c>
      <c r="H46" s="175">
        <f>IF(A46&lt;$A$10,MAT!T176," ")</f>
        <v>2280848</v>
      </c>
      <c r="I46" s="175">
        <f>IF(A46&lt;$A$10,MAT!U176," ")</f>
        <v>1824700</v>
      </c>
      <c r="J46" s="2208"/>
      <c r="K46" s="2208"/>
      <c r="L46" s="2208"/>
      <c r="M46" s="2208"/>
      <c r="N46" s="174"/>
      <c r="O46" s="174"/>
      <c r="P46" s="174"/>
      <c r="Q46" s="174"/>
    </row>
    <row r="47" spans="1:17" ht="15.75" customHeight="1">
      <c r="A47" s="159">
        <v>19</v>
      </c>
      <c r="C47" s="176">
        <f t="shared" si="1"/>
        <v>49</v>
      </c>
      <c r="D47" s="176" t="str">
        <f t="shared" ca="1" si="0"/>
        <v>9/5/2037</v>
      </c>
      <c r="E47" s="176">
        <f>IF(A47&lt;$A$9,DAT!$AY$17," ")</f>
        <v>106747</v>
      </c>
      <c r="F47" s="176">
        <f>IF(A47&lt;$A$10,MAT!AH178," ")</f>
        <v>8187500</v>
      </c>
      <c r="G47" s="176">
        <f>IF(A47&lt;$A$10,MAT!AI178," ")</f>
        <v>10687500</v>
      </c>
      <c r="H47" s="175">
        <f>IF(A47&lt;$A$10,MAT!T177," ")</f>
        <v>2576661</v>
      </c>
      <c r="I47" s="175">
        <f>IF(A47&lt;$A$10,MAT!U177," ")</f>
        <v>2061300</v>
      </c>
      <c r="J47" s="1383" t="str">
        <f>'VASANTHAM HOME'!E9</f>
        <v>ENTER YOUR NAME</v>
      </c>
      <c r="K47" s="1383"/>
      <c r="L47" s="1383"/>
      <c r="M47" s="1383"/>
      <c r="N47" s="174"/>
      <c r="O47" s="174"/>
      <c r="P47" s="174"/>
      <c r="Q47" s="174"/>
    </row>
    <row r="48" spans="1:17" ht="15.75" customHeight="1">
      <c r="A48" s="159">
        <v>20</v>
      </c>
      <c r="C48" s="176">
        <f t="shared" si="1"/>
        <v>50</v>
      </c>
      <c r="D48" s="176" t="str">
        <f t="shared" ca="1" si="0"/>
        <v>9/5/2038</v>
      </c>
      <c r="E48" s="176">
        <f>IF(A48&lt;$A$9,DAT!$AY$17," ")</f>
        <v>106747</v>
      </c>
      <c r="F48" s="176">
        <f>IF(A48&lt;$A$10,MAT!AH179," ")</f>
        <v>7937500</v>
      </c>
      <c r="G48" s="176">
        <f>IF(A48&lt;$A$10,MAT!AI179," ")</f>
        <v>10437500</v>
      </c>
      <c r="H48" s="175">
        <f>IF(A48&lt;$A$10,MAT!T178," ")</f>
        <v>2914305</v>
      </c>
      <c r="I48" s="175">
        <f>IF(A48&lt;$A$10,MAT!U178," ")</f>
        <v>2331400</v>
      </c>
      <c r="J48" s="1383" t="str">
        <f>'VASANTHAM HOME'!E10</f>
        <v>DESIGNATION</v>
      </c>
      <c r="K48" s="1383"/>
      <c r="L48" s="1383"/>
      <c r="M48" s="1383"/>
      <c r="N48" s="174"/>
      <c r="O48" s="174"/>
      <c r="P48" s="174"/>
      <c r="Q48" s="174"/>
    </row>
    <row r="49" spans="1:17" ht="15.75" customHeight="1">
      <c r="A49" s="159">
        <v>21</v>
      </c>
      <c r="C49" s="176">
        <f t="shared" si="1"/>
        <v>51</v>
      </c>
      <c r="D49" s="176" t="str">
        <f t="shared" ca="1" si="0"/>
        <v>9/5/2039</v>
      </c>
      <c r="E49" s="176">
        <f>IF(A49&lt;$A$9,DAT!$AY$17," ")</f>
        <v>106747</v>
      </c>
      <c r="F49" s="176">
        <f>IF(A49&lt;$A$10,MAT!AH180," ")</f>
        <v>7687500</v>
      </c>
      <c r="G49" s="176">
        <f>IF(A49&lt;$A$10,MAT!AI180," ")</f>
        <v>10187500</v>
      </c>
      <c r="H49" s="175">
        <f>IF(A49&lt;$A$10,MAT!T179," ")</f>
        <v>3326353</v>
      </c>
      <c r="I49" s="175">
        <f>IF(A49&lt;$A$10,MAT!U179," ")</f>
        <v>2661100</v>
      </c>
      <c r="J49" s="1383" t="str">
        <f>'VASANTHAM HOME'!E11</f>
        <v>ADDRESS 1</v>
      </c>
      <c r="K49" s="1383"/>
      <c r="L49" s="1383"/>
      <c r="M49" s="1383"/>
      <c r="N49" s="174"/>
      <c r="O49" s="174"/>
      <c r="P49" s="174"/>
      <c r="Q49" s="174"/>
    </row>
    <row r="50" spans="1:17" ht="15.75" customHeight="1">
      <c r="A50" s="159">
        <v>22</v>
      </c>
      <c r="C50" s="176">
        <f t="shared" si="1"/>
        <v>52</v>
      </c>
      <c r="D50" s="176" t="str">
        <f t="shared" ca="1" si="0"/>
        <v>9/5/2040</v>
      </c>
      <c r="E50" s="176" t="str">
        <f>IF(A50&lt;$A$9,DAT!$AY$17," ")</f>
        <v xml:space="preserve"> </v>
      </c>
      <c r="F50" s="176">
        <f>IF(A50&lt;$A$10,MAT!AH181," ")</f>
        <v>7437500</v>
      </c>
      <c r="G50" s="176">
        <f>IF(A50&lt;$A$10,MAT!AI181," ")</f>
        <v>9937500</v>
      </c>
      <c r="H50" s="175">
        <f>IF(A50&lt;$A$10,MAT!T180," ")</f>
        <v>3789220</v>
      </c>
      <c r="I50" s="175">
        <f>IF(A50&lt;$A$10,MAT!U180," ")</f>
        <v>3031400</v>
      </c>
      <c r="J50" s="1383" t="str">
        <f>'VASANTHAM HOME'!E12</f>
        <v>ADDRESS 2</v>
      </c>
      <c r="K50" s="1383"/>
      <c r="L50" s="1383"/>
      <c r="M50" s="1383"/>
      <c r="N50" s="174"/>
      <c r="O50" s="174"/>
      <c r="P50" s="174"/>
      <c r="Q50" s="174"/>
    </row>
    <row r="51" spans="1:17" ht="15.75" customHeight="1">
      <c r="A51" s="159">
        <v>23</v>
      </c>
      <c r="C51" s="176">
        <f t="shared" si="1"/>
        <v>53</v>
      </c>
      <c r="D51" s="176" t="str">
        <f t="shared" ca="1" si="0"/>
        <v>9/5/2041</v>
      </c>
      <c r="E51" s="176" t="str">
        <f>IF(A51&lt;$A$9,DAT!$AY$17," ")</f>
        <v xml:space="preserve"> </v>
      </c>
      <c r="F51" s="176">
        <f>IF(A51&lt;$A$10,MAT!AH182," ")</f>
        <v>7187500</v>
      </c>
      <c r="G51" s="176">
        <f>IF(A51&lt;$A$10,MAT!AI182," ")</f>
        <v>9687500</v>
      </c>
      <c r="H51" s="175">
        <f>IF(A51&lt;$A$10,MAT!T181," ")</f>
        <v>4310982</v>
      </c>
      <c r="I51" s="175">
        <f>IF(A51&lt;$A$10,MAT!U181," ")</f>
        <v>3448800</v>
      </c>
      <c r="J51" s="1383" t="str">
        <f>'VASANTHAM HOME'!E13</f>
        <v>ADDRESS 3</v>
      </c>
      <c r="K51" s="1383"/>
      <c r="L51" s="1383"/>
      <c r="M51" s="1383"/>
      <c r="N51" s="174"/>
      <c r="O51" s="174"/>
      <c r="P51" s="174"/>
      <c r="Q51" s="174"/>
    </row>
    <row r="52" spans="1:17" ht="15.75" customHeight="1">
      <c r="A52" s="159">
        <v>24</v>
      </c>
      <c r="C52" s="176">
        <f t="shared" si="1"/>
        <v>54</v>
      </c>
      <c r="D52" s="176" t="str">
        <f t="shared" ca="1" si="0"/>
        <v>9/5/2042</v>
      </c>
      <c r="E52" s="176" t="str">
        <f>IF(A52&lt;$A$9,DAT!$AY$17," ")</f>
        <v xml:space="preserve"> </v>
      </c>
      <c r="F52" s="176">
        <f>IF(A52&lt;$A$10,MAT!AH183," ")</f>
        <v>6937500</v>
      </c>
      <c r="G52" s="176">
        <f>IF(A52&lt;$A$10,MAT!AI183," ")</f>
        <v>9437500</v>
      </c>
      <c r="H52" s="175">
        <f>IF(A52&lt;$A$10,MAT!T182," ")</f>
        <v>4898916</v>
      </c>
      <c r="I52" s="175">
        <f>IF(A52&lt;$A$10,MAT!U182," ")</f>
        <v>3919100</v>
      </c>
      <c r="J52" s="1383" t="str">
        <f>'VASANTHAM HOME'!E14</f>
        <v>MOBILE NO :</v>
      </c>
      <c r="K52" s="1383"/>
      <c r="L52" s="1383"/>
      <c r="M52" s="1383"/>
      <c r="N52" s="174"/>
      <c r="O52" s="174"/>
      <c r="P52" s="174"/>
      <c r="Q52" s="174"/>
    </row>
    <row r="53" spans="1:17" ht="15.75" customHeight="1">
      <c r="A53" s="158">
        <v>25</v>
      </c>
      <c r="C53" s="176"/>
      <c r="D53" s="176"/>
      <c r="E53" s="176"/>
      <c r="F53" s="176"/>
      <c r="G53" s="175"/>
      <c r="H53" s="175"/>
      <c r="I53" s="175"/>
      <c r="J53" s="1383" t="str">
        <f>'VASANTHAM HOME'!E15</f>
        <v>E.MAIL ID :</v>
      </c>
      <c r="K53" s="1383"/>
      <c r="L53" s="1383"/>
      <c r="M53" s="1383"/>
      <c r="N53" s="174"/>
      <c r="O53" s="174"/>
      <c r="P53" s="174"/>
      <c r="Q53" s="174"/>
    </row>
    <row r="54" spans="1:17" ht="15.75" customHeight="1">
      <c r="A54" s="158"/>
      <c r="C54" s="2209" t="s">
        <v>277</v>
      </c>
      <c r="D54" s="2209"/>
      <c r="E54" s="176"/>
      <c r="F54" s="176"/>
      <c r="G54" s="175"/>
      <c r="H54" s="175"/>
      <c r="I54" s="175"/>
      <c r="J54" s="761"/>
      <c r="K54" s="761"/>
      <c r="L54" s="761"/>
      <c r="M54" s="761"/>
      <c r="N54" s="174"/>
      <c r="O54" s="174"/>
      <c r="P54" s="174"/>
      <c r="Q54" s="174"/>
    </row>
    <row r="55" spans="1:17" ht="15.75" customHeight="1">
      <c r="A55" s="158"/>
      <c r="C55" s="173">
        <v>1</v>
      </c>
      <c r="D55" s="2210" t="s">
        <v>2141</v>
      </c>
      <c r="E55" s="2210"/>
      <c r="F55" s="2210"/>
      <c r="G55" s="2210"/>
      <c r="H55" s="2210"/>
      <c r="I55" s="2210"/>
      <c r="J55" s="2210"/>
      <c r="K55" s="2210"/>
      <c r="L55" s="2210"/>
      <c r="M55" s="2210"/>
    </row>
    <row r="56" spans="1:17" ht="15.75" customHeight="1">
      <c r="B56" s="173"/>
      <c r="C56" s="173">
        <v>2</v>
      </c>
      <c r="D56" s="2121" t="s">
        <v>276</v>
      </c>
      <c r="E56" s="2121"/>
      <c r="F56" s="2121"/>
      <c r="G56" s="2121"/>
      <c r="H56" s="2121"/>
      <c r="I56" s="2121"/>
      <c r="J56" s="2121"/>
      <c r="K56" s="2121"/>
      <c r="L56" s="2121"/>
      <c r="M56" s="2121"/>
      <c r="N56" s="811"/>
      <c r="O56" s="811"/>
      <c r="P56" s="811"/>
    </row>
    <row r="57" spans="1:17" ht="15.75" customHeight="1">
      <c r="B57" s="173"/>
      <c r="C57" s="172">
        <v>3</v>
      </c>
      <c r="D57" s="2211" t="s">
        <v>283</v>
      </c>
      <c r="E57" s="2211"/>
      <c r="F57" s="2211"/>
      <c r="G57" s="2211"/>
      <c r="H57" s="2211"/>
      <c r="I57" s="2211"/>
      <c r="J57" s="2211"/>
      <c r="K57" s="2211"/>
      <c r="L57" s="2211"/>
      <c r="M57" s="172"/>
      <c r="N57" s="773"/>
      <c r="O57" s="773"/>
      <c r="P57" s="773"/>
      <c r="Q57" s="172"/>
    </row>
    <row r="58" spans="1:17" ht="15.75" customHeight="1">
      <c r="B58" s="173"/>
      <c r="C58" s="172"/>
      <c r="D58" s="172"/>
      <c r="E58" s="172"/>
      <c r="F58" s="172"/>
      <c r="G58" s="172"/>
      <c r="H58" s="172"/>
      <c r="I58" s="172"/>
      <c r="J58" s="172"/>
      <c r="K58" s="773"/>
      <c r="L58" s="773"/>
      <c r="M58" s="773"/>
      <c r="N58" s="773"/>
      <c r="O58" s="773"/>
      <c r="P58" s="773"/>
      <c r="Q58" s="172"/>
    </row>
    <row r="59" spans="1:17" ht="15" customHeight="1">
      <c r="B59" s="173"/>
      <c r="C59" s="2211"/>
      <c r="D59" s="2211"/>
      <c r="E59" s="2211"/>
      <c r="F59" s="2211"/>
      <c r="G59" s="2211"/>
      <c r="H59" s="2211"/>
      <c r="I59" s="2211"/>
      <c r="J59" s="2211"/>
      <c r="K59" s="773"/>
      <c r="L59" s="773"/>
      <c r="M59" s="773"/>
      <c r="N59" s="773"/>
      <c r="O59" s="773"/>
      <c r="P59" s="773"/>
      <c r="Q59" s="172"/>
    </row>
    <row r="60" spans="1:17" ht="18.75" hidden="1"/>
    <row r="61" spans="1:17" ht="15" customHeight="1">
      <c r="C61" s="1383"/>
      <c r="D61" s="1383"/>
      <c r="E61" s="1383"/>
      <c r="F61" s="1383"/>
    </row>
    <row r="62" spans="1:17" ht="16.5" customHeight="1">
      <c r="C62" s="1383" t="str">
        <f>'VASANTHAM HOME'!E9</f>
        <v>ENTER YOUR NAME</v>
      </c>
      <c r="D62" s="1383"/>
      <c r="E62" s="1383"/>
      <c r="F62" s="1383"/>
    </row>
    <row r="63" spans="1:17" ht="16.5" customHeight="1">
      <c r="C63" s="1383" t="str">
        <f>'VASANTHAM HOME'!E10</f>
        <v>DESIGNATION</v>
      </c>
      <c r="D63" s="1383"/>
      <c r="E63" s="1383"/>
      <c r="F63" s="1383"/>
    </row>
    <row r="64" spans="1:17" ht="18.75" customHeight="1">
      <c r="C64" s="1383" t="str">
        <f>'VASANTHAM HOME'!E11</f>
        <v>ADDRESS 1</v>
      </c>
      <c r="D64" s="1383"/>
      <c r="E64" s="1383"/>
      <c r="F64" s="1383"/>
    </row>
    <row r="65" spans="1:16" ht="18.75" customHeight="1">
      <c r="C65" s="1383" t="str">
        <f>'VASANTHAM HOME'!E12</f>
        <v>ADDRESS 2</v>
      </c>
      <c r="D65" s="1383"/>
      <c r="E65" s="1383"/>
      <c r="F65" s="1383"/>
    </row>
    <row r="66" spans="1:16" ht="18.75" customHeight="1">
      <c r="C66" s="1383" t="str">
        <f>'VASANTHAM HOME'!E13</f>
        <v>ADDRESS 3</v>
      </c>
      <c r="D66" s="1383"/>
      <c r="E66" s="1383"/>
      <c r="F66" s="1383"/>
      <c r="G66" s="171"/>
      <c r="H66" s="170"/>
      <c r="I66" s="170"/>
      <c r="J66" s="170"/>
      <c r="K66" s="170"/>
      <c r="L66" s="170"/>
      <c r="M66" s="170"/>
      <c r="N66" s="170"/>
      <c r="O66" s="170"/>
      <c r="P66" s="170"/>
    </row>
    <row r="67" spans="1:16" ht="18.75" customHeight="1">
      <c r="C67" s="1383" t="str">
        <f>'VASANTHAM HOME'!E14</f>
        <v>MOBILE NO :</v>
      </c>
      <c r="D67" s="1383"/>
      <c r="E67" s="1383"/>
      <c r="F67" s="1383"/>
      <c r="G67" s="171"/>
      <c r="H67" s="170"/>
      <c r="I67" s="170"/>
      <c r="J67" s="170"/>
      <c r="K67" s="170"/>
      <c r="L67" s="170"/>
      <c r="M67" s="170"/>
      <c r="N67" s="170"/>
      <c r="O67" s="170"/>
      <c r="P67" s="170"/>
    </row>
    <row r="68" spans="1:16" ht="18.75" customHeight="1">
      <c r="C68" s="1383" t="str">
        <f>'VASANTHAM HOME'!E15</f>
        <v>E.MAIL ID :</v>
      </c>
      <c r="D68" s="1383"/>
      <c r="E68" s="1383"/>
      <c r="F68" s="1383"/>
      <c r="G68" s="171"/>
      <c r="H68" s="170"/>
      <c r="I68" s="170"/>
      <c r="J68" s="170"/>
      <c r="K68" s="170"/>
      <c r="L68" s="170"/>
      <c r="M68" s="170"/>
      <c r="N68" s="170"/>
      <c r="O68" s="170"/>
      <c r="P68" s="170"/>
    </row>
    <row r="69" spans="1:16" ht="18.75" customHeight="1">
      <c r="C69" s="761"/>
      <c r="D69" s="761"/>
      <c r="E69" s="761"/>
      <c r="F69" s="761"/>
      <c r="G69" s="171"/>
      <c r="H69" s="170"/>
      <c r="I69" s="170"/>
      <c r="J69" s="170"/>
      <c r="K69" s="170"/>
      <c r="L69" s="170"/>
      <c r="M69" s="170"/>
      <c r="N69" s="170"/>
      <c r="O69" s="170"/>
      <c r="P69" s="170"/>
    </row>
    <row r="70" spans="1:16" ht="18.75" customHeight="1">
      <c r="C70" s="171"/>
      <c r="D70" s="171"/>
      <c r="E70" s="171"/>
      <c r="F70" s="2212" t="s">
        <v>282</v>
      </c>
      <c r="G70" s="2212"/>
      <c r="H70" s="2212"/>
      <c r="I70" s="170"/>
      <c r="J70" s="170"/>
      <c r="K70" s="170"/>
      <c r="L70" s="170"/>
      <c r="M70" s="170"/>
      <c r="N70" s="170"/>
      <c r="O70" s="170"/>
      <c r="P70" s="170"/>
    </row>
    <row r="71" spans="1:16" ht="18.75" customHeight="1">
      <c r="C71" s="2213" t="s">
        <v>281</v>
      </c>
      <c r="D71" s="2213"/>
      <c r="E71" s="2213"/>
      <c r="F71" s="2213"/>
      <c r="G71" s="2213"/>
      <c r="H71" s="2213"/>
      <c r="I71" s="2213"/>
      <c r="J71" s="2213"/>
      <c r="K71" s="2213"/>
      <c r="L71" s="2213"/>
      <c r="M71" s="170"/>
      <c r="N71" s="170"/>
      <c r="O71" s="170"/>
      <c r="P71" s="170"/>
    </row>
    <row r="72" spans="1:16" ht="18.75" customHeight="1">
      <c r="C72" s="2214" t="s">
        <v>910</v>
      </c>
      <c r="D72" s="2214"/>
      <c r="E72" s="2214"/>
      <c r="F72" s="2214"/>
      <c r="G72" s="171"/>
      <c r="H72" s="2214" t="s">
        <v>911</v>
      </c>
      <c r="I72" s="2214"/>
      <c r="J72" s="2214"/>
      <c r="K72" s="2214"/>
      <c r="L72" s="2214"/>
      <c r="M72" s="170"/>
      <c r="N72" s="170"/>
      <c r="O72" s="170"/>
      <c r="P72" s="170"/>
    </row>
    <row r="73" spans="1:16" ht="18.75" customHeight="1">
      <c r="C73" s="2214"/>
      <c r="D73" s="2214"/>
      <c r="E73" s="2214"/>
      <c r="F73" s="2214"/>
      <c r="G73" s="171"/>
      <c r="H73" s="2214"/>
      <c r="I73" s="2214"/>
      <c r="J73" s="2214"/>
      <c r="K73" s="2214"/>
      <c r="L73" s="2214"/>
      <c r="M73" s="170"/>
      <c r="N73" s="170"/>
      <c r="O73" s="170"/>
      <c r="P73" s="170"/>
    </row>
    <row r="74" spans="1:16" ht="18.75" customHeight="1">
      <c r="C74" s="2214"/>
      <c r="D74" s="2214"/>
      <c r="E74" s="2214"/>
      <c r="F74" s="2214"/>
      <c r="G74" s="171"/>
      <c r="H74" s="2214"/>
      <c r="I74" s="2214"/>
      <c r="J74" s="2214"/>
      <c r="K74" s="2214"/>
      <c r="L74" s="2214"/>
      <c r="M74" s="170"/>
      <c r="N74" s="170"/>
      <c r="O74" s="170"/>
      <c r="P74" s="170"/>
    </row>
    <row r="75" spans="1:16" ht="30" customHeight="1" thickBot="1">
      <c r="C75" s="2214"/>
      <c r="D75" s="2214"/>
      <c r="E75" s="2214"/>
      <c r="F75" s="2214"/>
      <c r="G75" s="171"/>
      <c r="H75" s="2214"/>
      <c r="I75" s="2214"/>
      <c r="J75" s="2214"/>
      <c r="K75" s="2214"/>
      <c r="L75" s="2214"/>
      <c r="M75" s="170"/>
      <c r="N75" s="170"/>
      <c r="O75" s="170"/>
      <c r="P75" s="170"/>
    </row>
    <row r="76" spans="1:16" ht="36.75" customHeight="1" thickTop="1" thickBot="1">
      <c r="D76" s="167" t="s">
        <v>280</v>
      </c>
      <c r="E76" s="166" t="s">
        <v>222</v>
      </c>
      <c r="F76" s="169" t="s">
        <v>279</v>
      </c>
      <c r="G76" s="168"/>
      <c r="H76" s="167" t="s">
        <v>280</v>
      </c>
      <c r="I76" s="166" t="s">
        <v>222</v>
      </c>
      <c r="J76" s="2215" t="s">
        <v>279</v>
      </c>
      <c r="K76" s="2216"/>
    </row>
    <row r="77" spans="1:16" ht="18.75" customHeight="1" thickTop="1">
      <c r="A77" s="165">
        <v>0</v>
      </c>
      <c r="D77" s="155">
        <f ca="1">((YEAR(NOW())))</f>
        <v>2018</v>
      </c>
      <c r="E77" s="161">
        <f>E28</f>
        <v>109096</v>
      </c>
      <c r="F77" s="164">
        <v>0</v>
      </c>
      <c r="G77" s="162"/>
      <c r="H77" s="155">
        <f ca="1">((YEAR(NOW())))</f>
        <v>2018</v>
      </c>
      <c r="I77" s="160">
        <f t="shared" ref="I77:I85" si="2">E28</f>
        <v>109096</v>
      </c>
      <c r="J77" s="2217">
        <v>0</v>
      </c>
      <c r="K77" s="2218"/>
    </row>
    <row r="78" spans="1:16" ht="18.75" customHeight="1">
      <c r="A78" s="159">
        <v>1</v>
      </c>
      <c r="D78" s="155">
        <f ca="1">((YEAR(NOW())))+A29</f>
        <v>2019</v>
      </c>
      <c r="E78" s="161">
        <f>E29</f>
        <v>106747</v>
      </c>
      <c r="F78" s="163">
        <v>0</v>
      </c>
      <c r="G78" s="162"/>
      <c r="H78" s="155">
        <f ca="1">((YEAR(NOW())))+A29</f>
        <v>2019</v>
      </c>
      <c r="I78" s="160">
        <f t="shared" si="2"/>
        <v>106747</v>
      </c>
      <c r="J78" s="2221">
        <v>0</v>
      </c>
      <c r="K78" s="2222"/>
    </row>
    <row r="79" spans="1:16" ht="18.75" customHeight="1">
      <c r="A79" s="159">
        <v>2</v>
      </c>
      <c r="D79" s="155">
        <f ca="1">((YEAR(NOW())))+A30</f>
        <v>2020</v>
      </c>
      <c r="E79" s="161">
        <f>E30</f>
        <v>106747</v>
      </c>
      <c r="F79" s="163">
        <v>0</v>
      </c>
      <c r="G79" s="162"/>
      <c r="H79" s="155">
        <f ca="1">((YEAR(NOW())))+A30</f>
        <v>2020</v>
      </c>
      <c r="I79" s="160">
        <f t="shared" si="2"/>
        <v>106747</v>
      </c>
      <c r="J79" s="2221">
        <v>0</v>
      </c>
      <c r="K79" s="2222"/>
    </row>
    <row r="80" spans="1:16" ht="18.75" customHeight="1">
      <c r="A80" s="159">
        <v>3</v>
      </c>
      <c r="D80" s="155">
        <f ca="1">((YEAR(NOW())))+A31</f>
        <v>2021</v>
      </c>
      <c r="E80" s="161">
        <f>E31</f>
        <v>106747</v>
      </c>
      <c r="F80" s="163">
        <v>0</v>
      </c>
      <c r="G80" s="162"/>
      <c r="H80" s="155">
        <f ca="1">((YEAR(NOW())))+A31</f>
        <v>2021</v>
      </c>
      <c r="I80" s="160">
        <f t="shared" si="2"/>
        <v>106747</v>
      </c>
      <c r="J80" s="2221">
        <v>0</v>
      </c>
      <c r="K80" s="2222"/>
    </row>
    <row r="81" spans="1:11" ht="18.75" customHeight="1">
      <c r="A81" s="159">
        <v>4</v>
      </c>
      <c r="D81" s="155">
        <f t="shared" ref="D81:D102" ca="1" si="3">IF(A81&lt;=$A$10,((YEAR(NOW())))+A32," ")</f>
        <v>2022</v>
      </c>
      <c r="E81" s="161">
        <f>E32</f>
        <v>106747</v>
      </c>
      <c r="F81" s="157">
        <f>IF(Main!L10="YES",Main!N10,0)</f>
        <v>0</v>
      </c>
      <c r="G81" s="156"/>
      <c r="H81" s="155">
        <f t="shared" ref="H81:H102" ca="1" si="4">IF(A81&lt;=$A$10,((YEAR(NOW())))+A32," ")</f>
        <v>2022</v>
      </c>
      <c r="I81" s="160">
        <f t="shared" si="2"/>
        <v>106747</v>
      </c>
      <c r="J81" s="2221">
        <v>0</v>
      </c>
      <c r="K81" s="2222"/>
    </row>
    <row r="82" spans="1:11" ht="18.75" customHeight="1">
      <c r="A82" s="159">
        <v>5</v>
      </c>
      <c r="D82" s="155">
        <f t="shared" ca="1" si="3"/>
        <v>2023</v>
      </c>
      <c r="E82" s="154">
        <f t="shared" ref="E82:E102" si="5">IF(A82&lt;=$A$10,0," ")</f>
        <v>0</v>
      </c>
      <c r="F82" s="157">
        <f>IF(A82&lt;=$A$10,MAT!Z163," ")</f>
        <v>250000</v>
      </c>
      <c r="G82" s="156"/>
      <c r="H82" s="155">
        <f t="shared" ca="1" si="4"/>
        <v>2023</v>
      </c>
      <c r="I82" s="160">
        <f t="shared" si="2"/>
        <v>106747</v>
      </c>
      <c r="J82" s="2221">
        <v>0</v>
      </c>
      <c r="K82" s="2222"/>
    </row>
    <row r="83" spans="1:11" ht="18.75" customHeight="1">
      <c r="A83" s="159">
        <v>6</v>
      </c>
      <c r="D83" s="155">
        <f t="shared" ca="1" si="3"/>
        <v>2024</v>
      </c>
      <c r="E83" s="154">
        <f t="shared" si="5"/>
        <v>0</v>
      </c>
      <c r="F83" s="157">
        <f>IF(A83&lt;=$A$10,MAT!Z164," ")</f>
        <v>250000</v>
      </c>
      <c r="G83" s="156"/>
      <c r="H83" s="155">
        <f t="shared" ca="1" si="4"/>
        <v>2024</v>
      </c>
      <c r="I83" s="160">
        <f t="shared" si="2"/>
        <v>106747</v>
      </c>
      <c r="J83" s="2221">
        <v>0</v>
      </c>
      <c r="K83" s="2222"/>
    </row>
    <row r="84" spans="1:11" ht="18.75" customHeight="1">
      <c r="A84" s="159">
        <v>7</v>
      </c>
      <c r="D84" s="155">
        <f t="shared" ca="1" si="3"/>
        <v>2025</v>
      </c>
      <c r="E84" s="154">
        <f t="shared" si="5"/>
        <v>0</v>
      </c>
      <c r="F84" s="157">
        <f>IF(A84&lt;=$A$10,MAT!Z165," ")</f>
        <v>250000</v>
      </c>
      <c r="G84" s="156"/>
      <c r="H84" s="155">
        <f t="shared" ca="1" si="4"/>
        <v>2025</v>
      </c>
      <c r="I84" s="160">
        <f t="shared" si="2"/>
        <v>106747</v>
      </c>
      <c r="J84" s="2221">
        <v>0</v>
      </c>
      <c r="K84" s="2222"/>
    </row>
    <row r="85" spans="1:11" ht="18.75" customHeight="1">
      <c r="A85" s="159">
        <v>8</v>
      </c>
      <c r="D85" s="155">
        <f t="shared" ca="1" si="3"/>
        <v>2026</v>
      </c>
      <c r="E85" s="154">
        <f t="shared" si="5"/>
        <v>0</v>
      </c>
      <c r="F85" s="157">
        <f>IF(A85&lt;=$A$10,MAT!Z166," ")</f>
        <v>250000</v>
      </c>
      <c r="G85" s="156"/>
      <c r="H85" s="155">
        <f t="shared" ca="1" si="4"/>
        <v>2026</v>
      </c>
      <c r="I85" s="160">
        <f t="shared" si="2"/>
        <v>106747</v>
      </c>
      <c r="J85" s="2221">
        <f>IF(Main!L10="YES",Main!N10,0)</f>
        <v>0</v>
      </c>
      <c r="K85" s="2222"/>
    </row>
    <row r="86" spans="1:11" ht="18.75" customHeight="1">
      <c r="A86" s="159">
        <v>9</v>
      </c>
      <c r="D86" s="155">
        <f t="shared" ca="1" si="3"/>
        <v>2027</v>
      </c>
      <c r="E86" s="154">
        <f t="shared" si="5"/>
        <v>0</v>
      </c>
      <c r="F86" s="157">
        <f>IF(A86&lt;=$A$10,MAT!Z167," ")</f>
        <v>250000</v>
      </c>
      <c r="G86" s="156"/>
      <c r="H86" s="155">
        <f t="shared" ca="1" si="4"/>
        <v>2027</v>
      </c>
      <c r="I86" s="154">
        <f t="shared" ref="I86:I102" si="6">IF(A86&lt;=$A$10,0," ")</f>
        <v>0</v>
      </c>
      <c r="J86" s="2219">
        <f>IF(A86&lt;=$A$10,MAT!Z167," ")</f>
        <v>250000</v>
      </c>
      <c r="K86" s="2220"/>
    </row>
    <row r="87" spans="1:11" ht="18.75" customHeight="1">
      <c r="A87" s="159">
        <v>10</v>
      </c>
      <c r="D87" s="155">
        <f t="shared" ca="1" si="3"/>
        <v>2028</v>
      </c>
      <c r="E87" s="154">
        <f t="shared" si="5"/>
        <v>0</v>
      </c>
      <c r="F87" s="157">
        <f>IF(A87&lt;=$A$10,MAT!Z168," ")</f>
        <v>250000</v>
      </c>
      <c r="G87" s="156"/>
      <c r="H87" s="155">
        <f t="shared" ca="1" si="4"/>
        <v>2028</v>
      </c>
      <c r="I87" s="154">
        <f t="shared" si="6"/>
        <v>0</v>
      </c>
      <c r="J87" s="2219">
        <f>IF(A87&lt;=$A$10,MAT!Z168," ")</f>
        <v>250000</v>
      </c>
      <c r="K87" s="2220"/>
    </row>
    <row r="88" spans="1:11" ht="18.75" customHeight="1">
      <c r="A88" s="159">
        <v>11</v>
      </c>
      <c r="D88" s="155">
        <f t="shared" ca="1" si="3"/>
        <v>2029</v>
      </c>
      <c r="E88" s="154">
        <f t="shared" si="5"/>
        <v>0</v>
      </c>
      <c r="F88" s="157">
        <f>IF(A88&lt;=$A$10,MAT!Z169," ")</f>
        <v>250000</v>
      </c>
      <c r="G88" s="156"/>
      <c r="H88" s="155">
        <f t="shared" ca="1" si="4"/>
        <v>2029</v>
      </c>
      <c r="I88" s="154">
        <f t="shared" si="6"/>
        <v>0</v>
      </c>
      <c r="J88" s="2219">
        <f>IF(A88&lt;=$A$10,MAT!Z169," ")</f>
        <v>250000</v>
      </c>
      <c r="K88" s="2220"/>
    </row>
    <row r="89" spans="1:11" ht="18.75" customHeight="1">
      <c r="A89" s="159">
        <v>12</v>
      </c>
      <c r="D89" s="155">
        <f t="shared" ca="1" si="3"/>
        <v>2030</v>
      </c>
      <c r="E89" s="154">
        <f t="shared" si="5"/>
        <v>0</v>
      </c>
      <c r="F89" s="157">
        <f>IF(A89&lt;=$A$10,MAT!Z170," ")</f>
        <v>250000</v>
      </c>
      <c r="G89" s="156"/>
      <c r="H89" s="155">
        <f t="shared" ca="1" si="4"/>
        <v>2030</v>
      </c>
      <c r="I89" s="154">
        <f t="shared" si="6"/>
        <v>0</v>
      </c>
      <c r="J89" s="2219">
        <f>IF(A89&lt;=$A$10,MAT!Z170," ")</f>
        <v>250000</v>
      </c>
      <c r="K89" s="2220"/>
    </row>
    <row r="90" spans="1:11" ht="18.75" customHeight="1">
      <c r="A90" s="159">
        <v>13</v>
      </c>
      <c r="D90" s="155">
        <f t="shared" ca="1" si="3"/>
        <v>2031</v>
      </c>
      <c r="E90" s="154">
        <f t="shared" si="5"/>
        <v>0</v>
      </c>
      <c r="F90" s="157">
        <f>IF(A90&lt;=$A$10,MAT!Z171," ")</f>
        <v>250000</v>
      </c>
      <c r="G90" s="156"/>
      <c r="H90" s="155">
        <f t="shared" ca="1" si="4"/>
        <v>2031</v>
      </c>
      <c r="I90" s="154">
        <f t="shared" si="6"/>
        <v>0</v>
      </c>
      <c r="J90" s="2219">
        <f>IF(A90&lt;=$A$10,MAT!Z171," ")</f>
        <v>250000</v>
      </c>
      <c r="K90" s="2220"/>
    </row>
    <row r="91" spans="1:11" ht="18.75" customHeight="1">
      <c r="A91" s="159">
        <v>14</v>
      </c>
      <c r="D91" s="155">
        <f t="shared" ca="1" si="3"/>
        <v>2032</v>
      </c>
      <c r="E91" s="154">
        <f t="shared" si="5"/>
        <v>0</v>
      </c>
      <c r="F91" s="157">
        <f>IF(A91&lt;=$A$10,MAT!Z172," ")</f>
        <v>250000</v>
      </c>
      <c r="G91" s="156"/>
      <c r="H91" s="155">
        <f t="shared" ca="1" si="4"/>
        <v>2032</v>
      </c>
      <c r="I91" s="154">
        <f t="shared" si="6"/>
        <v>0</v>
      </c>
      <c r="J91" s="2219">
        <f>IF(A91&lt;=$A$10,MAT!Z172," ")</f>
        <v>250000</v>
      </c>
      <c r="K91" s="2220"/>
    </row>
    <row r="92" spans="1:11" ht="18.75" customHeight="1">
      <c r="A92" s="159">
        <v>15</v>
      </c>
      <c r="D92" s="155">
        <f t="shared" ca="1" si="3"/>
        <v>2033</v>
      </c>
      <c r="E92" s="154">
        <f t="shared" si="5"/>
        <v>0</v>
      </c>
      <c r="F92" s="157">
        <f>IF(A92&lt;=$A$10,MAT!Z173," ")</f>
        <v>250000</v>
      </c>
      <c r="G92" s="156"/>
      <c r="H92" s="155">
        <f t="shared" ca="1" si="4"/>
        <v>2033</v>
      </c>
      <c r="I92" s="154">
        <f t="shared" si="6"/>
        <v>0</v>
      </c>
      <c r="J92" s="2219">
        <f>IF(A92&lt;=$A$10,MAT!Z173," ")</f>
        <v>250000</v>
      </c>
      <c r="K92" s="2220"/>
    </row>
    <row r="93" spans="1:11" ht="18.75" customHeight="1">
      <c r="A93" s="159">
        <v>16</v>
      </c>
      <c r="D93" s="155">
        <f t="shared" ca="1" si="3"/>
        <v>2034</v>
      </c>
      <c r="E93" s="154">
        <f t="shared" si="5"/>
        <v>0</v>
      </c>
      <c r="F93" s="157">
        <f>IF(A93&lt;=$A$10,MAT!Z174," ")</f>
        <v>250000</v>
      </c>
      <c r="G93" s="156"/>
      <c r="H93" s="155">
        <f t="shared" ca="1" si="4"/>
        <v>2034</v>
      </c>
      <c r="I93" s="154">
        <f t="shared" si="6"/>
        <v>0</v>
      </c>
      <c r="J93" s="2219">
        <f>IF(A93&lt;=$A$10,MAT!Z174," ")</f>
        <v>250000</v>
      </c>
      <c r="K93" s="2220"/>
    </row>
    <row r="94" spans="1:11" ht="18.75" customHeight="1">
      <c r="A94" s="159">
        <v>17</v>
      </c>
      <c r="D94" s="155">
        <f t="shared" ca="1" si="3"/>
        <v>2035</v>
      </c>
      <c r="E94" s="154">
        <f t="shared" si="5"/>
        <v>0</v>
      </c>
      <c r="F94" s="157">
        <f>IF(A94&lt;=$A$10,MAT!Z175," ")</f>
        <v>250000</v>
      </c>
      <c r="G94" s="156"/>
      <c r="H94" s="155">
        <f t="shared" ca="1" si="4"/>
        <v>2035</v>
      </c>
      <c r="I94" s="154">
        <f t="shared" si="6"/>
        <v>0</v>
      </c>
      <c r="J94" s="2219">
        <f>IF(A94&lt;=$A$10,MAT!Z175," ")</f>
        <v>250000</v>
      </c>
      <c r="K94" s="2220"/>
    </row>
    <row r="95" spans="1:11" ht="18.75" customHeight="1">
      <c r="A95" s="159">
        <v>18</v>
      </c>
      <c r="D95" s="155">
        <f t="shared" ca="1" si="3"/>
        <v>2036</v>
      </c>
      <c r="E95" s="154">
        <f t="shared" si="5"/>
        <v>0</v>
      </c>
      <c r="F95" s="157">
        <f>IF(A95&lt;=$A$10,MAT!Z176," ")</f>
        <v>250000</v>
      </c>
      <c r="G95" s="156"/>
      <c r="H95" s="155">
        <f t="shared" ca="1" si="4"/>
        <v>2036</v>
      </c>
      <c r="I95" s="154">
        <f t="shared" si="6"/>
        <v>0</v>
      </c>
      <c r="J95" s="2219">
        <f>IF(A95&lt;=$A$10,MAT!Z176," ")</f>
        <v>250000</v>
      </c>
      <c r="K95" s="2220"/>
    </row>
    <row r="96" spans="1:11" ht="18.75" customHeight="1">
      <c r="A96" s="159">
        <v>19</v>
      </c>
      <c r="D96" s="155">
        <f t="shared" ca="1" si="3"/>
        <v>2037</v>
      </c>
      <c r="E96" s="154">
        <f t="shared" si="5"/>
        <v>0</v>
      </c>
      <c r="F96" s="157">
        <f>IF(A96&lt;=$A$10,MAT!Z177," ")</f>
        <v>250000</v>
      </c>
      <c r="G96" s="156"/>
      <c r="H96" s="155">
        <f t="shared" ca="1" si="4"/>
        <v>2037</v>
      </c>
      <c r="I96" s="154">
        <f t="shared" si="6"/>
        <v>0</v>
      </c>
      <c r="J96" s="2219">
        <f>IF(A96&lt;=$A$10,MAT!Z177," ")</f>
        <v>250000</v>
      </c>
      <c r="K96" s="2220"/>
    </row>
    <row r="97" spans="1:16" ht="18.75" customHeight="1">
      <c r="A97" s="159">
        <v>20</v>
      </c>
      <c r="D97" s="155">
        <f t="shared" ca="1" si="3"/>
        <v>2038</v>
      </c>
      <c r="E97" s="154">
        <f t="shared" si="5"/>
        <v>0</v>
      </c>
      <c r="F97" s="157">
        <f>IF(A97&lt;=$A$10,MAT!Z178," ")</f>
        <v>250000</v>
      </c>
      <c r="G97" s="156"/>
      <c r="H97" s="155">
        <f t="shared" ca="1" si="4"/>
        <v>2038</v>
      </c>
      <c r="I97" s="154">
        <f t="shared" si="6"/>
        <v>0</v>
      </c>
      <c r="J97" s="2219">
        <f>IF(A97&lt;=$A$10,MAT!Z178," ")</f>
        <v>250000</v>
      </c>
      <c r="K97" s="2220"/>
    </row>
    <row r="98" spans="1:16" ht="18.75" customHeight="1">
      <c r="A98" s="159">
        <v>21</v>
      </c>
      <c r="D98" s="155">
        <f t="shared" ca="1" si="3"/>
        <v>2039</v>
      </c>
      <c r="E98" s="154">
        <f t="shared" si="5"/>
        <v>0</v>
      </c>
      <c r="F98" s="157">
        <f>IF(A98&lt;=$A$10,MAT!Z179," ")</f>
        <v>250000</v>
      </c>
      <c r="G98" s="156"/>
      <c r="H98" s="155">
        <f t="shared" ca="1" si="4"/>
        <v>2039</v>
      </c>
      <c r="I98" s="154">
        <f t="shared" si="6"/>
        <v>0</v>
      </c>
      <c r="J98" s="2219">
        <f>IF(A98&lt;=$A$10,MAT!Z179," ")</f>
        <v>250000</v>
      </c>
      <c r="K98" s="2220"/>
    </row>
    <row r="99" spans="1:16" ht="18.75" customHeight="1">
      <c r="A99" s="159">
        <v>22</v>
      </c>
      <c r="D99" s="155">
        <f t="shared" ca="1" si="3"/>
        <v>2040</v>
      </c>
      <c r="E99" s="154">
        <f t="shared" si="5"/>
        <v>0</v>
      </c>
      <c r="F99" s="157">
        <f>IF(A99&lt;=$A$10,MAT!Z180," ")</f>
        <v>250000</v>
      </c>
      <c r="G99" s="156"/>
      <c r="H99" s="155">
        <f t="shared" ca="1" si="4"/>
        <v>2040</v>
      </c>
      <c r="I99" s="154">
        <f t="shared" si="6"/>
        <v>0</v>
      </c>
      <c r="J99" s="2219">
        <f>IF(A99&lt;=$A$10,MAT!Z180," ")</f>
        <v>250000</v>
      </c>
      <c r="K99" s="2220"/>
    </row>
    <row r="100" spans="1:16" ht="18.75" customHeight="1">
      <c r="A100" s="159">
        <v>23</v>
      </c>
      <c r="D100" s="155">
        <f t="shared" ca="1" si="3"/>
        <v>2041</v>
      </c>
      <c r="E100" s="154">
        <f t="shared" si="5"/>
        <v>0</v>
      </c>
      <c r="F100" s="157">
        <f>IF(A100&lt;=$A$10,MAT!Z181," ")</f>
        <v>250000</v>
      </c>
      <c r="G100" s="156"/>
      <c r="H100" s="155">
        <f t="shared" ca="1" si="4"/>
        <v>2041</v>
      </c>
      <c r="I100" s="154">
        <f t="shared" si="6"/>
        <v>0</v>
      </c>
      <c r="J100" s="2219">
        <f>IF(A100&lt;=$A$10,MAT!Z181," ")</f>
        <v>250000</v>
      </c>
      <c r="K100" s="2220"/>
    </row>
    <row r="101" spans="1:16" ht="18.75" customHeight="1">
      <c r="A101" s="159">
        <v>24</v>
      </c>
      <c r="D101" s="155">
        <f t="shared" ca="1" si="3"/>
        <v>2042</v>
      </c>
      <c r="E101" s="154">
        <f t="shared" si="5"/>
        <v>0</v>
      </c>
      <c r="F101" s="157">
        <f>IF(A101&lt;=$A$10,MAT!Z182," ")</f>
        <v>250000</v>
      </c>
      <c r="G101" s="156"/>
      <c r="H101" s="155">
        <f t="shared" ca="1" si="4"/>
        <v>2042</v>
      </c>
      <c r="I101" s="154">
        <f t="shared" si="6"/>
        <v>0</v>
      </c>
      <c r="J101" s="2219">
        <f>IF(A101&lt;=$A$10,MAT!Z182," ")</f>
        <v>250000</v>
      </c>
      <c r="K101" s="2220"/>
    </row>
    <row r="102" spans="1:16" ht="18.75" customHeight="1" thickBot="1">
      <c r="A102" s="158">
        <v>25</v>
      </c>
      <c r="D102" s="155">
        <f t="shared" ca="1" si="3"/>
        <v>2043</v>
      </c>
      <c r="E102" s="154">
        <f t="shared" si="5"/>
        <v>0</v>
      </c>
      <c r="F102" s="157">
        <f>IF(A102&lt;=$A$10,MAT!Z183," ")</f>
        <v>6937500</v>
      </c>
      <c r="G102" s="156"/>
      <c r="H102" s="155">
        <f t="shared" ca="1" si="4"/>
        <v>2043</v>
      </c>
      <c r="I102" s="154">
        <f t="shared" si="6"/>
        <v>0</v>
      </c>
      <c r="J102" s="2219">
        <f>IF(A102&lt;=$A$10,MAT!Z183," ")</f>
        <v>6937500</v>
      </c>
      <c r="K102" s="2220"/>
    </row>
    <row r="103" spans="1:16" ht="18.75" customHeight="1" thickTop="1" thickBot="1">
      <c r="D103" s="2224" t="s">
        <v>278</v>
      </c>
      <c r="E103" s="2224"/>
      <c r="F103" s="153">
        <f>SUM(F77:F102)</f>
        <v>11937500</v>
      </c>
      <c r="G103" s="152"/>
      <c r="H103" s="2224" t="s">
        <v>278</v>
      </c>
      <c r="I103" s="2224"/>
      <c r="J103" s="2225">
        <f>SUM(J77:J102)</f>
        <v>10937500</v>
      </c>
      <c r="K103" s="2226"/>
    </row>
    <row r="104" spans="1:16" ht="18.75" customHeight="1" thickTop="1"/>
    <row r="105" spans="1:16" ht="18.75" customHeight="1">
      <c r="C105" s="2209" t="s">
        <v>277</v>
      </c>
      <c r="D105" s="2209"/>
    </row>
    <row r="106" spans="1:16" ht="18.75" customHeight="1">
      <c r="B106" s="151">
        <v>1</v>
      </c>
      <c r="C106" s="2223" t="s">
        <v>2142</v>
      </c>
      <c r="D106" s="2223"/>
      <c r="E106" s="2223"/>
      <c r="F106" s="2223"/>
      <c r="G106" s="2223"/>
      <c r="H106" s="2223"/>
      <c r="I106" s="2223"/>
      <c r="J106" s="2223"/>
      <c r="K106" s="2223"/>
      <c r="L106" s="2223"/>
      <c r="M106" s="2223"/>
      <c r="N106" s="811"/>
      <c r="O106" s="811"/>
      <c r="P106" s="811"/>
    </row>
    <row r="107" spans="1:16" ht="18.75" customHeight="1">
      <c r="B107" s="151">
        <v>2</v>
      </c>
      <c r="C107" s="2211" t="s">
        <v>276</v>
      </c>
      <c r="D107" s="2211"/>
      <c r="E107" s="2211"/>
      <c r="F107" s="2211"/>
      <c r="G107" s="2211"/>
      <c r="H107" s="2211"/>
      <c r="I107" s="2211"/>
      <c r="J107" s="2211"/>
      <c r="K107" s="2211"/>
      <c r="L107" s="2211"/>
      <c r="M107" s="2211"/>
      <c r="N107" s="773"/>
      <c r="O107" s="773"/>
      <c r="P107" s="773"/>
    </row>
    <row r="108" spans="1:16" ht="18.75" customHeight="1"/>
    <row r="109" spans="1:16" ht="18.75" customHeight="1"/>
    <row r="110" spans="1:16" ht="18.75" hidden="1" customHeight="1"/>
    <row r="111" spans="1:16" ht="18.75" hidden="1" customHeight="1"/>
    <row r="112" spans="1:16" ht="18.75" hidden="1" customHeight="1"/>
    <row r="113" ht="18.75" hidden="1" customHeight="1"/>
    <row r="114" ht="18.75" hidden="1" customHeight="1"/>
    <row r="115" ht="18.75" hidden="1" customHeight="1"/>
    <row r="116" ht="18.75" hidden="1" customHeight="1"/>
    <row r="117" ht="18.75" hidden="1" customHeight="1"/>
    <row r="118" ht="18.75" hidden="1" customHeight="1"/>
    <row r="119" ht="18.75" hidden="1" customHeight="1"/>
    <row r="120" ht="18.75" hidden="1" customHeight="1"/>
    <row r="121" ht="18.75" hidden="1" customHeight="1"/>
    <row r="122" ht="18.75" hidden="1" customHeight="1"/>
    <row r="123" ht="18.75" hidden="1" customHeight="1"/>
  </sheetData>
  <mergeCells count="112">
    <mergeCell ref="J99:K99"/>
    <mergeCell ref="C105:D105"/>
    <mergeCell ref="C106:M106"/>
    <mergeCell ref="C107:M107"/>
    <mergeCell ref="J100:K100"/>
    <mergeCell ref="J101:K101"/>
    <mergeCell ref="J102:K102"/>
    <mergeCell ref="D103:E103"/>
    <mergeCell ref="H103:I103"/>
    <mergeCell ref="J103:K103"/>
    <mergeCell ref="J96:K96"/>
    <mergeCell ref="J97:K97"/>
    <mergeCell ref="J98:K98"/>
    <mergeCell ref="J81:K81"/>
    <mergeCell ref="J82:K82"/>
    <mergeCell ref="J83:K83"/>
    <mergeCell ref="J84:K84"/>
    <mergeCell ref="J85:K85"/>
    <mergeCell ref="J86:K86"/>
    <mergeCell ref="J95:K95"/>
    <mergeCell ref="J88:K88"/>
    <mergeCell ref="J89:K89"/>
    <mergeCell ref="J91:K91"/>
    <mergeCell ref="J92:K92"/>
    <mergeCell ref="J93:K93"/>
    <mergeCell ref="J94:K94"/>
    <mergeCell ref="C68:F68"/>
    <mergeCell ref="F70:H70"/>
    <mergeCell ref="C71:L71"/>
    <mergeCell ref="C72:F75"/>
    <mergeCell ref="H72:L75"/>
    <mergeCell ref="J76:K76"/>
    <mergeCell ref="J77:K77"/>
    <mergeCell ref="J87:K87"/>
    <mergeCell ref="J90:K90"/>
    <mergeCell ref="J80:K80"/>
    <mergeCell ref="J78:K78"/>
    <mergeCell ref="J79:K79"/>
    <mergeCell ref="J45:M46"/>
    <mergeCell ref="J47:M47"/>
    <mergeCell ref="C54:D54"/>
    <mergeCell ref="D56:M56"/>
    <mergeCell ref="D55:M55"/>
    <mergeCell ref="C64:F64"/>
    <mergeCell ref="C65:F65"/>
    <mergeCell ref="C66:F66"/>
    <mergeCell ref="C67:F67"/>
    <mergeCell ref="J48:M48"/>
    <mergeCell ref="J49:M49"/>
    <mergeCell ref="C59:J59"/>
    <mergeCell ref="C61:F61"/>
    <mergeCell ref="C62:F62"/>
    <mergeCell ref="C63:F63"/>
    <mergeCell ref="D57:L57"/>
    <mergeCell ref="J50:M50"/>
    <mergeCell ref="J51:M51"/>
    <mergeCell ref="J52:M52"/>
    <mergeCell ref="J53:M53"/>
    <mergeCell ref="K40:L41"/>
    <mergeCell ref="K42:L43"/>
    <mergeCell ref="L38:M38"/>
    <mergeCell ref="J31:M32"/>
    <mergeCell ref="J33:M33"/>
    <mergeCell ref="L34:M34"/>
    <mergeCell ref="J35:M35"/>
    <mergeCell ref="L36:M36"/>
    <mergeCell ref="J37:M37"/>
    <mergeCell ref="J28:M29"/>
    <mergeCell ref="K30:M30"/>
    <mergeCell ref="C12:D13"/>
    <mergeCell ref="E12:E13"/>
    <mergeCell ref="F12:F13"/>
    <mergeCell ref="G12:G13"/>
    <mergeCell ref="H12:H13"/>
    <mergeCell ref="K12:L15"/>
    <mergeCell ref="D15:F16"/>
    <mergeCell ref="D24:I24"/>
    <mergeCell ref="D19:M19"/>
    <mergeCell ref="D23:I23"/>
    <mergeCell ref="D17:M17"/>
    <mergeCell ref="D18:M18"/>
    <mergeCell ref="D25:I25"/>
    <mergeCell ref="K25:M25"/>
    <mergeCell ref="C26:C27"/>
    <mergeCell ref="D26:D27"/>
    <mergeCell ref="E26:E27"/>
    <mergeCell ref="F26:G26"/>
    <mergeCell ref="H26:H27"/>
    <mergeCell ref="I26:I27"/>
    <mergeCell ref="J26:M26"/>
    <mergeCell ref="O19:R20"/>
    <mergeCell ref="D20:M20"/>
    <mergeCell ref="D21:J21"/>
    <mergeCell ref="D22:J22"/>
    <mergeCell ref="J23:M24"/>
    <mergeCell ref="K3:L3"/>
    <mergeCell ref="J4:M4"/>
    <mergeCell ref="J5:M5"/>
    <mergeCell ref="D6:G7"/>
    <mergeCell ref="H6:I9"/>
    <mergeCell ref="J6:M6"/>
    <mergeCell ref="J7:M7"/>
    <mergeCell ref="C8:G8"/>
    <mergeCell ref="J8:M8"/>
    <mergeCell ref="O8:Q9"/>
    <mergeCell ref="C9:G9"/>
    <mergeCell ref="J9:M9"/>
    <mergeCell ref="J10:K10"/>
    <mergeCell ref="L10:M10"/>
    <mergeCell ref="O10:R11"/>
    <mergeCell ref="C11:D11"/>
    <mergeCell ref="O17:Q18"/>
  </mergeCells>
  <hyperlinks>
    <hyperlink ref="O19:R20" location="Main!A1" display="CLICK HERE"/>
    <hyperlink ref="O10:R11" location="'VASANTHAM HOME'!A1" display="CLICK HERE"/>
  </hyperlinks>
  <pageMargins left="0.62986111111111109" right="0.2361111111111111" top="0.74791666666666667" bottom="0.74791666666666667" header="0.51180555555555551" footer="0.51180555555555551"/>
  <pageSetup paperSize="9" scale="80" firstPageNumber="0" orientation="portrait" horizontalDpi="300" verticalDpi="300" r:id="rId1"/>
  <headerFooter alignWithMargins="0">
    <oddFooter>&amp;C&amp;K02-049VASANTHAM SMART</oddFooter>
  </headerFooter>
  <drawing r:id="rId2"/>
</worksheet>
</file>

<file path=xl/worksheets/sheet22.xml><?xml version="1.0" encoding="utf-8"?>
<worksheet xmlns="http://schemas.openxmlformats.org/spreadsheetml/2006/main" xmlns:r="http://schemas.openxmlformats.org/officeDocument/2006/relationships">
  <sheetPr codeName="Sheet311"/>
  <dimension ref="A1:W65"/>
  <sheetViews>
    <sheetView showGridLines="0" showRowColHeaders="0" topLeftCell="B1" workbookViewId="0">
      <selection activeCell="P1" sqref="P1"/>
    </sheetView>
  </sheetViews>
  <sheetFormatPr defaultColWidth="0" defaultRowHeight="0" customHeight="1" zeroHeight="1"/>
  <cols>
    <col min="1" max="1" width="4.5" style="736" hidden="1" customWidth="1"/>
    <col min="2" max="2" width="5.375" style="736" customWidth="1"/>
    <col min="3" max="3" width="4.875" style="736" customWidth="1"/>
    <col min="4" max="5" width="10.125" style="736" customWidth="1"/>
    <col min="6" max="6" width="10.5" style="736" customWidth="1"/>
    <col min="7" max="7" width="10.875" style="736" customWidth="1"/>
    <col min="8" max="8" width="8.5" style="736" customWidth="1"/>
    <col min="9" max="9" width="9.625" style="736" customWidth="1"/>
    <col min="10" max="10" width="10.875" style="736" customWidth="1"/>
    <col min="11" max="11" width="10" style="736" customWidth="1"/>
    <col min="12" max="12" width="9.5" style="736" customWidth="1"/>
    <col min="13" max="13" width="11" style="736" customWidth="1"/>
    <col min="14" max="17" width="9.125" style="736" customWidth="1"/>
    <col min="18" max="23" width="0" style="736" hidden="1" customWidth="1"/>
    <col min="24" max="16384" width="9.125" style="736" hidden="1"/>
  </cols>
  <sheetData>
    <row r="1" spans="1:18" ht="12.75">
      <c r="B1" s="748"/>
      <c r="D1" s="748"/>
      <c r="E1" s="748"/>
      <c r="F1" s="748"/>
      <c r="G1" s="748"/>
      <c r="H1" s="748"/>
      <c r="I1" s="748"/>
      <c r="J1" s="748"/>
      <c r="K1" s="748"/>
      <c r="L1" s="748"/>
      <c r="M1" s="748"/>
      <c r="N1" s="748"/>
      <c r="O1" s="748"/>
      <c r="P1" s="748"/>
      <c r="Q1" s="748"/>
    </row>
    <row r="2" spans="1:18" ht="15.75">
      <c r="B2" s="748"/>
      <c r="D2" s="748"/>
      <c r="E2" s="748"/>
      <c r="F2" s="748"/>
      <c r="G2" s="748"/>
      <c r="H2" s="748"/>
      <c r="I2" s="748"/>
      <c r="J2" s="748"/>
      <c r="K2" s="748"/>
      <c r="L2" s="1612">
        <f ca="1">TODAY()</f>
        <v>43229</v>
      </c>
      <c r="M2" s="1612"/>
      <c r="N2" s="748"/>
      <c r="O2" s="748"/>
      <c r="P2" s="748"/>
      <c r="Q2" s="748"/>
    </row>
    <row r="3" spans="1:18" ht="12.75" customHeight="1">
      <c r="B3" s="748"/>
      <c r="D3" s="748"/>
      <c r="E3" s="748"/>
      <c r="F3" s="748"/>
      <c r="G3" s="748"/>
      <c r="H3" s="748"/>
      <c r="I3" s="748"/>
      <c r="J3" s="748"/>
      <c r="K3" s="748"/>
      <c r="L3" s="748"/>
      <c r="M3" s="748"/>
      <c r="N3" s="748"/>
      <c r="O3" s="279"/>
      <c r="P3" s="279"/>
      <c r="Q3" s="279"/>
    </row>
    <row r="4" spans="1:18" ht="12.75" customHeight="1">
      <c r="B4" s="748"/>
      <c r="D4" s="743"/>
      <c r="E4" s="743"/>
      <c r="F4" s="748"/>
      <c r="G4" s="748"/>
      <c r="H4" s="748"/>
      <c r="I4" s="748"/>
      <c r="J4" s="748"/>
      <c r="K4" s="748"/>
      <c r="L4" s="1808" t="s">
        <v>340</v>
      </c>
      <c r="M4" s="1808"/>
      <c r="N4" s="748"/>
      <c r="O4" s="279"/>
      <c r="P4" s="279"/>
      <c r="Q4" s="279"/>
    </row>
    <row r="5" spans="1:18" ht="12.75" customHeight="1">
      <c r="B5" s="748"/>
      <c r="D5" s="743"/>
      <c r="E5" s="743"/>
      <c r="F5" s="748"/>
      <c r="G5" s="748"/>
      <c r="H5" s="748"/>
      <c r="I5" s="748"/>
      <c r="J5" s="748"/>
      <c r="K5" s="748"/>
      <c r="L5" s="1808" t="s">
        <v>339</v>
      </c>
      <c r="M5" s="1808"/>
      <c r="N5" s="748"/>
      <c r="O5" s="277"/>
      <c r="P5" s="277"/>
      <c r="Q5" s="277"/>
      <c r="R5" s="274"/>
    </row>
    <row r="6" spans="1:18" ht="12.75" customHeight="1">
      <c r="B6" s="748"/>
      <c r="C6" s="2239" t="s">
        <v>103</v>
      </c>
      <c r="D6" s="2239"/>
      <c r="E6" s="2239"/>
      <c r="F6" s="2239"/>
      <c r="G6" s="2239"/>
      <c r="H6" s="2239"/>
      <c r="I6" s="748"/>
      <c r="J6" s="748"/>
      <c r="K6" s="748"/>
      <c r="L6" s="748"/>
      <c r="M6" s="748"/>
      <c r="N6" s="748"/>
      <c r="O6" s="277"/>
      <c r="P6" s="277"/>
      <c r="Q6" s="277"/>
      <c r="R6" s="274"/>
    </row>
    <row r="7" spans="1:18" ht="12.75">
      <c r="B7" s="748"/>
      <c r="C7" s="2239"/>
      <c r="D7" s="2239"/>
      <c r="E7" s="2239"/>
      <c r="F7" s="2239"/>
      <c r="G7" s="2239"/>
      <c r="H7" s="2239"/>
      <c r="I7" s="56"/>
      <c r="J7" s="748"/>
      <c r="K7" s="748"/>
      <c r="L7" s="748"/>
      <c r="M7" s="748"/>
      <c r="N7" s="748"/>
      <c r="O7" s="748"/>
      <c r="P7" s="748"/>
      <c r="Q7" s="748"/>
    </row>
    <row r="8" spans="1:18" ht="16.5" thickBot="1">
      <c r="B8" s="748"/>
      <c r="C8" s="2240"/>
      <c r="D8" s="2240"/>
      <c r="E8" s="2240"/>
      <c r="F8" s="2240"/>
      <c r="G8" s="2240"/>
      <c r="H8" s="2240"/>
      <c r="I8" s="56"/>
      <c r="J8" s="278"/>
      <c r="K8" s="753" t="s">
        <v>251</v>
      </c>
      <c r="L8" s="747">
        <f>Main!E9</f>
        <v>30</v>
      </c>
      <c r="M8" s="275" t="s">
        <v>234</v>
      </c>
      <c r="N8" s="748"/>
      <c r="O8" s="1598" t="s">
        <v>232</v>
      </c>
      <c r="P8" s="1598"/>
      <c r="Q8" s="1598"/>
    </row>
    <row r="9" spans="1:18" ht="16.5" thickTop="1">
      <c r="B9" s="748"/>
      <c r="C9" s="1816" t="s">
        <v>338</v>
      </c>
      <c r="D9" s="1816"/>
      <c r="E9" s="1816"/>
      <c r="F9" s="1816"/>
      <c r="G9" s="1816"/>
      <c r="H9" s="1816"/>
      <c r="I9" s="743"/>
      <c r="J9" s="276"/>
      <c r="K9" s="744" t="s">
        <v>235</v>
      </c>
      <c r="L9" s="557">
        <f>Main!E12</f>
        <v>22</v>
      </c>
      <c r="M9" s="275" t="s">
        <v>234</v>
      </c>
      <c r="N9" s="748"/>
      <c r="O9" s="1598"/>
      <c r="P9" s="1598"/>
      <c r="Q9" s="1598"/>
    </row>
    <row r="10" spans="1:18" ht="15.75">
      <c r="B10" s="748"/>
      <c r="C10" s="2229" t="str">
        <f>CONCATENATE(Main!E8,(Main!F8))</f>
        <v>Sri.soumil</v>
      </c>
      <c r="D10" s="2229"/>
      <c r="E10" s="2229"/>
      <c r="F10" s="2229"/>
      <c r="G10" s="2229"/>
      <c r="H10" s="2229"/>
      <c r="I10" s="743"/>
      <c r="J10" s="2230" t="s">
        <v>233</v>
      </c>
      <c r="K10" s="2230"/>
      <c r="L10" s="1812">
        <f>Main!E10</f>
        <v>2500000</v>
      </c>
      <c r="M10" s="1812"/>
      <c r="N10" s="748"/>
      <c r="O10" s="2228" t="s">
        <v>226</v>
      </c>
      <c r="P10" s="1526"/>
      <c r="Q10" s="1526"/>
      <c r="R10" s="1526"/>
    </row>
    <row r="11" spans="1:18" ht="15.75" customHeight="1">
      <c r="A11" s="748"/>
      <c r="B11" s="748"/>
      <c r="C11" s="743"/>
      <c r="D11" s="743"/>
      <c r="E11" s="743"/>
      <c r="F11" s="743"/>
      <c r="G11" s="743"/>
      <c r="H11" s="743"/>
      <c r="I11" s="2231" t="s">
        <v>342</v>
      </c>
      <c r="J11" s="2232"/>
      <c r="K11" s="2232"/>
      <c r="L11" s="2232"/>
      <c r="M11" s="2233"/>
      <c r="N11" s="748"/>
      <c r="O11" s="2228"/>
      <c r="P11" s="1526"/>
      <c r="Q11" s="1526"/>
      <c r="R11" s="1526"/>
    </row>
    <row r="12" spans="1:18" ht="9.75" customHeight="1">
      <c r="B12" s="748"/>
      <c r="C12" s="2237" t="s">
        <v>337</v>
      </c>
      <c r="D12" s="2237"/>
      <c r="E12" s="2237"/>
      <c r="F12" s="2237"/>
      <c r="G12" s="2237"/>
      <c r="H12" s="2237"/>
      <c r="I12" s="2234"/>
      <c r="J12" s="2235"/>
      <c r="K12" s="2235"/>
      <c r="L12" s="2235"/>
      <c r="M12" s="2236"/>
      <c r="N12" s="748"/>
      <c r="O12" s="748"/>
      <c r="P12" s="748"/>
      <c r="Q12" s="748"/>
    </row>
    <row r="13" spans="1:18" ht="12.75" customHeight="1">
      <c r="B13" s="748"/>
      <c r="C13" s="2237"/>
      <c r="D13" s="2237"/>
      <c r="E13" s="2237"/>
      <c r="F13" s="2237"/>
      <c r="G13" s="2237"/>
      <c r="H13" s="2238"/>
      <c r="I13" s="1921" t="s">
        <v>2116</v>
      </c>
      <c r="J13" s="1922"/>
      <c r="K13" s="1905"/>
      <c r="L13" s="2244" t="e">
        <f>DAT!AS9</f>
        <v>#VALUE!</v>
      </c>
      <c r="M13" s="2245"/>
      <c r="N13" s="748"/>
      <c r="O13" s="748"/>
      <c r="P13" s="748"/>
      <c r="Q13" s="748"/>
    </row>
    <row r="14" spans="1:18" ht="12.75" customHeight="1">
      <c r="B14" s="748"/>
      <c r="C14" s="2227" t="s">
        <v>227</v>
      </c>
      <c r="D14" s="2227"/>
      <c r="E14" s="2227"/>
      <c r="F14" s="2227"/>
      <c r="G14" s="285"/>
      <c r="H14" s="284"/>
      <c r="I14" s="2241"/>
      <c r="J14" s="2242"/>
      <c r="K14" s="2243"/>
      <c r="L14" s="2246"/>
      <c r="M14" s="2247"/>
      <c r="N14" s="748"/>
      <c r="O14" s="1596" t="s">
        <v>228</v>
      </c>
      <c r="P14" s="1597"/>
      <c r="Q14" s="1597"/>
    </row>
    <row r="15" spans="1:18" ht="15.75" customHeight="1">
      <c r="B15" s="748"/>
      <c r="C15" s="2227"/>
      <c r="D15" s="2227"/>
      <c r="E15" s="2227"/>
      <c r="F15" s="2227"/>
      <c r="H15" s="748"/>
      <c r="J15" s="748"/>
      <c r="K15" s="748"/>
      <c r="L15" s="748"/>
      <c r="M15" s="748"/>
      <c r="N15" s="748"/>
      <c r="O15" s="1597"/>
      <c r="P15" s="1597"/>
      <c r="Q15" s="1597"/>
    </row>
    <row r="16" spans="1:18" ht="15">
      <c r="B16" s="74" t="s">
        <v>243</v>
      </c>
      <c r="C16" s="1996" t="s">
        <v>336</v>
      </c>
      <c r="D16" s="1996"/>
      <c r="E16" s="1996"/>
      <c r="F16" s="1996"/>
      <c r="G16" s="1996"/>
      <c r="H16" s="1996"/>
      <c r="I16" s="1996"/>
      <c r="J16" s="748"/>
      <c r="K16" s="748"/>
      <c r="L16" s="748"/>
      <c r="M16" s="748"/>
      <c r="N16" s="748"/>
      <c r="O16" s="1794" t="s">
        <v>226</v>
      </c>
      <c r="P16" s="1391"/>
      <c r="Q16" s="1391"/>
      <c r="R16" s="1391"/>
    </row>
    <row r="17" spans="1:18" ht="15">
      <c r="B17" s="74" t="s">
        <v>243</v>
      </c>
      <c r="C17" s="1996" t="s">
        <v>335</v>
      </c>
      <c r="D17" s="1996"/>
      <c r="E17" s="1996"/>
      <c r="F17" s="1996"/>
      <c r="G17" s="1996"/>
      <c r="H17" s="1996"/>
      <c r="I17" s="1996"/>
      <c r="J17" s="748"/>
      <c r="K17" s="748"/>
      <c r="L17" s="748"/>
      <c r="M17" s="748"/>
      <c r="N17" s="748"/>
      <c r="O17" s="1794"/>
      <c r="P17" s="1391"/>
      <c r="Q17" s="1391"/>
      <c r="R17" s="1391"/>
    </row>
    <row r="18" spans="1:18" ht="15">
      <c r="B18" s="74" t="s">
        <v>243</v>
      </c>
      <c r="C18" s="1996" t="s">
        <v>334</v>
      </c>
      <c r="D18" s="1996"/>
      <c r="E18" s="1996"/>
      <c r="F18" s="1996"/>
      <c r="G18" s="1996"/>
      <c r="H18" s="1996"/>
      <c r="I18" s="1996"/>
      <c r="J18" s="748"/>
      <c r="K18" s="748"/>
      <c r="L18" s="748"/>
      <c r="M18" s="748"/>
      <c r="N18" s="748"/>
      <c r="O18" s="748"/>
      <c r="P18" s="748"/>
      <c r="Q18" s="748"/>
    </row>
    <row r="19" spans="1:18" ht="15">
      <c r="B19" s="74"/>
      <c r="C19" s="2251" t="s">
        <v>333</v>
      </c>
      <c r="D19" s="2251"/>
      <c r="E19" s="2251"/>
      <c r="F19" s="2251"/>
      <c r="G19" s="2251"/>
      <c r="H19" s="2251"/>
      <c r="I19" s="2251"/>
      <c r="J19" s="748"/>
      <c r="K19" s="748"/>
      <c r="L19" s="748"/>
      <c r="M19" s="748"/>
      <c r="N19" s="748"/>
      <c r="O19" s="748"/>
      <c r="P19" s="748"/>
      <c r="Q19" s="748"/>
    </row>
    <row r="20" spans="1:18" ht="15">
      <c r="B20" s="74" t="s">
        <v>243</v>
      </c>
      <c r="C20" s="1992" t="s">
        <v>332</v>
      </c>
      <c r="D20" s="1992"/>
      <c r="E20" s="1992"/>
      <c r="F20" s="1992"/>
      <c r="G20" s="1992"/>
      <c r="H20" s="1992"/>
      <c r="I20" s="1992"/>
      <c r="J20" s="748"/>
      <c r="K20" s="748"/>
      <c r="L20" s="748"/>
      <c r="M20" s="748"/>
      <c r="N20" s="748"/>
      <c r="O20" s="748"/>
      <c r="P20" s="748"/>
      <c r="Q20" s="748"/>
    </row>
    <row r="21" spans="1:18" ht="15">
      <c r="B21" s="74"/>
      <c r="C21" s="1992" t="s">
        <v>331</v>
      </c>
      <c r="D21" s="1992"/>
      <c r="E21" s="1992"/>
      <c r="F21" s="1992"/>
      <c r="G21" s="1992"/>
      <c r="H21" s="1992"/>
      <c r="I21" s="1992"/>
      <c r="J21" s="748"/>
      <c r="K21" s="748"/>
      <c r="L21" s="748"/>
      <c r="M21" s="748"/>
      <c r="N21" s="748"/>
      <c r="O21" s="748"/>
      <c r="P21" s="748"/>
      <c r="Q21" s="748"/>
    </row>
    <row r="22" spans="1:18" ht="15.75" thickBot="1">
      <c r="B22" s="74" t="s">
        <v>243</v>
      </c>
      <c r="C22" s="1996" t="s">
        <v>225</v>
      </c>
      <c r="D22" s="1996"/>
      <c r="E22" s="1996"/>
      <c r="F22" s="1996"/>
      <c r="G22" s="1996"/>
      <c r="H22" s="1996"/>
      <c r="I22" s="1996"/>
      <c r="J22" s="748"/>
      <c r="K22" s="748"/>
      <c r="L22" s="748"/>
      <c r="M22" s="748"/>
      <c r="N22" s="748"/>
      <c r="O22" s="748"/>
      <c r="P22" s="748"/>
      <c r="Q22" s="748"/>
    </row>
    <row r="23" spans="1:18" ht="14.25" thickTop="1" thickBot="1">
      <c r="A23" s="2248" t="s">
        <v>330</v>
      </c>
      <c r="B23" s="748"/>
      <c r="C23" s="1929" t="s">
        <v>17</v>
      </c>
      <c r="D23" s="1998" t="s">
        <v>223</v>
      </c>
      <c r="E23" s="2249" t="s">
        <v>342</v>
      </c>
      <c r="F23" s="1933" t="s">
        <v>221</v>
      </c>
      <c r="G23" s="1933"/>
      <c r="H23" s="259"/>
      <c r="I23" s="56"/>
      <c r="J23" s="743"/>
      <c r="K23" s="748"/>
      <c r="L23" s="748"/>
      <c r="M23" s="748"/>
      <c r="N23" s="748"/>
      <c r="O23" s="748"/>
      <c r="P23" s="748"/>
      <c r="Q23" s="748"/>
    </row>
    <row r="24" spans="1:18" ht="14.25" thickTop="1" thickBot="1">
      <c r="A24" s="2248"/>
      <c r="B24" s="748"/>
      <c r="C24" s="1929"/>
      <c r="D24" s="1998"/>
      <c r="E24" s="2250"/>
      <c r="F24" s="734" t="s">
        <v>217</v>
      </c>
      <c r="G24" s="734" t="s">
        <v>216</v>
      </c>
      <c r="H24" s="259"/>
      <c r="I24" s="56"/>
      <c r="J24" s="743"/>
      <c r="K24" s="748"/>
      <c r="L24" s="748"/>
      <c r="M24" s="748"/>
      <c r="N24" s="748"/>
      <c r="O24" s="748"/>
      <c r="P24" s="748"/>
      <c r="Q24" s="748"/>
    </row>
    <row r="25" spans="1:18" ht="13.5" thickTop="1">
      <c r="A25" s="283">
        <v>0</v>
      </c>
      <c r="B25" s="748"/>
      <c r="C25" s="257">
        <f>L8</f>
        <v>30</v>
      </c>
      <c r="D25" s="257" t="str">
        <f ca="1">IF(A25&lt;$L$9,(((DAY(NOW())&amp;"/")&amp;MONTH(NOW()))&amp;"/")&amp;((YEAR(NOW()))),0)</f>
        <v>9/5/2018</v>
      </c>
      <c r="E25" s="282" t="e">
        <f>DAT!AS9</f>
        <v>#VALUE!</v>
      </c>
      <c r="F25" s="257">
        <f>IF(A25&lt;$L$9,MAT!BC220," ")</f>
        <v>2625000</v>
      </c>
      <c r="G25" s="257">
        <f>IF(A25&lt;$L$9,MAT!BD220," ")</f>
        <v>5125000</v>
      </c>
      <c r="H25" s="268"/>
      <c r="I25" s="746"/>
      <c r="J25" s="743"/>
      <c r="K25" s="748"/>
      <c r="L25" s="748"/>
      <c r="M25" s="748"/>
      <c r="N25" s="748"/>
      <c r="O25" s="748"/>
      <c r="P25" s="748"/>
      <c r="Q25" s="748"/>
    </row>
    <row r="26" spans="1:18" ht="12.75">
      <c r="A26" s="281">
        <v>1</v>
      </c>
      <c r="B26" s="748"/>
      <c r="C26" s="257">
        <f t="shared" ref="C26:C59" si="0">IF(A26&lt;$L$9,$C$25+A26," ")</f>
        <v>31</v>
      </c>
      <c r="D26" s="257" t="str">
        <f t="shared" ref="D26:D59" ca="1" si="1">IF(A26&lt;$L$9,(((DAY(NOW())&amp;"/")&amp;MONTH(NOW()))&amp;"/")&amp;((YEAR(NOW())))+A26," ")</f>
        <v>9/5/2019</v>
      </c>
      <c r="E26" s="257">
        <f t="shared" ref="E26:E59" si="2">IF(A26&lt;$L$9,0," ")</f>
        <v>0</v>
      </c>
      <c r="F26" s="257">
        <f>IF(A26&lt;$L$9,MAT!BC221," ")</f>
        <v>2750000</v>
      </c>
      <c r="G26" s="257">
        <f>IF(A26&lt;$L$9,MAT!BD221," ")</f>
        <v>5250000</v>
      </c>
      <c r="H26" s="268"/>
      <c r="I26" s="746"/>
      <c r="J26" s="743"/>
      <c r="K26" s="748"/>
      <c r="L26" s="748"/>
      <c r="M26" s="748"/>
      <c r="N26" s="748"/>
      <c r="O26" s="748"/>
      <c r="P26" s="748"/>
      <c r="Q26" s="748"/>
    </row>
    <row r="27" spans="1:18" ht="12.75">
      <c r="A27" s="281">
        <v>2</v>
      </c>
      <c r="B27" s="748"/>
      <c r="C27" s="257">
        <f t="shared" si="0"/>
        <v>32</v>
      </c>
      <c r="D27" s="257" t="str">
        <f t="shared" ca="1" si="1"/>
        <v>9/5/2020</v>
      </c>
      <c r="E27" s="257">
        <f t="shared" si="2"/>
        <v>0</v>
      </c>
      <c r="F27" s="257">
        <f>IF(A27&lt;$L$9,MAT!BC222," ")</f>
        <v>2875000</v>
      </c>
      <c r="G27" s="257">
        <f>IF(A27&lt;$L$9,MAT!BD222," ")</f>
        <v>5375000</v>
      </c>
      <c r="H27" s="268"/>
      <c r="I27" s="746"/>
      <c r="J27" s="743"/>
      <c r="K27" s="748"/>
      <c r="L27" s="748"/>
      <c r="M27" s="748"/>
      <c r="N27" s="748"/>
      <c r="O27" s="748"/>
      <c r="P27" s="748"/>
      <c r="Q27" s="748"/>
    </row>
    <row r="28" spans="1:18" ht="12.75">
      <c r="A28" s="281">
        <v>3</v>
      </c>
      <c r="B28" s="748"/>
      <c r="C28" s="257">
        <f t="shared" si="0"/>
        <v>33</v>
      </c>
      <c r="D28" s="257" t="str">
        <f t="shared" ca="1" si="1"/>
        <v>9/5/2021</v>
      </c>
      <c r="E28" s="257">
        <f t="shared" si="2"/>
        <v>0</v>
      </c>
      <c r="F28" s="257">
        <f>IF(A28&lt;$L$9,MAT!BC223," ")</f>
        <v>3000000</v>
      </c>
      <c r="G28" s="257">
        <f>IF(A28&lt;$L$9,MAT!BD223," ")</f>
        <v>5500000</v>
      </c>
      <c r="H28" s="268"/>
      <c r="I28" s="746"/>
      <c r="J28" s="743"/>
      <c r="K28" s="748"/>
      <c r="L28" s="748"/>
      <c r="M28" s="748"/>
      <c r="N28" s="748"/>
      <c r="O28" s="748"/>
      <c r="P28" s="748"/>
      <c r="Q28" s="748"/>
    </row>
    <row r="29" spans="1:18" ht="12.75">
      <c r="A29" s="281">
        <v>4</v>
      </c>
      <c r="B29" s="748"/>
      <c r="C29" s="257">
        <f t="shared" si="0"/>
        <v>34</v>
      </c>
      <c r="D29" s="257" t="str">
        <f t="shared" ca="1" si="1"/>
        <v>9/5/2022</v>
      </c>
      <c r="E29" s="257">
        <f t="shared" si="2"/>
        <v>0</v>
      </c>
      <c r="F29" s="257">
        <f>IF(A29&lt;$L$9,MAT!BC224," ")</f>
        <v>3125000</v>
      </c>
      <c r="G29" s="257">
        <f>IF(A29&lt;$L$9,MAT!BD224," ")</f>
        <v>5625000</v>
      </c>
      <c r="H29" s="2263" t="str">
        <f>IF(Main!L14="YES","Commudation on Vesting                   Rs."," ")</f>
        <v>Commudation on Vesting                   Rs.</v>
      </c>
      <c r="I29" s="2264"/>
      <c r="J29" s="743"/>
      <c r="K29" s="748"/>
      <c r="L29" s="748"/>
      <c r="M29" s="748"/>
      <c r="N29" s="748"/>
      <c r="O29" s="748"/>
      <c r="P29" s="748"/>
      <c r="Q29" s="748"/>
    </row>
    <row r="30" spans="1:18" ht="15" customHeight="1">
      <c r="A30" s="281">
        <v>5</v>
      </c>
      <c r="B30" s="748"/>
      <c r="C30" s="257">
        <f t="shared" si="0"/>
        <v>35</v>
      </c>
      <c r="D30" s="257" t="str">
        <f t="shared" ca="1" si="1"/>
        <v>9/5/2023</v>
      </c>
      <c r="E30" s="257">
        <f t="shared" si="2"/>
        <v>0</v>
      </c>
      <c r="F30" s="257">
        <f>IF(A30&lt;$L$9,MAT!BC225," ")</f>
        <v>3130000</v>
      </c>
      <c r="G30" s="257">
        <f>IF(A30&lt;$L$9,MAT!BD225," ")</f>
        <v>5630000</v>
      </c>
      <c r="H30" s="2263"/>
      <c r="I30" s="2264"/>
      <c r="J30" s="743"/>
      <c r="K30" s="748"/>
      <c r="L30" s="748"/>
      <c r="M30" s="748"/>
      <c r="N30" s="748"/>
      <c r="O30" s="748"/>
      <c r="P30" s="748"/>
      <c r="Q30" s="748"/>
    </row>
    <row r="31" spans="1:18" ht="12.75">
      <c r="A31" s="281">
        <v>6</v>
      </c>
      <c r="B31" s="748"/>
      <c r="C31" s="257">
        <f t="shared" si="0"/>
        <v>36</v>
      </c>
      <c r="D31" s="257" t="str">
        <f t="shared" ca="1" si="1"/>
        <v>9/5/2024</v>
      </c>
      <c r="E31" s="257">
        <f t="shared" si="2"/>
        <v>0</v>
      </c>
      <c r="F31" s="257">
        <f>IF(A31&lt;$L$9,MAT!BC226," ")</f>
        <v>3235000</v>
      </c>
      <c r="G31" s="257">
        <f>IF(A31&lt;$L$9,MAT!BD226," ")</f>
        <v>5735000</v>
      </c>
      <c r="H31" s="2263"/>
      <c r="I31" s="2264"/>
      <c r="J31" s="743"/>
      <c r="K31" s="748"/>
      <c r="L31" s="748"/>
      <c r="M31" s="748"/>
      <c r="N31" s="748"/>
      <c r="O31" s="748"/>
      <c r="P31" s="748"/>
      <c r="Q31" s="748"/>
    </row>
    <row r="32" spans="1:18" ht="12.75">
      <c r="A32" s="281">
        <v>7</v>
      </c>
      <c r="B32" s="748"/>
      <c r="C32" s="257">
        <f t="shared" si="0"/>
        <v>37</v>
      </c>
      <c r="D32" s="257" t="str">
        <f t="shared" ca="1" si="1"/>
        <v>9/5/2025</v>
      </c>
      <c r="E32" s="257">
        <f t="shared" si="2"/>
        <v>0</v>
      </c>
      <c r="F32" s="257">
        <f>IF(A32&lt;$L$9,MAT!BC227," ")</f>
        <v>3340000</v>
      </c>
      <c r="G32" s="257">
        <f>IF(A32&lt;$L$9,MAT!BD227," ")</f>
        <v>5840000</v>
      </c>
      <c r="H32" s="2265">
        <f>IF(Main!L14="YES",PM!BK354," ")</f>
        <v>1846666.6666666667</v>
      </c>
      <c r="I32" s="2266"/>
      <c r="J32" s="743"/>
      <c r="K32" s="748"/>
      <c r="L32" s="748"/>
      <c r="M32" s="748"/>
      <c r="N32" s="748"/>
      <c r="O32" s="748"/>
      <c r="P32" s="748"/>
      <c r="Q32" s="748"/>
    </row>
    <row r="33" spans="1:17" ht="12.75">
      <c r="A33" s="281">
        <v>8</v>
      </c>
      <c r="B33" s="748"/>
      <c r="C33" s="257">
        <f t="shared" si="0"/>
        <v>38</v>
      </c>
      <c r="D33" s="257" t="str">
        <f t="shared" ca="1" si="1"/>
        <v>9/5/2026</v>
      </c>
      <c r="E33" s="257">
        <f t="shared" si="2"/>
        <v>0</v>
      </c>
      <c r="F33" s="257">
        <f>IF(A33&lt;$L$9,MAT!BC228," ")</f>
        <v>3445000</v>
      </c>
      <c r="G33" s="257">
        <f>IF(A33&lt;$L$9,MAT!BD228," ")</f>
        <v>5945000</v>
      </c>
      <c r="H33" s="2265"/>
      <c r="I33" s="2266"/>
      <c r="J33" s="743"/>
      <c r="K33" s="748"/>
      <c r="L33" s="748"/>
      <c r="M33" s="748"/>
      <c r="N33" s="748"/>
      <c r="O33" s="748"/>
      <c r="P33" s="748"/>
      <c r="Q33" s="748"/>
    </row>
    <row r="34" spans="1:17" ht="12.75">
      <c r="A34" s="281">
        <v>9</v>
      </c>
      <c r="B34" s="748"/>
      <c r="C34" s="257">
        <f t="shared" si="0"/>
        <v>39</v>
      </c>
      <c r="D34" s="257" t="str">
        <f t="shared" ca="1" si="1"/>
        <v>9/5/2027</v>
      </c>
      <c r="E34" s="257">
        <f t="shared" si="2"/>
        <v>0</v>
      </c>
      <c r="F34" s="257">
        <f>IF(A34&lt;$L$9,MAT!BC229," ")</f>
        <v>3550000</v>
      </c>
      <c r="G34" s="257">
        <f>IF(A34&lt;$L$9,MAT!BD229," ")</f>
        <v>6050000</v>
      </c>
      <c r="H34" s="268"/>
      <c r="I34" s="746"/>
      <c r="J34" s="743"/>
      <c r="K34" s="748"/>
      <c r="L34" s="748"/>
      <c r="M34" s="748"/>
      <c r="N34" s="748"/>
      <c r="O34" s="748"/>
      <c r="P34" s="748"/>
      <c r="Q34" s="748"/>
    </row>
    <row r="35" spans="1:17" ht="15" customHeight="1">
      <c r="A35" s="281">
        <v>10</v>
      </c>
      <c r="B35" s="748"/>
      <c r="C35" s="257">
        <f t="shared" si="0"/>
        <v>40</v>
      </c>
      <c r="D35" s="257" t="str">
        <f t="shared" ca="1" si="1"/>
        <v>9/5/2028</v>
      </c>
      <c r="E35" s="257">
        <f t="shared" si="2"/>
        <v>0</v>
      </c>
      <c r="F35" s="257">
        <f>IF(A35&lt;$L$9,MAT!BC230," ")</f>
        <v>3710000</v>
      </c>
      <c r="G35" s="257">
        <f>IF(A35&lt;$L$9,MAT!BD230," ")</f>
        <v>6210000</v>
      </c>
      <c r="H35" s="268"/>
      <c r="I35" s="746"/>
      <c r="J35" s="743"/>
      <c r="K35" s="748"/>
      <c r="L35" s="748"/>
      <c r="M35" s="748"/>
      <c r="N35" s="748"/>
      <c r="O35" s="748"/>
      <c r="P35" s="748"/>
      <c r="Q35" s="748"/>
    </row>
    <row r="36" spans="1:17" ht="12.75">
      <c r="A36" s="281">
        <v>11</v>
      </c>
      <c r="B36" s="748"/>
      <c r="C36" s="257">
        <f t="shared" si="0"/>
        <v>41</v>
      </c>
      <c r="D36" s="257" t="str">
        <f t="shared" ca="1" si="1"/>
        <v>9/5/2029</v>
      </c>
      <c r="E36" s="257">
        <f t="shared" si="2"/>
        <v>0</v>
      </c>
      <c r="F36" s="257">
        <f>IF(A36&lt;$L$9,MAT!BC231," ")</f>
        <v>3820000</v>
      </c>
      <c r="G36" s="257">
        <f>IF(A36&lt;$L$9,MAT!BD231," ")</f>
        <v>6320000</v>
      </c>
      <c r="H36" s="268"/>
      <c r="I36" s="746"/>
      <c r="J36" s="743"/>
      <c r="K36" s="748"/>
      <c r="L36" s="748"/>
      <c r="M36" s="748"/>
      <c r="N36" s="748"/>
      <c r="O36" s="748"/>
      <c r="P36" s="748"/>
      <c r="Q36" s="748"/>
    </row>
    <row r="37" spans="1:17" ht="12.75">
      <c r="A37" s="281">
        <v>12</v>
      </c>
      <c r="B37" s="748"/>
      <c r="C37" s="257">
        <f t="shared" si="0"/>
        <v>42</v>
      </c>
      <c r="D37" s="257" t="str">
        <f t="shared" ca="1" si="1"/>
        <v>9/5/2030</v>
      </c>
      <c r="E37" s="257">
        <f t="shared" si="2"/>
        <v>0</v>
      </c>
      <c r="F37" s="257">
        <f>IF(A37&lt;$L$9,MAT!BC232," ")</f>
        <v>3930000</v>
      </c>
      <c r="G37" s="257">
        <f>IF(A37&lt;$L$9,MAT!BD232," ")</f>
        <v>6430000</v>
      </c>
      <c r="H37" s="743"/>
      <c r="I37" s="1959" t="s">
        <v>329</v>
      </c>
      <c r="J37" s="1959"/>
      <c r="K37" s="1959"/>
      <c r="L37" s="1959"/>
      <c r="M37" s="743"/>
      <c r="N37" s="748"/>
      <c r="O37" s="748"/>
      <c r="P37" s="748"/>
      <c r="Q37" s="748"/>
    </row>
    <row r="38" spans="1:17" ht="12.75">
      <c r="A38" s="281">
        <v>13</v>
      </c>
      <c r="B38" s="748"/>
      <c r="C38" s="257">
        <f t="shared" si="0"/>
        <v>43</v>
      </c>
      <c r="D38" s="257" t="str">
        <f t="shared" ca="1" si="1"/>
        <v>9/5/2031</v>
      </c>
      <c r="E38" s="257">
        <f t="shared" si="2"/>
        <v>0</v>
      </c>
      <c r="F38" s="257">
        <f>IF(A38&lt;$L$9,MAT!BC233," ")</f>
        <v>4040000</v>
      </c>
      <c r="G38" s="257">
        <f>IF(A38&lt;$L$9,MAT!BD233," ")</f>
        <v>6540000</v>
      </c>
      <c r="H38" s="743"/>
      <c r="I38" s="1959"/>
      <c r="J38" s="1959"/>
      <c r="K38" s="1959"/>
      <c r="L38" s="1959"/>
      <c r="M38" s="743"/>
      <c r="N38" s="748"/>
      <c r="O38" s="748"/>
      <c r="P38" s="748"/>
      <c r="Q38" s="748"/>
    </row>
    <row r="39" spans="1:17" ht="12.75">
      <c r="A39" s="281">
        <v>14</v>
      </c>
      <c r="B39" s="748"/>
      <c r="C39" s="257">
        <f t="shared" si="0"/>
        <v>44</v>
      </c>
      <c r="D39" s="257" t="str">
        <f t="shared" ca="1" si="1"/>
        <v>9/5/2032</v>
      </c>
      <c r="E39" s="257">
        <f t="shared" si="2"/>
        <v>0</v>
      </c>
      <c r="F39" s="257">
        <f>IF(A39&lt;$L$9,MAT!BC234," ")</f>
        <v>4200000</v>
      </c>
      <c r="G39" s="257">
        <f>IF(A39&lt;$L$9,MAT!BD234," ")</f>
        <v>6700000</v>
      </c>
      <c r="H39" s="259"/>
      <c r="I39" s="1976">
        <f>L8+L9</f>
        <v>52</v>
      </c>
      <c r="J39" s="1976" t="s">
        <v>234</v>
      </c>
      <c r="K39" s="1975" t="str">
        <f ca="1">(((DAY(NOW())&amp;"/")&amp;MONTH(NOW()))&amp;"/")&amp;((YEAR(NOW())))+L9</f>
        <v>9/5/2040</v>
      </c>
      <c r="L39" s="1975"/>
      <c r="M39" s="743"/>
      <c r="N39" s="748"/>
      <c r="O39" s="748"/>
      <c r="P39" s="748"/>
      <c r="Q39" s="748"/>
    </row>
    <row r="40" spans="1:17" ht="13.5" customHeight="1">
      <c r="A40" s="281">
        <v>15</v>
      </c>
      <c r="B40" s="748"/>
      <c r="C40" s="257">
        <f t="shared" si="0"/>
        <v>45</v>
      </c>
      <c r="D40" s="257" t="str">
        <f t="shared" ca="1" si="1"/>
        <v>9/5/2033</v>
      </c>
      <c r="E40" s="257">
        <f t="shared" si="2"/>
        <v>0</v>
      </c>
      <c r="F40" s="257">
        <f>IF(A40&lt;$L$9,MAT!BC235," ")</f>
        <v>4402500</v>
      </c>
      <c r="G40" s="257">
        <f>IF(A40&lt;$L$9,MAT!BD235," ")</f>
        <v>6902500</v>
      </c>
      <c r="H40" s="259"/>
      <c r="I40" s="1976"/>
      <c r="J40" s="1976"/>
      <c r="K40" s="2252"/>
      <c r="L40" s="2252"/>
      <c r="M40" s="743"/>
      <c r="N40" s="748"/>
      <c r="O40" s="748"/>
      <c r="P40" s="748"/>
      <c r="Q40" s="748"/>
    </row>
    <row r="41" spans="1:17" ht="15.75">
      <c r="A41" s="281">
        <v>16</v>
      </c>
      <c r="B41" s="748"/>
      <c r="C41" s="257">
        <f t="shared" si="0"/>
        <v>46</v>
      </c>
      <c r="D41" s="257" t="str">
        <f t="shared" ca="1" si="1"/>
        <v>9/5/2034</v>
      </c>
      <c r="E41" s="257">
        <f t="shared" si="2"/>
        <v>0</v>
      </c>
      <c r="F41" s="257">
        <f>IF(A41&lt;$L$9,MAT!BC236," ")</f>
        <v>4530000</v>
      </c>
      <c r="G41" s="257">
        <f>IF(A41&lt;$L$9,MAT!BD236," ")</f>
        <v>7030000</v>
      </c>
      <c r="H41" s="265"/>
      <c r="I41" s="2253" t="s">
        <v>241</v>
      </c>
      <c r="J41" s="2253"/>
      <c r="K41" s="2254">
        <f>L10</f>
        <v>2500000</v>
      </c>
      <c r="L41" s="2254"/>
      <c r="M41" s="264"/>
      <c r="N41" s="748"/>
      <c r="O41" s="748"/>
      <c r="P41" s="748"/>
      <c r="Q41" s="748"/>
    </row>
    <row r="42" spans="1:17" ht="14.25" customHeight="1">
      <c r="A42" s="281">
        <v>17</v>
      </c>
      <c r="B42" s="748"/>
      <c r="C42" s="257">
        <f t="shared" si="0"/>
        <v>47</v>
      </c>
      <c r="D42" s="257" t="str">
        <f t="shared" ca="1" si="1"/>
        <v>9/5/2035</v>
      </c>
      <c r="E42" s="257">
        <f t="shared" si="2"/>
        <v>0</v>
      </c>
      <c r="F42" s="257">
        <f>IF(A42&lt;$L$9,MAT!BC237," ")</f>
        <v>4657500</v>
      </c>
      <c r="G42" s="257">
        <f>IF(A42&lt;$L$9,MAT!BD237," ")</f>
        <v>7157500</v>
      </c>
      <c r="H42" s="267"/>
      <c r="I42" s="2255" t="s">
        <v>328</v>
      </c>
      <c r="J42" s="2255"/>
      <c r="K42" s="2254">
        <f>((K41/1000)*5)*50</f>
        <v>625000</v>
      </c>
      <c r="L42" s="2254"/>
      <c r="M42" s="264"/>
      <c r="N42" s="748"/>
      <c r="O42" s="748"/>
      <c r="P42" s="748"/>
      <c r="Q42" s="748"/>
    </row>
    <row r="43" spans="1:17" ht="15.75">
      <c r="A43" s="281">
        <v>18</v>
      </c>
      <c r="B43" s="748"/>
      <c r="C43" s="257">
        <f t="shared" si="0"/>
        <v>48</v>
      </c>
      <c r="D43" s="257" t="str">
        <f t="shared" ca="1" si="1"/>
        <v>9/5/2036</v>
      </c>
      <c r="E43" s="257">
        <f t="shared" si="2"/>
        <v>0</v>
      </c>
      <c r="F43" s="257">
        <f>IF(A43&lt;$L$9,MAT!BC238," ")</f>
        <v>4810000</v>
      </c>
      <c r="G43" s="257">
        <f>IF(A43&lt;$L$9,MAT!BD238," ")</f>
        <v>7310000</v>
      </c>
      <c r="H43" s="265"/>
      <c r="I43" s="2253" t="s">
        <v>240</v>
      </c>
      <c r="J43" s="2253"/>
      <c r="K43" s="2256">
        <f>((L9-5)*MAT!AZ219)*(K41/1000)</f>
        <v>2040000</v>
      </c>
      <c r="L43" s="2256"/>
      <c r="M43" s="266"/>
      <c r="N43" s="748"/>
      <c r="O43" s="748"/>
      <c r="P43" s="748"/>
      <c r="Q43" s="748"/>
    </row>
    <row r="44" spans="1:17" ht="15.75">
      <c r="A44" s="281">
        <v>19</v>
      </c>
      <c r="B44" s="748"/>
      <c r="C44" s="257">
        <f t="shared" si="0"/>
        <v>49</v>
      </c>
      <c r="D44" s="257" t="str">
        <f t="shared" ca="1" si="1"/>
        <v>9/5/2037</v>
      </c>
      <c r="E44" s="257">
        <f t="shared" si="2"/>
        <v>0</v>
      </c>
      <c r="F44" s="257">
        <f>IF(A44&lt;$L$9,MAT!BC239," ")</f>
        <v>4975000</v>
      </c>
      <c r="G44" s="257">
        <f>IF(A44&lt;$L$9,MAT!BD239," ")</f>
        <v>7475000</v>
      </c>
      <c r="H44" s="265"/>
      <c r="I44" s="2253" t="s">
        <v>239</v>
      </c>
      <c r="J44" s="2253"/>
      <c r="K44" s="2257">
        <f>MAT!BB219</f>
        <v>375000</v>
      </c>
      <c r="L44" s="2258"/>
      <c r="M44" s="264"/>
      <c r="N44" s="748"/>
      <c r="O44" s="748"/>
      <c r="P44" s="748"/>
      <c r="Q44" s="748"/>
    </row>
    <row r="45" spans="1:17" ht="16.5" thickBot="1">
      <c r="A45" s="281">
        <v>20</v>
      </c>
      <c r="B45" s="748"/>
      <c r="C45" s="257">
        <f t="shared" si="0"/>
        <v>50</v>
      </c>
      <c r="D45" s="257" t="str">
        <f t="shared" ca="1" si="1"/>
        <v>9/5/2038</v>
      </c>
      <c r="E45" s="257">
        <f t="shared" si="2"/>
        <v>0</v>
      </c>
      <c r="F45" s="257">
        <f>IF(A45&lt;$L$9,MAT!BC240," ")</f>
        <v>5270000</v>
      </c>
      <c r="G45" s="257">
        <f>IF(A45&lt;$L$9,MAT!BD240," ")</f>
        <v>7770000</v>
      </c>
      <c r="H45" s="263"/>
      <c r="I45" s="2270" t="s">
        <v>238</v>
      </c>
      <c r="J45" s="2270"/>
      <c r="K45" s="2271">
        <f>K41+K42+K43+K44</f>
        <v>5540000</v>
      </c>
      <c r="L45" s="2271"/>
      <c r="M45" s="262"/>
      <c r="N45" s="748"/>
      <c r="O45" s="748"/>
      <c r="P45" s="748"/>
      <c r="Q45" s="748"/>
    </row>
    <row r="46" spans="1:17" ht="13.5" thickTop="1">
      <c r="A46" s="281">
        <v>21</v>
      </c>
      <c r="B46" s="748"/>
      <c r="C46" s="257">
        <f t="shared" si="0"/>
        <v>51</v>
      </c>
      <c r="D46" s="257" t="str">
        <f t="shared" ca="1" si="1"/>
        <v>9/5/2039</v>
      </c>
      <c r="E46" s="257">
        <f t="shared" si="2"/>
        <v>0</v>
      </c>
      <c r="F46" s="257">
        <f>IF(A46&lt;$L$9,MAT!BC241," ")</f>
        <v>5515000</v>
      </c>
      <c r="G46" s="257">
        <f>IF(A46&lt;$L$9,MAT!BD241," ")</f>
        <v>8015000</v>
      </c>
      <c r="H46" s="2272" t="s">
        <v>326</v>
      </c>
      <c r="I46" s="2273"/>
      <c r="J46" s="2273"/>
      <c r="K46" s="2274"/>
      <c r="L46" s="2278">
        <f>PM!BK355</f>
        <v>3693333.333333333</v>
      </c>
      <c r="M46" s="2279"/>
      <c r="N46" s="748"/>
      <c r="O46" s="748"/>
      <c r="P46" s="748"/>
      <c r="Q46" s="748"/>
    </row>
    <row r="47" spans="1:17" ht="13.5" thickBot="1">
      <c r="A47" s="281">
        <v>22</v>
      </c>
      <c r="B47" s="748"/>
      <c r="C47" s="257" t="str">
        <f t="shared" si="0"/>
        <v xml:space="preserve"> </v>
      </c>
      <c r="D47" s="257" t="str">
        <f t="shared" ca="1" si="1"/>
        <v xml:space="preserve"> </v>
      </c>
      <c r="E47" s="257" t="str">
        <f t="shared" si="2"/>
        <v xml:space="preserve"> </v>
      </c>
      <c r="F47" s="257" t="str">
        <f>IF(A47&lt;$L$9,MAT!BC242," ")</f>
        <v xml:space="preserve"> </v>
      </c>
      <c r="G47" s="257" t="str">
        <f>IF(A47&lt;$L$9,MAT!BD242," ")</f>
        <v xml:space="preserve"> </v>
      </c>
      <c r="H47" s="2275"/>
      <c r="I47" s="2276"/>
      <c r="J47" s="2276"/>
      <c r="K47" s="2277"/>
      <c r="L47" s="2280"/>
      <c r="M47" s="2281"/>
      <c r="N47" s="748"/>
      <c r="O47" s="748"/>
      <c r="P47" s="748"/>
      <c r="Q47" s="748"/>
    </row>
    <row r="48" spans="1:17" ht="14.25" thickTop="1" thickBot="1">
      <c r="A48" s="281">
        <v>23</v>
      </c>
      <c r="B48" s="748"/>
      <c r="C48" s="257" t="str">
        <f t="shared" si="0"/>
        <v xml:space="preserve"> </v>
      </c>
      <c r="D48" s="257" t="str">
        <f t="shared" ca="1" si="1"/>
        <v xml:space="preserve"> </v>
      </c>
      <c r="E48" s="257" t="str">
        <f t="shared" si="2"/>
        <v xml:space="preserve"> </v>
      </c>
      <c r="F48" s="257" t="str">
        <f>IF(A48&lt;$L$9,MAT!BC243," ")</f>
        <v xml:space="preserve"> </v>
      </c>
      <c r="G48" s="257" t="str">
        <f>IF(A48&lt;$L$9,MAT!BD243," ")</f>
        <v xml:space="preserve"> </v>
      </c>
      <c r="H48" s="2259" t="s">
        <v>341</v>
      </c>
      <c r="I48" s="2260"/>
      <c r="J48" s="2260"/>
      <c r="K48" s="2260"/>
      <c r="L48" s="2260"/>
      <c r="M48" s="2261"/>
      <c r="N48" s="748"/>
      <c r="O48" s="748"/>
      <c r="P48" s="748"/>
      <c r="Q48" s="748"/>
    </row>
    <row r="49" spans="1:17" ht="15" customHeight="1" thickTop="1" thickBot="1">
      <c r="A49" s="281">
        <v>24</v>
      </c>
      <c r="B49" s="748"/>
      <c r="C49" s="257" t="str">
        <f t="shared" si="0"/>
        <v xml:space="preserve"> </v>
      </c>
      <c r="D49" s="257" t="str">
        <f t="shared" ca="1" si="1"/>
        <v xml:space="preserve"> </v>
      </c>
      <c r="E49" s="257" t="str">
        <f t="shared" si="2"/>
        <v xml:space="preserve"> </v>
      </c>
      <c r="F49" s="257" t="str">
        <f>IF(A49&lt;$L$9,MAT!BC244," ")</f>
        <v xml:space="preserve"> </v>
      </c>
      <c r="G49" s="257" t="str">
        <f>IF(A49&lt;$L$9,MAT!BD244," ")</f>
        <v xml:space="preserve"> </v>
      </c>
      <c r="H49" s="2268"/>
      <c r="I49" s="2269"/>
      <c r="J49" s="2267" t="s">
        <v>196</v>
      </c>
      <c r="K49" s="2267" t="s">
        <v>324</v>
      </c>
      <c r="L49" s="2267" t="s">
        <v>198</v>
      </c>
      <c r="M49" s="2267" t="s">
        <v>323</v>
      </c>
      <c r="N49" s="748"/>
      <c r="O49" s="748"/>
      <c r="P49" s="748"/>
      <c r="Q49" s="748"/>
    </row>
    <row r="50" spans="1:17" ht="14.25" customHeight="1" thickTop="1" thickBot="1">
      <c r="A50" s="281">
        <v>25</v>
      </c>
      <c r="B50" s="748"/>
      <c r="C50" s="257" t="str">
        <f t="shared" si="0"/>
        <v xml:space="preserve"> </v>
      </c>
      <c r="D50" s="257" t="str">
        <f t="shared" ca="1" si="1"/>
        <v xml:space="preserve"> </v>
      </c>
      <c r="E50" s="257" t="str">
        <f t="shared" si="2"/>
        <v xml:space="preserve"> </v>
      </c>
      <c r="F50" s="257" t="str">
        <f>IF(A50&lt;$L$9,MAT!BC245," ")</f>
        <v xml:space="preserve"> </v>
      </c>
      <c r="G50" s="257" t="str">
        <f>IF(A50&lt;$L$9,MAT!BD245," ")</f>
        <v xml:space="preserve"> </v>
      </c>
      <c r="H50" s="2268"/>
      <c r="I50" s="2269"/>
      <c r="J50" s="2267"/>
      <c r="K50" s="2267"/>
      <c r="L50" s="2267"/>
      <c r="M50" s="2267"/>
      <c r="N50" s="748"/>
      <c r="O50" s="748"/>
      <c r="P50" s="748"/>
      <c r="Q50" s="748"/>
    </row>
    <row r="51" spans="1:17" ht="16.5" customHeight="1" thickTop="1" thickBot="1">
      <c r="A51" s="281">
        <v>26</v>
      </c>
      <c r="B51" s="748"/>
      <c r="C51" s="257" t="str">
        <f t="shared" si="0"/>
        <v xml:space="preserve"> </v>
      </c>
      <c r="D51" s="257" t="str">
        <f t="shared" ca="1" si="1"/>
        <v xml:space="preserve"> </v>
      </c>
      <c r="E51" s="257" t="str">
        <f t="shared" si="2"/>
        <v xml:space="preserve"> </v>
      </c>
      <c r="F51" s="257" t="str">
        <f>IF(A51&lt;$L$9,MAT!BC246," ")</f>
        <v xml:space="preserve"> </v>
      </c>
      <c r="G51" s="257" t="str">
        <f>IF(A51&lt;$L$9,MAT!BD246," ")</f>
        <v xml:space="preserve"> </v>
      </c>
      <c r="H51" s="2268" t="s">
        <v>322</v>
      </c>
      <c r="I51" s="2269"/>
      <c r="J51" s="261">
        <f>PM!AG437</f>
        <v>257240.66666666663</v>
      </c>
      <c r="K51" s="261">
        <f>PM!AH437</f>
        <v>125665.66666666666</v>
      </c>
      <c r="L51" s="261">
        <f>PM!AI437</f>
        <v>62094.166666666664</v>
      </c>
      <c r="M51" s="261">
        <f>PM!AJ437</f>
        <v>20559.555555555551</v>
      </c>
      <c r="N51" s="748"/>
      <c r="O51" s="748"/>
      <c r="P51" s="748"/>
      <c r="Q51" s="748"/>
    </row>
    <row r="52" spans="1:17" ht="14.25" thickTop="1" thickBot="1">
      <c r="A52" s="281">
        <v>27</v>
      </c>
      <c r="B52" s="748"/>
      <c r="C52" s="257" t="str">
        <f t="shared" si="0"/>
        <v xml:space="preserve"> </v>
      </c>
      <c r="D52" s="257" t="str">
        <f t="shared" ca="1" si="1"/>
        <v xml:space="preserve"> </v>
      </c>
      <c r="E52" s="257" t="str">
        <f t="shared" si="2"/>
        <v xml:space="preserve"> </v>
      </c>
      <c r="F52" s="257" t="str">
        <f>IF(A52&lt;$L$9,MAT!BC247," ")</f>
        <v xml:space="preserve"> </v>
      </c>
      <c r="G52" s="257" t="str">
        <f>IF(A52&lt;$L$9,MAT!BD247," ")</f>
        <v xml:space="preserve"> </v>
      </c>
      <c r="H52" s="2268" t="s">
        <v>321</v>
      </c>
      <c r="I52" s="2269"/>
      <c r="J52" s="260">
        <f>PM!AG438</f>
        <v>6.9650000000000031E-2</v>
      </c>
      <c r="K52" s="260">
        <f>PM!AH438</f>
        <v>6.9207700624999813E-2</v>
      </c>
      <c r="L52" s="260">
        <f>PM!AI438</f>
        <v>6.8965049729771008E-2</v>
      </c>
      <c r="M52" s="260">
        <f>PM!AJ438</f>
        <v>6.8883622612968043E-2</v>
      </c>
      <c r="N52" s="748"/>
      <c r="O52" s="748"/>
      <c r="P52" s="748"/>
      <c r="Q52" s="748"/>
    </row>
    <row r="53" spans="1:17" s="748" customFormat="1" ht="13.5" thickTop="1">
      <c r="A53" s="281">
        <v>28</v>
      </c>
      <c r="C53" s="257" t="str">
        <f t="shared" si="0"/>
        <v xml:space="preserve"> </v>
      </c>
      <c r="D53" s="257" t="str">
        <f t="shared" ca="1" si="1"/>
        <v xml:space="preserve"> </v>
      </c>
      <c r="E53" s="257" t="str">
        <f t="shared" si="2"/>
        <v xml:space="preserve"> </v>
      </c>
      <c r="F53" s="257" t="str">
        <f>IF(A53&lt;$L$9,MAT!BC248," ")</f>
        <v xml:space="preserve"> </v>
      </c>
      <c r="G53" s="257" t="str">
        <f>IF(A53&lt;$L$9,MAT!BD248," ")</f>
        <v xml:space="preserve"> </v>
      </c>
      <c r="J53" s="56"/>
      <c r="K53" s="56"/>
      <c r="L53" s="56"/>
      <c r="M53" s="56"/>
    </row>
    <row r="54" spans="1:17" ht="15" customHeight="1">
      <c r="A54" s="281">
        <v>29</v>
      </c>
      <c r="B54" s="748"/>
      <c r="C54" s="62" t="str">
        <f t="shared" si="0"/>
        <v xml:space="preserve"> </v>
      </c>
      <c r="D54" s="62" t="str">
        <f t="shared" ca="1" si="1"/>
        <v xml:space="preserve"> </v>
      </c>
      <c r="E54" s="62" t="str">
        <f t="shared" si="2"/>
        <v xml:space="preserve"> </v>
      </c>
      <c r="F54" s="257" t="str">
        <f>IF(A54&lt;$L$9,MAT!BC249," ")</f>
        <v xml:space="preserve"> </v>
      </c>
      <c r="G54" s="257" t="str">
        <f>IF(A54&lt;$L$9,MAT!BD249," ")</f>
        <v xml:space="preserve"> </v>
      </c>
      <c r="H54" s="268"/>
      <c r="I54" s="1892" t="s">
        <v>212</v>
      </c>
      <c r="J54" s="1383" t="str">
        <f>'VASANTHAM HOME'!E9</f>
        <v>ENTER YOUR NAME</v>
      </c>
      <c r="K54" s="1383"/>
      <c r="L54" s="1383"/>
      <c r="M54" s="1383"/>
      <c r="N54" s="748"/>
      <c r="O54" s="748"/>
      <c r="P54" s="748"/>
      <c r="Q54" s="748"/>
    </row>
    <row r="55" spans="1:17" ht="12.75">
      <c r="A55" s="281">
        <v>30</v>
      </c>
      <c r="B55" s="748"/>
      <c r="C55" s="62" t="str">
        <f t="shared" si="0"/>
        <v xml:space="preserve"> </v>
      </c>
      <c r="D55" s="62" t="str">
        <f t="shared" ca="1" si="1"/>
        <v xml:space="preserve"> </v>
      </c>
      <c r="E55" s="62" t="str">
        <f t="shared" si="2"/>
        <v xml:space="preserve"> </v>
      </c>
      <c r="F55" s="257" t="str">
        <f>IF(A55&lt;$L$9,MAT!BC250," ")</f>
        <v xml:space="preserve"> </v>
      </c>
      <c r="G55" s="257" t="str">
        <f>IF(A55&lt;$L$9,MAT!BD250," ")</f>
        <v xml:space="preserve"> </v>
      </c>
      <c r="H55" s="268"/>
      <c r="I55" s="1892"/>
      <c r="J55" s="1383" t="str">
        <f>'VASANTHAM HOME'!E10</f>
        <v>DESIGNATION</v>
      </c>
      <c r="K55" s="1383"/>
      <c r="L55" s="1383"/>
      <c r="M55" s="1383"/>
      <c r="N55" s="748"/>
      <c r="O55" s="748"/>
      <c r="P55" s="748"/>
      <c r="Q55" s="748"/>
    </row>
    <row r="56" spans="1:17" ht="12.75">
      <c r="A56" s="281">
        <v>31</v>
      </c>
      <c r="B56" s="748"/>
      <c r="C56" s="62" t="str">
        <f t="shared" si="0"/>
        <v xml:space="preserve"> </v>
      </c>
      <c r="D56" s="62" t="str">
        <f t="shared" ca="1" si="1"/>
        <v xml:space="preserve"> </v>
      </c>
      <c r="E56" s="62" t="str">
        <f t="shared" si="2"/>
        <v xml:space="preserve"> </v>
      </c>
      <c r="F56" s="257" t="str">
        <f>IF(A56&lt;$L$9,MAT!BC251," ")</f>
        <v xml:space="preserve"> </v>
      </c>
      <c r="G56" s="257" t="str">
        <f>IF(A56&lt;$L$9,MAT!BD251," ")</f>
        <v xml:space="preserve"> </v>
      </c>
      <c r="H56" s="268"/>
      <c r="I56" s="1892"/>
      <c r="J56" s="1383" t="str">
        <f>'VASANTHAM HOME'!E11</f>
        <v>ADDRESS 1</v>
      </c>
      <c r="K56" s="1383"/>
      <c r="L56" s="1383"/>
      <c r="M56" s="1383"/>
      <c r="N56" s="748"/>
      <c r="O56" s="748"/>
      <c r="P56" s="748"/>
      <c r="Q56" s="748"/>
    </row>
    <row r="57" spans="1:17" ht="13.5" customHeight="1">
      <c r="A57" s="281">
        <v>32</v>
      </c>
      <c r="B57" s="748"/>
      <c r="C57" s="62" t="str">
        <f t="shared" si="0"/>
        <v xml:space="preserve"> </v>
      </c>
      <c r="D57" s="62" t="str">
        <f t="shared" ca="1" si="1"/>
        <v xml:space="preserve"> </v>
      </c>
      <c r="E57" s="62" t="str">
        <f t="shared" si="2"/>
        <v xml:space="preserve"> </v>
      </c>
      <c r="F57" s="257" t="str">
        <f>IF(A57&lt;$L$9,MAT!BC252," ")</f>
        <v xml:space="preserve"> </v>
      </c>
      <c r="G57" s="257" t="str">
        <f>IF(A57&lt;$L$9,MAT!BD252," ")</f>
        <v xml:space="preserve"> </v>
      </c>
      <c r="H57" s="268"/>
      <c r="I57" s="1892"/>
      <c r="J57" s="1383" t="str">
        <f>'VASANTHAM HOME'!E12</f>
        <v>ADDRESS 2</v>
      </c>
      <c r="K57" s="1383"/>
      <c r="L57" s="1383"/>
      <c r="M57" s="1383"/>
      <c r="N57" s="748"/>
      <c r="O57" s="748"/>
      <c r="P57" s="748"/>
      <c r="Q57" s="748"/>
    </row>
    <row r="58" spans="1:17" ht="15.75" customHeight="1">
      <c r="A58" s="281">
        <v>33</v>
      </c>
      <c r="B58" s="748"/>
      <c r="C58" s="62" t="str">
        <f t="shared" si="0"/>
        <v xml:space="preserve"> </v>
      </c>
      <c r="D58" s="62" t="str">
        <f t="shared" ca="1" si="1"/>
        <v xml:space="preserve"> </v>
      </c>
      <c r="E58" s="62" t="str">
        <f t="shared" si="2"/>
        <v xml:space="preserve"> </v>
      </c>
      <c r="F58" s="257" t="str">
        <f>IF(A58&lt;$L$9,MAT!BC253," ")</f>
        <v xml:space="preserve"> </v>
      </c>
      <c r="G58" s="257" t="str">
        <f>IF(A58&lt;$L$9,MAT!BD253," ")</f>
        <v xml:space="preserve"> </v>
      </c>
      <c r="H58" s="268"/>
      <c r="I58" s="1892"/>
      <c r="J58" s="1383" t="str">
        <f>'VASANTHAM HOME'!E13</f>
        <v>ADDRESS 3</v>
      </c>
      <c r="K58" s="1383"/>
      <c r="L58" s="1383"/>
      <c r="M58" s="1383"/>
      <c r="N58" s="748"/>
      <c r="O58" s="748"/>
      <c r="P58" s="748"/>
      <c r="Q58" s="748"/>
    </row>
    <row r="59" spans="1:17" ht="14.25" customHeight="1">
      <c r="A59" s="281">
        <v>34</v>
      </c>
      <c r="B59" s="748"/>
      <c r="C59" s="62" t="str">
        <f t="shared" si="0"/>
        <v xml:space="preserve"> </v>
      </c>
      <c r="D59" s="62" t="str">
        <f t="shared" ca="1" si="1"/>
        <v xml:space="preserve"> </v>
      </c>
      <c r="E59" s="62" t="str">
        <f t="shared" si="2"/>
        <v xml:space="preserve"> </v>
      </c>
      <c r="F59" s="257" t="str">
        <f>IF(A59&lt;$L$9,MAT!BC254," ")</f>
        <v xml:space="preserve"> </v>
      </c>
      <c r="G59" s="257" t="str">
        <f>IF(A59&lt;$L$9,MAT!BD254," ")</f>
        <v xml:space="preserve"> </v>
      </c>
      <c r="H59" s="268"/>
      <c r="I59" s="1892"/>
      <c r="J59" s="1383" t="str">
        <f>'VASANTHAM HOME'!E14</f>
        <v>MOBILE NO :</v>
      </c>
      <c r="K59" s="1383"/>
      <c r="L59" s="1383"/>
      <c r="M59" s="1383"/>
      <c r="N59" s="748"/>
      <c r="O59" s="748"/>
      <c r="P59" s="748"/>
      <c r="Q59" s="748"/>
    </row>
    <row r="60" spans="1:17" ht="12.75">
      <c r="A60" s="256"/>
      <c r="B60" s="2017"/>
      <c r="C60" s="2018"/>
      <c r="D60" s="751"/>
      <c r="E60" s="751"/>
      <c r="F60" s="751"/>
      <c r="G60" s="751"/>
      <c r="H60" s="751"/>
      <c r="I60" s="1892"/>
      <c r="J60" s="1383" t="str">
        <f>'VASANTHAM HOME'!E15</f>
        <v>E.MAIL ID :</v>
      </c>
      <c r="K60" s="1383"/>
      <c r="L60" s="1383"/>
      <c r="M60" s="1383"/>
      <c r="N60" s="748"/>
      <c r="O60" s="748"/>
      <c r="P60" s="748"/>
      <c r="Q60" s="748"/>
    </row>
    <row r="61" spans="1:17" ht="12.75">
      <c r="A61" s="256"/>
      <c r="B61" s="750"/>
      <c r="C61" s="2017" t="s">
        <v>209</v>
      </c>
      <c r="D61" s="2018"/>
      <c r="E61" s="751"/>
      <c r="F61" s="751"/>
      <c r="G61" s="751"/>
      <c r="H61" s="751"/>
      <c r="I61" s="751"/>
      <c r="J61" s="745"/>
      <c r="K61" s="745"/>
      <c r="L61" s="745"/>
      <c r="M61" s="745"/>
      <c r="N61" s="748"/>
      <c r="O61" s="748"/>
      <c r="P61" s="748"/>
      <c r="Q61" s="748"/>
    </row>
    <row r="62" spans="1:17" ht="12.75">
      <c r="B62" s="255">
        <v>1</v>
      </c>
      <c r="C62" s="2262" t="s">
        <v>2143</v>
      </c>
      <c r="D62" s="2262"/>
      <c r="E62" s="2262"/>
      <c r="F62" s="2262"/>
      <c r="G62" s="2262"/>
      <c r="H62" s="2262"/>
      <c r="I62" s="2262"/>
      <c r="J62" s="2262"/>
      <c r="K62" s="2262"/>
      <c r="L62" s="2262"/>
      <c r="M62" s="2262"/>
      <c r="N62" s="748"/>
      <c r="O62" s="748"/>
      <c r="P62" s="748"/>
      <c r="Q62" s="748"/>
    </row>
    <row r="63" spans="1:17" ht="12.75">
      <c r="B63" s="255">
        <v>2</v>
      </c>
      <c r="C63" s="2262" t="s">
        <v>237</v>
      </c>
      <c r="D63" s="2262"/>
      <c r="E63" s="2262"/>
      <c r="F63" s="2262"/>
      <c r="G63" s="2262"/>
      <c r="H63" s="2262"/>
      <c r="I63" s="2262"/>
      <c r="J63" s="2262"/>
      <c r="K63" s="2262"/>
      <c r="L63" s="2262"/>
      <c r="M63" s="2262"/>
      <c r="N63" s="748"/>
      <c r="O63" s="748"/>
      <c r="P63" s="748"/>
      <c r="Q63" s="748"/>
    </row>
    <row r="64" spans="1:17" ht="12.75">
      <c r="B64" s="748"/>
      <c r="C64" s="748"/>
      <c r="D64" s="748"/>
      <c r="E64" s="748"/>
      <c r="F64" s="748"/>
      <c r="G64" s="748"/>
      <c r="H64" s="748"/>
      <c r="I64" s="748"/>
      <c r="J64" s="748"/>
      <c r="K64" s="748"/>
      <c r="L64" s="748"/>
      <c r="M64" s="748"/>
      <c r="N64" s="748"/>
      <c r="O64" s="748"/>
      <c r="P64" s="748"/>
      <c r="Q64" s="748"/>
    </row>
    <row r="65" ht="12.75" hidden="1"/>
  </sheetData>
  <mergeCells count="67">
    <mergeCell ref="H29:I31"/>
    <mergeCell ref="H32:I33"/>
    <mergeCell ref="B60:C60"/>
    <mergeCell ref="J60:M60"/>
    <mergeCell ref="C61:D61"/>
    <mergeCell ref="L49:L50"/>
    <mergeCell ref="M49:M50"/>
    <mergeCell ref="H49:I50"/>
    <mergeCell ref="H51:I51"/>
    <mergeCell ref="H52:I52"/>
    <mergeCell ref="J49:J50"/>
    <mergeCell ref="K49:K50"/>
    <mergeCell ref="I45:J45"/>
    <mergeCell ref="K45:L45"/>
    <mergeCell ref="H46:K47"/>
    <mergeCell ref="L46:M47"/>
    <mergeCell ref="H48:M48"/>
    <mergeCell ref="C62:M62"/>
    <mergeCell ref="C63:M63"/>
    <mergeCell ref="I54:I60"/>
    <mergeCell ref="J54:M54"/>
    <mergeCell ref="J55:M55"/>
    <mergeCell ref="J56:M56"/>
    <mergeCell ref="J57:M57"/>
    <mergeCell ref="J58:M58"/>
    <mergeCell ref="J59:M59"/>
    <mergeCell ref="I42:J42"/>
    <mergeCell ref="K42:L42"/>
    <mergeCell ref="I43:J43"/>
    <mergeCell ref="K43:L43"/>
    <mergeCell ref="I44:J44"/>
    <mergeCell ref="K44:L44"/>
    <mergeCell ref="I37:L38"/>
    <mergeCell ref="I39:I40"/>
    <mergeCell ref="J39:J40"/>
    <mergeCell ref="K39:L40"/>
    <mergeCell ref="I41:J41"/>
    <mergeCell ref="K41:L41"/>
    <mergeCell ref="O16:R17"/>
    <mergeCell ref="C21:I21"/>
    <mergeCell ref="C22:I22"/>
    <mergeCell ref="C17:I17"/>
    <mergeCell ref="C19:I19"/>
    <mergeCell ref="C20:I20"/>
    <mergeCell ref="C18:I18"/>
    <mergeCell ref="C16:I16"/>
    <mergeCell ref="A23:A24"/>
    <mergeCell ref="C23:C24"/>
    <mergeCell ref="D23:D24"/>
    <mergeCell ref="E23:E24"/>
    <mergeCell ref="F23:G23"/>
    <mergeCell ref="L2:M2"/>
    <mergeCell ref="L4:M4"/>
    <mergeCell ref="L5:M5"/>
    <mergeCell ref="C6:H8"/>
    <mergeCell ref="I13:K14"/>
    <mergeCell ref="L13:M14"/>
    <mergeCell ref="O14:Q15"/>
    <mergeCell ref="C14:F15"/>
    <mergeCell ref="O10:R11"/>
    <mergeCell ref="O8:Q9"/>
    <mergeCell ref="C9:H9"/>
    <mergeCell ref="C10:H10"/>
    <mergeCell ref="J10:K10"/>
    <mergeCell ref="L10:M10"/>
    <mergeCell ref="I11:M12"/>
    <mergeCell ref="C12:H13"/>
  </mergeCells>
  <hyperlinks>
    <hyperlink ref="O16:R17" location="Main!A1" display="CLICK HERE"/>
    <hyperlink ref="O10:R11" location="'VASANTHAM HOME'!A1" display="CLICK HERE"/>
  </hyperlinks>
  <pageMargins left="0.7" right="0.7" top="0.75" bottom="0.75" header="0.3" footer="0.3"/>
  <pageSetup scale="80" orientation="portrait" r:id="rId1"/>
  <headerFooter>
    <oddFooter>&amp;C&amp;K02-049VASANTHAM SMART</oddFooter>
  </headerFooter>
  <drawing r:id="rId2"/>
</worksheet>
</file>

<file path=xl/worksheets/sheet23.xml><?xml version="1.0" encoding="utf-8"?>
<worksheet xmlns="http://schemas.openxmlformats.org/spreadsheetml/2006/main" xmlns:r="http://schemas.openxmlformats.org/officeDocument/2006/relationships">
  <sheetPr codeName="Sheet32"/>
  <dimension ref="A1:V65"/>
  <sheetViews>
    <sheetView showGridLines="0" showRowColHeaders="0" workbookViewId="0">
      <selection activeCell="O1" sqref="O1"/>
    </sheetView>
  </sheetViews>
  <sheetFormatPr defaultColWidth="0" defaultRowHeight="0" customHeight="1" zeroHeight="1"/>
  <cols>
    <col min="1" max="1" width="5.5" style="736" customWidth="1"/>
    <col min="2" max="2" width="5.375" style="736" customWidth="1"/>
    <col min="3" max="3" width="5" style="736" customWidth="1"/>
    <col min="4" max="4" width="10" style="736" customWidth="1"/>
    <col min="5" max="5" width="10.125" style="736" customWidth="1"/>
    <col min="6" max="6" width="11" style="736" customWidth="1"/>
    <col min="7" max="7" width="11.375" style="736" customWidth="1"/>
    <col min="8" max="8" width="10.875" style="736" customWidth="1"/>
    <col min="9" max="9" width="7.625" style="736" customWidth="1"/>
    <col min="10" max="10" width="10" style="736" customWidth="1"/>
    <col min="11" max="12" width="9.875" style="736" customWidth="1"/>
    <col min="13" max="13" width="10" style="736" customWidth="1"/>
    <col min="14" max="17" width="9.125" style="736" customWidth="1"/>
    <col min="18" max="22" width="0" style="736" hidden="1" customWidth="1"/>
    <col min="23" max="16384" width="9.125" style="736" hidden="1"/>
  </cols>
  <sheetData>
    <row r="1" spans="1:18" ht="12.75">
      <c r="A1" s="748"/>
      <c r="B1" s="748"/>
      <c r="E1" s="748"/>
      <c r="F1" s="748"/>
      <c r="G1" s="748"/>
      <c r="H1" s="748"/>
      <c r="I1" s="748"/>
      <c r="J1" s="748"/>
      <c r="K1" s="748"/>
      <c r="L1" s="748"/>
      <c r="M1" s="748"/>
      <c r="N1" s="748"/>
      <c r="O1" s="748"/>
      <c r="P1" s="748"/>
      <c r="Q1" s="748"/>
    </row>
    <row r="2" spans="1:18" ht="12.75" customHeight="1">
      <c r="A2" s="748"/>
      <c r="B2" s="748"/>
      <c r="D2" s="280"/>
      <c r="E2" s="743"/>
      <c r="F2" s="748"/>
      <c r="G2" s="748"/>
      <c r="H2" s="748"/>
      <c r="I2" s="748"/>
      <c r="J2" s="748"/>
      <c r="K2" s="748"/>
      <c r="L2" s="1612">
        <f ca="1">TODAY()</f>
        <v>43229</v>
      </c>
      <c r="M2" s="1612"/>
      <c r="N2" s="748"/>
      <c r="O2" s="748"/>
      <c r="P2" s="748"/>
      <c r="Q2" s="748"/>
    </row>
    <row r="3" spans="1:18" ht="12.75" customHeight="1">
      <c r="A3" s="748"/>
      <c r="B3" s="748"/>
      <c r="D3" s="280"/>
      <c r="E3" s="743"/>
      <c r="F3" s="748"/>
      <c r="G3" s="748"/>
      <c r="H3" s="748"/>
      <c r="I3" s="748"/>
      <c r="J3" s="748"/>
      <c r="K3" s="748"/>
      <c r="L3" s="1808" t="s">
        <v>340</v>
      </c>
      <c r="M3" s="1808"/>
      <c r="N3" s="748"/>
      <c r="O3" s="748"/>
      <c r="P3" s="748"/>
      <c r="Q3" s="748"/>
    </row>
    <row r="4" spans="1:18" s="748" customFormat="1" ht="12.75" customHeight="1">
      <c r="C4" s="736"/>
      <c r="D4" s="736"/>
      <c r="L4" s="1808" t="s">
        <v>339</v>
      </c>
      <c r="M4" s="1808"/>
      <c r="O4" s="279"/>
      <c r="P4" s="279"/>
      <c r="Q4" s="279"/>
    </row>
    <row r="5" spans="1:18" s="748" customFormat="1" ht="14.25" customHeight="1">
      <c r="C5" s="1980" t="s">
        <v>103</v>
      </c>
      <c r="D5" s="1980"/>
      <c r="E5" s="1980"/>
      <c r="F5" s="1980"/>
      <c r="G5" s="1980"/>
      <c r="H5" s="1980"/>
      <c r="I5" s="56"/>
      <c r="O5" s="279"/>
      <c r="P5" s="279"/>
      <c r="Q5" s="279"/>
    </row>
    <row r="6" spans="1:18" ht="16.5" customHeight="1" thickBot="1">
      <c r="A6" s="748"/>
      <c r="B6" s="748"/>
      <c r="C6" s="2282"/>
      <c r="D6" s="2282"/>
      <c r="E6" s="2282"/>
      <c r="F6" s="2282"/>
      <c r="G6" s="2282"/>
      <c r="H6" s="2282"/>
      <c r="I6" s="56"/>
      <c r="J6" s="278"/>
      <c r="K6" s="753" t="s">
        <v>251</v>
      </c>
      <c r="L6" s="747">
        <f>Main!E9</f>
        <v>30</v>
      </c>
      <c r="M6" s="275" t="s">
        <v>234</v>
      </c>
      <c r="N6" s="748"/>
      <c r="O6" s="277"/>
      <c r="P6" s="277"/>
      <c r="Q6" s="277"/>
      <c r="R6" s="274"/>
    </row>
    <row r="7" spans="1:18" ht="16.5" customHeight="1" thickTop="1">
      <c r="A7" s="748"/>
      <c r="B7" s="748"/>
      <c r="C7" s="2283" t="s">
        <v>338</v>
      </c>
      <c r="D7" s="2283"/>
      <c r="E7" s="2283"/>
      <c r="F7" s="2283"/>
      <c r="G7" s="2283"/>
      <c r="H7" s="2283"/>
      <c r="I7" s="743"/>
      <c r="J7" s="276"/>
      <c r="K7" s="744" t="s">
        <v>235</v>
      </c>
      <c r="L7" s="557">
        <f>Main!E12</f>
        <v>22</v>
      </c>
      <c r="M7" s="275" t="s">
        <v>234</v>
      </c>
      <c r="N7" s="748"/>
      <c r="O7" s="1598" t="s">
        <v>232</v>
      </c>
      <c r="P7" s="1598"/>
      <c r="Q7" s="1598"/>
      <c r="R7" s="274"/>
    </row>
    <row r="8" spans="1:18" ht="15.75">
      <c r="A8" s="748"/>
      <c r="B8" s="748"/>
      <c r="C8" s="2229" t="str">
        <f>CONCATENATE(Main!E8,(Main!F8))</f>
        <v>Sri.soumil</v>
      </c>
      <c r="D8" s="2229"/>
      <c r="E8" s="2229"/>
      <c r="F8" s="2229"/>
      <c r="G8" s="2229"/>
      <c r="H8" s="2229"/>
      <c r="I8" s="743"/>
      <c r="J8" s="2230" t="s">
        <v>233</v>
      </c>
      <c r="K8" s="2230"/>
      <c r="L8" s="1812">
        <f>Main!E10</f>
        <v>2500000</v>
      </c>
      <c r="M8" s="1812"/>
      <c r="N8" s="748"/>
      <c r="O8" s="1598"/>
      <c r="P8" s="1598"/>
      <c r="Q8" s="1598"/>
    </row>
    <row r="9" spans="1:18" ht="17.25" customHeight="1">
      <c r="A9" s="748"/>
      <c r="B9" s="748"/>
      <c r="C9" s="2237" t="s">
        <v>337</v>
      </c>
      <c r="D9" s="2237"/>
      <c r="E9" s="2237"/>
      <c r="F9" s="2237"/>
      <c r="G9" s="2237"/>
      <c r="H9" s="2237"/>
      <c r="I9" s="743"/>
      <c r="J9" s="50"/>
      <c r="K9" s="50"/>
      <c r="L9" s="747"/>
      <c r="M9" s="747"/>
      <c r="N9" s="748"/>
      <c r="O9" s="2228" t="s">
        <v>226</v>
      </c>
      <c r="P9" s="1526"/>
      <c r="Q9" s="1526"/>
      <c r="R9" s="1526"/>
    </row>
    <row r="10" spans="1:18" ht="11.25" customHeight="1">
      <c r="A10" s="748"/>
      <c r="B10" s="748"/>
      <c r="C10" s="2284"/>
      <c r="D10" s="2284"/>
      <c r="E10" s="2284"/>
      <c r="F10" s="2284"/>
      <c r="G10" s="2284"/>
      <c r="H10" s="2284"/>
      <c r="I10" s="273"/>
      <c r="J10" s="748"/>
      <c r="K10" s="1990" t="e">
        <f>CONCATENATE(" SAVINGS                                    PER DAY", " ", " "," ", " "," "," "," "," ", " "," "," "," "," "," "," ", " "," "," "," "," ", " "," ",   "Rs.  ",(DAT!AZ9)," "," "," ","ONLY")</f>
        <v>#VALUE!</v>
      </c>
      <c r="L10" s="1990"/>
      <c r="M10" s="748"/>
      <c r="N10" s="748"/>
      <c r="O10" s="2228"/>
      <c r="P10" s="1526"/>
      <c r="Q10" s="1526"/>
      <c r="R10" s="1526"/>
    </row>
    <row r="11" spans="1:18" ht="12.75" customHeight="1">
      <c r="A11" s="748"/>
      <c r="B11" s="748"/>
      <c r="C11" s="2285" t="s">
        <v>230</v>
      </c>
      <c r="D11" s="2286"/>
      <c r="E11" s="2287"/>
      <c r="F11" s="272" t="s">
        <v>16</v>
      </c>
      <c r="G11" s="272" t="s">
        <v>15</v>
      </c>
      <c r="H11" s="272" t="s">
        <v>14</v>
      </c>
      <c r="I11" s="272" t="s">
        <v>229</v>
      </c>
      <c r="J11" s="271"/>
      <c r="K11" s="1990"/>
      <c r="L11" s="1990"/>
      <c r="M11" s="79"/>
      <c r="N11" s="748"/>
      <c r="O11" s="748"/>
      <c r="P11" s="748"/>
      <c r="Q11" s="748"/>
    </row>
    <row r="12" spans="1:18" ht="12.75" customHeight="1">
      <c r="A12" s="748"/>
      <c r="B12" s="748"/>
      <c r="C12" s="1921" t="s">
        <v>2115</v>
      </c>
      <c r="D12" s="1922"/>
      <c r="E12" s="1905"/>
      <c r="F12" s="1644" t="e">
        <f>DAT!AT9</f>
        <v>#VALUE!</v>
      </c>
      <c r="G12" s="1644" t="e">
        <f>DAT!AU9</f>
        <v>#VALUE!</v>
      </c>
      <c r="H12" s="1644" t="e">
        <f>DAT!AV9</f>
        <v>#VALUE!</v>
      </c>
      <c r="I12" s="1644" t="e">
        <f>DAT!AW9</f>
        <v>#VALUE!</v>
      </c>
      <c r="J12" s="271"/>
      <c r="K12" s="1990"/>
      <c r="L12" s="1990"/>
      <c r="M12" s="79"/>
      <c r="N12" s="748"/>
      <c r="O12" s="748"/>
      <c r="P12" s="748"/>
      <c r="Q12" s="748"/>
    </row>
    <row r="13" spans="1:18" ht="12.75" customHeight="1">
      <c r="A13" s="748"/>
      <c r="B13" s="748"/>
      <c r="C13" s="2241"/>
      <c r="D13" s="2242"/>
      <c r="E13" s="2243"/>
      <c r="F13" s="2288"/>
      <c r="G13" s="2288"/>
      <c r="H13" s="2288"/>
      <c r="I13" s="2288"/>
      <c r="J13" s="271"/>
      <c r="K13" s="1990"/>
      <c r="L13" s="1990"/>
      <c r="M13" s="79"/>
      <c r="N13" s="748"/>
      <c r="O13" s="1596" t="s">
        <v>228</v>
      </c>
      <c r="P13" s="1597"/>
      <c r="Q13" s="1597"/>
    </row>
    <row r="14" spans="1:18" ht="12.75" customHeight="1">
      <c r="A14" s="748"/>
      <c r="B14" s="748"/>
      <c r="C14" s="2289" t="s">
        <v>227</v>
      </c>
      <c r="D14" s="2289"/>
      <c r="E14" s="2289"/>
      <c r="F14" s="2289"/>
      <c r="G14" s="748"/>
      <c r="H14" s="748"/>
      <c r="I14" s="748"/>
      <c r="J14" s="748"/>
      <c r="K14" s="1990"/>
      <c r="L14" s="1990"/>
      <c r="M14" s="79"/>
      <c r="N14" s="748"/>
      <c r="O14" s="1597"/>
      <c r="P14" s="1597"/>
      <c r="Q14" s="1597"/>
    </row>
    <row r="15" spans="1:18" ht="15.75" customHeight="1">
      <c r="A15" s="748"/>
      <c r="B15" s="748"/>
      <c r="C15" s="2227"/>
      <c r="D15" s="2227"/>
      <c r="E15" s="2227"/>
      <c r="F15" s="2227"/>
      <c r="G15" s="748"/>
      <c r="H15" s="748"/>
      <c r="I15" s="748"/>
      <c r="J15" s="748"/>
      <c r="K15" s="748"/>
      <c r="L15" s="748"/>
      <c r="M15" s="748"/>
      <c r="N15" s="748"/>
      <c r="O15" s="1794" t="s">
        <v>226</v>
      </c>
      <c r="P15" s="1391"/>
      <c r="Q15" s="1391"/>
      <c r="R15" s="1391"/>
    </row>
    <row r="16" spans="1:18" ht="15">
      <c r="A16" s="748"/>
      <c r="B16" s="74" t="s">
        <v>243</v>
      </c>
      <c r="C16" s="1996" t="s">
        <v>336</v>
      </c>
      <c r="D16" s="1996"/>
      <c r="E16" s="1996"/>
      <c r="F16" s="1996"/>
      <c r="G16" s="1996"/>
      <c r="H16" s="1996"/>
      <c r="I16" s="1996"/>
      <c r="J16" s="748"/>
      <c r="K16" s="748"/>
      <c r="L16" s="748"/>
      <c r="M16" s="748"/>
      <c r="N16" s="748"/>
      <c r="O16" s="1794"/>
      <c r="P16" s="1391"/>
      <c r="Q16" s="1391"/>
      <c r="R16" s="1391"/>
    </row>
    <row r="17" spans="1:17" ht="15">
      <c r="A17" s="748"/>
      <c r="B17" s="74" t="s">
        <v>243</v>
      </c>
      <c r="C17" s="1996" t="s">
        <v>335</v>
      </c>
      <c r="D17" s="1996"/>
      <c r="E17" s="1996"/>
      <c r="F17" s="1996"/>
      <c r="G17" s="1996"/>
      <c r="H17" s="1996"/>
      <c r="I17" s="1996"/>
      <c r="J17" s="748"/>
      <c r="K17" s="748"/>
      <c r="L17" s="748"/>
      <c r="M17" s="748"/>
      <c r="N17" s="748"/>
      <c r="O17" s="748"/>
      <c r="P17" s="748"/>
      <c r="Q17" s="748"/>
    </row>
    <row r="18" spans="1:17" ht="15">
      <c r="A18" s="748"/>
      <c r="B18" s="74" t="s">
        <v>243</v>
      </c>
      <c r="C18" s="1996" t="s">
        <v>334</v>
      </c>
      <c r="D18" s="1996"/>
      <c r="E18" s="1996"/>
      <c r="F18" s="1996"/>
      <c r="G18" s="1996"/>
      <c r="H18" s="1996"/>
      <c r="I18" s="1996"/>
      <c r="J18" s="748"/>
      <c r="K18" s="748"/>
      <c r="L18" s="748"/>
      <c r="M18" s="748"/>
      <c r="N18" s="748"/>
      <c r="O18" s="748"/>
      <c r="P18" s="748"/>
      <c r="Q18" s="748"/>
    </row>
    <row r="19" spans="1:17" ht="15">
      <c r="A19" s="748"/>
      <c r="B19" s="74"/>
      <c r="C19" s="2251" t="s">
        <v>333</v>
      </c>
      <c r="D19" s="2251"/>
      <c r="E19" s="2251"/>
      <c r="F19" s="2251"/>
      <c r="G19" s="2251"/>
      <c r="H19" s="2251"/>
      <c r="I19" s="2251"/>
      <c r="J19" s="748"/>
      <c r="K19" s="748"/>
      <c r="L19" s="748"/>
      <c r="M19" s="748"/>
      <c r="N19" s="748"/>
      <c r="O19" s="748"/>
      <c r="P19" s="748"/>
      <c r="Q19" s="748"/>
    </row>
    <row r="20" spans="1:17" ht="15">
      <c r="A20" s="748"/>
      <c r="B20" s="74" t="s">
        <v>243</v>
      </c>
      <c r="C20" s="1992" t="s">
        <v>332</v>
      </c>
      <c r="D20" s="1992"/>
      <c r="E20" s="1992"/>
      <c r="F20" s="1992"/>
      <c r="G20" s="1992"/>
      <c r="H20" s="1992"/>
      <c r="I20" s="1992"/>
      <c r="J20" s="748"/>
      <c r="K20" s="748"/>
      <c r="L20" s="748"/>
      <c r="M20" s="748"/>
      <c r="N20" s="748"/>
      <c r="O20" s="748"/>
      <c r="P20" s="748"/>
      <c r="Q20" s="748"/>
    </row>
    <row r="21" spans="1:17" ht="15">
      <c r="A21" s="748"/>
      <c r="B21" s="74"/>
      <c r="C21" s="1992" t="s">
        <v>331</v>
      </c>
      <c r="D21" s="1992"/>
      <c r="E21" s="1992"/>
      <c r="F21" s="1992"/>
      <c r="G21" s="1992"/>
      <c r="H21" s="1992"/>
      <c r="I21" s="1992"/>
      <c r="J21" s="748"/>
      <c r="K21" s="748"/>
      <c r="L21" s="748"/>
      <c r="M21" s="748"/>
      <c r="N21" s="748"/>
      <c r="O21" s="748"/>
      <c r="P21" s="748"/>
      <c r="Q21" s="748"/>
    </row>
    <row r="22" spans="1:17" ht="15">
      <c r="A22" s="748"/>
      <c r="B22" s="74" t="s">
        <v>243</v>
      </c>
      <c r="C22" s="1996" t="s">
        <v>225</v>
      </c>
      <c r="D22" s="1996"/>
      <c r="E22" s="1996"/>
      <c r="F22" s="1996"/>
      <c r="G22" s="1996"/>
      <c r="H22" s="1996"/>
      <c r="I22" s="1996"/>
      <c r="J22" s="748"/>
      <c r="K22" s="748"/>
      <c r="L22" s="748"/>
      <c r="M22" s="748"/>
      <c r="N22" s="748"/>
      <c r="O22" s="748"/>
      <c r="P22" s="748"/>
      <c r="Q22" s="748"/>
    </row>
    <row r="23" spans="1:17" ht="16.5" customHeight="1">
      <c r="A23" s="2290" t="s">
        <v>330</v>
      </c>
      <c r="B23" s="748"/>
      <c r="C23" s="1929" t="s">
        <v>17</v>
      </c>
      <c r="D23" s="1998" t="s">
        <v>223</v>
      </c>
      <c r="E23" s="1931" t="s">
        <v>222</v>
      </c>
      <c r="F23" s="1933" t="s">
        <v>221</v>
      </c>
      <c r="G23" s="1933"/>
      <c r="H23" s="270"/>
      <c r="I23" s="269"/>
      <c r="J23" s="269"/>
      <c r="N23" s="748"/>
      <c r="O23" s="748"/>
      <c r="P23" s="748"/>
      <c r="Q23" s="748"/>
    </row>
    <row r="24" spans="1:17" ht="12.75">
      <c r="A24" s="2290"/>
      <c r="B24" s="748"/>
      <c r="C24" s="1929"/>
      <c r="D24" s="1998"/>
      <c r="E24" s="2291"/>
      <c r="F24" s="734" t="s">
        <v>217</v>
      </c>
      <c r="G24" s="734" t="s">
        <v>216</v>
      </c>
      <c r="H24" s="270"/>
      <c r="I24" s="269"/>
      <c r="J24" s="269"/>
      <c r="K24" s="748"/>
      <c r="L24" s="748"/>
      <c r="M24" s="748"/>
      <c r="N24" s="748"/>
      <c r="O24" s="748"/>
      <c r="P24" s="748"/>
      <c r="Q24" s="748"/>
    </row>
    <row r="25" spans="1:17" ht="12.75">
      <c r="A25" s="725">
        <v>0</v>
      </c>
      <c r="B25" s="748"/>
      <c r="C25" s="257">
        <f>L6</f>
        <v>30</v>
      </c>
      <c r="D25" s="257" t="str">
        <f ca="1">IF(A25&lt;$L$7,(((DAY(NOW())&amp;"/")&amp;MONTH(NOW()))&amp;"/")&amp;((YEAR(NOW()))),0)</f>
        <v>9/5/2018</v>
      </c>
      <c r="E25" s="257" t="e">
        <f>IF(A25&lt;$L$7,DAT!AT9," ")</f>
        <v>#VALUE!</v>
      </c>
      <c r="F25" s="257">
        <f>IF(A25&lt;$L$7,MAT!BC220," ")</f>
        <v>2625000</v>
      </c>
      <c r="G25" s="257">
        <f>IF(A25&lt;$L$7,MAT!BD220," ")</f>
        <v>5125000</v>
      </c>
      <c r="H25" s="270"/>
      <c r="I25" s="269"/>
      <c r="J25" s="269"/>
      <c r="K25" s="748"/>
      <c r="L25" s="748"/>
      <c r="M25" s="748"/>
      <c r="N25" s="748"/>
      <c r="O25" s="748"/>
      <c r="P25" s="748"/>
      <c r="Q25" s="748"/>
    </row>
    <row r="26" spans="1:17" ht="12.75">
      <c r="A26" s="725">
        <v>1</v>
      </c>
      <c r="B26" s="748"/>
      <c r="C26" s="257">
        <f>IF(A26&lt;$L$7,$C$25+A26," ")</f>
        <v>31</v>
      </c>
      <c r="D26" s="257" t="str">
        <f t="shared" ref="D26:D59" ca="1" si="0">IF(A26&lt;$L$7,(((DAY(NOW())&amp;"/")&amp;MONTH(NOW()))&amp;"/")&amp;((YEAR(NOW())))+A26," ")</f>
        <v>9/5/2019</v>
      </c>
      <c r="E26" s="257" t="e">
        <f>IF(A26&lt;$L$7,DAT!$AY$9," ")</f>
        <v>#VALUE!</v>
      </c>
      <c r="F26" s="257">
        <f>IF(A26&lt;$L$7,MAT!BC221," ")</f>
        <v>2750000</v>
      </c>
      <c r="G26" s="257">
        <f>IF(A26&lt;$L$7,MAT!BD221," ")</f>
        <v>5250000</v>
      </c>
      <c r="H26" s="268"/>
      <c r="I26" s="746"/>
      <c r="J26" s="743"/>
      <c r="K26" s="748"/>
      <c r="L26" s="748"/>
      <c r="M26" s="748"/>
      <c r="N26" s="748"/>
      <c r="O26" s="748"/>
      <c r="P26" s="748"/>
      <c r="Q26" s="748"/>
    </row>
    <row r="27" spans="1:17" ht="12.75">
      <c r="A27" s="725">
        <v>2</v>
      </c>
      <c r="B27" s="748"/>
      <c r="C27" s="257">
        <f t="shared" ref="C27:C59" si="1">IF(A27&lt;$L$7,$C$25+A27," ")</f>
        <v>32</v>
      </c>
      <c r="D27" s="257" t="str">
        <f t="shared" ca="1" si="0"/>
        <v>9/5/2020</v>
      </c>
      <c r="E27" s="257" t="e">
        <f>IF(A27&lt;$L$7,DAT!$AY$9," ")</f>
        <v>#VALUE!</v>
      </c>
      <c r="F27" s="257">
        <f>IF(A27&lt;$L$7,MAT!BC222," ")</f>
        <v>2875000</v>
      </c>
      <c r="G27" s="257">
        <f>IF(A27&lt;$L$7,MAT!BD222," ")</f>
        <v>5375000</v>
      </c>
      <c r="H27" s="268"/>
      <c r="I27" s="746"/>
      <c r="J27" s="743"/>
      <c r="K27" s="748"/>
      <c r="L27" s="748"/>
      <c r="M27" s="748"/>
      <c r="N27" s="748"/>
      <c r="O27" s="748"/>
      <c r="P27" s="748"/>
      <c r="Q27" s="748"/>
    </row>
    <row r="28" spans="1:17" ht="12.75">
      <c r="A28" s="725">
        <v>3</v>
      </c>
      <c r="B28" s="748"/>
      <c r="C28" s="257">
        <f t="shared" si="1"/>
        <v>33</v>
      </c>
      <c r="D28" s="257" t="str">
        <f t="shared" ca="1" si="0"/>
        <v>9/5/2021</v>
      </c>
      <c r="E28" s="257" t="e">
        <f>IF(A28&lt;$L$7,DAT!$AY$9," ")</f>
        <v>#VALUE!</v>
      </c>
      <c r="F28" s="257">
        <f>IF(A28&lt;$L$7,MAT!BC223," ")</f>
        <v>3000000</v>
      </c>
      <c r="G28" s="257">
        <f>IF(A28&lt;$L$7,MAT!BD223," ")</f>
        <v>5500000</v>
      </c>
      <c r="H28" s="268"/>
      <c r="I28" s="746"/>
      <c r="J28" s="743"/>
      <c r="K28" s="748"/>
      <c r="L28" s="748"/>
      <c r="M28" s="748"/>
      <c r="N28" s="748"/>
      <c r="O28" s="748"/>
      <c r="P28" s="748"/>
      <c r="Q28" s="748"/>
    </row>
    <row r="29" spans="1:17" ht="13.5" customHeight="1">
      <c r="A29" s="725">
        <v>4</v>
      </c>
      <c r="B29" s="748"/>
      <c r="C29" s="257">
        <f t="shared" si="1"/>
        <v>34</v>
      </c>
      <c r="D29" s="257" t="str">
        <f t="shared" ca="1" si="0"/>
        <v>9/5/2022</v>
      </c>
      <c r="E29" s="257" t="e">
        <f>IF(A29&lt;$L$7,DAT!$AY$9," ")</f>
        <v>#VALUE!</v>
      </c>
      <c r="F29" s="257">
        <f>IF(A29&lt;$L$7,MAT!BC224," ")</f>
        <v>3125000</v>
      </c>
      <c r="G29" s="257">
        <f>IF(A29&lt;$L$7,MAT!BD224," ")</f>
        <v>5625000</v>
      </c>
      <c r="H29" s="2263" t="str">
        <f>IF(Main!L14="YES","Commudation on Vesting                   Rs."," ")</f>
        <v>Commudation on Vesting                   Rs.</v>
      </c>
      <c r="I29" s="2264"/>
      <c r="J29" s="743"/>
      <c r="K29" s="748"/>
      <c r="L29" s="748"/>
      <c r="M29" s="748"/>
      <c r="N29" s="748"/>
      <c r="O29" s="748"/>
      <c r="P29" s="748"/>
      <c r="Q29" s="748"/>
    </row>
    <row r="30" spans="1:17" ht="12.75">
      <c r="A30" s="725">
        <v>5</v>
      </c>
      <c r="B30" s="748"/>
      <c r="C30" s="257">
        <f t="shared" si="1"/>
        <v>35</v>
      </c>
      <c r="D30" s="257" t="str">
        <f t="shared" ca="1" si="0"/>
        <v>9/5/2023</v>
      </c>
      <c r="E30" s="257" t="e">
        <f>IF(A30&lt;$L$7,DAT!$AY$9," ")</f>
        <v>#VALUE!</v>
      </c>
      <c r="F30" s="257">
        <f>IF(A30&lt;$L$7,MAT!BC225," ")</f>
        <v>3130000</v>
      </c>
      <c r="G30" s="257">
        <f>IF(A30&lt;$L$7,MAT!BD225," ")</f>
        <v>5630000</v>
      </c>
      <c r="H30" s="2263"/>
      <c r="I30" s="2264"/>
      <c r="J30" s="743"/>
      <c r="K30" s="748"/>
      <c r="L30" s="748"/>
      <c r="M30" s="748"/>
      <c r="N30" s="748"/>
      <c r="O30" s="748"/>
      <c r="P30" s="748"/>
      <c r="Q30" s="748"/>
    </row>
    <row r="31" spans="1:17" ht="12.75">
      <c r="A31" s="725">
        <v>6</v>
      </c>
      <c r="B31" s="748"/>
      <c r="C31" s="257">
        <f t="shared" si="1"/>
        <v>36</v>
      </c>
      <c r="D31" s="257" t="str">
        <f t="shared" ca="1" si="0"/>
        <v>9/5/2024</v>
      </c>
      <c r="E31" s="257" t="e">
        <f>IF(A31&lt;$L$7,DAT!$AY$9," ")</f>
        <v>#VALUE!</v>
      </c>
      <c r="F31" s="257">
        <f>IF(A31&lt;$L$7,MAT!BC226," ")</f>
        <v>3235000</v>
      </c>
      <c r="G31" s="257">
        <f>IF(A31&lt;$L$7,MAT!BD226," ")</f>
        <v>5735000</v>
      </c>
      <c r="H31" s="2263"/>
      <c r="I31" s="2264"/>
      <c r="J31" s="743"/>
      <c r="K31" s="748"/>
      <c r="L31" s="748"/>
      <c r="M31" s="748"/>
      <c r="N31" s="748"/>
      <c r="O31" s="748"/>
      <c r="P31" s="748"/>
      <c r="Q31" s="748"/>
    </row>
    <row r="32" spans="1:17" ht="12.75">
      <c r="A32" s="725">
        <v>7</v>
      </c>
      <c r="B32" s="748"/>
      <c r="C32" s="257">
        <f t="shared" si="1"/>
        <v>37</v>
      </c>
      <c r="D32" s="257" t="str">
        <f t="shared" ca="1" si="0"/>
        <v>9/5/2025</v>
      </c>
      <c r="E32" s="257" t="e">
        <f>IF(A32&lt;$L$7,DAT!$AY$9," ")</f>
        <v>#VALUE!</v>
      </c>
      <c r="F32" s="257">
        <f>IF(A32&lt;$L$7,MAT!BC227," ")</f>
        <v>3340000</v>
      </c>
      <c r="G32" s="257">
        <f>IF(A32&lt;$L$7,MAT!BD227," ")</f>
        <v>5840000</v>
      </c>
      <c r="H32" s="2265">
        <f>IF(Main!L14="YES",PM!BK354," ")</f>
        <v>1846666.6666666667</v>
      </c>
      <c r="I32" s="2266"/>
      <c r="J32" s="743"/>
      <c r="K32" s="748"/>
      <c r="L32" s="748"/>
      <c r="M32" s="748"/>
      <c r="N32" s="748"/>
      <c r="O32" s="748"/>
      <c r="P32" s="748"/>
      <c r="Q32" s="748"/>
    </row>
    <row r="33" spans="1:17" ht="12.75">
      <c r="A33" s="725">
        <v>8</v>
      </c>
      <c r="B33" s="748"/>
      <c r="C33" s="257">
        <f t="shared" si="1"/>
        <v>38</v>
      </c>
      <c r="D33" s="257" t="str">
        <f t="shared" ca="1" si="0"/>
        <v>9/5/2026</v>
      </c>
      <c r="E33" s="257" t="e">
        <f>IF(A33&lt;$L$7,DAT!$AY$9," ")</f>
        <v>#VALUE!</v>
      </c>
      <c r="F33" s="257">
        <f>IF(A33&lt;$L$7,MAT!BC228," ")</f>
        <v>3445000</v>
      </c>
      <c r="G33" s="257">
        <f>IF(A33&lt;$L$7,MAT!BD228," ")</f>
        <v>5945000</v>
      </c>
      <c r="H33" s="2265"/>
      <c r="I33" s="2266"/>
      <c r="J33" s="743"/>
      <c r="K33" s="748"/>
      <c r="L33" s="748"/>
      <c r="M33" s="748"/>
      <c r="N33" s="748"/>
      <c r="O33" s="748"/>
      <c r="P33" s="748"/>
      <c r="Q33" s="748"/>
    </row>
    <row r="34" spans="1:17" ht="13.5" customHeight="1">
      <c r="A34" s="725">
        <v>9</v>
      </c>
      <c r="B34" s="748"/>
      <c r="C34" s="257">
        <f t="shared" si="1"/>
        <v>39</v>
      </c>
      <c r="D34" s="257" t="str">
        <f t="shared" ca="1" si="0"/>
        <v>9/5/2027</v>
      </c>
      <c r="E34" s="257" t="e">
        <f>IF(A34&lt;$L$7,DAT!$AY$9," ")</f>
        <v>#VALUE!</v>
      </c>
      <c r="F34" s="257">
        <f>IF(A34&lt;$L$7,MAT!BC229," ")</f>
        <v>3550000</v>
      </c>
      <c r="G34" s="257">
        <f>IF(A34&lt;$L$7,MAT!BD229," ")</f>
        <v>6050000</v>
      </c>
      <c r="H34" s="268"/>
      <c r="I34" s="746"/>
      <c r="J34" s="743"/>
      <c r="K34" s="748"/>
      <c r="L34" s="748"/>
      <c r="M34" s="748"/>
      <c r="N34" s="748"/>
      <c r="O34" s="748"/>
      <c r="P34" s="748"/>
      <c r="Q34" s="748"/>
    </row>
    <row r="35" spans="1:17" ht="12.75">
      <c r="A35" s="725">
        <v>10</v>
      </c>
      <c r="B35" s="748"/>
      <c r="C35" s="257">
        <f t="shared" si="1"/>
        <v>40</v>
      </c>
      <c r="D35" s="257" t="str">
        <f t="shared" ca="1" si="0"/>
        <v>9/5/2028</v>
      </c>
      <c r="E35" s="257" t="e">
        <f>IF(A35&lt;$L$7,DAT!$AY$9," ")</f>
        <v>#VALUE!</v>
      </c>
      <c r="F35" s="257">
        <f>IF(A35&lt;$L$7,MAT!BC230," ")</f>
        <v>3710000</v>
      </c>
      <c r="G35" s="257">
        <f>IF(A35&lt;$L$7,MAT!BD230," ")</f>
        <v>6210000</v>
      </c>
      <c r="H35" s="268"/>
      <c r="I35" s="746"/>
      <c r="J35" s="743"/>
      <c r="K35" s="748"/>
      <c r="L35" s="748"/>
      <c r="M35" s="748"/>
      <c r="N35" s="748"/>
      <c r="O35" s="748"/>
      <c r="P35" s="748"/>
      <c r="Q35" s="748"/>
    </row>
    <row r="36" spans="1:17" ht="12.75">
      <c r="A36" s="725">
        <v>11</v>
      </c>
      <c r="B36" s="748"/>
      <c r="C36" s="257">
        <f t="shared" si="1"/>
        <v>41</v>
      </c>
      <c r="D36" s="257" t="str">
        <f t="shared" ca="1" si="0"/>
        <v>9/5/2029</v>
      </c>
      <c r="E36" s="257" t="e">
        <f>IF(A36&lt;$L$7,DAT!$AY$9," ")</f>
        <v>#VALUE!</v>
      </c>
      <c r="F36" s="257">
        <f>IF(A36&lt;$L$7,MAT!BC231," ")</f>
        <v>3820000</v>
      </c>
      <c r="G36" s="257">
        <f>IF(A36&lt;$L$7,MAT!BD231," ")</f>
        <v>6320000</v>
      </c>
      <c r="H36" s="268"/>
      <c r="I36" s="746"/>
      <c r="J36" s="743"/>
      <c r="K36" s="748"/>
      <c r="L36" s="748"/>
      <c r="M36" s="748"/>
      <c r="N36" s="748"/>
      <c r="O36" s="748"/>
      <c r="P36" s="748"/>
      <c r="Q36" s="748"/>
    </row>
    <row r="37" spans="1:17" ht="12.75" customHeight="1">
      <c r="A37" s="725">
        <v>12</v>
      </c>
      <c r="B37" s="748"/>
      <c r="C37" s="257">
        <f t="shared" si="1"/>
        <v>42</v>
      </c>
      <c r="D37" s="257" t="str">
        <f t="shared" ca="1" si="0"/>
        <v>9/5/2030</v>
      </c>
      <c r="E37" s="257" t="e">
        <f>IF(A37&lt;$L$7,DAT!$AY$9," ")</f>
        <v>#VALUE!</v>
      </c>
      <c r="F37" s="257">
        <f>IF(A37&lt;$L$7,MAT!BC232," ")</f>
        <v>3930000</v>
      </c>
      <c r="G37" s="257">
        <f>IF(A37&lt;$L$7,MAT!BD232," ")</f>
        <v>6430000</v>
      </c>
      <c r="H37" s="743"/>
      <c r="I37" s="2292" t="s">
        <v>329</v>
      </c>
      <c r="J37" s="2293"/>
      <c r="K37" s="2293"/>
      <c r="L37" s="2294"/>
      <c r="M37" s="743"/>
      <c r="N37" s="748"/>
      <c r="O37" s="748"/>
      <c r="P37" s="748"/>
      <c r="Q37" s="748"/>
    </row>
    <row r="38" spans="1:17" ht="12.75" customHeight="1">
      <c r="A38" s="725">
        <v>13</v>
      </c>
      <c r="B38" s="748"/>
      <c r="C38" s="257">
        <f t="shared" si="1"/>
        <v>43</v>
      </c>
      <c r="D38" s="257" t="str">
        <f t="shared" ca="1" si="0"/>
        <v>9/5/2031</v>
      </c>
      <c r="E38" s="257" t="e">
        <f>IF(A38&lt;$L$7,DAT!$AY$9," ")</f>
        <v>#VALUE!</v>
      </c>
      <c r="F38" s="257">
        <f>IF(A38&lt;$L$7,MAT!BC233," ")</f>
        <v>4040000</v>
      </c>
      <c r="G38" s="257">
        <f>IF(A38&lt;$L$7,MAT!BD233," ")</f>
        <v>6540000</v>
      </c>
      <c r="H38" s="743"/>
      <c r="I38" s="1958"/>
      <c r="J38" s="1959"/>
      <c r="K38" s="1959"/>
      <c r="L38" s="2295"/>
      <c r="M38" s="743"/>
      <c r="N38" s="748"/>
      <c r="O38" s="748"/>
      <c r="P38" s="748"/>
      <c r="Q38" s="748"/>
    </row>
    <row r="39" spans="1:17" ht="13.5" customHeight="1">
      <c r="A39" s="725">
        <v>14</v>
      </c>
      <c r="B39" s="748"/>
      <c r="C39" s="257">
        <f t="shared" si="1"/>
        <v>44</v>
      </c>
      <c r="D39" s="257" t="str">
        <f t="shared" ca="1" si="0"/>
        <v>9/5/2032</v>
      </c>
      <c r="E39" s="257" t="e">
        <f>IF(A39&lt;$L$7,DAT!$AY$9," ")</f>
        <v>#VALUE!</v>
      </c>
      <c r="F39" s="257">
        <f>IF(A39&lt;$L$7,MAT!BC234," ")</f>
        <v>4200000</v>
      </c>
      <c r="G39" s="257">
        <f>IF(A39&lt;$L$7,MAT!BD234," ")</f>
        <v>6700000</v>
      </c>
      <c r="H39" s="259"/>
      <c r="I39" s="2296">
        <f>L6+L7</f>
        <v>52</v>
      </c>
      <c r="J39" s="1976" t="s">
        <v>234</v>
      </c>
      <c r="K39" s="1975" t="str">
        <f ca="1">(((DAY(NOW())&amp;"/")&amp;MONTH(NOW()))&amp;"/")&amp;((YEAR(NOW())))+L7</f>
        <v>9/5/2040</v>
      </c>
      <c r="L39" s="2299"/>
      <c r="M39" s="743"/>
      <c r="N39" s="748"/>
      <c r="O39" s="748"/>
      <c r="P39" s="748"/>
      <c r="Q39" s="748"/>
    </row>
    <row r="40" spans="1:17" ht="12.75" customHeight="1">
      <c r="A40" s="725">
        <v>15</v>
      </c>
      <c r="B40" s="748"/>
      <c r="C40" s="257">
        <f t="shared" si="1"/>
        <v>45</v>
      </c>
      <c r="D40" s="257" t="str">
        <f t="shared" ca="1" si="0"/>
        <v>9/5/2033</v>
      </c>
      <c r="E40" s="257" t="e">
        <f>IF(A40&lt;$L$7,DAT!$AY$9," ")</f>
        <v>#VALUE!</v>
      </c>
      <c r="F40" s="257">
        <f>IF(A40&lt;$L$7,MAT!BC235," ")</f>
        <v>4402500</v>
      </c>
      <c r="G40" s="257">
        <f>IF(A40&lt;$L$7,MAT!BD235," ")</f>
        <v>6902500</v>
      </c>
      <c r="H40" s="259"/>
      <c r="I40" s="2297"/>
      <c r="J40" s="2298"/>
      <c r="K40" s="2252"/>
      <c r="L40" s="2300"/>
      <c r="M40" s="743"/>
      <c r="N40" s="748"/>
      <c r="O40" s="748"/>
      <c r="P40" s="748"/>
      <c r="Q40" s="748"/>
    </row>
    <row r="41" spans="1:17" ht="15.75">
      <c r="A41" s="725">
        <v>16</v>
      </c>
      <c r="B41" s="748"/>
      <c r="C41" s="257">
        <f t="shared" si="1"/>
        <v>46</v>
      </c>
      <c r="D41" s="257" t="str">
        <f t="shared" ca="1" si="0"/>
        <v>9/5/2034</v>
      </c>
      <c r="E41" s="257" t="e">
        <f>IF(A41&lt;$L$7,DAT!$AY$9," ")</f>
        <v>#VALUE!</v>
      </c>
      <c r="F41" s="257">
        <f>IF(A41&lt;$L$7,MAT!BC236," ")</f>
        <v>4530000</v>
      </c>
      <c r="G41" s="257">
        <f>IF(A41&lt;$L$7,MAT!BD236," ")</f>
        <v>7030000</v>
      </c>
      <c r="H41" s="265"/>
      <c r="I41" s="2301" t="s">
        <v>241</v>
      </c>
      <c r="J41" s="2301"/>
      <c r="K41" s="2258">
        <f>L8</f>
        <v>2500000</v>
      </c>
      <c r="L41" s="2258"/>
      <c r="M41" s="264"/>
      <c r="N41" s="748"/>
      <c r="O41" s="748"/>
      <c r="P41" s="748"/>
      <c r="Q41" s="748"/>
    </row>
    <row r="42" spans="1:17" ht="15.75">
      <c r="A42" s="725">
        <v>17</v>
      </c>
      <c r="B42" s="748"/>
      <c r="C42" s="257">
        <f t="shared" si="1"/>
        <v>47</v>
      </c>
      <c r="D42" s="257" t="str">
        <f t="shared" ca="1" si="0"/>
        <v>9/5/2035</v>
      </c>
      <c r="E42" s="257" t="e">
        <f>IF(A42&lt;$L$7,DAT!$AY$9," ")</f>
        <v>#VALUE!</v>
      </c>
      <c r="F42" s="257">
        <f>IF(A42&lt;$L$7,MAT!BC237," ")</f>
        <v>4657500</v>
      </c>
      <c r="G42" s="257">
        <f>IF(A42&lt;$L$7,MAT!BD237," ")</f>
        <v>7157500</v>
      </c>
      <c r="H42" s="267"/>
      <c r="I42" s="2311" t="s">
        <v>328</v>
      </c>
      <c r="J42" s="2311"/>
      <c r="K42" s="2258">
        <f>((K41/1000)*5)*50</f>
        <v>625000</v>
      </c>
      <c r="L42" s="2258"/>
      <c r="M42" s="264"/>
      <c r="N42" s="748"/>
      <c r="O42" s="748"/>
      <c r="P42" s="748"/>
      <c r="Q42" s="748"/>
    </row>
    <row r="43" spans="1:17" ht="15.75">
      <c r="A43" s="725">
        <v>18</v>
      </c>
      <c r="B43" s="748"/>
      <c r="C43" s="257">
        <f t="shared" si="1"/>
        <v>48</v>
      </c>
      <c r="D43" s="257" t="str">
        <f t="shared" ca="1" si="0"/>
        <v>9/5/2036</v>
      </c>
      <c r="E43" s="257" t="e">
        <f>IF(A43&lt;$L$7,DAT!$AY$9," ")</f>
        <v>#VALUE!</v>
      </c>
      <c r="F43" s="257">
        <f>IF(A43&lt;$L$7,MAT!BC238," ")</f>
        <v>4810000</v>
      </c>
      <c r="G43" s="257">
        <f>IF(A43&lt;$L$7,MAT!BD238," ")</f>
        <v>7310000</v>
      </c>
      <c r="H43" s="265"/>
      <c r="I43" s="2301" t="s">
        <v>240</v>
      </c>
      <c r="J43" s="2301"/>
      <c r="K43" s="2256">
        <f>((L7-5)*MAT!AZ219)*(K41/1000)</f>
        <v>2040000</v>
      </c>
      <c r="L43" s="2256"/>
      <c r="M43" s="266"/>
      <c r="N43" s="748"/>
      <c r="O43" s="748"/>
      <c r="P43" s="748"/>
      <c r="Q43" s="748"/>
    </row>
    <row r="44" spans="1:17" ht="15.75" customHeight="1">
      <c r="A44" s="725">
        <v>19</v>
      </c>
      <c r="B44" s="748"/>
      <c r="C44" s="257">
        <f t="shared" si="1"/>
        <v>49</v>
      </c>
      <c r="D44" s="257" t="str">
        <f t="shared" ca="1" si="0"/>
        <v>9/5/2037</v>
      </c>
      <c r="E44" s="257" t="e">
        <f>IF(A44&lt;$L$7,DAT!$AY$9," ")</f>
        <v>#VALUE!</v>
      </c>
      <c r="F44" s="257">
        <f>IF(A44&lt;$L$7,MAT!BC239," ")</f>
        <v>4975000</v>
      </c>
      <c r="G44" s="257">
        <f>IF(A44&lt;$L$7,MAT!BD239," ")</f>
        <v>7475000</v>
      </c>
      <c r="H44" s="265"/>
      <c r="I44" s="2301" t="s">
        <v>327</v>
      </c>
      <c r="J44" s="2301"/>
      <c r="K44" s="2257">
        <f>MAT!BB219</f>
        <v>375000</v>
      </c>
      <c r="L44" s="2258"/>
      <c r="M44" s="264"/>
      <c r="N44" s="748"/>
      <c r="O44" s="748"/>
      <c r="P44" s="748"/>
      <c r="Q44" s="748"/>
    </row>
    <row r="45" spans="1:17" ht="15" customHeight="1" thickBot="1">
      <c r="A45" s="725">
        <v>20</v>
      </c>
      <c r="B45" s="748"/>
      <c r="C45" s="257">
        <f t="shared" si="1"/>
        <v>50</v>
      </c>
      <c r="D45" s="257" t="str">
        <f t="shared" ca="1" si="0"/>
        <v>9/5/2038</v>
      </c>
      <c r="E45" s="257" t="e">
        <f>IF(A45&lt;$L$7,DAT!$AY$9," ")</f>
        <v>#VALUE!</v>
      </c>
      <c r="F45" s="257">
        <f>IF(A45&lt;$L$7,MAT!BC240," ")</f>
        <v>5270000</v>
      </c>
      <c r="G45" s="257">
        <f>IF(A45&lt;$L$7,MAT!BD240," ")</f>
        <v>7770000</v>
      </c>
      <c r="H45" s="263"/>
      <c r="I45" s="2304" t="s">
        <v>238</v>
      </c>
      <c r="J45" s="2304"/>
      <c r="K45" s="2271">
        <f>K41+K42+K43+K44</f>
        <v>5540000</v>
      </c>
      <c r="L45" s="2271"/>
      <c r="M45" s="262"/>
      <c r="N45" s="748"/>
      <c r="O45" s="748"/>
      <c r="P45" s="748"/>
      <c r="Q45" s="748"/>
    </row>
    <row r="46" spans="1:17" ht="15" customHeight="1" thickTop="1">
      <c r="A46" s="725">
        <v>21</v>
      </c>
      <c r="B46" s="748"/>
      <c r="C46" s="257">
        <f t="shared" si="1"/>
        <v>51</v>
      </c>
      <c r="D46" s="257" t="str">
        <f t="shared" ca="1" si="0"/>
        <v>9/5/2039</v>
      </c>
      <c r="E46" s="257" t="e">
        <f>IF(A46&lt;$L$7,DAT!$AY$9," ")</f>
        <v>#VALUE!</v>
      </c>
      <c r="F46" s="257">
        <f>IF(A46&lt;$L$7,MAT!BC241," ")</f>
        <v>5515000</v>
      </c>
      <c r="G46" s="257">
        <f>IF(A46&lt;$L$7,MAT!BD241," ")</f>
        <v>8015000</v>
      </c>
      <c r="H46" s="2305" t="s">
        <v>326</v>
      </c>
      <c r="I46" s="2306"/>
      <c r="J46" s="2306"/>
      <c r="K46" s="2307"/>
      <c r="L46" s="2278">
        <f>PM!BK355</f>
        <v>3693333.333333333</v>
      </c>
      <c r="M46" s="2279"/>
      <c r="N46" s="748"/>
      <c r="O46" s="748"/>
      <c r="P46" s="748"/>
      <c r="Q46" s="748"/>
    </row>
    <row r="47" spans="1:17" ht="13.5" thickBot="1">
      <c r="A47" s="725">
        <v>22</v>
      </c>
      <c r="B47" s="748"/>
      <c r="C47" s="257" t="str">
        <f t="shared" si="1"/>
        <v xml:space="preserve"> </v>
      </c>
      <c r="D47" s="257" t="str">
        <f t="shared" ca="1" si="0"/>
        <v xml:space="preserve"> </v>
      </c>
      <c r="E47" s="257" t="str">
        <f>IF(A47&lt;$L$7,DAT!$AY$9," ")</f>
        <v xml:space="preserve"> </v>
      </c>
      <c r="F47" s="257" t="str">
        <f>IF(A47&lt;$L$7,MAT!BC242," ")</f>
        <v xml:space="preserve"> </v>
      </c>
      <c r="G47" s="257" t="str">
        <f>IF(A47&lt;$L$7,MAT!BD242," ")</f>
        <v xml:space="preserve"> </v>
      </c>
      <c r="H47" s="2308"/>
      <c r="I47" s="2309"/>
      <c r="J47" s="2309"/>
      <c r="K47" s="2310"/>
      <c r="L47" s="2280"/>
      <c r="M47" s="2281"/>
      <c r="N47" s="748"/>
      <c r="O47" s="748"/>
      <c r="P47" s="748"/>
      <c r="Q47" s="748"/>
    </row>
    <row r="48" spans="1:17" ht="14.25" thickTop="1" thickBot="1">
      <c r="A48" s="725">
        <v>23</v>
      </c>
      <c r="B48" s="748"/>
      <c r="C48" s="257" t="str">
        <f t="shared" si="1"/>
        <v xml:space="preserve"> </v>
      </c>
      <c r="D48" s="257" t="str">
        <f t="shared" ca="1" si="0"/>
        <v xml:space="preserve"> </v>
      </c>
      <c r="E48" s="257" t="str">
        <f>IF(A48&lt;$L$7,DAT!$AY$9," ")</f>
        <v xml:space="preserve"> </v>
      </c>
      <c r="F48" s="257" t="str">
        <f>IF(A48&lt;$L$7,MAT!BC243," ")</f>
        <v xml:space="preserve"> </v>
      </c>
      <c r="G48" s="257" t="str">
        <f>IF(A48&lt;$L$7,MAT!BD243," ")</f>
        <v xml:space="preserve"> </v>
      </c>
      <c r="H48" s="2302" t="s">
        <v>325</v>
      </c>
      <c r="I48" s="2303"/>
      <c r="J48" s="2303"/>
      <c r="K48" s="2303"/>
      <c r="L48" s="2303"/>
      <c r="M48" s="2303"/>
      <c r="N48" s="748"/>
      <c r="O48" s="748"/>
      <c r="P48" s="748"/>
      <c r="Q48" s="748"/>
    </row>
    <row r="49" spans="1:17" ht="15.75" customHeight="1" thickTop="1" thickBot="1">
      <c r="A49" s="725">
        <v>24</v>
      </c>
      <c r="B49" s="748"/>
      <c r="C49" s="257" t="str">
        <f t="shared" si="1"/>
        <v xml:space="preserve"> </v>
      </c>
      <c r="D49" s="257" t="str">
        <f t="shared" ca="1" si="0"/>
        <v xml:space="preserve"> </v>
      </c>
      <c r="E49" s="257" t="str">
        <f>IF(A49&lt;$L$7,DAT!$AY$9," ")</f>
        <v xml:space="preserve"> </v>
      </c>
      <c r="F49" s="257" t="str">
        <f>IF(A49&lt;$L$7,MAT!BC244," ")</f>
        <v xml:space="preserve"> </v>
      </c>
      <c r="G49" s="257" t="str">
        <f>IF(A49&lt;$L$7,MAT!BD244," ")</f>
        <v xml:space="preserve"> </v>
      </c>
      <c r="H49" s="2268"/>
      <c r="I49" s="2269"/>
      <c r="J49" s="2267" t="s">
        <v>196</v>
      </c>
      <c r="K49" s="2267" t="s">
        <v>324</v>
      </c>
      <c r="L49" s="2267" t="s">
        <v>198</v>
      </c>
      <c r="M49" s="2267" t="s">
        <v>323</v>
      </c>
      <c r="N49" s="748"/>
      <c r="O49" s="748"/>
      <c r="P49" s="748"/>
      <c r="Q49" s="748"/>
    </row>
    <row r="50" spans="1:17" ht="15" customHeight="1" thickTop="1" thickBot="1">
      <c r="A50" s="725">
        <v>25</v>
      </c>
      <c r="B50" s="748"/>
      <c r="C50" s="257" t="str">
        <f t="shared" si="1"/>
        <v xml:space="preserve"> </v>
      </c>
      <c r="D50" s="257" t="str">
        <f t="shared" ca="1" si="0"/>
        <v xml:space="preserve"> </v>
      </c>
      <c r="E50" s="257" t="str">
        <f>IF(A50&lt;$L$7,DAT!$AY$9," ")</f>
        <v xml:space="preserve"> </v>
      </c>
      <c r="F50" s="257" t="str">
        <f>IF(A50&lt;$L$7,MAT!BC245," ")</f>
        <v xml:space="preserve"> </v>
      </c>
      <c r="G50" s="257" t="str">
        <f>IF(A50&lt;$L$7,MAT!BD245," ")</f>
        <v xml:space="preserve"> </v>
      </c>
      <c r="H50" s="2268"/>
      <c r="I50" s="2269"/>
      <c r="J50" s="2267"/>
      <c r="K50" s="2267"/>
      <c r="L50" s="2267"/>
      <c r="M50" s="2267"/>
      <c r="N50" s="748"/>
      <c r="O50" s="748"/>
      <c r="P50" s="748"/>
      <c r="Q50" s="748"/>
    </row>
    <row r="51" spans="1:17" ht="14.25" thickTop="1" thickBot="1">
      <c r="A51" s="725">
        <v>26</v>
      </c>
      <c r="B51" s="748"/>
      <c r="C51" s="257" t="str">
        <f t="shared" si="1"/>
        <v xml:space="preserve"> </v>
      </c>
      <c r="D51" s="257" t="str">
        <f t="shared" ca="1" si="0"/>
        <v xml:space="preserve"> </v>
      </c>
      <c r="E51" s="257" t="str">
        <f>IF(A51&lt;$L$7,DAT!$AY$9," ")</f>
        <v xml:space="preserve"> </v>
      </c>
      <c r="F51" s="257" t="str">
        <f>IF(A51&lt;$L$7,MAT!BC246," ")</f>
        <v xml:space="preserve"> </v>
      </c>
      <c r="G51" s="257" t="str">
        <f>IF(A51&lt;$L$7,MAT!BD246," ")</f>
        <v xml:space="preserve"> </v>
      </c>
      <c r="H51" s="2268" t="s">
        <v>322</v>
      </c>
      <c r="I51" s="2269"/>
      <c r="J51" s="261">
        <f>PM!AG437</f>
        <v>257240.66666666663</v>
      </c>
      <c r="K51" s="261">
        <f>PM!AH437</f>
        <v>125665.66666666666</v>
      </c>
      <c r="L51" s="261">
        <f>PM!AI437</f>
        <v>62094.166666666664</v>
      </c>
      <c r="M51" s="261">
        <f>PM!AJ437</f>
        <v>20559.555555555551</v>
      </c>
      <c r="N51" s="748"/>
      <c r="O51" s="748"/>
      <c r="P51" s="748"/>
      <c r="Q51" s="748"/>
    </row>
    <row r="52" spans="1:17" ht="15" customHeight="1" thickTop="1" thickBot="1">
      <c r="A52" s="725">
        <v>27</v>
      </c>
      <c r="B52" s="748"/>
      <c r="C52" s="257" t="str">
        <f t="shared" si="1"/>
        <v xml:space="preserve"> </v>
      </c>
      <c r="D52" s="257" t="str">
        <f t="shared" ca="1" si="0"/>
        <v xml:space="preserve"> </v>
      </c>
      <c r="E52" s="257" t="str">
        <f>IF(A52&lt;$L$7,DAT!$AY$9," ")</f>
        <v xml:space="preserve"> </v>
      </c>
      <c r="F52" s="257" t="str">
        <f>IF(A52&lt;$L$7,MAT!BC247," ")</f>
        <v xml:space="preserve"> </v>
      </c>
      <c r="G52" s="257" t="str">
        <f>IF(A52&lt;$L$7,MAT!BD247," ")</f>
        <v xml:space="preserve"> </v>
      </c>
      <c r="H52" s="2268" t="s">
        <v>321</v>
      </c>
      <c r="I52" s="2269"/>
      <c r="J52" s="260">
        <f>PM!AG438</f>
        <v>6.9650000000000031E-2</v>
      </c>
      <c r="K52" s="260">
        <f>PM!AH438</f>
        <v>6.9207700624999813E-2</v>
      </c>
      <c r="L52" s="260">
        <f>PM!AI438</f>
        <v>6.8965049729771008E-2</v>
      </c>
      <c r="M52" s="260">
        <f>PM!AJ438</f>
        <v>6.8883622612968043E-2</v>
      </c>
      <c r="N52" s="748"/>
      <c r="O52" s="748"/>
      <c r="P52" s="748"/>
      <c r="Q52" s="748"/>
    </row>
    <row r="53" spans="1:17" ht="13.5" thickTop="1">
      <c r="A53" s="725">
        <v>28</v>
      </c>
      <c r="B53" s="748"/>
      <c r="C53" s="257" t="str">
        <f t="shared" si="1"/>
        <v xml:space="preserve"> </v>
      </c>
      <c r="D53" s="257" t="str">
        <f t="shared" ca="1" si="0"/>
        <v xml:space="preserve"> </v>
      </c>
      <c r="E53" s="257" t="str">
        <f>IF(A53&lt;$L$7,DAT!$AY$9," ")</f>
        <v xml:space="preserve"> </v>
      </c>
      <c r="F53" s="257" t="str">
        <f>IF(A53&lt;$L$7,MAT!BC248," ")</f>
        <v xml:space="preserve"> </v>
      </c>
      <c r="G53" s="257" t="str">
        <f>IF(A53&lt;$L$7,MAT!BD248," ")</f>
        <v xml:space="preserve"> </v>
      </c>
      <c r="H53" s="259"/>
      <c r="I53" s="258"/>
      <c r="J53" s="56"/>
      <c r="K53" s="56"/>
      <c r="L53" s="56"/>
      <c r="M53" s="56"/>
      <c r="N53" s="748"/>
      <c r="O53" s="748"/>
      <c r="P53" s="748"/>
      <c r="Q53" s="748"/>
    </row>
    <row r="54" spans="1:17" ht="16.5" customHeight="1">
      <c r="A54" s="725">
        <v>29</v>
      </c>
      <c r="B54" s="748"/>
      <c r="C54" s="257" t="str">
        <f t="shared" si="1"/>
        <v xml:space="preserve"> </v>
      </c>
      <c r="D54" s="257" t="str">
        <f t="shared" ca="1" si="0"/>
        <v xml:space="preserve"> </v>
      </c>
      <c r="E54" s="257" t="str">
        <f>IF(A54&lt;$L$7,DAT!$AY$9," ")</f>
        <v xml:space="preserve"> </v>
      </c>
      <c r="F54" s="257" t="str">
        <f>IF(A54&lt;$L$7,MAT!BC249," ")</f>
        <v xml:space="preserve"> </v>
      </c>
      <c r="G54" s="257" t="str">
        <f>IF(A54&lt;$L$7,MAT!BD249," ")</f>
        <v xml:space="preserve"> </v>
      </c>
      <c r="H54" s="1892" t="s">
        <v>212</v>
      </c>
      <c r="I54" s="1892"/>
      <c r="J54" s="1383" t="str">
        <f>'VASANTHAM HOME'!E9</f>
        <v>ENTER YOUR NAME</v>
      </c>
      <c r="K54" s="1383"/>
      <c r="L54" s="1383"/>
      <c r="M54" s="1383"/>
      <c r="N54" s="748"/>
      <c r="O54" s="748"/>
      <c r="P54" s="748"/>
      <c r="Q54" s="748"/>
    </row>
    <row r="55" spans="1:17" ht="14.25" customHeight="1">
      <c r="A55" s="725">
        <v>30</v>
      </c>
      <c r="B55" s="748"/>
      <c r="C55" s="257" t="str">
        <f t="shared" si="1"/>
        <v xml:space="preserve"> </v>
      </c>
      <c r="D55" s="257" t="str">
        <f t="shared" ca="1" si="0"/>
        <v xml:space="preserve"> </v>
      </c>
      <c r="E55" s="257" t="str">
        <f>IF(A55&lt;$L$7,DAT!$AY$9," ")</f>
        <v xml:space="preserve"> </v>
      </c>
      <c r="F55" s="257" t="str">
        <f>IF(A55&lt;$L$7,MAT!BC250," ")</f>
        <v xml:space="preserve"> </v>
      </c>
      <c r="G55" s="257" t="str">
        <f>IF(A55&lt;$L$7,MAT!BD250," ")</f>
        <v xml:space="preserve"> </v>
      </c>
      <c r="H55" s="1892"/>
      <c r="I55" s="1892"/>
      <c r="J55" s="1383" t="str">
        <f>'VASANTHAM HOME'!E10</f>
        <v>DESIGNATION</v>
      </c>
      <c r="K55" s="1383"/>
      <c r="L55" s="1383"/>
      <c r="M55" s="1383"/>
      <c r="N55" s="748"/>
      <c r="O55" s="748"/>
      <c r="P55" s="748"/>
      <c r="Q55" s="748"/>
    </row>
    <row r="56" spans="1:17" ht="12.75">
      <c r="A56" s="725">
        <v>31</v>
      </c>
      <c r="B56" s="748"/>
      <c r="C56" s="257" t="str">
        <f t="shared" si="1"/>
        <v xml:space="preserve"> </v>
      </c>
      <c r="D56" s="257" t="str">
        <f t="shared" ca="1" si="0"/>
        <v xml:space="preserve"> </v>
      </c>
      <c r="E56" s="257" t="str">
        <f>IF(A56&lt;$L$7,DAT!$AY$9," ")</f>
        <v xml:space="preserve"> </v>
      </c>
      <c r="F56" s="257" t="str">
        <f>IF(A56&lt;$L$7,MAT!BC251," ")</f>
        <v xml:space="preserve"> </v>
      </c>
      <c r="G56" s="257" t="str">
        <f>IF(A56&lt;$L$7,MAT!BD251," ")</f>
        <v xml:space="preserve"> </v>
      </c>
      <c r="H56" s="1892"/>
      <c r="I56" s="1892"/>
      <c r="J56" s="1383" t="str">
        <f>'VASANTHAM HOME'!E11</f>
        <v>ADDRESS 1</v>
      </c>
      <c r="K56" s="1383"/>
      <c r="L56" s="1383"/>
      <c r="M56" s="1383"/>
      <c r="N56" s="748"/>
      <c r="O56" s="748"/>
      <c r="P56" s="748"/>
      <c r="Q56" s="748"/>
    </row>
    <row r="57" spans="1:17" ht="12.75">
      <c r="A57" s="725">
        <v>32</v>
      </c>
      <c r="B57" s="748"/>
      <c r="C57" s="257" t="str">
        <f t="shared" si="1"/>
        <v xml:space="preserve"> </v>
      </c>
      <c r="D57" s="257" t="str">
        <f t="shared" ca="1" si="0"/>
        <v xml:space="preserve"> </v>
      </c>
      <c r="E57" s="257" t="str">
        <f>IF(A57&lt;$L$7,DAT!$AY$9," ")</f>
        <v xml:space="preserve"> </v>
      </c>
      <c r="F57" s="257" t="str">
        <f>IF(A57&lt;$L$7,MAT!BC252," ")</f>
        <v xml:space="preserve"> </v>
      </c>
      <c r="G57" s="257" t="str">
        <f>IF(A57&lt;$L$7,MAT!BD252," ")</f>
        <v xml:space="preserve"> </v>
      </c>
      <c r="H57" s="1892"/>
      <c r="I57" s="1892"/>
      <c r="J57" s="1383" t="str">
        <f>'VASANTHAM HOME'!E12</f>
        <v>ADDRESS 2</v>
      </c>
      <c r="K57" s="1383"/>
      <c r="L57" s="1383"/>
      <c r="M57" s="1383"/>
      <c r="N57" s="748"/>
      <c r="O57" s="748"/>
      <c r="P57" s="748"/>
      <c r="Q57" s="748"/>
    </row>
    <row r="58" spans="1:17" ht="12.75">
      <c r="A58" s="725">
        <v>33</v>
      </c>
      <c r="B58" s="748"/>
      <c r="C58" s="257" t="str">
        <f t="shared" si="1"/>
        <v xml:space="preserve"> </v>
      </c>
      <c r="D58" s="257" t="str">
        <f t="shared" ca="1" si="0"/>
        <v xml:space="preserve"> </v>
      </c>
      <c r="E58" s="257" t="str">
        <f>IF(A58&lt;$L$7,DAT!$AY$9," ")</f>
        <v xml:space="preserve"> </v>
      </c>
      <c r="F58" s="257" t="str">
        <f>IF(A58&lt;$L$7,MAT!BC253," ")</f>
        <v xml:space="preserve"> </v>
      </c>
      <c r="G58" s="257" t="str">
        <f>IF(A58&lt;$L$7,MAT!BD253," ")</f>
        <v xml:space="preserve"> </v>
      </c>
      <c r="H58" s="1892"/>
      <c r="I58" s="1892"/>
      <c r="J58" s="1383" t="str">
        <f>'VASANTHAM HOME'!E13</f>
        <v>ADDRESS 3</v>
      </c>
      <c r="K58" s="1383"/>
      <c r="L58" s="1383"/>
      <c r="M58" s="1383"/>
      <c r="N58" s="748"/>
      <c r="O58" s="748"/>
      <c r="P58" s="748"/>
      <c r="Q58" s="748"/>
    </row>
    <row r="59" spans="1:17" ht="12.75">
      <c r="A59" s="725">
        <v>34</v>
      </c>
      <c r="B59" s="748"/>
      <c r="C59" s="257" t="str">
        <f t="shared" si="1"/>
        <v xml:space="preserve"> </v>
      </c>
      <c r="D59" s="257" t="str">
        <f t="shared" ca="1" si="0"/>
        <v xml:space="preserve"> </v>
      </c>
      <c r="E59" s="257" t="str">
        <f>IF(A59&lt;$L$7,DAT!$AY$9," ")</f>
        <v xml:space="preserve"> </v>
      </c>
      <c r="F59" s="257" t="str">
        <f>IF(A59&lt;$L$7,MAT!BC254," ")</f>
        <v xml:space="preserve"> </v>
      </c>
      <c r="G59" s="257" t="str">
        <f>IF(A59&lt;$L$7,MAT!BD254," ")</f>
        <v xml:space="preserve"> </v>
      </c>
      <c r="H59" s="1892"/>
      <c r="I59" s="1892"/>
      <c r="J59" s="1383" t="str">
        <f>'VASANTHAM HOME'!E14</f>
        <v>MOBILE NO :</v>
      </c>
      <c r="K59" s="1383"/>
      <c r="L59" s="1383"/>
      <c r="M59" s="1383"/>
      <c r="N59" s="748"/>
      <c r="O59" s="748"/>
      <c r="P59" s="748"/>
      <c r="Q59" s="748"/>
    </row>
    <row r="60" spans="1:17" ht="12.75">
      <c r="A60" s="256"/>
      <c r="B60" s="2017"/>
      <c r="C60" s="2018"/>
      <c r="D60" s="751"/>
      <c r="E60" s="751"/>
      <c r="F60" s="751"/>
      <c r="G60" s="751"/>
      <c r="H60" s="1892"/>
      <c r="I60" s="1892"/>
      <c r="J60" s="1383" t="str">
        <f>'VASANTHAM HOME'!E15</f>
        <v>E.MAIL ID :</v>
      </c>
      <c r="K60" s="1383"/>
      <c r="L60" s="1383"/>
      <c r="M60" s="1383"/>
      <c r="N60" s="748"/>
      <c r="O60" s="748"/>
      <c r="P60" s="748"/>
      <c r="Q60" s="748"/>
    </row>
    <row r="61" spans="1:17" ht="12.75">
      <c r="A61" s="256"/>
      <c r="B61" s="750"/>
      <c r="C61" s="2017" t="s">
        <v>209</v>
      </c>
      <c r="D61" s="2018"/>
      <c r="E61" s="751"/>
      <c r="F61" s="751"/>
      <c r="G61" s="751"/>
      <c r="H61" s="749"/>
      <c r="I61" s="749"/>
      <c r="J61" s="745"/>
      <c r="K61" s="745"/>
      <c r="L61" s="745"/>
      <c r="M61" s="745"/>
      <c r="N61" s="748"/>
      <c r="O61" s="748"/>
      <c r="P61" s="748"/>
      <c r="Q61" s="748"/>
    </row>
    <row r="62" spans="1:17" ht="12.75">
      <c r="B62" s="255">
        <v>1</v>
      </c>
      <c r="C62" s="2262" t="s">
        <v>2143</v>
      </c>
      <c r="D62" s="2262"/>
      <c r="E62" s="2262"/>
      <c r="F62" s="2262"/>
      <c r="G62" s="2262"/>
      <c r="H62" s="2262"/>
      <c r="I62" s="2262"/>
      <c r="J62" s="2262"/>
      <c r="K62" s="2262"/>
      <c r="L62" s="2262"/>
      <c r="M62" s="2262"/>
      <c r="N62" s="748"/>
      <c r="O62" s="748"/>
      <c r="P62" s="748"/>
      <c r="Q62" s="748"/>
    </row>
    <row r="63" spans="1:17" ht="12.75">
      <c r="B63" s="255">
        <v>2</v>
      </c>
      <c r="C63" s="2262" t="s">
        <v>237</v>
      </c>
      <c r="D63" s="2262"/>
      <c r="E63" s="2262"/>
      <c r="F63" s="2262"/>
      <c r="G63" s="2262"/>
      <c r="H63" s="2262"/>
      <c r="I63" s="2262"/>
      <c r="J63" s="2262"/>
      <c r="K63" s="2262"/>
      <c r="L63" s="2262"/>
      <c r="M63" s="2262"/>
      <c r="N63" s="748"/>
      <c r="O63" s="748"/>
      <c r="P63" s="748"/>
      <c r="Q63" s="748"/>
    </row>
    <row r="64" spans="1:17" ht="12.75">
      <c r="B64" s="748"/>
      <c r="C64" s="748"/>
      <c r="D64" s="748"/>
      <c r="E64" s="748"/>
      <c r="F64" s="748"/>
      <c r="G64" s="748"/>
      <c r="H64" s="748"/>
      <c r="I64" s="748"/>
      <c r="J64" s="748"/>
      <c r="K64" s="748"/>
      <c r="L64" s="748"/>
      <c r="M64" s="748"/>
      <c r="N64" s="748"/>
      <c r="O64" s="748"/>
      <c r="P64" s="748"/>
      <c r="Q64" s="748"/>
    </row>
    <row r="65" ht="12.75" hidden="1"/>
  </sheetData>
  <mergeCells count="71">
    <mergeCell ref="H29:I31"/>
    <mergeCell ref="H32:I33"/>
    <mergeCell ref="C62:M62"/>
    <mergeCell ref="L46:M47"/>
    <mergeCell ref="H48:M48"/>
    <mergeCell ref="I45:J45"/>
    <mergeCell ref="K45:L45"/>
    <mergeCell ref="H46:K47"/>
    <mergeCell ref="K42:L42"/>
    <mergeCell ref="I43:J43"/>
    <mergeCell ref="K43:L43"/>
    <mergeCell ref="I44:J44"/>
    <mergeCell ref="K44:L44"/>
    <mergeCell ref="I42:J42"/>
    <mergeCell ref="H49:I50"/>
    <mergeCell ref="J49:J50"/>
    <mergeCell ref="C63:M63"/>
    <mergeCell ref="H51:I51"/>
    <mergeCell ref="H52:I52"/>
    <mergeCell ref="H54:I60"/>
    <mergeCell ref="J54:M54"/>
    <mergeCell ref="J55:M55"/>
    <mergeCell ref="J56:M56"/>
    <mergeCell ref="J57:M57"/>
    <mergeCell ref="J58:M58"/>
    <mergeCell ref="J59:M59"/>
    <mergeCell ref="B60:C60"/>
    <mergeCell ref="J60:M60"/>
    <mergeCell ref="C61:D61"/>
    <mergeCell ref="K49:K50"/>
    <mergeCell ref="L49:L50"/>
    <mergeCell ref="M49:M50"/>
    <mergeCell ref="I37:L38"/>
    <mergeCell ref="I39:I40"/>
    <mergeCell ref="J39:J40"/>
    <mergeCell ref="K39:L40"/>
    <mergeCell ref="I41:J41"/>
    <mergeCell ref="K41:L41"/>
    <mergeCell ref="C20:I20"/>
    <mergeCell ref="C21:I21"/>
    <mergeCell ref="C22:I22"/>
    <mergeCell ref="A23:A24"/>
    <mergeCell ref="C23:C24"/>
    <mergeCell ref="D23:D24"/>
    <mergeCell ref="E23:E24"/>
    <mergeCell ref="F23:G23"/>
    <mergeCell ref="C19:I19"/>
    <mergeCell ref="C9:H10"/>
    <mergeCell ref="O9:R10"/>
    <mergeCell ref="C11:E11"/>
    <mergeCell ref="C12:E13"/>
    <mergeCell ref="F12:F13"/>
    <mergeCell ref="G12:G13"/>
    <mergeCell ref="H12:H13"/>
    <mergeCell ref="I12:I13"/>
    <mergeCell ref="O13:Q14"/>
    <mergeCell ref="C14:F15"/>
    <mergeCell ref="O15:R16"/>
    <mergeCell ref="C16:I16"/>
    <mergeCell ref="C17:I17"/>
    <mergeCell ref="C18:I18"/>
    <mergeCell ref="K10:L14"/>
    <mergeCell ref="O7:Q8"/>
    <mergeCell ref="C8:H8"/>
    <mergeCell ref="J8:K8"/>
    <mergeCell ref="L8:M8"/>
    <mergeCell ref="L2:M2"/>
    <mergeCell ref="L3:M3"/>
    <mergeCell ref="L4:M4"/>
    <mergeCell ref="C5:H6"/>
    <mergeCell ref="C7:H7"/>
  </mergeCells>
  <hyperlinks>
    <hyperlink ref="O15:R16" location="Main!A1" display="CLICK HERE"/>
    <hyperlink ref="O9:R10" location="'VASANTHAM HOME'!A1" display="CLICK HERE"/>
  </hyperlinks>
  <pageMargins left="0.7" right="0.7" top="0.75" bottom="0.75" header="0.3" footer="0.3"/>
  <pageSetup scale="80" orientation="portrait" r:id="rId1"/>
  <headerFooter>
    <oddFooter>&amp;C&amp;K02-049VASANTHAM SMART</oddFooter>
  </headerFooter>
  <drawing r:id="rId2"/>
</worksheet>
</file>

<file path=xl/worksheets/sheet24.xml><?xml version="1.0" encoding="utf-8"?>
<worksheet xmlns="http://schemas.openxmlformats.org/spreadsheetml/2006/main" xmlns:r="http://schemas.openxmlformats.org/officeDocument/2006/relationships">
  <sheetPr codeName="Sheet70"/>
  <dimension ref="A1:V60"/>
  <sheetViews>
    <sheetView showGridLines="0" showRowColHeaders="0" topLeftCell="B1" workbookViewId="0">
      <selection activeCell="O1" sqref="O1"/>
    </sheetView>
  </sheetViews>
  <sheetFormatPr defaultColWidth="0" defaultRowHeight="0" customHeight="1" zeroHeight="1"/>
  <cols>
    <col min="1" max="1" width="3.5" style="165" hidden="1" customWidth="1"/>
    <col min="2" max="2" width="4.125" style="165" customWidth="1"/>
    <col min="3" max="3" width="4.5" style="165" customWidth="1"/>
    <col min="4" max="4" width="10.875" style="165" customWidth="1"/>
    <col min="5" max="7" width="9.875" style="165" customWidth="1"/>
    <col min="8" max="8" width="11.375" style="165" customWidth="1"/>
    <col min="9" max="9" width="10.5" style="165" customWidth="1"/>
    <col min="10" max="10" width="6.5" style="165" customWidth="1"/>
    <col min="11" max="11" width="4.375" style="165" customWidth="1"/>
    <col min="12" max="12" width="8.375" style="165" customWidth="1"/>
    <col min="13" max="13" width="7.875" style="165" customWidth="1"/>
    <col min="14" max="14" width="9.125" style="165" customWidth="1"/>
    <col min="15" max="15" width="11.125" style="165" customWidth="1"/>
    <col min="16" max="17" width="9.125" style="165" customWidth="1"/>
    <col min="18" max="22" width="0" style="165" hidden="1" customWidth="1"/>
    <col min="23" max="16384" width="9.125" style="165" hidden="1"/>
  </cols>
  <sheetData>
    <row r="1" spans="2:18" ht="13.5" customHeight="1">
      <c r="B1" s="30"/>
      <c r="E1" s="30"/>
      <c r="F1" s="30"/>
      <c r="G1" s="30"/>
      <c r="H1" s="30"/>
      <c r="I1" s="30"/>
      <c r="J1" s="30"/>
      <c r="K1" s="30"/>
      <c r="L1" s="30"/>
      <c r="M1" s="30"/>
      <c r="N1" s="30"/>
      <c r="O1" s="30"/>
      <c r="P1" s="30"/>
      <c r="Q1" s="30"/>
    </row>
    <row r="2" spans="2:18" ht="13.5" customHeight="1">
      <c r="B2" s="30"/>
      <c r="E2" s="30"/>
      <c r="F2" s="30"/>
      <c r="G2" s="30"/>
      <c r="H2" s="30"/>
      <c r="I2" s="30"/>
      <c r="J2" s="30"/>
      <c r="K2" s="30"/>
      <c r="L2" s="30"/>
      <c r="M2" s="1612">
        <f ca="1">TODAY()</f>
        <v>43229</v>
      </c>
      <c r="N2" s="1612"/>
      <c r="O2" s="30"/>
      <c r="P2" s="30"/>
      <c r="Q2" s="30"/>
    </row>
    <row r="3" spans="2:18" ht="13.5" customHeight="1">
      <c r="B3" s="30"/>
      <c r="E3" s="30"/>
      <c r="F3" s="30"/>
      <c r="G3" s="30"/>
      <c r="H3" s="30"/>
      <c r="I3" s="30"/>
      <c r="J3" s="30"/>
      <c r="K3" s="30"/>
      <c r="L3" s="30"/>
      <c r="M3" s="30"/>
      <c r="N3" s="30"/>
      <c r="O3" s="30"/>
      <c r="P3" s="30"/>
      <c r="Q3" s="30"/>
    </row>
    <row r="4" spans="2:18" ht="13.5" customHeight="1">
      <c r="B4" s="30"/>
      <c r="E4" s="30"/>
      <c r="F4" s="30"/>
      <c r="G4" s="30"/>
      <c r="H4" s="30"/>
      <c r="I4" s="30"/>
      <c r="J4" s="927"/>
      <c r="K4" s="927"/>
      <c r="L4" s="2312" t="s">
        <v>873</v>
      </c>
      <c r="M4" s="2312"/>
      <c r="N4" s="2312"/>
      <c r="O4" s="1598" t="s">
        <v>232</v>
      </c>
      <c r="P4" s="1598"/>
      <c r="Q4" s="1598"/>
    </row>
    <row r="5" spans="2:18" ht="14.25" customHeight="1">
      <c r="B5" s="30"/>
      <c r="C5" s="30"/>
      <c r="D5" s="30"/>
      <c r="E5" s="30"/>
      <c r="F5" s="30"/>
      <c r="G5" s="30"/>
      <c r="H5" s="30"/>
      <c r="I5" s="30"/>
      <c r="J5" s="927"/>
      <c r="K5" s="927"/>
      <c r="L5" s="2312" t="s">
        <v>874</v>
      </c>
      <c r="M5" s="2312"/>
      <c r="N5" s="2312"/>
      <c r="O5" s="1598"/>
      <c r="P5" s="1598"/>
      <c r="Q5" s="1598"/>
    </row>
    <row r="6" spans="2:18" ht="12.75" customHeight="1">
      <c r="B6" s="30"/>
      <c r="C6" s="2313" t="s">
        <v>888</v>
      </c>
      <c r="D6" s="2313"/>
      <c r="E6" s="2313"/>
      <c r="F6" s="2313"/>
      <c r="G6" s="2313"/>
      <c r="H6" s="471"/>
      <c r="I6" s="471"/>
      <c r="J6" s="928"/>
      <c r="K6" s="928"/>
      <c r="L6" s="928"/>
      <c r="M6" s="927"/>
      <c r="N6" s="927"/>
      <c r="O6" s="1381" t="s">
        <v>226</v>
      </c>
      <c r="P6" s="1381"/>
      <c r="Q6" s="1381"/>
      <c r="R6" s="1381"/>
    </row>
    <row r="7" spans="2:18" ht="16.5" customHeight="1" thickBot="1">
      <c r="B7" s="30"/>
      <c r="C7" s="2314"/>
      <c r="D7" s="2314"/>
      <c r="E7" s="2314"/>
      <c r="F7" s="2314"/>
      <c r="G7" s="2314"/>
      <c r="H7" s="470"/>
      <c r="I7" s="470"/>
      <c r="J7" s="929"/>
      <c r="K7" s="929"/>
      <c r="L7" s="948" t="s">
        <v>251</v>
      </c>
      <c r="M7" s="949">
        <f>Main!E9</f>
        <v>30</v>
      </c>
      <c r="N7" s="930" t="s">
        <v>234</v>
      </c>
      <c r="O7" s="1381"/>
      <c r="P7" s="1381"/>
      <c r="Q7" s="1381"/>
      <c r="R7" s="1381"/>
    </row>
    <row r="8" spans="2:18" ht="16.5" thickTop="1">
      <c r="B8" s="30"/>
      <c r="C8" s="2315" t="s">
        <v>231</v>
      </c>
      <c r="D8" s="2315"/>
      <c r="E8" s="2315"/>
      <c r="F8" s="2315"/>
      <c r="G8" s="2315"/>
      <c r="H8" s="468"/>
      <c r="I8" s="468"/>
      <c r="J8" s="931"/>
      <c r="K8" s="931"/>
      <c r="L8" s="932" t="s">
        <v>235</v>
      </c>
      <c r="M8" s="949">
        <f>Main!E11</f>
        <v>25</v>
      </c>
      <c r="N8" s="930" t="s">
        <v>234</v>
      </c>
      <c r="O8" s="30"/>
      <c r="P8" s="30"/>
      <c r="Q8" s="30"/>
    </row>
    <row r="9" spans="2:18" ht="15.75">
      <c r="B9" s="30"/>
      <c r="C9" s="2316" t="str">
        <f>CONCATENATE(Main!E8,(Main!F8))</f>
        <v>Sri.soumil</v>
      </c>
      <c r="D9" s="2316"/>
      <c r="E9" s="2316"/>
      <c r="F9" s="2316"/>
      <c r="G9" s="2316"/>
      <c r="H9" s="464"/>
      <c r="I9" s="464"/>
      <c r="J9" s="2317" t="s">
        <v>233</v>
      </c>
      <c r="K9" s="2317"/>
      <c r="L9" s="2317"/>
      <c r="M9" s="2318">
        <f>Main!E10</f>
        <v>2500000</v>
      </c>
      <c r="N9" s="2318"/>
      <c r="O9" s="30"/>
      <c r="P9" s="30"/>
      <c r="Q9" s="30"/>
    </row>
    <row r="10" spans="2:18" ht="15.75">
      <c r="B10" s="30"/>
      <c r="C10" s="463"/>
      <c r="D10" s="463"/>
      <c r="E10" s="463"/>
      <c r="F10" s="463"/>
      <c r="G10" s="462"/>
      <c r="H10" s="462"/>
      <c r="I10" s="462"/>
      <c r="J10" s="461"/>
      <c r="K10" s="461"/>
      <c r="L10" s="461"/>
      <c r="M10" s="460"/>
      <c r="N10" s="460"/>
      <c r="O10" s="30"/>
      <c r="P10" s="30"/>
      <c r="Q10" s="30"/>
    </row>
    <row r="11" spans="2:18" ht="15" customHeight="1">
      <c r="B11" s="30"/>
      <c r="C11" s="2319" t="s">
        <v>230</v>
      </c>
      <c r="D11" s="2320"/>
      <c r="E11" s="2321"/>
      <c r="F11" s="926" t="s">
        <v>16</v>
      </c>
      <c r="G11" s="926" t="s">
        <v>15</v>
      </c>
      <c r="H11" s="926" t="s">
        <v>14</v>
      </c>
      <c r="I11" s="926" t="s">
        <v>229</v>
      </c>
      <c r="J11" s="945"/>
      <c r="K11" s="945"/>
      <c r="L11" s="2322" t="e">
        <f>CONCATENATE(" SAVINGS                                    PER DAY", " ", " "," ", " "," "," "," "," ", " "," "," "," "," "," "," ", " "," "," "," "," ", " "," ",   "Rs.  ",(DAT!AZ21)," "," "," ","ONLY")</f>
        <v>#N/A</v>
      </c>
      <c r="M11" s="2322"/>
      <c r="N11" s="458"/>
      <c r="O11" s="30"/>
      <c r="P11" s="30"/>
      <c r="Q11" s="30"/>
    </row>
    <row r="12" spans="2:18" ht="15" customHeight="1">
      <c r="B12" s="30"/>
      <c r="C12" s="2324" t="s">
        <v>2114</v>
      </c>
      <c r="D12" s="2325"/>
      <c r="E12" s="2326"/>
      <c r="F12" s="2330" t="e">
        <f>DAT!AT21</f>
        <v>#N/A</v>
      </c>
      <c r="G12" s="2330" t="e">
        <f>DAT!AU21</f>
        <v>#N/A</v>
      </c>
      <c r="H12" s="2330" t="e">
        <f>DAT!AV21</f>
        <v>#N/A</v>
      </c>
      <c r="I12" s="2330" t="e">
        <f>DAT!AW21</f>
        <v>#N/A</v>
      </c>
      <c r="J12" s="945"/>
      <c r="K12" s="945"/>
      <c r="L12" s="2322"/>
      <c r="M12" s="2322"/>
      <c r="N12" s="458"/>
      <c r="O12" s="1596" t="s">
        <v>228</v>
      </c>
      <c r="P12" s="1597"/>
      <c r="Q12" s="1597"/>
    </row>
    <row r="13" spans="2:18" ht="15" customHeight="1">
      <c r="B13" s="30"/>
      <c r="C13" s="2327"/>
      <c r="D13" s="2328"/>
      <c r="E13" s="2329"/>
      <c r="F13" s="2331"/>
      <c r="G13" s="2331"/>
      <c r="H13" s="2331"/>
      <c r="I13" s="2331"/>
      <c r="J13" s="945"/>
      <c r="K13" s="945"/>
      <c r="L13" s="2322"/>
      <c r="M13" s="2322"/>
      <c r="N13" s="457"/>
      <c r="O13" s="1597"/>
      <c r="P13" s="1597"/>
      <c r="Q13" s="1597"/>
    </row>
    <row r="14" spans="2:18" ht="15" customHeight="1">
      <c r="B14" s="30"/>
      <c r="C14" s="950"/>
      <c r="D14" s="950"/>
      <c r="E14" s="950"/>
      <c r="F14" s="951"/>
      <c r="G14" s="951"/>
      <c r="H14" s="951"/>
      <c r="I14" s="951"/>
      <c r="J14" s="945"/>
      <c r="K14" s="945"/>
      <c r="L14" s="2322"/>
      <c r="M14" s="2322"/>
      <c r="N14" s="457"/>
      <c r="O14" s="1391" t="s">
        <v>226</v>
      </c>
      <c r="P14" s="1391"/>
      <c r="Q14" s="1391"/>
      <c r="R14" s="1391"/>
    </row>
    <row r="15" spans="2:18" ht="15" customHeight="1">
      <c r="B15" s="2332" t="s">
        <v>885</v>
      </c>
      <c r="C15" s="2332"/>
      <c r="D15" s="2332"/>
      <c r="E15" s="2332"/>
      <c r="F15" s="2332"/>
      <c r="G15" s="2332"/>
      <c r="H15" s="2332"/>
      <c r="I15" s="2332"/>
      <c r="J15" s="2332"/>
      <c r="K15" s="945"/>
      <c r="L15" s="946"/>
      <c r="M15" s="946"/>
      <c r="N15" s="457"/>
      <c r="O15" s="1391"/>
      <c r="P15" s="1391"/>
      <c r="Q15" s="1391"/>
      <c r="R15" s="1391"/>
    </row>
    <row r="16" spans="2:18" ht="15" customHeight="1">
      <c r="B16" s="2332"/>
      <c r="C16" s="2332"/>
      <c r="D16" s="2332"/>
      <c r="E16" s="2332"/>
      <c r="F16" s="2332"/>
      <c r="G16" s="2332"/>
      <c r="H16" s="2332"/>
      <c r="I16" s="2332"/>
      <c r="J16" s="2332"/>
      <c r="K16" s="945"/>
      <c r="L16" s="1793" t="s">
        <v>884</v>
      </c>
      <c r="M16" s="1793"/>
      <c r="N16" s="457"/>
      <c r="O16" s="712"/>
      <c r="P16" s="712"/>
      <c r="Q16" s="712"/>
      <c r="R16" s="712"/>
    </row>
    <row r="17" spans="1:18" ht="12" customHeight="1">
      <c r="B17" s="30"/>
      <c r="C17" s="1672" t="s">
        <v>227</v>
      </c>
      <c r="D17" s="1672"/>
      <c r="E17" s="1672"/>
      <c r="F17" s="1672"/>
      <c r="G17" s="1672"/>
      <c r="H17" s="30"/>
      <c r="I17" s="30"/>
      <c r="J17" s="30"/>
      <c r="K17" s="30"/>
      <c r="L17" s="1793"/>
      <c r="M17" s="1793"/>
      <c r="N17" s="30"/>
      <c r="O17" s="712"/>
      <c r="P17" s="712"/>
      <c r="Q17" s="712"/>
      <c r="R17" s="712"/>
    </row>
    <row r="18" spans="1:18" ht="15" customHeight="1">
      <c r="B18" s="30"/>
      <c r="C18" s="1672"/>
      <c r="D18" s="1672"/>
      <c r="E18" s="1672"/>
      <c r="F18" s="1672"/>
      <c r="G18" s="1672"/>
      <c r="H18" s="1673"/>
      <c r="I18" s="1673"/>
      <c r="J18" s="456"/>
      <c r="K18" s="456"/>
      <c r="L18" s="1793"/>
      <c r="M18" s="1793"/>
      <c r="N18" s="30"/>
      <c r="O18" s="30"/>
      <c r="P18" s="30"/>
      <c r="Q18" s="30"/>
    </row>
    <row r="19" spans="1:18" ht="16.5" customHeight="1">
      <c r="A19" s="455" t="s">
        <v>224</v>
      </c>
      <c r="B19" s="923" t="s">
        <v>224</v>
      </c>
      <c r="C19" s="2323" t="s">
        <v>413</v>
      </c>
      <c r="D19" s="2323"/>
      <c r="E19" s="2323"/>
      <c r="F19" s="2323"/>
      <c r="G19" s="2323"/>
      <c r="H19" s="2323"/>
      <c r="I19" s="2323"/>
      <c r="J19" s="924"/>
      <c r="K19" s="43"/>
      <c r="L19" s="1793"/>
      <c r="M19" s="1793"/>
      <c r="N19" s="30"/>
      <c r="O19" s="30"/>
      <c r="P19" s="30"/>
      <c r="Q19" s="30"/>
    </row>
    <row r="20" spans="1:18" ht="16.5" customHeight="1">
      <c r="A20" s="455" t="s">
        <v>224</v>
      </c>
      <c r="B20" s="923" t="s">
        <v>224</v>
      </c>
      <c r="C20" s="2323" t="s">
        <v>412</v>
      </c>
      <c r="D20" s="2323"/>
      <c r="E20" s="2323"/>
      <c r="F20" s="2323"/>
      <c r="G20" s="2323"/>
      <c r="H20" s="2323"/>
      <c r="I20" s="2323"/>
      <c r="J20" s="924"/>
      <c r="K20" s="43"/>
      <c r="L20" s="1793"/>
      <c r="M20" s="1793"/>
      <c r="N20" s="30"/>
      <c r="O20" s="30"/>
      <c r="P20" s="30"/>
      <c r="Q20" s="30"/>
    </row>
    <row r="21" spans="1:18" ht="17.25" customHeight="1">
      <c r="A21" s="455" t="s">
        <v>224</v>
      </c>
      <c r="B21" s="923" t="s">
        <v>224</v>
      </c>
      <c r="C21" s="2342" t="s">
        <v>876</v>
      </c>
      <c r="D21" s="2342"/>
      <c r="E21" s="2342"/>
      <c r="F21" s="2342"/>
      <c r="G21" s="2342"/>
      <c r="H21" s="2342"/>
      <c r="I21" s="2342"/>
      <c r="J21" s="2342"/>
      <c r="K21" s="40"/>
      <c r="L21" s="1793"/>
      <c r="M21" s="1793"/>
      <c r="N21" s="30"/>
      <c r="O21" s="30"/>
      <c r="P21" s="30"/>
      <c r="Q21" s="30"/>
    </row>
    <row r="22" spans="1:18" ht="15" customHeight="1">
      <c r="A22" s="455"/>
      <c r="B22" s="923" t="s">
        <v>224</v>
      </c>
      <c r="C22" s="2342" t="s">
        <v>882</v>
      </c>
      <c r="D22" s="2342"/>
      <c r="E22" s="2342"/>
      <c r="F22" s="2342"/>
      <c r="G22" s="2342"/>
      <c r="H22" s="2342"/>
      <c r="I22" s="2342"/>
      <c r="J22" s="2342"/>
      <c r="K22" s="40"/>
      <c r="L22" s="40"/>
      <c r="M22" s="40"/>
      <c r="N22" s="30"/>
      <c r="O22" s="30"/>
      <c r="P22" s="30"/>
      <c r="Q22" s="30"/>
    </row>
    <row r="23" spans="1:18" ht="12.75" customHeight="1">
      <c r="B23" s="923" t="s">
        <v>224</v>
      </c>
      <c r="C23" s="2333" t="s">
        <v>875</v>
      </c>
      <c r="D23" s="2333"/>
      <c r="E23" s="2333"/>
      <c r="F23" s="2333"/>
      <c r="G23" s="2333"/>
      <c r="H23" s="2333"/>
      <c r="I23" s="2333"/>
      <c r="J23" s="925"/>
      <c r="K23" s="40"/>
      <c r="L23" s="40"/>
      <c r="M23" s="40"/>
      <c r="N23" s="30"/>
      <c r="O23" s="30"/>
      <c r="P23" s="30"/>
      <c r="Q23" s="30"/>
    </row>
    <row r="24" spans="1:18" ht="16.5" customHeight="1">
      <c r="A24" s="455" t="s">
        <v>224</v>
      </c>
      <c r="B24" s="923" t="s">
        <v>224</v>
      </c>
      <c r="C24" s="2334" t="s">
        <v>408</v>
      </c>
      <c r="D24" s="2334"/>
      <c r="E24" s="2334"/>
      <c r="F24" s="2334"/>
      <c r="G24" s="2334"/>
      <c r="H24" s="2334"/>
      <c r="I24" s="2334"/>
      <c r="J24" s="925"/>
      <c r="K24" s="40"/>
      <c r="L24" s="40"/>
      <c r="M24" s="40"/>
      <c r="N24" s="30"/>
      <c r="O24" s="30"/>
      <c r="P24" s="1658"/>
      <c r="Q24" s="1659"/>
    </row>
    <row r="25" spans="1:18" ht="15">
      <c r="A25" s="1654" t="s">
        <v>330</v>
      </c>
      <c r="B25" s="377"/>
      <c r="C25" s="2335" t="s">
        <v>17</v>
      </c>
      <c r="D25" s="1677" t="s">
        <v>223</v>
      </c>
      <c r="E25" s="1609" t="s">
        <v>222</v>
      </c>
      <c r="F25" s="2336" t="s">
        <v>221</v>
      </c>
      <c r="G25" s="2336"/>
      <c r="H25" s="2336" t="s">
        <v>220</v>
      </c>
      <c r="I25" s="2336" t="s">
        <v>219</v>
      </c>
      <c r="J25" s="30"/>
      <c r="K25" s="30"/>
      <c r="L25" s="30"/>
      <c r="M25" s="30"/>
      <c r="N25" s="30"/>
      <c r="O25" s="30"/>
      <c r="P25" s="30"/>
      <c r="Q25" s="30"/>
    </row>
    <row r="26" spans="1:18" ht="15">
      <c r="A26" s="1654"/>
      <c r="B26" s="377"/>
      <c r="C26" s="2335"/>
      <c r="D26" s="1678"/>
      <c r="E26" s="1610"/>
      <c r="F26" s="947" t="s">
        <v>217</v>
      </c>
      <c r="G26" s="947" t="s">
        <v>216</v>
      </c>
      <c r="H26" s="2336"/>
      <c r="I26" s="2336"/>
      <c r="J26" s="30"/>
      <c r="K26" s="30"/>
      <c r="L26" s="30"/>
      <c r="M26" s="30"/>
      <c r="N26" s="30"/>
      <c r="O26" s="30"/>
      <c r="P26" s="30"/>
      <c r="Q26" s="30"/>
    </row>
    <row r="27" spans="1:18" ht="15">
      <c r="A27" s="453">
        <v>0</v>
      </c>
      <c r="B27" s="29"/>
      <c r="C27" s="936">
        <f>M7</f>
        <v>30</v>
      </c>
      <c r="D27" s="937" t="str">
        <f ca="1">IF(A26&lt;$M$8,(((DAY(NOW())&amp;"/")&amp;MONTH(NOW()))&amp;"/")&amp;((YEAR(NOW()))),0)</f>
        <v>9/5/2018</v>
      </c>
      <c r="E27" s="938" t="e">
        <f>DAT!AT21</f>
        <v>#N/A</v>
      </c>
      <c r="F27" s="939" t="e">
        <f>IF(A27&lt;$M$8,MAT!X308," ")</f>
        <v>#N/A</v>
      </c>
      <c r="G27" s="939" t="e">
        <f>IF(A27&lt;$M$8,MAT!Y308," ")</f>
        <v>#N/A</v>
      </c>
      <c r="H27" s="940">
        <v>0</v>
      </c>
      <c r="I27" s="941">
        <v>0</v>
      </c>
      <c r="J27" s="30"/>
      <c r="K27" s="30"/>
      <c r="L27" s="30"/>
      <c r="M27" s="30"/>
      <c r="N27" s="30"/>
      <c r="O27" s="30"/>
      <c r="P27" s="30"/>
      <c r="Q27" s="30"/>
    </row>
    <row r="28" spans="1:18" ht="15">
      <c r="A28" s="447">
        <v>1</v>
      </c>
      <c r="B28" s="29"/>
      <c r="C28" s="942">
        <f t="shared" ref="C28:C46" si="0">IF(A28&lt;$M$8,$C$27+A28," ")</f>
        <v>31</v>
      </c>
      <c r="D28" s="937" t="str">
        <f t="shared" ref="D28:D46" ca="1" si="1">IF(A28&lt;$M$8,(((DAY(NOW())&amp;"/")&amp;MONTH(NOW()))&amp;"/")&amp;((YEAR(NOW())))+A28," ")</f>
        <v>9/5/2019</v>
      </c>
      <c r="E28" s="942" t="e">
        <f>IF(A28&lt;$M$8,DAT!$AY$21," ")</f>
        <v>#N/A</v>
      </c>
      <c r="F28" s="939" t="e">
        <f>IF(A28&lt;$M$8,MAT!X309," ")</f>
        <v>#N/A</v>
      </c>
      <c r="G28" s="939" t="e">
        <f>IF(A28&lt;$M$8,MAT!Y309," ")</f>
        <v>#N/A</v>
      </c>
      <c r="H28" s="939">
        <v>0</v>
      </c>
      <c r="I28" s="943">
        <v>0</v>
      </c>
      <c r="J28" s="30"/>
      <c r="K28" s="30"/>
      <c r="L28" s="30"/>
      <c r="M28" s="30"/>
      <c r="N28" s="30"/>
      <c r="O28" s="30"/>
      <c r="P28" s="30"/>
      <c r="Q28" s="30"/>
    </row>
    <row r="29" spans="1:18" ht="15">
      <c r="A29" s="447">
        <v>2</v>
      </c>
      <c r="B29" s="29"/>
      <c r="C29" s="942">
        <f t="shared" si="0"/>
        <v>32</v>
      </c>
      <c r="D29" s="937" t="str">
        <f t="shared" ca="1" si="1"/>
        <v>9/5/2020</v>
      </c>
      <c r="E29" s="942" t="e">
        <f>IF(A29&lt;$M$8,DAT!$AY$21," ")</f>
        <v>#N/A</v>
      </c>
      <c r="F29" s="939" t="e">
        <f>IF(A29&lt;$M$8,MAT!X310," ")</f>
        <v>#N/A</v>
      </c>
      <c r="G29" s="939" t="e">
        <f>IF(A29&lt;$M$8,MAT!Y310," ")</f>
        <v>#N/A</v>
      </c>
      <c r="H29" s="939">
        <v>0</v>
      </c>
      <c r="I29" s="943">
        <v>0</v>
      </c>
      <c r="J29" s="30"/>
      <c r="K29" s="30"/>
      <c r="L29" s="30"/>
      <c r="M29" s="30"/>
      <c r="N29" s="30"/>
      <c r="O29" s="30"/>
      <c r="P29" s="30"/>
      <c r="Q29" s="30"/>
    </row>
    <row r="30" spans="1:18" ht="15">
      <c r="A30" s="447">
        <v>3</v>
      </c>
      <c r="B30" s="29"/>
      <c r="C30" s="942">
        <f t="shared" si="0"/>
        <v>33</v>
      </c>
      <c r="D30" s="937" t="str">
        <f t="shared" ca="1" si="1"/>
        <v>9/5/2021</v>
      </c>
      <c r="E30" s="942" t="e">
        <f>IF(A30&lt;$M$8,DAT!$AY$21," ")</f>
        <v>#N/A</v>
      </c>
      <c r="F30" s="939" t="e">
        <f>IF(A30&lt;$M$8,MAT!X311," ")</f>
        <v>#N/A</v>
      </c>
      <c r="G30" s="939" t="e">
        <f>IF(A30&lt;$M$8,MAT!Y311," ")</f>
        <v>#N/A</v>
      </c>
      <c r="H30" s="939" t="e">
        <f>IF(A30&lt;$M$8,MAT!O310," ")</f>
        <v>#N/A</v>
      </c>
      <c r="I30" s="939" t="e">
        <f>IF(A30&lt;$M$8,MAT!P310," ")</f>
        <v>#N/A</v>
      </c>
      <c r="J30" s="30"/>
      <c r="K30" s="30"/>
      <c r="L30" s="30"/>
      <c r="M30" s="30"/>
      <c r="N30" s="30"/>
      <c r="O30" s="30"/>
      <c r="P30" s="30"/>
      <c r="Q30" s="30"/>
    </row>
    <row r="31" spans="1:18" ht="15">
      <c r="A31" s="447">
        <v>4</v>
      </c>
      <c r="B31" s="29"/>
      <c r="C31" s="942">
        <f t="shared" si="0"/>
        <v>34</v>
      </c>
      <c r="D31" s="937" t="str">
        <f t="shared" ca="1" si="1"/>
        <v>9/5/2022</v>
      </c>
      <c r="E31" s="942" t="e">
        <f>IF(A31&lt;$M$8,DAT!$AY$21," ")</f>
        <v>#N/A</v>
      </c>
      <c r="F31" s="939" t="e">
        <f>IF(A31&lt;$M$8,MAT!X312," ")</f>
        <v>#N/A</v>
      </c>
      <c r="G31" s="939" t="e">
        <f>IF(A31&lt;$M$8,MAT!Y312," ")</f>
        <v>#N/A</v>
      </c>
      <c r="H31" s="939" t="e">
        <f>IF(A31&lt;$M$8,MAT!O311," ")</f>
        <v>#N/A</v>
      </c>
      <c r="I31" s="939" t="e">
        <f>IF(A31&lt;$M$8,MAT!P311," ")</f>
        <v>#N/A</v>
      </c>
      <c r="J31" s="30"/>
      <c r="K31" s="30"/>
      <c r="L31" s="30"/>
      <c r="M31" s="30"/>
      <c r="N31" s="30"/>
      <c r="O31" s="30"/>
      <c r="P31" s="30"/>
      <c r="Q31" s="30"/>
    </row>
    <row r="32" spans="1:18" ht="15">
      <c r="A32" s="447">
        <v>5</v>
      </c>
      <c r="B32" s="29"/>
      <c r="C32" s="942">
        <f t="shared" si="0"/>
        <v>35</v>
      </c>
      <c r="D32" s="937" t="str">
        <f t="shared" ca="1" si="1"/>
        <v>9/5/2023</v>
      </c>
      <c r="E32" s="942" t="e">
        <f>IF(A32&lt;$M$8,DAT!$AY$21," ")</f>
        <v>#N/A</v>
      </c>
      <c r="F32" s="939" t="e">
        <f>IF(A32&lt;$M$8,MAT!X313," ")</f>
        <v>#N/A</v>
      </c>
      <c r="G32" s="939" t="e">
        <f>IF(A32&lt;$M$8,MAT!Y313," ")</f>
        <v>#N/A</v>
      </c>
      <c r="H32" s="939" t="e">
        <f>IF(A32&lt;$M$8,MAT!O312," ")</f>
        <v>#N/A</v>
      </c>
      <c r="I32" s="939" t="e">
        <f>IF(A32&lt;$M$8,MAT!P312," ")</f>
        <v>#N/A</v>
      </c>
      <c r="J32" s="30"/>
      <c r="K32" s="30"/>
      <c r="L32" s="30"/>
      <c r="M32" s="30"/>
      <c r="N32" s="30"/>
      <c r="O32" s="30"/>
      <c r="P32" s="30"/>
      <c r="Q32" s="30"/>
    </row>
    <row r="33" spans="1:17" ht="15">
      <c r="A33" s="447">
        <v>6</v>
      </c>
      <c r="B33" s="29"/>
      <c r="C33" s="942">
        <f t="shared" si="0"/>
        <v>36</v>
      </c>
      <c r="D33" s="937" t="str">
        <f t="shared" ca="1" si="1"/>
        <v>9/5/2024</v>
      </c>
      <c r="E33" s="942" t="e">
        <f>IF(A33&lt;$M$8,DAT!$AY$21," ")</f>
        <v>#N/A</v>
      </c>
      <c r="F33" s="939" t="e">
        <f>IF(A33&lt;$M$8,MAT!X314," ")</f>
        <v>#N/A</v>
      </c>
      <c r="G33" s="939" t="e">
        <f>IF(A33&lt;$M$8,MAT!Y314," ")</f>
        <v>#N/A</v>
      </c>
      <c r="H33" s="939" t="e">
        <f>IF(A33&lt;$M$8,MAT!O313," ")</f>
        <v>#N/A</v>
      </c>
      <c r="I33" s="939" t="e">
        <f>IF(A33&lt;$M$8,MAT!P313," ")</f>
        <v>#N/A</v>
      </c>
      <c r="J33" s="30"/>
      <c r="K33" s="30"/>
      <c r="L33" s="30"/>
      <c r="M33" s="30"/>
      <c r="N33" s="30"/>
      <c r="O33" s="30"/>
      <c r="P33" s="30"/>
      <c r="Q33" s="30"/>
    </row>
    <row r="34" spans="1:17" ht="15">
      <c r="A34" s="447">
        <v>7</v>
      </c>
      <c r="B34" s="29"/>
      <c r="C34" s="942">
        <f t="shared" si="0"/>
        <v>37</v>
      </c>
      <c r="D34" s="937" t="str">
        <f t="shared" ca="1" si="1"/>
        <v>9/5/2025</v>
      </c>
      <c r="E34" s="942" t="e">
        <f>IF(A34&lt;$M$8,DAT!$AY$21," ")</f>
        <v>#N/A</v>
      </c>
      <c r="F34" s="939" t="e">
        <f>IF(A34&lt;$M$8,MAT!X315," ")</f>
        <v>#N/A</v>
      </c>
      <c r="G34" s="939" t="e">
        <f>IF(A34&lt;$M$8,MAT!Y315," ")</f>
        <v>#N/A</v>
      </c>
      <c r="H34" s="939" t="e">
        <f>IF(A34&lt;$M$8,MAT!O314," ")</f>
        <v>#N/A</v>
      </c>
      <c r="I34" s="939" t="e">
        <f>IF(A34&lt;$M$8,MAT!P314," ")</f>
        <v>#N/A</v>
      </c>
      <c r="J34" s="30"/>
      <c r="K34" s="30"/>
      <c r="L34" s="30"/>
      <c r="M34" s="30"/>
      <c r="N34" s="30"/>
      <c r="O34" s="30"/>
      <c r="P34" s="30"/>
      <c r="Q34" s="30"/>
    </row>
    <row r="35" spans="1:17" ht="15">
      <c r="A35" s="447">
        <v>8</v>
      </c>
      <c r="B35" s="29"/>
      <c r="C35" s="942">
        <f t="shared" si="0"/>
        <v>38</v>
      </c>
      <c r="D35" s="937" t="str">
        <f t="shared" ca="1" si="1"/>
        <v>9/5/2026</v>
      </c>
      <c r="E35" s="942" t="e">
        <f>IF(A35&lt;$M$8,DAT!$AY$21," ")</f>
        <v>#N/A</v>
      </c>
      <c r="F35" s="939" t="e">
        <f>IF(A35&lt;$M$8,MAT!X316," ")</f>
        <v>#N/A</v>
      </c>
      <c r="G35" s="939" t="e">
        <f>IF(A35&lt;$M$8,MAT!Y316," ")</f>
        <v>#N/A</v>
      </c>
      <c r="H35" s="939" t="e">
        <f>IF(A35&lt;$M$8,MAT!O315," ")</f>
        <v>#N/A</v>
      </c>
      <c r="I35" s="939" t="e">
        <f>IF(A35&lt;$M$8,MAT!P315," ")</f>
        <v>#N/A</v>
      </c>
      <c r="J35" s="30"/>
      <c r="K35" s="377"/>
      <c r="L35" s="377"/>
      <c r="M35" s="30"/>
      <c r="N35" s="30"/>
      <c r="O35" s="30"/>
      <c r="P35" s="30"/>
      <c r="Q35" s="30"/>
    </row>
    <row r="36" spans="1:17" ht="15.75" customHeight="1">
      <c r="A36" s="447">
        <v>9</v>
      </c>
      <c r="B36" s="29"/>
      <c r="C36" s="942">
        <f t="shared" si="0"/>
        <v>39</v>
      </c>
      <c r="D36" s="937" t="str">
        <f t="shared" ca="1" si="1"/>
        <v>9/5/2027</v>
      </c>
      <c r="E36" s="942" t="e">
        <f>IF(A36&lt;$M$8,DAT!$AY$21," ")</f>
        <v>#N/A</v>
      </c>
      <c r="F36" s="939" t="e">
        <f>IF(A36&lt;$M$8,MAT!X317," ")</f>
        <v>#N/A</v>
      </c>
      <c r="G36" s="939" t="e">
        <f>IF(A36&lt;$M$8,MAT!Y317," ")</f>
        <v>#N/A</v>
      </c>
      <c r="H36" s="939" t="e">
        <f>IF(A36&lt;$M$8,MAT!O316," ")</f>
        <v>#N/A</v>
      </c>
      <c r="I36" s="939" t="e">
        <f>IF(A36&lt;$M$8,MAT!P316," ")</f>
        <v>#N/A</v>
      </c>
      <c r="J36" s="945"/>
      <c r="K36" s="293"/>
      <c r="L36" s="293"/>
      <c r="M36" s="945"/>
      <c r="N36" s="945"/>
      <c r="O36" s="30"/>
      <c r="P36" s="30"/>
      <c r="Q36" s="30"/>
    </row>
    <row r="37" spans="1:17" ht="15" customHeight="1">
      <c r="A37" s="447">
        <v>10</v>
      </c>
      <c r="B37" s="29"/>
      <c r="C37" s="942">
        <f t="shared" si="0"/>
        <v>40</v>
      </c>
      <c r="D37" s="937" t="str">
        <f t="shared" ca="1" si="1"/>
        <v>9/5/2028</v>
      </c>
      <c r="E37" s="942" t="e">
        <f>IF(A37&lt;$M$8,DAT!$AY$21," ")</f>
        <v>#N/A</v>
      </c>
      <c r="F37" s="939" t="e">
        <f>IF(A37&lt;$M$8,MAT!X318," ")</f>
        <v>#N/A</v>
      </c>
      <c r="G37" s="939" t="e">
        <f>IF(A37&lt;$M$8,MAT!Y318," ")</f>
        <v>#N/A</v>
      </c>
      <c r="H37" s="939" t="e">
        <f>IF(A37&lt;$M$8,MAT!O317," ")</f>
        <v>#N/A</v>
      </c>
      <c r="I37" s="939" t="e">
        <f>IF(A37&lt;$M$8,MAT!P317," ")</f>
        <v>#N/A</v>
      </c>
      <c r="J37" s="1682" t="s">
        <v>264</v>
      </c>
      <c r="K37" s="1683"/>
      <c r="L37" s="1683"/>
      <c r="M37" s="1683"/>
      <c r="N37" s="1683"/>
      <c r="O37" s="30"/>
      <c r="P37" s="30"/>
      <c r="Q37" s="30"/>
    </row>
    <row r="38" spans="1:17" ht="15.75">
      <c r="A38" s="447">
        <v>11</v>
      </c>
      <c r="B38" s="29"/>
      <c r="C38" s="942">
        <f t="shared" si="0"/>
        <v>41</v>
      </c>
      <c r="D38" s="937" t="str">
        <f t="shared" ca="1" si="1"/>
        <v>9/5/2029</v>
      </c>
      <c r="E38" s="942" t="e">
        <f>IF(A38&lt;$M$8,DAT!$AY$21," ")</f>
        <v>#N/A</v>
      </c>
      <c r="F38" s="939" t="e">
        <f>IF(A38&lt;$M$8,MAT!X319," ")</f>
        <v>#N/A</v>
      </c>
      <c r="G38" s="939" t="e">
        <f>IF(A38&lt;$M$8,MAT!Y319," ")</f>
        <v>#N/A</v>
      </c>
      <c r="H38" s="939" t="e">
        <f>IF(A38&lt;$M$8,MAT!O318," ")</f>
        <v>#N/A</v>
      </c>
      <c r="I38" s="939" t="e">
        <f>IF(A38&lt;$M$8,MAT!P318," ")</f>
        <v>#N/A</v>
      </c>
      <c r="J38" s="233"/>
      <c r="K38" s="108"/>
      <c r="L38" s="108" t="s">
        <v>210</v>
      </c>
      <c r="M38" s="1686" t="e">
        <f>SUM(E27:E46)</f>
        <v>#N/A</v>
      </c>
      <c r="N38" s="1686"/>
      <c r="O38" s="30"/>
      <c r="P38" s="30"/>
      <c r="Q38" s="30"/>
    </row>
    <row r="39" spans="1:17" ht="15">
      <c r="A39" s="447">
        <v>12</v>
      </c>
      <c r="B39" s="29"/>
      <c r="C39" s="942">
        <f t="shared" si="0"/>
        <v>42</v>
      </c>
      <c r="D39" s="937" t="str">
        <f t="shared" ca="1" si="1"/>
        <v>9/5/2030</v>
      </c>
      <c r="E39" s="942" t="e">
        <f>IF(A39&lt;$M$8,DAT!$AY$21," ")</f>
        <v>#N/A</v>
      </c>
      <c r="F39" s="939" t="e">
        <f>IF(A39&lt;$M$8,MAT!X320," ")</f>
        <v>#N/A</v>
      </c>
      <c r="G39" s="939" t="e">
        <f>IF(A39&lt;$M$8,MAT!Y320," ")</f>
        <v>#N/A</v>
      </c>
      <c r="H39" s="939" t="e">
        <f>IF(A39&lt;$M$8,MAT!O319," ")</f>
        <v>#N/A</v>
      </c>
      <c r="I39" s="939" t="e">
        <f>IF(A39&lt;$M$8,MAT!P319," ")</f>
        <v>#N/A</v>
      </c>
      <c r="J39" s="1682" t="s">
        <v>263</v>
      </c>
      <c r="K39" s="1683"/>
      <c r="L39" s="1683"/>
      <c r="M39" s="1683"/>
      <c r="N39" s="1683"/>
      <c r="O39" s="30"/>
      <c r="P39" s="30"/>
      <c r="Q39" s="30"/>
    </row>
    <row r="40" spans="1:17" ht="15.75">
      <c r="A40" s="447">
        <v>13</v>
      </c>
      <c r="B40" s="29"/>
      <c r="C40" s="942">
        <f t="shared" si="0"/>
        <v>43</v>
      </c>
      <c r="D40" s="937" t="str">
        <f t="shared" ca="1" si="1"/>
        <v>9/5/2031</v>
      </c>
      <c r="E40" s="942" t="e">
        <f>IF(A40&lt;$M$8,DAT!$AY$21," ")</f>
        <v>#N/A</v>
      </c>
      <c r="F40" s="939" t="e">
        <f>IF(A40&lt;$M$8,MAT!X321," ")</f>
        <v>#N/A</v>
      </c>
      <c r="G40" s="939" t="e">
        <f>IF(A40&lt;$M$8,MAT!Y321," ")</f>
        <v>#N/A</v>
      </c>
      <c r="H40" s="939" t="e">
        <f>IF(A40&lt;$M$8,MAT!O320," ")</f>
        <v>#N/A</v>
      </c>
      <c r="I40" s="939" t="e">
        <f>IF(A40&lt;$M$8,MAT!P320," ")</f>
        <v>#N/A</v>
      </c>
      <c r="J40" s="233"/>
      <c r="K40" s="179"/>
      <c r="L40" s="108" t="s">
        <v>210</v>
      </c>
      <c r="M40" s="1686" t="e">
        <f>F53</f>
        <v>#N/A</v>
      </c>
      <c r="N40" s="1686"/>
      <c r="O40" s="30"/>
      <c r="P40" s="30"/>
      <c r="Q40" s="30"/>
    </row>
    <row r="41" spans="1:17" ht="15.75">
      <c r="A41" s="447">
        <v>14</v>
      </c>
      <c r="B41" s="29"/>
      <c r="C41" s="942">
        <f t="shared" si="0"/>
        <v>44</v>
      </c>
      <c r="D41" s="937" t="str">
        <f t="shared" ca="1" si="1"/>
        <v>9/5/2032</v>
      </c>
      <c r="E41" s="942" t="e">
        <f>IF(A41&lt;$M$8,DAT!$AY$21," ")</f>
        <v>#N/A</v>
      </c>
      <c r="F41" s="939" t="e">
        <f>IF(A41&lt;$M$8,MAT!X322," ")</f>
        <v>#N/A</v>
      </c>
      <c r="G41" s="939" t="e">
        <f>IF(A41&lt;$M$8,MAT!Y322," ")</f>
        <v>#N/A</v>
      </c>
      <c r="H41" s="939" t="e">
        <f>IF(A41&lt;$M$8,MAT!O321," ")</f>
        <v>#N/A</v>
      </c>
      <c r="I41" s="939" t="e">
        <f>IF(A41&lt;$M$8,MAT!P321," ")</f>
        <v>#N/A</v>
      </c>
      <c r="J41" s="1684" t="s">
        <v>262</v>
      </c>
      <c r="K41" s="1685"/>
      <c r="L41" s="1685"/>
      <c r="M41" s="1685"/>
      <c r="N41" s="1685"/>
      <c r="O41" s="30"/>
      <c r="P41" s="30"/>
      <c r="Q41" s="30"/>
    </row>
    <row r="42" spans="1:17" ht="18">
      <c r="A42" s="447">
        <v>15</v>
      </c>
      <c r="B42" s="29"/>
      <c r="C42" s="942">
        <f t="shared" si="0"/>
        <v>45</v>
      </c>
      <c r="D42" s="937" t="str">
        <f t="shared" ca="1" si="1"/>
        <v>9/5/2033</v>
      </c>
      <c r="E42" s="942" t="e">
        <f>IF(A42&lt;$M$8,DAT!$AY$21," ")</f>
        <v>#N/A</v>
      </c>
      <c r="F42" s="939" t="e">
        <f>IF(A42&lt;$M$8,MAT!X323," ")</f>
        <v>#N/A</v>
      </c>
      <c r="G42" s="939" t="e">
        <f>IF(A42&lt;$M$8,MAT!Y323," ")</f>
        <v>#N/A</v>
      </c>
      <c r="H42" s="939" t="e">
        <f>IF(A42&lt;$M$8,MAT!O322," ")</f>
        <v>#N/A</v>
      </c>
      <c r="I42" s="939" t="e">
        <f>IF(A42&lt;$M$8,MAT!P322," ")</f>
        <v>#N/A</v>
      </c>
      <c r="J42" s="232"/>
      <c r="K42" s="178"/>
      <c r="L42" s="108" t="s">
        <v>210</v>
      </c>
      <c r="M42" s="1687" t="e">
        <f>M40-M38</f>
        <v>#N/A</v>
      </c>
      <c r="N42" s="1687"/>
      <c r="O42" s="30"/>
      <c r="P42" s="30"/>
      <c r="Q42" s="30"/>
    </row>
    <row r="43" spans="1:17" ht="15">
      <c r="A43" s="447">
        <v>16</v>
      </c>
      <c r="B43" s="29"/>
      <c r="C43" s="942">
        <f t="shared" si="0"/>
        <v>46</v>
      </c>
      <c r="D43" s="937" t="str">
        <f t="shared" ca="1" si="1"/>
        <v>9/5/2034</v>
      </c>
      <c r="E43" s="942" t="e">
        <f>IF(A43&lt;$M$8,DAT!$AY$21," ")</f>
        <v>#N/A</v>
      </c>
      <c r="F43" s="939" t="e">
        <f>IF(A43&lt;$M$8,MAT!X324," ")</f>
        <v>#N/A</v>
      </c>
      <c r="G43" s="939" t="e">
        <f>IF(A43&lt;$M$8,MAT!Y324," ")</f>
        <v>#N/A</v>
      </c>
      <c r="H43" s="939" t="e">
        <f>IF(A43&lt;$M$8,MAT!O323," ")</f>
        <v>#N/A</v>
      </c>
      <c r="I43" s="939" t="e">
        <f>IF(A43&lt;$M$8,MAT!P323," ")</f>
        <v>#N/A</v>
      </c>
      <c r="J43" s="232"/>
      <c r="K43" s="106"/>
      <c r="L43" s="106"/>
      <c r="M43" s="106"/>
      <c r="N43" s="945"/>
      <c r="O43" s="30"/>
      <c r="P43" s="30"/>
      <c r="Q43" s="30"/>
    </row>
    <row r="44" spans="1:17" ht="15">
      <c r="A44" s="447">
        <v>17</v>
      </c>
      <c r="B44" s="29"/>
      <c r="C44" s="942">
        <f t="shared" si="0"/>
        <v>47</v>
      </c>
      <c r="D44" s="937" t="str">
        <f t="shared" ca="1" si="1"/>
        <v>9/5/2035</v>
      </c>
      <c r="E44" s="942" t="e">
        <f>IF(A44&lt;$M$8,DAT!$AY$21," ")</f>
        <v>#N/A</v>
      </c>
      <c r="F44" s="939" t="e">
        <f>IF(A44&lt;$M$8,MAT!X325," ")</f>
        <v>#N/A</v>
      </c>
      <c r="G44" s="939" t="e">
        <f>IF(A44&lt;$M$8,MAT!Y325," ")</f>
        <v>#N/A</v>
      </c>
      <c r="H44" s="939" t="e">
        <f>IF(A44&lt;$M$8,MAT!O324," ")</f>
        <v>#N/A</v>
      </c>
      <c r="I44" s="939" t="e">
        <f>IF(A44&lt;$M$8,MAT!P324," ")</f>
        <v>#N/A</v>
      </c>
      <c r="J44" s="70"/>
      <c r="K44" s="1679" t="str">
        <f>IF(Main!L13="YES","EFFECTIVE  YIELD  -  IRR","INSURING              LIVES")</f>
        <v>INSURING              LIVES</v>
      </c>
      <c r="L44" s="1679"/>
      <c r="M44" s="1679"/>
      <c r="N44" s="69"/>
      <c r="O44" s="30"/>
      <c r="P44" s="30"/>
      <c r="Q44" s="30"/>
    </row>
    <row r="45" spans="1:17" ht="15">
      <c r="A45" s="447">
        <v>18</v>
      </c>
      <c r="B45" s="29"/>
      <c r="C45" s="942">
        <f t="shared" si="0"/>
        <v>48</v>
      </c>
      <c r="D45" s="937" t="str">
        <f t="shared" ca="1" si="1"/>
        <v>9/5/2036</v>
      </c>
      <c r="E45" s="942" t="e">
        <f>IF(A45&lt;$M$8,DAT!$AY$21," ")</f>
        <v>#N/A</v>
      </c>
      <c r="F45" s="939" t="e">
        <f>IF(A45&lt;$M$8,MAT!X326," ")</f>
        <v>#N/A</v>
      </c>
      <c r="G45" s="939" t="e">
        <f>IF(A45&lt;$M$8,MAT!Y326," ")</f>
        <v>#N/A</v>
      </c>
      <c r="H45" s="939" t="e">
        <f>IF(A45&lt;$M$8,MAT!O325," ")</f>
        <v>#N/A</v>
      </c>
      <c r="I45" s="939" t="e">
        <f>IF(A45&lt;$M$8,MAT!P325," ")</f>
        <v>#N/A</v>
      </c>
      <c r="J45" s="70"/>
      <c r="K45" s="1679"/>
      <c r="L45" s="1679"/>
      <c r="M45" s="1679"/>
      <c r="N45" s="69"/>
      <c r="O45" s="30"/>
      <c r="P45" s="30"/>
      <c r="Q45" s="30"/>
    </row>
    <row r="46" spans="1:17" ht="16.5" customHeight="1">
      <c r="A46" s="447">
        <v>19</v>
      </c>
      <c r="B46" s="29"/>
      <c r="C46" s="944">
        <f t="shared" si="0"/>
        <v>49</v>
      </c>
      <c r="D46" s="937" t="str">
        <f t="shared" ca="1" si="1"/>
        <v>9/5/2037</v>
      </c>
      <c r="E46" s="942" t="e">
        <f>IF(A46&lt;$M$8,DAT!$AY$21," ")</f>
        <v>#N/A</v>
      </c>
      <c r="F46" s="939" t="e">
        <f>IF(A46&lt;$M$8,MAT!X327," ")</f>
        <v>#N/A</v>
      </c>
      <c r="G46" s="939" t="e">
        <f>IF(A46&lt;$M$8,MAT!Y327," ")</f>
        <v>#N/A</v>
      </c>
      <c r="H46" s="939" t="e">
        <f>IF(A46&lt;$M$8,MAT!O326," ")</f>
        <v>#N/A</v>
      </c>
      <c r="I46" s="939" t="e">
        <f>IF(A46&lt;$M$8,MAT!P326," ")</f>
        <v>#N/A</v>
      </c>
      <c r="J46" s="314"/>
      <c r="K46" s="1680" t="str">
        <f>IF(Main!L13="YES",MAT!BT226,"ENSURING              SMILES")</f>
        <v>ENSURING              SMILES</v>
      </c>
      <c r="L46" s="1680"/>
      <c r="M46" s="1680"/>
      <c r="N46" s="440"/>
      <c r="O46" s="30"/>
      <c r="P46" s="30"/>
      <c r="Q46" s="30"/>
    </row>
    <row r="47" spans="1:17" ht="17.25" customHeight="1" thickBot="1">
      <c r="A47" s="438"/>
      <c r="B47" s="19"/>
      <c r="C47" s="27"/>
      <c r="D47" s="442"/>
      <c r="E47" s="442"/>
      <c r="F47" s="47"/>
      <c r="G47" s="441"/>
      <c r="H47" s="441"/>
      <c r="I47" s="441"/>
      <c r="J47" s="440"/>
      <c r="K47" s="1680"/>
      <c r="L47" s="1680"/>
      <c r="M47" s="1680"/>
      <c r="N47" s="439"/>
      <c r="O47" s="30"/>
      <c r="P47" s="30"/>
      <c r="Q47" s="30"/>
    </row>
    <row r="48" spans="1:17" ht="16.5" customHeight="1" thickTop="1" thickBot="1">
      <c r="A48" s="438"/>
      <c r="B48" s="19"/>
      <c r="C48" s="2341" t="s">
        <v>407</v>
      </c>
      <c r="D48" s="2341"/>
      <c r="E48" s="2341"/>
      <c r="F48" s="2341"/>
      <c r="G48" s="2341"/>
      <c r="H48" s="49"/>
      <c r="I48" s="49"/>
      <c r="J48" s="30"/>
      <c r="K48" s="30"/>
      <c r="L48" s="30"/>
      <c r="M48" s="30"/>
      <c r="N48" s="30"/>
      <c r="O48" s="30"/>
      <c r="P48" s="30"/>
      <c r="Q48" s="30"/>
    </row>
    <row r="49" spans="1:17" ht="13.5" customHeight="1" thickTop="1" thickBot="1">
      <c r="B49" s="30"/>
      <c r="C49" s="2341"/>
      <c r="D49" s="2341"/>
      <c r="E49" s="2341"/>
      <c r="F49" s="2341"/>
      <c r="G49" s="2341"/>
      <c r="H49" s="30"/>
      <c r="I49" s="1689" t="s">
        <v>212</v>
      </c>
      <c r="J49" s="1632" t="str">
        <f>'VASANTHAM HOME'!E9</f>
        <v>ENTER YOUR NAME</v>
      </c>
      <c r="K49" s="1632"/>
      <c r="L49" s="1632"/>
      <c r="M49" s="1632"/>
      <c r="N49" s="1632"/>
      <c r="O49" s="30"/>
      <c r="P49" s="30"/>
      <c r="Q49" s="30"/>
    </row>
    <row r="50" spans="1:17" ht="15" customHeight="1" thickTop="1" thickBot="1">
      <c r="B50" s="30"/>
      <c r="C50" s="933" t="s">
        <v>406</v>
      </c>
      <c r="D50" s="934">
        <f>M7+M8</f>
        <v>55</v>
      </c>
      <c r="E50" s="935" t="s">
        <v>405</v>
      </c>
      <c r="F50" s="2339" t="str">
        <f ca="1">(((DAY(NOW())&amp;"/")&amp;MONTH(NOW()))&amp;"/")&amp;((YEAR(NOW())))+M8</f>
        <v>9/5/2043</v>
      </c>
      <c r="G50" s="2340"/>
      <c r="H50" s="30"/>
      <c r="I50" s="1689"/>
      <c r="J50" s="1632" t="str">
        <f>'VASANTHAM HOME'!E10</f>
        <v>DESIGNATION</v>
      </c>
      <c r="K50" s="1632"/>
      <c r="L50" s="1632"/>
      <c r="M50" s="1632"/>
      <c r="N50" s="1632"/>
      <c r="O50" s="30"/>
      <c r="P50" s="30"/>
      <c r="Q50" s="30"/>
    </row>
    <row r="51" spans="1:17" ht="15" customHeight="1" thickTop="1" thickBot="1">
      <c r="B51" s="30"/>
      <c r="C51" s="2343" t="s">
        <v>877</v>
      </c>
      <c r="D51" s="2343"/>
      <c r="E51" s="2343"/>
      <c r="F51" s="2337">
        <f>M9</f>
        <v>2500000</v>
      </c>
      <c r="G51" s="2338"/>
      <c r="H51" s="30"/>
      <c r="I51" s="1689"/>
      <c r="J51" s="1632" t="str">
        <f>'VASANTHAM HOME'!E11</f>
        <v>ADDRESS 1</v>
      </c>
      <c r="K51" s="1632"/>
      <c r="L51" s="1632"/>
      <c r="M51" s="1632"/>
      <c r="N51" s="1632"/>
      <c r="O51" s="30"/>
      <c r="P51" s="30"/>
      <c r="Q51" s="30"/>
    </row>
    <row r="52" spans="1:17" ht="15.75" customHeight="1" thickTop="1" thickBot="1">
      <c r="B52" s="30"/>
      <c r="C52" s="2343" t="s">
        <v>878</v>
      </c>
      <c r="D52" s="2343"/>
      <c r="E52" s="2343"/>
      <c r="F52" s="2344" t="e">
        <f>MAT!R307</f>
        <v>#N/A</v>
      </c>
      <c r="G52" s="2338"/>
      <c r="H52" s="30"/>
      <c r="I52" s="1689"/>
      <c r="J52" s="1632" t="str">
        <f>'VASANTHAM HOME'!E12</f>
        <v>ADDRESS 2</v>
      </c>
      <c r="K52" s="1632"/>
      <c r="L52" s="1632"/>
      <c r="M52" s="1632"/>
      <c r="N52" s="1632"/>
      <c r="O52" s="30"/>
      <c r="P52" s="30"/>
      <c r="Q52" s="30"/>
    </row>
    <row r="53" spans="1:17" ht="17.25" customHeight="1" thickTop="1" thickBot="1">
      <c r="B53" s="30"/>
      <c r="C53" s="2343" t="s">
        <v>765</v>
      </c>
      <c r="D53" s="2343"/>
      <c r="E53" s="2343"/>
      <c r="F53" s="2344" t="e">
        <f>MAT!C312</f>
        <v>#N/A</v>
      </c>
      <c r="G53" s="2338"/>
      <c r="H53" s="30"/>
      <c r="I53" s="1689"/>
      <c r="J53" s="1632" t="str">
        <f>'VASANTHAM HOME'!E13</f>
        <v>ADDRESS 3</v>
      </c>
      <c r="K53" s="1632"/>
      <c r="L53" s="1632"/>
      <c r="M53" s="1632"/>
      <c r="N53" s="1632"/>
      <c r="O53" s="30"/>
      <c r="P53" s="30"/>
      <c r="Q53" s="30"/>
    </row>
    <row r="54" spans="1:17" ht="14.25" customHeight="1" thickTop="1">
      <c r="B54" s="30"/>
      <c r="C54" s="30"/>
      <c r="D54" s="30"/>
      <c r="E54" s="30"/>
      <c r="F54" s="30"/>
      <c r="G54" s="30"/>
      <c r="H54" s="30"/>
      <c r="I54" s="1689"/>
      <c r="J54" s="1632" t="str">
        <f>'VASANTHAM HOME'!E14</f>
        <v>MOBILE NO :</v>
      </c>
      <c r="K54" s="1632"/>
      <c r="L54" s="1632"/>
      <c r="M54" s="1632"/>
      <c r="N54" s="1632"/>
      <c r="O54" s="30"/>
      <c r="P54" s="30"/>
      <c r="Q54" s="30"/>
    </row>
    <row r="55" spans="1:17" ht="15">
      <c r="A55" s="434"/>
      <c r="B55" s="398"/>
      <c r="C55" s="398"/>
      <c r="D55" s="398"/>
      <c r="E55" s="398"/>
      <c r="F55" s="398"/>
      <c r="G55" s="398"/>
      <c r="H55" s="398"/>
      <c r="I55" s="1689"/>
      <c r="J55" s="1632" t="str">
        <f>'VASANTHAM HOME'!E15</f>
        <v>E.MAIL ID :</v>
      </c>
      <c r="K55" s="1632"/>
      <c r="L55" s="1632"/>
      <c r="M55" s="1632"/>
      <c r="N55" s="1632"/>
      <c r="O55" s="30"/>
      <c r="P55" s="30"/>
      <c r="Q55" s="30"/>
    </row>
    <row r="56" spans="1:17" s="30" customFormat="1" ht="15">
      <c r="A56" s="165"/>
      <c r="B56" s="398"/>
      <c r="C56" s="1693" t="s">
        <v>401</v>
      </c>
      <c r="D56" s="1693"/>
      <c r="E56" s="1693"/>
      <c r="F56" s="1693"/>
      <c r="G56" s="1693"/>
      <c r="H56" s="1693"/>
      <c r="I56" s="1693"/>
      <c r="J56" s="1693"/>
      <c r="K56" s="1693"/>
      <c r="L56" s="1693"/>
      <c r="M56" s="1693"/>
      <c r="N56" s="398"/>
    </row>
    <row r="57" spans="1:17" s="30" customFormat="1" ht="11.25" customHeight="1">
      <c r="A57" s="165"/>
    </row>
    <row r="58" spans="1:17" s="30" customFormat="1" ht="15">
      <c r="A58" s="165"/>
    </row>
    <row r="59" spans="1:17" ht="15" hidden="1"/>
    <row r="60" spans="1:17" s="30" customFormat="1" ht="15">
      <c r="A60" s="165"/>
    </row>
  </sheetData>
  <protectedRanges>
    <protectedRange sqref="L11 L16 L18" name="Range1"/>
  </protectedRanges>
  <mergeCells count="62">
    <mergeCell ref="C56:M56"/>
    <mergeCell ref="C21:J21"/>
    <mergeCell ref="C22:J22"/>
    <mergeCell ref="J51:N51"/>
    <mergeCell ref="C52:E52"/>
    <mergeCell ref="F52:G52"/>
    <mergeCell ref="J52:N52"/>
    <mergeCell ref="C53:E53"/>
    <mergeCell ref="F53:G53"/>
    <mergeCell ref="J53:N53"/>
    <mergeCell ref="M42:N42"/>
    <mergeCell ref="K44:M45"/>
    <mergeCell ref="L16:M21"/>
    <mergeCell ref="J50:N50"/>
    <mergeCell ref="C51:E51"/>
    <mergeCell ref="J55:N55"/>
    <mergeCell ref="M40:N40"/>
    <mergeCell ref="F51:G51"/>
    <mergeCell ref="H25:H26"/>
    <mergeCell ref="I25:I26"/>
    <mergeCell ref="J54:N54"/>
    <mergeCell ref="J49:N49"/>
    <mergeCell ref="F50:G50"/>
    <mergeCell ref="J37:N37"/>
    <mergeCell ref="M38:N38"/>
    <mergeCell ref="J39:N39"/>
    <mergeCell ref="K46:M47"/>
    <mergeCell ref="C48:G49"/>
    <mergeCell ref="I49:I55"/>
    <mergeCell ref="J41:N41"/>
    <mergeCell ref="A25:A26"/>
    <mergeCell ref="C25:C26"/>
    <mergeCell ref="D25:D26"/>
    <mergeCell ref="E25:E26"/>
    <mergeCell ref="F25:G25"/>
    <mergeCell ref="P24:Q24"/>
    <mergeCell ref="O12:Q13"/>
    <mergeCell ref="C17:G18"/>
    <mergeCell ref="H18:I18"/>
    <mergeCell ref="C19:I19"/>
    <mergeCell ref="C12:E13"/>
    <mergeCell ref="F12:F13"/>
    <mergeCell ref="G12:G13"/>
    <mergeCell ref="H12:H13"/>
    <mergeCell ref="I12:I13"/>
    <mergeCell ref="B15:J16"/>
    <mergeCell ref="O14:R15"/>
    <mergeCell ref="C20:I20"/>
    <mergeCell ref="C23:I23"/>
    <mergeCell ref="C24:I24"/>
    <mergeCell ref="C8:G8"/>
    <mergeCell ref="C9:G9"/>
    <mergeCell ref="J9:L9"/>
    <mergeCell ref="M9:N9"/>
    <mergeCell ref="C11:E11"/>
    <mergeCell ref="L11:M14"/>
    <mergeCell ref="M2:N2"/>
    <mergeCell ref="L4:N4"/>
    <mergeCell ref="O4:Q5"/>
    <mergeCell ref="L5:N5"/>
    <mergeCell ref="C6:G7"/>
    <mergeCell ref="O6:R7"/>
  </mergeCells>
  <hyperlinks>
    <hyperlink ref="O6:R7" location="'VASANTHAM HOME'!A1" display="CLICK HERE"/>
    <hyperlink ref="O14:R15" location="Main!A1" display="CLICK HERE"/>
  </hyperlinks>
  <pageMargins left="0.7" right="0.7" top="0.75" bottom="0.75" header="0.3" footer="0.3"/>
  <pageSetup scale="80" orientation="portrait" r:id="rId1"/>
  <headerFooter>
    <oddFooter>&amp;C&amp;K02-049VASANTHAM SMART</oddFooter>
  </headerFooter>
  <drawing r:id="rId2"/>
</worksheet>
</file>

<file path=xl/worksheets/sheet25.xml><?xml version="1.0" encoding="utf-8"?>
<worksheet xmlns="http://schemas.openxmlformats.org/spreadsheetml/2006/main" xmlns:r="http://schemas.openxmlformats.org/officeDocument/2006/relationships">
  <sheetPr codeName="Sheet72"/>
  <dimension ref="A1:V60"/>
  <sheetViews>
    <sheetView showGridLines="0" showRowColHeaders="0" topLeftCell="B1" workbookViewId="0">
      <selection activeCell="O1" sqref="O1"/>
    </sheetView>
  </sheetViews>
  <sheetFormatPr defaultColWidth="0" defaultRowHeight="0" customHeight="1" zeroHeight="1"/>
  <cols>
    <col min="1" max="1" width="3.5" style="165" hidden="1" customWidth="1"/>
    <col min="2" max="2" width="4.125" style="165" customWidth="1"/>
    <col min="3" max="3" width="4.5" style="165" customWidth="1"/>
    <col min="4" max="4" width="10.875" style="165" customWidth="1"/>
    <col min="5" max="7" width="9.875" style="165" customWidth="1"/>
    <col min="8" max="8" width="11.375" style="165" customWidth="1"/>
    <col min="9" max="9" width="10.5" style="165" customWidth="1"/>
    <col min="10" max="10" width="6.5" style="165" customWidth="1"/>
    <col min="11" max="11" width="4.375" style="165" customWidth="1"/>
    <col min="12" max="12" width="8.375" style="165" customWidth="1"/>
    <col min="13" max="13" width="7.875" style="165" customWidth="1"/>
    <col min="14" max="14" width="9.125" style="165" customWidth="1"/>
    <col min="15" max="15" width="11.125" style="165" customWidth="1"/>
    <col min="16" max="17" width="9.125" style="165" customWidth="1"/>
    <col min="18" max="22" width="0" style="165" hidden="1" customWidth="1"/>
    <col min="23" max="16384" width="9.125" style="165" hidden="1"/>
  </cols>
  <sheetData>
    <row r="1" spans="2:18" ht="13.5" customHeight="1">
      <c r="B1" s="30"/>
      <c r="E1" s="30"/>
      <c r="F1" s="30"/>
      <c r="G1" s="30"/>
      <c r="H1" s="30"/>
      <c r="I1" s="30"/>
      <c r="J1" s="30"/>
      <c r="K1" s="30"/>
      <c r="L1" s="30"/>
      <c r="M1" s="30"/>
      <c r="N1" s="30"/>
      <c r="O1" s="30"/>
      <c r="P1" s="30"/>
      <c r="Q1" s="30"/>
    </row>
    <row r="2" spans="2:18" ht="13.5" customHeight="1">
      <c r="B2" s="30"/>
      <c r="E2" s="30"/>
      <c r="F2" s="30"/>
      <c r="G2" s="30"/>
      <c r="H2" s="30"/>
      <c r="I2" s="30"/>
      <c r="J2" s="30"/>
      <c r="K2" s="30"/>
      <c r="L2" s="30"/>
      <c r="M2" s="1612">
        <f ca="1">TODAY()</f>
        <v>43229</v>
      </c>
      <c r="N2" s="1612"/>
      <c r="O2" s="30"/>
      <c r="P2" s="30"/>
      <c r="Q2" s="30"/>
    </row>
    <row r="3" spans="2:18" ht="13.5" customHeight="1">
      <c r="B3" s="30"/>
      <c r="E3" s="30"/>
      <c r="F3" s="30"/>
      <c r="G3" s="30"/>
      <c r="H3" s="30"/>
      <c r="I3" s="30"/>
      <c r="J3" s="30"/>
      <c r="K3" s="30"/>
      <c r="L3" s="30"/>
      <c r="M3" s="30"/>
      <c r="N3" s="30"/>
      <c r="O3" s="30"/>
      <c r="P3" s="30"/>
      <c r="Q3" s="30"/>
    </row>
    <row r="4" spans="2:18" ht="13.5" customHeight="1">
      <c r="B4" s="30"/>
      <c r="E4" s="30"/>
      <c r="F4" s="30"/>
      <c r="G4" s="30"/>
      <c r="H4" s="30"/>
      <c r="I4" s="30"/>
      <c r="J4" s="927"/>
      <c r="K4" s="927"/>
      <c r="L4" s="2312" t="s">
        <v>879</v>
      </c>
      <c r="M4" s="2312"/>
      <c r="N4" s="2312"/>
      <c r="O4" s="1598" t="s">
        <v>232</v>
      </c>
      <c r="P4" s="1598"/>
      <c r="Q4" s="1598"/>
    </row>
    <row r="5" spans="2:18" ht="14.25" customHeight="1">
      <c r="B5" s="30"/>
      <c r="C5" s="30"/>
      <c r="D5" s="30"/>
      <c r="E5" s="30"/>
      <c r="F5" s="30"/>
      <c r="G5" s="30"/>
      <c r="H5" s="30"/>
      <c r="I5" s="30"/>
      <c r="J5" s="927"/>
      <c r="K5" s="927"/>
      <c r="L5" s="2312" t="s">
        <v>880</v>
      </c>
      <c r="M5" s="2312"/>
      <c r="N5" s="2312"/>
      <c r="O5" s="1598"/>
      <c r="P5" s="1598"/>
      <c r="Q5" s="1598"/>
    </row>
    <row r="6" spans="2:18" ht="12.75" customHeight="1">
      <c r="B6" s="30"/>
      <c r="C6" s="2313" t="s">
        <v>881</v>
      </c>
      <c r="D6" s="2313"/>
      <c r="E6" s="2313"/>
      <c r="F6" s="2313"/>
      <c r="G6" s="2313"/>
      <c r="H6" s="471"/>
      <c r="I6" s="471"/>
      <c r="J6" s="928"/>
      <c r="K6" s="928"/>
      <c r="L6" s="928"/>
      <c r="M6" s="927"/>
      <c r="N6" s="927"/>
      <c r="O6" s="1381" t="s">
        <v>226</v>
      </c>
      <c r="P6" s="1381"/>
      <c r="Q6" s="1381"/>
      <c r="R6" s="1381"/>
    </row>
    <row r="7" spans="2:18" ht="16.5" customHeight="1" thickBot="1">
      <c r="B7" s="30"/>
      <c r="C7" s="2314"/>
      <c r="D7" s="2314"/>
      <c r="E7" s="2314"/>
      <c r="F7" s="2314"/>
      <c r="G7" s="2314"/>
      <c r="H7" s="470"/>
      <c r="I7" s="470"/>
      <c r="J7" s="929"/>
      <c r="K7" s="929"/>
      <c r="L7" s="948" t="s">
        <v>251</v>
      </c>
      <c r="M7" s="949">
        <f>Main!E9</f>
        <v>30</v>
      </c>
      <c r="N7" s="930" t="s">
        <v>234</v>
      </c>
      <c r="O7" s="1381"/>
      <c r="P7" s="1381"/>
      <c r="Q7" s="1381"/>
      <c r="R7" s="1381"/>
    </row>
    <row r="8" spans="2:18" ht="16.5" thickTop="1">
      <c r="B8" s="30"/>
      <c r="C8" s="2315" t="s">
        <v>231</v>
      </c>
      <c r="D8" s="2315"/>
      <c r="E8" s="2315"/>
      <c r="F8" s="2315"/>
      <c r="G8" s="2315"/>
      <c r="H8" s="468"/>
      <c r="I8" s="468"/>
      <c r="J8" s="931"/>
      <c r="K8" s="931"/>
      <c r="L8" s="932" t="s">
        <v>235</v>
      </c>
      <c r="M8" s="949">
        <f>Main!E11</f>
        <v>25</v>
      </c>
      <c r="N8" s="930" t="s">
        <v>234</v>
      </c>
      <c r="O8" s="30"/>
      <c r="P8" s="30"/>
      <c r="Q8" s="30"/>
    </row>
    <row r="9" spans="2:18" ht="15.75">
      <c r="B9" s="30"/>
      <c r="C9" s="2316" t="str">
        <f>CONCATENATE(Main!E8,(Main!F8))</f>
        <v>Sri.soumil</v>
      </c>
      <c r="D9" s="2316"/>
      <c r="E9" s="2316"/>
      <c r="F9" s="2316"/>
      <c r="G9" s="2316"/>
      <c r="H9" s="464"/>
      <c r="I9" s="464"/>
      <c r="J9" s="2317" t="s">
        <v>233</v>
      </c>
      <c r="K9" s="2317"/>
      <c r="L9" s="2317"/>
      <c r="M9" s="2318">
        <f>Main!E10</f>
        <v>2500000</v>
      </c>
      <c r="N9" s="2318"/>
      <c r="O9" s="30"/>
      <c r="P9" s="30"/>
      <c r="Q9" s="30"/>
    </row>
    <row r="10" spans="2:18" ht="15.75">
      <c r="B10" s="30"/>
      <c r="C10" s="463"/>
      <c r="D10" s="463"/>
      <c r="E10" s="463"/>
      <c r="F10" s="463"/>
      <c r="G10" s="462"/>
      <c r="H10" s="462"/>
      <c r="I10" s="462"/>
      <c r="J10" s="461"/>
      <c r="K10" s="461"/>
      <c r="L10" s="461"/>
      <c r="M10" s="460"/>
      <c r="N10" s="460"/>
      <c r="O10" s="30"/>
      <c r="P10" s="30"/>
      <c r="Q10" s="30"/>
    </row>
    <row r="11" spans="2:18" ht="15" customHeight="1">
      <c r="B11" s="30"/>
      <c r="C11" s="2319" t="s">
        <v>230</v>
      </c>
      <c r="D11" s="2320"/>
      <c r="E11" s="2321"/>
      <c r="F11" s="926" t="s">
        <v>16</v>
      </c>
      <c r="G11" s="926" t="s">
        <v>15</v>
      </c>
      <c r="H11" s="926" t="s">
        <v>14</v>
      </c>
      <c r="I11" s="926" t="s">
        <v>229</v>
      </c>
      <c r="J11" s="945"/>
      <c r="K11" s="945"/>
      <c r="L11" s="2322" t="e">
        <f>CONCATENATE(" SAVINGS                                    PER DAY", " ", " "," ", " "," "," "," "," ", " "," "," "," "," "," "," ", " "," "," "," "," ", " "," ",   "Rs.  ",(DAT!AZ22)," "," "," ","ONLY")</f>
        <v>#N/A</v>
      </c>
      <c r="M11" s="2322"/>
      <c r="N11" s="458"/>
      <c r="O11" s="30"/>
      <c r="P11" s="30"/>
      <c r="Q11" s="30"/>
    </row>
    <row r="12" spans="2:18" ht="15" customHeight="1">
      <c r="B12" s="30"/>
      <c r="C12" s="2324" t="s">
        <v>2113</v>
      </c>
      <c r="D12" s="2325"/>
      <c r="E12" s="2326"/>
      <c r="F12" s="2330" t="e">
        <f>DAT!AT22</f>
        <v>#N/A</v>
      </c>
      <c r="G12" s="2330" t="e">
        <f>DAT!AU22</f>
        <v>#N/A</v>
      </c>
      <c r="H12" s="2330" t="e">
        <f>DAT!AV22</f>
        <v>#N/A</v>
      </c>
      <c r="I12" s="2330" t="e">
        <f>DAT!AW22</f>
        <v>#N/A</v>
      </c>
      <c r="J12" s="945"/>
      <c r="K12" s="945"/>
      <c r="L12" s="2322"/>
      <c r="M12" s="2322"/>
      <c r="N12" s="458"/>
      <c r="O12" s="1596" t="s">
        <v>228</v>
      </c>
      <c r="P12" s="1597"/>
      <c r="Q12" s="1597"/>
    </row>
    <row r="13" spans="2:18" ht="15" customHeight="1">
      <c r="B13" s="30"/>
      <c r="C13" s="2327"/>
      <c r="D13" s="2328"/>
      <c r="E13" s="2329"/>
      <c r="F13" s="2331"/>
      <c r="G13" s="2331"/>
      <c r="H13" s="2331"/>
      <c r="I13" s="2331"/>
      <c r="J13" s="945"/>
      <c r="K13" s="945"/>
      <c r="L13" s="2322"/>
      <c r="M13" s="2322"/>
      <c r="N13" s="457"/>
      <c r="O13" s="1597"/>
      <c r="P13" s="1597"/>
      <c r="Q13" s="1597"/>
    </row>
    <row r="14" spans="2:18" ht="15" customHeight="1">
      <c r="B14" s="30"/>
      <c r="C14" s="950"/>
      <c r="D14" s="950"/>
      <c r="E14" s="950"/>
      <c r="F14" s="951"/>
      <c r="G14" s="951"/>
      <c r="H14" s="951"/>
      <c r="I14" s="951"/>
      <c r="J14" s="945"/>
      <c r="K14" s="945"/>
      <c r="L14" s="2322"/>
      <c r="M14" s="2322"/>
      <c r="N14" s="457"/>
      <c r="O14" s="1391" t="s">
        <v>226</v>
      </c>
      <c r="P14" s="1391"/>
      <c r="Q14" s="1391"/>
      <c r="R14" s="1391"/>
    </row>
    <row r="15" spans="2:18" ht="15" customHeight="1">
      <c r="B15" s="2345" t="s">
        <v>886</v>
      </c>
      <c r="C15" s="2345"/>
      <c r="D15" s="2345"/>
      <c r="E15" s="2345"/>
      <c r="F15" s="2345"/>
      <c r="G15" s="2345"/>
      <c r="H15" s="2345"/>
      <c r="I15" s="2345"/>
      <c r="J15" s="2345"/>
      <c r="K15" s="945"/>
      <c r="L15" s="946"/>
      <c r="M15" s="946"/>
      <c r="N15" s="457"/>
      <c r="O15" s="1391"/>
      <c r="P15" s="1391"/>
      <c r="Q15" s="1391"/>
      <c r="R15" s="1391"/>
    </row>
    <row r="16" spans="2:18" ht="15" customHeight="1">
      <c r="B16" s="2345"/>
      <c r="C16" s="2345"/>
      <c r="D16" s="2345"/>
      <c r="E16" s="2345"/>
      <c r="F16" s="2345"/>
      <c r="G16" s="2345"/>
      <c r="H16" s="2345"/>
      <c r="I16" s="2345"/>
      <c r="J16" s="2345"/>
      <c r="K16" s="945"/>
      <c r="L16" s="1793" t="s">
        <v>883</v>
      </c>
      <c r="M16" s="1793"/>
      <c r="N16" s="457"/>
      <c r="O16" s="712"/>
      <c r="P16" s="712"/>
      <c r="Q16" s="712"/>
      <c r="R16" s="712"/>
    </row>
    <row r="17" spans="1:18" ht="12" customHeight="1">
      <c r="B17" s="30"/>
      <c r="C17" s="1672" t="s">
        <v>227</v>
      </c>
      <c r="D17" s="1672"/>
      <c r="E17" s="1672"/>
      <c r="F17" s="1672"/>
      <c r="G17" s="1672"/>
      <c r="H17" s="2346" t="s">
        <v>887</v>
      </c>
      <c r="I17" s="2347"/>
      <c r="J17" s="30"/>
      <c r="K17" s="30"/>
      <c r="L17" s="1793"/>
      <c r="M17" s="1793"/>
      <c r="N17" s="30"/>
      <c r="O17" s="712"/>
      <c r="P17" s="712"/>
      <c r="Q17" s="712"/>
      <c r="R17" s="712"/>
    </row>
    <row r="18" spans="1:18" ht="15" customHeight="1">
      <c r="B18" s="30"/>
      <c r="C18" s="1672"/>
      <c r="D18" s="1672"/>
      <c r="E18" s="1672"/>
      <c r="F18" s="1672"/>
      <c r="G18" s="1672"/>
      <c r="H18" s="2348"/>
      <c r="I18" s="2349"/>
      <c r="J18" s="456"/>
      <c r="K18" s="456"/>
      <c r="L18" s="1793"/>
      <c r="M18" s="1793"/>
      <c r="N18" s="30"/>
      <c r="O18" s="30"/>
      <c r="P18" s="30"/>
      <c r="Q18" s="30"/>
    </row>
    <row r="19" spans="1:18" ht="16.5" customHeight="1">
      <c r="A19" s="455" t="s">
        <v>224</v>
      </c>
      <c r="B19" s="923" t="s">
        <v>224</v>
      </c>
      <c r="C19" s="2323" t="s">
        <v>413</v>
      </c>
      <c r="D19" s="2323"/>
      <c r="E19" s="2323"/>
      <c r="F19" s="2323"/>
      <c r="G19" s="2323"/>
      <c r="H19" s="2350"/>
      <c r="I19" s="2351"/>
      <c r="J19" s="924"/>
      <c r="K19" s="43"/>
      <c r="L19" s="1793"/>
      <c r="M19" s="1793"/>
      <c r="N19" s="30"/>
      <c r="O19" s="30"/>
      <c r="P19" s="30"/>
      <c r="Q19" s="30"/>
    </row>
    <row r="20" spans="1:18" ht="16.5" customHeight="1">
      <c r="A20" s="455" t="s">
        <v>224</v>
      </c>
      <c r="B20" s="923" t="s">
        <v>224</v>
      </c>
      <c r="C20" s="2323" t="s">
        <v>412</v>
      </c>
      <c r="D20" s="2323"/>
      <c r="E20" s="2323"/>
      <c r="F20" s="2323"/>
      <c r="G20" s="2323"/>
      <c r="H20" s="2323"/>
      <c r="I20" s="2323"/>
      <c r="J20" s="924"/>
      <c r="K20" s="43"/>
      <c r="L20" s="1793"/>
      <c r="M20" s="1793"/>
      <c r="N20" s="30"/>
      <c r="O20" s="30"/>
      <c r="P20" s="30"/>
      <c r="Q20" s="30"/>
    </row>
    <row r="21" spans="1:18" ht="17.25" customHeight="1">
      <c r="A21" s="455" t="s">
        <v>224</v>
      </c>
      <c r="B21" s="923" t="s">
        <v>224</v>
      </c>
      <c r="C21" s="2342" t="s">
        <v>876</v>
      </c>
      <c r="D21" s="2342"/>
      <c r="E21" s="2342"/>
      <c r="F21" s="2342"/>
      <c r="G21" s="2342"/>
      <c r="H21" s="2342"/>
      <c r="I21" s="2342"/>
      <c r="J21" s="2342"/>
      <c r="K21" s="40"/>
      <c r="L21" s="1793"/>
      <c r="M21" s="1793"/>
      <c r="N21" s="30"/>
      <c r="O21" s="30"/>
      <c r="P21" s="30"/>
      <c r="Q21" s="30"/>
    </row>
    <row r="22" spans="1:18" ht="15" customHeight="1">
      <c r="A22" s="455"/>
      <c r="B22" s="923" t="s">
        <v>224</v>
      </c>
      <c r="C22" s="2342" t="s">
        <v>882</v>
      </c>
      <c r="D22" s="2342"/>
      <c r="E22" s="2342"/>
      <c r="F22" s="2342"/>
      <c r="G22" s="2342"/>
      <c r="H22" s="2342"/>
      <c r="I22" s="2342"/>
      <c r="J22" s="2342"/>
      <c r="K22" s="40"/>
      <c r="L22" s="40"/>
      <c r="M22" s="40"/>
      <c r="N22" s="30"/>
      <c r="O22" s="30"/>
      <c r="P22" s="30"/>
      <c r="Q22" s="30"/>
    </row>
    <row r="23" spans="1:18" ht="12.75" customHeight="1">
      <c r="B23" s="923" t="s">
        <v>224</v>
      </c>
      <c r="C23" s="2333" t="s">
        <v>875</v>
      </c>
      <c r="D23" s="2333"/>
      <c r="E23" s="2333"/>
      <c r="F23" s="2333"/>
      <c r="G23" s="2333"/>
      <c r="H23" s="2333"/>
      <c r="I23" s="2333"/>
      <c r="J23" s="925"/>
      <c r="K23" s="40"/>
      <c r="L23" s="40"/>
      <c r="M23" s="40"/>
      <c r="N23" s="30"/>
      <c r="O23" s="30"/>
      <c r="P23" s="30"/>
      <c r="Q23" s="30"/>
    </row>
    <row r="24" spans="1:18" ht="16.5" customHeight="1">
      <c r="A24" s="455" t="s">
        <v>224</v>
      </c>
      <c r="B24" s="923" t="s">
        <v>224</v>
      </c>
      <c r="C24" s="2334" t="s">
        <v>408</v>
      </c>
      <c r="D24" s="2334"/>
      <c r="E24" s="2334"/>
      <c r="F24" s="2334"/>
      <c r="G24" s="2334"/>
      <c r="H24" s="2334"/>
      <c r="I24" s="2334"/>
      <c r="J24" s="925"/>
      <c r="K24" s="40"/>
      <c r="L24" s="40"/>
      <c r="M24" s="40"/>
      <c r="N24" s="30"/>
      <c r="O24" s="30"/>
      <c r="P24" s="1658"/>
      <c r="Q24" s="1659"/>
    </row>
    <row r="25" spans="1:18" ht="15">
      <c r="A25" s="1654" t="s">
        <v>330</v>
      </c>
      <c r="B25" s="377"/>
      <c r="C25" s="2335" t="s">
        <v>17</v>
      </c>
      <c r="D25" s="1677" t="s">
        <v>223</v>
      </c>
      <c r="E25" s="1609" t="s">
        <v>222</v>
      </c>
      <c r="F25" s="2336" t="s">
        <v>221</v>
      </c>
      <c r="G25" s="2336"/>
      <c r="H25" s="2336" t="s">
        <v>220</v>
      </c>
      <c r="I25" s="2336" t="s">
        <v>219</v>
      </c>
      <c r="J25" s="30"/>
      <c r="K25" s="30"/>
      <c r="L25" s="30"/>
      <c r="M25" s="30"/>
      <c r="N25" s="30"/>
      <c r="O25" s="30"/>
      <c r="P25" s="30"/>
      <c r="Q25" s="30"/>
    </row>
    <row r="26" spans="1:18" ht="15">
      <c r="A26" s="1654"/>
      <c r="B26" s="377"/>
      <c r="C26" s="2335"/>
      <c r="D26" s="1678"/>
      <c r="E26" s="1610"/>
      <c r="F26" s="947" t="s">
        <v>217</v>
      </c>
      <c r="G26" s="947" t="s">
        <v>216</v>
      </c>
      <c r="H26" s="2336"/>
      <c r="I26" s="2336"/>
      <c r="J26" s="30"/>
      <c r="K26" s="30"/>
      <c r="L26" s="30"/>
      <c r="M26" s="30"/>
      <c r="N26" s="30"/>
      <c r="O26" s="30"/>
      <c r="P26" s="30"/>
      <c r="Q26" s="30"/>
    </row>
    <row r="27" spans="1:18" ht="15">
      <c r="A27" s="453">
        <v>0</v>
      </c>
      <c r="B27" s="29"/>
      <c r="C27" s="936">
        <f>M7</f>
        <v>30</v>
      </c>
      <c r="D27" s="937" t="str">
        <f ca="1">IF(A26&lt;$M$8,(((DAY(NOW())&amp;"/")&amp;MONTH(NOW()))&amp;"/")&amp;((YEAR(NOW()))),0)</f>
        <v>9/5/2018</v>
      </c>
      <c r="E27" s="938" t="e">
        <f>DAT!AT22</f>
        <v>#N/A</v>
      </c>
      <c r="F27" s="939" t="e">
        <f>IF(A27&lt;$M$8,MAT!X332," ")</f>
        <v>#N/A</v>
      </c>
      <c r="G27" s="939" t="e">
        <f>IF(A27&lt;$M$8,MAT!Y332," ")</f>
        <v>#N/A</v>
      </c>
      <c r="H27" s="940">
        <v>0</v>
      </c>
      <c r="I27" s="941">
        <v>0</v>
      </c>
      <c r="J27" s="30"/>
      <c r="K27" s="30"/>
      <c r="L27" s="30"/>
      <c r="M27" s="30"/>
      <c r="N27" s="30"/>
      <c r="O27" s="30"/>
      <c r="P27" s="30"/>
      <c r="Q27" s="30"/>
    </row>
    <row r="28" spans="1:18" ht="15">
      <c r="A28" s="447">
        <v>1</v>
      </c>
      <c r="B28" s="29"/>
      <c r="C28" s="942">
        <f t="shared" ref="C28:C46" si="0">IF(A28&lt;$M$8,$C$27+A28," ")</f>
        <v>31</v>
      </c>
      <c r="D28" s="937" t="str">
        <f t="shared" ref="D28:D46" ca="1" si="1">IF(A28&lt;$M$8,(((DAY(NOW())&amp;"/")&amp;MONTH(NOW()))&amp;"/")&amp;((YEAR(NOW())))+A28," ")</f>
        <v>9/5/2019</v>
      </c>
      <c r="E28" s="942" t="e">
        <f>IF(A28&lt;$M$8,DAT!$AY$22," ")</f>
        <v>#N/A</v>
      </c>
      <c r="F28" s="939" t="e">
        <f>IF(A28&lt;$M$8,MAT!X333," ")</f>
        <v>#N/A</v>
      </c>
      <c r="G28" s="939" t="e">
        <f>IF(A28&lt;$M$8,MAT!Y333," ")</f>
        <v>#N/A</v>
      </c>
      <c r="H28" s="939">
        <v>0</v>
      </c>
      <c r="I28" s="943">
        <v>0</v>
      </c>
      <c r="J28" s="30"/>
      <c r="K28" s="30"/>
      <c r="L28" s="30"/>
      <c r="M28" s="30"/>
      <c r="N28" s="30"/>
      <c r="O28" s="30"/>
      <c r="P28" s="30"/>
      <c r="Q28" s="30"/>
    </row>
    <row r="29" spans="1:18" ht="15">
      <c r="A29" s="447">
        <v>2</v>
      </c>
      <c r="B29" s="29"/>
      <c r="C29" s="942">
        <f t="shared" si="0"/>
        <v>32</v>
      </c>
      <c r="D29" s="937" t="str">
        <f t="shared" ca="1" si="1"/>
        <v>9/5/2020</v>
      </c>
      <c r="E29" s="942" t="e">
        <f>IF(A29&lt;$M$8,DAT!$AY$22," ")</f>
        <v>#N/A</v>
      </c>
      <c r="F29" s="939" t="e">
        <f>IF(A29&lt;$M$8,MAT!X334," ")</f>
        <v>#N/A</v>
      </c>
      <c r="G29" s="939" t="e">
        <f>IF(A29&lt;$M$8,MAT!Y334," ")</f>
        <v>#N/A</v>
      </c>
      <c r="H29" s="939">
        <v>0</v>
      </c>
      <c r="I29" s="943">
        <v>0</v>
      </c>
      <c r="J29" s="30"/>
      <c r="K29" s="30"/>
      <c r="L29" s="30"/>
      <c r="M29" s="30"/>
      <c r="N29" s="30"/>
      <c r="O29" s="30"/>
      <c r="P29" s="30"/>
      <c r="Q29" s="30"/>
    </row>
    <row r="30" spans="1:18" ht="15">
      <c r="A30" s="447">
        <v>3</v>
      </c>
      <c r="B30" s="29"/>
      <c r="C30" s="942">
        <f t="shared" si="0"/>
        <v>33</v>
      </c>
      <c r="D30" s="937" t="str">
        <f t="shared" ca="1" si="1"/>
        <v>9/5/2021</v>
      </c>
      <c r="E30" s="942" t="e">
        <f>IF(A30&lt;$M$8,DAT!$AY$22," ")</f>
        <v>#N/A</v>
      </c>
      <c r="F30" s="939" t="e">
        <f>IF(A30&lt;$M$8,MAT!X335," ")</f>
        <v>#N/A</v>
      </c>
      <c r="G30" s="939" t="e">
        <f>IF(A30&lt;$M$8,MAT!Y335," ")</f>
        <v>#N/A</v>
      </c>
      <c r="H30" s="939" t="e">
        <f>IF(A30&lt;$M$8,MAT!O334," ")</f>
        <v>#N/A</v>
      </c>
      <c r="I30" s="939" t="e">
        <f>IF(A30&lt;$M$8,MAT!P334," ")</f>
        <v>#N/A</v>
      </c>
      <c r="J30" s="30"/>
      <c r="K30" s="30"/>
      <c r="L30" s="30"/>
      <c r="M30" s="30"/>
      <c r="N30" s="30"/>
      <c r="O30" s="30"/>
      <c r="P30" s="30"/>
      <c r="Q30" s="30"/>
    </row>
    <row r="31" spans="1:18" ht="15">
      <c r="A31" s="447">
        <v>4</v>
      </c>
      <c r="B31" s="29"/>
      <c r="C31" s="942">
        <f t="shared" si="0"/>
        <v>34</v>
      </c>
      <c r="D31" s="937" t="str">
        <f t="shared" ca="1" si="1"/>
        <v>9/5/2022</v>
      </c>
      <c r="E31" s="942" t="e">
        <f>IF(A31&lt;$M$8,DAT!$AY$22," ")</f>
        <v>#N/A</v>
      </c>
      <c r="F31" s="939" t="e">
        <f>IF(A31&lt;$M$8,MAT!X336," ")</f>
        <v>#N/A</v>
      </c>
      <c r="G31" s="939" t="e">
        <f>IF(A31&lt;$M$8,MAT!Y336," ")</f>
        <v>#N/A</v>
      </c>
      <c r="H31" s="939" t="e">
        <f>IF(A31&lt;$M$8,MAT!O335," ")</f>
        <v>#N/A</v>
      </c>
      <c r="I31" s="939" t="e">
        <f>IF(A31&lt;$M$8,MAT!P335," ")</f>
        <v>#N/A</v>
      </c>
      <c r="J31" s="30"/>
      <c r="K31" s="30"/>
      <c r="L31" s="30"/>
      <c r="M31" s="30"/>
      <c r="N31" s="30"/>
      <c r="O31" s="30"/>
      <c r="P31" s="30"/>
      <c r="Q31" s="30"/>
    </row>
    <row r="32" spans="1:18" ht="15">
      <c r="A32" s="447">
        <v>5</v>
      </c>
      <c r="B32" s="29"/>
      <c r="C32" s="942">
        <f t="shared" si="0"/>
        <v>35</v>
      </c>
      <c r="D32" s="937" t="str">
        <f t="shared" ca="1" si="1"/>
        <v>9/5/2023</v>
      </c>
      <c r="E32" s="942" t="e">
        <f>IF(A32&lt;$M$8,DAT!$AY$22," ")</f>
        <v>#N/A</v>
      </c>
      <c r="F32" s="939" t="e">
        <f>IF(A32&lt;$M$8,MAT!X337," ")</f>
        <v>#N/A</v>
      </c>
      <c r="G32" s="939" t="e">
        <f>IF(A32&lt;$M$8,MAT!Y337," ")</f>
        <v>#N/A</v>
      </c>
      <c r="H32" s="939" t="e">
        <f>IF(A32&lt;$M$8,MAT!O336," ")</f>
        <v>#N/A</v>
      </c>
      <c r="I32" s="939" t="e">
        <f>IF(A32&lt;$M$8,MAT!P336," ")</f>
        <v>#N/A</v>
      </c>
      <c r="J32" s="30"/>
      <c r="K32" s="30"/>
      <c r="L32" s="30"/>
      <c r="M32" s="30"/>
      <c r="N32" s="30"/>
      <c r="O32" s="30"/>
      <c r="P32" s="30"/>
      <c r="Q32" s="30"/>
    </row>
    <row r="33" spans="1:17" ht="15">
      <c r="A33" s="447">
        <v>6</v>
      </c>
      <c r="B33" s="29"/>
      <c r="C33" s="942">
        <f t="shared" si="0"/>
        <v>36</v>
      </c>
      <c r="D33" s="937" t="str">
        <f t="shared" ca="1" si="1"/>
        <v>9/5/2024</v>
      </c>
      <c r="E33" s="942" t="e">
        <f>IF(A33&lt;$M$8,DAT!$AY$22," ")</f>
        <v>#N/A</v>
      </c>
      <c r="F33" s="939" t="e">
        <f>IF(A33&lt;$M$8,MAT!X338," ")</f>
        <v>#N/A</v>
      </c>
      <c r="G33" s="939" t="e">
        <f>IF(A33&lt;$M$8,MAT!Y338," ")</f>
        <v>#N/A</v>
      </c>
      <c r="H33" s="939" t="e">
        <f>IF(A33&lt;$M$8,MAT!O337," ")</f>
        <v>#N/A</v>
      </c>
      <c r="I33" s="939" t="e">
        <f>IF(A33&lt;$M$8,MAT!P337," ")</f>
        <v>#N/A</v>
      </c>
      <c r="J33" s="30"/>
      <c r="K33" s="30"/>
      <c r="L33" s="30"/>
      <c r="M33" s="30"/>
      <c r="N33" s="30"/>
      <c r="O33" s="30"/>
      <c r="P33" s="30"/>
      <c r="Q33" s="30"/>
    </row>
    <row r="34" spans="1:17" ht="15">
      <c r="A34" s="447">
        <v>7</v>
      </c>
      <c r="B34" s="29"/>
      <c r="C34" s="942">
        <f t="shared" si="0"/>
        <v>37</v>
      </c>
      <c r="D34" s="937" t="str">
        <f t="shared" ca="1" si="1"/>
        <v>9/5/2025</v>
      </c>
      <c r="E34" s="942" t="e">
        <f>IF(A34&lt;$M$8,DAT!$AY$22," ")</f>
        <v>#N/A</v>
      </c>
      <c r="F34" s="939" t="e">
        <f>IF(A34&lt;$M$8,MAT!X339," ")</f>
        <v>#N/A</v>
      </c>
      <c r="G34" s="939" t="e">
        <f>IF(A34&lt;$M$8,MAT!Y339," ")</f>
        <v>#N/A</v>
      </c>
      <c r="H34" s="939" t="e">
        <f>IF(A34&lt;$M$8,MAT!O338," ")</f>
        <v>#N/A</v>
      </c>
      <c r="I34" s="939" t="e">
        <f>IF(A34&lt;$M$8,MAT!P338," ")</f>
        <v>#N/A</v>
      </c>
      <c r="J34" s="30"/>
      <c r="K34" s="30"/>
      <c r="L34" s="30"/>
      <c r="M34" s="30"/>
      <c r="N34" s="30"/>
      <c r="O34" s="30"/>
      <c r="P34" s="30"/>
      <c r="Q34" s="30"/>
    </row>
    <row r="35" spans="1:17" ht="15">
      <c r="A35" s="447">
        <v>8</v>
      </c>
      <c r="B35" s="29"/>
      <c r="C35" s="942">
        <f t="shared" si="0"/>
        <v>38</v>
      </c>
      <c r="D35" s="937" t="str">
        <f t="shared" ca="1" si="1"/>
        <v>9/5/2026</v>
      </c>
      <c r="E35" s="942" t="e">
        <f>IF(A35&lt;$M$8,DAT!$AY$22," ")</f>
        <v>#N/A</v>
      </c>
      <c r="F35" s="939" t="e">
        <f>IF(A35&lt;$M$8,MAT!X340," ")</f>
        <v>#N/A</v>
      </c>
      <c r="G35" s="939" t="e">
        <f>IF(A35&lt;$M$8,MAT!Y340," ")</f>
        <v>#N/A</v>
      </c>
      <c r="H35" s="939" t="e">
        <f>IF(A35&lt;$M$8,MAT!O339," ")</f>
        <v>#N/A</v>
      </c>
      <c r="I35" s="939" t="e">
        <f>IF(A35&lt;$M$8,MAT!P339," ")</f>
        <v>#N/A</v>
      </c>
      <c r="J35" s="30"/>
      <c r="K35" s="377"/>
      <c r="L35" s="377"/>
      <c r="M35" s="30"/>
      <c r="N35" s="30"/>
      <c r="O35" s="30"/>
      <c r="P35" s="30"/>
      <c r="Q35" s="30"/>
    </row>
    <row r="36" spans="1:17" ht="15.75" customHeight="1">
      <c r="A36" s="447">
        <v>9</v>
      </c>
      <c r="B36" s="29"/>
      <c r="C36" s="942">
        <f t="shared" si="0"/>
        <v>39</v>
      </c>
      <c r="D36" s="937" t="str">
        <f t="shared" ca="1" si="1"/>
        <v>9/5/2027</v>
      </c>
      <c r="E36" s="942" t="e">
        <f>IF(A36&lt;$M$8,DAT!$AY$22," ")</f>
        <v>#N/A</v>
      </c>
      <c r="F36" s="939" t="e">
        <f>IF(A36&lt;$M$8,MAT!X341," ")</f>
        <v>#N/A</v>
      </c>
      <c r="G36" s="939" t="e">
        <f>IF(A36&lt;$M$8,MAT!Y341," ")</f>
        <v>#N/A</v>
      </c>
      <c r="H36" s="939" t="e">
        <f>IF(A36&lt;$M$8,MAT!O340," ")</f>
        <v>#N/A</v>
      </c>
      <c r="I36" s="939" t="e">
        <f>IF(A36&lt;$M$8,MAT!P340," ")</f>
        <v>#N/A</v>
      </c>
      <c r="J36" s="945"/>
      <c r="K36" s="293"/>
      <c r="L36" s="293"/>
      <c r="M36" s="945"/>
      <c r="N36" s="945"/>
      <c r="O36" s="30"/>
      <c r="P36" s="30"/>
      <c r="Q36" s="30"/>
    </row>
    <row r="37" spans="1:17" ht="15" customHeight="1">
      <c r="A37" s="447">
        <v>10</v>
      </c>
      <c r="B37" s="29"/>
      <c r="C37" s="942">
        <f t="shared" si="0"/>
        <v>40</v>
      </c>
      <c r="D37" s="937" t="str">
        <f t="shared" ca="1" si="1"/>
        <v>9/5/2028</v>
      </c>
      <c r="E37" s="942" t="e">
        <f>IF(A37&lt;$M$8,DAT!$AY$22," ")</f>
        <v>#N/A</v>
      </c>
      <c r="F37" s="939" t="e">
        <f>IF(A37&lt;$M$8,MAT!X342," ")</f>
        <v>#N/A</v>
      </c>
      <c r="G37" s="939" t="e">
        <f>IF(A37&lt;$M$8,MAT!Y342," ")</f>
        <v>#N/A</v>
      </c>
      <c r="H37" s="939" t="e">
        <f>IF(A37&lt;$M$8,MAT!O341," ")</f>
        <v>#N/A</v>
      </c>
      <c r="I37" s="939" t="e">
        <f>IF(A37&lt;$M$8,MAT!P341," ")</f>
        <v>#N/A</v>
      </c>
      <c r="J37" s="1682" t="s">
        <v>264</v>
      </c>
      <c r="K37" s="1683"/>
      <c r="L37" s="1683"/>
      <c r="M37" s="1683"/>
      <c r="N37" s="1683"/>
      <c r="O37" s="30"/>
      <c r="P37" s="30"/>
      <c r="Q37" s="30"/>
    </row>
    <row r="38" spans="1:17" ht="15.75">
      <c r="A38" s="447">
        <v>11</v>
      </c>
      <c r="B38" s="29"/>
      <c r="C38" s="942">
        <f t="shared" si="0"/>
        <v>41</v>
      </c>
      <c r="D38" s="937" t="str">
        <f t="shared" ca="1" si="1"/>
        <v>9/5/2029</v>
      </c>
      <c r="E38" s="942" t="e">
        <f>IF(A38&lt;$M$8,DAT!$AY$22," ")</f>
        <v>#N/A</v>
      </c>
      <c r="F38" s="939" t="e">
        <f>IF(A38&lt;$M$8,MAT!X343," ")</f>
        <v>#N/A</v>
      </c>
      <c r="G38" s="939" t="e">
        <f>IF(A38&lt;$M$8,MAT!Y343," ")</f>
        <v>#N/A</v>
      </c>
      <c r="H38" s="939" t="e">
        <f>IF(A38&lt;$M$8,MAT!O342," ")</f>
        <v>#N/A</v>
      </c>
      <c r="I38" s="939" t="e">
        <f>IF(A38&lt;$M$8,MAT!P342," ")</f>
        <v>#N/A</v>
      </c>
      <c r="J38" s="233"/>
      <c r="K38" s="108"/>
      <c r="L38" s="108" t="s">
        <v>210</v>
      </c>
      <c r="M38" s="1686" t="e">
        <f>SUM(E27:E46)</f>
        <v>#N/A</v>
      </c>
      <c r="N38" s="1686"/>
      <c r="O38" s="30"/>
      <c r="P38" s="30"/>
      <c r="Q38" s="30"/>
    </row>
    <row r="39" spans="1:17" ht="15">
      <c r="A39" s="447">
        <v>12</v>
      </c>
      <c r="B39" s="29"/>
      <c r="C39" s="942">
        <f t="shared" si="0"/>
        <v>42</v>
      </c>
      <c r="D39" s="937" t="str">
        <f t="shared" ca="1" si="1"/>
        <v>9/5/2030</v>
      </c>
      <c r="E39" s="942" t="e">
        <f>IF(A39&lt;$M$8,DAT!$AY$22," ")</f>
        <v>#N/A</v>
      </c>
      <c r="F39" s="939" t="e">
        <f>IF(A39&lt;$M$8,MAT!X344," ")</f>
        <v>#N/A</v>
      </c>
      <c r="G39" s="939" t="e">
        <f>IF(A39&lt;$M$8,MAT!Y344," ")</f>
        <v>#N/A</v>
      </c>
      <c r="H39" s="939" t="e">
        <f>IF(A39&lt;$M$8,MAT!O343," ")</f>
        <v>#N/A</v>
      </c>
      <c r="I39" s="939" t="e">
        <f>IF(A39&lt;$M$8,MAT!P343," ")</f>
        <v>#N/A</v>
      </c>
      <c r="J39" s="1682" t="s">
        <v>263</v>
      </c>
      <c r="K39" s="1683"/>
      <c r="L39" s="1683"/>
      <c r="M39" s="1683"/>
      <c r="N39" s="1683"/>
      <c r="O39" s="30"/>
      <c r="P39" s="30"/>
      <c r="Q39" s="30"/>
    </row>
    <row r="40" spans="1:17" ht="15.75">
      <c r="A40" s="447">
        <v>13</v>
      </c>
      <c r="B40" s="29"/>
      <c r="C40" s="942">
        <f t="shared" si="0"/>
        <v>43</v>
      </c>
      <c r="D40" s="937" t="str">
        <f t="shared" ca="1" si="1"/>
        <v>9/5/2031</v>
      </c>
      <c r="E40" s="942" t="e">
        <f>IF(A40&lt;$M$8,DAT!$AY$22," ")</f>
        <v>#N/A</v>
      </c>
      <c r="F40" s="939" t="e">
        <f>IF(A40&lt;$M$8,MAT!X345," ")</f>
        <v>#N/A</v>
      </c>
      <c r="G40" s="939" t="e">
        <f>IF(A40&lt;$M$8,MAT!Y345," ")</f>
        <v>#N/A</v>
      </c>
      <c r="H40" s="939" t="e">
        <f>IF(A40&lt;$M$8,MAT!O344," ")</f>
        <v>#N/A</v>
      </c>
      <c r="I40" s="939" t="e">
        <f>IF(A40&lt;$M$8,MAT!P344," ")</f>
        <v>#N/A</v>
      </c>
      <c r="J40" s="233"/>
      <c r="K40" s="179"/>
      <c r="L40" s="108" t="s">
        <v>210</v>
      </c>
      <c r="M40" s="1686" t="e">
        <f>F53</f>
        <v>#N/A</v>
      </c>
      <c r="N40" s="1686"/>
      <c r="O40" s="30"/>
      <c r="P40" s="30"/>
      <c r="Q40" s="30"/>
    </row>
    <row r="41" spans="1:17" ht="15.75">
      <c r="A41" s="447">
        <v>14</v>
      </c>
      <c r="B41" s="29"/>
      <c r="C41" s="942">
        <f t="shared" si="0"/>
        <v>44</v>
      </c>
      <c r="D41" s="937" t="str">
        <f t="shared" ca="1" si="1"/>
        <v>9/5/2032</v>
      </c>
      <c r="E41" s="942" t="e">
        <f>IF(A41&lt;$M$8,DAT!$AY$22," ")</f>
        <v>#N/A</v>
      </c>
      <c r="F41" s="939" t="e">
        <f>IF(A41&lt;$M$8,MAT!X346," ")</f>
        <v>#N/A</v>
      </c>
      <c r="G41" s="939" t="e">
        <f>IF(A41&lt;$M$8,MAT!Y346," ")</f>
        <v>#N/A</v>
      </c>
      <c r="H41" s="939" t="e">
        <f>IF(A41&lt;$M$8,MAT!O345," ")</f>
        <v>#N/A</v>
      </c>
      <c r="I41" s="939" t="e">
        <f>IF(A41&lt;$M$8,MAT!P345," ")</f>
        <v>#N/A</v>
      </c>
      <c r="J41" s="1684" t="s">
        <v>262</v>
      </c>
      <c r="K41" s="1685"/>
      <c r="L41" s="1685"/>
      <c r="M41" s="1685"/>
      <c r="N41" s="1685"/>
      <c r="O41" s="30"/>
      <c r="P41" s="30"/>
      <c r="Q41" s="30"/>
    </row>
    <row r="42" spans="1:17" ht="18">
      <c r="A42" s="447">
        <v>15</v>
      </c>
      <c r="B42" s="29"/>
      <c r="C42" s="942">
        <f t="shared" si="0"/>
        <v>45</v>
      </c>
      <c r="D42" s="937" t="str">
        <f t="shared" ca="1" si="1"/>
        <v>9/5/2033</v>
      </c>
      <c r="E42" s="942" t="e">
        <f>IF(A42&lt;$M$8,DAT!$AY$22," ")</f>
        <v>#N/A</v>
      </c>
      <c r="F42" s="939" t="e">
        <f>IF(A42&lt;$M$8,MAT!X347," ")</f>
        <v>#N/A</v>
      </c>
      <c r="G42" s="939" t="e">
        <f>IF(A42&lt;$M$8,MAT!Y347," ")</f>
        <v>#N/A</v>
      </c>
      <c r="H42" s="939" t="e">
        <f>IF(A42&lt;$M$8,MAT!O346," ")</f>
        <v>#N/A</v>
      </c>
      <c r="I42" s="939" t="e">
        <f>IF(A42&lt;$M$8,MAT!P346," ")</f>
        <v>#N/A</v>
      </c>
      <c r="J42" s="232"/>
      <c r="K42" s="178"/>
      <c r="L42" s="108" t="s">
        <v>210</v>
      </c>
      <c r="M42" s="1687" t="e">
        <f>M40-M38</f>
        <v>#N/A</v>
      </c>
      <c r="N42" s="1687"/>
      <c r="O42" s="30"/>
      <c r="P42" s="30"/>
      <c r="Q42" s="30"/>
    </row>
    <row r="43" spans="1:17" ht="15">
      <c r="A43" s="447">
        <v>16</v>
      </c>
      <c r="B43" s="29"/>
      <c r="C43" s="942">
        <f t="shared" si="0"/>
        <v>46</v>
      </c>
      <c r="D43" s="937" t="str">
        <f t="shared" ca="1" si="1"/>
        <v>9/5/2034</v>
      </c>
      <c r="E43" s="942" t="e">
        <f>IF(A43&lt;$M$8,DAT!$AY$22," ")</f>
        <v>#N/A</v>
      </c>
      <c r="F43" s="939" t="e">
        <f>IF(A43&lt;$M$8,MAT!X348," ")</f>
        <v>#N/A</v>
      </c>
      <c r="G43" s="939" t="e">
        <f>IF(A43&lt;$M$8,MAT!Y348," ")</f>
        <v>#N/A</v>
      </c>
      <c r="H43" s="939" t="e">
        <f>IF(A43&lt;$M$8,MAT!O347," ")</f>
        <v>#N/A</v>
      </c>
      <c r="I43" s="939" t="e">
        <f>IF(A43&lt;$M$8,MAT!P347," ")</f>
        <v>#N/A</v>
      </c>
      <c r="J43" s="232"/>
      <c r="K43" s="106"/>
      <c r="L43" s="106"/>
      <c r="M43" s="106"/>
      <c r="N43" s="945"/>
      <c r="O43" s="30"/>
      <c r="P43" s="30"/>
      <c r="Q43" s="30"/>
    </row>
    <row r="44" spans="1:17" ht="15">
      <c r="A44" s="447">
        <v>17</v>
      </c>
      <c r="B44" s="29"/>
      <c r="C44" s="942">
        <f t="shared" si="0"/>
        <v>47</v>
      </c>
      <c r="D44" s="937" t="str">
        <f t="shared" ca="1" si="1"/>
        <v>9/5/2035</v>
      </c>
      <c r="E44" s="942" t="e">
        <f>IF(A44&lt;$M$8,DAT!$AY$22," ")</f>
        <v>#N/A</v>
      </c>
      <c r="F44" s="939" t="e">
        <f>IF(A44&lt;$M$8,MAT!X349," ")</f>
        <v>#N/A</v>
      </c>
      <c r="G44" s="939" t="e">
        <f>IF(A44&lt;$M$8,MAT!Y349," ")</f>
        <v>#N/A</v>
      </c>
      <c r="H44" s="939" t="e">
        <f>IF(A44&lt;$M$8,MAT!O348," ")</f>
        <v>#N/A</v>
      </c>
      <c r="I44" s="939" t="e">
        <f>IF(A44&lt;$M$8,MAT!P348," ")</f>
        <v>#N/A</v>
      </c>
      <c r="J44" s="70"/>
      <c r="K44" s="1679" t="str">
        <f>IF(Main!L13="YES","EFFECTIVE  YIELD  -  IRR","INSURING              LIVES")</f>
        <v>INSURING              LIVES</v>
      </c>
      <c r="L44" s="1679"/>
      <c r="M44" s="1679"/>
      <c r="N44" s="69"/>
      <c r="O44" s="30"/>
      <c r="P44" s="30"/>
      <c r="Q44" s="30"/>
    </row>
    <row r="45" spans="1:17" ht="15">
      <c r="A45" s="447">
        <v>18</v>
      </c>
      <c r="B45" s="29"/>
      <c r="C45" s="942">
        <f t="shared" si="0"/>
        <v>48</v>
      </c>
      <c r="D45" s="937" t="str">
        <f t="shared" ca="1" si="1"/>
        <v>9/5/2036</v>
      </c>
      <c r="E45" s="942" t="e">
        <f>IF(A45&lt;$M$8,DAT!$AY$22," ")</f>
        <v>#N/A</v>
      </c>
      <c r="F45" s="939" t="e">
        <f>IF(A45&lt;$M$8,MAT!X350," ")</f>
        <v>#N/A</v>
      </c>
      <c r="G45" s="939" t="e">
        <f>IF(A45&lt;$M$8,MAT!Y350," ")</f>
        <v>#N/A</v>
      </c>
      <c r="H45" s="939" t="e">
        <f>IF(A45&lt;$M$8,MAT!O349," ")</f>
        <v>#N/A</v>
      </c>
      <c r="I45" s="939" t="e">
        <f>IF(A45&lt;$M$8,MAT!P349," ")</f>
        <v>#N/A</v>
      </c>
      <c r="J45" s="70"/>
      <c r="K45" s="1679"/>
      <c r="L45" s="1679"/>
      <c r="M45" s="1679"/>
      <c r="N45" s="69"/>
      <c r="O45" s="30"/>
      <c r="P45" s="30"/>
      <c r="Q45" s="30"/>
    </row>
    <row r="46" spans="1:17" ht="16.5" customHeight="1">
      <c r="A46" s="447">
        <v>19</v>
      </c>
      <c r="B46" s="29"/>
      <c r="C46" s="944">
        <f t="shared" si="0"/>
        <v>49</v>
      </c>
      <c r="D46" s="937" t="str">
        <f t="shared" ca="1" si="1"/>
        <v>9/5/2037</v>
      </c>
      <c r="E46" s="942" t="e">
        <f>IF(A46&lt;$M$8,DAT!$AY$22," ")</f>
        <v>#N/A</v>
      </c>
      <c r="F46" s="939" t="e">
        <f>IF(A46&lt;$M$8,MAT!X351," ")</f>
        <v>#N/A</v>
      </c>
      <c r="G46" s="939" t="e">
        <f>IF(A46&lt;$M$8,MAT!Y351," ")</f>
        <v>#N/A</v>
      </c>
      <c r="H46" s="939" t="e">
        <f>IF(A46&lt;$M$8,MAT!O350," ")</f>
        <v>#N/A</v>
      </c>
      <c r="I46" s="939" t="e">
        <f>IF(A46&lt;$M$8,MAT!P350," ")</f>
        <v>#N/A</v>
      </c>
      <c r="J46" s="314"/>
      <c r="K46" s="1680" t="str">
        <f>IF(Main!L13="YES",MAT!BT252,"ENSURING              SMILES")</f>
        <v>ENSURING              SMILES</v>
      </c>
      <c r="L46" s="1680"/>
      <c r="M46" s="1680"/>
      <c r="N46" s="440"/>
      <c r="O46" s="30"/>
      <c r="P46" s="30"/>
      <c r="Q46" s="30"/>
    </row>
    <row r="47" spans="1:17" ht="17.25" customHeight="1" thickBot="1">
      <c r="A47" s="438"/>
      <c r="B47" s="19"/>
      <c r="C47" s="27"/>
      <c r="D47" s="442"/>
      <c r="E47" s="442"/>
      <c r="F47" s="47"/>
      <c r="G47" s="441"/>
      <c r="H47" s="441"/>
      <c r="I47" s="441"/>
      <c r="J47" s="440"/>
      <c r="K47" s="1680"/>
      <c r="L47" s="1680"/>
      <c r="M47" s="1680"/>
      <c r="N47" s="439"/>
      <c r="O47" s="30"/>
      <c r="P47" s="30"/>
      <c r="Q47" s="30"/>
    </row>
    <row r="48" spans="1:17" ht="16.5" customHeight="1" thickTop="1" thickBot="1">
      <c r="A48" s="438"/>
      <c r="B48" s="19"/>
      <c r="C48" s="2341" t="s">
        <v>407</v>
      </c>
      <c r="D48" s="2341"/>
      <c r="E48" s="2341"/>
      <c r="F48" s="2341"/>
      <c r="G48" s="2341"/>
      <c r="H48" s="49"/>
      <c r="I48" s="49"/>
      <c r="J48" s="30"/>
      <c r="K48" s="30"/>
      <c r="L48" s="30"/>
      <c r="M48" s="30"/>
      <c r="N48" s="30"/>
      <c r="O48" s="30"/>
      <c r="P48" s="30"/>
      <c r="Q48" s="30"/>
    </row>
    <row r="49" spans="1:17" ht="13.5" customHeight="1" thickTop="1" thickBot="1">
      <c r="B49" s="30"/>
      <c r="C49" s="2341"/>
      <c r="D49" s="2341"/>
      <c r="E49" s="2341"/>
      <c r="F49" s="2341"/>
      <c r="G49" s="2341"/>
      <c r="H49" s="30"/>
      <c r="I49" s="1689" t="s">
        <v>212</v>
      </c>
      <c r="J49" s="1632" t="str">
        <f>'VASANTHAM HOME'!E9</f>
        <v>ENTER YOUR NAME</v>
      </c>
      <c r="K49" s="1632"/>
      <c r="L49" s="1632"/>
      <c r="M49" s="1632"/>
      <c r="N49" s="1632"/>
      <c r="O49" s="30"/>
      <c r="P49" s="30"/>
      <c r="Q49" s="30"/>
    </row>
    <row r="50" spans="1:17" ht="15" customHeight="1" thickTop="1" thickBot="1">
      <c r="B50" s="30"/>
      <c r="C50" s="933" t="s">
        <v>406</v>
      </c>
      <c r="D50" s="934">
        <f>M7+M8</f>
        <v>55</v>
      </c>
      <c r="E50" s="935" t="s">
        <v>405</v>
      </c>
      <c r="F50" s="2339" t="str">
        <f ca="1">(((DAY(NOW())&amp;"/")&amp;MONTH(NOW()))&amp;"/")&amp;((YEAR(NOW())))+M8</f>
        <v>9/5/2043</v>
      </c>
      <c r="G50" s="2340"/>
      <c r="H50" s="30"/>
      <c r="I50" s="1689"/>
      <c r="J50" s="1632" t="str">
        <f>'VASANTHAM HOME'!E10</f>
        <v>DESIGNATION</v>
      </c>
      <c r="K50" s="1632"/>
      <c r="L50" s="1632"/>
      <c r="M50" s="1632"/>
      <c r="N50" s="1632"/>
      <c r="O50" s="30"/>
      <c r="P50" s="30"/>
      <c r="Q50" s="30"/>
    </row>
    <row r="51" spans="1:17" ht="15" customHeight="1" thickTop="1" thickBot="1">
      <c r="B51" s="30"/>
      <c r="C51" s="2343" t="s">
        <v>877</v>
      </c>
      <c r="D51" s="2343"/>
      <c r="E51" s="2343"/>
      <c r="F51" s="2337">
        <f>M9</f>
        <v>2500000</v>
      </c>
      <c r="G51" s="2338"/>
      <c r="H51" s="30"/>
      <c r="I51" s="1689"/>
      <c r="J51" s="1632" t="str">
        <f>'VASANTHAM HOME'!E11</f>
        <v>ADDRESS 1</v>
      </c>
      <c r="K51" s="1632"/>
      <c r="L51" s="1632"/>
      <c r="M51" s="1632"/>
      <c r="N51" s="1632"/>
      <c r="O51" s="30"/>
      <c r="P51" s="30"/>
      <c r="Q51" s="30"/>
    </row>
    <row r="52" spans="1:17" ht="15.75" customHeight="1" thickTop="1" thickBot="1">
      <c r="B52" s="30"/>
      <c r="C52" s="2343" t="s">
        <v>878</v>
      </c>
      <c r="D52" s="2343"/>
      <c r="E52" s="2343"/>
      <c r="F52" s="2344" t="e">
        <f>MAT!R307</f>
        <v>#N/A</v>
      </c>
      <c r="G52" s="2338"/>
      <c r="H52" s="30"/>
      <c r="I52" s="1689"/>
      <c r="J52" s="1632" t="str">
        <f>'VASANTHAM HOME'!E12</f>
        <v>ADDRESS 2</v>
      </c>
      <c r="K52" s="1632"/>
      <c r="L52" s="1632"/>
      <c r="M52" s="1632"/>
      <c r="N52" s="1632"/>
      <c r="O52" s="30"/>
      <c r="P52" s="30"/>
      <c r="Q52" s="30"/>
    </row>
    <row r="53" spans="1:17" ht="17.25" customHeight="1" thickTop="1" thickBot="1">
      <c r="B53" s="30"/>
      <c r="C53" s="2343" t="s">
        <v>765</v>
      </c>
      <c r="D53" s="2343"/>
      <c r="E53" s="2343"/>
      <c r="F53" s="2344" t="e">
        <f>MAT!C312</f>
        <v>#N/A</v>
      </c>
      <c r="G53" s="2338"/>
      <c r="H53" s="30"/>
      <c r="I53" s="1689"/>
      <c r="J53" s="1632" t="str">
        <f>'VASANTHAM HOME'!E13</f>
        <v>ADDRESS 3</v>
      </c>
      <c r="K53" s="1632"/>
      <c r="L53" s="1632"/>
      <c r="M53" s="1632"/>
      <c r="N53" s="1632"/>
      <c r="O53" s="30"/>
      <c r="P53" s="30"/>
      <c r="Q53" s="30"/>
    </row>
    <row r="54" spans="1:17" ht="14.25" customHeight="1" thickTop="1">
      <c r="B54" s="30"/>
      <c r="C54" s="30"/>
      <c r="D54" s="30"/>
      <c r="E54" s="30"/>
      <c r="F54" s="30"/>
      <c r="G54" s="30"/>
      <c r="H54" s="30"/>
      <c r="I54" s="1689"/>
      <c r="J54" s="1632" t="str">
        <f>'VASANTHAM HOME'!E14</f>
        <v>MOBILE NO :</v>
      </c>
      <c r="K54" s="1632"/>
      <c r="L54" s="1632"/>
      <c r="M54" s="1632"/>
      <c r="N54" s="1632"/>
      <c r="O54" s="30"/>
      <c r="P54" s="30"/>
      <c r="Q54" s="30"/>
    </row>
    <row r="55" spans="1:17" ht="15">
      <c r="A55" s="434"/>
      <c r="B55" s="398"/>
      <c r="C55" s="398"/>
      <c r="D55" s="398"/>
      <c r="E55" s="398"/>
      <c r="F55" s="398"/>
      <c r="G55" s="398"/>
      <c r="H55" s="398"/>
      <c r="I55" s="1689"/>
      <c r="J55" s="1632" t="str">
        <f>'VASANTHAM HOME'!E15</f>
        <v>E.MAIL ID :</v>
      </c>
      <c r="K55" s="1632"/>
      <c r="L55" s="1632"/>
      <c r="M55" s="1632"/>
      <c r="N55" s="1632"/>
      <c r="O55" s="30"/>
      <c r="P55" s="30"/>
      <c r="Q55" s="30"/>
    </row>
    <row r="56" spans="1:17" s="30" customFormat="1" ht="15">
      <c r="A56" s="165"/>
      <c r="B56" s="398"/>
      <c r="C56" s="1693" t="s">
        <v>401</v>
      </c>
      <c r="D56" s="1693"/>
      <c r="E56" s="1693"/>
      <c r="F56" s="1693"/>
      <c r="G56" s="1693"/>
      <c r="H56" s="1693"/>
      <c r="I56" s="1693"/>
      <c r="J56" s="1693"/>
      <c r="K56" s="1693"/>
      <c r="L56" s="1693"/>
      <c r="M56" s="1693"/>
      <c r="N56" s="398"/>
    </row>
    <row r="57" spans="1:17" s="30" customFormat="1" ht="11.25" customHeight="1">
      <c r="A57" s="165"/>
    </row>
    <row r="58" spans="1:17" s="30" customFormat="1" ht="15">
      <c r="A58" s="165"/>
    </row>
    <row r="59" spans="1:17" ht="15" hidden="1"/>
    <row r="60" spans="1:17" s="30" customFormat="1" ht="15">
      <c r="A60" s="165"/>
    </row>
  </sheetData>
  <protectedRanges>
    <protectedRange sqref="L11 L16 L18" name="Range1"/>
  </protectedRanges>
  <mergeCells count="62">
    <mergeCell ref="M42:N42"/>
    <mergeCell ref="K44:M45"/>
    <mergeCell ref="K46:M47"/>
    <mergeCell ref="C48:G49"/>
    <mergeCell ref="I49:I55"/>
    <mergeCell ref="J49:N49"/>
    <mergeCell ref="F50:G50"/>
    <mergeCell ref="J50:N50"/>
    <mergeCell ref="C56:M56"/>
    <mergeCell ref="J51:N51"/>
    <mergeCell ref="C52:E52"/>
    <mergeCell ref="F52:G52"/>
    <mergeCell ref="J52:N52"/>
    <mergeCell ref="C53:E53"/>
    <mergeCell ref="F53:G53"/>
    <mergeCell ref="J53:N53"/>
    <mergeCell ref="C51:E51"/>
    <mergeCell ref="F51:G51"/>
    <mergeCell ref="J54:N54"/>
    <mergeCell ref="J55:N55"/>
    <mergeCell ref="J41:N41"/>
    <mergeCell ref="C22:J22"/>
    <mergeCell ref="C23:I23"/>
    <mergeCell ref="C24:I24"/>
    <mergeCell ref="P24:Q24"/>
    <mergeCell ref="H25:H26"/>
    <mergeCell ref="I25:I26"/>
    <mergeCell ref="J37:N37"/>
    <mergeCell ref="M38:N38"/>
    <mergeCell ref="J39:N39"/>
    <mergeCell ref="M40:N40"/>
    <mergeCell ref="A25:A26"/>
    <mergeCell ref="C25:C26"/>
    <mergeCell ref="D25:D26"/>
    <mergeCell ref="E25:E26"/>
    <mergeCell ref="F25:G25"/>
    <mergeCell ref="C21:J21"/>
    <mergeCell ref="L11:M14"/>
    <mergeCell ref="B15:J16"/>
    <mergeCell ref="L16:M21"/>
    <mergeCell ref="O14:R15"/>
    <mergeCell ref="C12:E13"/>
    <mergeCell ref="F12:F13"/>
    <mergeCell ref="G12:G13"/>
    <mergeCell ref="H12:H13"/>
    <mergeCell ref="I12:I13"/>
    <mergeCell ref="O12:Q13"/>
    <mergeCell ref="C17:G18"/>
    <mergeCell ref="C20:I20"/>
    <mergeCell ref="C19:G19"/>
    <mergeCell ref="H17:I19"/>
    <mergeCell ref="C8:G8"/>
    <mergeCell ref="C9:G9"/>
    <mergeCell ref="J9:L9"/>
    <mergeCell ref="M9:N9"/>
    <mergeCell ref="C11:E11"/>
    <mergeCell ref="M2:N2"/>
    <mergeCell ref="L4:N4"/>
    <mergeCell ref="O4:Q5"/>
    <mergeCell ref="L5:N5"/>
    <mergeCell ref="C6:G7"/>
    <mergeCell ref="O6:R7"/>
  </mergeCells>
  <hyperlinks>
    <hyperlink ref="O6:R7" location="'VASANTHAM HOME'!A1" display="CLICK HERE"/>
    <hyperlink ref="O14:R15" location="Main!A1" display="CLICK HERE"/>
  </hyperlinks>
  <pageMargins left="0.7" right="0.7" top="0.75" bottom="0.75" header="0.3" footer="0.3"/>
  <pageSetup scale="80" orientation="portrait" r:id="rId1"/>
  <headerFooter>
    <oddFooter>&amp;C&amp;K02-049VASANTHAM SMART</oddFooter>
  </headerFooter>
  <drawing r:id="rId2"/>
</worksheet>
</file>

<file path=xl/worksheets/sheet26.xml><?xml version="1.0" encoding="utf-8"?>
<worksheet xmlns="http://schemas.openxmlformats.org/spreadsheetml/2006/main" xmlns:r="http://schemas.openxmlformats.org/officeDocument/2006/relationships">
  <sheetPr codeName="Sheet33"/>
  <dimension ref="A1:EQ500"/>
  <sheetViews>
    <sheetView showGridLines="0" workbookViewId="0"/>
  </sheetViews>
  <sheetFormatPr defaultColWidth="0" defaultRowHeight="11.25" zeroHeight="1"/>
  <cols>
    <col min="1" max="1" width="6.125" style="705" customWidth="1"/>
    <col min="2" max="2" width="9" style="705" customWidth="1"/>
    <col min="3" max="4" width="6.125" style="705" customWidth="1"/>
    <col min="5" max="5" width="7.125" style="705" bestFit="1" customWidth="1"/>
    <col min="6" max="6" width="8.5" style="705" bestFit="1" customWidth="1"/>
    <col min="7" max="7" width="9.5" style="705" customWidth="1"/>
    <col min="8" max="8" width="8.5" style="705" bestFit="1" customWidth="1"/>
    <col min="9" max="9" width="8" style="705" bestFit="1" customWidth="1"/>
    <col min="10" max="10" width="8.5" style="705" bestFit="1" customWidth="1"/>
    <col min="11" max="11" width="7" style="705" customWidth="1"/>
    <col min="12" max="12" width="9.375" style="705" customWidth="1"/>
    <col min="13" max="13" width="8.875" style="705" customWidth="1"/>
    <col min="14" max="14" width="7.5" style="705" customWidth="1"/>
    <col min="15" max="15" width="8.5" style="705" bestFit="1" customWidth="1"/>
    <col min="16" max="16" width="8" style="705" customWidth="1"/>
    <col min="17" max="17" width="8.5" style="705" bestFit="1" customWidth="1"/>
    <col min="18" max="18" width="7" style="705" customWidth="1"/>
    <col min="19" max="19" width="8.875" style="705" customWidth="1"/>
    <col min="20" max="20" width="8.625" style="705" customWidth="1"/>
    <col min="21" max="21" width="9.625" style="705" customWidth="1"/>
    <col min="22" max="22" width="11.5" style="705" customWidth="1"/>
    <col min="23" max="23" width="11" style="705" bestFit="1" customWidth="1"/>
    <col min="24" max="24" width="10" style="705" customWidth="1"/>
    <col min="25" max="25" width="10.5" style="705" customWidth="1"/>
    <col min="26" max="26" width="10" style="705" bestFit="1" customWidth="1"/>
    <col min="27" max="27" width="8.875" style="705" customWidth="1"/>
    <col min="28" max="28" width="9" style="705" customWidth="1"/>
    <col min="29" max="30" width="9.125" style="705" customWidth="1"/>
    <col min="31" max="31" width="9.5" style="705" customWidth="1"/>
    <col min="32" max="32" width="8.625" style="705" customWidth="1"/>
    <col min="33" max="33" width="9" style="705" bestFit="1" customWidth="1"/>
    <col min="34" max="34" width="8.125" style="705" customWidth="1"/>
    <col min="35" max="35" width="8.625" style="705" customWidth="1"/>
    <col min="36" max="36" width="6.625" style="705" customWidth="1"/>
    <col min="37" max="37" width="10" style="705" bestFit="1" customWidth="1"/>
    <col min="38" max="39" width="9" style="705" bestFit="1" customWidth="1"/>
    <col min="40" max="40" width="7.125" style="705" customWidth="1"/>
    <col min="41" max="41" width="10" style="705" bestFit="1" customWidth="1"/>
    <col min="42" max="42" width="7.5" style="705" customWidth="1"/>
    <col min="43" max="43" width="9" style="705" customWidth="1"/>
    <col min="44" max="44" width="7.875" style="705" customWidth="1"/>
    <col min="45" max="45" width="7.5" style="705" customWidth="1"/>
    <col min="46" max="46" width="7.125" style="705" customWidth="1"/>
    <col min="47" max="47" width="7" style="705" customWidth="1"/>
    <col min="48" max="48" width="6.875" style="705" customWidth="1"/>
    <col min="49" max="49" width="7.5" style="705" customWidth="1"/>
    <col min="50" max="50" width="7" style="705" customWidth="1"/>
    <col min="51" max="51" width="7.375" style="705" customWidth="1"/>
    <col min="52" max="52" width="7.5" style="705" customWidth="1"/>
    <col min="53" max="53" width="6.875" style="705" customWidth="1"/>
    <col min="54" max="54" width="7" style="705" customWidth="1"/>
    <col min="55" max="55" width="8" style="705" customWidth="1"/>
    <col min="56" max="56" width="8.625" style="705" customWidth="1"/>
    <col min="57" max="57" width="6.875" style="705" customWidth="1"/>
    <col min="58" max="58" width="7.375" style="705" customWidth="1"/>
    <col min="59" max="59" width="8.125" style="705" customWidth="1"/>
    <col min="60" max="60" width="8.375" style="705" customWidth="1"/>
    <col min="61" max="61" width="6.875" style="705" customWidth="1"/>
    <col min="62" max="62" width="8" style="705" customWidth="1"/>
    <col min="63" max="63" width="7.625" style="705" customWidth="1"/>
    <col min="64" max="64" width="8.125" style="705" customWidth="1"/>
    <col min="65" max="65" width="8" style="705" customWidth="1"/>
    <col min="66" max="66" width="8" style="705" bestFit="1" customWidth="1"/>
    <col min="67" max="67" width="9" style="705" bestFit="1" customWidth="1"/>
    <col min="68" max="69" width="8" style="705" bestFit="1" customWidth="1"/>
    <col min="70" max="93" width="10" style="705" bestFit="1" customWidth="1"/>
    <col min="94" max="94" width="7.125" style="705" customWidth="1"/>
    <col min="95" max="96" width="7" style="705" customWidth="1"/>
    <col min="97" max="97" width="7.375" style="705" customWidth="1"/>
    <col min="98" max="98" width="7" style="705" customWidth="1"/>
    <col min="99" max="99" width="7.5" style="705" customWidth="1"/>
    <col min="100" max="100" width="7.375" style="705" customWidth="1"/>
    <col min="101" max="103" width="7" style="705" customWidth="1"/>
    <col min="104" max="109" width="8" style="705" bestFit="1" customWidth="1"/>
    <col min="110" max="147" width="6.125" style="705" customWidth="1"/>
    <col min="148" max="16384" width="6.125" style="705" hidden="1"/>
  </cols>
  <sheetData>
    <row r="1" spans="1:109"/>
    <row r="2" spans="1:109"/>
    <row r="3" spans="1:109"/>
    <row r="4" spans="1:109">
      <c r="A4" s="705">
        <v>6</v>
      </c>
    </row>
    <row r="5" spans="1:109"/>
    <row r="6" spans="1:109"/>
    <row r="7" spans="1:109"/>
    <row r="8" spans="1:109"/>
    <row r="9" spans="1:109"/>
    <row r="10" spans="1:109">
      <c r="A10" s="705" t="s">
        <v>774</v>
      </c>
      <c r="B10" s="705" t="e">
        <f>#REF!</f>
        <v>#REF!</v>
      </c>
      <c r="C10" s="1169" t="e">
        <f>LOOKUP($B$10,$B16:$B39,C16:C39)</f>
        <v>#REF!</v>
      </c>
      <c r="D10" s="1169" t="e">
        <f t="shared" ref="D10:AI10" si="0">LOOKUP($B$10,$B16:$B39,D16:D39)</f>
        <v>#REF!</v>
      </c>
      <c r="E10" s="1169" t="e">
        <f t="shared" si="0"/>
        <v>#REF!</v>
      </c>
      <c r="F10" s="1169" t="e">
        <f t="shared" si="0"/>
        <v>#REF!</v>
      </c>
      <c r="G10" s="1169" t="e">
        <f t="shared" si="0"/>
        <v>#REF!</v>
      </c>
      <c r="H10" s="1169" t="e">
        <f t="shared" si="0"/>
        <v>#REF!</v>
      </c>
      <c r="I10" s="1169" t="e">
        <f t="shared" si="0"/>
        <v>#REF!</v>
      </c>
      <c r="J10" s="1169" t="e">
        <f t="shared" si="0"/>
        <v>#REF!</v>
      </c>
      <c r="K10" s="1169" t="e">
        <f t="shared" si="0"/>
        <v>#REF!</v>
      </c>
      <c r="L10" s="1169" t="e">
        <f t="shared" si="0"/>
        <v>#REF!</v>
      </c>
      <c r="M10" s="1169" t="e">
        <f t="shared" si="0"/>
        <v>#REF!</v>
      </c>
      <c r="N10" s="1169" t="e">
        <f t="shared" si="0"/>
        <v>#REF!</v>
      </c>
      <c r="O10" s="1169" t="e">
        <f t="shared" si="0"/>
        <v>#REF!</v>
      </c>
      <c r="P10" s="1169" t="e">
        <f t="shared" si="0"/>
        <v>#REF!</v>
      </c>
      <c r="Q10" s="1169" t="e">
        <f t="shared" si="0"/>
        <v>#REF!</v>
      </c>
      <c r="R10" s="1169" t="e">
        <f t="shared" si="0"/>
        <v>#REF!</v>
      </c>
      <c r="S10" s="1169" t="e">
        <f t="shared" si="0"/>
        <v>#REF!</v>
      </c>
      <c r="T10" s="1169" t="e">
        <f t="shared" si="0"/>
        <v>#REF!</v>
      </c>
      <c r="U10" s="1169" t="e">
        <f t="shared" si="0"/>
        <v>#REF!</v>
      </c>
      <c r="V10" s="1169" t="e">
        <f t="shared" si="0"/>
        <v>#REF!</v>
      </c>
      <c r="W10" s="1169" t="e">
        <f t="shared" si="0"/>
        <v>#REF!</v>
      </c>
      <c r="X10" s="1169" t="e">
        <f t="shared" si="0"/>
        <v>#REF!</v>
      </c>
      <c r="Y10" s="1169" t="e">
        <f t="shared" si="0"/>
        <v>#REF!</v>
      </c>
      <c r="Z10" s="1169" t="e">
        <f t="shared" si="0"/>
        <v>#REF!</v>
      </c>
      <c r="AA10" s="1169" t="e">
        <f t="shared" si="0"/>
        <v>#REF!</v>
      </c>
      <c r="AB10" s="1169" t="e">
        <f t="shared" si="0"/>
        <v>#REF!</v>
      </c>
      <c r="AC10" s="1169" t="e">
        <f t="shared" si="0"/>
        <v>#REF!</v>
      </c>
      <c r="AD10" s="1169" t="e">
        <f t="shared" si="0"/>
        <v>#REF!</v>
      </c>
      <c r="AE10" s="1169" t="e">
        <f t="shared" si="0"/>
        <v>#REF!</v>
      </c>
      <c r="AF10" s="1169" t="e">
        <f t="shared" si="0"/>
        <v>#REF!</v>
      </c>
      <c r="AG10" s="1169" t="e">
        <f t="shared" si="0"/>
        <v>#REF!</v>
      </c>
      <c r="AH10" s="1169" t="e">
        <f t="shared" si="0"/>
        <v>#REF!</v>
      </c>
      <c r="AI10" s="1169" t="e">
        <f t="shared" si="0"/>
        <v>#REF!</v>
      </c>
      <c r="AJ10" s="1169"/>
      <c r="AK10" s="1169"/>
      <c r="AL10" s="1169"/>
      <c r="AM10" s="1170" t="e">
        <f>LOOKUP($B$10,$AL16:$AL41,AM16:AM41)</f>
        <v>#REF!</v>
      </c>
      <c r="AN10" s="1170" t="e">
        <f t="shared" ref="AN10:BT10" si="1">LOOKUP($B$10,$AL16:$AL41,AN16:AN41)</f>
        <v>#REF!</v>
      </c>
      <c r="AO10" s="1170" t="e">
        <f t="shared" si="1"/>
        <v>#REF!</v>
      </c>
      <c r="AP10" s="1170" t="e">
        <f t="shared" si="1"/>
        <v>#REF!</v>
      </c>
      <c r="AQ10" s="1170" t="e">
        <f t="shared" si="1"/>
        <v>#REF!</v>
      </c>
      <c r="AR10" s="1170" t="e">
        <f t="shared" si="1"/>
        <v>#REF!</v>
      </c>
      <c r="AS10" s="1170" t="e">
        <f t="shared" si="1"/>
        <v>#REF!</v>
      </c>
      <c r="AT10" s="1170" t="e">
        <f t="shared" si="1"/>
        <v>#REF!</v>
      </c>
      <c r="AU10" s="1170" t="e">
        <f t="shared" si="1"/>
        <v>#REF!</v>
      </c>
      <c r="AV10" s="1170" t="e">
        <f t="shared" si="1"/>
        <v>#REF!</v>
      </c>
      <c r="AW10" s="1170" t="e">
        <f t="shared" si="1"/>
        <v>#REF!</v>
      </c>
      <c r="AX10" s="1170" t="e">
        <f t="shared" si="1"/>
        <v>#REF!</v>
      </c>
      <c r="AY10" s="1170" t="e">
        <f t="shared" si="1"/>
        <v>#REF!</v>
      </c>
      <c r="AZ10" s="1170" t="e">
        <f t="shared" si="1"/>
        <v>#REF!</v>
      </c>
      <c r="BA10" s="1170" t="e">
        <f t="shared" si="1"/>
        <v>#REF!</v>
      </c>
      <c r="BB10" s="1170" t="e">
        <f t="shared" si="1"/>
        <v>#REF!</v>
      </c>
      <c r="BC10" s="1170" t="e">
        <f t="shared" si="1"/>
        <v>#REF!</v>
      </c>
      <c r="BD10" s="1170" t="e">
        <f t="shared" si="1"/>
        <v>#REF!</v>
      </c>
      <c r="BE10" s="1170" t="e">
        <f t="shared" si="1"/>
        <v>#REF!</v>
      </c>
      <c r="BF10" s="1170" t="e">
        <f t="shared" si="1"/>
        <v>#REF!</v>
      </c>
      <c r="BG10" s="1170" t="e">
        <f t="shared" si="1"/>
        <v>#REF!</v>
      </c>
      <c r="BH10" s="1170" t="e">
        <f t="shared" si="1"/>
        <v>#REF!</v>
      </c>
      <c r="BI10" s="1170" t="e">
        <f t="shared" si="1"/>
        <v>#REF!</v>
      </c>
      <c r="BJ10" s="1170" t="e">
        <f t="shared" si="1"/>
        <v>#REF!</v>
      </c>
      <c r="BK10" s="1170" t="e">
        <f t="shared" si="1"/>
        <v>#REF!</v>
      </c>
      <c r="BL10" s="1170" t="e">
        <f t="shared" si="1"/>
        <v>#REF!</v>
      </c>
      <c r="BM10" s="1170" t="e">
        <f t="shared" si="1"/>
        <v>#REF!</v>
      </c>
      <c r="BN10" s="1170" t="e">
        <f t="shared" si="1"/>
        <v>#REF!</v>
      </c>
      <c r="BO10" s="1170" t="e">
        <f t="shared" si="1"/>
        <v>#REF!</v>
      </c>
      <c r="BP10" s="1170" t="e">
        <f t="shared" si="1"/>
        <v>#REF!</v>
      </c>
      <c r="BQ10" s="1170" t="e">
        <f t="shared" si="1"/>
        <v>#REF!</v>
      </c>
      <c r="BR10" s="1170" t="e">
        <f t="shared" si="1"/>
        <v>#REF!</v>
      </c>
      <c r="BS10" s="1170" t="e">
        <f t="shared" si="1"/>
        <v>#REF!</v>
      </c>
      <c r="BT10" s="1170" t="e">
        <f t="shared" si="1"/>
        <v>#REF!</v>
      </c>
      <c r="BU10" s="1170"/>
      <c r="BV10" s="1170"/>
      <c r="BW10" s="1170"/>
      <c r="BX10" s="1170" t="e">
        <f t="shared" ref="BX10:DE10" si="2">LOOKUP($B$10,$B16:$B39,BX16:BX39)</f>
        <v>#REF!</v>
      </c>
      <c r="BY10" s="1170" t="e">
        <f t="shared" si="2"/>
        <v>#REF!</v>
      </c>
      <c r="BZ10" s="1170" t="e">
        <f t="shared" si="2"/>
        <v>#REF!</v>
      </c>
      <c r="CA10" s="1170" t="e">
        <f t="shared" si="2"/>
        <v>#REF!</v>
      </c>
      <c r="CB10" s="1170" t="e">
        <f t="shared" si="2"/>
        <v>#REF!</v>
      </c>
      <c r="CC10" s="1170" t="e">
        <f t="shared" si="2"/>
        <v>#REF!</v>
      </c>
      <c r="CD10" s="1170" t="e">
        <f t="shared" si="2"/>
        <v>#REF!</v>
      </c>
      <c r="CE10" s="1170" t="e">
        <f t="shared" si="2"/>
        <v>#REF!</v>
      </c>
      <c r="CF10" s="1170" t="e">
        <f t="shared" si="2"/>
        <v>#REF!</v>
      </c>
      <c r="CG10" s="1170" t="e">
        <f t="shared" si="2"/>
        <v>#REF!</v>
      </c>
      <c r="CH10" s="1170" t="e">
        <f t="shared" si="2"/>
        <v>#REF!</v>
      </c>
      <c r="CI10" s="1170" t="e">
        <f t="shared" si="2"/>
        <v>#REF!</v>
      </c>
      <c r="CJ10" s="1170" t="e">
        <f t="shared" si="2"/>
        <v>#REF!</v>
      </c>
      <c r="CK10" s="1170" t="e">
        <f t="shared" si="2"/>
        <v>#REF!</v>
      </c>
      <c r="CL10" s="1170" t="e">
        <f t="shared" si="2"/>
        <v>#REF!</v>
      </c>
      <c r="CM10" s="1170" t="e">
        <f t="shared" si="2"/>
        <v>#REF!</v>
      </c>
      <c r="CN10" s="1170" t="e">
        <f t="shared" si="2"/>
        <v>#REF!</v>
      </c>
      <c r="CO10" s="1170" t="e">
        <f t="shared" si="2"/>
        <v>#REF!</v>
      </c>
      <c r="CP10" s="1170" t="e">
        <f t="shared" si="2"/>
        <v>#REF!</v>
      </c>
      <c r="CQ10" s="1170" t="e">
        <f t="shared" si="2"/>
        <v>#REF!</v>
      </c>
      <c r="CR10" s="1170" t="e">
        <f t="shared" si="2"/>
        <v>#REF!</v>
      </c>
      <c r="CS10" s="1170" t="e">
        <f t="shared" si="2"/>
        <v>#REF!</v>
      </c>
      <c r="CT10" s="1170" t="e">
        <f t="shared" si="2"/>
        <v>#REF!</v>
      </c>
      <c r="CU10" s="1170" t="e">
        <f t="shared" si="2"/>
        <v>#REF!</v>
      </c>
      <c r="CV10" s="1170" t="e">
        <f t="shared" si="2"/>
        <v>#REF!</v>
      </c>
      <c r="CW10" s="1170" t="e">
        <f t="shared" si="2"/>
        <v>#REF!</v>
      </c>
      <c r="CX10" s="1170" t="e">
        <f t="shared" si="2"/>
        <v>#REF!</v>
      </c>
      <c r="CY10" s="1170" t="e">
        <f t="shared" si="2"/>
        <v>#REF!</v>
      </c>
      <c r="CZ10" s="1170" t="e">
        <f t="shared" si="2"/>
        <v>#REF!</v>
      </c>
      <c r="DA10" s="1170" t="e">
        <f t="shared" si="2"/>
        <v>#REF!</v>
      </c>
      <c r="DB10" s="1170" t="e">
        <f t="shared" si="2"/>
        <v>#REF!</v>
      </c>
      <c r="DC10" s="1170" t="e">
        <f t="shared" si="2"/>
        <v>#REF!</v>
      </c>
      <c r="DD10" s="1170" t="e">
        <f t="shared" si="2"/>
        <v>#REF!</v>
      </c>
      <c r="DE10" s="1170" t="e">
        <f t="shared" si="2"/>
        <v>#REF!</v>
      </c>
    </row>
    <row r="11" spans="1:109">
      <c r="A11" s="705" t="s">
        <v>766</v>
      </c>
      <c r="B11" s="705" t="e">
        <f>#REF!</f>
        <v>#REF!</v>
      </c>
      <c r="C11" s="1169" t="e">
        <f>LOOKUP($B$11,$B16:$B39,C16:C39)</f>
        <v>#REF!</v>
      </c>
      <c r="D11" s="1169" t="e">
        <f t="shared" ref="D11:AI11" si="3">LOOKUP($B$11,$B16:$B39,D16:D39)</f>
        <v>#REF!</v>
      </c>
      <c r="E11" s="1169" t="e">
        <f t="shared" si="3"/>
        <v>#REF!</v>
      </c>
      <c r="F11" s="1169" t="e">
        <f t="shared" si="3"/>
        <v>#REF!</v>
      </c>
      <c r="G11" s="1169" t="e">
        <f t="shared" si="3"/>
        <v>#REF!</v>
      </c>
      <c r="H11" s="1169" t="e">
        <f t="shared" si="3"/>
        <v>#REF!</v>
      </c>
      <c r="I11" s="1169" t="e">
        <f t="shared" si="3"/>
        <v>#REF!</v>
      </c>
      <c r="J11" s="1169" t="e">
        <f t="shared" si="3"/>
        <v>#REF!</v>
      </c>
      <c r="K11" s="1169" t="e">
        <f t="shared" si="3"/>
        <v>#REF!</v>
      </c>
      <c r="L11" s="1169" t="e">
        <f t="shared" si="3"/>
        <v>#REF!</v>
      </c>
      <c r="M11" s="1169" t="e">
        <f t="shared" si="3"/>
        <v>#REF!</v>
      </c>
      <c r="N11" s="1169" t="e">
        <f t="shared" si="3"/>
        <v>#REF!</v>
      </c>
      <c r="O11" s="1169" t="e">
        <f t="shared" si="3"/>
        <v>#REF!</v>
      </c>
      <c r="P11" s="1169" t="e">
        <f t="shared" si="3"/>
        <v>#REF!</v>
      </c>
      <c r="Q11" s="1169" t="e">
        <f t="shared" si="3"/>
        <v>#REF!</v>
      </c>
      <c r="R11" s="1169" t="e">
        <f t="shared" si="3"/>
        <v>#REF!</v>
      </c>
      <c r="S11" s="1169" t="e">
        <f t="shared" si="3"/>
        <v>#REF!</v>
      </c>
      <c r="T11" s="1169" t="e">
        <f t="shared" si="3"/>
        <v>#REF!</v>
      </c>
      <c r="U11" s="1169" t="e">
        <f t="shared" si="3"/>
        <v>#REF!</v>
      </c>
      <c r="V11" s="1169" t="e">
        <f t="shared" si="3"/>
        <v>#REF!</v>
      </c>
      <c r="W11" s="1169" t="e">
        <f t="shared" si="3"/>
        <v>#REF!</v>
      </c>
      <c r="X11" s="1169" t="e">
        <f t="shared" si="3"/>
        <v>#REF!</v>
      </c>
      <c r="Y11" s="1169" t="e">
        <f t="shared" si="3"/>
        <v>#REF!</v>
      </c>
      <c r="Z11" s="1169" t="e">
        <f t="shared" si="3"/>
        <v>#REF!</v>
      </c>
      <c r="AA11" s="1169" t="e">
        <f t="shared" si="3"/>
        <v>#REF!</v>
      </c>
      <c r="AB11" s="1169" t="e">
        <f t="shared" si="3"/>
        <v>#REF!</v>
      </c>
      <c r="AC11" s="1169" t="e">
        <f t="shared" si="3"/>
        <v>#REF!</v>
      </c>
      <c r="AD11" s="1169" t="e">
        <f t="shared" si="3"/>
        <v>#REF!</v>
      </c>
      <c r="AE11" s="1169" t="e">
        <f t="shared" si="3"/>
        <v>#REF!</v>
      </c>
      <c r="AF11" s="1169" t="e">
        <f t="shared" si="3"/>
        <v>#REF!</v>
      </c>
      <c r="AG11" s="1169" t="e">
        <f t="shared" si="3"/>
        <v>#REF!</v>
      </c>
      <c r="AH11" s="1169" t="e">
        <f t="shared" si="3"/>
        <v>#REF!</v>
      </c>
      <c r="AI11" s="1169" t="e">
        <f t="shared" si="3"/>
        <v>#REF!</v>
      </c>
      <c r="AJ11" s="1169"/>
      <c r="AK11" s="1169"/>
      <c r="AL11" s="1169"/>
      <c r="AM11" s="1170" t="e">
        <f>LOOKUP($B$11,$AL16:$AL41,AM16:AM41)</f>
        <v>#REF!</v>
      </c>
      <c r="AN11" s="1170" t="e">
        <f t="shared" ref="AN11:BT11" si="4">LOOKUP($B$11,$AL16:$AL41,AN16:AN41)</f>
        <v>#REF!</v>
      </c>
      <c r="AO11" s="1170" t="e">
        <f t="shared" si="4"/>
        <v>#REF!</v>
      </c>
      <c r="AP11" s="1170" t="e">
        <f t="shared" si="4"/>
        <v>#REF!</v>
      </c>
      <c r="AQ11" s="1170" t="e">
        <f t="shared" si="4"/>
        <v>#REF!</v>
      </c>
      <c r="AR11" s="1170" t="e">
        <f t="shared" si="4"/>
        <v>#REF!</v>
      </c>
      <c r="AS11" s="1170" t="e">
        <f t="shared" si="4"/>
        <v>#REF!</v>
      </c>
      <c r="AT11" s="1170" t="e">
        <f t="shared" si="4"/>
        <v>#REF!</v>
      </c>
      <c r="AU11" s="1170" t="e">
        <f t="shared" si="4"/>
        <v>#REF!</v>
      </c>
      <c r="AV11" s="1170" t="e">
        <f t="shared" si="4"/>
        <v>#REF!</v>
      </c>
      <c r="AW11" s="1170" t="e">
        <f t="shared" si="4"/>
        <v>#REF!</v>
      </c>
      <c r="AX11" s="1170" t="e">
        <f t="shared" si="4"/>
        <v>#REF!</v>
      </c>
      <c r="AY11" s="1170" t="e">
        <f t="shared" si="4"/>
        <v>#REF!</v>
      </c>
      <c r="AZ11" s="1170" t="e">
        <f t="shared" si="4"/>
        <v>#REF!</v>
      </c>
      <c r="BA11" s="1170" t="e">
        <f t="shared" si="4"/>
        <v>#REF!</v>
      </c>
      <c r="BB11" s="1170" t="e">
        <f t="shared" si="4"/>
        <v>#REF!</v>
      </c>
      <c r="BC11" s="1170" t="e">
        <f t="shared" si="4"/>
        <v>#REF!</v>
      </c>
      <c r="BD11" s="1170" t="e">
        <f t="shared" si="4"/>
        <v>#REF!</v>
      </c>
      <c r="BE11" s="1170" t="e">
        <f t="shared" si="4"/>
        <v>#REF!</v>
      </c>
      <c r="BF11" s="1170" t="e">
        <f t="shared" si="4"/>
        <v>#REF!</v>
      </c>
      <c r="BG11" s="1170" t="e">
        <f t="shared" si="4"/>
        <v>#REF!</v>
      </c>
      <c r="BH11" s="1170" t="e">
        <f t="shared" si="4"/>
        <v>#REF!</v>
      </c>
      <c r="BI11" s="1170" t="e">
        <f t="shared" si="4"/>
        <v>#REF!</v>
      </c>
      <c r="BJ11" s="1170" t="e">
        <f t="shared" si="4"/>
        <v>#REF!</v>
      </c>
      <c r="BK11" s="1170" t="e">
        <f t="shared" si="4"/>
        <v>#REF!</v>
      </c>
      <c r="BL11" s="1170" t="e">
        <f t="shared" si="4"/>
        <v>#REF!</v>
      </c>
      <c r="BM11" s="1170" t="e">
        <f t="shared" si="4"/>
        <v>#REF!</v>
      </c>
      <c r="BN11" s="1170" t="e">
        <f t="shared" si="4"/>
        <v>#REF!</v>
      </c>
      <c r="BO11" s="1170" t="e">
        <f t="shared" si="4"/>
        <v>#REF!</v>
      </c>
      <c r="BP11" s="1170" t="e">
        <f t="shared" si="4"/>
        <v>#REF!</v>
      </c>
      <c r="BQ11" s="1170" t="e">
        <f t="shared" si="4"/>
        <v>#REF!</v>
      </c>
      <c r="BR11" s="1170" t="e">
        <f t="shared" si="4"/>
        <v>#REF!</v>
      </c>
      <c r="BS11" s="1170" t="e">
        <f t="shared" si="4"/>
        <v>#REF!</v>
      </c>
      <c r="BT11" s="1170" t="e">
        <f t="shared" si="4"/>
        <v>#REF!</v>
      </c>
      <c r="BU11" s="1170"/>
      <c r="BV11" s="1170"/>
      <c r="BW11" s="1170"/>
      <c r="BX11" s="1170" t="e">
        <f t="shared" ref="BX11:DE11" si="5">LOOKUP($B$11,$B16:$B39,BX16:BX39)</f>
        <v>#REF!</v>
      </c>
      <c r="BY11" s="1170" t="e">
        <f t="shared" si="5"/>
        <v>#REF!</v>
      </c>
      <c r="BZ11" s="1170" t="e">
        <f t="shared" si="5"/>
        <v>#REF!</v>
      </c>
      <c r="CA11" s="1170" t="e">
        <f t="shared" si="5"/>
        <v>#REF!</v>
      </c>
      <c r="CB11" s="1170" t="e">
        <f t="shared" si="5"/>
        <v>#REF!</v>
      </c>
      <c r="CC11" s="1170" t="e">
        <f t="shared" si="5"/>
        <v>#REF!</v>
      </c>
      <c r="CD11" s="1170" t="e">
        <f t="shared" si="5"/>
        <v>#REF!</v>
      </c>
      <c r="CE11" s="1170" t="e">
        <f t="shared" si="5"/>
        <v>#REF!</v>
      </c>
      <c r="CF11" s="1170" t="e">
        <f t="shared" si="5"/>
        <v>#REF!</v>
      </c>
      <c r="CG11" s="1170" t="e">
        <f t="shared" si="5"/>
        <v>#REF!</v>
      </c>
      <c r="CH11" s="1170" t="e">
        <f t="shared" si="5"/>
        <v>#REF!</v>
      </c>
      <c r="CI11" s="1170" t="e">
        <f t="shared" si="5"/>
        <v>#REF!</v>
      </c>
      <c r="CJ11" s="1170" t="e">
        <f t="shared" si="5"/>
        <v>#REF!</v>
      </c>
      <c r="CK11" s="1170" t="e">
        <f t="shared" si="5"/>
        <v>#REF!</v>
      </c>
      <c r="CL11" s="1170" t="e">
        <f t="shared" si="5"/>
        <v>#REF!</v>
      </c>
      <c r="CM11" s="1170" t="e">
        <f t="shared" si="5"/>
        <v>#REF!</v>
      </c>
      <c r="CN11" s="1170" t="e">
        <f t="shared" si="5"/>
        <v>#REF!</v>
      </c>
      <c r="CO11" s="1170" t="e">
        <f t="shared" si="5"/>
        <v>#REF!</v>
      </c>
      <c r="CP11" s="1170" t="e">
        <f t="shared" si="5"/>
        <v>#REF!</v>
      </c>
      <c r="CQ11" s="1170" t="e">
        <f t="shared" si="5"/>
        <v>#REF!</v>
      </c>
      <c r="CR11" s="1170" t="e">
        <f t="shared" si="5"/>
        <v>#REF!</v>
      </c>
      <c r="CS11" s="1170" t="e">
        <f t="shared" si="5"/>
        <v>#REF!</v>
      </c>
      <c r="CT11" s="1170" t="e">
        <f t="shared" si="5"/>
        <v>#REF!</v>
      </c>
      <c r="CU11" s="1170" t="e">
        <f t="shared" si="5"/>
        <v>#REF!</v>
      </c>
      <c r="CV11" s="1170" t="e">
        <f t="shared" si="5"/>
        <v>#REF!</v>
      </c>
      <c r="CW11" s="1170" t="e">
        <f t="shared" si="5"/>
        <v>#REF!</v>
      </c>
      <c r="CX11" s="1170" t="e">
        <f t="shared" si="5"/>
        <v>#REF!</v>
      </c>
      <c r="CY11" s="1170" t="e">
        <f t="shared" si="5"/>
        <v>#REF!</v>
      </c>
      <c r="CZ11" s="1170" t="e">
        <f t="shared" si="5"/>
        <v>#REF!</v>
      </c>
      <c r="DA11" s="1170" t="e">
        <f t="shared" si="5"/>
        <v>#REF!</v>
      </c>
      <c r="DB11" s="1170" t="e">
        <f t="shared" si="5"/>
        <v>#REF!</v>
      </c>
      <c r="DC11" s="1170" t="e">
        <f t="shared" si="5"/>
        <v>#REF!</v>
      </c>
      <c r="DD11" s="1170" t="e">
        <f t="shared" si="5"/>
        <v>#REF!</v>
      </c>
      <c r="DE11" s="1170" t="e">
        <f t="shared" si="5"/>
        <v>#REF!</v>
      </c>
    </row>
    <row r="12" spans="1:109">
      <c r="A12" s="705" t="s">
        <v>766</v>
      </c>
      <c r="B12" s="705" t="e">
        <f>#REF!</f>
        <v>#REF!</v>
      </c>
      <c r="C12" s="1169" t="e">
        <f>LOOKUP($B$12,$B16:$B39,C16:C39)</f>
        <v>#REF!</v>
      </c>
      <c r="D12" s="1169" t="e">
        <f t="shared" ref="D12:AI12" si="6">LOOKUP($B$12,$B16:$B39,D16:D39)</f>
        <v>#REF!</v>
      </c>
      <c r="E12" s="1169" t="e">
        <f t="shared" si="6"/>
        <v>#REF!</v>
      </c>
      <c r="F12" s="1169" t="e">
        <f t="shared" si="6"/>
        <v>#REF!</v>
      </c>
      <c r="G12" s="1169" t="e">
        <f t="shared" si="6"/>
        <v>#REF!</v>
      </c>
      <c r="H12" s="1169" t="e">
        <f t="shared" si="6"/>
        <v>#REF!</v>
      </c>
      <c r="I12" s="1169" t="e">
        <f t="shared" si="6"/>
        <v>#REF!</v>
      </c>
      <c r="J12" s="1169" t="e">
        <f t="shared" si="6"/>
        <v>#REF!</v>
      </c>
      <c r="K12" s="1169" t="e">
        <f t="shared" si="6"/>
        <v>#REF!</v>
      </c>
      <c r="L12" s="1169" t="e">
        <f t="shared" si="6"/>
        <v>#REF!</v>
      </c>
      <c r="M12" s="1169" t="e">
        <f t="shared" si="6"/>
        <v>#REF!</v>
      </c>
      <c r="N12" s="1169" t="e">
        <f t="shared" si="6"/>
        <v>#REF!</v>
      </c>
      <c r="O12" s="1169" t="e">
        <f t="shared" si="6"/>
        <v>#REF!</v>
      </c>
      <c r="P12" s="1169" t="e">
        <f t="shared" si="6"/>
        <v>#REF!</v>
      </c>
      <c r="Q12" s="1169" t="e">
        <f t="shared" si="6"/>
        <v>#REF!</v>
      </c>
      <c r="R12" s="1169" t="e">
        <f t="shared" si="6"/>
        <v>#REF!</v>
      </c>
      <c r="S12" s="1169" t="e">
        <f t="shared" si="6"/>
        <v>#REF!</v>
      </c>
      <c r="T12" s="1169" t="e">
        <f t="shared" si="6"/>
        <v>#REF!</v>
      </c>
      <c r="U12" s="1169" t="e">
        <f t="shared" si="6"/>
        <v>#REF!</v>
      </c>
      <c r="V12" s="1169" t="e">
        <f t="shared" si="6"/>
        <v>#REF!</v>
      </c>
      <c r="W12" s="1169" t="e">
        <f t="shared" si="6"/>
        <v>#REF!</v>
      </c>
      <c r="X12" s="1169" t="e">
        <f t="shared" si="6"/>
        <v>#REF!</v>
      </c>
      <c r="Y12" s="1169" t="e">
        <f t="shared" si="6"/>
        <v>#REF!</v>
      </c>
      <c r="Z12" s="1169" t="e">
        <f t="shared" si="6"/>
        <v>#REF!</v>
      </c>
      <c r="AA12" s="1169" t="e">
        <f t="shared" si="6"/>
        <v>#REF!</v>
      </c>
      <c r="AB12" s="1169" t="e">
        <f t="shared" si="6"/>
        <v>#REF!</v>
      </c>
      <c r="AC12" s="1169" t="e">
        <f t="shared" si="6"/>
        <v>#REF!</v>
      </c>
      <c r="AD12" s="1169" t="e">
        <f t="shared" si="6"/>
        <v>#REF!</v>
      </c>
      <c r="AE12" s="1169" t="e">
        <f t="shared" si="6"/>
        <v>#REF!</v>
      </c>
      <c r="AF12" s="1169" t="e">
        <f t="shared" si="6"/>
        <v>#REF!</v>
      </c>
      <c r="AG12" s="1169" t="e">
        <f t="shared" si="6"/>
        <v>#REF!</v>
      </c>
      <c r="AH12" s="1169" t="e">
        <f t="shared" si="6"/>
        <v>#REF!</v>
      </c>
      <c r="AI12" s="1169" t="e">
        <f t="shared" si="6"/>
        <v>#REF!</v>
      </c>
      <c r="AJ12" s="1169"/>
      <c r="AK12" s="1169"/>
      <c r="AL12" s="1169"/>
      <c r="AM12" s="1170" t="e">
        <f>LOOKUP($B$12,$AL16:$AL41,AM16:AM41)</f>
        <v>#REF!</v>
      </c>
      <c r="AN12" s="1170" t="e">
        <f t="shared" ref="AN12:BT12" si="7">LOOKUP($B$12,$AL16:$AL41,AN16:AN41)</f>
        <v>#REF!</v>
      </c>
      <c r="AO12" s="1170" t="e">
        <f t="shared" si="7"/>
        <v>#REF!</v>
      </c>
      <c r="AP12" s="1170" t="e">
        <f t="shared" si="7"/>
        <v>#REF!</v>
      </c>
      <c r="AQ12" s="1170" t="e">
        <f t="shared" si="7"/>
        <v>#REF!</v>
      </c>
      <c r="AR12" s="1170" t="e">
        <f t="shared" si="7"/>
        <v>#REF!</v>
      </c>
      <c r="AS12" s="1170" t="e">
        <f t="shared" si="7"/>
        <v>#REF!</v>
      </c>
      <c r="AT12" s="1170" t="e">
        <f t="shared" si="7"/>
        <v>#REF!</v>
      </c>
      <c r="AU12" s="1170" t="e">
        <f t="shared" si="7"/>
        <v>#REF!</v>
      </c>
      <c r="AV12" s="1170" t="e">
        <f t="shared" si="7"/>
        <v>#REF!</v>
      </c>
      <c r="AW12" s="1170" t="e">
        <f t="shared" si="7"/>
        <v>#REF!</v>
      </c>
      <c r="AX12" s="1170" t="e">
        <f t="shared" si="7"/>
        <v>#REF!</v>
      </c>
      <c r="AY12" s="1170" t="e">
        <f t="shared" si="7"/>
        <v>#REF!</v>
      </c>
      <c r="AZ12" s="1170" t="e">
        <f t="shared" si="7"/>
        <v>#REF!</v>
      </c>
      <c r="BA12" s="1170" t="e">
        <f t="shared" si="7"/>
        <v>#REF!</v>
      </c>
      <c r="BB12" s="1170" t="e">
        <f t="shared" si="7"/>
        <v>#REF!</v>
      </c>
      <c r="BC12" s="1170" t="e">
        <f t="shared" si="7"/>
        <v>#REF!</v>
      </c>
      <c r="BD12" s="1170" t="e">
        <f t="shared" si="7"/>
        <v>#REF!</v>
      </c>
      <c r="BE12" s="1170" t="e">
        <f t="shared" si="7"/>
        <v>#REF!</v>
      </c>
      <c r="BF12" s="1170" t="e">
        <f t="shared" si="7"/>
        <v>#REF!</v>
      </c>
      <c r="BG12" s="1170" t="e">
        <f t="shared" si="7"/>
        <v>#REF!</v>
      </c>
      <c r="BH12" s="1170" t="e">
        <f t="shared" si="7"/>
        <v>#REF!</v>
      </c>
      <c r="BI12" s="1170" t="e">
        <f t="shared" si="7"/>
        <v>#REF!</v>
      </c>
      <c r="BJ12" s="1170" t="e">
        <f t="shared" si="7"/>
        <v>#REF!</v>
      </c>
      <c r="BK12" s="1170" t="e">
        <f t="shared" si="7"/>
        <v>#REF!</v>
      </c>
      <c r="BL12" s="1170" t="e">
        <f t="shared" si="7"/>
        <v>#REF!</v>
      </c>
      <c r="BM12" s="1170" t="e">
        <f t="shared" si="7"/>
        <v>#REF!</v>
      </c>
      <c r="BN12" s="1170" t="e">
        <f t="shared" si="7"/>
        <v>#REF!</v>
      </c>
      <c r="BO12" s="1170" t="e">
        <f t="shared" si="7"/>
        <v>#REF!</v>
      </c>
      <c r="BP12" s="1170" t="e">
        <f t="shared" si="7"/>
        <v>#REF!</v>
      </c>
      <c r="BQ12" s="1170" t="e">
        <f t="shared" si="7"/>
        <v>#REF!</v>
      </c>
      <c r="BR12" s="1170" t="e">
        <f t="shared" si="7"/>
        <v>#REF!</v>
      </c>
      <c r="BS12" s="1170" t="e">
        <f t="shared" si="7"/>
        <v>#REF!</v>
      </c>
      <c r="BT12" s="1170" t="e">
        <f t="shared" si="7"/>
        <v>#REF!</v>
      </c>
      <c r="BU12" s="1170"/>
      <c r="BV12" s="1170"/>
      <c r="BW12" s="1170"/>
      <c r="BX12" s="1170" t="e">
        <f t="shared" ref="BX12:DE12" si="8">LOOKUP($B$12,$B16:$B39,BX16:BX39)</f>
        <v>#REF!</v>
      </c>
      <c r="BY12" s="1170" t="e">
        <f t="shared" si="8"/>
        <v>#REF!</v>
      </c>
      <c r="BZ12" s="1170" t="e">
        <f t="shared" si="8"/>
        <v>#REF!</v>
      </c>
      <c r="CA12" s="1170" t="e">
        <f t="shared" si="8"/>
        <v>#REF!</v>
      </c>
      <c r="CB12" s="1170" t="e">
        <f t="shared" si="8"/>
        <v>#REF!</v>
      </c>
      <c r="CC12" s="1170" t="e">
        <f t="shared" si="8"/>
        <v>#REF!</v>
      </c>
      <c r="CD12" s="1170" t="e">
        <f t="shared" si="8"/>
        <v>#REF!</v>
      </c>
      <c r="CE12" s="1170" t="e">
        <f t="shared" si="8"/>
        <v>#REF!</v>
      </c>
      <c r="CF12" s="1170" t="e">
        <f t="shared" si="8"/>
        <v>#REF!</v>
      </c>
      <c r="CG12" s="1170" t="e">
        <f t="shared" si="8"/>
        <v>#REF!</v>
      </c>
      <c r="CH12" s="1170" t="e">
        <f t="shared" si="8"/>
        <v>#REF!</v>
      </c>
      <c r="CI12" s="1170" t="e">
        <f t="shared" si="8"/>
        <v>#REF!</v>
      </c>
      <c r="CJ12" s="1170" t="e">
        <f t="shared" si="8"/>
        <v>#REF!</v>
      </c>
      <c r="CK12" s="1170" t="e">
        <f t="shared" si="8"/>
        <v>#REF!</v>
      </c>
      <c r="CL12" s="1170" t="e">
        <f t="shared" si="8"/>
        <v>#REF!</v>
      </c>
      <c r="CM12" s="1170" t="e">
        <f t="shared" si="8"/>
        <v>#REF!</v>
      </c>
      <c r="CN12" s="1170" t="e">
        <f t="shared" si="8"/>
        <v>#REF!</v>
      </c>
      <c r="CO12" s="1170" t="e">
        <f t="shared" si="8"/>
        <v>#REF!</v>
      </c>
      <c r="CP12" s="1170" t="e">
        <f t="shared" si="8"/>
        <v>#REF!</v>
      </c>
      <c r="CQ12" s="1170" t="e">
        <f t="shared" si="8"/>
        <v>#REF!</v>
      </c>
      <c r="CR12" s="1170" t="e">
        <f t="shared" si="8"/>
        <v>#REF!</v>
      </c>
      <c r="CS12" s="1170" t="e">
        <f t="shared" si="8"/>
        <v>#REF!</v>
      </c>
      <c r="CT12" s="1170" t="e">
        <f t="shared" si="8"/>
        <v>#REF!</v>
      </c>
      <c r="CU12" s="1170" t="e">
        <f t="shared" si="8"/>
        <v>#REF!</v>
      </c>
      <c r="CV12" s="1170" t="e">
        <f t="shared" si="8"/>
        <v>#REF!</v>
      </c>
      <c r="CW12" s="1170" t="e">
        <f t="shared" si="8"/>
        <v>#REF!</v>
      </c>
      <c r="CX12" s="1170" t="e">
        <f t="shared" si="8"/>
        <v>#REF!</v>
      </c>
      <c r="CY12" s="1170" t="e">
        <f t="shared" si="8"/>
        <v>#REF!</v>
      </c>
      <c r="CZ12" s="1170" t="e">
        <f t="shared" si="8"/>
        <v>#REF!</v>
      </c>
      <c r="DA12" s="1170" t="e">
        <f t="shared" si="8"/>
        <v>#REF!</v>
      </c>
      <c r="DB12" s="1170" t="e">
        <f t="shared" si="8"/>
        <v>#REF!</v>
      </c>
      <c r="DC12" s="1170" t="e">
        <f t="shared" si="8"/>
        <v>#REF!</v>
      </c>
      <c r="DD12" s="1170" t="e">
        <f t="shared" si="8"/>
        <v>#REF!</v>
      </c>
      <c r="DE12" s="1170" t="e">
        <f t="shared" si="8"/>
        <v>#REF!</v>
      </c>
    </row>
    <row r="13" spans="1:109">
      <c r="A13" s="705" t="s">
        <v>186</v>
      </c>
      <c r="B13" s="705">
        <f>Main!E11-Main!E9</f>
        <v>-5</v>
      </c>
      <c r="C13" s="1169" t="e">
        <f t="shared" ref="C13:Z13" si="9">LOOKUP($B$13,$B16:$B39,C16:C39)</f>
        <v>#N/A</v>
      </c>
      <c r="D13" s="1169" t="e">
        <f t="shared" si="9"/>
        <v>#N/A</v>
      </c>
      <c r="E13" s="1169" t="e">
        <f t="shared" si="9"/>
        <v>#N/A</v>
      </c>
      <c r="F13" s="1169" t="e">
        <f t="shared" si="9"/>
        <v>#N/A</v>
      </c>
      <c r="G13" s="1169" t="e">
        <f t="shared" si="9"/>
        <v>#N/A</v>
      </c>
      <c r="H13" s="1169" t="e">
        <f t="shared" si="9"/>
        <v>#N/A</v>
      </c>
      <c r="I13" s="1169" t="e">
        <f t="shared" si="9"/>
        <v>#N/A</v>
      </c>
      <c r="J13" s="1169" t="e">
        <f t="shared" si="9"/>
        <v>#N/A</v>
      </c>
      <c r="K13" s="1169" t="e">
        <f t="shared" si="9"/>
        <v>#N/A</v>
      </c>
      <c r="L13" s="1169" t="e">
        <f t="shared" si="9"/>
        <v>#N/A</v>
      </c>
      <c r="M13" s="1169" t="e">
        <f t="shared" si="9"/>
        <v>#N/A</v>
      </c>
      <c r="N13" s="1169" t="e">
        <f t="shared" si="9"/>
        <v>#N/A</v>
      </c>
      <c r="O13" s="1169" t="e">
        <f t="shared" si="9"/>
        <v>#N/A</v>
      </c>
      <c r="P13" s="1169" t="e">
        <f t="shared" si="9"/>
        <v>#N/A</v>
      </c>
      <c r="Q13" s="1169" t="e">
        <f t="shared" si="9"/>
        <v>#N/A</v>
      </c>
      <c r="R13" s="1169" t="e">
        <f t="shared" si="9"/>
        <v>#N/A</v>
      </c>
      <c r="S13" s="1169" t="e">
        <f t="shared" si="9"/>
        <v>#N/A</v>
      </c>
      <c r="T13" s="1169" t="e">
        <f t="shared" si="9"/>
        <v>#N/A</v>
      </c>
      <c r="U13" s="1169" t="e">
        <f t="shared" si="9"/>
        <v>#N/A</v>
      </c>
      <c r="V13" s="1169" t="e">
        <f t="shared" si="9"/>
        <v>#N/A</v>
      </c>
      <c r="W13" s="1169" t="e">
        <f t="shared" si="9"/>
        <v>#N/A</v>
      </c>
      <c r="X13" s="1169" t="e">
        <f t="shared" si="9"/>
        <v>#N/A</v>
      </c>
      <c r="Y13" s="1169" t="e">
        <f t="shared" si="9"/>
        <v>#N/A</v>
      </c>
      <c r="Z13" s="1169" t="e">
        <f t="shared" si="9"/>
        <v>#N/A</v>
      </c>
      <c r="AM13" s="1170" t="e">
        <f t="shared" ref="AM13:BJ13" si="10">LOOKUP($B$13,$AL16:$AL41,AM16:AM41)</f>
        <v>#N/A</v>
      </c>
      <c r="AN13" s="1170" t="e">
        <f t="shared" si="10"/>
        <v>#N/A</v>
      </c>
      <c r="AO13" s="1170" t="e">
        <f t="shared" si="10"/>
        <v>#N/A</v>
      </c>
      <c r="AP13" s="1170" t="e">
        <f t="shared" si="10"/>
        <v>#N/A</v>
      </c>
      <c r="AQ13" s="1170" t="e">
        <f t="shared" si="10"/>
        <v>#N/A</v>
      </c>
      <c r="AR13" s="1170" t="e">
        <f t="shared" si="10"/>
        <v>#N/A</v>
      </c>
      <c r="AS13" s="1170" t="e">
        <f t="shared" si="10"/>
        <v>#N/A</v>
      </c>
      <c r="AT13" s="1170" t="e">
        <f t="shared" si="10"/>
        <v>#N/A</v>
      </c>
      <c r="AU13" s="1170" t="e">
        <f t="shared" si="10"/>
        <v>#N/A</v>
      </c>
      <c r="AV13" s="1170" t="e">
        <f t="shared" si="10"/>
        <v>#N/A</v>
      </c>
      <c r="AW13" s="1170" t="e">
        <f t="shared" si="10"/>
        <v>#N/A</v>
      </c>
      <c r="AX13" s="1170" t="e">
        <f t="shared" si="10"/>
        <v>#N/A</v>
      </c>
      <c r="AY13" s="1170" t="e">
        <f t="shared" si="10"/>
        <v>#N/A</v>
      </c>
      <c r="AZ13" s="1170" t="e">
        <f t="shared" si="10"/>
        <v>#N/A</v>
      </c>
      <c r="BA13" s="1170" t="e">
        <f t="shared" si="10"/>
        <v>#N/A</v>
      </c>
      <c r="BB13" s="1170" t="e">
        <f t="shared" si="10"/>
        <v>#N/A</v>
      </c>
      <c r="BC13" s="1170" t="e">
        <f t="shared" si="10"/>
        <v>#N/A</v>
      </c>
      <c r="BD13" s="1170" t="e">
        <f t="shared" si="10"/>
        <v>#N/A</v>
      </c>
      <c r="BE13" s="1170" t="e">
        <f t="shared" si="10"/>
        <v>#N/A</v>
      </c>
      <c r="BF13" s="1170" t="e">
        <f t="shared" si="10"/>
        <v>#N/A</v>
      </c>
      <c r="BG13" s="1170" t="e">
        <f t="shared" si="10"/>
        <v>#N/A</v>
      </c>
      <c r="BH13" s="1170" t="e">
        <f t="shared" si="10"/>
        <v>#N/A</v>
      </c>
      <c r="BI13" s="1170" t="e">
        <f t="shared" si="10"/>
        <v>#N/A</v>
      </c>
      <c r="BJ13" s="1170" t="e">
        <f t="shared" si="10"/>
        <v>#N/A</v>
      </c>
      <c r="BX13" s="1170" t="e">
        <f t="shared" ref="BX13:CU13" si="11">LOOKUP($B$13,$BW16:$BW39,BX16:BX39)</f>
        <v>#N/A</v>
      </c>
      <c r="BY13" s="1170" t="e">
        <f t="shared" si="11"/>
        <v>#N/A</v>
      </c>
      <c r="BZ13" s="1170" t="e">
        <f t="shared" si="11"/>
        <v>#N/A</v>
      </c>
      <c r="CA13" s="1170" t="e">
        <f t="shared" si="11"/>
        <v>#N/A</v>
      </c>
      <c r="CB13" s="1170" t="e">
        <f t="shared" si="11"/>
        <v>#N/A</v>
      </c>
      <c r="CC13" s="1170" t="e">
        <f t="shared" si="11"/>
        <v>#N/A</v>
      </c>
      <c r="CD13" s="1170" t="e">
        <f t="shared" si="11"/>
        <v>#N/A</v>
      </c>
      <c r="CE13" s="1170" t="e">
        <f t="shared" si="11"/>
        <v>#N/A</v>
      </c>
      <c r="CF13" s="1170" t="e">
        <f t="shared" si="11"/>
        <v>#N/A</v>
      </c>
      <c r="CG13" s="1170" t="e">
        <f t="shared" si="11"/>
        <v>#N/A</v>
      </c>
      <c r="CH13" s="1170" t="e">
        <f t="shared" si="11"/>
        <v>#N/A</v>
      </c>
      <c r="CI13" s="1170" t="e">
        <f t="shared" si="11"/>
        <v>#N/A</v>
      </c>
      <c r="CJ13" s="1170" t="e">
        <f t="shared" si="11"/>
        <v>#N/A</v>
      </c>
      <c r="CK13" s="1170" t="e">
        <f t="shared" si="11"/>
        <v>#N/A</v>
      </c>
      <c r="CL13" s="1170" t="e">
        <f t="shared" si="11"/>
        <v>#N/A</v>
      </c>
      <c r="CM13" s="1170" t="e">
        <f t="shared" si="11"/>
        <v>#N/A</v>
      </c>
      <c r="CN13" s="1170" t="e">
        <f t="shared" si="11"/>
        <v>#N/A</v>
      </c>
      <c r="CO13" s="1170" t="e">
        <f t="shared" si="11"/>
        <v>#N/A</v>
      </c>
      <c r="CP13" s="1170" t="e">
        <f t="shared" si="11"/>
        <v>#N/A</v>
      </c>
      <c r="CQ13" s="1170" t="e">
        <f t="shared" si="11"/>
        <v>#N/A</v>
      </c>
      <c r="CR13" s="1170" t="e">
        <f t="shared" si="11"/>
        <v>#N/A</v>
      </c>
      <c r="CS13" s="1170" t="e">
        <f t="shared" si="11"/>
        <v>#N/A</v>
      </c>
      <c r="CT13" s="1170" t="e">
        <f t="shared" si="11"/>
        <v>#N/A</v>
      </c>
      <c r="CU13" s="1170" t="e">
        <f t="shared" si="11"/>
        <v>#N/A</v>
      </c>
    </row>
    <row r="14" spans="1:109">
      <c r="A14" s="705" t="s">
        <v>185</v>
      </c>
      <c r="B14" s="705">
        <f>Main!E11</f>
        <v>25</v>
      </c>
      <c r="C14" s="1169">
        <f t="shared" ref="C14:AI14" si="12">LOOKUP($B$14,$B16:$B39,C16:C39)</f>
        <v>18.45</v>
      </c>
      <c r="D14" s="1169">
        <f t="shared" si="12"/>
        <v>19.829999999999998</v>
      </c>
      <c r="E14" s="1169">
        <f t="shared" si="12"/>
        <v>21.31</v>
      </c>
      <c r="F14" s="1169">
        <f t="shared" si="12"/>
        <v>22.91</v>
      </c>
      <c r="G14" s="1169">
        <f t="shared" si="12"/>
        <v>24.63</v>
      </c>
      <c r="H14" s="1169">
        <f t="shared" si="12"/>
        <v>26.48</v>
      </c>
      <c r="I14" s="1169">
        <f t="shared" si="12"/>
        <v>28.47</v>
      </c>
      <c r="J14" s="1169">
        <f t="shared" si="12"/>
        <v>30.61</v>
      </c>
      <c r="K14" s="1169">
        <f t="shared" si="12"/>
        <v>32.92</v>
      </c>
      <c r="L14" s="1169">
        <f t="shared" si="12"/>
        <v>35.42</v>
      </c>
      <c r="M14" s="1169">
        <f t="shared" si="12"/>
        <v>38.1</v>
      </c>
      <c r="N14" s="1169">
        <f t="shared" si="12"/>
        <v>40.98</v>
      </c>
      <c r="O14" s="1169">
        <f t="shared" si="12"/>
        <v>44.09</v>
      </c>
      <c r="P14" s="1169">
        <f t="shared" si="12"/>
        <v>47.43</v>
      </c>
      <c r="Q14" s="1169">
        <f t="shared" si="12"/>
        <v>50.25</v>
      </c>
      <c r="R14" s="1169">
        <f t="shared" si="12"/>
        <v>53.4</v>
      </c>
      <c r="S14" s="1169">
        <f t="shared" si="12"/>
        <v>56.95</v>
      </c>
      <c r="T14" s="1169">
        <f t="shared" si="12"/>
        <v>60.95</v>
      </c>
      <c r="U14" s="1169">
        <f t="shared" si="12"/>
        <v>65.489999999999995</v>
      </c>
      <c r="V14" s="1169">
        <f t="shared" si="12"/>
        <v>71.19</v>
      </c>
      <c r="W14" s="1169">
        <f t="shared" si="12"/>
        <v>77.41</v>
      </c>
      <c r="X14" s="1169">
        <f t="shared" si="12"/>
        <v>84.24</v>
      </c>
      <c r="Y14" s="1169">
        <f t="shared" si="12"/>
        <v>91.74</v>
      </c>
      <c r="Z14" s="1169">
        <f t="shared" si="12"/>
        <v>0</v>
      </c>
      <c r="AA14" s="1169">
        <f t="shared" si="12"/>
        <v>0</v>
      </c>
      <c r="AB14" s="1169">
        <f t="shared" si="12"/>
        <v>0</v>
      </c>
      <c r="AC14" s="1169">
        <f t="shared" si="12"/>
        <v>0</v>
      </c>
      <c r="AD14" s="1169">
        <f t="shared" si="12"/>
        <v>0</v>
      </c>
      <c r="AE14" s="1169">
        <f t="shared" si="12"/>
        <v>0</v>
      </c>
      <c r="AF14" s="1169">
        <f t="shared" si="12"/>
        <v>0</v>
      </c>
      <c r="AG14" s="1169">
        <f t="shared" si="12"/>
        <v>0</v>
      </c>
      <c r="AH14" s="1169">
        <f t="shared" si="12"/>
        <v>0</v>
      </c>
      <c r="AI14" s="1169">
        <f t="shared" si="12"/>
        <v>0</v>
      </c>
      <c r="AM14" s="1170">
        <f t="shared" ref="AM14:BT14" si="13">LOOKUP($B$14,$AL16:$AL41,AM16:AM41)</f>
        <v>0</v>
      </c>
      <c r="AN14" s="1170">
        <f t="shared" si="13"/>
        <v>0.3</v>
      </c>
      <c r="AO14" s="1170">
        <f t="shared" si="13"/>
        <v>0.5</v>
      </c>
      <c r="AP14" s="1170">
        <f t="shared" si="13"/>
        <v>0.5</v>
      </c>
      <c r="AQ14" s="1170">
        <f t="shared" si="13"/>
        <v>0.5</v>
      </c>
      <c r="AR14" s="1170">
        <f t="shared" si="13"/>
        <v>0.5</v>
      </c>
      <c r="AS14" s="1170">
        <f t="shared" si="13"/>
        <v>0.51759999999999995</v>
      </c>
      <c r="AT14" s="1170">
        <f t="shared" si="13"/>
        <v>0.5353</v>
      </c>
      <c r="AU14" s="1170">
        <f t="shared" si="13"/>
        <v>0.55289999999999995</v>
      </c>
      <c r="AV14" s="1170">
        <f t="shared" si="13"/>
        <v>0.5706</v>
      </c>
      <c r="AW14" s="1170">
        <f t="shared" si="13"/>
        <v>0.58819999999999995</v>
      </c>
      <c r="AX14" s="1170">
        <f t="shared" si="13"/>
        <v>0.60589999999999999</v>
      </c>
      <c r="AY14" s="1170">
        <f t="shared" si="13"/>
        <v>0.62350000000000005</v>
      </c>
      <c r="AZ14" s="1170">
        <f t="shared" si="13"/>
        <v>0.64119999999999999</v>
      </c>
      <c r="BA14" s="1170">
        <f t="shared" si="13"/>
        <v>0.65880000000000005</v>
      </c>
      <c r="BB14" s="1170">
        <f t="shared" si="13"/>
        <v>0.67649999999999999</v>
      </c>
      <c r="BC14" s="1170">
        <f t="shared" si="13"/>
        <v>0.69410000000000005</v>
      </c>
      <c r="BD14" s="1170">
        <f t="shared" si="13"/>
        <v>0.71179999999999999</v>
      </c>
      <c r="BE14" s="1170">
        <f t="shared" si="13"/>
        <v>0.72940000000000005</v>
      </c>
      <c r="BF14" s="1170">
        <f t="shared" si="13"/>
        <v>0.74709999999999999</v>
      </c>
      <c r="BG14" s="1170">
        <f t="shared" si="13"/>
        <v>0.76470000000000005</v>
      </c>
      <c r="BH14" s="1170">
        <f t="shared" si="13"/>
        <v>0.78239999999999998</v>
      </c>
      <c r="BI14" s="1170">
        <f t="shared" si="13"/>
        <v>0.8</v>
      </c>
      <c r="BJ14" s="1170">
        <f t="shared" si="13"/>
        <v>0.8</v>
      </c>
      <c r="BK14" s="1170">
        <f t="shared" si="13"/>
        <v>0</v>
      </c>
      <c r="BL14" s="1170">
        <f t="shared" si="13"/>
        <v>0</v>
      </c>
      <c r="BM14" s="1170">
        <f t="shared" si="13"/>
        <v>0</v>
      </c>
      <c r="BN14" s="1170">
        <f t="shared" si="13"/>
        <v>0</v>
      </c>
      <c r="BO14" s="1170">
        <f t="shared" si="13"/>
        <v>0</v>
      </c>
      <c r="BP14" s="1170">
        <f t="shared" si="13"/>
        <v>0</v>
      </c>
      <c r="BQ14" s="1170">
        <f t="shared" si="13"/>
        <v>0</v>
      </c>
      <c r="BR14" s="1170">
        <f t="shared" si="13"/>
        <v>0</v>
      </c>
      <c r="BS14" s="1170">
        <f t="shared" si="13"/>
        <v>0</v>
      </c>
      <c r="BT14" s="1170">
        <f t="shared" si="13"/>
        <v>0</v>
      </c>
      <c r="BX14" s="1170">
        <f t="shared" ref="BX14:DE14" si="14">LOOKUP($B$14,$BW16:$BW39,BX16:BX39)</f>
        <v>0</v>
      </c>
      <c r="BY14" s="1170">
        <f t="shared" si="14"/>
        <v>0.15279999999999999</v>
      </c>
      <c r="BZ14" s="1170">
        <f t="shared" si="14"/>
        <v>0.1542</v>
      </c>
      <c r="CA14" s="1170">
        <f t="shared" si="14"/>
        <v>0.1555</v>
      </c>
      <c r="CB14" s="1170">
        <f t="shared" si="14"/>
        <v>0.15720000000000001</v>
      </c>
      <c r="CC14" s="1170">
        <f t="shared" si="14"/>
        <v>0.1593</v>
      </c>
      <c r="CD14" s="1170">
        <f t="shared" si="14"/>
        <v>0.16220000000000001</v>
      </c>
      <c r="CE14" s="1170">
        <f t="shared" si="14"/>
        <v>0.1658</v>
      </c>
      <c r="CF14" s="1170">
        <f t="shared" si="14"/>
        <v>0.17030000000000001</v>
      </c>
      <c r="CG14" s="1170">
        <f t="shared" si="14"/>
        <v>0.17580000000000001</v>
      </c>
      <c r="CH14" s="1170">
        <f t="shared" si="14"/>
        <v>0.17580000000000001</v>
      </c>
      <c r="CI14" s="1170">
        <f t="shared" si="14"/>
        <v>0.17660000000000001</v>
      </c>
      <c r="CJ14" s="1170">
        <f t="shared" si="14"/>
        <v>0.17849999999999999</v>
      </c>
      <c r="CK14" s="1170">
        <f t="shared" si="14"/>
        <v>0.18160000000000001</v>
      </c>
      <c r="CL14" s="1170">
        <f t="shared" si="14"/>
        <v>0.186</v>
      </c>
      <c r="CM14" s="1170">
        <f t="shared" si="14"/>
        <v>0.1918</v>
      </c>
      <c r="CN14" s="1170">
        <f t="shared" si="14"/>
        <v>0.1993</v>
      </c>
      <c r="CO14" s="1170">
        <f t="shared" si="14"/>
        <v>0.20849999999999999</v>
      </c>
      <c r="CP14" s="1170">
        <f t="shared" si="14"/>
        <v>0.21990000000000001</v>
      </c>
      <c r="CQ14" s="1170">
        <f t="shared" si="14"/>
        <v>0.23380000000000001</v>
      </c>
      <c r="CR14" s="1170">
        <f t="shared" si="14"/>
        <v>0.2505</v>
      </c>
      <c r="CS14" s="1170">
        <f t="shared" si="14"/>
        <v>0.27060000000000001</v>
      </c>
      <c r="CT14" s="1170">
        <f t="shared" si="14"/>
        <v>0.3</v>
      </c>
      <c r="CU14" s="1170">
        <f t="shared" si="14"/>
        <v>0.35</v>
      </c>
      <c r="CV14" s="1170">
        <f t="shared" si="14"/>
        <v>0</v>
      </c>
      <c r="CW14" s="1170">
        <f t="shared" si="14"/>
        <v>0</v>
      </c>
      <c r="CX14" s="1170">
        <f t="shared" si="14"/>
        <v>0</v>
      </c>
      <c r="CY14" s="1170">
        <f t="shared" si="14"/>
        <v>0</v>
      </c>
      <c r="CZ14" s="1170">
        <f t="shared" si="14"/>
        <v>0</v>
      </c>
      <c r="DA14" s="1170">
        <f t="shared" si="14"/>
        <v>0</v>
      </c>
      <c r="DB14" s="1170">
        <f t="shared" si="14"/>
        <v>0</v>
      </c>
      <c r="DC14" s="1170">
        <f t="shared" si="14"/>
        <v>0</v>
      </c>
      <c r="DD14" s="1170">
        <f t="shared" si="14"/>
        <v>0</v>
      </c>
      <c r="DE14" s="1170">
        <f t="shared" si="14"/>
        <v>0</v>
      </c>
    </row>
    <row r="15" spans="1:109">
      <c r="B15" s="843"/>
      <c r="C15" s="843">
        <v>2</v>
      </c>
      <c r="D15" s="843">
        <v>3</v>
      </c>
      <c r="E15" s="843">
        <v>4</v>
      </c>
      <c r="F15" s="843">
        <v>5</v>
      </c>
      <c r="G15" s="843">
        <v>6</v>
      </c>
      <c r="H15" s="843">
        <v>7</v>
      </c>
      <c r="I15" s="843">
        <v>8</v>
      </c>
      <c r="J15" s="843">
        <v>9</v>
      </c>
      <c r="K15" s="843">
        <v>10</v>
      </c>
      <c r="L15" s="843">
        <v>11</v>
      </c>
      <c r="M15" s="843">
        <v>12</v>
      </c>
      <c r="N15" s="843">
        <v>13</v>
      </c>
      <c r="O15" s="843">
        <v>14</v>
      </c>
      <c r="P15" s="843">
        <v>15</v>
      </c>
      <c r="Q15" s="843">
        <v>16</v>
      </c>
      <c r="R15" s="843">
        <v>17</v>
      </c>
      <c r="S15" s="843">
        <v>18</v>
      </c>
      <c r="T15" s="843">
        <v>19</v>
      </c>
      <c r="U15" s="843">
        <v>20</v>
      </c>
      <c r="V15" s="843">
        <v>21</v>
      </c>
      <c r="W15" s="843">
        <v>22</v>
      </c>
      <c r="X15" s="843">
        <v>23</v>
      </c>
      <c r="Y15" s="843">
        <v>24</v>
      </c>
      <c r="Z15" s="843">
        <v>25</v>
      </c>
      <c r="AA15" s="843">
        <v>26</v>
      </c>
      <c r="AB15" s="843">
        <v>27</v>
      </c>
      <c r="AC15" s="843">
        <v>28</v>
      </c>
      <c r="AD15" s="843">
        <v>29</v>
      </c>
      <c r="AE15" s="843">
        <v>30</v>
      </c>
      <c r="AF15" s="843">
        <v>31</v>
      </c>
      <c r="AG15" s="843">
        <v>32</v>
      </c>
      <c r="AH15" s="843">
        <v>33</v>
      </c>
      <c r="AI15" s="843">
        <v>34</v>
      </c>
      <c r="AM15" s="843">
        <v>2</v>
      </c>
      <c r="AN15" s="843">
        <v>3</v>
      </c>
      <c r="AO15" s="843">
        <v>4</v>
      </c>
      <c r="AP15" s="843">
        <v>5</v>
      </c>
      <c r="AQ15" s="843">
        <v>6</v>
      </c>
      <c r="AR15" s="843">
        <v>7</v>
      </c>
      <c r="AS15" s="843">
        <v>8</v>
      </c>
      <c r="AT15" s="843">
        <v>9</v>
      </c>
      <c r="AU15" s="843">
        <v>10</v>
      </c>
      <c r="AV15" s="843">
        <v>11</v>
      </c>
      <c r="AW15" s="843">
        <v>12</v>
      </c>
      <c r="AX15" s="843">
        <v>13</v>
      </c>
      <c r="AY15" s="843">
        <v>14</v>
      </c>
      <c r="AZ15" s="843">
        <v>15</v>
      </c>
      <c r="BA15" s="843">
        <v>16</v>
      </c>
      <c r="BB15" s="843">
        <v>17</v>
      </c>
      <c r="BC15" s="843">
        <v>18</v>
      </c>
      <c r="BD15" s="843">
        <v>19</v>
      </c>
      <c r="BE15" s="843">
        <v>20</v>
      </c>
      <c r="BF15" s="843">
        <v>21</v>
      </c>
      <c r="BG15" s="843">
        <v>22</v>
      </c>
      <c r="BH15" s="843">
        <v>23</v>
      </c>
      <c r="BI15" s="843">
        <v>24</v>
      </c>
      <c r="BJ15" s="843">
        <v>25</v>
      </c>
      <c r="BK15" s="843">
        <v>26</v>
      </c>
      <c r="BL15" s="843">
        <v>27</v>
      </c>
      <c r="BM15" s="843">
        <v>28</v>
      </c>
      <c r="BN15" s="843">
        <v>29</v>
      </c>
      <c r="BO15" s="843">
        <v>30</v>
      </c>
      <c r="BP15" s="843">
        <v>31</v>
      </c>
      <c r="BQ15" s="843">
        <v>32</v>
      </c>
      <c r="BR15" s="843">
        <v>33</v>
      </c>
      <c r="BS15" s="843">
        <v>34</v>
      </c>
      <c r="BT15" s="843">
        <v>35</v>
      </c>
      <c r="BX15" s="843">
        <v>2</v>
      </c>
      <c r="BY15" s="843">
        <v>3</v>
      </c>
      <c r="BZ15" s="843">
        <v>4</v>
      </c>
      <c r="CA15" s="843">
        <v>5</v>
      </c>
      <c r="CB15" s="843">
        <v>6</v>
      </c>
      <c r="CC15" s="843">
        <v>7</v>
      </c>
      <c r="CD15" s="843">
        <v>8</v>
      </c>
      <c r="CE15" s="843">
        <v>9</v>
      </c>
      <c r="CF15" s="843">
        <v>10</v>
      </c>
      <c r="CG15" s="843">
        <v>11</v>
      </c>
      <c r="CH15" s="843">
        <v>12</v>
      </c>
      <c r="CI15" s="843">
        <v>13</v>
      </c>
      <c r="CJ15" s="843">
        <v>14</v>
      </c>
      <c r="CK15" s="843">
        <v>15</v>
      </c>
      <c r="CL15" s="843">
        <v>16</v>
      </c>
      <c r="CM15" s="843">
        <v>17</v>
      </c>
      <c r="CN15" s="843">
        <v>18</v>
      </c>
      <c r="CO15" s="843">
        <v>19</v>
      </c>
      <c r="CP15" s="843">
        <v>20</v>
      </c>
      <c r="CQ15" s="843">
        <v>21</v>
      </c>
      <c r="CR15" s="843">
        <v>22</v>
      </c>
      <c r="CS15" s="843">
        <v>23</v>
      </c>
      <c r="CT15" s="843">
        <v>24</v>
      </c>
      <c r="CU15" s="843">
        <v>25</v>
      </c>
      <c r="CV15" s="843">
        <v>26</v>
      </c>
      <c r="CW15" s="843">
        <v>27</v>
      </c>
      <c r="CX15" s="843">
        <v>28</v>
      </c>
      <c r="CY15" s="843">
        <v>29</v>
      </c>
      <c r="CZ15" s="843">
        <v>30</v>
      </c>
      <c r="DA15" s="843">
        <v>31</v>
      </c>
      <c r="DB15" s="843">
        <v>32</v>
      </c>
      <c r="DC15" s="843">
        <v>33</v>
      </c>
      <c r="DD15" s="843">
        <v>34</v>
      </c>
      <c r="DE15" s="843">
        <v>35</v>
      </c>
    </row>
    <row r="16" spans="1:109">
      <c r="B16" s="843">
        <v>12</v>
      </c>
      <c r="C16" s="844">
        <v>43.83</v>
      </c>
      <c r="D16" s="844">
        <v>46.53</v>
      </c>
      <c r="E16" s="844">
        <v>49.57</v>
      </c>
      <c r="F16" s="844">
        <v>52.98</v>
      </c>
      <c r="G16" s="844">
        <v>56.84</v>
      </c>
      <c r="H16" s="844">
        <v>61.21</v>
      </c>
      <c r="I16" s="844">
        <v>66.67</v>
      </c>
      <c r="J16" s="844">
        <v>72.63</v>
      </c>
      <c r="K16" s="844">
        <v>79.13</v>
      </c>
      <c r="L16" s="844">
        <v>86.24</v>
      </c>
      <c r="M16" s="844"/>
      <c r="N16" s="844"/>
      <c r="O16" s="844"/>
      <c r="P16" s="844"/>
      <c r="Q16" s="844"/>
      <c r="R16" s="844"/>
      <c r="S16" s="844"/>
      <c r="T16" s="844"/>
      <c r="U16" s="844"/>
      <c r="V16" s="844"/>
      <c r="W16" s="844"/>
      <c r="X16" s="844"/>
      <c r="Y16" s="844"/>
      <c r="Z16" s="844"/>
      <c r="AA16" s="844"/>
      <c r="AB16" s="844"/>
      <c r="AC16" s="844"/>
      <c r="AD16" s="844"/>
      <c r="AE16" s="844"/>
      <c r="AF16" s="844"/>
      <c r="AG16" s="844"/>
      <c r="AH16" s="844"/>
      <c r="AI16" s="844"/>
      <c r="AL16" s="705">
        <v>10</v>
      </c>
      <c r="AM16" s="1171">
        <v>0</v>
      </c>
      <c r="AN16" s="1171">
        <v>0.3</v>
      </c>
      <c r="AO16" s="1171">
        <v>0.5</v>
      </c>
      <c r="AP16" s="1171">
        <v>0.5</v>
      </c>
      <c r="AQ16" s="1171">
        <v>0.5</v>
      </c>
      <c r="AR16" s="1171">
        <v>0.5</v>
      </c>
      <c r="AS16" s="1171">
        <v>0.65</v>
      </c>
      <c r="AT16" s="1171">
        <v>0.8</v>
      </c>
      <c r="AU16" s="1171">
        <v>0.8</v>
      </c>
      <c r="AV16" s="1171"/>
      <c r="BW16" s="843">
        <v>12</v>
      </c>
      <c r="BX16" s="845">
        <v>0</v>
      </c>
      <c r="BY16" s="845">
        <v>0.186</v>
      </c>
      <c r="BZ16" s="845">
        <v>0.1918</v>
      </c>
      <c r="CA16" s="845">
        <v>0.1993</v>
      </c>
      <c r="CB16" s="845">
        <v>0.20849999999999999</v>
      </c>
      <c r="CC16" s="845">
        <v>0.21990000000000001</v>
      </c>
      <c r="CD16" s="845">
        <v>0.23380000000000001</v>
      </c>
      <c r="CE16" s="845">
        <v>0.2505</v>
      </c>
      <c r="CF16" s="845">
        <v>0.27060000000000001</v>
      </c>
      <c r="CG16" s="845">
        <v>0.3</v>
      </c>
      <c r="CH16" s="845">
        <v>0.35</v>
      </c>
      <c r="CI16" s="845"/>
      <c r="CJ16" s="845"/>
      <c r="CK16" s="845"/>
      <c r="CL16" s="845"/>
      <c r="CM16" s="845"/>
      <c r="CN16" s="845"/>
      <c r="CO16" s="845"/>
      <c r="CP16" s="845"/>
      <c r="CQ16" s="845"/>
      <c r="CR16" s="845"/>
      <c r="CS16" s="845"/>
      <c r="CT16" s="845"/>
      <c r="CU16" s="845"/>
      <c r="CV16" s="845"/>
      <c r="CW16" s="845"/>
      <c r="CX16" s="845"/>
      <c r="CY16" s="845"/>
      <c r="CZ16" s="845"/>
      <c r="DA16" s="845"/>
      <c r="DB16" s="845"/>
      <c r="DC16" s="845"/>
      <c r="DD16" s="845"/>
      <c r="DE16" s="845"/>
    </row>
    <row r="17" spans="2:109">
      <c r="B17" s="843">
        <v>13</v>
      </c>
      <c r="C17" s="844">
        <v>41.52</v>
      </c>
      <c r="D17" s="844">
        <v>44.78</v>
      </c>
      <c r="E17" s="844">
        <v>47.54</v>
      </c>
      <c r="F17" s="844">
        <v>50.64</v>
      </c>
      <c r="G17" s="844">
        <v>54.12</v>
      </c>
      <c r="H17" s="844">
        <v>58.06</v>
      </c>
      <c r="I17" s="844">
        <v>62.52</v>
      </c>
      <c r="J17" s="844">
        <v>68.09</v>
      </c>
      <c r="K17" s="844">
        <v>74.180000000000007</v>
      </c>
      <c r="L17" s="844">
        <v>80.819999999999993</v>
      </c>
      <c r="M17" s="844">
        <v>88.07</v>
      </c>
      <c r="N17" s="844"/>
      <c r="O17" s="844"/>
      <c r="P17" s="844"/>
      <c r="Q17" s="844"/>
      <c r="R17" s="844"/>
      <c r="S17" s="844"/>
      <c r="T17" s="844"/>
      <c r="U17" s="844"/>
      <c r="V17" s="844"/>
      <c r="W17" s="844"/>
      <c r="X17" s="844"/>
      <c r="Y17" s="844"/>
      <c r="Z17" s="844"/>
      <c r="AA17" s="844"/>
      <c r="AB17" s="844"/>
      <c r="AC17" s="844"/>
      <c r="AD17" s="844"/>
      <c r="AE17" s="844"/>
      <c r="AF17" s="844"/>
      <c r="AG17" s="844"/>
      <c r="AH17" s="844"/>
      <c r="AI17" s="844"/>
      <c r="AL17" s="843">
        <v>11</v>
      </c>
      <c r="AM17" s="1171">
        <v>0</v>
      </c>
      <c r="AN17" s="1171">
        <v>0.3</v>
      </c>
      <c r="AO17" s="1171">
        <v>0.5</v>
      </c>
      <c r="AP17" s="1171">
        <v>0.5</v>
      </c>
      <c r="AQ17" s="1171">
        <v>0.5</v>
      </c>
      <c r="AR17" s="1171">
        <v>0.5</v>
      </c>
      <c r="AS17" s="1171">
        <v>0.6</v>
      </c>
      <c r="AT17" s="1171">
        <v>0.7</v>
      </c>
      <c r="AU17" s="1171">
        <v>0.8</v>
      </c>
      <c r="AV17" s="1171">
        <v>0.8</v>
      </c>
      <c r="AW17" s="843"/>
      <c r="AX17" s="843"/>
      <c r="AY17" s="843"/>
      <c r="AZ17" s="843"/>
      <c r="BA17" s="843"/>
      <c r="BB17" s="843"/>
      <c r="BC17" s="843"/>
      <c r="BD17" s="843"/>
      <c r="BE17" s="843"/>
      <c r="BF17" s="843"/>
      <c r="BG17" s="843"/>
      <c r="BH17" s="843"/>
      <c r="BI17" s="843"/>
      <c r="BJ17" s="843"/>
      <c r="BK17" s="843"/>
      <c r="BL17" s="843"/>
      <c r="BM17" s="843"/>
      <c r="BN17" s="843"/>
      <c r="BO17" s="843"/>
      <c r="BP17" s="843"/>
      <c r="BQ17" s="843"/>
      <c r="BR17" s="843"/>
      <c r="BS17" s="843"/>
      <c r="BT17" s="843"/>
      <c r="BW17" s="843">
        <v>13</v>
      </c>
      <c r="BX17" s="845">
        <v>0</v>
      </c>
      <c r="BY17" s="845">
        <v>0.18160000000000001</v>
      </c>
      <c r="BZ17" s="845">
        <v>0.186</v>
      </c>
      <c r="CA17" s="845">
        <v>0.1918</v>
      </c>
      <c r="CB17" s="845">
        <v>0.1993</v>
      </c>
      <c r="CC17" s="845">
        <v>0.20849999999999999</v>
      </c>
      <c r="CD17" s="845">
        <v>0.21990000000000001</v>
      </c>
      <c r="CE17" s="845">
        <v>0.23380000000000001</v>
      </c>
      <c r="CF17" s="845">
        <v>0.2505</v>
      </c>
      <c r="CG17" s="845">
        <v>0.27060000000000001</v>
      </c>
      <c r="CH17" s="845">
        <v>0.3</v>
      </c>
      <c r="CI17" s="845">
        <v>0.35</v>
      </c>
      <c r="CJ17" s="845"/>
      <c r="CK17" s="845"/>
      <c r="CL17" s="845"/>
      <c r="CM17" s="845"/>
      <c r="CN17" s="845"/>
      <c r="CO17" s="845"/>
      <c r="CP17" s="845"/>
      <c r="CQ17" s="845"/>
      <c r="CR17" s="845"/>
      <c r="CS17" s="845"/>
      <c r="CT17" s="845"/>
      <c r="CU17" s="845"/>
      <c r="CV17" s="845"/>
      <c r="CW17" s="845"/>
      <c r="CX17" s="845"/>
      <c r="CY17" s="845"/>
      <c r="CZ17" s="845"/>
      <c r="DA17" s="845"/>
      <c r="DB17" s="845"/>
      <c r="DC17" s="845"/>
      <c r="DD17" s="845"/>
      <c r="DE17" s="845"/>
    </row>
    <row r="18" spans="2:109">
      <c r="B18" s="843">
        <v>14</v>
      </c>
      <c r="C18" s="844">
        <v>39.340000000000003</v>
      </c>
      <c r="D18" s="844">
        <v>42.42</v>
      </c>
      <c r="E18" s="844">
        <v>45.74</v>
      </c>
      <c r="F18" s="844">
        <v>48.56</v>
      </c>
      <c r="G18" s="844">
        <v>51.72</v>
      </c>
      <c r="H18" s="844">
        <v>55.27</v>
      </c>
      <c r="I18" s="844">
        <v>59.29</v>
      </c>
      <c r="J18" s="844">
        <v>63.83</v>
      </c>
      <c r="K18" s="844">
        <v>69.52</v>
      </c>
      <c r="L18" s="844">
        <v>75.73</v>
      </c>
      <c r="M18" s="844">
        <v>82.5</v>
      </c>
      <c r="N18" s="844">
        <v>89.91</v>
      </c>
      <c r="O18" s="844"/>
      <c r="P18" s="844"/>
      <c r="Q18" s="844"/>
      <c r="R18" s="844"/>
      <c r="S18" s="844"/>
      <c r="T18" s="844"/>
      <c r="U18" s="844"/>
      <c r="V18" s="844"/>
      <c r="W18" s="844"/>
      <c r="X18" s="844"/>
      <c r="Y18" s="844"/>
      <c r="Z18" s="844"/>
      <c r="AA18" s="844"/>
      <c r="AB18" s="844"/>
      <c r="AC18" s="844"/>
      <c r="AD18" s="844"/>
      <c r="AE18" s="844"/>
      <c r="AF18" s="844"/>
      <c r="AG18" s="844"/>
      <c r="AH18" s="844"/>
      <c r="AI18" s="844"/>
      <c r="AL18" s="843">
        <v>12</v>
      </c>
      <c r="AM18" s="845">
        <v>0</v>
      </c>
      <c r="AN18" s="845">
        <v>0.3</v>
      </c>
      <c r="AO18" s="845">
        <v>0.5</v>
      </c>
      <c r="AP18" s="845">
        <v>0.5</v>
      </c>
      <c r="AQ18" s="845">
        <v>0.5</v>
      </c>
      <c r="AR18" s="845">
        <v>0.5</v>
      </c>
      <c r="AS18" s="845">
        <v>0.57499999999999996</v>
      </c>
      <c r="AT18" s="845">
        <v>0.65</v>
      </c>
      <c r="AU18" s="845">
        <v>0.72499999999999998</v>
      </c>
      <c r="AV18" s="845">
        <v>0.8</v>
      </c>
      <c r="AW18" s="845">
        <v>0.8</v>
      </c>
      <c r="AX18" s="843"/>
      <c r="AY18" s="843"/>
      <c r="AZ18" s="843"/>
      <c r="BA18" s="843"/>
      <c r="BB18" s="843"/>
      <c r="BC18" s="843"/>
      <c r="BD18" s="843"/>
      <c r="BE18" s="843"/>
      <c r="BF18" s="843"/>
      <c r="BG18" s="843"/>
      <c r="BH18" s="843"/>
      <c r="BI18" s="843"/>
      <c r="BJ18" s="843"/>
      <c r="BK18" s="843"/>
      <c r="BL18" s="843"/>
      <c r="BM18" s="843"/>
      <c r="BN18" s="843"/>
      <c r="BO18" s="843"/>
      <c r="BP18" s="843"/>
      <c r="BQ18" s="843"/>
      <c r="BR18" s="843"/>
      <c r="BS18" s="843"/>
      <c r="BT18" s="843"/>
      <c r="BW18" s="843">
        <v>14</v>
      </c>
      <c r="BX18" s="845">
        <v>0</v>
      </c>
      <c r="BY18" s="845">
        <v>0.17849999999999999</v>
      </c>
      <c r="BZ18" s="845">
        <v>0.18160000000000001</v>
      </c>
      <c r="CA18" s="845">
        <v>0.186</v>
      </c>
      <c r="CB18" s="845">
        <v>0.1918</v>
      </c>
      <c r="CC18" s="845">
        <v>0.1993</v>
      </c>
      <c r="CD18" s="845">
        <v>0.20849999999999999</v>
      </c>
      <c r="CE18" s="845">
        <v>0.21990000000000001</v>
      </c>
      <c r="CF18" s="845">
        <v>0.23380000000000001</v>
      </c>
      <c r="CG18" s="845">
        <v>0.2505</v>
      </c>
      <c r="CH18" s="845">
        <v>0.27060000000000001</v>
      </c>
      <c r="CI18" s="845">
        <v>0.3</v>
      </c>
      <c r="CJ18" s="845">
        <v>0.35</v>
      </c>
      <c r="CK18" s="845"/>
      <c r="CL18" s="845"/>
      <c r="CM18" s="845"/>
      <c r="CN18" s="845"/>
      <c r="CO18" s="845"/>
      <c r="CP18" s="845"/>
      <c r="CQ18" s="845"/>
      <c r="CR18" s="845"/>
      <c r="CS18" s="845"/>
      <c r="CT18" s="845"/>
      <c r="CU18" s="845"/>
      <c r="CV18" s="845"/>
      <c r="CW18" s="845"/>
      <c r="CX18" s="845"/>
      <c r="CY18" s="845"/>
      <c r="CZ18" s="845"/>
      <c r="DA18" s="845"/>
      <c r="DB18" s="845"/>
      <c r="DC18" s="845"/>
      <c r="DD18" s="845"/>
      <c r="DE18" s="845"/>
    </row>
    <row r="19" spans="2:109">
      <c r="B19" s="843">
        <v>15</v>
      </c>
      <c r="C19" s="844">
        <v>37.270000000000003</v>
      </c>
      <c r="D19" s="844">
        <v>40.18</v>
      </c>
      <c r="E19" s="844">
        <v>43.32</v>
      </c>
      <c r="F19" s="844">
        <v>46.71</v>
      </c>
      <c r="G19" s="844">
        <v>49.58</v>
      </c>
      <c r="H19" s="844">
        <v>52.79</v>
      </c>
      <c r="I19" s="844">
        <v>56.42</v>
      </c>
      <c r="J19" s="844">
        <v>60.51</v>
      </c>
      <c r="K19" s="844">
        <v>65.150000000000006</v>
      </c>
      <c r="L19" s="844">
        <v>70.95</v>
      </c>
      <c r="M19" s="844">
        <v>77.28</v>
      </c>
      <c r="N19" s="844">
        <v>84.19</v>
      </c>
      <c r="O19" s="844">
        <v>91.74</v>
      </c>
      <c r="P19" s="844"/>
      <c r="Q19" s="844"/>
      <c r="R19" s="844"/>
      <c r="S19" s="844"/>
      <c r="T19" s="844"/>
      <c r="U19" s="844"/>
      <c r="V19" s="844"/>
      <c r="W19" s="844"/>
      <c r="X19" s="844"/>
      <c r="Y19" s="844"/>
      <c r="Z19" s="844"/>
      <c r="AA19" s="844"/>
      <c r="AB19" s="844"/>
      <c r="AC19" s="844"/>
      <c r="AD19" s="844"/>
      <c r="AE19" s="844"/>
      <c r="AF19" s="844"/>
      <c r="AG19" s="844"/>
      <c r="AH19" s="844"/>
      <c r="AI19" s="844"/>
      <c r="AL19" s="843">
        <v>13</v>
      </c>
      <c r="AM19" s="845">
        <v>0</v>
      </c>
      <c r="AN19" s="845">
        <v>0.3</v>
      </c>
      <c r="AO19" s="845">
        <v>0.5</v>
      </c>
      <c r="AP19" s="845">
        <v>0.5</v>
      </c>
      <c r="AQ19" s="845">
        <v>0.5</v>
      </c>
      <c r="AR19" s="845">
        <v>0.5</v>
      </c>
      <c r="AS19" s="845">
        <v>0.56000000000000005</v>
      </c>
      <c r="AT19" s="845">
        <v>0.62</v>
      </c>
      <c r="AU19" s="845">
        <v>0.68</v>
      </c>
      <c r="AV19" s="845">
        <v>0.74</v>
      </c>
      <c r="AW19" s="845">
        <v>0.8</v>
      </c>
      <c r="AX19" s="845">
        <v>0.8</v>
      </c>
      <c r="AY19" s="843"/>
      <c r="AZ19" s="843"/>
      <c r="BA19" s="843"/>
      <c r="BB19" s="843"/>
      <c r="BC19" s="843"/>
      <c r="BD19" s="843"/>
      <c r="BE19" s="843"/>
      <c r="BF19" s="843"/>
      <c r="BG19" s="843"/>
      <c r="BH19" s="843"/>
      <c r="BI19" s="843"/>
      <c r="BJ19" s="843"/>
      <c r="BK19" s="843"/>
      <c r="BL19" s="843"/>
      <c r="BM19" s="843"/>
      <c r="BN19" s="843"/>
      <c r="BO19" s="843"/>
      <c r="BP19" s="843"/>
      <c r="BQ19" s="843"/>
      <c r="BR19" s="843"/>
      <c r="BS19" s="843"/>
      <c r="BT19" s="843"/>
      <c r="BW19" s="843">
        <v>15</v>
      </c>
      <c r="BX19" s="845">
        <v>0</v>
      </c>
      <c r="BY19" s="845">
        <v>0.17660000000000001</v>
      </c>
      <c r="BZ19" s="845">
        <v>0.17849999999999999</v>
      </c>
      <c r="CA19" s="845">
        <v>0.18160000000000001</v>
      </c>
      <c r="CB19" s="845">
        <v>0.186</v>
      </c>
      <c r="CC19" s="845">
        <v>0.1918</v>
      </c>
      <c r="CD19" s="845">
        <v>0.1993</v>
      </c>
      <c r="CE19" s="845">
        <v>0.20849999999999999</v>
      </c>
      <c r="CF19" s="845">
        <v>0.21990000000000001</v>
      </c>
      <c r="CG19" s="845">
        <v>0.23380000000000001</v>
      </c>
      <c r="CH19" s="845">
        <v>0.2505</v>
      </c>
      <c r="CI19" s="845">
        <v>0.27060000000000001</v>
      </c>
      <c r="CJ19" s="845">
        <v>0.3</v>
      </c>
      <c r="CK19" s="845">
        <v>0.35</v>
      </c>
      <c r="CL19" s="845"/>
      <c r="CM19" s="845"/>
      <c r="CN19" s="845"/>
      <c r="CO19" s="845"/>
      <c r="CP19" s="845"/>
      <c r="CQ19" s="845"/>
      <c r="CR19" s="845"/>
      <c r="CS19" s="845"/>
      <c r="CT19" s="845"/>
      <c r="CU19" s="845"/>
      <c r="CV19" s="845"/>
      <c r="CW19" s="845"/>
      <c r="CX19" s="845"/>
      <c r="CY19" s="845"/>
      <c r="CZ19" s="845"/>
      <c r="DA19" s="845"/>
      <c r="DB19" s="845"/>
      <c r="DC19" s="845"/>
      <c r="DD19" s="845"/>
      <c r="DE19" s="845"/>
    </row>
    <row r="20" spans="2:109">
      <c r="B20" s="843">
        <v>16</v>
      </c>
      <c r="C20" s="844">
        <v>34.619999999999997</v>
      </c>
      <c r="D20" s="844">
        <v>37.31</v>
      </c>
      <c r="E20" s="844">
        <v>40.22</v>
      </c>
      <c r="F20" s="844">
        <v>43.35</v>
      </c>
      <c r="G20" s="844">
        <v>46.74</v>
      </c>
      <c r="H20" s="844">
        <v>49.61</v>
      </c>
      <c r="I20" s="844">
        <v>52.82</v>
      </c>
      <c r="J20" s="844">
        <v>56.44</v>
      </c>
      <c r="K20" s="844">
        <v>60.53</v>
      </c>
      <c r="L20" s="844">
        <v>65.17</v>
      </c>
      <c r="M20" s="844">
        <v>70.959999999999994</v>
      </c>
      <c r="N20" s="844">
        <v>77.290000000000006</v>
      </c>
      <c r="O20" s="844">
        <v>84.19</v>
      </c>
      <c r="P20" s="844">
        <v>91.74</v>
      </c>
      <c r="Q20" s="844"/>
      <c r="R20" s="844"/>
      <c r="S20" s="844"/>
      <c r="T20" s="844"/>
      <c r="U20" s="844"/>
      <c r="V20" s="844"/>
      <c r="W20" s="844"/>
      <c r="X20" s="844"/>
      <c r="Y20" s="844"/>
      <c r="Z20" s="844"/>
      <c r="AA20" s="844"/>
      <c r="AB20" s="844"/>
      <c r="AC20" s="844"/>
      <c r="AD20" s="844"/>
      <c r="AE20" s="844"/>
      <c r="AF20" s="844"/>
      <c r="AG20" s="844"/>
      <c r="AH20" s="844"/>
      <c r="AI20" s="844"/>
      <c r="AL20" s="843">
        <v>14</v>
      </c>
      <c r="AM20" s="845">
        <v>0</v>
      </c>
      <c r="AN20" s="845">
        <v>0.3</v>
      </c>
      <c r="AO20" s="845">
        <v>0.5</v>
      </c>
      <c r="AP20" s="845">
        <v>0.5</v>
      </c>
      <c r="AQ20" s="845">
        <v>0.5</v>
      </c>
      <c r="AR20" s="845">
        <v>0.5</v>
      </c>
      <c r="AS20" s="845">
        <v>0.55000000000000004</v>
      </c>
      <c r="AT20" s="845">
        <v>0.6</v>
      </c>
      <c r="AU20" s="845">
        <v>0.65</v>
      </c>
      <c r="AV20" s="845">
        <v>0.7</v>
      </c>
      <c r="AW20" s="845">
        <v>0.75</v>
      </c>
      <c r="AX20" s="845">
        <v>0.8</v>
      </c>
      <c r="AY20" s="845">
        <v>0.8</v>
      </c>
      <c r="AZ20" s="843"/>
      <c r="BA20" s="843"/>
      <c r="BB20" s="843"/>
      <c r="BC20" s="843"/>
      <c r="BD20" s="843"/>
      <c r="BE20" s="843"/>
      <c r="BF20" s="843"/>
      <c r="BG20" s="843"/>
      <c r="BH20" s="843"/>
      <c r="BI20" s="843"/>
      <c r="BJ20" s="843"/>
      <c r="BK20" s="843"/>
      <c r="BL20" s="843"/>
      <c r="BM20" s="843"/>
      <c r="BN20" s="843"/>
      <c r="BO20" s="843"/>
      <c r="BP20" s="843"/>
      <c r="BQ20" s="843"/>
      <c r="BR20" s="843"/>
      <c r="BS20" s="843"/>
      <c r="BT20" s="843"/>
      <c r="BW20" s="843">
        <v>16</v>
      </c>
      <c r="BX20" s="845">
        <v>0</v>
      </c>
      <c r="BY20" s="845">
        <v>0.17580000000000001</v>
      </c>
      <c r="BZ20" s="845">
        <v>0.17660000000000001</v>
      </c>
      <c r="CA20" s="845">
        <v>0.17849999999999999</v>
      </c>
      <c r="CB20" s="845">
        <v>0.18160000000000001</v>
      </c>
      <c r="CC20" s="845">
        <v>0.186</v>
      </c>
      <c r="CD20" s="845">
        <v>0.1918</v>
      </c>
      <c r="CE20" s="845">
        <v>0.1993</v>
      </c>
      <c r="CF20" s="845">
        <v>0.20849999999999999</v>
      </c>
      <c r="CG20" s="845">
        <v>0.21990000000000001</v>
      </c>
      <c r="CH20" s="845">
        <v>0.23380000000000001</v>
      </c>
      <c r="CI20" s="845">
        <v>0.2505</v>
      </c>
      <c r="CJ20" s="845">
        <v>0.27060000000000001</v>
      </c>
      <c r="CK20" s="845">
        <v>0.3</v>
      </c>
      <c r="CL20" s="845">
        <v>0.35</v>
      </c>
      <c r="CM20" s="845"/>
      <c r="CN20" s="845"/>
      <c r="CO20" s="845"/>
      <c r="CP20" s="845"/>
      <c r="CQ20" s="845"/>
      <c r="CR20" s="845"/>
      <c r="CS20" s="845"/>
      <c r="CT20" s="845"/>
      <c r="CU20" s="845"/>
      <c r="CV20" s="845"/>
      <c r="CW20" s="845"/>
      <c r="CX20" s="845"/>
      <c r="CY20" s="845"/>
      <c r="CZ20" s="845"/>
      <c r="DA20" s="845"/>
      <c r="DB20" s="845"/>
      <c r="DC20" s="845"/>
      <c r="DD20" s="845"/>
      <c r="DE20" s="845"/>
    </row>
    <row r="21" spans="2:109">
      <c r="B21" s="843">
        <v>17</v>
      </c>
      <c r="C21" s="844">
        <v>32.17</v>
      </c>
      <c r="D21" s="844">
        <v>34.659999999999997</v>
      </c>
      <c r="E21" s="844">
        <v>37.36</v>
      </c>
      <c r="F21" s="844">
        <v>40.26</v>
      </c>
      <c r="G21" s="844">
        <v>43.4</v>
      </c>
      <c r="H21" s="844">
        <v>46.78</v>
      </c>
      <c r="I21" s="844">
        <v>49.64</v>
      </c>
      <c r="J21" s="844">
        <v>52.86</v>
      </c>
      <c r="K21" s="844">
        <v>56.47</v>
      </c>
      <c r="L21" s="844">
        <v>60.56</v>
      </c>
      <c r="M21" s="844">
        <v>65.19</v>
      </c>
      <c r="N21" s="844">
        <v>70.98</v>
      </c>
      <c r="O21" s="844">
        <v>77.3</v>
      </c>
      <c r="P21" s="844">
        <v>84.2</v>
      </c>
      <c r="Q21" s="844">
        <v>91.74</v>
      </c>
      <c r="R21" s="844"/>
      <c r="S21" s="844"/>
      <c r="T21" s="844"/>
      <c r="U21" s="844"/>
      <c r="V21" s="844"/>
      <c r="W21" s="844"/>
      <c r="X21" s="844"/>
      <c r="Y21" s="844"/>
      <c r="Z21" s="844"/>
      <c r="AA21" s="844"/>
      <c r="AB21" s="844"/>
      <c r="AC21" s="844"/>
      <c r="AD21" s="844"/>
      <c r="AE21" s="844"/>
      <c r="AF21" s="844"/>
      <c r="AG21" s="844"/>
      <c r="AH21" s="844"/>
      <c r="AI21" s="844"/>
      <c r="AL21" s="843">
        <v>15</v>
      </c>
      <c r="AM21" s="845">
        <v>0</v>
      </c>
      <c r="AN21" s="845">
        <v>0.3</v>
      </c>
      <c r="AO21" s="845">
        <v>0.5</v>
      </c>
      <c r="AP21" s="845">
        <v>0.5</v>
      </c>
      <c r="AQ21" s="845">
        <v>0.5</v>
      </c>
      <c r="AR21" s="845">
        <v>0.5</v>
      </c>
      <c r="AS21" s="845">
        <v>0.54290000000000005</v>
      </c>
      <c r="AT21" s="845">
        <v>0.5857</v>
      </c>
      <c r="AU21" s="845">
        <v>0.62860000000000005</v>
      </c>
      <c r="AV21" s="845">
        <v>0.6714</v>
      </c>
      <c r="AW21" s="845">
        <v>0.71430000000000005</v>
      </c>
      <c r="AX21" s="845">
        <v>0.7571</v>
      </c>
      <c r="AY21" s="845">
        <v>0.8</v>
      </c>
      <c r="AZ21" s="845">
        <v>0.8</v>
      </c>
      <c r="BA21" s="843"/>
      <c r="BB21" s="843"/>
      <c r="BC21" s="843"/>
      <c r="BD21" s="843"/>
      <c r="BE21" s="843"/>
      <c r="BF21" s="843"/>
      <c r="BG21" s="843"/>
      <c r="BH21" s="843"/>
      <c r="BI21" s="843"/>
      <c r="BJ21" s="843"/>
      <c r="BK21" s="843"/>
      <c r="BL21" s="843"/>
      <c r="BM21" s="843"/>
      <c r="BN21" s="843"/>
      <c r="BO21" s="843"/>
      <c r="BP21" s="843"/>
      <c r="BQ21" s="843"/>
      <c r="BR21" s="843"/>
      <c r="BS21" s="843"/>
      <c r="BT21" s="843"/>
      <c r="BW21" s="843">
        <v>17</v>
      </c>
      <c r="BX21" s="845">
        <v>0</v>
      </c>
      <c r="BY21" s="845">
        <v>0.17580000000000001</v>
      </c>
      <c r="BZ21" s="845">
        <v>0.17580000000000001</v>
      </c>
      <c r="CA21" s="845">
        <v>0.17660000000000001</v>
      </c>
      <c r="CB21" s="845">
        <v>0.17849999999999999</v>
      </c>
      <c r="CC21" s="845">
        <v>0.18160000000000001</v>
      </c>
      <c r="CD21" s="845">
        <v>0.186</v>
      </c>
      <c r="CE21" s="845">
        <v>0.1918</v>
      </c>
      <c r="CF21" s="845">
        <v>0.1993</v>
      </c>
      <c r="CG21" s="845">
        <v>0.20849999999999999</v>
      </c>
      <c r="CH21" s="845">
        <v>0.21990000000000001</v>
      </c>
      <c r="CI21" s="845">
        <v>0.23380000000000001</v>
      </c>
      <c r="CJ21" s="845">
        <v>0.2505</v>
      </c>
      <c r="CK21" s="845">
        <v>0.27060000000000001</v>
      </c>
      <c r="CL21" s="845">
        <v>0.3</v>
      </c>
      <c r="CM21" s="845">
        <v>0.35</v>
      </c>
      <c r="CN21" s="845"/>
      <c r="CO21" s="845"/>
      <c r="CP21" s="845"/>
      <c r="CQ21" s="845"/>
      <c r="CR21" s="845"/>
      <c r="CS21" s="845"/>
      <c r="CT21" s="845"/>
      <c r="CU21" s="845"/>
      <c r="CV21" s="845"/>
      <c r="CW21" s="845"/>
      <c r="CX21" s="845"/>
      <c r="CY21" s="845"/>
      <c r="CZ21" s="845"/>
      <c r="DA21" s="845"/>
      <c r="DB21" s="845"/>
      <c r="DC21" s="845"/>
      <c r="DD21" s="845"/>
      <c r="DE21" s="845"/>
    </row>
    <row r="22" spans="2:109">
      <c r="B22" s="843">
        <v>18</v>
      </c>
      <c r="C22" s="844">
        <v>29.92</v>
      </c>
      <c r="D22" s="844">
        <v>32.229999999999997</v>
      </c>
      <c r="E22" s="844">
        <v>34.72</v>
      </c>
      <c r="F22" s="844">
        <v>37.409999999999997</v>
      </c>
      <c r="G22" s="844">
        <v>40.31</v>
      </c>
      <c r="H22" s="844">
        <v>43.45</v>
      </c>
      <c r="I22" s="844">
        <v>46.83</v>
      </c>
      <c r="J22" s="844">
        <v>49.69</v>
      </c>
      <c r="K22" s="844">
        <v>52.9</v>
      </c>
      <c r="L22" s="844">
        <v>56.51</v>
      </c>
      <c r="M22" s="844">
        <v>60.59</v>
      </c>
      <c r="N22" s="844">
        <v>65.22</v>
      </c>
      <c r="O22" s="844">
        <v>71</v>
      </c>
      <c r="P22" s="844">
        <v>77.31</v>
      </c>
      <c r="Q22" s="844">
        <v>84.2</v>
      </c>
      <c r="R22" s="844">
        <v>91.74</v>
      </c>
      <c r="S22" s="844"/>
      <c r="T22" s="844"/>
      <c r="U22" s="844"/>
      <c r="V22" s="844"/>
      <c r="W22" s="844"/>
      <c r="X22" s="844"/>
      <c r="Y22" s="844"/>
      <c r="Z22" s="844"/>
      <c r="AA22" s="844"/>
      <c r="AB22" s="844"/>
      <c r="AC22" s="844"/>
      <c r="AD22" s="844"/>
      <c r="AE22" s="844"/>
      <c r="AF22" s="844"/>
      <c r="AG22" s="844"/>
      <c r="AH22" s="844"/>
      <c r="AI22" s="844"/>
      <c r="AL22" s="843">
        <v>16</v>
      </c>
      <c r="AM22" s="845">
        <v>0</v>
      </c>
      <c r="AN22" s="845">
        <v>0.3</v>
      </c>
      <c r="AO22" s="845">
        <v>0.5</v>
      </c>
      <c r="AP22" s="845">
        <v>0.5</v>
      </c>
      <c r="AQ22" s="845">
        <v>0.5</v>
      </c>
      <c r="AR22" s="845">
        <v>0.5</v>
      </c>
      <c r="AS22" s="845">
        <v>0.53749999999999998</v>
      </c>
      <c r="AT22" s="845">
        <v>0.57499999999999996</v>
      </c>
      <c r="AU22" s="845">
        <v>0.61250000000000004</v>
      </c>
      <c r="AV22" s="845">
        <v>0.65</v>
      </c>
      <c r="AW22" s="845">
        <v>0.6875</v>
      </c>
      <c r="AX22" s="845">
        <v>0.72499999999999998</v>
      </c>
      <c r="AY22" s="845">
        <v>0.76249999999999996</v>
      </c>
      <c r="AZ22" s="845">
        <v>0.8</v>
      </c>
      <c r="BA22" s="845">
        <v>0.8</v>
      </c>
      <c r="BB22" s="843"/>
      <c r="BC22" s="843"/>
      <c r="BD22" s="843"/>
      <c r="BE22" s="843"/>
      <c r="BF22" s="843"/>
      <c r="BG22" s="843"/>
      <c r="BH22" s="843"/>
      <c r="BI22" s="843"/>
      <c r="BJ22" s="843"/>
      <c r="BK22" s="843"/>
      <c r="BL22" s="843"/>
      <c r="BM22" s="843"/>
      <c r="BN22" s="843"/>
      <c r="BO22" s="843"/>
      <c r="BP22" s="843"/>
      <c r="BQ22" s="843"/>
      <c r="BR22" s="843"/>
      <c r="BS22" s="843"/>
      <c r="BT22" s="843"/>
      <c r="BW22" s="843">
        <v>18</v>
      </c>
      <c r="BX22" s="845">
        <v>0</v>
      </c>
      <c r="BY22" s="845">
        <v>0.17030000000000001</v>
      </c>
      <c r="BZ22" s="845">
        <v>0.17580000000000001</v>
      </c>
      <c r="CA22" s="845">
        <v>0.17580000000000001</v>
      </c>
      <c r="CB22" s="845">
        <v>0.17660000000000001</v>
      </c>
      <c r="CC22" s="845">
        <v>0.17849999999999999</v>
      </c>
      <c r="CD22" s="845">
        <v>0.18160000000000001</v>
      </c>
      <c r="CE22" s="845">
        <v>0.186</v>
      </c>
      <c r="CF22" s="845">
        <v>0.1918</v>
      </c>
      <c r="CG22" s="845">
        <v>0.1993</v>
      </c>
      <c r="CH22" s="845">
        <v>0.20849999999999999</v>
      </c>
      <c r="CI22" s="845">
        <v>0.21990000000000001</v>
      </c>
      <c r="CJ22" s="845">
        <v>0.23380000000000001</v>
      </c>
      <c r="CK22" s="845">
        <v>0.2505</v>
      </c>
      <c r="CL22" s="845">
        <v>0.27060000000000001</v>
      </c>
      <c r="CM22" s="845">
        <v>0.3</v>
      </c>
      <c r="CN22" s="845">
        <v>0.35</v>
      </c>
      <c r="CO22" s="845"/>
      <c r="CP22" s="845"/>
      <c r="CQ22" s="845"/>
      <c r="CR22" s="845"/>
      <c r="CS22" s="845"/>
      <c r="CT22" s="845"/>
      <c r="CU22" s="845"/>
      <c r="CV22" s="845"/>
      <c r="CW22" s="845"/>
      <c r="CX22" s="845"/>
      <c r="CY22" s="845"/>
      <c r="CZ22" s="845"/>
      <c r="DA22" s="845"/>
      <c r="DB22" s="845"/>
      <c r="DC22" s="845"/>
      <c r="DD22" s="845"/>
      <c r="DE22" s="845"/>
    </row>
    <row r="23" spans="2:109">
      <c r="B23" s="843">
        <v>19</v>
      </c>
      <c r="C23" s="844">
        <v>27.84</v>
      </c>
      <c r="D23" s="844">
        <v>29.98</v>
      </c>
      <c r="E23" s="844">
        <v>32.29</v>
      </c>
      <c r="F23" s="844">
        <v>34.78</v>
      </c>
      <c r="G23" s="844">
        <v>37.47</v>
      </c>
      <c r="H23" s="844">
        <v>40.369999999999997</v>
      </c>
      <c r="I23" s="844">
        <v>43.5</v>
      </c>
      <c r="J23" s="844">
        <v>46.88</v>
      </c>
      <c r="K23" s="844">
        <v>49.74</v>
      </c>
      <c r="L23" s="844">
        <v>52.94</v>
      </c>
      <c r="M23" s="844">
        <v>56.55</v>
      </c>
      <c r="N23" s="844">
        <v>60.63</v>
      </c>
      <c r="O23" s="844">
        <v>65.239999999999995</v>
      </c>
      <c r="P23" s="844">
        <v>71.02</v>
      </c>
      <c r="Q23" s="844">
        <v>77.319999999999993</v>
      </c>
      <c r="R23" s="844">
        <v>84.21</v>
      </c>
      <c r="S23" s="844">
        <v>91.74</v>
      </c>
      <c r="T23" s="844"/>
      <c r="U23" s="844"/>
      <c r="V23" s="844"/>
      <c r="W23" s="844"/>
      <c r="X23" s="844"/>
      <c r="Y23" s="844"/>
      <c r="Z23" s="844"/>
      <c r="AA23" s="844"/>
      <c r="AB23" s="844"/>
      <c r="AC23" s="844"/>
      <c r="AD23" s="844"/>
      <c r="AE23" s="844"/>
      <c r="AF23" s="844"/>
      <c r="AG23" s="844"/>
      <c r="AH23" s="844"/>
      <c r="AI23" s="844"/>
      <c r="AL23" s="843">
        <v>17</v>
      </c>
      <c r="AM23" s="845">
        <v>0</v>
      </c>
      <c r="AN23" s="845">
        <v>0.3</v>
      </c>
      <c r="AO23" s="845">
        <v>0.5</v>
      </c>
      <c r="AP23" s="845">
        <v>0.5</v>
      </c>
      <c r="AQ23" s="845">
        <v>0.5</v>
      </c>
      <c r="AR23" s="845">
        <v>0.5</v>
      </c>
      <c r="AS23" s="845">
        <v>0.5333</v>
      </c>
      <c r="AT23" s="845">
        <v>0.56669999999999998</v>
      </c>
      <c r="AU23" s="845">
        <v>0.6</v>
      </c>
      <c r="AV23" s="845">
        <v>0.63329999999999997</v>
      </c>
      <c r="AW23" s="845">
        <v>0.66669999999999996</v>
      </c>
      <c r="AX23" s="845">
        <v>0.7</v>
      </c>
      <c r="AY23" s="845">
        <v>0.73329999999999995</v>
      </c>
      <c r="AZ23" s="845">
        <v>0.76670000000000005</v>
      </c>
      <c r="BA23" s="845">
        <v>0.8</v>
      </c>
      <c r="BB23" s="845">
        <v>0.8</v>
      </c>
      <c r="BC23" s="843"/>
      <c r="BD23" s="843"/>
      <c r="BE23" s="843"/>
      <c r="BF23" s="843"/>
      <c r="BG23" s="843"/>
      <c r="BH23" s="843"/>
      <c r="BI23" s="843"/>
      <c r="BJ23" s="843"/>
      <c r="BK23" s="843"/>
      <c r="BL23" s="843"/>
      <c r="BM23" s="843"/>
      <c r="BN23" s="843"/>
      <c r="BO23" s="843"/>
      <c r="BP23" s="843"/>
      <c r="BQ23" s="843"/>
      <c r="BR23" s="843"/>
      <c r="BS23" s="843"/>
      <c r="BT23" s="843"/>
      <c r="BW23" s="843">
        <v>19</v>
      </c>
      <c r="BX23" s="845">
        <v>0</v>
      </c>
      <c r="BY23" s="845">
        <v>0.1658</v>
      </c>
      <c r="BZ23" s="845">
        <v>0.17030000000000001</v>
      </c>
      <c r="CA23" s="845">
        <v>0.17580000000000001</v>
      </c>
      <c r="CB23" s="845">
        <v>0.17580000000000001</v>
      </c>
      <c r="CC23" s="845">
        <v>0.17660000000000001</v>
      </c>
      <c r="CD23" s="845">
        <v>0.17849999999999999</v>
      </c>
      <c r="CE23" s="845">
        <v>0.18160000000000001</v>
      </c>
      <c r="CF23" s="845">
        <v>0.186</v>
      </c>
      <c r="CG23" s="845">
        <v>0.1918</v>
      </c>
      <c r="CH23" s="845">
        <v>0.1993</v>
      </c>
      <c r="CI23" s="845">
        <v>0.20849999999999999</v>
      </c>
      <c r="CJ23" s="845">
        <v>0.21990000000000001</v>
      </c>
      <c r="CK23" s="845">
        <v>0.23380000000000001</v>
      </c>
      <c r="CL23" s="845">
        <v>0.2505</v>
      </c>
      <c r="CM23" s="845">
        <v>0.27060000000000001</v>
      </c>
      <c r="CN23" s="845">
        <v>0.3</v>
      </c>
      <c r="CO23" s="845">
        <v>0.35</v>
      </c>
      <c r="CP23" s="845"/>
      <c r="CQ23" s="845"/>
      <c r="CR23" s="845"/>
      <c r="CS23" s="845"/>
      <c r="CT23" s="845"/>
      <c r="CU23" s="845"/>
      <c r="CV23" s="845"/>
      <c r="CW23" s="845"/>
      <c r="CX23" s="845"/>
      <c r="CY23" s="845"/>
      <c r="CZ23" s="845"/>
      <c r="DA23" s="845"/>
      <c r="DB23" s="845"/>
      <c r="DC23" s="845"/>
      <c r="DD23" s="845"/>
      <c r="DE23" s="845"/>
    </row>
    <row r="24" spans="2:109">
      <c r="B24" s="843">
        <v>20</v>
      </c>
      <c r="C24" s="844">
        <v>25.93</v>
      </c>
      <c r="D24" s="844">
        <v>27.91</v>
      </c>
      <c r="E24" s="844">
        <v>30.06</v>
      </c>
      <c r="F24" s="844">
        <v>32.369999999999997</v>
      </c>
      <c r="G24" s="844">
        <v>34.86</v>
      </c>
      <c r="H24" s="844">
        <v>37.54</v>
      </c>
      <c r="I24" s="844">
        <v>40.44</v>
      </c>
      <c r="J24" s="844">
        <v>43.57</v>
      </c>
      <c r="K24" s="844">
        <v>46.94</v>
      </c>
      <c r="L24" s="844">
        <v>49.8</v>
      </c>
      <c r="M24" s="844">
        <v>53</v>
      </c>
      <c r="N24" s="844">
        <v>56.6</v>
      </c>
      <c r="O24" s="844">
        <v>60.67</v>
      </c>
      <c r="P24" s="844">
        <v>65.28</v>
      </c>
      <c r="Q24" s="844">
        <v>71.040000000000006</v>
      </c>
      <c r="R24" s="844">
        <v>77.33</v>
      </c>
      <c r="S24" s="844">
        <v>84.21</v>
      </c>
      <c r="T24" s="844">
        <v>91.74</v>
      </c>
      <c r="U24" s="844"/>
      <c r="V24" s="844"/>
      <c r="W24" s="844"/>
      <c r="X24" s="844"/>
      <c r="Y24" s="844"/>
      <c r="Z24" s="844"/>
      <c r="AA24" s="844"/>
      <c r="AB24" s="844"/>
      <c r="AC24" s="844"/>
      <c r="AD24" s="844"/>
      <c r="AE24" s="844"/>
      <c r="AF24" s="844"/>
      <c r="AG24" s="844"/>
      <c r="AH24" s="844"/>
      <c r="AI24" s="844"/>
      <c r="AL24" s="843">
        <v>18</v>
      </c>
      <c r="AM24" s="845">
        <v>0</v>
      </c>
      <c r="AN24" s="845">
        <v>0.3</v>
      </c>
      <c r="AO24" s="845">
        <v>0.5</v>
      </c>
      <c r="AP24" s="845">
        <v>0.5</v>
      </c>
      <c r="AQ24" s="845">
        <v>0.5</v>
      </c>
      <c r="AR24" s="845">
        <v>0.5</v>
      </c>
      <c r="AS24" s="845">
        <v>0.53</v>
      </c>
      <c r="AT24" s="845">
        <v>0.56000000000000005</v>
      </c>
      <c r="AU24" s="845">
        <v>0.59</v>
      </c>
      <c r="AV24" s="845">
        <v>0.62</v>
      </c>
      <c r="AW24" s="845">
        <v>0.65</v>
      </c>
      <c r="AX24" s="845">
        <v>0.68</v>
      </c>
      <c r="AY24" s="845">
        <v>0.71</v>
      </c>
      <c r="AZ24" s="845">
        <v>0.74</v>
      </c>
      <c r="BA24" s="845">
        <v>0.77</v>
      </c>
      <c r="BB24" s="845">
        <v>0.8</v>
      </c>
      <c r="BC24" s="845">
        <v>0.8</v>
      </c>
      <c r="BD24" s="843"/>
      <c r="BE24" s="843"/>
      <c r="BF24" s="843"/>
      <c r="BG24" s="843"/>
      <c r="BH24" s="843"/>
      <c r="BI24" s="843"/>
      <c r="BJ24" s="843"/>
      <c r="BK24" s="843"/>
      <c r="BL24" s="843"/>
      <c r="BM24" s="843"/>
      <c r="BN24" s="843"/>
      <c r="BO24" s="843"/>
      <c r="BP24" s="843"/>
      <c r="BQ24" s="843"/>
      <c r="BR24" s="843"/>
      <c r="BS24" s="843"/>
      <c r="BT24" s="843"/>
      <c r="BW24" s="843">
        <v>20</v>
      </c>
      <c r="BX24" s="845">
        <v>0</v>
      </c>
      <c r="BY24" s="845">
        <v>0.16220000000000001</v>
      </c>
      <c r="BZ24" s="845">
        <v>0.1658</v>
      </c>
      <c r="CA24" s="845">
        <v>0.17030000000000001</v>
      </c>
      <c r="CB24" s="845">
        <v>0.17580000000000001</v>
      </c>
      <c r="CC24" s="845">
        <v>0.17580000000000001</v>
      </c>
      <c r="CD24" s="845">
        <v>0.17660000000000001</v>
      </c>
      <c r="CE24" s="845">
        <v>0.17849999999999999</v>
      </c>
      <c r="CF24" s="845">
        <v>0.18160000000000001</v>
      </c>
      <c r="CG24" s="845">
        <v>0.186</v>
      </c>
      <c r="CH24" s="845">
        <v>0.1918</v>
      </c>
      <c r="CI24" s="845">
        <v>0.1993</v>
      </c>
      <c r="CJ24" s="845">
        <v>0.20849999999999999</v>
      </c>
      <c r="CK24" s="845">
        <v>0.21990000000000001</v>
      </c>
      <c r="CL24" s="845">
        <v>0.23380000000000001</v>
      </c>
      <c r="CM24" s="845">
        <v>0.2505</v>
      </c>
      <c r="CN24" s="845">
        <v>0.27060000000000001</v>
      </c>
      <c r="CO24" s="845">
        <v>0.3</v>
      </c>
      <c r="CP24" s="845">
        <v>0.35</v>
      </c>
      <c r="CQ24" s="845"/>
      <c r="CR24" s="845"/>
      <c r="CS24" s="845"/>
      <c r="CT24" s="845"/>
      <c r="CU24" s="845"/>
      <c r="CV24" s="845"/>
      <c r="CW24" s="845"/>
      <c r="CX24" s="845"/>
      <c r="CY24" s="845"/>
      <c r="CZ24" s="845"/>
      <c r="DA24" s="845"/>
      <c r="DB24" s="845"/>
      <c r="DC24" s="845"/>
      <c r="DD24" s="845"/>
      <c r="DE24" s="845"/>
    </row>
    <row r="25" spans="2:109">
      <c r="B25" s="843">
        <v>21</v>
      </c>
      <c r="C25" s="844">
        <v>24.17</v>
      </c>
      <c r="D25" s="844">
        <v>26.01</v>
      </c>
      <c r="E25" s="844">
        <v>28</v>
      </c>
      <c r="F25" s="844">
        <v>30.14</v>
      </c>
      <c r="G25" s="844">
        <v>32.450000000000003</v>
      </c>
      <c r="H25" s="844">
        <v>34.94</v>
      </c>
      <c r="I25" s="844">
        <v>37.619999999999997</v>
      </c>
      <c r="J25" s="844">
        <v>40.520000000000003</v>
      </c>
      <c r="K25" s="844">
        <v>43.64</v>
      </c>
      <c r="L25" s="844">
        <v>47.02</v>
      </c>
      <c r="M25" s="844">
        <v>49.87</v>
      </c>
      <c r="N25" s="844">
        <v>53.07</v>
      </c>
      <c r="O25" s="844">
        <v>56.66</v>
      </c>
      <c r="P25" s="844">
        <v>60.72</v>
      </c>
      <c r="Q25" s="844">
        <v>65.31</v>
      </c>
      <c r="R25" s="844">
        <v>71.06</v>
      </c>
      <c r="S25" s="844">
        <v>77.34</v>
      </c>
      <c r="T25" s="844">
        <v>84.22</v>
      </c>
      <c r="U25" s="844">
        <v>91.74</v>
      </c>
      <c r="V25" s="844"/>
      <c r="W25" s="844"/>
      <c r="X25" s="844"/>
      <c r="Y25" s="844"/>
      <c r="Z25" s="844"/>
      <c r="AA25" s="844"/>
      <c r="AB25" s="844"/>
      <c r="AC25" s="844"/>
      <c r="AD25" s="844"/>
      <c r="AE25" s="844"/>
      <c r="AF25" s="844"/>
      <c r="AG25" s="844"/>
      <c r="AH25" s="844"/>
      <c r="AI25" s="844"/>
      <c r="AL25" s="843">
        <v>19</v>
      </c>
      <c r="AM25" s="845">
        <v>0</v>
      </c>
      <c r="AN25" s="845">
        <v>0.3</v>
      </c>
      <c r="AO25" s="845">
        <v>0.5</v>
      </c>
      <c r="AP25" s="845">
        <v>0.5</v>
      </c>
      <c r="AQ25" s="845">
        <v>0.5</v>
      </c>
      <c r="AR25" s="845">
        <v>0.5</v>
      </c>
      <c r="AS25" s="845">
        <v>0.52729999999999999</v>
      </c>
      <c r="AT25" s="845">
        <v>0.55449999999999999</v>
      </c>
      <c r="AU25" s="845">
        <v>0.58179999999999998</v>
      </c>
      <c r="AV25" s="845">
        <v>0.60909999999999997</v>
      </c>
      <c r="AW25" s="845">
        <v>0.63639999999999997</v>
      </c>
      <c r="AX25" s="845">
        <v>0.66359999999999997</v>
      </c>
      <c r="AY25" s="845">
        <v>0.69089999999999996</v>
      </c>
      <c r="AZ25" s="845">
        <v>0.71819999999999995</v>
      </c>
      <c r="BA25" s="845">
        <v>0.74550000000000005</v>
      </c>
      <c r="BB25" s="845">
        <v>0.77270000000000005</v>
      </c>
      <c r="BC25" s="845">
        <v>0.8</v>
      </c>
      <c r="BD25" s="845">
        <v>0.8</v>
      </c>
      <c r="BE25" s="843"/>
      <c r="BF25" s="843"/>
      <c r="BG25" s="843"/>
      <c r="BH25" s="843"/>
      <c r="BI25" s="843"/>
      <c r="BJ25" s="843"/>
      <c r="BK25" s="843"/>
      <c r="BL25" s="843"/>
      <c r="BM25" s="843"/>
      <c r="BN25" s="843"/>
      <c r="BO25" s="843"/>
      <c r="BP25" s="843"/>
      <c r="BQ25" s="843"/>
      <c r="BR25" s="843"/>
      <c r="BS25" s="843"/>
      <c r="BT25" s="843"/>
      <c r="BW25" s="843">
        <v>21</v>
      </c>
      <c r="BX25" s="845">
        <v>0</v>
      </c>
      <c r="BY25" s="845">
        <v>0.1593</v>
      </c>
      <c r="BZ25" s="845">
        <v>0.16220000000000001</v>
      </c>
      <c r="CA25" s="845">
        <v>0.1658</v>
      </c>
      <c r="CB25" s="845">
        <v>0.17030000000000001</v>
      </c>
      <c r="CC25" s="845">
        <v>0.17580000000000001</v>
      </c>
      <c r="CD25" s="845">
        <v>0.17580000000000001</v>
      </c>
      <c r="CE25" s="845">
        <v>0.17660000000000001</v>
      </c>
      <c r="CF25" s="845">
        <v>0.17849999999999999</v>
      </c>
      <c r="CG25" s="845">
        <v>0.18160000000000001</v>
      </c>
      <c r="CH25" s="845">
        <v>0.186</v>
      </c>
      <c r="CI25" s="845">
        <v>0.1918</v>
      </c>
      <c r="CJ25" s="845">
        <v>0.1993</v>
      </c>
      <c r="CK25" s="845">
        <v>0.20849999999999999</v>
      </c>
      <c r="CL25" s="845">
        <v>0.21990000000000001</v>
      </c>
      <c r="CM25" s="845">
        <v>0.23380000000000001</v>
      </c>
      <c r="CN25" s="845">
        <v>0.2505</v>
      </c>
      <c r="CO25" s="845">
        <v>0.27060000000000001</v>
      </c>
      <c r="CP25" s="845">
        <v>0.3</v>
      </c>
      <c r="CQ25" s="845">
        <v>0.35</v>
      </c>
      <c r="CR25" s="845"/>
      <c r="CS25" s="845"/>
      <c r="CT25" s="845"/>
      <c r="CU25" s="845"/>
      <c r="CV25" s="845"/>
      <c r="CW25" s="845"/>
      <c r="CX25" s="845"/>
      <c r="CY25" s="845"/>
      <c r="CZ25" s="845"/>
      <c r="DA25" s="845"/>
      <c r="DB25" s="845"/>
      <c r="DC25" s="845"/>
      <c r="DD25" s="845"/>
      <c r="DE25" s="845"/>
    </row>
    <row r="26" spans="2:109">
      <c r="B26" s="843">
        <v>22</v>
      </c>
      <c r="C26" s="844">
        <v>22.55</v>
      </c>
      <c r="D26" s="844">
        <v>24.26</v>
      </c>
      <c r="E26" s="844">
        <v>26.11</v>
      </c>
      <c r="F26" s="844">
        <v>28.1</v>
      </c>
      <c r="G26" s="844">
        <v>30.24</v>
      </c>
      <c r="H26" s="844">
        <v>32.549999999999997</v>
      </c>
      <c r="I26" s="844">
        <v>35.03</v>
      </c>
      <c r="J26" s="844">
        <v>37.72</v>
      </c>
      <c r="K26" s="844">
        <v>40.61</v>
      </c>
      <c r="L26" s="844">
        <v>43.74</v>
      </c>
      <c r="M26" s="844">
        <v>47.1</v>
      </c>
      <c r="N26" s="844">
        <v>49.95</v>
      </c>
      <c r="O26" s="844">
        <v>53.14</v>
      </c>
      <c r="P26" s="844">
        <v>56.72</v>
      </c>
      <c r="Q26" s="844">
        <v>60.77</v>
      </c>
      <c r="R26" s="844">
        <v>65.349999999999994</v>
      </c>
      <c r="S26" s="844">
        <v>71.09</v>
      </c>
      <c r="T26" s="844">
        <v>77.36</v>
      </c>
      <c r="U26" s="844">
        <v>84.22</v>
      </c>
      <c r="V26" s="844">
        <v>91.74</v>
      </c>
      <c r="W26" s="844"/>
      <c r="X26" s="844"/>
      <c r="Y26" s="844"/>
      <c r="Z26" s="844"/>
      <c r="AA26" s="844"/>
      <c r="AB26" s="844"/>
      <c r="AC26" s="844"/>
      <c r="AD26" s="844"/>
      <c r="AE26" s="844"/>
      <c r="AF26" s="844"/>
      <c r="AG26" s="844"/>
      <c r="AH26" s="844"/>
      <c r="AI26" s="844"/>
      <c r="AL26" s="843">
        <v>20</v>
      </c>
      <c r="AM26" s="845">
        <v>0</v>
      </c>
      <c r="AN26" s="845">
        <v>0.3</v>
      </c>
      <c r="AO26" s="845">
        <v>0.5</v>
      </c>
      <c r="AP26" s="845">
        <v>0.5</v>
      </c>
      <c r="AQ26" s="845">
        <v>0.5</v>
      </c>
      <c r="AR26" s="845">
        <v>0.5</v>
      </c>
      <c r="AS26" s="845">
        <v>0.52500000000000002</v>
      </c>
      <c r="AT26" s="845">
        <v>0.55000000000000004</v>
      </c>
      <c r="AU26" s="845">
        <v>0.57499999999999996</v>
      </c>
      <c r="AV26" s="845">
        <v>0.6</v>
      </c>
      <c r="AW26" s="845">
        <v>0.625</v>
      </c>
      <c r="AX26" s="845">
        <v>0.65</v>
      </c>
      <c r="AY26" s="845">
        <v>0.67500000000000004</v>
      </c>
      <c r="AZ26" s="845">
        <v>0.7</v>
      </c>
      <c r="BA26" s="845">
        <v>0.72499999999999998</v>
      </c>
      <c r="BB26" s="845">
        <v>0.75</v>
      </c>
      <c r="BC26" s="845">
        <v>0.77500000000000002</v>
      </c>
      <c r="BD26" s="845">
        <v>0.8</v>
      </c>
      <c r="BE26" s="845">
        <v>0.8</v>
      </c>
      <c r="BF26" s="843"/>
      <c r="BG26" s="843"/>
      <c r="BH26" s="843"/>
      <c r="BI26" s="843"/>
      <c r="BJ26" s="843"/>
      <c r="BK26" s="843"/>
      <c r="BL26" s="843"/>
      <c r="BM26" s="843"/>
      <c r="BN26" s="843"/>
      <c r="BO26" s="843"/>
      <c r="BP26" s="843"/>
      <c r="BQ26" s="843"/>
      <c r="BR26" s="843"/>
      <c r="BS26" s="843"/>
      <c r="BT26" s="843"/>
      <c r="BW26" s="843">
        <v>22</v>
      </c>
      <c r="BX26" s="845">
        <v>0</v>
      </c>
      <c r="BY26" s="845">
        <v>0.15720000000000001</v>
      </c>
      <c r="BZ26" s="845">
        <v>0.1593</v>
      </c>
      <c r="CA26" s="845">
        <v>0.16220000000000001</v>
      </c>
      <c r="CB26" s="845">
        <v>0.1658</v>
      </c>
      <c r="CC26" s="845">
        <v>0.17030000000000001</v>
      </c>
      <c r="CD26" s="845">
        <v>0.17580000000000001</v>
      </c>
      <c r="CE26" s="845">
        <v>0.17580000000000001</v>
      </c>
      <c r="CF26" s="845">
        <v>0.17660000000000001</v>
      </c>
      <c r="CG26" s="845">
        <v>0.17849999999999999</v>
      </c>
      <c r="CH26" s="845">
        <v>0.18160000000000001</v>
      </c>
      <c r="CI26" s="845">
        <v>0.186</v>
      </c>
      <c r="CJ26" s="845">
        <v>0.1918</v>
      </c>
      <c r="CK26" s="845">
        <v>0.1993</v>
      </c>
      <c r="CL26" s="845">
        <v>0.20849999999999999</v>
      </c>
      <c r="CM26" s="845">
        <v>0.21990000000000001</v>
      </c>
      <c r="CN26" s="845">
        <v>0.23380000000000001</v>
      </c>
      <c r="CO26" s="845">
        <v>0.2505</v>
      </c>
      <c r="CP26" s="845">
        <v>0.27060000000000001</v>
      </c>
      <c r="CQ26" s="845">
        <v>0.3</v>
      </c>
      <c r="CR26" s="845">
        <v>0.35</v>
      </c>
      <c r="CS26" s="845"/>
      <c r="CT26" s="845"/>
      <c r="CU26" s="845"/>
      <c r="CV26" s="845"/>
      <c r="CW26" s="845"/>
      <c r="CX26" s="845"/>
      <c r="CY26" s="845"/>
      <c r="CZ26" s="845"/>
      <c r="DA26" s="845"/>
      <c r="DB26" s="845"/>
      <c r="DC26" s="845"/>
      <c r="DD26" s="845"/>
      <c r="DE26" s="845"/>
    </row>
    <row r="27" spans="2:109">
      <c r="B27" s="843">
        <v>23</v>
      </c>
      <c r="C27" s="844">
        <v>21.06</v>
      </c>
      <c r="D27" s="844">
        <v>22.66</v>
      </c>
      <c r="E27" s="844">
        <v>24.37</v>
      </c>
      <c r="F27" s="844">
        <v>26.22</v>
      </c>
      <c r="G27" s="844">
        <v>28.21</v>
      </c>
      <c r="H27" s="844">
        <v>30.35</v>
      </c>
      <c r="I27" s="844">
        <v>32.65</v>
      </c>
      <c r="J27" s="844">
        <v>35.14</v>
      </c>
      <c r="K27" s="844">
        <v>37.83</v>
      </c>
      <c r="L27" s="844">
        <v>40.72</v>
      </c>
      <c r="M27" s="844">
        <v>43.84</v>
      </c>
      <c r="N27" s="844">
        <v>47.2</v>
      </c>
      <c r="O27" s="844">
        <v>50.04</v>
      </c>
      <c r="P27" s="844">
        <v>53.22</v>
      </c>
      <c r="Q27" s="844">
        <v>56.79</v>
      </c>
      <c r="R27" s="844">
        <v>60.82</v>
      </c>
      <c r="S27" s="844">
        <v>65.39</v>
      </c>
      <c r="T27" s="844">
        <v>71.12</v>
      </c>
      <c r="U27" s="844">
        <v>77.38</v>
      </c>
      <c r="V27" s="844">
        <v>84.23</v>
      </c>
      <c r="W27" s="844">
        <v>91.74</v>
      </c>
      <c r="X27" s="844"/>
      <c r="Y27" s="844"/>
      <c r="Z27" s="844"/>
      <c r="AA27" s="844"/>
      <c r="AB27" s="844"/>
      <c r="AC27" s="844"/>
      <c r="AD27" s="844"/>
      <c r="AE27" s="844"/>
      <c r="AF27" s="844"/>
      <c r="AG27" s="844"/>
      <c r="AH27" s="844"/>
      <c r="AI27" s="844"/>
      <c r="AL27" s="843">
        <v>21</v>
      </c>
      <c r="AM27" s="845">
        <v>0</v>
      </c>
      <c r="AN27" s="845">
        <v>0.3</v>
      </c>
      <c r="AO27" s="845">
        <v>0.5</v>
      </c>
      <c r="AP27" s="845">
        <v>0.5</v>
      </c>
      <c r="AQ27" s="845">
        <v>0.5</v>
      </c>
      <c r="AR27" s="845">
        <v>0.5</v>
      </c>
      <c r="AS27" s="845">
        <v>0.52310000000000001</v>
      </c>
      <c r="AT27" s="845">
        <v>0.54620000000000002</v>
      </c>
      <c r="AU27" s="845">
        <v>0.56920000000000004</v>
      </c>
      <c r="AV27" s="845">
        <v>0.59230000000000005</v>
      </c>
      <c r="AW27" s="845">
        <v>0.61539999999999995</v>
      </c>
      <c r="AX27" s="845">
        <v>0.63849999999999996</v>
      </c>
      <c r="AY27" s="845">
        <v>0.66149999999999998</v>
      </c>
      <c r="AZ27" s="845">
        <v>0.68459999999999999</v>
      </c>
      <c r="BA27" s="845">
        <v>0.7077</v>
      </c>
      <c r="BB27" s="845">
        <v>0.73080000000000001</v>
      </c>
      <c r="BC27" s="845">
        <v>0.75380000000000003</v>
      </c>
      <c r="BD27" s="845">
        <v>0.77690000000000003</v>
      </c>
      <c r="BE27" s="845">
        <v>0.8</v>
      </c>
      <c r="BF27" s="845">
        <v>0.8</v>
      </c>
      <c r="BG27" s="843"/>
      <c r="BH27" s="843"/>
      <c r="BI27" s="843"/>
      <c r="BJ27" s="843"/>
      <c r="BK27" s="843"/>
      <c r="BL27" s="843"/>
      <c r="BM27" s="843"/>
      <c r="BN27" s="843"/>
      <c r="BO27" s="843"/>
      <c r="BP27" s="843"/>
      <c r="BQ27" s="843"/>
      <c r="BR27" s="843"/>
      <c r="BS27" s="843"/>
      <c r="BT27" s="843"/>
      <c r="BW27" s="843">
        <v>23</v>
      </c>
      <c r="BX27" s="845">
        <v>0</v>
      </c>
      <c r="BY27" s="845">
        <v>0.1555</v>
      </c>
      <c r="BZ27" s="845">
        <v>0.15720000000000001</v>
      </c>
      <c r="CA27" s="845">
        <v>0.1593</v>
      </c>
      <c r="CB27" s="845">
        <v>0.16220000000000001</v>
      </c>
      <c r="CC27" s="845">
        <v>0.1658</v>
      </c>
      <c r="CD27" s="845">
        <v>0.17030000000000001</v>
      </c>
      <c r="CE27" s="845">
        <v>0.17580000000000001</v>
      </c>
      <c r="CF27" s="845">
        <v>0.17580000000000001</v>
      </c>
      <c r="CG27" s="845">
        <v>0.17660000000000001</v>
      </c>
      <c r="CH27" s="845">
        <v>0.17849999999999999</v>
      </c>
      <c r="CI27" s="845">
        <v>0.18160000000000001</v>
      </c>
      <c r="CJ27" s="845">
        <v>0.186</v>
      </c>
      <c r="CK27" s="845">
        <v>0.1918</v>
      </c>
      <c r="CL27" s="845">
        <v>0.1993</v>
      </c>
      <c r="CM27" s="845">
        <v>0.20849999999999999</v>
      </c>
      <c r="CN27" s="845">
        <v>0.21990000000000001</v>
      </c>
      <c r="CO27" s="845">
        <v>0.23380000000000001</v>
      </c>
      <c r="CP27" s="845">
        <v>0.2505</v>
      </c>
      <c r="CQ27" s="845">
        <v>0.27060000000000001</v>
      </c>
      <c r="CR27" s="845">
        <v>0.3</v>
      </c>
      <c r="CS27" s="845">
        <v>0.35</v>
      </c>
      <c r="CT27" s="845"/>
      <c r="CU27" s="845"/>
      <c r="CV27" s="845"/>
      <c r="CW27" s="845"/>
      <c r="CX27" s="845"/>
      <c r="CY27" s="845"/>
      <c r="CZ27" s="845"/>
      <c r="DA27" s="845"/>
      <c r="DB27" s="845"/>
      <c r="DC27" s="845"/>
      <c r="DD27" s="845"/>
      <c r="DE27" s="845"/>
    </row>
    <row r="28" spans="2:109">
      <c r="B28" s="843">
        <v>24</v>
      </c>
      <c r="C28" s="844">
        <v>19.7</v>
      </c>
      <c r="D28" s="844">
        <v>21.18</v>
      </c>
      <c r="E28" s="844">
        <v>22.78</v>
      </c>
      <c r="F28" s="844">
        <v>24.49</v>
      </c>
      <c r="G28" s="844">
        <v>26.34</v>
      </c>
      <c r="H28" s="844">
        <v>28.33</v>
      </c>
      <c r="I28" s="844">
        <v>30.47</v>
      </c>
      <c r="J28" s="844">
        <v>32.78</v>
      </c>
      <c r="K28" s="844">
        <v>35.270000000000003</v>
      </c>
      <c r="L28" s="844">
        <v>37.950000000000003</v>
      </c>
      <c r="M28" s="844">
        <v>40.840000000000003</v>
      </c>
      <c r="N28" s="844">
        <v>43.96</v>
      </c>
      <c r="O28" s="844">
        <v>47.31</v>
      </c>
      <c r="P28" s="844">
        <v>50.14</v>
      </c>
      <c r="Q28" s="844">
        <v>53.31</v>
      </c>
      <c r="R28" s="844">
        <v>56.87</v>
      </c>
      <c r="S28" s="844">
        <v>60.89</v>
      </c>
      <c r="T28" s="844">
        <v>65.44</v>
      </c>
      <c r="U28" s="844">
        <v>71.150000000000006</v>
      </c>
      <c r="V28" s="844">
        <v>77.39</v>
      </c>
      <c r="W28" s="844">
        <v>84.23</v>
      </c>
      <c r="X28" s="844">
        <v>91.74</v>
      </c>
      <c r="Y28" s="844"/>
      <c r="Z28" s="844"/>
      <c r="AA28" s="844"/>
      <c r="AB28" s="844"/>
      <c r="AC28" s="844"/>
      <c r="AD28" s="844"/>
      <c r="AE28" s="844"/>
      <c r="AF28" s="844"/>
      <c r="AG28" s="844"/>
      <c r="AH28" s="844"/>
      <c r="AI28" s="844"/>
      <c r="AL28" s="843">
        <v>22</v>
      </c>
      <c r="AM28" s="845">
        <v>0</v>
      </c>
      <c r="AN28" s="845">
        <v>0.3</v>
      </c>
      <c r="AO28" s="845">
        <v>0.5</v>
      </c>
      <c r="AP28" s="845">
        <v>0.5</v>
      </c>
      <c r="AQ28" s="845">
        <v>0.5</v>
      </c>
      <c r="AR28" s="845">
        <v>0.5</v>
      </c>
      <c r="AS28" s="845">
        <v>0.52139999999999997</v>
      </c>
      <c r="AT28" s="845">
        <v>0.54290000000000005</v>
      </c>
      <c r="AU28" s="845">
        <v>0.56430000000000002</v>
      </c>
      <c r="AV28" s="845">
        <v>0.5857</v>
      </c>
      <c r="AW28" s="845">
        <v>0.60709999999999997</v>
      </c>
      <c r="AX28" s="845">
        <v>0.62860000000000005</v>
      </c>
      <c r="AY28" s="845">
        <v>0.65</v>
      </c>
      <c r="AZ28" s="845">
        <v>0.6714</v>
      </c>
      <c r="BA28" s="845">
        <v>0.69289999999999996</v>
      </c>
      <c r="BB28" s="845">
        <v>0.71430000000000005</v>
      </c>
      <c r="BC28" s="845">
        <v>0.73570000000000002</v>
      </c>
      <c r="BD28" s="845">
        <v>0.7571</v>
      </c>
      <c r="BE28" s="845">
        <v>0.77859999999999996</v>
      </c>
      <c r="BF28" s="845">
        <v>0.8</v>
      </c>
      <c r="BG28" s="845">
        <v>0.8</v>
      </c>
      <c r="BH28" s="843"/>
      <c r="BI28" s="843"/>
      <c r="BJ28" s="843"/>
      <c r="BK28" s="843"/>
      <c r="BL28" s="843"/>
      <c r="BM28" s="843"/>
      <c r="BN28" s="843"/>
      <c r="BO28" s="843"/>
      <c r="BP28" s="843"/>
      <c r="BQ28" s="843"/>
      <c r="BR28" s="843"/>
      <c r="BS28" s="843"/>
      <c r="BT28" s="843"/>
      <c r="BW28" s="843">
        <v>24</v>
      </c>
      <c r="BX28" s="845">
        <v>0</v>
      </c>
      <c r="BY28" s="845">
        <v>0.1542</v>
      </c>
      <c r="BZ28" s="845">
        <v>0.1555</v>
      </c>
      <c r="CA28" s="845">
        <v>0.15720000000000001</v>
      </c>
      <c r="CB28" s="845">
        <v>0.1593</v>
      </c>
      <c r="CC28" s="845">
        <v>0.16220000000000001</v>
      </c>
      <c r="CD28" s="845">
        <v>0.1658</v>
      </c>
      <c r="CE28" s="845">
        <v>0.17030000000000001</v>
      </c>
      <c r="CF28" s="845">
        <v>0.17580000000000001</v>
      </c>
      <c r="CG28" s="845">
        <v>0.17580000000000001</v>
      </c>
      <c r="CH28" s="845">
        <v>0.17660000000000001</v>
      </c>
      <c r="CI28" s="845">
        <v>0.17849999999999999</v>
      </c>
      <c r="CJ28" s="845">
        <v>0.18160000000000001</v>
      </c>
      <c r="CK28" s="845">
        <v>0.186</v>
      </c>
      <c r="CL28" s="845">
        <v>0.1918</v>
      </c>
      <c r="CM28" s="845">
        <v>0.1993</v>
      </c>
      <c r="CN28" s="845">
        <v>0.20849999999999999</v>
      </c>
      <c r="CO28" s="845">
        <v>0.21990000000000001</v>
      </c>
      <c r="CP28" s="845">
        <v>0.23380000000000001</v>
      </c>
      <c r="CQ28" s="845">
        <v>0.2505</v>
      </c>
      <c r="CR28" s="845">
        <v>0.27060000000000001</v>
      </c>
      <c r="CS28" s="845">
        <v>0.3</v>
      </c>
      <c r="CT28" s="845">
        <v>0.35</v>
      </c>
      <c r="CU28" s="845"/>
      <c r="CV28" s="845"/>
      <c r="CW28" s="845"/>
      <c r="CX28" s="845"/>
      <c r="CY28" s="845"/>
      <c r="CZ28" s="845"/>
      <c r="DA28" s="845"/>
      <c r="DB28" s="845"/>
      <c r="DC28" s="845"/>
      <c r="DD28" s="845"/>
      <c r="DE28" s="845"/>
    </row>
    <row r="29" spans="2:109">
      <c r="B29" s="843">
        <v>25</v>
      </c>
      <c r="C29" s="844">
        <v>18.45</v>
      </c>
      <c r="D29" s="844">
        <v>19.829999999999998</v>
      </c>
      <c r="E29" s="844">
        <v>21.31</v>
      </c>
      <c r="F29" s="844">
        <v>22.91</v>
      </c>
      <c r="G29" s="844">
        <v>24.63</v>
      </c>
      <c r="H29" s="844">
        <v>26.48</v>
      </c>
      <c r="I29" s="844">
        <v>28.47</v>
      </c>
      <c r="J29" s="844">
        <v>30.61</v>
      </c>
      <c r="K29" s="844">
        <v>32.92</v>
      </c>
      <c r="L29" s="844">
        <v>35.42</v>
      </c>
      <c r="M29" s="844">
        <v>38.1</v>
      </c>
      <c r="N29" s="844">
        <v>40.98</v>
      </c>
      <c r="O29" s="844">
        <v>44.09</v>
      </c>
      <c r="P29" s="844">
        <v>47.43</v>
      </c>
      <c r="Q29" s="844">
        <v>50.25</v>
      </c>
      <c r="R29" s="844">
        <v>53.4</v>
      </c>
      <c r="S29" s="844">
        <v>56.95</v>
      </c>
      <c r="T29" s="844">
        <v>60.95</v>
      </c>
      <c r="U29" s="844">
        <v>65.489999999999995</v>
      </c>
      <c r="V29" s="844">
        <v>71.19</v>
      </c>
      <c r="W29" s="844">
        <v>77.41</v>
      </c>
      <c r="X29" s="844">
        <v>84.24</v>
      </c>
      <c r="Y29" s="844">
        <v>91.74</v>
      </c>
      <c r="Z29" s="844"/>
      <c r="AA29" s="844"/>
      <c r="AB29" s="844"/>
      <c r="AC29" s="844"/>
      <c r="AD29" s="844"/>
      <c r="AE29" s="844"/>
      <c r="AF29" s="844"/>
      <c r="AG29" s="844"/>
      <c r="AH29" s="844"/>
      <c r="AI29" s="844"/>
      <c r="AL29" s="843">
        <v>23</v>
      </c>
      <c r="AM29" s="845">
        <v>0</v>
      </c>
      <c r="AN29" s="845">
        <v>0.3</v>
      </c>
      <c r="AO29" s="845">
        <v>0.5</v>
      </c>
      <c r="AP29" s="845">
        <v>0.5</v>
      </c>
      <c r="AQ29" s="845">
        <v>0.5</v>
      </c>
      <c r="AR29" s="845">
        <v>0.5</v>
      </c>
      <c r="AS29" s="845">
        <v>0.52</v>
      </c>
      <c r="AT29" s="845">
        <v>0.54</v>
      </c>
      <c r="AU29" s="845">
        <v>0.56000000000000005</v>
      </c>
      <c r="AV29" s="845">
        <v>0.57999999999999996</v>
      </c>
      <c r="AW29" s="845">
        <v>0.6</v>
      </c>
      <c r="AX29" s="845">
        <v>0.62</v>
      </c>
      <c r="AY29" s="845">
        <v>0.64</v>
      </c>
      <c r="AZ29" s="845">
        <v>0.66</v>
      </c>
      <c r="BA29" s="845">
        <v>0.68</v>
      </c>
      <c r="BB29" s="845">
        <v>0.7</v>
      </c>
      <c r="BC29" s="845">
        <v>0.72</v>
      </c>
      <c r="BD29" s="845">
        <v>0.74</v>
      </c>
      <c r="BE29" s="845">
        <v>0.76</v>
      </c>
      <c r="BF29" s="845">
        <v>0.78</v>
      </c>
      <c r="BG29" s="845">
        <v>0.8</v>
      </c>
      <c r="BH29" s="845">
        <v>0.8</v>
      </c>
      <c r="BI29" s="843"/>
      <c r="BJ29" s="843"/>
      <c r="BK29" s="843"/>
      <c r="BL29" s="843"/>
      <c r="BM29" s="843"/>
      <c r="BN29" s="843"/>
      <c r="BO29" s="843"/>
      <c r="BP29" s="843"/>
      <c r="BQ29" s="843"/>
      <c r="BR29" s="843"/>
      <c r="BS29" s="843"/>
      <c r="BT29" s="843"/>
      <c r="BW29" s="843">
        <v>25</v>
      </c>
      <c r="BX29" s="845">
        <v>0</v>
      </c>
      <c r="BY29" s="845">
        <v>0.15279999999999999</v>
      </c>
      <c r="BZ29" s="845">
        <v>0.1542</v>
      </c>
      <c r="CA29" s="845">
        <v>0.1555</v>
      </c>
      <c r="CB29" s="845">
        <v>0.15720000000000001</v>
      </c>
      <c r="CC29" s="845">
        <v>0.1593</v>
      </c>
      <c r="CD29" s="845">
        <v>0.16220000000000001</v>
      </c>
      <c r="CE29" s="845">
        <v>0.1658</v>
      </c>
      <c r="CF29" s="845">
        <v>0.17030000000000001</v>
      </c>
      <c r="CG29" s="845">
        <v>0.17580000000000001</v>
      </c>
      <c r="CH29" s="845">
        <v>0.17580000000000001</v>
      </c>
      <c r="CI29" s="845">
        <v>0.17660000000000001</v>
      </c>
      <c r="CJ29" s="845">
        <v>0.17849999999999999</v>
      </c>
      <c r="CK29" s="845">
        <v>0.18160000000000001</v>
      </c>
      <c r="CL29" s="845">
        <v>0.186</v>
      </c>
      <c r="CM29" s="845">
        <v>0.1918</v>
      </c>
      <c r="CN29" s="845">
        <v>0.1993</v>
      </c>
      <c r="CO29" s="845">
        <v>0.20849999999999999</v>
      </c>
      <c r="CP29" s="845">
        <v>0.21990000000000001</v>
      </c>
      <c r="CQ29" s="845">
        <v>0.23380000000000001</v>
      </c>
      <c r="CR29" s="845">
        <v>0.2505</v>
      </c>
      <c r="CS29" s="845">
        <v>0.27060000000000001</v>
      </c>
      <c r="CT29" s="845">
        <v>0.3</v>
      </c>
      <c r="CU29" s="845">
        <v>0.35</v>
      </c>
      <c r="CV29" s="845"/>
      <c r="CW29" s="845"/>
      <c r="CX29" s="845"/>
      <c r="CY29" s="845"/>
      <c r="CZ29" s="845"/>
      <c r="DA29" s="845"/>
      <c r="DB29" s="845"/>
      <c r="DC29" s="845"/>
      <c r="DD29" s="845"/>
      <c r="DE29" s="845"/>
    </row>
    <row r="30" spans="2:109">
      <c r="B30" s="843">
        <v>26</v>
      </c>
      <c r="C30" s="844">
        <v>17.309999999999999</v>
      </c>
      <c r="D30" s="844">
        <v>18.59</v>
      </c>
      <c r="E30" s="844">
        <v>19.97</v>
      </c>
      <c r="F30" s="844">
        <v>21.46</v>
      </c>
      <c r="G30" s="844">
        <v>23.06</v>
      </c>
      <c r="H30" s="844">
        <v>24.78</v>
      </c>
      <c r="I30" s="844">
        <v>26.64</v>
      </c>
      <c r="J30" s="844">
        <v>28.63</v>
      </c>
      <c r="K30" s="844">
        <v>30.78</v>
      </c>
      <c r="L30" s="844">
        <v>33.090000000000003</v>
      </c>
      <c r="M30" s="844">
        <v>35.58</v>
      </c>
      <c r="N30" s="844">
        <v>38.26</v>
      </c>
      <c r="O30" s="844">
        <v>41.14</v>
      </c>
      <c r="P30" s="844">
        <v>44.23</v>
      </c>
      <c r="Q30" s="844">
        <v>47.57</v>
      </c>
      <c r="R30" s="844">
        <v>50.37</v>
      </c>
      <c r="S30" s="844">
        <v>53.51</v>
      </c>
      <c r="T30" s="844">
        <v>57.04</v>
      </c>
      <c r="U30" s="844">
        <v>61.03</v>
      </c>
      <c r="V30" s="844">
        <v>65.55</v>
      </c>
      <c r="W30" s="844">
        <v>71.22</v>
      </c>
      <c r="X30" s="844">
        <v>77.44</v>
      </c>
      <c r="Y30" s="844">
        <v>84.25</v>
      </c>
      <c r="Z30" s="844">
        <v>91.74</v>
      </c>
      <c r="AA30" s="844"/>
      <c r="AB30" s="844"/>
      <c r="AC30" s="844"/>
      <c r="AD30" s="844"/>
      <c r="AE30" s="844"/>
      <c r="AF30" s="844"/>
      <c r="AG30" s="844"/>
      <c r="AH30" s="844"/>
      <c r="AI30" s="844"/>
      <c r="AL30" s="843">
        <v>24</v>
      </c>
      <c r="AM30" s="845">
        <v>0</v>
      </c>
      <c r="AN30" s="845">
        <v>0.3</v>
      </c>
      <c r="AO30" s="845">
        <v>0.5</v>
      </c>
      <c r="AP30" s="845">
        <v>0.5</v>
      </c>
      <c r="AQ30" s="845">
        <v>0.5</v>
      </c>
      <c r="AR30" s="845">
        <v>0.5</v>
      </c>
      <c r="AS30" s="845">
        <v>0.51880000000000004</v>
      </c>
      <c r="AT30" s="845">
        <v>0.53749999999999998</v>
      </c>
      <c r="AU30" s="845">
        <v>0.55630000000000002</v>
      </c>
      <c r="AV30" s="845">
        <v>0.57499999999999996</v>
      </c>
      <c r="AW30" s="845">
        <v>0.59379999999999999</v>
      </c>
      <c r="AX30" s="845">
        <v>0.61250000000000004</v>
      </c>
      <c r="AY30" s="845">
        <v>0.63129999999999997</v>
      </c>
      <c r="AZ30" s="845">
        <v>0.65</v>
      </c>
      <c r="BA30" s="845">
        <v>0.66879999999999995</v>
      </c>
      <c r="BB30" s="845">
        <v>0.6875</v>
      </c>
      <c r="BC30" s="845">
        <v>0.70630000000000004</v>
      </c>
      <c r="BD30" s="845">
        <v>0.72499999999999998</v>
      </c>
      <c r="BE30" s="845">
        <v>0.74380000000000002</v>
      </c>
      <c r="BF30" s="845">
        <v>0.76249999999999996</v>
      </c>
      <c r="BG30" s="845">
        <v>0.78129999999999999</v>
      </c>
      <c r="BH30" s="845">
        <v>0.8</v>
      </c>
      <c r="BI30" s="845">
        <v>0.8</v>
      </c>
      <c r="BJ30" s="843"/>
      <c r="BK30" s="843"/>
      <c r="BL30" s="843"/>
      <c r="BM30" s="843"/>
      <c r="BN30" s="843"/>
      <c r="BO30" s="843"/>
      <c r="BP30" s="843"/>
      <c r="BQ30" s="843"/>
      <c r="BR30" s="843"/>
      <c r="BS30" s="843"/>
      <c r="BT30" s="843"/>
      <c r="BW30" s="843">
        <v>26</v>
      </c>
      <c r="BX30" s="845">
        <v>0</v>
      </c>
      <c r="BY30" s="845">
        <v>0.15129999999999999</v>
      </c>
      <c r="BZ30" s="845">
        <v>0.15279999999999999</v>
      </c>
      <c r="CA30" s="845">
        <v>0.1542</v>
      </c>
      <c r="CB30" s="845">
        <v>0.1555</v>
      </c>
      <c r="CC30" s="845">
        <v>0.15720000000000001</v>
      </c>
      <c r="CD30" s="845">
        <v>0.1593</v>
      </c>
      <c r="CE30" s="845">
        <v>0.16220000000000001</v>
      </c>
      <c r="CF30" s="845">
        <v>0.1658</v>
      </c>
      <c r="CG30" s="845">
        <v>0.17030000000000001</v>
      </c>
      <c r="CH30" s="845">
        <v>0.17580000000000001</v>
      </c>
      <c r="CI30" s="845">
        <v>0.17580000000000001</v>
      </c>
      <c r="CJ30" s="845">
        <v>0.17660000000000001</v>
      </c>
      <c r="CK30" s="845">
        <v>0.17849999999999999</v>
      </c>
      <c r="CL30" s="845">
        <v>0.18160000000000001</v>
      </c>
      <c r="CM30" s="845">
        <v>0.186</v>
      </c>
      <c r="CN30" s="845">
        <v>0.1918</v>
      </c>
      <c r="CO30" s="845">
        <v>0.1993</v>
      </c>
      <c r="CP30" s="845">
        <v>0.20849999999999999</v>
      </c>
      <c r="CQ30" s="845">
        <v>0.21990000000000001</v>
      </c>
      <c r="CR30" s="845">
        <v>0.23380000000000001</v>
      </c>
      <c r="CS30" s="845">
        <v>0.2505</v>
      </c>
      <c r="CT30" s="845">
        <v>0.27060000000000001</v>
      </c>
      <c r="CU30" s="845">
        <v>0.3</v>
      </c>
      <c r="CV30" s="845">
        <v>0.35</v>
      </c>
      <c r="CW30" s="845"/>
      <c r="CX30" s="845"/>
      <c r="CY30" s="845"/>
      <c r="CZ30" s="845"/>
      <c r="DA30" s="845"/>
      <c r="DB30" s="845"/>
      <c r="DC30" s="845"/>
      <c r="DD30" s="845"/>
      <c r="DE30" s="845"/>
    </row>
    <row r="31" spans="2:109">
      <c r="B31" s="843">
        <v>27</v>
      </c>
      <c r="C31" s="844">
        <v>16.260000000000002</v>
      </c>
      <c r="D31" s="844">
        <v>17.46</v>
      </c>
      <c r="E31" s="844">
        <v>18.75</v>
      </c>
      <c r="F31" s="844">
        <v>20.14</v>
      </c>
      <c r="G31" s="844">
        <v>21.63</v>
      </c>
      <c r="H31" s="844">
        <v>23.23</v>
      </c>
      <c r="I31" s="844">
        <v>24.96</v>
      </c>
      <c r="J31" s="844">
        <v>26.82</v>
      </c>
      <c r="K31" s="844">
        <v>28.81</v>
      </c>
      <c r="L31" s="844">
        <v>30.97</v>
      </c>
      <c r="M31" s="844">
        <v>33.28</v>
      </c>
      <c r="N31" s="844">
        <v>35.770000000000003</v>
      </c>
      <c r="O31" s="844">
        <v>38.44</v>
      </c>
      <c r="P31" s="844">
        <v>41.31</v>
      </c>
      <c r="Q31" s="844">
        <v>44.39</v>
      </c>
      <c r="R31" s="844">
        <v>47.71</v>
      </c>
      <c r="S31" s="844">
        <v>50.5</v>
      </c>
      <c r="T31" s="844">
        <v>53.63</v>
      </c>
      <c r="U31" s="844">
        <v>57.14</v>
      </c>
      <c r="V31" s="844">
        <v>61.11</v>
      </c>
      <c r="W31" s="844">
        <v>65.61</v>
      </c>
      <c r="X31" s="844">
        <v>71.27</v>
      </c>
      <c r="Y31" s="844">
        <v>77.459999999999994</v>
      </c>
      <c r="Z31" s="844">
        <v>84.26</v>
      </c>
      <c r="AA31" s="844">
        <v>91.74</v>
      </c>
      <c r="AB31" s="844"/>
      <c r="AC31" s="844"/>
      <c r="AD31" s="844"/>
      <c r="AE31" s="844"/>
      <c r="AF31" s="844"/>
      <c r="AG31" s="844"/>
      <c r="AH31" s="844"/>
      <c r="AI31" s="844"/>
      <c r="AL31" s="843">
        <v>25</v>
      </c>
      <c r="AM31" s="845">
        <v>0</v>
      </c>
      <c r="AN31" s="845">
        <v>0.3</v>
      </c>
      <c r="AO31" s="845">
        <v>0.5</v>
      </c>
      <c r="AP31" s="845">
        <v>0.5</v>
      </c>
      <c r="AQ31" s="845">
        <v>0.5</v>
      </c>
      <c r="AR31" s="845">
        <v>0.5</v>
      </c>
      <c r="AS31" s="845">
        <v>0.51759999999999995</v>
      </c>
      <c r="AT31" s="845">
        <v>0.5353</v>
      </c>
      <c r="AU31" s="845">
        <v>0.55289999999999995</v>
      </c>
      <c r="AV31" s="845">
        <v>0.5706</v>
      </c>
      <c r="AW31" s="845">
        <v>0.58819999999999995</v>
      </c>
      <c r="AX31" s="845">
        <v>0.60589999999999999</v>
      </c>
      <c r="AY31" s="845">
        <v>0.62350000000000005</v>
      </c>
      <c r="AZ31" s="845">
        <v>0.64119999999999999</v>
      </c>
      <c r="BA31" s="845">
        <v>0.65880000000000005</v>
      </c>
      <c r="BB31" s="845">
        <v>0.67649999999999999</v>
      </c>
      <c r="BC31" s="845">
        <v>0.69410000000000005</v>
      </c>
      <c r="BD31" s="845">
        <v>0.71179999999999999</v>
      </c>
      <c r="BE31" s="845">
        <v>0.72940000000000005</v>
      </c>
      <c r="BF31" s="845">
        <v>0.74709999999999999</v>
      </c>
      <c r="BG31" s="845">
        <v>0.76470000000000005</v>
      </c>
      <c r="BH31" s="845">
        <v>0.78239999999999998</v>
      </c>
      <c r="BI31" s="845">
        <v>0.8</v>
      </c>
      <c r="BJ31" s="845">
        <v>0.8</v>
      </c>
      <c r="BK31" s="843"/>
      <c r="BL31" s="843"/>
      <c r="BM31" s="843"/>
      <c r="BN31" s="843"/>
      <c r="BO31" s="843"/>
      <c r="BP31" s="843"/>
      <c r="BQ31" s="843"/>
      <c r="BR31" s="843"/>
      <c r="BS31" s="843"/>
      <c r="BT31" s="843"/>
      <c r="BW31" s="843">
        <v>27</v>
      </c>
      <c r="BX31" s="845">
        <v>0</v>
      </c>
      <c r="BY31" s="845">
        <v>0.14940000000000001</v>
      </c>
      <c r="BZ31" s="845">
        <v>0.15129999999999999</v>
      </c>
      <c r="CA31" s="845">
        <v>0.15279999999999999</v>
      </c>
      <c r="CB31" s="845">
        <v>0.1542</v>
      </c>
      <c r="CC31" s="845">
        <v>0.1555</v>
      </c>
      <c r="CD31" s="845">
        <v>0.15720000000000001</v>
      </c>
      <c r="CE31" s="845">
        <v>0.1593</v>
      </c>
      <c r="CF31" s="845">
        <v>0.16220000000000001</v>
      </c>
      <c r="CG31" s="845">
        <v>0.1658</v>
      </c>
      <c r="CH31" s="845">
        <v>0.17030000000000001</v>
      </c>
      <c r="CI31" s="845">
        <v>0.17580000000000001</v>
      </c>
      <c r="CJ31" s="845">
        <v>0.17580000000000001</v>
      </c>
      <c r="CK31" s="845">
        <v>0.17660000000000001</v>
      </c>
      <c r="CL31" s="845">
        <v>0.17849999999999999</v>
      </c>
      <c r="CM31" s="845">
        <v>0.18160000000000001</v>
      </c>
      <c r="CN31" s="845">
        <v>0.186</v>
      </c>
      <c r="CO31" s="845">
        <v>0.1918</v>
      </c>
      <c r="CP31" s="845">
        <v>0.1993</v>
      </c>
      <c r="CQ31" s="845">
        <v>0.20849999999999999</v>
      </c>
      <c r="CR31" s="845">
        <v>0.21990000000000001</v>
      </c>
      <c r="CS31" s="845">
        <v>0.23380000000000001</v>
      </c>
      <c r="CT31" s="845">
        <v>0.2505</v>
      </c>
      <c r="CU31" s="845">
        <v>0.27060000000000001</v>
      </c>
      <c r="CV31" s="845">
        <v>0.3</v>
      </c>
      <c r="CW31" s="845">
        <v>0.35</v>
      </c>
      <c r="CX31" s="845"/>
      <c r="CY31" s="845"/>
      <c r="CZ31" s="845"/>
      <c r="DA31" s="845"/>
      <c r="DB31" s="845"/>
      <c r="DC31" s="845"/>
      <c r="DD31" s="845"/>
      <c r="DE31" s="845"/>
    </row>
    <row r="32" spans="2:109">
      <c r="B32" s="843">
        <v>28</v>
      </c>
      <c r="C32" s="844">
        <v>15.3</v>
      </c>
      <c r="D32" s="844">
        <v>16.420000000000002</v>
      </c>
      <c r="E32" s="844">
        <v>17.63</v>
      </c>
      <c r="F32" s="844">
        <v>18.93</v>
      </c>
      <c r="G32" s="844">
        <v>20.32</v>
      </c>
      <c r="H32" s="844">
        <v>21.82</v>
      </c>
      <c r="I32" s="844">
        <v>23.43</v>
      </c>
      <c r="J32" s="844">
        <v>25.16</v>
      </c>
      <c r="K32" s="844">
        <v>27.02</v>
      </c>
      <c r="L32" s="844">
        <v>29.02</v>
      </c>
      <c r="M32" s="844">
        <v>31.18</v>
      </c>
      <c r="N32" s="844">
        <v>33.49</v>
      </c>
      <c r="O32" s="844">
        <v>35.97</v>
      </c>
      <c r="P32" s="844">
        <v>38.630000000000003</v>
      </c>
      <c r="Q32" s="844">
        <v>41.5</v>
      </c>
      <c r="R32" s="844">
        <v>44.57</v>
      </c>
      <c r="S32" s="844">
        <v>47.87</v>
      </c>
      <c r="T32" s="844">
        <v>50.65</v>
      </c>
      <c r="U32" s="844">
        <v>53.79</v>
      </c>
      <c r="V32" s="844">
        <v>57.25</v>
      </c>
      <c r="W32" s="844">
        <v>61.2</v>
      </c>
      <c r="X32" s="844">
        <v>65.680000000000007</v>
      </c>
      <c r="Y32" s="844">
        <v>71.31</v>
      </c>
      <c r="Z32" s="844">
        <v>77.489999999999995</v>
      </c>
      <c r="AA32" s="844">
        <v>84.27</v>
      </c>
      <c r="AB32" s="844">
        <v>91.74</v>
      </c>
      <c r="AC32" s="844"/>
      <c r="AD32" s="844"/>
      <c r="AE32" s="844"/>
      <c r="AF32" s="844"/>
      <c r="AG32" s="844"/>
      <c r="AH32" s="844"/>
      <c r="AI32" s="844"/>
      <c r="AL32" s="843">
        <v>26</v>
      </c>
      <c r="AM32" s="845">
        <v>0</v>
      </c>
      <c r="AN32" s="845">
        <v>0.3</v>
      </c>
      <c r="AO32" s="845">
        <v>0.5</v>
      </c>
      <c r="AP32" s="845">
        <v>0.5</v>
      </c>
      <c r="AQ32" s="845">
        <v>0.5</v>
      </c>
      <c r="AR32" s="845">
        <v>0.5</v>
      </c>
      <c r="AS32" s="845">
        <v>0.51670000000000005</v>
      </c>
      <c r="AT32" s="845">
        <v>0.5333</v>
      </c>
      <c r="AU32" s="845">
        <v>0.55000000000000004</v>
      </c>
      <c r="AV32" s="845">
        <v>0.56669999999999998</v>
      </c>
      <c r="AW32" s="845">
        <v>0.58330000000000004</v>
      </c>
      <c r="AX32" s="845">
        <v>0.6</v>
      </c>
      <c r="AY32" s="845">
        <v>0.61670000000000003</v>
      </c>
      <c r="AZ32" s="845">
        <v>0.63329999999999997</v>
      </c>
      <c r="BA32" s="845">
        <v>0.65</v>
      </c>
      <c r="BB32" s="845">
        <v>0.66669999999999996</v>
      </c>
      <c r="BC32" s="845">
        <v>0.68330000000000002</v>
      </c>
      <c r="BD32" s="845">
        <v>0.7</v>
      </c>
      <c r="BE32" s="845">
        <v>0.7167</v>
      </c>
      <c r="BF32" s="845">
        <v>0.73329999999999995</v>
      </c>
      <c r="BG32" s="845">
        <v>0.75</v>
      </c>
      <c r="BH32" s="845">
        <v>0.76670000000000005</v>
      </c>
      <c r="BI32" s="845">
        <v>0.7833</v>
      </c>
      <c r="BJ32" s="845">
        <v>0.8</v>
      </c>
      <c r="BK32" s="845">
        <v>0.8</v>
      </c>
      <c r="BL32" s="843"/>
      <c r="BM32" s="843"/>
      <c r="BN32" s="843"/>
      <c r="BO32" s="843"/>
      <c r="BP32" s="843"/>
      <c r="BQ32" s="843"/>
      <c r="BR32" s="843"/>
      <c r="BS32" s="843"/>
      <c r="BT32" s="843"/>
      <c r="BW32" s="843">
        <v>28</v>
      </c>
      <c r="BX32" s="845">
        <v>0</v>
      </c>
      <c r="BY32" s="845">
        <v>0.14130000000000001</v>
      </c>
      <c r="BZ32" s="845">
        <v>0.14940000000000001</v>
      </c>
      <c r="CA32" s="845">
        <v>0.15129999999999999</v>
      </c>
      <c r="CB32" s="845">
        <v>0.15279999999999999</v>
      </c>
      <c r="CC32" s="845">
        <v>0.1542</v>
      </c>
      <c r="CD32" s="845">
        <v>0.1555</v>
      </c>
      <c r="CE32" s="845">
        <v>0.15720000000000001</v>
      </c>
      <c r="CF32" s="845">
        <v>0.1593</v>
      </c>
      <c r="CG32" s="845">
        <v>0.16220000000000001</v>
      </c>
      <c r="CH32" s="845">
        <v>0.1658</v>
      </c>
      <c r="CI32" s="845">
        <v>0.17030000000000001</v>
      </c>
      <c r="CJ32" s="845">
        <v>0.17580000000000001</v>
      </c>
      <c r="CK32" s="845">
        <v>0.17580000000000001</v>
      </c>
      <c r="CL32" s="845">
        <v>0.17660000000000001</v>
      </c>
      <c r="CM32" s="845">
        <v>0.17849999999999999</v>
      </c>
      <c r="CN32" s="845">
        <v>0.18160000000000001</v>
      </c>
      <c r="CO32" s="845">
        <v>0.186</v>
      </c>
      <c r="CP32" s="845">
        <v>0.1918</v>
      </c>
      <c r="CQ32" s="845">
        <v>0.1993</v>
      </c>
      <c r="CR32" s="845">
        <v>0.20849999999999999</v>
      </c>
      <c r="CS32" s="845">
        <v>0.21990000000000001</v>
      </c>
      <c r="CT32" s="845">
        <v>0.23380000000000001</v>
      </c>
      <c r="CU32" s="845">
        <v>0.2505</v>
      </c>
      <c r="CV32" s="845">
        <v>0.27060000000000001</v>
      </c>
      <c r="CW32" s="845">
        <v>0.3</v>
      </c>
      <c r="CX32" s="845">
        <v>0.35</v>
      </c>
      <c r="CY32" s="845"/>
      <c r="CZ32" s="845"/>
      <c r="DA32" s="845"/>
      <c r="DB32" s="845"/>
      <c r="DC32" s="845"/>
      <c r="DD32" s="845"/>
      <c r="DE32" s="845"/>
    </row>
    <row r="33" spans="2:109">
      <c r="B33" s="843">
        <v>29</v>
      </c>
      <c r="C33" s="844">
        <v>14.43</v>
      </c>
      <c r="D33" s="844">
        <v>15.48</v>
      </c>
      <c r="E33" s="844">
        <v>16.61</v>
      </c>
      <c r="F33" s="844">
        <v>17.82</v>
      </c>
      <c r="G33" s="844">
        <v>19.13</v>
      </c>
      <c r="H33" s="844">
        <v>20.53</v>
      </c>
      <c r="I33" s="844">
        <v>22.03</v>
      </c>
      <c r="J33" s="844">
        <v>23.65</v>
      </c>
      <c r="K33" s="844">
        <v>25.38</v>
      </c>
      <c r="L33" s="844">
        <v>27.25</v>
      </c>
      <c r="M33" s="844">
        <v>29.26</v>
      </c>
      <c r="N33" s="844">
        <v>31.41</v>
      </c>
      <c r="O33" s="844">
        <v>33.72</v>
      </c>
      <c r="P33" s="844">
        <v>36.200000000000003</v>
      </c>
      <c r="Q33" s="844">
        <v>38.85</v>
      </c>
      <c r="R33" s="844">
        <v>41.7</v>
      </c>
      <c r="S33" s="844">
        <v>44.76</v>
      </c>
      <c r="T33" s="844">
        <v>48.05</v>
      </c>
      <c r="U33" s="844">
        <v>50.81</v>
      </c>
      <c r="V33" s="844">
        <v>53.9</v>
      </c>
      <c r="W33" s="844">
        <v>57.37</v>
      </c>
      <c r="X33" s="844">
        <v>61.3</v>
      </c>
      <c r="Y33" s="844">
        <v>65.760000000000005</v>
      </c>
      <c r="Z33" s="844">
        <v>71.36</v>
      </c>
      <c r="AA33" s="844">
        <v>77.52</v>
      </c>
      <c r="AB33" s="844">
        <v>84.28</v>
      </c>
      <c r="AC33" s="844">
        <v>91.74</v>
      </c>
      <c r="AD33" s="844"/>
      <c r="AE33" s="844"/>
      <c r="AF33" s="844"/>
      <c r="AG33" s="844"/>
      <c r="AH33" s="844"/>
      <c r="AI33" s="844"/>
      <c r="AL33" s="843">
        <v>27</v>
      </c>
      <c r="AM33" s="845">
        <v>0</v>
      </c>
      <c r="AN33" s="845">
        <v>0.3</v>
      </c>
      <c r="AO33" s="845">
        <v>0.5</v>
      </c>
      <c r="AP33" s="845">
        <v>0.5</v>
      </c>
      <c r="AQ33" s="845">
        <v>0.5</v>
      </c>
      <c r="AR33" s="845">
        <v>0.5</v>
      </c>
      <c r="AS33" s="845">
        <v>0.51580000000000004</v>
      </c>
      <c r="AT33" s="845">
        <v>0.53159999999999996</v>
      </c>
      <c r="AU33" s="845">
        <v>0.5474</v>
      </c>
      <c r="AV33" s="845">
        <v>0.56320000000000003</v>
      </c>
      <c r="AW33" s="845">
        <v>0.57889999999999997</v>
      </c>
      <c r="AX33" s="845">
        <v>0.59470000000000001</v>
      </c>
      <c r="AY33" s="845">
        <v>0.61050000000000004</v>
      </c>
      <c r="AZ33" s="845">
        <v>0.62629999999999997</v>
      </c>
      <c r="BA33" s="845">
        <v>0.6421</v>
      </c>
      <c r="BB33" s="845">
        <v>0.65790000000000004</v>
      </c>
      <c r="BC33" s="845">
        <v>0.67369999999999997</v>
      </c>
      <c r="BD33" s="845">
        <v>0.6895</v>
      </c>
      <c r="BE33" s="845">
        <v>0.70530000000000004</v>
      </c>
      <c r="BF33" s="845">
        <v>0.72109999999999996</v>
      </c>
      <c r="BG33" s="845">
        <v>0.73680000000000001</v>
      </c>
      <c r="BH33" s="845">
        <v>0.75260000000000005</v>
      </c>
      <c r="BI33" s="845">
        <v>0.76839999999999997</v>
      </c>
      <c r="BJ33" s="845">
        <v>0.78420000000000001</v>
      </c>
      <c r="BK33" s="845">
        <v>0.8</v>
      </c>
      <c r="BL33" s="845">
        <v>0.8</v>
      </c>
      <c r="BM33" s="843"/>
      <c r="BN33" s="843"/>
      <c r="BO33" s="843"/>
      <c r="BP33" s="843"/>
      <c r="BQ33" s="843"/>
      <c r="BR33" s="843"/>
      <c r="BS33" s="843"/>
      <c r="BT33" s="843"/>
      <c r="BW33" s="843">
        <v>29</v>
      </c>
      <c r="BX33" s="845">
        <v>0</v>
      </c>
      <c r="BY33" s="845">
        <v>0.13200000000000001</v>
      </c>
      <c r="BZ33" s="845">
        <v>0.14130000000000001</v>
      </c>
      <c r="CA33" s="845">
        <v>0.14940000000000001</v>
      </c>
      <c r="CB33" s="845">
        <v>0.15129999999999999</v>
      </c>
      <c r="CC33" s="845">
        <v>0.15279999999999999</v>
      </c>
      <c r="CD33" s="845">
        <v>0.1542</v>
      </c>
      <c r="CE33" s="845">
        <v>0.1555</v>
      </c>
      <c r="CF33" s="845">
        <v>0.15720000000000001</v>
      </c>
      <c r="CG33" s="845">
        <v>0.1593</v>
      </c>
      <c r="CH33" s="845">
        <v>0.16220000000000001</v>
      </c>
      <c r="CI33" s="845">
        <v>0.1658</v>
      </c>
      <c r="CJ33" s="845">
        <v>0.17030000000000001</v>
      </c>
      <c r="CK33" s="845">
        <v>0.17580000000000001</v>
      </c>
      <c r="CL33" s="845">
        <v>0.17580000000000001</v>
      </c>
      <c r="CM33" s="845">
        <v>0.17660000000000001</v>
      </c>
      <c r="CN33" s="845">
        <v>0.17849999999999999</v>
      </c>
      <c r="CO33" s="845">
        <v>0.18160000000000001</v>
      </c>
      <c r="CP33" s="845">
        <v>0.186</v>
      </c>
      <c r="CQ33" s="845">
        <v>0.1918</v>
      </c>
      <c r="CR33" s="845">
        <v>0.1993</v>
      </c>
      <c r="CS33" s="845">
        <v>0.20849999999999999</v>
      </c>
      <c r="CT33" s="845">
        <v>0.21990000000000001</v>
      </c>
      <c r="CU33" s="845">
        <v>0.23380000000000001</v>
      </c>
      <c r="CV33" s="845">
        <v>0.2505</v>
      </c>
      <c r="CW33" s="845">
        <v>0.27060000000000001</v>
      </c>
      <c r="CX33" s="845">
        <v>0.3</v>
      </c>
      <c r="CY33" s="845">
        <v>0.35</v>
      </c>
      <c r="CZ33" s="845"/>
      <c r="DA33" s="845"/>
      <c r="DB33" s="845"/>
      <c r="DC33" s="845"/>
      <c r="DD33" s="845"/>
      <c r="DE33" s="845"/>
    </row>
    <row r="34" spans="2:109">
      <c r="B34" s="843">
        <v>30</v>
      </c>
      <c r="C34" s="844">
        <v>13.63</v>
      </c>
      <c r="D34" s="844">
        <v>14.62</v>
      </c>
      <c r="E34" s="844">
        <v>15.68</v>
      </c>
      <c r="F34" s="844">
        <v>16.82</v>
      </c>
      <c r="G34" s="844">
        <v>18.04</v>
      </c>
      <c r="H34" s="844">
        <v>19.350000000000001</v>
      </c>
      <c r="I34" s="844">
        <v>20.76</v>
      </c>
      <c r="J34" s="844">
        <v>22.27</v>
      </c>
      <c r="K34" s="844">
        <v>23.89</v>
      </c>
      <c r="L34" s="844">
        <v>25.64</v>
      </c>
      <c r="M34" s="844">
        <v>27.51</v>
      </c>
      <c r="N34" s="844">
        <v>29.52</v>
      </c>
      <c r="O34" s="844">
        <v>31.67</v>
      </c>
      <c r="P34" s="844">
        <v>33.979999999999997</v>
      </c>
      <c r="Q34" s="844">
        <v>36.44</v>
      </c>
      <c r="R34" s="844">
        <v>39.090000000000003</v>
      </c>
      <c r="S34" s="844">
        <v>41.92</v>
      </c>
      <c r="T34" s="844">
        <v>44.97</v>
      </c>
      <c r="U34" s="844">
        <v>48.24</v>
      </c>
      <c r="V34" s="844">
        <v>50.98</v>
      </c>
      <c r="W34" s="844">
        <v>54.05</v>
      </c>
      <c r="X34" s="844">
        <v>57.5</v>
      </c>
      <c r="Y34" s="844">
        <v>61.41</v>
      </c>
      <c r="Z34" s="844">
        <v>65.84</v>
      </c>
      <c r="AA34" s="844">
        <v>71.42</v>
      </c>
      <c r="AB34" s="844">
        <v>77.55</v>
      </c>
      <c r="AC34" s="844">
        <v>84.29</v>
      </c>
      <c r="AD34" s="844">
        <v>91.74</v>
      </c>
      <c r="AE34" s="844"/>
      <c r="AF34" s="844"/>
      <c r="AG34" s="844"/>
      <c r="AH34" s="844"/>
      <c r="AI34" s="844"/>
      <c r="AL34" s="843">
        <v>28</v>
      </c>
      <c r="AM34" s="845">
        <v>0</v>
      </c>
      <c r="AN34" s="845">
        <v>0.3</v>
      </c>
      <c r="AO34" s="845">
        <v>0.5</v>
      </c>
      <c r="AP34" s="845">
        <v>0.5</v>
      </c>
      <c r="AQ34" s="845">
        <v>0.5</v>
      </c>
      <c r="AR34" s="845">
        <v>0.5</v>
      </c>
      <c r="AS34" s="845">
        <v>0.51500000000000001</v>
      </c>
      <c r="AT34" s="845">
        <v>0.53</v>
      </c>
      <c r="AU34" s="845">
        <v>0.54500000000000004</v>
      </c>
      <c r="AV34" s="845">
        <v>0.56000000000000005</v>
      </c>
      <c r="AW34" s="845">
        <v>0.57499999999999996</v>
      </c>
      <c r="AX34" s="845">
        <v>0.59</v>
      </c>
      <c r="AY34" s="845">
        <v>0.60499999999999998</v>
      </c>
      <c r="AZ34" s="845">
        <v>0.62</v>
      </c>
      <c r="BA34" s="845">
        <v>0.63500000000000001</v>
      </c>
      <c r="BB34" s="845">
        <v>0.65</v>
      </c>
      <c r="BC34" s="845">
        <v>0.66500000000000004</v>
      </c>
      <c r="BD34" s="845">
        <v>0.68</v>
      </c>
      <c r="BE34" s="845">
        <v>0.69499999999999995</v>
      </c>
      <c r="BF34" s="845">
        <v>0.71</v>
      </c>
      <c r="BG34" s="845">
        <v>0.72499999999999998</v>
      </c>
      <c r="BH34" s="845">
        <v>0.74</v>
      </c>
      <c r="BI34" s="845">
        <v>0.755</v>
      </c>
      <c r="BJ34" s="845">
        <v>0.77</v>
      </c>
      <c r="BK34" s="845">
        <v>0.78500000000000003</v>
      </c>
      <c r="BL34" s="845">
        <v>0.8</v>
      </c>
      <c r="BM34" s="845">
        <v>0.8</v>
      </c>
      <c r="BN34" s="843"/>
      <c r="BO34" s="843"/>
      <c r="BP34" s="843"/>
      <c r="BQ34" s="843"/>
      <c r="BR34" s="843"/>
      <c r="BS34" s="843"/>
      <c r="BT34" s="843"/>
      <c r="BW34" s="843">
        <v>30</v>
      </c>
      <c r="BX34" s="845">
        <v>0</v>
      </c>
      <c r="BY34" s="845">
        <v>0.1206</v>
      </c>
      <c r="BZ34" s="845">
        <v>0.13200000000000001</v>
      </c>
      <c r="CA34" s="845">
        <v>0.14130000000000001</v>
      </c>
      <c r="CB34" s="845">
        <v>0.14940000000000001</v>
      </c>
      <c r="CC34" s="845">
        <v>0.15129999999999999</v>
      </c>
      <c r="CD34" s="845">
        <v>0.15279999999999999</v>
      </c>
      <c r="CE34" s="845">
        <v>0.1542</v>
      </c>
      <c r="CF34" s="845">
        <v>0.1555</v>
      </c>
      <c r="CG34" s="845">
        <v>0.15720000000000001</v>
      </c>
      <c r="CH34" s="845">
        <v>0.1593</v>
      </c>
      <c r="CI34" s="845">
        <v>0.16220000000000001</v>
      </c>
      <c r="CJ34" s="845">
        <v>0.1658</v>
      </c>
      <c r="CK34" s="845">
        <v>0.17030000000000001</v>
      </c>
      <c r="CL34" s="845">
        <v>0.17580000000000001</v>
      </c>
      <c r="CM34" s="845">
        <v>0.17580000000000001</v>
      </c>
      <c r="CN34" s="845">
        <v>0.17660000000000001</v>
      </c>
      <c r="CO34" s="845">
        <v>0.17849999999999999</v>
      </c>
      <c r="CP34" s="845">
        <v>0.18160000000000001</v>
      </c>
      <c r="CQ34" s="845">
        <v>0.186</v>
      </c>
      <c r="CR34" s="845">
        <v>0.1918</v>
      </c>
      <c r="CS34" s="845">
        <v>0.1993</v>
      </c>
      <c r="CT34" s="845">
        <v>0.20849999999999999</v>
      </c>
      <c r="CU34" s="845">
        <v>0.21990000000000001</v>
      </c>
      <c r="CV34" s="845">
        <v>0.23380000000000001</v>
      </c>
      <c r="CW34" s="845">
        <v>0.2505</v>
      </c>
      <c r="CX34" s="845">
        <v>0.27060000000000001</v>
      </c>
      <c r="CY34" s="845">
        <v>0.3</v>
      </c>
      <c r="CZ34" s="845">
        <v>0.35</v>
      </c>
      <c r="DA34" s="845"/>
      <c r="DB34" s="845"/>
      <c r="DC34" s="845"/>
      <c r="DD34" s="845"/>
      <c r="DE34" s="845"/>
    </row>
    <row r="35" spans="2:109">
      <c r="B35" s="843">
        <v>31</v>
      </c>
      <c r="C35" s="844">
        <v>12.91</v>
      </c>
      <c r="D35" s="844">
        <v>13.84</v>
      </c>
      <c r="E35" s="844">
        <v>14.84</v>
      </c>
      <c r="F35" s="844">
        <v>15.91</v>
      </c>
      <c r="G35" s="844">
        <v>17.05</v>
      </c>
      <c r="H35" s="844">
        <v>18.28</v>
      </c>
      <c r="I35" s="844">
        <v>19.600000000000001</v>
      </c>
      <c r="J35" s="844">
        <v>21.02</v>
      </c>
      <c r="K35" s="844">
        <v>22.54</v>
      </c>
      <c r="L35" s="844">
        <v>24.17</v>
      </c>
      <c r="M35" s="844">
        <v>25.93</v>
      </c>
      <c r="N35" s="844">
        <v>27.8</v>
      </c>
      <c r="O35" s="844">
        <v>29.81</v>
      </c>
      <c r="P35" s="844">
        <v>31.96</v>
      </c>
      <c r="Q35" s="844">
        <v>34.25</v>
      </c>
      <c r="R35" s="844">
        <v>36.71</v>
      </c>
      <c r="S35" s="844">
        <v>39.35</v>
      </c>
      <c r="T35" s="844">
        <v>42.17</v>
      </c>
      <c r="U35" s="844">
        <v>45.2</v>
      </c>
      <c r="V35" s="844">
        <v>48.45</v>
      </c>
      <c r="W35" s="844">
        <v>51.17</v>
      </c>
      <c r="X35" s="844">
        <v>54.22</v>
      </c>
      <c r="Y35" s="844">
        <v>57.65</v>
      </c>
      <c r="Z35" s="844">
        <v>61.52</v>
      </c>
      <c r="AA35" s="844">
        <v>65.930000000000007</v>
      </c>
      <c r="AB35" s="844">
        <v>71.48</v>
      </c>
      <c r="AC35" s="844">
        <v>77.58</v>
      </c>
      <c r="AD35" s="844">
        <v>84.31</v>
      </c>
      <c r="AE35" s="844">
        <v>91.74</v>
      </c>
      <c r="AF35" s="844"/>
      <c r="AG35" s="844"/>
      <c r="AH35" s="844"/>
      <c r="AI35" s="844"/>
      <c r="AL35" s="843">
        <v>29</v>
      </c>
      <c r="AM35" s="845">
        <v>0</v>
      </c>
      <c r="AN35" s="845">
        <v>0.3</v>
      </c>
      <c r="AO35" s="845">
        <v>0.5</v>
      </c>
      <c r="AP35" s="845">
        <v>0.5</v>
      </c>
      <c r="AQ35" s="845">
        <v>0.5</v>
      </c>
      <c r="AR35" s="845">
        <v>0.5</v>
      </c>
      <c r="AS35" s="845">
        <v>0.51429999999999998</v>
      </c>
      <c r="AT35" s="845">
        <v>0.52859999999999996</v>
      </c>
      <c r="AU35" s="845">
        <v>0.54290000000000005</v>
      </c>
      <c r="AV35" s="845">
        <v>0.55710000000000004</v>
      </c>
      <c r="AW35" s="845">
        <v>0.57140000000000002</v>
      </c>
      <c r="AX35" s="845">
        <v>0.5857</v>
      </c>
      <c r="AY35" s="845">
        <v>0.6</v>
      </c>
      <c r="AZ35" s="845">
        <v>0.61429999999999996</v>
      </c>
      <c r="BA35" s="845">
        <v>0.62860000000000005</v>
      </c>
      <c r="BB35" s="845">
        <v>0.64290000000000003</v>
      </c>
      <c r="BC35" s="845">
        <v>0.65710000000000002</v>
      </c>
      <c r="BD35" s="845">
        <v>0.6714</v>
      </c>
      <c r="BE35" s="845">
        <v>0.68569999999999998</v>
      </c>
      <c r="BF35" s="845">
        <v>0.7</v>
      </c>
      <c r="BG35" s="845">
        <v>0.71430000000000005</v>
      </c>
      <c r="BH35" s="845">
        <v>0.72860000000000003</v>
      </c>
      <c r="BI35" s="845">
        <v>0.7429</v>
      </c>
      <c r="BJ35" s="845">
        <v>0.7571</v>
      </c>
      <c r="BK35" s="845">
        <v>0.77139999999999997</v>
      </c>
      <c r="BL35" s="845">
        <v>0.78569999999999995</v>
      </c>
      <c r="BM35" s="845">
        <v>0.8</v>
      </c>
      <c r="BN35" s="845">
        <v>0.8</v>
      </c>
      <c r="BO35" s="843"/>
      <c r="BP35" s="843"/>
      <c r="BQ35" s="843"/>
      <c r="BR35" s="843"/>
      <c r="BS35" s="843"/>
      <c r="BT35" s="843"/>
      <c r="BW35" s="843">
        <v>31</v>
      </c>
      <c r="BX35" s="845">
        <v>0</v>
      </c>
      <c r="BY35" s="845">
        <v>0.1061</v>
      </c>
      <c r="BZ35" s="845">
        <v>0.1206</v>
      </c>
      <c r="CA35" s="845">
        <v>0.13200000000000001</v>
      </c>
      <c r="CB35" s="845">
        <v>0.14130000000000001</v>
      </c>
      <c r="CC35" s="845">
        <v>0.14940000000000001</v>
      </c>
      <c r="CD35" s="845">
        <v>0.15129999999999999</v>
      </c>
      <c r="CE35" s="845">
        <v>0.15279999999999999</v>
      </c>
      <c r="CF35" s="845">
        <v>0.1542</v>
      </c>
      <c r="CG35" s="845">
        <v>0.1555</v>
      </c>
      <c r="CH35" s="845">
        <v>0.15720000000000001</v>
      </c>
      <c r="CI35" s="845">
        <v>0.1593</v>
      </c>
      <c r="CJ35" s="845">
        <v>0.16220000000000001</v>
      </c>
      <c r="CK35" s="845">
        <v>0.1658</v>
      </c>
      <c r="CL35" s="845">
        <v>0.17030000000000001</v>
      </c>
      <c r="CM35" s="845">
        <v>0.17580000000000001</v>
      </c>
      <c r="CN35" s="845">
        <v>0.17580000000000001</v>
      </c>
      <c r="CO35" s="845">
        <v>0.17660000000000001</v>
      </c>
      <c r="CP35" s="845">
        <v>0.17849999999999999</v>
      </c>
      <c r="CQ35" s="845">
        <v>0.18160000000000001</v>
      </c>
      <c r="CR35" s="845">
        <v>0.186</v>
      </c>
      <c r="CS35" s="845">
        <v>0.1918</v>
      </c>
      <c r="CT35" s="845">
        <v>0.1993</v>
      </c>
      <c r="CU35" s="845">
        <v>0.20849999999999999</v>
      </c>
      <c r="CV35" s="845">
        <v>0.21990000000000001</v>
      </c>
      <c r="CW35" s="845">
        <v>0.23380000000000001</v>
      </c>
      <c r="CX35" s="845">
        <v>0.2505</v>
      </c>
      <c r="CY35" s="845">
        <v>0.27060000000000001</v>
      </c>
      <c r="CZ35" s="845">
        <v>0.3</v>
      </c>
      <c r="DA35" s="845">
        <v>0.35</v>
      </c>
      <c r="DB35" s="845"/>
      <c r="DC35" s="845"/>
      <c r="DD35" s="845"/>
      <c r="DE35" s="845"/>
    </row>
    <row r="36" spans="2:109">
      <c r="B36" s="843">
        <v>32</v>
      </c>
      <c r="C36" s="844">
        <v>12.26</v>
      </c>
      <c r="D36" s="844">
        <v>13.13</v>
      </c>
      <c r="E36" s="844">
        <v>14.07</v>
      </c>
      <c r="F36" s="844">
        <v>15.08</v>
      </c>
      <c r="G36" s="844">
        <v>16.16</v>
      </c>
      <c r="H36" s="844">
        <v>17.309999999999999</v>
      </c>
      <c r="I36" s="844">
        <v>18.55</v>
      </c>
      <c r="J36" s="844">
        <v>19.88</v>
      </c>
      <c r="K36" s="844">
        <v>21.31</v>
      </c>
      <c r="L36" s="844">
        <v>22.84</v>
      </c>
      <c r="M36" s="844">
        <v>24.49</v>
      </c>
      <c r="N36" s="844">
        <v>26.24</v>
      </c>
      <c r="O36" s="844">
        <v>28.12</v>
      </c>
      <c r="P36" s="844">
        <v>30.13</v>
      </c>
      <c r="Q36" s="844">
        <v>32.270000000000003</v>
      </c>
      <c r="R36" s="844">
        <v>34.56</v>
      </c>
      <c r="S36" s="844">
        <v>37.01</v>
      </c>
      <c r="T36" s="844">
        <v>39.630000000000003</v>
      </c>
      <c r="U36" s="844">
        <v>42.44</v>
      </c>
      <c r="V36" s="844">
        <v>45.45</v>
      </c>
      <c r="W36" s="844">
        <v>48.68</v>
      </c>
      <c r="X36" s="844">
        <v>51.38</v>
      </c>
      <c r="Y36" s="844">
        <v>54.4</v>
      </c>
      <c r="Z36" s="844">
        <v>57.8</v>
      </c>
      <c r="AA36" s="844">
        <v>61.65</v>
      </c>
      <c r="AB36" s="844">
        <v>66.03</v>
      </c>
      <c r="AC36" s="844">
        <v>71.55</v>
      </c>
      <c r="AD36" s="844">
        <v>77.62</v>
      </c>
      <c r="AE36" s="844">
        <v>84.32</v>
      </c>
      <c r="AF36" s="844">
        <v>91.74</v>
      </c>
      <c r="AG36" s="844"/>
      <c r="AH36" s="844"/>
      <c r="AI36" s="844"/>
      <c r="AL36" s="843">
        <v>30</v>
      </c>
      <c r="AM36" s="845">
        <v>0</v>
      </c>
      <c r="AN36" s="845">
        <v>0.3</v>
      </c>
      <c r="AO36" s="845">
        <v>0.5</v>
      </c>
      <c r="AP36" s="845">
        <v>0.5</v>
      </c>
      <c r="AQ36" s="845">
        <v>0.5</v>
      </c>
      <c r="AR36" s="845">
        <v>0.5</v>
      </c>
      <c r="AS36" s="845">
        <v>0.51359999999999995</v>
      </c>
      <c r="AT36" s="845">
        <v>0.52729999999999999</v>
      </c>
      <c r="AU36" s="845">
        <v>0.54090000000000005</v>
      </c>
      <c r="AV36" s="845">
        <v>0.55449999999999999</v>
      </c>
      <c r="AW36" s="845">
        <v>0.56820000000000004</v>
      </c>
      <c r="AX36" s="845">
        <v>0.58179999999999998</v>
      </c>
      <c r="AY36" s="845">
        <v>0.59550000000000003</v>
      </c>
      <c r="AZ36" s="845">
        <v>0.60909999999999997</v>
      </c>
      <c r="BA36" s="845">
        <v>0.62270000000000003</v>
      </c>
      <c r="BB36" s="845">
        <v>0.63639999999999997</v>
      </c>
      <c r="BC36" s="845">
        <v>0.65</v>
      </c>
      <c r="BD36" s="845">
        <v>0.66359999999999997</v>
      </c>
      <c r="BE36" s="845">
        <v>0.67730000000000001</v>
      </c>
      <c r="BF36" s="845">
        <v>0.69089999999999996</v>
      </c>
      <c r="BG36" s="845">
        <v>0.70450000000000002</v>
      </c>
      <c r="BH36" s="845">
        <v>0.71819999999999995</v>
      </c>
      <c r="BI36" s="845">
        <v>0.73180000000000001</v>
      </c>
      <c r="BJ36" s="845">
        <v>0.74550000000000005</v>
      </c>
      <c r="BK36" s="845">
        <v>0.7591</v>
      </c>
      <c r="BL36" s="845">
        <v>0.77270000000000005</v>
      </c>
      <c r="BM36" s="845">
        <v>0.78639999999999999</v>
      </c>
      <c r="BN36" s="845">
        <v>0.8</v>
      </c>
      <c r="BO36" s="845">
        <v>0.8</v>
      </c>
      <c r="BP36" s="843"/>
      <c r="BQ36" s="843"/>
      <c r="BR36" s="843"/>
      <c r="BS36" s="843"/>
      <c r="BT36" s="843"/>
      <c r="BW36" s="843">
        <v>32</v>
      </c>
      <c r="BX36" s="845">
        <v>0</v>
      </c>
      <c r="BY36" s="845">
        <v>6.0100000000000001E-2</v>
      </c>
      <c r="BZ36" s="845">
        <v>0.1061</v>
      </c>
      <c r="CA36" s="845">
        <v>0.1206</v>
      </c>
      <c r="CB36" s="845">
        <v>0.13200000000000001</v>
      </c>
      <c r="CC36" s="845">
        <v>0.14130000000000001</v>
      </c>
      <c r="CD36" s="845">
        <v>0.14940000000000001</v>
      </c>
      <c r="CE36" s="845">
        <v>0.15129999999999999</v>
      </c>
      <c r="CF36" s="845">
        <v>0.15279999999999999</v>
      </c>
      <c r="CG36" s="845">
        <v>0.1542</v>
      </c>
      <c r="CH36" s="845">
        <v>0.1555</v>
      </c>
      <c r="CI36" s="845">
        <v>0.15720000000000001</v>
      </c>
      <c r="CJ36" s="845">
        <v>0.1593</v>
      </c>
      <c r="CK36" s="845">
        <v>0.16220000000000001</v>
      </c>
      <c r="CL36" s="845">
        <v>0.1658</v>
      </c>
      <c r="CM36" s="845">
        <v>0.17030000000000001</v>
      </c>
      <c r="CN36" s="845">
        <v>0.17580000000000001</v>
      </c>
      <c r="CO36" s="845">
        <v>0.17580000000000001</v>
      </c>
      <c r="CP36" s="845">
        <v>0.17660000000000001</v>
      </c>
      <c r="CQ36" s="845">
        <v>0.17849999999999999</v>
      </c>
      <c r="CR36" s="845">
        <v>0.18160000000000001</v>
      </c>
      <c r="CS36" s="845">
        <v>0.186</v>
      </c>
      <c r="CT36" s="845">
        <v>0.1918</v>
      </c>
      <c r="CU36" s="845">
        <v>0.1993</v>
      </c>
      <c r="CV36" s="845">
        <v>0.20849999999999999</v>
      </c>
      <c r="CW36" s="845">
        <v>0.21990000000000001</v>
      </c>
      <c r="CX36" s="845">
        <v>0.23380000000000001</v>
      </c>
      <c r="CY36" s="845">
        <v>0.2505</v>
      </c>
      <c r="CZ36" s="845">
        <v>0.27060000000000001</v>
      </c>
      <c r="DA36" s="845">
        <v>0.3</v>
      </c>
      <c r="DB36" s="845">
        <v>0.35</v>
      </c>
      <c r="DC36" s="845"/>
      <c r="DD36" s="845"/>
      <c r="DE36" s="845"/>
    </row>
    <row r="37" spans="2:109">
      <c r="B37" s="843">
        <v>33</v>
      </c>
      <c r="C37" s="844">
        <v>11.66</v>
      </c>
      <c r="D37" s="844">
        <v>12.49</v>
      </c>
      <c r="E37" s="844">
        <v>13.37</v>
      </c>
      <c r="F37" s="844">
        <v>14.32</v>
      </c>
      <c r="G37" s="844">
        <v>15.34</v>
      </c>
      <c r="H37" s="844">
        <v>16.43</v>
      </c>
      <c r="I37" s="844">
        <v>17.600000000000001</v>
      </c>
      <c r="J37" s="844">
        <v>18.850000000000001</v>
      </c>
      <c r="K37" s="844">
        <v>20.2</v>
      </c>
      <c r="L37" s="844">
        <v>21.64</v>
      </c>
      <c r="M37" s="844">
        <v>23.18</v>
      </c>
      <c r="N37" s="844">
        <v>24.83</v>
      </c>
      <c r="O37" s="844">
        <v>26.59</v>
      </c>
      <c r="P37" s="844">
        <v>28.47</v>
      </c>
      <c r="Q37" s="844">
        <v>30.47</v>
      </c>
      <c r="R37" s="844">
        <v>32.61</v>
      </c>
      <c r="S37" s="844">
        <v>34.89</v>
      </c>
      <c r="T37" s="844">
        <v>37.33</v>
      </c>
      <c r="U37" s="844">
        <v>39.94</v>
      </c>
      <c r="V37" s="844">
        <v>42.73</v>
      </c>
      <c r="W37" s="844">
        <v>45.72</v>
      </c>
      <c r="X37" s="844">
        <v>48.92</v>
      </c>
      <c r="Y37" s="844">
        <v>51.6</v>
      </c>
      <c r="Z37" s="844">
        <v>54.6</v>
      </c>
      <c r="AA37" s="844">
        <v>57.97</v>
      </c>
      <c r="AB37" s="844">
        <v>61.79</v>
      </c>
      <c r="AC37" s="844">
        <v>66.13</v>
      </c>
      <c r="AD37" s="844">
        <v>71.62</v>
      </c>
      <c r="AE37" s="844">
        <v>77.66</v>
      </c>
      <c r="AF37" s="844">
        <v>84.33</v>
      </c>
      <c r="AG37" s="844">
        <v>91.74</v>
      </c>
      <c r="AH37" s="844"/>
      <c r="AI37" s="844"/>
      <c r="AL37" s="843">
        <v>31</v>
      </c>
      <c r="AM37" s="845">
        <v>0</v>
      </c>
      <c r="AN37" s="845">
        <v>0.3</v>
      </c>
      <c r="AO37" s="845">
        <v>0.5</v>
      </c>
      <c r="AP37" s="845">
        <v>0.5</v>
      </c>
      <c r="AQ37" s="845">
        <v>0.5</v>
      </c>
      <c r="AR37" s="845">
        <v>0.5</v>
      </c>
      <c r="AS37" s="845">
        <v>0.51300000000000001</v>
      </c>
      <c r="AT37" s="845">
        <v>0.52610000000000001</v>
      </c>
      <c r="AU37" s="845">
        <v>0.53910000000000002</v>
      </c>
      <c r="AV37" s="845">
        <v>0.55220000000000002</v>
      </c>
      <c r="AW37" s="845">
        <v>0.56520000000000004</v>
      </c>
      <c r="AX37" s="845">
        <v>0.57830000000000004</v>
      </c>
      <c r="AY37" s="845">
        <v>0.59130000000000005</v>
      </c>
      <c r="AZ37" s="845">
        <v>0.60429999999999995</v>
      </c>
      <c r="BA37" s="845">
        <v>0.61739999999999995</v>
      </c>
      <c r="BB37" s="845">
        <v>0.63039999999999996</v>
      </c>
      <c r="BC37" s="845">
        <v>0.64349999999999996</v>
      </c>
      <c r="BD37" s="845">
        <v>0.65649999999999997</v>
      </c>
      <c r="BE37" s="845">
        <v>0.66959999999999997</v>
      </c>
      <c r="BF37" s="845">
        <v>0.68259999999999998</v>
      </c>
      <c r="BG37" s="845">
        <v>0.69569999999999999</v>
      </c>
      <c r="BH37" s="845">
        <v>0.7087</v>
      </c>
      <c r="BI37" s="845">
        <v>0.72170000000000001</v>
      </c>
      <c r="BJ37" s="845">
        <v>0.73480000000000001</v>
      </c>
      <c r="BK37" s="845">
        <v>0.74780000000000002</v>
      </c>
      <c r="BL37" s="845">
        <v>0.76090000000000002</v>
      </c>
      <c r="BM37" s="845">
        <v>0.77390000000000003</v>
      </c>
      <c r="BN37" s="845">
        <v>0.78700000000000003</v>
      </c>
      <c r="BO37" s="845">
        <v>0.8</v>
      </c>
      <c r="BP37" s="845">
        <v>0.8</v>
      </c>
      <c r="BQ37" s="843"/>
      <c r="BR37" s="843"/>
      <c r="BS37" s="843"/>
      <c r="BT37" s="843"/>
      <c r="BW37" s="843">
        <v>33</v>
      </c>
      <c r="BX37" s="845">
        <v>0</v>
      </c>
      <c r="BY37" s="845">
        <v>6.0100000000000001E-2</v>
      </c>
      <c r="BZ37" s="845">
        <v>6.0100000000000001E-2</v>
      </c>
      <c r="CA37" s="845">
        <v>0.1061</v>
      </c>
      <c r="CB37" s="845">
        <v>0.1206</v>
      </c>
      <c r="CC37" s="845">
        <v>0.13200000000000001</v>
      </c>
      <c r="CD37" s="845">
        <v>0.14130000000000001</v>
      </c>
      <c r="CE37" s="845">
        <v>0.14940000000000001</v>
      </c>
      <c r="CF37" s="845">
        <v>0.15129999999999999</v>
      </c>
      <c r="CG37" s="845">
        <v>0.15279999999999999</v>
      </c>
      <c r="CH37" s="845">
        <v>0.1542</v>
      </c>
      <c r="CI37" s="845">
        <v>0.1555</v>
      </c>
      <c r="CJ37" s="845">
        <v>0.15720000000000001</v>
      </c>
      <c r="CK37" s="845">
        <v>0.1593</v>
      </c>
      <c r="CL37" s="845">
        <v>0.16220000000000001</v>
      </c>
      <c r="CM37" s="845">
        <v>0.1658</v>
      </c>
      <c r="CN37" s="845">
        <v>0.17030000000000001</v>
      </c>
      <c r="CO37" s="845">
        <v>0.17580000000000001</v>
      </c>
      <c r="CP37" s="845">
        <v>0.17580000000000001</v>
      </c>
      <c r="CQ37" s="845">
        <v>0.17660000000000001</v>
      </c>
      <c r="CR37" s="845">
        <v>0.17849999999999999</v>
      </c>
      <c r="CS37" s="845">
        <v>0.18160000000000001</v>
      </c>
      <c r="CT37" s="845">
        <v>0.186</v>
      </c>
      <c r="CU37" s="845">
        <v>0.1918</v>
      </c>
      <c r="CV37" s="845">
        <v>0.1993</v>
      </c>
      <c r="CW37" s="845">
        <v>0.20849999999999999</v>
      </c>
      <c r="CX37" s="845">
        <v>0.21990000000000001</v>
      </c>
      <c r="CY37" s="845">
        <v>0.23380000000000001</v>
      </c>
      <c r="CZ37" s="845">
        <v>0.2505</v>
      </c>
      <c r="DA37" s="845">
        <v>0.27060000000000001</v>
      </c>
      <c r="DB37" s="845">
        <v>0.3</v>
      </c>
      <c r="DC37" s="845">
        <v>0.35</v>
      </c>
      <c r="DD37" s="845"/>
      <c r="DE37" s="845"/>
    </row>
    <row r="38" spans="2:109">
      <c r="B38" s="843">
        <v>34</v>
      </c>
      <c r="C38" s="844">
        <v>11.13</v>
      </c>
      <c r="D38" s="844">
        <v>11.91</v>
      </c>
      <c r="E38" s="844">
        <v>12.75</v>
      </c>
      <c r="F38" s="844">
        <v>13.65</v>
      </c>
      <c r="G38" s="844">
        <v>14.61</v>
      </c>
      <c r="H38" s="844">
        <v>15.64</v>
      </c>
      <c r="I38" s="844">
        <v>16.739999999999998</v>
      </c>
      <c r="J38" s="844">
        <v>17.920000000000002</v>
      </c>
      <c r="K38" s="844">
        <v>19.190000000000001</v>
      </c>
      <c r="L38" s="844">
        <v>20.55</v>
      </c>
      <c r="M38" s="844">
        <v>22</v>
      </c>
      <c r="N38" s="844">
        <v>23.55</v>
      </c>
      <c r="O38" s="844">
        <v>25.21</v>
      </c>
      <c r="P38" s="844">
        <v>26.97</v>
      </c>
      <c r="Q38" s="844">
        <v>28.84</v>
      </c>
      <c r="R38" s="844">
        <v>30.84</v>
      </c>
      <c r="S38" s="844">
        <v>32.979999999999997</v>
      </c>
      <c r="T38" s="844">
        <v>35.25</v>
      </c>
      <c r="U38" s="844">
        <v>37.68</v>
      </c>
      <c r="V38" s="844">
        <v>40.270000000000003</v>
      </c>
      <c r="W38" s="844">
        <v>43.04</v>
      </c>
      <c r="X38" s="844">
        <v>46.01</v>
      </c>
      <c r="Y38" s="844">
        <v>49.19</v>
      </c>
      <c r="Z38" s="844">
        <v>51.84</v>
      </c>
      <c r="AA38" s="844">
        <v>54.81</v>
      </c>
      <c r="AB38" s="844">
        <v>58.15</v>
      </c>
      <c r="AC38" s="844">
        <v>61.94</v>
      </c>
      <c r="AD38" s="844">
        <v>66.25</v>
      </c>
      <c r="AE38" s="844">
        <v>71.69</v>
      </c>
      <c r="AF38" s="844">
        <v>77.7</v>
      </c>
      <c r="AG38" s="844">
        <v>84.35</v>
      </c>
      <c r="AH38" s="844">
        <v>91.74</v>
      </c>
      <c r="AI38" s="844"/>
      <c r="AL38" s="843">
        <v>32</v>
      </c>
      <c r="AM38" s="845">
        <v>0</v>
      </c>
      <c r="AN38" s="845">
        <v>0.3</v>
      </c>
      <c r="AO38" s="845">
        <v>0.5</v>
      </c>
      <c r="AP38" s="845">
        <v>0.5</v>
      </c>
      <c r="AQ38" s="845">
        <v>0.5</v>
      </c>
      <c r="AR38" s="845">
        <v>0.5</v>
      </c>
      <c r="AS38" s="845">
        <v>0.51249999999999996</v>
      </c>
      <c r="AT38" s="845">
        <v>0.52500000000000002</v>
      </c>
      <c r="AU38" s="845">
        <v>0.53749999999999998</v>
      </c>
      <c r="AV38" s="845">
        <v>0.55000000000000004</v>
      </c>
      <c r="AW38" s="845">
        <v>0.5625</v>
      </c>
      <c r="AX38" s="845">
        <v>0.57499999999999996</v>
      </c>
      <c r="AY38" s="845">
        <v>0.58750000000000002</v>
      </c>
      <c r="AZ38" s="845">
        <v>0.6</v>
      </c>
      <c r="BA38" s="845">
        <v>0.61250000000000004</v>
      </c>
      <c r="BB38" s="845">
        <v>0.625</v>
      </c>
      <c r="BC38" s="845">
        <v>0.63749999999999996</v>
      </c>
      <c r="BD38" s="845">
        <v>0.65</v>
      </c>
      <c r="BE38" s="845">
        <v>0.66249999999999998</v>
      </c>
      <c r="BF38" s="845">
        <v>0.67500000000000004</v>
      </c>
      <c r="BG38" s="845">
        <v>0.6875</v>
      </c>
      <c r="BH38" s="845">
        <v>0.7</v>
      </c>
      <c r="BI38" s="845">
        <v>0.71250000000000002</v>
      </c>
      <c r="BJ38" s="845">
        <v>0.72499999999999998</v>
      </c>
      <c r="BK38" s="845">
        <v>0.73750000000000004</v>
      </c>
      <c r="BL38" s="845">
        <v>0.75</v>
      </c>
      <c r="BM38" s="845">
        <v>0.76249999999999996</v>
      </c>
      <c r="BN38" s="845">
        <v>0.77500000000000002</v>
      </c>
      <c r="BO38" s="845">
        <v>0.78749999999999998</v>
      </c>
      <c r="BP38" s="845">
        <v>0.8</v>
      </c>
      <c r="BQ38" s="845">
        <v>0.8</v>
      </c>
      <c r="BR38" s="843"/>
      <c r="BS38" s="843"/>
      <c r="BT38" s="843"/>
      <c r="BW38" s="843">
        <v>34</v>
      </c>
      <c r="BX38" s="845">
        <v>0</v>
      </c>
      <c r="BY38" s="845">
        <v>3.0599999999999999E-2</v>
      </c>
      <c r="BZ38" s="845">
        <v>6.0100000000000001E-2</v>
      </c>
      <c r="CA38" s="845">
        <v>6.0100000000000001E-2</v>
      </c>
      <c r="CB38" s="845">
        <v>0.1061</v>
      </c>
      <c r="CC38" s="845">
        <v>0.1206</v>
      </c>
      <c r="CD38" s="845">
        <v>0.13200000000000001</v>
      </c>
      <c r="CE38" s="845">
        <v>0.14130000000000001</v>
      </c>
      <c r="CF38" s="845">
        <v>0.14940000000000001</v>
      </c>
      <c r="CG38" s="845">
        <v>0.15129999999999999</v>
      </c>
      <c r="CH38" s="845">
        <v>0.15279999999999999</v>
      </c>
      <c r="CI38" s="845">
        <v>0.1542</v>
      </c>
      <c r="CJ38" s="845">
        <v>0.1555</v>
      </c>
      <c r="CK38" s="845">
        <v>0.15720000000000001</v>
      </c>
      <c r="CL38" s="845">
        <v>0.1593</v>
      </c>
      <c r="CM38" s="845">
        <v>0.16220000000000001</v>
      </c>
      <c r="CN38" s="845">
        <v>0.1658</v>
      </c>
      <c r="CO38" s="845">
        <v>0.17030000000000001</v>
      </c>
      <c r="CP38" s="845">
        <v>0.17580000000000001</v>
      </c>
      <c r="CQ38" s="845">
        <v>0.17580000000000001</v>
      </c>
      <c r="CR38" s="845">
        <v>0.17660000000000001</v>
      </c>
      <c r="CS38" s="845">
        <v>0.17849999999999999</v>
      </c>
      <c r="CT38" s="845">
        <v>0.18160000000000001</v>
      </c>
      <c r="CU38" s="845">
        <v>0.186</v>
      </c>
      <c r="CV38" s="845">
        <v>0.1918</v>
      </c>
      <c r="CW38" s="845">
        <v>0.1993</v>
      </c>
      <c r="CX38" s="845">
        <v>0.20849999999999999</v>
      </c>
      <c r="CY38" s="845">
        <v>0.21990000000000001</v>
      </c>
      <c r="CZ38" s="845">
        <v>0.23380000000000001</v>
      </c>
      <c r="DA38" s="845">
        <v>0.2505</v>
      </c>
      <c r="DB38" s="845">
        <v>0.27060000000000001</v>
      </c>
      <c r="DC38" s="845">
        <v>0.3</v>
      </c>
      <c r="DD38" s="845">
        <v>0.35</v>
      </c>
      <c r="DE38" s="845"/>
    </row>
    <row r="39" spans="2:109">
      <c r="B39" s="843">
        <v>35</v>
      </c>
      <c r="C39" s="844">
        <v>10.64</v>
      </c>
      <c r="D39" s="844">
        <v>11.39</v>
      </c>
      <c r="E39" s="844">
        <v>12.18</v>
      </c>
      <c r="F39" s="844">
        <v>13.03</v>
      </c>
      <c r="G39" s="844">
        <v>13.95</v>
      </c>
      <c r="H39" s="844">
        <v>14.92</v>
      </c>
      <c r="I39" s="844">
        <v>15.97</v>
      </c>
      <c r="J39" s="844">
        <v>17.09</v>
      </c>
      <c r="K39" s="844">
        <v>18.28</v>
      </c>
      <c r="L39" s="844">
        <v>19.57</v>
      </c>
      <c r="M39" s="844">
        <v>20.94</v>
      </c>
      <c r="N39" s="844">
        <v>22.4</v>
      </c>
      <c r="O39" s="844">
        <v>23.96</v>
      </c>
      <c r="P39" s="844">
        <v>25.62</v>
      </c>
      <c r="Q39" s="844">
        <v>27.38</v>
      </c>
      <c r="R39" s="844">
        <v>29.26</v>
      </c>
      <c r="S39" s="844">
        <v>31.25</v>
      </c>
      <c r="T39" s="844">
        <v>33.380000000000003</v>
      </c>
      <c r="U39" s="844">
        <v>35.64</v>
      </c>
      <c r="V39" s="844">
        <v>38.06</v>
      </c>
      <c r="W39" s="844">
        <v>40.630000000000003</v>
      </c>
      <c r="X39" s="844">
        <v>43.38</v>
      </c>
      <c r="Y39" s="844">
        <v>46.33</v>
      </c>
      <c r="Z39" s="844">
        <v>49.48</v>
      </c>
      <c r="AA39" s="844">
        <v>52.11</v>
      </c>
      <c r="AB39" s="844">
        <v>55.05</v>
      </c>
      <c r="AC39" s="844">
        <v>58.35</v>
      </c>
      <c r="AD39" s="844">
        <v>62.1</v>
      </c>
      <c r="AE39" s="844">
        <v>66.37</v>
      </c>
      <c r="AF39" s="844">
        <v>71.78</v>
      </c>
      <c r="AG39" s="844">
        <v>77.75</v>
      </c>
      <c r="AH39" s="844">
        <v>84.37</v>
      </c>
      <c r="AI39" s="844">
        <v>91.74</v>
      </c>
      <c r="AL39" s="843">
        <v>33</v>
      </c>
      <c r="AM39" s="845">
        <v>0</v>
      </c>
      <c r="AN39" s="845">
        <v>0.3</v>
      </c>
      <c r="AO39" s="845">
        <v>0.5</v>
      </c>
      <c r="AP39" s="845">
        <v>0.5</v>
      </c>
      <c r="AQ39" s="845">
        <v>0.5</v>
      </c>
      <c r="AR39" s="845">
        <v>0.5</v>
      </c>
      <c r="AS39" s="845">
        <v>0.51200000000000001</v>
      </c>
      <c r="AT39" s="845">
        <v>0.52400000000000002</v>
      </c>
      <c r="AU39" s="845">
        <v>0.53600000000000003</v>
      </c>
      <c r="AV39" s="845">
        <v>0.54800000000000004</v>
      </c>
      <c r="AW39" s="845">
        <v>0.56000000000000005</v>
      </c>
      <c r="AX39" s="845">
        <v>0.57199999999999995</v>
      </c>
      <c r="AY39" s="845">
        <v>0.58399999999999996</v>
      </c>
      <c r="AZ39" s="845">
        <v>0.59599999999999997</v>
      </c>
      <c r="BA39" s="845">
        <v>0.60799999999999998</v>
      </c>
      <c r="BB39" s="845">
        <v>0.62</v>
      </c>
      <c r="BC39" s="845">
        <v>0.63200000000000001</v>
      </c>
      <c r="BD39" s="845">
        <v>0.64400000000000002</v>
      </c>
      <c r="BE39" s="845">
        <v>0.65600000000000003</v>
      </c>
      <c r="BF39" s="845">
        <v>0.66800000000000004</v>
      </c>
      <c r="BG39" s="845">
        <v>0.68</v>
      </c>
      <c r="BH39" s="845">
        <v>0.69199999999999995</v>
      </c>
      <c r="BI39" s="845">
        <v>0.70399999999999996</v>
      </c>
      <c r="BJ39" s="845">
        <v>0.71599999999999997</v>
      </c>
      <c r="BK39" s="845">
        <v>0.72799999999999998</v>
      </c>
      <c r="BL39" s="845">
        <v>0.74</v>
      </c>
      <c r="BM39" s="845">
        <v>0.752</v>
      </c>
      <c r="BN39" s="845">
        <v>0.76400000000000001</v>
      </c>
      <c r="BO39" s="845">
        <v>0.77600000000000002</v>
      </c>
      <c r="BP39" s="845">
        <v>0.78800000000000003</v>
      </c>
      <c r="BQ39" s="845">
        <v>0.8</v>
      </c>
      <c r="BR39" s="845">
        <v>0.8</v>
      </c>
      <c r="BS39" s="843"/>
      <c r="BT39" s="843"/>
      <c r="BW39" s="843">
        <v>35</v>
      </c>
      <c r="BX39" s="845">
        <v>0</v>
      </c>
      <c r="BY39" s="845">
        <v>0.02</v>
      </c>
      <c r="BZ39" s="845">
        <v>3.0599999999999999E-2</v>
      </c>
      <c r="CA39" s="845">
        <v>6.0100000000000001E-2</v>
      </c>
      <c r="CB39" s="845">
        <v>6.0100000000000001E-2</v>
      </c>
      <c r="CC39" s="845">
        <v>0.1061</v>
      </c>
      <c r="CD39" s="845">
        <v>0.1206</v>
      </c>
      <c r="CE39" s="845">
        <v>0.13200000000000001</v>
      </c>
      <c r="CF39" s="845">
        <v>0.14130000000000001</v>
      </c>
      <c r="CG39" s="845">
        <v>0.14940000000000001</v>
      </c>
      <c r="CH39" s="845">
        <v>0.15129999999999999</v>
      </c>
      <c r="CI39" s="845">
        <v>0.15279999999999999</v>
      </c>
      <c r="CJ39" s="845">
        <v>0.1542</v>
      </c>
      <c r="CK39" s="845">
        <v>0.1555</v>
      </c>
      <c r="CL39" s="845">
        <v>0.15720000000000001</v>
      </c>
      <c r="CM39" s="845">
        <v>0.1593</v>
      </c>
      <c r="CN39" s="845">
        <v>0.16220000000000001</v>
      </c>
      <c r="CO39" s="845">
        <v>0.1658</v>
      </c>
      <c r="CP39" s="845">
        <v>0.17030000000000001</v>
      </c>
      <c r="CQ39" s="845">
        <v>0.17580000000000001</v>
      </c>
      <c r="CR39" s="845">
        <v>0.17580000000000001</v>
      </c>
      <c r="CS39" s="845">
        <v>0.17660000000000001</v>
      </c>
      <c r="CT39" s="845">
        <v>0.17849999999999999</v>
      </c>
      <c r="CU39" s="845">
        <v>0.18160000000000001</v>
      </c>
      <c r="CV39" s="845">
        <v>0.186</v>
      </c>
      <c r="CW39" s="845">
        <v>0.1918</v>
      </c>
      <c r="CX39" s="845">
        <v>0.1993</v>
      </c>
      <c r="CY39" s="845">
        <v>0.20849999999999999</v>
      </c>
      <c r="CZ39" s="845">
        <v>0.21990000000000001</v>
      </c>
      <c r="DA39" s="845">
        <v>0.23380000000000001</v>
      </c>
      <c r="DB39" s="845">
        <v>0.2505</v>
      </c>
      <c r="DC39" s="845">
        <v>0.27060000000000001</v>
      </c>
      <c r="DD39" s="845">
        <v>0.3</v>
      </c>
      <c r="DE39" s="845">
        <v>0.35</v>
      </c>
    </row>
    <row r="40" spans="2:109">
      <c r="AL40" s="843">
        <v>34</v>
      </c>
      <c r="AM40" s="845">
        <v>0</v>
      </c>
      <c r="AN40" s="845">
        <v>0.3</v>
      </c>
      <c r="AO40" s="845">
        <v>0.5</v>
      </c>
      <c r="AP40" s="845">
        <v>0.5</v>
      </c>
      <c r="AQ40" s="845">
        <v>0.5</v>
      </c>
      <c r="AR40" s="845">
        <v>0.5</v>
      </c>
      <c r="AS40" s="845">
        <v>0.51149999999999995</v>
      </c>
      <c r="AT40" s="845">
        <v>0.52310000000000001</v>
      </c>
      <c r="AU40" s="845">
        <v>0.53459999999999996</v>
      </c>
      <c r="AV40" s="845">
        <v>0.54620000000000002</v>
      </c>
      <c r="AW40" s="845">
        <v>0.55769999999999997</v>
      </c>
      <c r="AX40" s="845">
        <v>0.56920000000000004</v>
      </c>
      <c r="AY40" s="845">
        <v>0.58079999999999998</v>
      </c>
      <c r="AZ40" s="845">
        <v>0.59230000000000005</v>
      </c>
      <c r="BA40" s="845">
        <v>0.6038</v>
      </c>
      <c r="BB40" s="845">
        <v>0.61539999999999995</v>
      </c>
      <c r="BC40" s="845">
        <v>0.62690000000000001</v>
      </c>
      <c r="BD40" s="845">
        <v>0.63849999999999996</v>
      </c>
      <c r="BE40" s="845">
        <v>0.65</v>
      </c>
      <c r="BF40" s="845">
        <v>0.66149999999999998</v>
      </c>
      <c r="BG40" s="845">
        <v>0.67310000000000003</v>
      </c>
      <c r="BH40" s="845">
        <v>0.68459999999999999</v>
      </c>
      <c r="BI40" s="845">
        <v>0.69620000000000004</v>
      </c>
      <c r="BJ40" s="845">
        <v>0.7077</v>
      </c>
      <c r="BK40" s="845">
        <v>0.71919999999999995</v>
      </c>
      <c r="BL40" s="845">
        <v>0.73080000000000001</v>
      </c>
      <c r="BM40" s="845">
        <v>0.74229999999999996</v>
      </c>
      <c r="BN40" s="845">
        <v>0.75380000000000003</v>
      </c>
      <c r="BO40" s="845">
        <v>0.76539999999999997</v>
      </c>
      <c r="BP40" s="845">
        <v>0.77690000000000003</v>
      </c>
      <c r="BQ40" s="845">
        <v>0.78849999999999998</v>
      </c>
      <c r="BR40" s="845">
        <v>0.8</v>
      </c>
      <c r="BS40" s="845">
        <v>0.8</v>
      </c>
      <c r="BT40" s="843"/>
    </row>
    <row r="41" spans="2:109">
      <c r="AL41" s="843">
        <v>35</v>
      </c>
      <c r="AM41" s="845">
        <v>0</v>
      </c>
      <c r="AN41" s="845">
        <v>0.3</v>
      </c>
      <c r="AO41" s="845">
        <v>0.5</v>
      </c>
      <c r="AP41" s="845">
        <v>0.5</v>
      </c>
      <c r="AQ41" s="845">
        <v>0.5</v>
      </c>
      <c r="AR41" s="845">
        <v>0.5</v>
      </c>
      <c r="AS41" s="845">
        <v>0.5111</v>
      </c>
      <c r="AT41" s="845">
        <v>0.5222</v>
      </c>
      <c r="AU41" s="845">
        <v>0.5333</v>
      </c>
      <c r="AV41" s="845">
        <v>0.5444</v>
      </c>
      <c r="AW41" s="845">
        <v>0.55559999999999998</v>
      </c>
      <c r="AX41" s="845">
        <v>0.56669999999999998</v>
      </c>
      <c r="AY41" s="845">
        <v>0.57779999999999998</v>
      </c>
      <c r="AZ41" s="845">
        <v>0.58889999999999998</v>
      </c>
      <c r="BA41" s="845">
        <v>0.6</v>
      </c>
      <c r="BB41" s="845">
        <v>0.61109999999999998</v>
      </c>
      <c r="BC41" s="845">
        <v>0.62219999999999998</v>
      </c>
      <c r="BD41" s="845">
        <v>0.63329999999999997</v>
      </c>
      <c r="BE41" s="845">
        <v>0.64439999999999997</v>
      </c>
      <c r="BF41" s="845">
        <v>0.65559999999999996</v>
      </c>
      <c r="BG41" s="845">
        <v>0.66669999999999996</v>
      </c>
      <c r="BH41" s="845">
        <v>0.67779999999999996</v>
      </c>
      <c r="BI41" s="845">
        <v>0.68889999999999996</v>
      </c>
      <c r="BJ41" s="845">
        <v>0.7</v>
      </c>
      <c r="BK41" s="845">
        <v>0.71109999999999995</v>
      </c>
      <c r="BL41" s="845">
        <v>0.72219999999999995</v>
      </c>
      <c r="BM41" s="845">
        <v>0.73329999999999995</v>
      </c>
      <c r="BN41" s="845">
        <v>0.74439999999999995</v>
      </c>
      <c r="BO41" s="845">
        <v>0.75560000000000005</v>
      </c>
      <c r="BP41" s="845">
        <v>0.76670000000000005</v>
      </c>
      <c r="BQ41" s="845">
        <v>0.77780000000000005</v>
      </c>
      <c r="BR41" s="845">
        <v>0.78890000000000005</v>
      </c>
      <c r="BS41" s="845">
        <v>0.8</v>
      </c>
      <c r="BT41" s="845">
        <v>0.8</v>
      </c>
    </row>
    <row r="42" spans="2:109">
      <c r="AL42" s="843"/>
      <c r="AM42" s="845"/>
      <c r="AN42" s="845"/>
      <c r="AO42" s="845"/>
      <c r="AP42" s="845"/>
      <c r="AQ42" s="845"/>
      <c r="AR42" s="845"/>
      <c r="AS42" s="845"/>
      <c r="AT42" s="845"/>
      <c r="AU42" s="845"/>
      <c r="AV42" s="845"/>
      <c r="AW42" s="845"/>
      <c r="AX42" s="845"/>
      <c r="AY42" s="845"/>
      <c r="AZ42" s="845"/>
      <c r="BA42" s="845"/>
      <c r="BB42" s="845"/>
      <c r="BC42" s="845"/>
      <c r="BD42" s="845"/>
      <c r="BE42" s="845"/>
      <c r="BF42" s="845"/>
      <c r="BG42" s="845"/>
      <c r="BH42" s="845"/>
      <c r="BI42" s="845"/>
      <c r="BJ42" s="845"/>
      <c r="BK42" s="845"/>
      <c r="BL42" s="845"/>
      <c r="BM42" s="845"/>
      <c r="BN42" s="845"/>
      <c r="BO42" s="845"/>
      <c r="BP42" s="845"/>
      <c r="BQ42" s="845"/>
      <c r="BR42" s="845"/>
      <c r="BS42" s="845"/>
      <c r="BT42" s="845"/>
    </row>
    <row r="43" spans="2:109">
      <c r="B43" s="705" t="s">
        <v>178</v>
      </c>
      <c r="C43" s="1172">
        <f t="shared" ref="C43:W43" si="15">LOOKUP($B$52,$B45:$B46,C45:C46)</f>
        <v>20</v>
      </c>
      <c r="D43" s="1172">
        <f t="shared" si="15"/>
        <v>25</v>
      </c>
      <c r="E43" s="1172">
        <f t="shared" si="15"/>
        <v>30</v>
      </c>
      <c r="F43" s="1172">
        <f t="shared" si="15"/>
        <v>35</v>
      </c>
      <c r="G43" s="1172">
        <f t="shared" si="15"/>
        <v>50</v>
      </c>
      <c r="H43" s="1172">
        <f t="shared" si="15"/>
        <v>70</v>
      </c>
      <c r="I43" s="1172">
        <f t="shared" si="15"/>
        <v>100</v>
      </c>
      <c r="J43" s="1172">
        <f t="shared" si="15"/>
        <v>150</v>
      </c>
      <c r="K43" s="1172">
        <f t="shared" si="15"/>
        <v>250</v>
      </c>
      <c r="L43" s="1172">
        <f t="shared" si="15"/>
        <v>350</v>
      </c>
      <c r="M43" s="1172">
        <f t="shared" si="15"/>
        <v>450</v>
      </c>
      <c r="N43" s="1172">
        <f t="shared" si="15"/>
        <v>550</v>
      </c>
      <c r="O43" s="1172">
        <f t="shared" si="15"/>
        <v>670</v>
      </c>
      <c r="P43" s="1172">
        <f t="shared" si="15"/>
        <v>790</v>
      </c>
      <c r="Q43" s="1172">
        <f t="shared" si="15"/>
        <v>910</v>
      </c>
      <c r="R43" s="1172">
        <f t="shared" si="15"/>
        <v>1100</v>
      </c>
      <c r="S43" s="1172">
        <f t="shared" si="15"/>
        <v>1300</v>
      </c>
      <c r="T43" s="1172">
        <f t="shared" si="15"/>
        <v>1550</v>
      </c>
      <c r="U43" s="1172">
        <f t="shared" si="15"/>
        <v>1800</v>
      </c>
      <c r="V43" s="1172">
        <f t="shared" si="15"/>
        <v>2050</v>
      </c>
      <c r="W43" s="1172">
        <f t="shared" si="15"/>
        <v>2300</v>
      </c>
      <c r="AL43" s="843"/>
      <c r="AM43" s="845"/>
      <c r="AN43" s="845"/>
      <c r="AO43" s="845"/>
      <c r="AP43" s="845"/>
      <c r="AQ43" s="845"/>
      <c r="AR43" s="845"/>
      <c r="AS43" s="845"/>
      <c r="AT43" s="845"/>
      <c r="AU43" s="845"/>
      <c r="AV43" s="845"/>
      <c r="AW43" s="845"/>
      <c r="AX43" s="845"/>
      <c r="AY43" s="845"/>
      <c r="AZ43" s="845"/>
      <c r="BA43" s="845"/>
      <c r="BB43" s="845"/>
      <c r="BC43" s="845"/>
      <c r="BD43" s="845"/>
      <c r="BE43" s="845"/>
      <c r="BF43" s="845"/>
      <c r="BG43" s="845"/>
      <c r="BH43" s="845"/>
      <c r="BI43" s="845"/>
      <c r="BJ43" s="845"/>
      <c r="BK43" s="845"/>
      <c r="BL43" s="845"/>
      <c r="BM43" s="845"/>
      <c r="BN43" s="845"/>
      <c r="BO43" s="845"/>
      <c r="BP43" s="845"/>
      <c r="BQ43" s="845"/>
      <c r="BR43" s="845"/>
      <c r="BS43" s="845"/>
      <c r="BT43" s="845"/>
    </row>
    <row r="44" spans="2:109">
      <c r="C44" s="843">
        <v>15</v>
      </c>
      <c r="D44" s="843">
        <v>16</v>
      </c>
      <c r="E44" s="843">
        <v>17</v>
      </c>
      <c r="F44" s="843">
        <v>18</v>
      </c>
      <c r="G44" s="843">
        <v>19</v>
      </c>
      <c r="H44" s="843">
        <v>20</v>
      </c>
      <c r="I44" s="843">
        <v>21</v>
      </c>
      <c r="J44" s="843">
        <v>22</v>
      </c>
      <c r="K44" s="843">
        <v>23</v>
      </c>
      <c r="L44" s="843">
        <v>24</v>
      </c>
      <c r="M44" s="843">
        <v>25</v>
      </c>
      <c r="N44" s="843">
        <v>26</v>
      </c>
      <c r="O44" s="843">
        <v>27</v>
      </c>
      <c r="P44" s="843">
        <v>28</v>
      </c>
      <c r="Q44" s="843">
        <v>29</v>
      </c>
      <c r="R44" s="843">
        <v>30</v>
      </c>
      <c r="S44" s="843">
        <v>31</v>
      </c>
      <c r="T44" s="843">
        <v>32</v>
      </c>
      <c r="U44" s="843">
        <v>33</v>
      </c>
      <c r="V44" s="843">
        <v>34</v>
      </c>
      <c r="W44" s="843">
        <v>35</v>
      </c>
      <c r="AL44" s="843"/>
      <c r="AM44" s="845"/>
      <c r="AN44" s="845"/>
      <c r="AO44" s="845"/>
      <c r="AP44" s="845"/>
      <c r="AQ44" s="845"/>
      <c r="AR44" s="845"/>
      <c r="AS44" s="845"/>
      <c r="AT44" s="845"/>
      <c r="AU44" s="845"/>
      <c r="AV44" s="845"/>
      <c r="AW44" s="845"/>
      <c r="AX44" s="845"/>
      <c r="AY44" s="845"/>
      <c r="AZ44" s="845"/>
      <c r="BA44" s="845"/>
      <c r="BB44" s="845"/>
      <c r="BC44" s="845"/>
      <c r="BD44" s="845"/>
      <c r="BE44" s="845"/>
      <c r="BF44" s="845"/>
      <c r="BG44" s="845"/>
      <c r="BH44" s="845"/>
      <c r="BI44" s="845"/>
      <c r="BJ44" s="845"/>
      <c r="BK44" s="845"/>
      <c r="BL44" s="845"/>
      <c r="BM44" s="845"/>
      <c r="BN44" s="845"/>
      <c r="BO44" s="845"/>
      <c r="BP44" s="845"/>
      <c r="BQ44" s="845"/>
      <c r="BR44" s="845"/>
      <c r="BS44" s="845"/>
      <c r="BT44" s="845"/>
    </row>
    <row r="45" spans="2:109">
      <c r="B45" s="843">
        <v>50000</v>
      </c>
      <c r="C45" s="843">
        <v>10</v>
      </c>
      <c r="D45" s="843">
        <v>15</v>
      </c>
      <c r="E45" s="843">
        <v>20</v>
      </c>
      <c r="F45" s="843">
        <v>25</v>
      </c>
      <c r="G45" s="843">
        <v>30</v>
      </c>
      <c r="H45" s="843">
        <v>40</v>
      </c>
      <c r="I45" s="843">
        <v>50</v>
      </c>
      <c r="J45" s="843">
        <v>80</v>
      </c>
      <c r="K45" s="843">
        <v>150</v>
      </c>
      <c r="L45" s="843">
        <v>230</v>
      </c>
      <c r="M45" s="843">
        <v>330</v>
      </c>
      <c r="N45" s="843">
        <v>430</v>
      </c>
      <c r="O45" s="843">
        <v>540</v>
      </c>
      <c r="P45" s="843">
        <v>650</v>
      </c>
      <c r="Q45" s="843">
        <v>760</v>
      </c>
      <c r="R45" s="843">
        <v>900</v>
      </c>
      <c r="S45" s="843">
        <v>1100</v>
      </c>
      <c r="T45" s="843">
        <v>1300</v>
      </c>
      <c r="U45" s="843">
        <v>1550</v>
      </c>
      <c r="V45" s="843">
        <v>1700</v>
      </c>
      <c r="W45" s="843">
        <v>1850</v>
      </c>
      <c r="AL45" s="843"/>
      <c r="AM45" s="845"/>
      <c r="AN45" s="845"/>
      <c r="AO45" s="845"/>
      <c r="AP45" s="845"/>
      <c r="AQ45" s="845"/>
      <c r="AR45" s="845"/>
      <c r="AS45" s="845"/>
      <c r="AT45" s="845"/>
      <c r="AU45" s="845"/>
      <c r="AV45" s="845"/>
      <c r="AW45" s="845"/>
      <c r="AX45" s="845"/>
      <c r="AY45" s="845"/>
      <c r="AZ45" s="845"/>
      <c r="BA45" s="845"/>
      <c r="BB45" s="845"/>
      <c r="BC45" s="845"/>
      <c r="BD45" s="845"/>
      <c r="BE45" s="845"/>
      <c r="BF45" s="845"/>
      <c r="BG45" s="845"/>
      <c r="BH45" s="845"/>
      <c r="BI45" s="845"/>
      <c r="BJ45" s="845"/>
      <c r="BK45" s="845"/>
      <c r="BL45" s="845"/>
      <c r="BM45" s="845"/>
      <c r="BN45" s="845"/>
      <c r="BO45" s="845"/>
      <c r="BP45" s="845"/>
      <c r="BQ45" s="845"/>
      <c r="BR45" s="845"/>
      <c r="BS45" s="845"/>
      <c r="BT45" s="845"/>
    </row>
    <row r="46" spans="2:109">
      <c r="B46" s="843">
        <v>200000</v>
      </c>
      <c r="C46" s="843">
        <v>20</v>
      </c>
      <c r="D46" s="843">
        <v>25</v>
      </c>
      <c r="E46" s="843">
        <v>30</v>
      </c>
      <c r="F46" s="843">
        <v>35</v>
      </c>
      <c r="G46" s="843">
        <v>50</v>
      </c>
      <c r="H46" s="843">
        <v>70</v>
      </c>
      <c r="I46" s="843">
        <v>100</v>
      </c>
      <c r="J46" s="843">
        <v>150</v>
      </c>
      <c r="K46" s="843">
        <v>250</v>
      </c>
      <c r="L46" s="843">
        <v>350</v>
      </c>
      <c r="M46" s="843">
        <v>450</v>
      </c>
      <c r="N46" s="843">
        <v>550</v>
      </c>
      <c r="O46" s="843">
        <v>670</v>
      </c>
      <c r="P46" s="843">
        <v>790</v>
      </c>
      <c r="Q46" s="843">
        <v>910</v>
      </c>
      <c r="R46" s="843">
        <v>1100</v>
      </c>
      <c r="S46" s="843">
        <v>1300</v>
      </c>
      <c r="T46" s="843">
        <v>1550</v>
      </c>
      <c r="U46" s="843">
        <v>1800</v>
      </c>
      <c r="V46" s="843">
        <v>2050</v>
      </c>
      <c r="W46" s="843">
        <v>2300</v>
      </c>
      <c r="AL46" s="843"/>
      <c r="AM46" s="845"/>
      <c r="AN46" s="845"/>
      <c r="AO46" s="845"/>
      <c r="AP46" s="845"/>
      <c r="AQ46" s="845"/>
      <c r="AR46" s="845"/>
      <c r="AS46" s="845"/>
      <c r="AT46" s="845"/>
      <c r="AU46" s="845"/>
      <c r="AV46" s="845"/>
      <c r="AW46" s="845"/>
      <c r="AX46" s="845"/>
      <c r="AY46" s="845"/>
      <c r="AZ46" s="845"/>
      <c r="BA46" s="845"/>
      <c r="BB46" s="845"/>
      <c r="BC46" s="845"/>
      <c r="BD46" s="845"/>
      <c r="BE46" s="845"/>
      <c r="BF46" s="845"/>
      <c r="BG46" s="845"/>
      <c r="BH46" s="845"/>
      <c r="BI46" s="845"/>
      <c r="BJ46" s="845"/>
      <c r="BK46" s="845"/>
      <c r="BL46" s="845"/>
      <c r="BM46" s="845"/>
      <c r="BN46" s="845"/>
      <c r="BO46" s="845"/>
      <c r="BP46" s="845"/>
      <c r="BQ46" s="845"/>
      <c r="BR46" s="845"/>
      <c r="BS46" s="845"/>
      <c r="BT46" s="845"/>
    </row>
    <row r="47" spans="2:109">
      <c r="B47" s="843"/>
      <c r="C47" s="843"/>
      <c r="D47" s="843"/>
      <c r="E47" s="843"/>
      <c r="F47" s="843"/>
      <c r="G47" s="843"/>
      <c r="H47" s="843"/>
      <c r="I47" s="843"/>
      <c r="J47" s="843"/>
      <c r="K47" s="843"/>
      <c r="L47" s="843"/>
      <c r="M47" s="843"/>
      <c r="N47" s="843"/>
      <c r="O47" s="843"/>
      <c r="P47" s="843"/>
      <c r="Q47" s="843"/>
      <c r="R47" s="843"/>
      <c r="S47" s="843"/>
      <c r="T47" s="843"/>
      <c r="U47" s="843"/>
      <c r="V47" s="843"/>
      <c r="W47" s="843"/>
      <c r="AL47" s="843"/>
      <c r="AM47" s="845"/>
      <c r="AN47" s="845"/>
      <c r="AO47" s="845"/>
      <c r="AP47" s="845"/>
      <c r="AQ47" s="845"/>
      <c r="AR47" s="845"/>
      <c r="AS47" s="845"/>
      <c r="AT47" s="845"/>
      <c r="AU47" s="845"/>
      <c r="AV47" s="845"/>
      <c r="AW47" s="845"/>
      <c r="AX47" s="845"/>
      <c r="AY47" s="845"/>
      <c r="AZ47" s="845"/>
      <c r="BA47" s="845"/>
      <c r="BB47" s="845"/>
      <c r="BC47" s="845"/>
      <c r="BD47" s="845"/>
      <c r="BE47" s="845"/>
      <c r="BF47" s="845"/>
      <c r="BG47" s="845"/>
      <c r="BH47" s="845"/>
      <c r="BI47" s="845"/>
      <c r="BJ47" s="845"/>
      <c r="BK47" s="845"/>
      <c r="BL47" s="845"/>
      <c r="BM47" s="845"/>
      <c r="BN47" s="845"/>
      <c r="BO47" s="845"/>
      <c r="BP47" s="845"/>
      <c r="BQ47" s="845"/>
      <c r="BR47" s="845"/>
      <c r="BS47" s="845"/>
      <c r="BT47" s="845"/>
    </row>
    <row r="48" spans="2:109">
      <c r="AL48" s="843"/>
      <c r="AM48" s="845"/>
      <c r="AN48" s="845"/>
      <c r="AO48" s="845"/>
      <c r="AP48" s="845"/>
      <c r="AQ48" s="845"/>
      <c r="AR48" s="845"/>
      <c r="AS48" s="845"/>
      <c r="AT48" s="845"/>
      <c r="AU48" s="845"/>
      <c r="AV48" s="845"/>
      <c r="AW48" s="845"/>
      <c r="AX48" s="845"/>
      <c r="AY48" s="845"/>
      <c r="AZ48" s="845"/>
      <c r="BA48" s="845"/>
      <c r="BB48" s="845"/>
      <c r="BC48" s="845"/>
      <c r="BD48" s="845"/>
      <c r="BE48" s="845"/>
      <c r="BF48" s="845"/>
      <c r="BG48" s="845"/>
      <c r="BH48" s="845"/>
      <c r="BI48" s="845"/>
      <c r="BJ48" s="845"/>
      <c r="BK48" s="845"/>
      <c r="BL48" s="845"/>
      <c r="BM48" s="845"/>
      <c r="BN48" s="845"/>
      <c r="BO48" s="845"/>
      <c r="BP48" s="845"/>
      <c r="BQ48" s="845"/>
      <c r="BR48" s="845"/>
      <c r="BS48" s="845"/>
      <c r="BT48" s="845"/>
    </row>
    <row r="49" spans="2:93">
      <c r="AL49" s="843"/>
      <c r="AM49" s="845"/>
      <c r="AN49" s="845"/>
      <c r="AO49" s="845"/>
      <c r="AP49" s="845"/>
      <c r="AQ49" s="845"/>
      <c r="AR49" s="845"/>
      <c r="AS49" s="845"/>
      <c r="AT49" s="845"/>
      <c r="AU49" s="845"/>
      <c r="AV49" s="845"/>
      <c r="AW49" s="845"/>
      <c r="AX49" s="845"/>
      <c r="AY49" s="845"/>
      <c r="AZ49" s="845"/>
      <c r="BA49" s="845"/>
      <c r="BB49" s="845"/>
      <c r="BC49" s="845"/>
      <c r="BD49" s="845"/>
      <c r="BE49" s="845"/>
      <c r="BF49" s="845"/>
      <c r="BG49" s="845"/>
      <c r="BH49" s="845"/>
      <c r="BI49" s="845"/>
      <c r="BJ49" s="845"/>
      <c r="BK49" s="845"/>
      <c r="BL49" s="845"/>
      <c r="BM49" s="845"/>
      <c r="BN49" s="845"/>
      <c r="BO49" s="845"/>
      <c r="BP49" s="845"/>
      <c r="BQ49" s="845"/>
      <c r="BR49" s="845"/>
      <c r="BS49" s="845"/>
      <c r="BT49" s="845"/>
    </row>
    <row r="50" spans="2:93">
      <c r="AL50" s="843"/>
      <c r="AM50" s="845"/>
      <c r="AN50" s="845"/>
      <c r="AO50" s="845"/>
      <c r="AP50" s="845"/>
      <c r="AQ50" s="845"/>
      <c r="AR50" s="845"/>
      <c r="AS50" s="845"/>
      <c r="AT50" s="845"/>
      <c r="AU50" s="845"/>
      <c r="AV50" s="845"/>
      <c r="AW50" s="845"/>
      <c r="AX50" s="845"/>
      <c r="AY50" s="845"/>
      <c r="AZ50" s="845"/>
      <c r="BA50" s="845"/>
      <c r="BB50" s="845"/>
      <c r="BC50" s="845"/>
      <c r="BD50" s="845"/>
      <c r="BE50" s="845"/>
      <c r="BF50" s="845"/>
      <c r="BG50" s="845"/>
      <c r="BH50" s="845"/>
      <c r="BI50" s="845"/>
      <c r="BJ50" s="845"/>
      <c r="BK50" s="845"/>
      <c r="BL50" s="845"/>
      <c r="BM50" s="845"/>
      <c r="BN50" s="845"/>
      <c r="BO50" s="845"/>
      <c r="BP50" s="845"/>
      <c r="BQ50" s="845"/>
      <c r="BR50" s="1170">
        <f>LOOKUP($C$52,BR52:CO52,BR51:CO51)</f>
        <v>7.050169590150103E-2</v>
      </c>
      <c r="BS50" s="845"/>
      <c r="BT50" s="845"/>
      <c r="BX50" s="705">
        <v>814</v>
      </c>
    </row>
    <row r="51" spans="2:93">
      <c r="AL51" s="843"/>
      <c r="AM51" s="845"/>
      <c r="AN51" s="845"/>
      <c r="AO51" s="845"/>
      <c r="AP51" s="845"/>
      <c r="AQ51" s="845"/>
      <c r="AR51" s="845"/>
      <c r="AS51" s="845"/>
      <c r="AT51" s="845"/>
      <c r="AU51" s="845"/>
      <c r="AV51" s="845"/>
      <c r="AW51" s="845"/>
      <c r="AX51" s="845"/>
      <c r="AY51" s="845"/>
      <c r="AZ51" s="845"/>
      <c r="BA51" s="845"/>
      <c r="BB51" s="845"/>
      <c r="BC51" s="845"/>
      <c r="BD51" s="845"/>
      <c r="BE51" s="845"/>
      <c r="BF51" s="845"/>
      <c r="BG51" s="845"/>
      <c r="BH51" s="845"/>
      <c r="BI51" s="845"/>
      <c r="BJ51" s="845"/>
      <c r="BK51" s="845"/>
      <c r="BL51" s="845"/>
      <c r="BM51" s="845"/>
      <c r="BN51" s="845"/>
      <c r="BO51" s="845"/>
      <c r="BP51" s="845"/>
      <c r="BQ51" s="845"/>
      <c r="BR51" s="845">
        <f>IRR(BR53:BR65)</f>
        <v>0.17742420707150416</v>
      </c>
      <c r="BS51" s="845">
        <f>IRR(BS53:BS66)</f>
        <v>0.15708089009565759</v>
      </c>
      <c r="BT51" s="845">
        <f>IRR(BT53:BT67)</f>
        <v>0.1403473448684989</v>
      </c>
      <c r="BU51" s="845">
        <f>IRR(BU53:BU68)</f>
        <v>0.12766916193066374</v>
      </c>
      <c r="BV51" s="845">
        <f>IRR(BV53:BV69)</f>
        <v>0.11604673875909685</v>
      </c>
      <c r="BW51" s="845">
        <f>IRR(BW53:BW70)</f>
        <v>0.10611351018246315</v>
      </c>
      <c r="BX51" s="845">
        <f>IRR(BX53:BX71)</f>
        <v>9.7543503670516465E-2</v>
      </c>
      <c r="BY51" s="845">
        <f>IRR(BY53:BY72)</f>
        <v>9.0533427275209424E-2</v>
      </c>
      <c r="BZ51" s="845">
        <f>IRR(BZ53:BZ73)</f>
        <v>8.4579082108275153E-2</v>
      </c>
      <c r="CA51" s="845">
        <f>IRR(CA53:CA74)</f>
        <v>7.9679127146041778E-2</v>
      </c>
      <c r="CB51" s="845">
        <f>IRR(CB53:CB75)</f>
        <v>7.5978109007280234E-2</v>
      </c>
      <c r="CC51" s="845">
        <f>IRR(CC53:CC76)</f>
        <v>7.414184820586199E-2</v>
      </c>
      <c r="CD51" s="845">
        <f>IRR(CD53:CD77)</f>
        <v>7.2309343657469022E-2</v>
      </c>
      <c r="CE51" s="845">
        <f>IRR(CE53:CE78)</f>
        <v>7.050169590150103E-2</v>
      </c>
      <c r="CF51" s="845">
        <f>IRR(CF53:CF79)</f>
        <v>6.8732811571125846E-2</v>
      </c>
      <c r="CG51" s="845">
        <f>IRR(CG53:CG80)</f>
        <v>6.7417881254820206E-2</v>
      </c>
      <c r="CH51" s="845">
        <f>IRR(CH53:CH81)</f>
        <v>6.6084905067535851E-2</v>
      </c>
      <c r="CI51" s="845">
        <f>IRR(CI53:CI82)</f>
        <v>6.4750326516150883E-2</v>
      </c>
      <c r="CJ51" s="845">
        <f>IRR(CJ53:CJ83)</f>
        <v>6.4493108101761135E-2</v>
      </c>
      <c r="CK51" s="845">
        <f>IRR(CK53:CK84)</f>
        <v>6.4201069842892255E-2</v>
      </c>
      <c r="CL51" s="845">
        <f>IRR(CL53:CL85)</f>
        <v>6.4365181490289525E-2</v>
      </c>
      <c r="CM51" s="845">
        <f>IRR(CM53:CM86)</f>
        <v>6.4296863166932741E-2</v>
      </c>
      <c r="CN51" s="845">
        <f>IRR(CN53:CN87)</f>
        <v>6.4049955647980966E-2</v>
      </c>
      <c r="CO51" s="845">
        <f>IRR(CO53:CO88)</f>
        <v>6.3665651927855782E-2</v>
      </c>
    </row>
    <row r="52" spans="2:93">
      <c r="B52" s="705">
        <f>DAT!L2</f>
        <v>2500000</v>
      </c>
      <c r="C52" s="705">
        <f>DAT!M2</f>
        <v>25</v>
      </c>
      <c r="BR52" s="843">
        <v>12</v>
      </c>
      <c r="BS52" s="843">
        <v>13</v>
      </c>
      <c r="BT52" s="843">
        <v>14</v>
      </c>
      <c r="BU52" s="843">
        <v>15</v>
      </c>
      <c r="BV52" s="843">
        <v>16</v>
      </c>
      <c r="BW52" s="843">
        <v>17</v>
      </c>
      <c r="BX52" s="843">
        <v>18</v>
      </c>
      <c r="BY52" s="843">
        <v>19</v>
      </c>
      <c r="BZ52" s="843">
        <v>20</v>
      </c>
      <c r="CA52" s="843">
        <v>21</v>
      </c>
      <c r="CB52" s="843">
        <v>22</v>
      </c>
      <c r="CC52" s="843">
        <v>23</v>
      </c>
      <c r="CD52" s="843">
        <v>24</v>
      </c>
      <c r="CE52" s="843">
        <v>25</v>
      </c>
      <c r="CF52" s="843">
        <v>26</v>
      </c>
      <c r="CG52" s="843">
        <v>27</v>
      </c>
      <c r="CH52" s="843">
        <v>28</v>
      </c>
      <c r="CI52" s="843">
        <v>29</v>
      </c>
      <c r="CJ52" s="843">
        <v>30</v>
      </c>
      <c r="CK52" s="843">
        <v>31</v>
      </c>
      <c r="CL52" s="843">
        <v>32</v>
      </c>
      <c r="CM52" s="843">
        <v>33</v>
      </c>
      <c r="CN52" s="843">
        <v>34</v>
      </c>
      <c r="CO52" s="843">
        <v>35</v>
      </c>
    </row>
    <row r="53" spans="2:93">
      <c r="B53" s="846">
        <f>((DAT!E5*(100-DAT!F5)/100)-DAT!AA5)</f>
        <v>36.935000000000002</v>
      </c>
      <c r="C53" s="705">
        <f>ROUND(B53*B52/1000,0)</f>
        <v>92338</v>
      </c>
      <c r="I53" s="705">
        <v>814</v>
      </c>
      <c r="Z53" s="705">
        <f>IF(Main!J10="YES",B52,0)</f>
        <v>2500000</v>
      </c>
      <c r="BQ53" s="705">
        <v>1</v>
      </c>
      <c r="BR53" s="705">
        <f>-DAT!$AT$5</f>
        <v>-99106</v>
      </c>
      <c r="BS53" s="705">
        <f>-DAT!$AT$5</f>
        <v>-99106</v>
      </c>
      <c r="BT53" s="705">
        <f>-DAT!$AT$5</f>
        <v>-99106</v>
      </c>
      <c r="BU53" s="705">
        <f>-DAT!$AT$5</f>
        <v>-99106</v>
      </c>
      <c r="BV53" s="705">
        <f>-DAT!$AT$5</f>
        <v>-99106</v>
      </c>
      <c r="BW53" s="705">
        <f>-DAT!$AT$5</f>
        <v>-99106</v>
      </c>
      <c r="BX53" s="705">
        <f>-DAT!$AT$5</f>
        <v>-99106</v>
      </c>
      <c r="BY53" s="705">
        <f>-DAT!$AT$5</f>
        <v>-99106</v>
      </c>
      <c r="BZ53" s="705">
        <f>-DAT!$AT$5</f>
        <v>-99106</v>
      </c>
      <c r="CA53" s="705">
        <f>-DAT!$AT$5</f>
        <v>-99106</v>
      </c>
      <c r="CB53" s="705">
        <f>-DAT!$AT$5</f>
        <v>-99106</v>
      </c>
      <c r="CC53" s="705">
        <f>-DAT!$AT$5</f>
        <v>-99106</v>
      </c>
      <c r="CD53" s="705">
        <f>-DAT!$AT$5</f>
        <v>-99106</v>
      </c>
      <c r="CE53" s="705">
        <f>-DAT!$AT$5</f>
        <v>-99106</v>
      </c>
      <c r="CF53" s="705">
        <f>-DAT!$AT$5</f>
        <v>-99106</v>
      </c>
      <c r="CG53" s="705">
        <f>-DAT!$AT$5</f>
        <v>-99106</v>
      </c>
      <c r="CH53" s="705">
        <f>-DAT!$AT$5</f>
        <v>-99106</v>
      </c>
      <c r="CI53" s="705">
        <f>-DAT!$AT$5</f>
        <v>-99106</v>
      </c>
      <c r="CJ53" s="705">
        <f>-DAT!$AT$5</f>
        <v>-99106</v>
      </c>
      <c r="CK53" s="705">
        <f>-DAT!$AT$5</f>
        <v>-99106</v>
      </c>
      <c r="CL53" s="705">
        <f>-DAT!$AT$5</f>
        <v>-99106</v>
      </c>
      <c r="CM53" s="705">
        <f>-DAT!$AT$5</f>
        <v>-99106</v>
      </c>
      <c r="CN53" s="705">
        <f>-DAT!$AT$5</f>
        <v>-99106</v>
      </c>
      <c r="CO53" s="705">
        <f>-DAT!$AT$5</f>
        <v>-99106</v>
      </c>
    </row>
    <row r="54" spans="2:93">
      <c r="C54" s="1172" t="e">
        <f>LOOKUP($B$13,$B56:$B69,C56:C69)</f>
        <v>#N/A</v>
      </c>
      <c r="D54" s="1172" t="e">
        <f>LOOKUP($B$13,$B56:$B69,D56:D69)</f>
        <v>#N/A</v>
      </c>
      <c r="L54" s="1172">
        <f>LOOKUP($C$52,$I55:$I88,L55:L88)</f>
        <v>3000000</v>
      </c>
      <c r="Z54" s="705">
        <f>IF(($Z$53&gt;10000000),10000000,$Z$53)</f>
        <v>2500000</v>
      </c>
      <c r="AA54" s="1172">
        <f>LOOKUP($C$52,$I55:$I88,AA55:AA88)</f>
        <v>1125000</v>
      </c>
      <c r="AB54" s="705">
        <f>($C$55)*($B$52/1000)</f>
        <v>120000</v>
      </c>
      <c r="AC54" s="825">
        <f>AB54+X55</f>
        <v>2620000</v>
      </c>
      <c r="AD54" s="705">
        <f>IF(Main!$L$10="YES",Main!$N$10+AC54,AC54)</f>
        <v>2620000</v>
      </c>
      <c r="AE54" s="705">
        <f>IF(AND((Main!$E$9&gt;=18),(Main!$J$10="YES")),$Z$54+AD54,AD54)</f>
        <v>5120000</v>
      </c>
      <c r="BQ54" s="824">
        <v>2</v>
      </c>
      <c r="BR54" s="705">
        <f>-DAT!$AY$5</f>
        <v>-96972</v>
      </c>
      <c r="BS54" s="705">
        <f>-DAT!$AY$5</f>
        <v>-96972</v>
      </c>
      <c r="BT54" s="705">
        <f>-DAT!$AY$5</f>
        <v>-96972</v>
      </c>
      <c r="BU54" s="705">
        <f>-DAT!$AY$5</f>
        <v>-96972</v>
      </c>
      <c r="BV54" s="705">
        <f>-DAT!$AY$5</f>
        <v>-96972</v>
      </c>
      <c r="BW54" s="705">
        <f>-DAT!$AY$5</f>
        <v>-96972</v>
      </c>
      <c r="BX54" s="705">
        <f>-DAT!$AY$5</f>
        <v>-96972</v>
      </c>
      <c r="BY54" s="705">
        <f>-DAT!$AY$5</f>
        <v>-96972</v>
      </c>
      <c r="BZ54" s="705">
        <f>-DAT!$AY$5</f>
        <v>-96972</v>
      </c>
      <c r="CA54" s="705">
        <f>-DAT!$AY$5</f>
        <v>-96972</v>
      </c>
      <c r="CB54" s="705">
        <f>-DAT!$AY$5</f>
        <v>-96972</v>
      </c>
      <c r="CC54" s="705">
        <f>-DAT!$AY$5</f>
        <v>-96972</v>
      </c>
      <c r="CD54" s="705">
        <f>-DAT!$AY$5</f>
        <v>-96972</v>
      </c>
      <c r="CE54" s="705">
        <f>-DAT!$AY$5</f>
        <v>-96972</v>
      </c>
      <c r="CF54" s="705">
        <f>-DAT!$AY$5</f>
        <v>-96972</v>
      </c>
      <c r="CG54" s="705">
        <f>-DAT!$AY$5</f>
        <v>-96972</v>
      </c>
      <c r="CH54" s="705">
        <f>-DAT!$AY$5</f>
        <v>-96972</v>
      </c>
      <c r="CI54" s="705">
        <f>-DAT!$AY$5</f>
        <v>-96972</v>
      </c>
      <c r="CJ54" s="705">
        <f>-DAT!$AY$5</f>
        <v>-96972</v>
      </c>
      <c r="CK54" s="705">
        <f>-DAT!$AY$5</f>
        <v>-96972</v>
      </c>
      <c r="CL54" s="705">
        <f>-DAT!$AY$5</f>
        <v>-96972</v>
      </c>
      <c r="CM54" s="705">
        <f>-DAT!$AY$5</f>
        <v>-96972</v>
      </c>
      <c r="CN54" s="705">
        <f>-DAT!$AY$5</f>
        <v>-96972</v>
      </c>
      <c r="CO54" s="705">
        <f>-DAT!$AY$5</f>
        <v>-96972</v>
      </c>
    </row>
    <row r="55" spans="2:93">
      <c r="C55" s="1172">
        <f>LOOKUP($C$52,$B56:$B79,C56:C79)</f>
        <v>48</v>
      </c>
      <c r="D55" s="1172">
        <f>LOOKUP($C$52,$B56:$B79,D56:D79)</f>
        <v>80</v>
      </c>
      <c r="E55" s="824"/>
      <c r="I55" s="824">
        <v>2</v>
      </c>
      <c r="J55" s="846">
        <f>C$14</f>
        <v>18.45</v>
      </c>
      <c r="K55" s="705">
        <f t="shared" ref="K55:K88" si="16">$B$52*I55/$C$52</f>
        <v>200000</v>
      </c>
      <c r="L55" s="705">
        <f t="shared" ref="L55:L88" si="17">(I55*$C$55)*($B$52/1000)</f>
        <v>240000</v>
      </c>
      <c r="M55" s="825">
        <f t="shared" ref="M55:M88" si="18">K55+L55</f>
        <v>440000</v>
      </c>
      <c r="N55" s="829">
        <f t="shared" ref="N55:N87" si="19">ROUND((M55*J55/100),0)</f>
        <v>81180</v>
      </c>
      <c r="O55" s="1173">
        <f>AM$14</f>
        <v>0</v>
      </c>
      <c r="P55" s="705">
        <f t="shared" ref="P55:P87" si="20">ROUND(($C$53*I55)*O55,0)</f>
        <v>0</v>
      </c>
      <c r="Q55" s="1173">
        <f>BX$14</f>
        <v>0</v>
      </c>
      <c r="R55" s="705">
        <f t="shared" ref="R55:R87" si="21">ROUND(L55*Q55,0)</f>
        <v>0</v>
      </c>
      <c r="S55" s="825">
        <f t="shared" ref="S55:S87" si="22">P55+R55</f>
        <v>0</v>
      </c>
      <c r="T55" s="825">
        <f t="shared" ref="T55:T87" si="23">IF(S55&gt;N55,S55,N55)</f>
        <v>81180</v>
      </c>
      <c r="U55" s="847">
        <f t="shared" ref="U55:U87" si="24">ROUND((T55*($D$55/100)),-2)</f>
        <v>64900</v>
      </c>
      <c r="V55" s="833">
        <f t="shared" ref="V55:V88" si="25">$C$53*I55</f>
        <v>184676</v>
      </c>
      <c r="W55" s="833">
        <f t="shared" ref="W55:W88" si="26">V55*105/100</f>
        <v>193909.8</v>
      </c>
      <c r="X55" s="705">
        <f t="shared" ref="X55:X88" si="27">$B$52</f>
        <v>2500000</v>
      </c>
      <c r="Y55" s="832">
        <f t="shared" ref="Y55:Y88" si="28">IF((X55&gt;$Z$55),X55,$Z$55)</f>
        <v>2500000</v>
      </c>
      <c r="Z55" s="705">
        <f>C53*10</f>
        <v>923380</v>
      </c>
      <c r="AA55" s="843">
        <v>0</v>
      </c>
      <c r="AB55" s="825">
        <f t="shared" ref="AB55:AB88" si="29">Y55+L55+AA55</f>
        <v>2740000</v>
      </c>
      <c r="AC55" s="825">
        <f t="shared" ref="AC55:AC88" si="30">IF((W55&gt;AB55),W55,AB55)</f>
        <v>2740000</v>
      </c>
      <c r="AD55" s="705">
        <f>IF(Main!$L$10="YES",Main!$N$10+AC55,AC55)</f>
        <v>2740000</v>
      </c>
      <c r="AE55" s="705">
        <f>IF(AND((Main!$E$9&gt;=18),(Main!$J$10="YES")),$Z$54+AD55,AD55)</f>
        <v>5240000</v>
      </c>
      <c r="BF55" s="705">
        <f>$B$52</f>
        <v>2500000</v>
      </c>
      <c r="BQ55" s="824">
        <v>3</v>
      </c>
      <c r="BR55" s="705">
        <f>-DAT!$AY$5</f>
        <v>-96972</v>
      </c>
      <c r="BS55" s="705">
        <f>-DAT!$AY$5</f>
        <v>-96972</v>
      </c>
      <c r="BT55" s="705">
        <f>-DAT!$AY$5</f>
        <v>-96972</v>
      </c>
      <c r="BU55" s="705">
        <f>-DAT!$AY$5</f>
        <v>-96972</v>
      </c>
      <c r="BV55" s="705">
        <f>-DAT!$AY$5</f>
        <v>-96972</v>
      </c>
      <c r="BW55" s="705">
        <f>-DAT!$AY$5</f>
        <v>-96972</v>
      </c>
      <c r="BX55" s="705">
        <f>-DAT!$AY$5</f>
        <v>-96972</v>
      </c>
      <c r="BY55" s="705">
        <f>-DAT!$AY$5</f>
        <v>-96972</v>
      </c>
      <c r="BZ55" s="705">
        <f>-DAT!$AY$5</f>
        <v>-96972</v>
      </c>
      <c r="CA55" s="705">
        <f>-DAT!$AY$5</f>
        <v>-96972</v>
      </c>
      <c r="CB55" s="705">
        <f>-DAT!$AY$5</f>
        <v>-96972</v>
      </c>
      <c r="CC55" s="705">
        <f>-DAT!$AY$5</f>
        <v>-96972</v>
      </c>
      <c r="CD55" s="705">
        <f>-DAT!$AY$5</f>
        <v>-96972</v>
      </c>
      <c r="CE55" s="705">
        <f>-DAT!$AY$5</f>
        <v>-96972</v>
      </c>
      <c r="CF55" s="705">
        <f>-DAT!$AY$5</f>
        <v>-96972</v>
      </c>
      <c r="CG55" s="705">
        <f>-DAT!$AY$5</f>
        <v>-96972</v>
      </c>
      <c r="CH55" s="705">
        <f>-DAT!$AY$5</f>
        <v>-96972</v>
      </c>
      <c r="CI55" s="705">
        <f>-DAT!$AY$5</f>
        <v>-96972</v>
      </c>
      <c r="CJ55" s="705">
        <f>-DAT!$AY$5</f>
        <v>-96972</v>
      </c>
      <c r="CK55" s="705">
        <f>-DAT!$AY$5</f>
        <v>-96972</v>
      </c>
      <c r="CL55" s="705">
        <f>-DAT!$AY$5</f>
        <v>-96972</v>
      </c>
      <c r="CM55" s="705">
        <f>-DAT!$AY$5</f>
        <v>-96972</v>
      </c>
      <c r="CN55" s="705">
        <f>-DAT!$AY$5</f>
        <v>-96972</v>
      </c>
      <c r="CO55" s="705">
        <f>-DAT!$AY$5</f>
        <v>-96972</v>
      </c>
    </row>
    <row r="56" spans="2:93">
      <c r="B56" s="843">
        <v>12</v>
      </c>
      <c r="C56" s="843">
        <v>38</v>
      </c>
      <c r="D56" s="843">
        <v>90</v>
      </c>
      <c r="E56" s="824"/>
      <c r="I56" s="824">
        <v>3</v>
      </c>
      <c r="J56" s="846">
        <f>D$14</f>
        <v>19.829999999999998</v>
      </c>
      <c r="K56" s="705">
        <f t="shared" si="16"/>
        <v>300000</v>
      </c>
      <c r="L56" s="705">
        <f t="shared" si="17"/>
        <v>360000</v>
      </c>
      <c r="M56" s="825">
        <f t="shared" si="18"/>
        <v>660000</v>
      </c>
      <c r="N56" s="829">
        <f t="shared" si="19"/>
        <v>130878</v>
      </c>
      <c r="O56" s="1173">
        <f>AN$14</f>
        <v>0.3</v>
      </c>
      <c r="P56" s="705">
        <f t="shared" si="20"/>
        <v>83104</v>
      </c>
      <c r="Q56" s="1173">
        <f>BY$14</f>
        <v>0.15279999999999999</v>
      </c>
      <c r="R56" s="705">
        <f t="shared" si="21"/>
        <v>55008</v>
      </c>
      <c r="S56" s="825">
        <f t="shared" si="22"/>
        <v>138112</v>
      </c>
      <c r="T56" s="825">
        <f t="shared" si="23"/>
        <v>138112</v>
      </c>
      <c r="U56" s="847">
        <f t="shared" si="24"/>
        <v>110500</v>
      </c>
      <c r="V56" s="833">
        <f t="shared" si="25"/>
        <v>277014</v>
      </c>
      <c r="W56" s="833">
        <f t="shared" si="26"/>
        <v>290864.7</v>
      </c>
      <c r="X56" s="705">
        <f t="shared" si="27"/>
        <v>2500000</v>
      </c>
      <c r="Y56" s="832">
        <f t="shared" si="28"/>
        <v>2500000</v>
      </c>
      <c r="AA56" s="843">
        <v>0</v>
      </c>
      <c r="AB56" s="825">
        <f t="shared" si="29"/>
        <v>2860000</v>
      </c>
      <c r="AC56" s="825">
        <f t="shared" si="30"/>
        <v>2860000</v>
      </c>
      <c r="AD56" s="705">
        <f>IF(Main!$L$10="YES",Main!$N$10+AC56,AC56)</f>
        <v>2860000</v>
      </c>
      <c r="AE56" s="705">
        <f>IF(AND((Main!$E$9&gt;=18),(Main!$J$10="YES")),$Z$54+AD56,AD56)</f>
        <v>5360000</v>
      </c>
      <c r="BF56" s="843">
        <f>BF55*(125/100)</f>
        <v>3125000</v>
      </c>
      <c r="BG56" s="843">
        <f>IF((BF56&gt;BH59),BF56,BH59)</f>
        <v>3125000</v>
      </c>
      <c r="BQ56" s="824">
        <v>4</v>
      </c>
      <c r="BR56" s="705">
        <f>-DAT!$AY$5</f>
        <v>-96972</v>
      </c>
      <c r="BS56" s="705">
        <f>-DAT!$AY$5</f>
        <v>-96972</v>
      </c>
      <c r="BT56" s="705">
        <f>-DAT!$AY$5</f>
        <v>-96972</v>
      </c>
      <c r="BU56" s="705">
        <f>-DAT!$AY$5</f>
        <v>-96972</v>
      </c>
      <c r="BV56" s="705">
        <f>-DAT!$AY$5</f>
        <v>-96972</v>
      </c>
      <c r="BW56" s="705">
        <f>-DAT!$AY$5</f>
        <v>-96972</v>
      </c>
      <c r="BX56" s="705">
        <f>-DAT!$AY$5</f>
        <v>-96972</v>
      </c>
      <c r="BY56" s="705">
        <f>-DAT!$AY$5</f>
        <v>-96972</v>
      </c>
      <c r="BZ56" s="705">
        <f>-DAT!$AY$5</f>
        <v>-96972</v>
      </c>
      <c r="CA56" s="705">
        <f>-DAT!$AY$5</f>
        <v>-96972</v>
      </c>
      <c r="CB56" s="705">
        <f>-DAT!$AY$5</f>
        <v>-96972</v>
      </c>
      <c r="CC56" s="705">
        <f>-DAT!$AY$5</f>
        <v>-96972</v>
      </c>
      <c r="CD56" s="705">
        <f>-DAT!$AY$5</f>
        <v>-96972</v>
      </c>
      <c r="CE56" s="705">
        <f>-DAT!$AY$5</f>
        <v>-96972</v>
      </c>
      <c r="CF56" s="705">
        <f>-DAT!$AY$5</f>
        <v>-96972</v>
      </c>
      <c r="CG56" s="705">
        <f>-DAT!$AY$5</f>
        <v>-96972</v>
      </c>
      <c r="CH56" s="705">
        <f>-DAT!$AY$5</f>
        <v>-96972</v>
      </c>
      <c r="CI56" s="705">
        <f>-DAT!$AY$5</f>
        <v>-96972</v>
      </c>
      <c r="CJ56" s="705">
        <f>-DAT!$AY$5</f>
        <v>-96972</v>
      </c>
      <c r="CK56" s="705">
        <f>-DAT!$AY$5</f>
        <v>-96972</v>
      </c>
      <c r="CL56" s="705">
        <f>-DAT!$AY$5</f>
        <v>-96972</v>
      </c>
      <c r="CM56" s="705">
        <f>-DAT!$AY$5</f>
        <v>-96972</v>
      </c>
      <c r="CN56" s="705">
        <f>-DAT!$AY$5</f>
        <v>-96972</v>
      </c>
      <c r="CO56" s="705">
        <f>-DAT!$AY$5</f>
        <v>-96972</v>
      </c>
    </row>
    <row r="57" spans="2:93">
      <c r="B57" s="843">
        <v>13</v>
      </c>
      <c r="C57" s="843">
        <v>38</v>
      </c>
      <c r="D57" s="843">
        <v>90</v>
      </c>
      <c r="E57" s="824"/>
      <c r="G57" s="848">
        <f>B52+L54+AA54</f>
        <v>6625000</v>
      </c>
      <c r="I57" s="824">
        <v>4</v>
      </c>
      <c r="J57" s="846">
        <f>E$14</f>
        <v>21.31</v>
      </c>
      <c r="K57" s="705">
        <f t="shared" si="16"/>
        <v>400000</v>
      </c>
      <c r="L57" s="705">
        <f t="shared" si="17"/>
        <v>480000</v>
      </c>
      <c r="M57" s="825">
        <f t="shared" si="18"/>
        <v>880000</v>
      </c>
      <c r="N57" s="829">
        <f t="shared" si="19"/>
        <v>187528</v>
      </c>
      <c r="O57" s="1173">
        <f>AO$14</f>
        <v>0.5</v>
      </c>
      <c r="P57" s="705">
        <f t="shared" si="20"/>
        <v>184676</v>
      </c>
      <c r="Q57" s="1173">
        <f>BZ$14</f>
        <v>0.1542</v>
      </c>
      <c r="R57" s="705">
        <f t="shared" si="21"/>
        <v>74016</v>
      </c>
      <c r="S57" s="825">
        <f t="shared" si="22"/>
        <v>258692</v>
      </c>
      <c r="T57" s="825">
        <f t="shared" si="23"/>
        <v>258692</v>
      </c>
      <c r="U57" s="847">
        <f t="shared" si="24"/>
        <v>207000</v>
      </c>
      <c r="V57" s="833">
        <f t="shared" si="25"/>
        <v>369352</v>
      </c>
      <c r="W57" s="833">
        <f t="shared" si="26"/>
        <v>387819.6</v>
      </c>
      <c r="X57" s="705">
        <f t="shared" si="27"/>
        <v>2500000</v>
      </c>
      <c r="Y57" s="832">
        <f t="shared" si="28"/>
        <v>2500000</v>
      </c>
      <c r="AA57" s="843">
        <v>0</v>
      </c>
      <c r="AB57" s="825">
        <f t="shared" si="29"/>
        <v>2980000</v>
      </c>
      <c r="AC57" s="825">
        <f t="shared" si="30"/>
        <v>2980000</v>
      </c>
      <c r="AD57" s="705">
        <f>IF(Main!$L$10="YES",Main!$N$10+AC57,AC57)</f>
        <v>2980000</v>
      </c>
      <c r="AE57" s="705">
        <f>IF(AND((Main!$E$9&gt;=18),(Main!$J$10="YES")),$Z$54+AD57,AD57)</f>
        <v>5480000</v>
      </c>
      <c r="BG57" s="1174">
        <f>IF((Main!J10="YES"),BF55,0)</f>
        <v>2500000</v>
      </c>
      <c r="BQ57" s="824">
        <v>5</v>
      </c>
      <c r="BR57" s="705">
        <f>-DAT!$AY$5</f>
        <v>-96972</v>
      </c>
      <c r="BS57" s="705">
        <f>-DAT!$AY$5</f>
        <v>-96972</v>
      </c>
      <c r="BT57" s="705">
        <f>-DAT!$AY$5</f>
        <v>-96972</v>
      </c>
      <c r="BU57" s="705">
        <f>-DAT!$AY$5</f>
        <v>-96972</v>
      </c>
      <c r="BV57" s="705">
        <f>-DAT!$AY$5</f>
        <v>-96972</v>
      </c>
      <c r="BW57" s="705">
        <f>-DAT!$AY$5</f>
        <v>-96972</v>
      </c>
      <c r="BX57" s="705">
        <f>-DAT!$AY$5</f>
        <v>-96972</v>
      </c>
      <c r="BY57" s="705">
        <f>-DAT!$AY$5</f>
        <v>-96972</v>
      </c>
      <c r="BZ57" s="705">
        <f>-DAT!$AY$5</f>
        <v>-96972</v>
      </c>
      <c r="CA57" s="705">
        <f>-DAT!$AY$5</f>
        <v>-96972</v>
      </c>
      <c r="CB57" s="705">
        <f>-DAT!$AY$5</f>
        <v>-96972</v>
      </c>
      <c r="CC57" s="705">
        <f>-DAT!$AY$5</f>
        <v>-96972</v>
      </c>
      <c r="CD57" s="705">
        <f>-DAT!$AY$5</f>
        <v>-96972</v>
      </c>
      <c r="CE57" s="705">
        <f>-DAT!$AY$5</f>
        <v>-96972</v>
      </c>
      <c r="CF57" s="705">
        <f>-DAT!$AY$5</f>
        <v>-96972</v>
      </c>
      <c r="CG57" s="705">
        <f>-DAT!$AY$5</f>
        <v>-96972</v>
      </c>
      <c r="CH57" s="705">
        <f>-DAT!$AY$5</f>
        <v>-96972</v>
      </c>
      <c r="CI57" s="705">
        <f>-DAT!$AY$5</f>
        <v>-96972</v>
      </c>
      <c r="CJ57" s="705">
        <f>-DAT!$AY$5</f>
        <v>-96972</v>
      </c>
      <c r="CK57" s="705">
        <f>-DAT!$AY$5</f>
        <v>-96972</v>
      </c>
      <c r="CL57" s="705">
        <f>-DAT!$AY$5</f>
        <v>-96972</v>
      </c>
      <c r="CM57" s="705">
        <f>-DAT!$AY$5</f>
        <v>-96972</v>
      </c>
      <c r="CN57" s="705">
        <f>-DAT!$AY$5</f>
        <v>-96972</v>
      </c>
      <c r="CO57" s="705">
        <f>-DAT!$AY$5</f>
        <v>-96972</v>
      </c>
    </row>
    <row r="58" spans="2:93">
      <c r="B58" s="843">
        <v>14</v>
      </c>
      <c r="C58" s="843">
        <v>38</v>
      </c>
      <c r="D58" s="843">
        <v>90</v>
      </c>
      <c r="E58" s="824"/>
      <c r="I58" s="824">
        <v>5</v>
      </c>
      <c r="J58" s="846">
        <f>F$14</f>
        <v>22.91</v>
      </c>
      <c r="K58" s="705">
        <f t="shared" si="16"/>
        <v>500000</v>
      </c>
      <c r="L58" s="705">
        <f t="shared" si="17"/>
        <v>600000</v>
      </c>
      <c r="M58" s="825">
        <f t="shared" si="18"/>
        <v>1100000</v>
      </c>
      <c r="N58" s="829">
        <f t="shared" si="19"/>
        <v>252010</v>
      </c>
      <c r="O58" s="1173">
        <f>AP$14</f>
        <v>0.5</v>
      </c>
      <c r="P58" s="705">
        <f t="shared" si="20"/>
        <v>230845</v>
      </c>
      <c r="Q58" s="1173">
        <f>CA$14</f>
        <v>0.1555</v>
      </c>
      <c r="R58" s="705">
        <f t="shared" si="21"/>
        <v>93300</v>
      </c>
      <c r="S58" s="825">
        <f t="shared" si="22"/>
        <v>324145</v>
      </c>
      <c r="T58" s="825">
        <f t="shared" si="23"/>
        <v>324145</v>
      </c>
      <c r="U58" s="847">
        <f t="shared" si="24"/>
        <v>259300</v>
      </c>
      <c r="V58" s="833">
        <f t="shared" si="25"/>
        <v>461690</v>
      </c>
      <c r="W58" s="833">
        <f t="shared" si="26"/>
        <v>484774.5</v>
      </c>
      <c r="X58" s="705">
        <f t="shared" si="27"/>
        <v>2500000</v>
      </c>
      <c r="Y58" s="832">
        <f t="shared" si="28"/>
        <v>2500000</v>
      </c>
      <c r="AA58" s="843">
        <v>0</v>
      </c>
      <c r="AB58" s="825">
        <f t="shared" si="29"/>
        <v>3100000</v>
      </c>
      <c r="AC58" s="825">
        <f t="shared" si="30"/>
        <v>3100000</v>
      </c>
      <c r="AD58" s="705">
        <f>IF(Main!$L$10="YES",Main!$N$10+AC58,AC58)</f>
        <v>3100000</v>
      </c>
      <c r="AE58" s="705">
        <f>IF(AND((Main!$E$9&gt;=18),(Main!$J$10="YES")),$Z$54+AD58,AD58)</f>
        <v>5600000</v>
      </c>
      <c r="AN58" s="705">
        <v>820</v>
      </c>
      <c r="BQ58" s="824">
        <v>6</v>
      </c>
      <c r="BR58" s="705">
        <f>-DAT!$AY$5</f>
        <v>-96972</v>
      </c>
      <c r="BS58" s="705">
        <f>-DAT!$AY$5</f>
        <v>-96972</v>
      </c>
      <c r="BT58" s="705">
        <f>-DAT!$AY$5</f>
        <v>-96972</v>
      </c>
      <c r="BU58" s="705">
        <f>-DAT!$AY$5</f>
        <v>-96972</v>
      </c>
      <c r="BV58" s="705">
        <f>-DAT!$AY$5</f>
        <v>-96972</v>
      </c>
      <c r="BW58" s="705">
        <f>-DAT!$AY$5</f>
        <v>-96972</v>
      </c>
      <c r="BX58" s="705">
        <f>-DAT!$AY$5</f>
        <v>-96972</v>
      </c>
      <c r="BY58" s="705">
        <f>-DAT!$AY$5</f>
        <v>-96972</v>
      </c>
      <c r="BZ58" s="705">
        <f>-DAT!$AY$5</f>
        <v>-96972</v>
      </c>
      <c r="CA58" s="705">
        <f>-DAT!$AY$5</f>
        <v>-96972</v>
      </c>
      <c r="CB58" s="705">
        <f>-DAT!$AY$5</f>
        <v>-96972</v>
      </c>
      <c r="CC58" s="705">
        <f>-DAT!$AY$5</f>
        <v>-96972</v>
      </c>
      <c r="CD58" s="705">
        <f>-DAT!$AY$5</f>
        <v>-96972</v>
      </c>
      <c r="CE58" s="705">
        <f>-DAT!$AY$5</f>
        <v>-96972</v>
      </c>
      <c r="CF58" s="705">
        <f>-DAT!$AY$5</f>
        <v>-96972</v>
      </c>
      <c r="CG58" s="705">
        <f>-DAT!$AY$5</f>
        <v>-96972</v>
      </c>
      <c r="CH58" s="705">
        <f>-DAT!$AY$5</f>
        <v>-96972</v>
      </c>
      <c r="CI58" s="705">
        <f>-DAT!$AY$5</f>
        <v>-96972</v>
      </c>
      <c r="CJ58" s="705">
        <f>-DAT!$AY$5</f>
        <v>-96972</v>
      </c>
      <c r="CK58" s="705">
        <f>-DAT!$AY$5</f>
        <v>-96972</v>
      </c>
      <c r="CL58" s="705">
        <f>-DAT!$AY$5</f>
        <v>-96972</v>
      </c>
      <c r="CM58" s="705">
        <f>-DAT!$AY$5</f>
        <v>-96972</v>
      </c>
      <c r="CN58" s="705">
        <f>-DAT!$AY$5</f>
        <v>-96972</v>
      </c>
      <c r="CO58" s="705">
        <f>-DAT!$AY$5</f>
        <v>-96972</v>
      </c>
    </row>
    <row r="59" spans="2:93">
      <c r="B59" s="843">
        <v>15</v>
      </c>
      <c r="C59" s="843">
        <v>38</v>
      </c>
      <c r="D59" s="843">
        <v>90</v>
      </c>
      <c r="E59" s="824"/>
      <c r="I59" s="824">
        <v>6</v>
      </c>
      <c r="J59" s="846">
        <f>G$14</f>
        <v>24.63</v>
      </c>
      <c r="K59" s="705">
        <f t="shared" si="16"/>
        <v>600000</v>
      </c>
      <c r="L59" s="705">
        <f t="shared" si="17"/>
        <v>720000</v>
      </c>
      <c r="M59" s="825">
        <f t="shared" si="18"/>
        <v>1320000</v>
      </c>
      <c r="N59" s="829">
        <f t="shared" si="19"/>
        <v>325116</v>
      </c>
      <c r="O59" s="1173">
        <f>AQ$14</f>
        <v>0.5</v>
      </c>
      <c r="P59" s="705">
        <f t="shared" si="20"/>
        <v>277014</v>
      </c>
      <c r="Q59" s="1173">
        <f>CB$14</f>
        <v>0.15720000000000001</v>
      </c>
      <c r="R59" s="705">
        <f t="shared" si="21"/>
        <v>113184</v>
      </c>
      <c r="S59" s="825">
        <f t="shared" si="22"/>
        <v>390198</v>
      </c>
      <c r="T59" s="825">
        <f t="shared" si="23"/>
        <v>390198</v>
      </c>
      <c r="U59" s="847">
        <f t="shared" si="24"/>
        <v>312200</v>
      </c>
      <c r="V59" s="833">
        <f t="shared" si="25"/>
        <v>554028</v>
      </c>
      <c r="W59" s="833">
        <f t="shared" si="26"/>
        <v>581729.4</v>
      </c>
      <c r="X59" s="705">
        <f t="shared" si="27"/>
        <v>2500000</v>
      </c>
      <c r="Y59" s="832">
        <f t="shared" si="28"/>
        <v>2500000</v>
      </c>
      <c r="AA59" s="843">
        <v>0</v>
      </c>
      <c r="AB59" s="825">
        <f t="shared" si="29"/>
        <v>3220000</v>
      </c>
      <c r="AC59" s="825">
        <f t="shared" si="30"/>
        <v>3220000</v>
      </c>
      <c r="AD59" s="705">
        <f>IF(Main!$L$10="YES",Main!$N$10+AC59,AC59)</f>
        <v>3220000</v>
      </c>
      <c r="AE59" s="705">
        <f>IF(AND((Main!$E$9&gt;=18),(Main!$J$10="YES")),$Z$54+AD59,AD59)</f>
        <v>5720000</v>
      </c>
      <c r="AT59" s="1175" t="s">
        <v>184</v>
      </c>
      <c r="BA59" s="1175" t="s">
        <v>183</v>
      </c>
      <c r="BQ59" s="824">
        <v>7</v>
      </c>
      <c r="BR59" s="705">
        <f>-DAT!$AY$5</f>
        <v>-96972</v>
      </c>
      <c r="BS59" s="705">
        <f>-DAT!$AY$5</f>
        <v>-96972</v>
      </c>
      <c r="BT59" s="705">
        <f>-DAT!$AY$5</f>
        <v>-96972</v>
      </c>
      <c r="BU59" s="705">
        <f>-DAT!$AY$5</f>
        <v>-96972</v>
      </c>
      <c r="BV59" s="705">
        <f>-DAT!$AY$5</f>
        <v>-96972</v>
      </c>
      <c r="BW59" s="705">
        <f>-DAT!$AY$5</f>
        <v>-96972</v>
      </c>
      <c r="BX59" s="705">
        <f>-DAT!$AY$5</f>
        <v>-96972</v>
      </c>
      <c r="BY59" s="705">
        <f>-DAT!$AY$5</f>
        <v>-96972</v>
      </c>
      <c r="BZ59" s="705">
        <f>-DAT!$AY$5</f>
        <v>-96972</v>
      </c>
      <c r="CA59" s="705">
        <f>-DAT!$AY$5</f>
        <v>-96972</v>
      </c>
      <c r="CB59" s="705">
        <f>-DAT!$AY$5</f>
        <v>-96972</v>
      </c>
      <c r="CC59" s="705">
        <f>-DAT!$AY$5</f>
        <v>-96972</v>
      </c>
      <c r="CD59" s="705">
        <f>-DAT!$AY$5</f>
        <v>-96972</v>
      </c>
      <c r="CE59" s="705">
        <f>-DAT!$AY$5</f>
        <v>-96972</v>
      </c>
      <c r="CF59" s="705">
        <f>-DAT!$AY$5</f>
        <v>-96972</v>
      </c>
      <c r="CG59" s="705">
        <f>-DAT!$AY$5</f>
        <v>-96972</v>
      </c>
      <c r="CH59" s="705">
        <f>-DAT!$AY$5</f>
        <v>-96972</v>
      </c>
      <c r="CI59" s="705">
        <f>-DAT!$AY$5</f>
        <v>-96972</v>
      </c>
      <c r="CJ59" s="705">
        <f>-DAT!$AY$5</f>
        <v>-96972</v>
      </c>
      <c r="CK59" s="705">
        <f>-DAT!$AY$5</f>
        <v>-96972</v>
      </c>
      <c r="CL59" s="705">
        <f>-DAT!$AY$5</f>
        <v>-96972</v>
      </c>
      <c r="CM59" s="705">
        <f>-DAT!$AY$5</f>
        <v>-96972</v>
      </c>
      <c r="CN59" s="705">
        <f>-DAT!$AY$5</f>
        <v>-96972</v>
      </c>
      <c r="CO59" s="705">
        <f>-DAT!$AY$5</f>
        <v>-96972</v>
      </c>
    </row>
    <row r="60" spans="2:93">
      <c r="B60" s="843">
        <v>16</v>
      </c>
      <c r="C60" s="843">
        <v>42</v>
      </c>
      <c r="D60" s="843">
        <v>90</v>
      </c>
      <c r="E60" s="824"/>
      <c r="I60" s="824">
        <v>7</v>
      </c>
      <c r="J60" s="846">
        <f>H$14</f>
        <v>26.48</v>
      </c>
      <c r="K60" s="705">
        <f t="shared" si="16"/>
        <v>700000</v>
      </c>
      <c r="L60" s="705">
        <f t="shared" si="17"/>
        <v>840000</v>
      </c>
      <c r="M60" s="825">
        <f t="shared" si="18"/>
        <v>1540000</v>
      </c>
      <c r="N60" s="829">
        <f t="shared" si="19"/>
        <v>407792</v>
      </c>
      <c r="O60" s="1173">
        <f>AR$14</f>
        <v>0.5</v>
      </c>
      <c r="P60" s="705">
        <f t="shared" si="20"/>
        <v>323183</v>
      </c>
      <c r="Q60" s="1173">
        <f>CC$14</f>
        <v>0.1593</v>
      </c>
      <c r="R60" s="705">
        <f t="shared" si="21"/>
        <v>133812</v>
      </c>
      <c r="S60" s="825">
        <f t="shared" si="22"/>
        <v>456995</v>
      </c>
      <c r="T60" s="825">
        <f t="shared" si="23"/>
        <v>456995</v>
      </c>
      <c r="U60" s="847">
        <f t="shared" si="24"/>
        <v>365600</v>
      </c>
      <c r="V60" s="833">
        <f t="shared" si="25"/>
        <v>646366</v>
      </c>
      <c r="W60" s="833">
        <f t="shared" si="26"/>
        <v>678684.3</v>
      </c>
      <c r="X60" s="705">
        <f t="shared" si="27"/>
        <v>2500000</v>
      </c>
      <c r="Y60" s="832">
        <f t="shared" si="28"/>
        <v>2500000</v>
      </c>
      <c r="AA60" s="843">
        <v>0</v>
      </c>
      <c r="AB60" s="825">
        <f t="shared" si="29"/>
        <v>3340000</v>
      </c>
      <c r="AC60" s="825">
        <f t="shared" si="30"/>
        <v>3340000</v>
      </c>
      <c r="AD60" s="705">
        <f>IF(Main!$L$10="YES",Main!$N$10+AC60,AC60)</f>
        <v>3340000</v>
      </c>
      <c r="AE60" s="705">
        <f>IF(AND((Main!$E$9&gt;=18),(Main!$J$10="YES")),$Z$54+AD60,AD60)</f>
        <v>5840000</v>
      </c>
      <c r="AK60" s="1175" t="s">
        <v>182</v>
      </c>
      <c r="AL60" s="1175" t="s">
        <v>181</v>
      </c>
      <c r="AN60" s="848">
        <v>1</v>
      </c>
      <c r="AO60" s="846">
        <v>0</v>
      </c>
      <c r="AP60" s="848">
        <f t="shared" ref="AP60:AP79" si="31">((AN60/$AL$61)*$B$52)*(AO60/100)</f>
        <v>0</v>
      </c>
      <c r="AQ60" s="848">
        <f t="shared" ref="AQ60:AQ79" si="32">(($B$52/1000)*($AK$61*AN60))</f>
        <v>97500</v>
      </c>
      <c r="AR60" s="848">
        <f t="shared" ref="AR60:AR79" si="33">AQ60+AP60</f>
        <v>97500</v>
      </c>
      <c r="AS60" s="848">
        <v>0</v>
      </c>
      <c r="AT60" s="848">
        <f t="shared" ref="AT60:AT79" si="34">AR60-AS60</f>
        <v>97500</v>
      </c>
      <c r="AU60" s="849">
        <v>0</v>
      </c>
      <c r="AV60" s="705">
        <f t="shared" ref="AV60:AV79" si="35">ROUND(($AL$63*AN60)*AU60,0)</f>
        <v>0</v>
      </c>
      <c r="AW60" s="845">
        <v>0</v>
      </c>
      <c r="AX60" s="705">
        <f t="shared" ref="AX60:AX79" si="36">ROUND(AQ60*AW60,0)</f>
        <v>0</v>
      </c>
      <c r="AY60" s="848">
        <f t="shared" ref="AY60:AY78" si="37">AV60+AX60</f>
        <v>0</v>
      </c>
      <c r="AZ60" s="848">
        <v>0</v>
      </c>
      <c r="BA60" s="825">
        <f t="shared" ref="BA60:BA78" si="38">AY60-AZ60</f>
        <v>0</v>
      </c>
      <c r="BB60" s="847">
        <v>0</v>
      </c>
      <c r="BC60" s="847">
        <v>0</v>
      </c>
      <c r="BD60" s="705">
        <f t="shared" ref="BD60:BD79" si="39">$AL$63*AN60</f>
        <v>186295</v>
      </c>
      <c r="BE60" s="833">
        <f t="shared" ref="BE60:BE79" si="40">BD60*105/100</f>
        <v>195609.75</v>
      </c>
      <c r="BF60" s="705">
        <f t="shared" ref="BF60:BF79" si="41">$BG$56</f>
        <v>3125000</v>
      </c>
      <c r="BG60" s="705">
        <f t="shared" ref="BG60:BG79" si="42">IF(($BG$57&gt;10000000),10000000,$BG$57)</f>
        <v>2500000</v>
      </c>
      <c r="BH60" s="705">
        <f>AL63*10</f>
        <v>1862950</v>
      </c>
      <c r="BI60" s="843">
        <v>0</v>
      </c>
      <c r="BJ60" s="848">
        <f t="shared" ref="BJ60:BJ79" si="43">BI60+BF60+AQ60</f>
        <v>3222500</v>
      </c>
      <c r="BK60" s="825">
        <f t="shared" ref="BK60:BK79" si="44">IF((BE60&gt;BJ60),BE60,BJ60)</f>
        <v>3222500</v>
      </c>
      <c r="BL60" s="705">
        <f>IF(Main!$L$10="YES",Main!$N$10+BK60,BK60)</f>
        <v>3222500</v>
      </c>
      <c r="BM60" s="705">
        <f>IF(AND((Main!$E$9&gt;=18),(Main!$J$10="YES")),BG60+BL60,BL60)</f>
        <v>5722500</v>
      </c>
      <c r="BQ60" s="824">
        <v>8</v>
      </c>
      <c r="BR60" s="705">
        <f>-DAT!$AY$5</f>
        <v>-96972</v>
      </c>
      <c r="BS60" s="705">
        <f>-DAT!$AY$5</f>
        <v>-96972</v>
      </c>
      <c r="BT60" s="705">
        <f>-DAT!$AY$5</f>
        <v>-96972</v>
      </c>
      <c r="BU60" s="705">
        <f>-DAT!$AY$5</f>
        <v>-96972</v>
      </c>
      <c r="BV60" s="705">
        <f>-DAT!$AY$5</f>
        <v>-96972</v>
      </c>
      <c r="BW60" s="705">
        <f>-DAT!$AY$5</f>
        <v>-96972</v>
      </c>
      <c r="BX60" s="705">
        <f>-DAT!$AY$5</f>
        <v>-96972</v>
      </c>
      <c r="BY60" s="705">
        <f>-DAT!$AY$5</f>
        <v>-96972</v>
      </c>
      <c r="BZ60" s="705">
        <f>-DAT!$AY$5</f>
        <v>-96972</v>
      </c>
      <c r="CA60" s="705">
        <f>-DAT!$AY$5</f>
        <v>-96972</v>
      </c>
      <c r="CB60" s="705">
        <f>-DAT!$AY$5</f>
        <v>-96972</v>
      </c>
      <c r="CC60" s="705">
        <f>-DAT!$AY$5</f>
        <v>-96972</v>
      </c>
      <c r="CD60" s="705">
        <f>-DAT!$AY$5</f>
        <v>-96972</v>
      </c>
      <c r="CE60" s="705">
        <f>-DAT!$AY$5</f>
        <v>-96972</v>
      </c>
      <c r="CF60" s="705">
        <f>-DAT!$AY$5</f>
        <v>-96972</v>
      </c>
      <c r="CG60" s="705">
        <f>-DAT!$AY$5</f>
        <v>-96972</v>
      </c>
      <c r="CH60" s="705">
        <f>-DAT!$AY$5</f>
        <v>-96972</v>
      </c>
      <c r="CI60" s="705">
        <f>-DAT!$AY$5</f>
        <v>-96972</v>
      </c>
      <c r="CJ60" s="705">
        <f>-DAT!$AY$5</f>
        <v>-96972</v>
      </c>
      <c r="CK60" s="705">
        <f>-DAT!$AY$5</f>
        <v>-96972</v>
      </c>
      <c r="CL60" s="705">
        <f>-DAT!$AY$5</f>
        <v>-96972</v>
      </c>
      <c r="CM60" s="705">
        <f>-DAT!$AY$5</f>
        <v>-96972</v>
      </c>
      <c r="CN60" s="705">
        <f>-DAT!$AY$5</f>
        <v>-96972</v>
      </c>
      <c r="CO60" s="705">
        <f>-DAT!$AY$5</f>
        <v>-96972</v>
      </c>
    </row>
    <row r="61" spans="2:93">
      <c r="B61" s="843">
        <v>17</v>
      </c>
      <c r="C61" s="843">
        <v>42</v>
      </c>
      <c r="D61" s="843">
        <v>90</v>
      </c>
      <c r="E61" s="824"/>
      <c r="I61" s="824">
        <v>8</v>
      </c>
      <c r="J61" s="846">
        <f>I$14</f>
        <v>28.47</v>
      </c>
      <c r="K61" s="705">
        <f t="shared" si="16"/>
        <v>800000</v>
      </c>
      <c r="L61" s="705">
        <f t="shared" si="17"/>
        <v>960000</v>
      </c>
      <c r="M61" s="825">
        <f t="shared" si="18"/>
        <v>1760000</v>
      </c>
      <c r="N61" s="829">
        <f t="shared" si="19"/>
        <v>501072</v>
      </c>
      <c r="O61" s="1173">
        <f>AS$14</f>
        <v>0.51759999999999995</v>
      </c>
      <c r="P61" s="705">
        <f t="shared" si="20"/>
        <v>382353</v>
      </c>
      <c r="Q61" s="1173">
        <f>CD$14</f>
        <v>0.16220000000000001</v>
      </c>
      <c r="R61" s="705">
        <f t="shared" si="21"/>
        <v>155712</v>
      </c>
      <c r="S61" s="825">
        <f t="shared" si="22"/>
        <v>538065</v>
      </c>
      <c r="T61" s="825">
        <f t="shared" si="23"/>
        <v>538065</v>
      </c>
      <c r="U61" s="847">
        <f t="shared" si="24"/>
        <v>430500</v>
      </c>
      <c r="V61" s="833">
        <f t="shared" si="25"/>
        <v>738704</v>
      </c>
      <c r="W61" s="833">
        <f t="shared" si="26"/>
        <v>775639.2</v>
      </c>
      <c r="X61" s="705">
        <f t="shared" si="27"/>
        <v>2500000</v>
      </c>
      <c r="Y61" s="832">
        <f t="shared" si="28"/>
        <v>2500000</v>
      </c>
      <c r="AA61" s="843">
        <v>0</v>
      </c>
      <c r="AB61" s="825">
        <f t="shared" si="29"/>
        <v>3460000</v>
      </c>
      <c r="AC61" s="825">
        <f t="shared" si="30"/>
        <v>3460000</v>
      </c>
      <c r="AD61" s="705">
        <f>IF(Main!$L$10="YES",Main!$N$10+AC61,AC61)</f>
        <v>3460000</v>
      </c>
      <c r="AE61" s="705">
        <f>IF(AND((Main!$E$9&gt;=18),(Main!$J$10="YES")),$Z$54+AD61,AD61)</f>
        <v>5960000</v>
      </c>
      <c r="AK61" s="705">
        <v>39</v>
      </c>
      <c r="AL61" s="705">
        <v>15</v>
      </c>
      <c r="AN61" s="848">
        <v>2</v>
      </c>
      <c r="AO61" s="846">
        <v>0</v>
      </c>
      <c r="AP61" s="848">
        <f t="shared" si="31"/>
        <v>0</v>
      </c>
      <c r="AQ61" s="848">
        <f t="shared" si="32"/>
        <v>195000</v>
      </c>
      <c r="AR61" s="848">
        <f t="shared" si="33"/>
        <v>195000</v>
      </c>
      <c r="AS61" s="848">
        <v>0</v>
      </c>
      <c r="AT61" s="848">
        <f t="shared" si="34"/>
        <v>195000</v>
      </c>
      <c r="AU61" s="849">
        <v>0</v>
      </c>
      <c r="AV61" s="705">
        <f t="shared" si="35"/>
        <v>0</v>
      </c>
      <c r="AW61" s="845">
        <v>0</v>
      </c>
      <c r="AX61" s="705">
        <f t="shared" si="36"/>
        <v>0</v>
      </c>
      <c r="AY61" s="848">
        <f t="shared" si="37"/>
        <v>0</v>
      </c>
      <c r="AZ61" s="848">
        <v>0</v>
      </c>
      <c r="BA61" s="825">
        <f t="shared" si="38"/>
        <v>0</v>
      </c>
      <c r="BB61" s="847">
        <v>0</v>
      </c>
      <c r="BC61" s="847">
        <v>0</v>
      </c>
      <c r="BD61" s="705">
        <f t="shared" si="39"/>
        <v>372590</v>
      </c>
      <c r="BE61" s="833">
        <f t="shared" si="40"/>
        <v>391219.5</v>
      </c>
      <c r="BF61" s="705">
        <f t="shared" si="41"/>
        <v>3125000</v>
      </c>
      <c r="BG61" s="705">
        <f t="shared" si="42"/>
        <v>2500000</v>
      </c>
      <c r="BI61" s="843">
        <v>0</v>
      </c>
      <c r="BJ61" s="848">
        <f t="shared" si="43"/>
        <v>3320000</v>
      </c>
      <c r="BK61" s="825">
        <f t="shared" si="44"/>
        <v>3320000</v>
      </c>
      <c r="BL61" s="705">
        <f>IF(Main!$L$10="YES",Main!$N$10+BK61,BK61)</f>
        <v>3320000</v>
      </c>
      <c r="BM61" s="705">
        <f>IF(AND((Main!$E$9&gt;=18),(Main!$J$10="YES")),BG61+BL61,BL61)</f>
        <v>5820000</v>
      </c>
      <c r="BQ61" s="824">
        <v>9</v>
      </c>
      <c r="BR61" s="705">
        <f>-DAT!$AY$5</f>
        <v>-96972</v>
      </c>
      <c r="BS61" s="705">
        <f>-DAT!$AY$5</f>
        <v>-96972</v>
      </c>
      <c r="BT61" s="705">
        <f>-DAT!$AY$5</f>
        <v>-96972</v>
      </c>
      <c r="BU61" s="705">
        <f>-DAT!$AY$5</f>
        <v>-96972</v>
      </c>
      <c r="BV61" s="705">
        <f>-DAT!$AY$5</f>
        <v>-96972</v>
      </c>
      <c r="BW61" s="705">
        <f>-DAT!$AY$5</f>
        <v>-96972</v>
      </c>
      <c r="BX61" s="705">
        <f>-DAT!$AY$5</f>
        <v>-96972</v>
      </c>
      <c r="BY61" s="705">
        <f>-DAT!$AY$5</f>
        <v>-96972</v>
      </c>
      <c r="BZ61" s="705">
        <f>-DAT!$AY$5</f>
        <v>-96972</v>
      </c>
      <c r="CA61" s="705">
        <f>-DAT!$AY$5</f>
        <v>-96972</v>
      </c>
      <c r="CB61" s="705">
        <f>-DAT!$AY$5</f>
        <v>-96972</v>
      </c>
      <c r="CC61" s="705">
        <f>-DAT!$AY$5</f>
        <v>-96972</v>
      </c>
      <c r="CD61" s="705">
        <f>-DAT!$AY$5</f>
        <v>-96972</v>
      </c>
      <c r="CE61" s="705">
        <f>-DAT!$AY$5</f>
        <v>-96972</v>
      </c>
      <c r="CF61" s="705">
        <f>-DAT!$AY$5</f>
        <v>-96972</v>
      </c>
      <c r="CG61" s="705">
        <f>-DAT!$AY$5</f>
        <v>-96972</v>
      </c>
      <c r="CH61" s="705">
        <f>-DAT!$AY$5</f>
        <v>-96972</v>
      </c>
      <c r="CI61" s="705">
        <f>-DAT!$AY$5</f>
        <v>-96972</v>
      </c>
      <c r="CJ61" s="705">
        <f>-DAT!$AY$5</f>
        <v>-96972</v>
      </c>
      <c r="CK61" s="705">
        <f>-DAT!$AY$5</f>
        <v>-96972</v>
      </c>
      <c r="CL61" s="705">
        <f>-DAT!$AY$5</f>
        <v>-96972</v>
      </c>
      <c r="CM61" s="705">
        <f>-DAT!$AY$5</f>
        <v>-96972</v>
      </c>
      <c r="CN61" s="705">
        <f>-DAT!$AY$5</f>
        <v>-96972</v>
      </c>
      <c r="CO61" s="705">
        <f>-DAT!$AY$5</f>
        <v>-96972</v>
      </c>
    </row>
    <row r="62" spans="2:93">
      <c r="B62" s="843">
        <v>18</v>
      </c>
      <c r="C62" s="843">
        <v>42</v>
      </c>
      <c r="D62" s="843">
        <v>90</v>
      </c>
      <c r="E62" s="824"/>
      <c r="I62" s="824">
        <v>9</v>
      </c>
      <c r="J62" s="846">
        <f>J$14</f>
        <v>30.61</v>
      </c>
      <c r="K62" s="705">
        <f t="shared" si="16"/>
        <v>900000</v>
      </c>
      <c r="L62" s="705">
        <f t="shared" si="17"/>
        <v>1080000</v>
      </c>
      <c r="M62" s="825">
        <f t="shared" si="18"/>
        <v>1980000</v>
      </c>
      <c r="N62" s="829">
        <f t="shared" si="19"/>
        <v>606078</v>
      </c>
      <c r="O62" s="1173">
        <f>AT$14</f>
        <v>0.5353</v>
      </c>
      <c r="P62" s="705">
        <f t="shared" si="20"/>
        <v>444857</v>
      </c>
      <c r="Q62" s="1173">
        <f>CE$14</f>
        <v>0.1658</v>
      </c>
      <c r="R62" s="705">
        <f t="shared" si="21"/>
        <v>179064</v>
      </c>
      <c r="S62" s="825">
        <f t="shared" si="22"/>
        <v>623921</v>
      </c>
      <c r="T62" s="825">
        <f t="shared" si="23"/>
        <v>623921</v>
      </c>
      <c r="U62" s="847">
        <f t="shared" si="24"/>
        <v>499100</v>
      </c>
      <c r="V62" s="833">
        <f t="shared" si="25"/>
        <v>831042</v>
      </c>
      <c r="W62" s="833">
        <f t="shared" si="26"/>
        <v>872594.1</v>
      </c>
      <c r="X62" s="705">
        <f t="shared" si="27"/>
        <v>2500000</v>
      </c>
      <c r="Y62" s="832">
        <f t="shared" si="28"/>
        <v>2500000</v>
      </c>
      <c r="AA62" s="843">
        <v>0</v>
      </c>
      <c r="AB62" s="825">
        <f t="shared" si="29"/>
        <v>3580000</v>
      </c>
      <c r="AC62" s="825">
        <f t="shared" si="30"/>
        <v>3580000</v>
      </c>
      <c r="AD62" s="705">
        <f>IF(Main!$L$10="YES",Main!$N$10+AC62,AC62)</f>
        <v>3580000</v>
      </c>
      <c r="AE62" s="705">
        <f>IF(AND((Main!$E$9&gt;=18),(Main!$J$10="YES")),$Z$54+AD62,AD62)</f>
        <v>6080000</v>
      </c>
      <c r="AN62" s="848">
        <v>3</v>
      </c>
      <c r="AO62" s="846">
        <v>27.91</v>
      </c>
      <c r="AP62" s="848">
        <f t="shared" si="31"/>
        <v>139550</v>
      </c>
      <c r="AQ62" s="848">
        <f t="shared" si="32"/>
        <v>292500</v>
      </c>
      <c r="AR62" s="848">
        <f t="shared" si="33"/>
        <v>432050</v>
      </c>
      <c r="AS62" s="848">
        <v>0</v>
      </c>
      <c r="AT62" s="848">
        <f t="shared" si="34"/>
        <v>432050</v>
      </c>
      <c r="AU62" s="845">
        <v>0.3</v>
      </c>
      <c r="AV62" s="705">
        <f t="shared" si="35"/>
        <v>167666</v>
      </c>
      <c r="AW62" s="845">
        <v>0.16220000000000001</v>
      </c>
      <c r="AX62" s="705">
        <f t="shared" si="36"/>
        <v>47444</v>
      </c>
      <c r="AY62" s="848">
        <f t="shared" si="37"/>
        <v>215110</v>
      </c>
      <c r="AZ62" s="848">
        <v>0</v>
      </c>
      <c r="BA62" s="825">
        <f t="shared" si="38"/>
        <v>215110</v>
      </c>
      <c r="BB62" s="847">
        <f t="shared" ref="BB62:BB78" si="45">IF((AT62&gt;BA62),AT62,BA62)</f>
        <v>432050</v>
      </c>
      <c r="BC62" s="843">
        <f t="shared" ref="BC62:BC78" si="46">ROUND((BB62*(90/100)),-2)</f>
        <v>388800</v>
      </c>
      <c r="BD62" s="705">
        <f t="shared" si="39"/>
        <v>558885</v>
      </c>
      <c r="BE62" s="833">
        <f t="shared" si="40"/>
        <v>586829.25</v>
      </c>
      <c r="BF62" s="705">
        <f t="shared" si="41"/>
        <v>3125000</v>
      </c>
      <c r="BG62" s="705">
        <f t="shared" si="42"/>
        <v>2500000</v>
      </c>
      <c r="BI62" s="843">
        <v>0</v>
      </c>
      <c r="BJ62" s="848">
        <f t="shared" si="43"/>
        <v>3417500</v>
      </c>
      <c r="BK62" s="825">
        <f t="shared" si="44"/>
        <v>3417500</v>
      </c>
      <c r="BL62" s="705">
        <f>IF(Main!$L$10="YES",Main!$N$10+BK62,BK62)</f>
        <v>3417500</v>
      </c>
      <c r="BM62" s="705">
        <f>IF(AND((Main!$E$9&gt;=18),(Main!$J$10="YES")),BG62+BL62,BL62)</f>
        <v>5917500</v>
      </c>
      <c r="BQ62" s="824">
        <v>10</v>
      </c>
      <c r="BR62" s="705">
        <f>-DAT!$AY$5</f>
        <v>-96972</v>
      </c>
      <c r="BS62" s="705">
        <f>-DAT!$AY$5</f>
        <v>-96972</v>
      </c>
      <c r="BT62" s="705">
        <f>-DAT!$AY$5</f>
        <v>-96972</v>
      </c>
      <c r="BU62" s="705">
        <f>-DAT!$AY$5</f>
        <v>-96972</v>
      </c>
      <c r="BV62" s="705">
        <f>-DAT!$AY$5</f>
        <v>-96972</v>
      </c>
      <c r="BW62" s="705">
        <f>-DAT!$AY$5</f>
        <v>-96972</v>
      </c>
      <c r="BX62" s="705">
        <f>-DAT!$AY$5</f>
        <v>-96972</v>
      </c>
      <c r="BY62" s="705">
        <f>-DAT!$AY$5</f>
        <v>-96972</v>
      </c>
      <c r="BZ62" s="705">
        <f>-DAT!$AY$5</f>
        <v>-96972</v>
      </c>
      <c r="CA62" s="705">
        <f>-DAT!$AY$5</f>
        <v>-96972</v>
      </c>
      <c r="CB62" s="705">
        <f>-DAT!$AY$5</f>
        <v>-96972</v>
      </c>
      <c r="CC62" s="705">
        <f>-DAT!$AY$5</f>
        <v>-96972</v>
      </c>
      <c r="CD62" s="705">
        <f>-DAT!$AY$5</f>
        <v>-96972</v>
      </c>
      <c r="CE62" s="705">
        <f>-DAT!$AY$5</f>
        <v>-96972</v>
      </c>
      <c r="CF62" s="705">
        <f>-DAT!$AY$5</f>
        <v>-96972</v>
      </c>
      <c r="CG62" s="705">
        <f>-DAT!$AY$5</f>
        <v>-96972</v>
      </c>
      <c r="CH62" s="705">
        <f>-DAT!$AY$5</f>
        <v>-96972</v>
      </c>
      <c r="CI62" s="705">
        <f>-DAT!$AY$5</f>
        <v>-96972</v>
      </c>
      <c r="CJ62" s="705">
        <f>-DAT!$AY$5</f>
        <v>-96972</v>
      </c>
      <c r="CK62" s="705">
        <f>-DAT!$AY$5</f>
        <v>-96972</v>
      </c>
      <c r="CL62" s="705">
        <f>-DAT!$AY$5</f>
        <v>-96972</v>
      </c>
      <c r="CM62" s="705">
        <f>-DAT!$AY$5</f>
        <v>-96972</v>
      </c>
      <c r="CN62" s="705">
        <f>-DAT!$AY$5</f>
        <v>-96972</v>
      </c>
      <c r="CO62" s="705">
        <f>-DAT!$AY$5</f>
        <v>-96972</v>
      </c>
    </row>
    <row r="63" spans="2:93">
      <c r="B63" s="843">
        <v>19</v>
      </c>
      <c r="C63" s="843">
        <v>42</v>
      </c>
      <c r="D63" s="843">
        <v>90</v>
      </c>
      <c r="E63" s="824"/>
      <c r="I63" s="824">
        <v>10</v>
      </c>
      <c r="J63" s="846">
        <f>K$14</f>
        <v>32.92</v>
      </c>
      <c r="K63" s="705">
        <f t="shared" si="16"/>
        <v>1000000</v>
      </c>
      <c r="L63" s="705">
        <f t="shared" si="17"/>
        <v>1200000</v>
      </c>
      <c r="M63" s="825">
        <f t="shared" si="18"/>
        <v>2200000</v>
      </c>
      <c r="N63" s="829">
        <f t="shared" si="19"/>
        <v>724240</v>
      </c>
      <c r="O63" s="1173">
        <f>AU$14</f>
        <v>0.55289999999999995</v>
      </c>
      <c r="P63" s="705">
        <f t="shared" si="20"/>
        <v>510537</v>
      </c>
      <c r="Q63" s="1173">
        <f>CF$14</f>
        <v>0.17030000000000001</v>
      </c>
      <c r="R63" s="705">
        <f t="shared" si="21"/>
        <v>204360</v>
      </c>
      <c r="S63" s="825">
        <f t="shared" si="22"/>
        <v>714897</v>
      </c>
      <c r="T63" s="825">
        <f t="shared" si="23"/>
        <v>724240</v>
      </c>
      <c r="U63" s="847">
        <f t="shared" si="24"/>
        <v>579400</v>
      </c>
      <c r="V63" s="833">
        <f t="shared" si="25"/>
        <v>923380</v>
      </c>
      <c r="W63" s="833">
        <f t="shared" si="26"/>
        <v>969549</v>
      </c>
      <c r="X63" s="705">
        <f t="shared" si="27"/>
        <v>2500000</v>
      </c>
      <c r="Y63" s="832">
        <f t="shared" si="28"/>
        <v>2500000</v>
      </c>
      <c r="AA63" s="843">
        <v>0</v>
      </c>
      <c r="AB63" s="825">
        <f t="shared" si="29"/>
        <v>3700000</v>
      </c>
      <c r="AC63" s="825">
        <f t="shared" si="30"/>
        <v>3700000</v>
      </c>
      <c r="AD63" s="705">
        <f>IF(Main!$L$10="YES",Main!$N$10+AC63,AC63)</f>
        <v>3700000</v>
      </c>
      <c r="AE63" s="705">
        <f>IF(AND((Main!$E$9&gt;=18),(Main!$J$10="YES")),$Z$54+AD63,AD63)</f>
        <v>6200000</v>
      </c>
      <c r="AK63" s="846">
        <f>((DAT!E10*(100-DAT!F10)/100)-DAT!AA10)</f>
        <v>74.517999999999986</v>
      </c>
      <c r="AL63" s="705">
        <f>ROUND(AK63*B52/1000,0)</f>
        <v>186295</v>
      </c>
      <c r="AN63" s="848">
        <v>4</v>
      </c>
      <c r="AO63" s="846">
        <v>30.06</v>
      </c>
      <c r="AP63" s="848">
        <f t="shared" si="31"/>
        <v>200399.99999999997</v>
      </c>
      <c r="AQ63" s="848">
        <f t="shared" si="32"/>
        <v>390000</v>
      </c>
      <c r="AR63" s="848">
        <f t="shared" si="33"/>
        <v>590400</v>
      </c>
      <c r="AS63" s="848">
        <v>0</v>
      </c>
      <c r="AT63" s="848">
        <f t="shared" si="34"/>
        <v>590400</v>
      </c>
      <c r="AU63" s="845">
        <v>0.5</v>
      </c>
      <c r="AV63" s="705">
        <f t="shared" si="35"/>
        <v>372590</v>
      </c>
      <c r="AW63" s="845">
        <v>0.1658</v>
      </c>
      <c r="AX63" s="705">
        <f t="shared" si="36"/>
        <v>64662</v>
      </c>
      <c r="AY63" s="848">
        <f t="shared" si="37"/>
        <v>437252</v>
      </c>
      <c r="AZ63" s="848">
        <v>0</v>
      </c>
      <c r="BA63" s="825">
        <f t="shared" si="38"/>
        <v>437252</v>
      </c>
      <c r="BB63" s="847">
        <f t="shared" si="45"/>
        <v>590400</v>
      </c>
      <c r="BC63" s="843">
        <f t="shared" si="46"/>
        <v>531400</v>
      </c>
      <c r="BD63" s="705">
        <f t="shared" si="39"/>
        <v>745180</v>
      </c>
      <c r="BE63" s="833">
        <f t="shared" si="40"/>
        <v>782439</v>
      </c>
      <c r="BF63" s="705">
        <f t="shared" si="41"/>
        <v>3125000</v>
      </c>
      <c r="BG63" s="705">
        <f t="shared" si="42"/>
        <v>2500000</v>
      </c>
      <c r="BI63" s="843">
        <v>0</v>
      </c>
      <c r="BJ63" s="848">
        <f t="shared" si="43"/>
        <v>3515000</v>
      </c>
      <c r="BK63" s="825">
        <f t="shared" si="44"/>
        <v>3515000</v>
      </c>
      <c r="BL63" s="705">
        <f>IF(Main!$L$10="YES",Main!$N$10+BK63,BK63)</f>
        <v>3515000</v>
      </c>
      <c r="BM63" s="705">
        <f>IF(AND((Main!$E$9&gt;=18),(Main!$J$10="YES")),BG63+BL63,BL63)</f>
        <v>6015000</v>
      </c>
      <c r="BQ63" s="824">
        <v>11</v>
      </c>
      <c r="BR63" s="705">
        <f>-DAT!$AY$5</f>
        <v>-96972</v>
      </c>
      <c r="BS63" s="705">
        <f>-DAT!$AY$5</f>
        <v>-96972</v>
      </c>
      <c r="BT63" s="705">
        <f>-DAT!$AY$5</f>
        <v>-96972</v>
      </c>
      <c r="BU63" s="705">
        <f>-DAT!$AY$5</f>
        <v>-96972</v>
      </c>
      <c r="BV63" s="705">
        <f>-DAT!$AY$5</f>
        <v>-96972</v>
      </c>
      <c r="BW63" s="705">
        <f>-DAT!$AY$5</f>
        <v>-96972</v>
      </c>
      <c r="BX63" s="705">
        <f>-DAT!$AY$5</f>
        <v>-96972</v>
      </c>
      <c r="BY63" s="705">
        <f>-DAT!$AY$5</f>
        <v>-96972</v>
      </c>
      <c r="BZ63" s="705">
        <f>-DAT!$AY$5</f>
        <v>-96972</v>
      </c>
      <c r="CA63" s="705">
        <f>-DAT!$AY$5</f>
        <v>-96972</v>
      </c>
      <c r="CB63" s="705">
        <f>-DAT!$AY$5</f>
        <v>-96972</v>
      </c>
      <c r="CC63" s="705">
        <f>-DAT!$AY$5</f>
        <v>-96972</v>
      </c>
      <c r="CD63" s="705">
        <f>-DAT!$AY$5</f>
        <v>-96972</v>
      </c>
      <c r="CE63" s="705">
        <f>-DAT!$AY$5</f>
        <v>-96972</v>
      </c>
      <c r="CF63" s="705">
        <f>-DAT!$AY$5</f>
        <v>-96972</v>
      </c>
      <c r="CG63" s="705">
        <f>-DAT!$AY$5</f>
        <v>-96972</v>
      </c>
      <c r="CH63" s="705">
        <f>-DAT!$AY$5</f>
        <v>-96972</v>
      </c>
      <c r="CI63" s="705">
        <f>-DAT!$AY$5</f>
        <v>-96972</v>
      </c>
      <c r="CJ63" s="705">
        <f>-DAT!$AY$5</f>
        <v>-96972</v>
      </c>
      <c r="CK63" s="705">
        <f>-DAT!$AY$5</f>
        <v>-96972</v>
      </c>
      <c r="CL63" s="705">
        <f>-DAT!$AY$5</f>
        <v>-96972</v>
      </c>
      <c r="CM63" s="705">
        <f>-DAT!$AY$5</f>
        <v>-96972</v>
      </c>
      <c r="CN63" s="705">
        <f>-DAT!$AY$5</f>
        <v>-96972</v>
      </c>
      <c r="CO63" s="705">
        <f>-DAT!$AY$5</f>
        <v>-96972</v>
      </c>
    </row>
    <row r="64" spans="2:93">
      <c r="B64" s="843">
        <v>20</v>
      </c>
      <c r="C64" s="843">
        <v>42</v>
      </c>
      <c r="D64" s="843">
        <v>90</v>
      </c>
      <c r="E64" s="824"/>
      <c r="I64" s="824">
        <v>11</v>
      </c>
      <c r="J64" s="846">
        <f>L$14</f>
        <v>35.42</v>
      </c>
      <c r="K64" s="705">
        <f t="shared" si="16"/>
        <v>1100000</v>
      </c>
      <c r="L64" s="705">
        <f t="shared" si="17"/>
        <v>1320000</v>
      </c>
      <c r="M64" s="825">
        <f t="shared" si="18"/>
        <v>2420000</v>
      </c>
      <c r="N64" s="829">
        <f t="shared" si="19"/>
        <v>857164</v>
      </c>
      <c r="O64" s="1173">
        <f>AV$14</f>
        <v>0.5706</v>
      </c>
      <c r="P64" s="705">
        <f t="shared" si="20"/>
        <v>579569</v>
      </c>
      <c r="Q64" s="1173">
        <f>CG$14</f>
        <v>0.17580000000000001</v>
      </c>
      <c r="R64" s="705">
        <f t="shared" si="21"/>
        <v>232056</v>
      </c>
      <c r="S64" s="825">
        <f t="shared" si="22"/>
        <v>811625</v>
      </c>
      <c r="T64" s="825">
        <f t="shared" si="23"/>
        <v>857164</v>
      </c>
      <c r="U64" s="847">
        <f t="shared" si="24"/>
        <v>685700</v>
      </c>
      <c r="V64" s="833">
        <f t="shared" si="25"/>
        <v>1015718</v>
      </c>
      <c r="W64" s="833">
        <f t="shared" si="26"/>
        <v>1066503.8999999999</v>
      </c>
      <c r="X64" s="705">
        <f t="shared" si="27"/>
        <v>2500000</v>
      </c>
      <c r="Y64" s="832">
        <f t="shared" si="28"/>
        <v>2500000</v>
      </c>
      <c r="AA64" s="843">
        <v>0</v>
      </c>
      <c r="AB64" s="825">
        <f t="shared" si="29"/>
        <v>3820000</v>
      </c>
      <c r="AC64" s="825">
        <f t="shared" si="30"/>
        <v>3820000</v>
      </c>
      <c r="AD64" s="705">
        <f>IF(Main!$L$10="YES",Main!$N$10+AC64,AC64)</f>
        <v>3820000</v>
      </c>
      <c r="AE64" s="705">
        <f>IF(AND((Main!$E$9&gt;=18),(Main!$J$10="YES")),$Z$54+AD64,AD64)</f>
        <v>6320000</v>
      </c>
      <c r="AN64" s="848">
        <v>5</v>
      </c>
      <c r="AO64" s="846">
        <v>32.369999999999997</v>
      </c>
      <c r="AP64" s="848">
        <f t="shared" si="31"/>
        <v>269749.99999999994</v>
      </c>
      <c r="AQ64" s="848">
        <f t="shared" si="32"/>
        <v>487500</v>
      </c>
      <c r="AR64" s="848">
        <f t="shared" si="33"/>
        <v>757250</v>
      </c>
      <c r="AS64" s="848">
        <f t="shared" ref="AS64:AS78" si="47">AZ64</f>
        <v>500000</v>
      </c>
      <c r="AT64" s="848">
        <f t="shared" si="34"/>
        <v>257250</v>
      </c>
      <c r="AU64" s="845">
        <v>0.5</v>
      </c>
      <c r="AV64" s="705">
        <f t="shared" si="35"/>
        <v>465738</v>
      </c>
      <c r="AW64" s="845">
        <v>0.17030000000000001</v>
      </c>
      <c r="AX64" s="705">
        <f t="shared" si="36"/>
        <v>83021</v>
      </c>
      <c r="AY64" s="848">
        <f t="shared" si="37"/>
        <v>548759</v>
      </c>
      <c r="AZ64" s="848">
        <f>IF((AY64&gt;0),(AL76+AZ63),0)</f>
        <v>500000</v>
      </c>
      <c r="BA64" s="825">
        <f t="shared" si="38"/>
        <v>48759</v>
      </c>
      <c r="BB64" s="847">
        <f t="shared" si="45"/>
        <v>257250</v>
      </c>
      <c r="BC64" s="843">
        <f t="shared" si="46"/>
        <v>231500</v>
      </c>
      <c r="BD64" s="705">
        <f t="shared" si="39"/>
        <v>931475</v>
      </c>
      <c r="BE64" s="833">
        <f t="shared" si="40"/>
        <v>978048.75</v>
      </c>
      <c r="BF64" s="705">
        <f t="shared" si="41"/>
        <v>3125000</v>
      </c>
      <c r="BG64" s="705">
        <f t="shared" si="42"/>
        <v>2500000</v>
      </c>
      <c r="BI64" s="843">
        <v>0</v>
      </c>
      <c r="BJ64" s="848">
        <f t="shared" si="43"/>
        <v>3612500</v>
      </c>
      <c r="BK64" s="825">
        <f t="shared" si="44"/>
        <v>3612500</v>
      </c>
      <c r="BL64" s="705">
        <f>IF(Main!$L$10="YES",Main!$N$10+BK64,BK64)</f>
        <v>3612500</v>
      </c>
      <c r="BM64" s="705">
        <f>IF(AND((Main!$E$9&gt;=18),(Main!$J$10="YES")),BG64+BL64,BL64)</f>
        <v>6112500</v>
      </c>
      <c r="BQ64" s="843">
        <v>12</v>
      </c>
      <c r="BR64" s="705">
        <f>-DAT!$AY$5</f>
        <v>-96972</v>
      </c>
      <c r="BS64" s="705">
        <f>-DAT!$AY$5</f>
        <v>-96972</v>
      </c>
      <c r="BT64" s="705">
        <f>-DAT!$AY$5</f>
        <v>-96972</v>
      </c>
      <c r="BU64" s="705">
        <f>-DAT!$AY$5</f>
        <v>-96972</v>
      </c>
      <c r="BV64" s="705">
        <f>-DAT!$AY$5</f>
        <v>-96972</v>
      </c>
      <c r="BW64" s="705">
        <f>-DAT!$AY$5</f>
        <v>-96972</v>
      </c>
      <c r="BX64" s="705">
        <f>-DAT!$AY$5</f>
        <v>-96972</v>
      </c>
      <c r="BY64" s="705">
        <f>-DAT!$AY$5</f>
        <v>-96972</v>
      </c>
      <c r="BZ64" s="705">
        <f>-DAT!$AY$5</f>
        <v>-96972</v>
      </c>
      <c r="CA64" s="705">
        <f>-DAT!$AY$5</f>
        <v>-96972</v>
      </c>
      <c r="CB64" s="705">
        <f>-DAT!$AY$5</f>
        <v>-96972</v>
      </c>
      <c r="CC64" s="705">
        <f>-DAT!$AY$5</f>
        <v>-96972</v>
      </c>
      <c r="CD64" s="705">
        <f>-DAT!$AY$5</f>
        <v>-96972</v>
      </c>
      <c r="CE64" s="705">
        <f>-DAT!$AY$5</f>
        <v>-96972</v>
      </c>
      <c r="CF64" s="705">
        <f>-DAT!$AY$5</f>
        <v>-96972</v>
      </c>
      <c r="CG64" s="705">
        <f>-DAT!$AY$5</f>
        <v>-96972</v>
      </c>
      <c r="CH64" s="705">
        <f>-DAT!$AY$5</f>
        <v>-96972</v>
      </c>
      <c r="CI64" s="705">
        <f>-DAT!$AY$5</f>
        <v>-96972</v>
      </c>
      <c r="CJ64" s="705">
        <f>-DAT!$AY$5</f>
        <v>-96972</v>
      </c>
      <c r="CK64" s="705">
        <f>-DAT!$AY$5</f>
        <v>-96972</v>
      </c>
      <c r="CL64" s="705">
        <f>-DAT!$AY$5</f>
        <v>-96972</v>
      </c>
      <c r="CM64" s="705">
        <f>-DAT!$AY$5</f>
        <v>-96972</v>
      </c>
      <c r="CN64" s="705">
        <f>-DAT!$AY$5</f>
        <v>-96972</v>
      </c>
      <c r="CO64" s="705">
        <f>-DAT!$AY$5</f>
        <v>-96972</v>
      </c>
    </row>
    <row r="65" spans="2:93">
      <c r="B65" s="843">
        <v>21</v>
      </c>
      <c r="C65" s="843">
        <v>48</v>
      </c>
      <c r="D65" s="843">
        <v>90</v>
      </c>
      <c r="E65" s="843"/>
      <c r="I65" s="843">
        <v>12</v>
      </c>
      <c r="J65" s="846">
        <f>M$14</f>
        <v>38.1</v>
      </c>
      <c r="K65" s="705">
        <f t="shared" si="16"/>
        <v>1200000</v>
      </c>
      <c r="L65" s="705">
        <f t="shared" si="17"/>
        <v>1440000</v>
      </c>
      <c r="M65" s="825">
        <f t="shared" si="18"/>
        <v>2640000</v>
      </c>
      <c r="N65" s="829">
        <f t="shared" si="19"/>
        <v>1005840</v>
      </c>
      <c r="O65" s="1173">
        <f>AW$14</f>
        <v>0.58819999999999995</v>
      </c>
      <c r="P65" s="705">
        <f t="shared" si="20"/>
        <v>651759</v>
      </c>
      <c r="Q65" s="1173">
        <f>CH$14</f>
        <v>0.17580000000000001</v>
      </c>
      <c r="R65" s="705">
        <f t="shared" si="21"/>
        <v>253152</v>
      </c>
      <c r="S65" s="825">
        <f t="shared" si="22"/>
        <v>904911</v>
      </c>
      <c r="T65" s="825">
        <f t="shared" si="23"/>
        <v>1005840</v>
      </c>
      <c r="U65" s="847">
        <f t="shared" si="24"/>
        <v>804700</v>
      </c>
      <c r="V65" s="833">
        <f t="shared" si="25"/>
        <v>1108056</v>
      </c>
      <c r="W65" s="833">
        <f t="shared" si="26"/>
        <v>1163458.8</v>
      </c>
      <c r="X65" s="705">
        <f t="shared" si="27"/>
        <v>2500000</v>
      </c>
      <c r="Y65" s="832">
        <f t="shared" si="28"/>
        <v>2500000</v>
      </c>
      <c r="AA65" s="843">
        <v>0</v>
      </c>
      <c r="AB65" s="825">
        <f t="shared" si="29"/>
        <v>3940000</v>
      </c>
      <c r="AC65" s="825">
        <f t="shared" si="30"/>
        <v>3940000</v>
      </c>
      <c r="AD65" s="705">
        <f>IF(Main!$L$10="YES",Main!$N$10+AC65,AC65)</f>
        <v>3940000</v>
      </c>
      <c r="AE65" s="705">
        <f>IF(AND((Main!$E$9&gt;=18),(Main!$J$10="YES")),$Z$54+AD65,AD65)</f>
        <v>6440000</v>
      </c>
      <c r="AH65" s="848"/>
      <c r="AI65" s="848">
        <v>100000</v>
      </c>
      <c r="AJ65" s="848">
        <v>200000</v>
      </c>
      <c r="AN65" s="848">
        <v>6</v>
      </c>
      <c r="AO65" s="846">
        <v>34.86</v>
      </c>
      <c r="AP65" s="848">
        <f t="shared" si="31"/>
        <v>348600</v>
      </c>
      <c r="AQ65" s="848">
        <f t="shared" si="32"/>
        <v>585000</v>
      </c>
      <c r="AR65" s="848">
        <f t="shared" si="33"/>
        <v>933600</v>
      </c>
      <c r="AS65" s="848">
        <f t="shared" si="47"/>
        <v>500000</v>
      </c>
      <c r="AT65" s="848">
        <f t="shared" si="34"/>
        <v>433600</v>
      </c>
      <c r="AU65" s="845">
        <v>0.5</v>
      </c>
      <c r="AV65" s="705">
        <f t="shared" si="35"/>
        <v>558885</v>
      </c>
      <c r="AW65" s="845">
        <v>0.17580000000000001</v>
      </c>
      <c r="AX65" s="705">
        <f t="shared" si="36"/>
        <v>102843</v>
      </c>
      <c r="AY65" s="848">
        <f t="shared" si="37"/>
        <v>661728</v>
      </c>
      <c r="AZ65" s="848">
        <f>IF((AY65&gt;0),AZ64,0)</f>
        <v>500000</v>
      </c>
      <c r="BA65" s="825">
        <f t="shared" si="38"/>
        <v>161728</v>
      </c>
      <c r="BB65" s="847">
        <f t="shared" si="45"/>
        <v>433600</v>
      </c>
      <c r="BC65" s="843">
        <f t="shared" si="46"/>
        <v>390200</v>
      </c>
      <c r="BD65" s="705">
        <f t="shared" si="39"/>
        <v>1117770</v>
      </c>
      <c r="BE65" s="833">
        <f t="shared" si="40"/>
        <v>1173658.5</v>
      </c>
      <c r="BF65" s="705">
        <f t="shared" si="41"/>
        <v>3125000</v>
      </c>
      <c r="BG65" s="705">
        <f t="shared" si="42"/>
        <v>2500000</v>
      </c>
      <c r="BI65" s="843">
        <v>0</v>
      </c>
      <c r="BJ65" s="848">
        <f t="shared" si="43"/>
        <v>3710000</v>
      </c>
      <c r="BK65" s="825">
        <f t="shared" si="44"/>
        <v>3710000</v>
      </c>
      <c r="BL65" s="705">
        <f>IF(Main!$L$10="YES",Main!$N$10+BK65,BK65)</f>
        <v>3710000</v>
      </c>
      <c r="BM65" s="705">
        <f>IF(AND((Main!$E$9&gt;=18),(Main!$J$10="YES")),BG65+BL65,BL65)</f>
        <v>6210000</v>
      </c>
      <c r="BQ65" s="843">
        <v>13</v>
      </c>
      <c r="BR65" s="705">
        <f>AD65</f>
        <v>3940000</v>
      </c>
      <c r="BS65" s="705">
        <f>-DAT!$AY$5</f>
        <v>-96972</v>
      </c>
      <c r="BT65" s="705">
        <f>-DAT!$AY$5</f>
        <v>-96972</v>
      </c>
      <c r="BU65" s="705">
        <f>-DAT!$AY$5</f>
        <v>-96972</v>
      </c>
      <c r="BV65" s="705">
        <f>-DAT!$AY$5</f>
        <v>-96972</v>
      </c>
      <c r="BW65" s="705">
        <f>-DAT!$AY$5</f>
        <v>-96972</v>
      </c>
      <c r="BX65" s="705">
        <f>-DAT!$AY$5</f>
        <v>-96972</v>
      </c>
      <c r="BY65" s="705">
        <f>-DAT!$AY$5</f>
        <v>-96972</v>
      </c>
      <c r="BZ65" s="705">
        <f>-DAT!$AY$5</f>
        <v>-96972</v>
      </c>
      <c r="CA65" s="705">
        <f>-DAT!$AY$5</f>
        <v>-96972</v>
      </c>
      <c r="CB65" s="705">
        <f>-DAT!$AY$5</f>
        <v>-96972</v>
      </c>
      <c r="CC65" s="705">
        <f>-DAT!$AY$5</f>
        <v>-96972</v>
      </c>
      <c r="CD65" s="705">
        <f>-DAT!$AY$5</f>
        <v>-96972</v>
      </c>
      <c r="CE65" s="705">
        <f>-DAT!$AY$5</f>
        <v>-96972</v>
      </c>
      <c r="CF65" s="705">
        <f>-DAT!$AY$5</f>
        <v>-96972</v>
      </c>
      <c r="CG65" s="705">
        <f>-DAT!$AY$5</f>
        <v>-96972</v>
      </c>
      <c r="CH65" s="705">
        <f>-DAT!$AY$5</f>
        <v>-96972</v>
      </c>
      <c r="CI65" s="705">
        <f>-DAT!$AY$5</f>
        <v>-96972</v>
      </c>
      <c r="CJ65" s="705">
        <f>-DAT!$AY$5</f>
        <v>-96972</v>
      </c>
      <c r="CK65" s="705">
        <f>-DAT!$AY$5</f>
        <v>-96972</v>
      </c>
      <c r="CL65" s="705">
        <f>-DAT!$AY$5</f>
        <v>-96972</v>
      </c>
      <c r="CM65" s="705">
        <f>-DAT!$AY$5</f>
        <v>-96972</v>
      </c>
      <c r="CN65" s="705">
        <f>-DAT!$AY$5</f>
        <v>-96972</v>
      </c>
      <c r="CO65" s="705">
        <f>-DAT!$AY$5</f>
        <v>-96972</v>
      </c>
    </row>
    <row r="66" spans="2:93">
      <c r="B66" s="843">
        <v>22</v>
      </c>
      <c r="C66" s="843">
        <v>48</v>
      </c>
      <c r="D66" s="843">
        <v>90</v>
      </c>
      <c r="E66" s="843"/>
      <c r="I66" s="843">
        <v>13</v>
      </c>
      <c r="J66" s="846">
        <f>N$14</f>
        <v>40.98</v>
      </c>
      <c r="K66" s="705">
        <f t="shared" si="16"/>
        <v>1300000</v>
      </c>
      <c r="L66" s="705">
        <f t="shared" si="17"/>
        <v>1560000</v>
      </c>
      <c r="M66" s="825">
        <f t="shared" si="18"/>
        <v>2860000</v>
      </c>
      <c r="N66" s="829">
        <f t="shared" si="19"/>
        <v>1172028</v>
      </c>
      <c r="O66" s="1173">
        <f>AX$14</f>
        <v>0.60589999999999999</v>
      </c>
      <c r="P66" s="705">
        <f t="shared" si="20"/>
        <v>727319</v>
      </c>
      <c r="Q66" s="1173">
        <f>CI$14</f>
        <v>0.17660000000000001</v>
      </c>
      <c r="R66" s="705">
        <f t="shared" si="21"/>
        <v>275496</v>
      </c>
      <c r="S66" s="825">
        <f t="shared" si="22"/>
        <v>1002815</v>
      </c>
      <c r="T66" s="825">
        <f t="shared" si="23"/>
        <v>1172028</v>
      </c>
      <c r="U66" s="847">
        <f t="shared" si="24"/>
        <v>937600</v>
      </c>
      <c r="V66" s="833">
        <f t="shared" si="25"/>
        <v>1200394</v>
      </c>
      <c r="W66" s="833">
        <f t="shared" si="26"/>
        <v>1260413.7</v>
      </c>
      <c r="X66" s="705">
        <f t="shared" si="27"/>
        <v>2500000</v>
      </c>
      <c r="Y66" s="832">
        <f t="shared" si="28"/>
        <v>2500000</v>
      </c>
      <c r="AA66" s="843">
        <v>0</v>
      </c>
      <c r="AB66" s="825">
        <f t="shared" si="29"/>
        <v>4060000</v>
      </c>
      <c r="AC66" s="825">
        <f t="shared" si="30"/>
        <v>4060000</v>
      </c>
      <c r="AD66" s="705">
        <f>IF(Main!$L$10="YES",Main!$N$10+AC66,AC66)</f>
        <v>4060000</v>
      </c>
      <c r="AE66" s="705">
        <f>IF(AND((Main!$E$9&gt;=18),(Main!$J$10="YES")),$Z$54+AD66,AD66)</f>
        <v>6560000</v>
      </c>
      <c r="AH66" s="848">
        <v>15</v>
      </c>
      <c r="AI66" s="848">
        <v>15</v>
      </c>
      <c r="AJ66" s="848">
        <v>20</v>
      </c>
      <c r="AN66" s="848">
        <v>7</v>
      </c>
      <c r="AO66" s="846">
        <v>37.54</v>
      </c>
      <c r="AP66" s="848">
        <f t="shared" si="31"/>
        <v>437966.66666666669</v>
      </c>
      <c r="AQ66" s="848">
        <f t="shared" si="32"/>
        <v>682500</v>
      </c>
      <c r="AR66" s="848">
        <f t="shared" si="33"/>
        <v>1120466.6666666667</v>
      </c>
      <c r="AS66" s="848">
        <f t="shared" si="47"/>
        <v>500000</v>
      </c>
      <c r="AT66" s="848">
        <f t="shared" si="34"/>
        <v>620466.66666666674</v>
      </c>
      <c r="AU66" s="845">
        <v>0.5</v>
      </c>
      <c r="AV66" s="705">
        <f t="shared" si="35"/>
        <v>652033</v>
      </c>
      <c r="AW66" s="845">
        <v>0.17580000000000001</v>
      </c>
      <c r="AX66" s="705">
        <f t="shared" si="36"/>
        <v>119984</v>
      </c>
      <c r="AY66" s="848">
        <f t="shared" si="37"/>
        <v>772017</v>
      </c>
      <c r="AZ66" s="848">
        <f>IF((AY66&gt;0),AZ65,0)</f>
        <v>500000</v>
      </c>
      <c r="BA66" s="825">
        <f t="shared" si="38"/>
        <v>272017</v>
      </c>
      <c r="BB66" s="847">
        <f t="shared" si="45"/>
        <v>620466.66666666674</v>
      </c>
      <c r="BC66" s="843">
        <f t="shared" si="46"/>
        <v>558400</v>
      </c>
      <c r="BD66" s="705">
        <f t="shared" si="39"/>
        <v>1304065</v>
      </c>
      <c r="BE66" s="833">
        <f t="shared" si="40"/>
        <v>1369268.25</v>
      </c>
      <c r="BF66" s="705">
        <f t="shared" si="41"/>
        <v>3125000</v>
      </c>
      <c r="BG66" s="705">
        <f t="shared" si="42"/>
        <v>2500000</v>
      </c>
      <c r="BI66" s="843">
        <v>0</v>
      </c>
      <c r="BJ66" s="848">
        <f t="shared" si="43"/>
        <v>3807500</v>
      </c>
      <c r="BK66" s="825">
        <f t="shared" si="44"/>
        <v>3807500</v>
      </c>
      <c r="BL66" s="705">
        <f>IF(Main!$L$10="YES",Main!$N$10+BK66,BK66)</f>
        <v>3807500</v>
      </c>
      <c r="BM66" s="705">
        <f>IF(AND((Main!$E$9&gt;=18),(Main!$J$10="YES")),BG66+BL66,BL66)</f>
        <v>6307500</v>
      </c>
      <c r="BQ66" s="843">
        <v>14</v>
      </c>
      <c r="BS66" s="705">
        <f>AD66</f>
        <v>4060000</v>
      </c>
      <c r="BT66" s="705">
        <f>-DAT!$AY$5</f>
        <v>-96972</v>
      </c>
      <c r="BU66" s="705">
        <f>-DAT!$AY$5</f>
        <v>-96972</v>
      </c>
      <c r="BV66" s="705">
        <f>-DAT!$AY$5</f>
        <v>-96972</v>
      </c>
      <c r="BW66" s="705">
        <f>-DAT!$AY$5</f>
        <v>-96972</v>
      </c>
      <c r="BX66" s="705">
        <f>-DAT!$AY$5</f>
        <v>-96972</v>
      </c>
      <c r="BY66" s="705">
        <f>-DAT!$AY$5</f>
        <v>-96972</v>
      </c>
      <c r="BZ66" s="705">
        <f>-DAT!$AY$5</f>
        <v>-96972</v>
      </c>
      <c r="CA66" s="705">
        <f>-DAT!$AY$5</f>
        <v>-96972</v>
      </c>
      <c r="CB66" s="705">
        <f>-DAT!$AY$5</f>
        <v>-96972</v>
      </c>
      <c r="CC66" s="705">
        <f>-DAT!$AY$5</f>
        <v>-96972</v>
      </c>
      <c r="CD66" s="705">
        <f>-DAT!$AY$5</f>
        <v>-96972</v>
      </c>
      <c r="CE66" s="705">
        <f>-DAT!$AY$5</f>
        <v>-96972</v>
      </c>
      <c r="CF66" s="705">
        <f>-DAT!$AY$5</f>
        <v>-96972</v>
      </c>
      <c r="CG66" s="705">
        <f>-DAT!$AY$5</f>
        <v>-96972</v>
      </c>
      <c r="CH66" s="705">
        <f>-DAT!$AY$5</f>
        <v>-96972</v>
      </c>
      <c r="CI66" s="705">
        <f>-DAT!$AY$5</f>
        <v>-96972</v>
      </c>
      <c r="CJ66" s="705">
        <f>-DAT!$AY$5</f>
        <v>-96972</v>
      </c>
      <c r="CK66" s="705">
        <f>-DAT!$AY$5</f>
        <v>-96972</v>
      </c>
      <c r="CL66" s="705">
        <f>-DAT!$AY$5</f>
        <v>-96972</v>
      </c>
      <c r="CM66" s="705">
        <f>-DAT!$AY$5</f>
        <v>-96972</v>
      </c>
      <c r="CN66" s="705">
        <f>-DAT!$AY$5</f>
        <v>-96972</v>
      </c>
      <c r="CO66" s="705">
        <f>-DAT!$AY$5</f>
        <v>-96972</v>
      </c>
    </row>
    <row r="67" spans="2:93">
      <c r="B67" s="843">
        <v>23</v>
      </c>
      <c r="C67" s="843">
        <v>48</v>
      </c>
      <c r="D67" s="843">
        <v>90</v>
      </c>
      <c r="E67" s="843"/>
      <c r="I67" s="843">
        <v>14</v>
      </c>
      <c r="J67" s="846">
        <f>O$14</f>
        <v>44.09</v>
      </c>
      <c r="K67" s="705">
        <f t="shared" si="16"/>
        <v>1400000</v>
      </c>
      <c r="L67" s="705">
        <f t="shared" si="17"/>
        <v>1680000</v>
      </c>
      <c r="M67" s="825">
        <f t="shared" si="18"/>
        <v>3080000</v>
      </c>
      <c r="N67" s="829">
        <f t="shared" si="19"/>
        <v>1357972</v>
      </c>
      <c r="O67" s="1173">
        <f>AY$14</f>
        <v>0.62350000000000005</v>
      </c>
      <c r="P67" s="705">
        <f t="shared" si="20"/>
        <v>806018</v>
      </c>
      <c r="Q67" s="1173">
        <f>CJ$14</f>
        <v>0.17849999999999999</v>
      </c>
      <c r="R67" s="705">
        <f t="shared" si="21"/>
        <v>299880</v>
      </c>
      <c r="S67" s="825">
        <f t="shared" si="22"/>
        <v>1105898</v>
      </c>
      <c r="T67" s="825">
        <f t="shared" si="23"/>
        <v>1357972</v>
      </c>
      <c r="U67" s="847">
        <f t="shared" si="24"/>
        <v>1086400</v>
      </c>
      <c r="V67" s="833">
        <f t="shared" si="25"/>
        <v>1292732</v>
      </c>
      <c r="W67" s="833">
        <f t="shared" si="26"/>
        <v>1357368.6</v>
      </c>
      <c r="X67" s="705">
        <f t="shared" si="27"/>
        <v>2500000</v>
      </c>
      <c r="Y67" s="832">
        <f t="shared" si="28"/>
        <v>2500000</v>
      </c>
      <c r="AA67" s="843">
        <v>0</v>
      </c>
      <c r="AB67" s="825">
        <f t="shared" si="29"/>
        <v>4180000</v>
      </c>
      <c r="AC67" s="825">
        <f t="shared" si="30"/>
        <v>4180000</v>
      </c>
      <c r="AD67" s="705">
        <f>IF(Main!$L$10="YES",Main!$N$10+AC67,AC67)</f>
        <v>4180000</v>
      </c>
      <c r="AE67" s="705">
        <f>IF(AND((Main!$E$9&gt;=18),(Main!$J$10="YES")),$Z$54+AD67,AD67)</f>
        <v>6680000</v>
      </c>
      <c r="AH67" s="848">
        <v>16</v>
      </c>
      <c r="AI67" s="848">
        <v>15</v>
      </c>
      <c r="AJ67" s="848">
        <v>20</v>
      </c>
      <c r="AN67" s="848">
        <v>8</v>
      </c>
      <c r="AO67" s="846">
        <v>40.44</v>
      </c>
      <c r="AP67" s="848">
        <f t="shared" si="31"/>
        <v>539200</v>
      </c>
      <c r="AQ67" s="848">
        <f t="shared" si="32"/>
        <v>780000</v>
      </c>
      <c r="AR67" s="848">
        <f t="shared" si="33"/>
        <v>1319200</v>
      </c>
      <c r="AS67" s="848">
        <f t="shared" si="47"/>
        <v>500000</v>
      </c>
      <c r="AT67" s="848">
        <f t="shared" si="34"/>
        <v>819200</v>
      </c>
      <c r="AU67" s="845">
        <v>0.52500000000000002</v>
      </c>
      <c r="AV67" s="705">
        <f t="shared" si="35"/>
        <v>782439</v>
      </c>
      <c r="AW67" s="845">
        <v>0.17660000000000001</v>
      </c>
      <c r="AX67" s="705">
        <f t="shared" si="36"/>
        <v>137748</v>
      </c>
      <c r="AY67" s="848">
        <f t="shared" si="37"/>
        <v>920187</v>
      </c>
      <c r="AZ67" s="848">
        <f>IF((AY67&gt;0),AZ66,0)</f>
        <v>500000</v>
      </c>
      <c r="BA67" s="825">
        <f t="shared" si="38"/>
        <v>420187</v>
      </c>
      <c r="BB67" s="847">
        <f t="shared" si="45"/>
        <v>819200</v>
      </c>
      <c r="BC67" s="843">
        <f t="shared" si="46"/>
        <v>737300</v>
      </c>
      <c r="BD67" s="705">
        <f t="shared" si="39"/>
        <v>1490360</v>
      </c>
      <c r="BE67" s="833">
        <f t="shared" si="40"/>
        <v>1564878</v>
      </c>
      <c r="BF67" s="705">
        <f t="shared" si="41"/>
        <v>3125000</v>
      </c>
      <c r="BG67" s="705">
        <f t="shared" si="42"/>
        <v>2500000</v>
      </c>
      <c r="BI67" s="843">
        <v>0</v>
      </c>
      <c r="BJ67" s="848">
        <f t="shared" si="43"/>
        <v>3905000</v>
      </c>
      <c r="BK67" s="825">
        <f t="shared" si="44"/>
        <v>3905000</v>
      </c>
      <c r="BL67" s="705">
        <f>IF(Main!$L$10="YES",Main!$N$10+BK67,BK67)</f>
        <v>3905000</v>
      </c>
      <c r="BM67" s="705">
        <f>IF(AND((Main!$E$9&gt;=18),(Main!$J$10="YES")),BG67+BL67,BL67)</f>
        <v>6405000</v>
      </c>
      <c r="BQ67" s="843">
        <v>15</v>
      </c>
      <c r="BT67" s="705">
        <f>AD67</f>
        <v>4180000</v>
      </c>
      <c r="BU67" s="705">
        <f>-DAT!$AY$5</f>
        <v>-96972</v>
      </c>
      <c r="BV67" s="705">
        <f>-DAT!$AY$5</f>
        <v>-96972</v>
      </c>
      <c r="BW67" s="705">
        <f>-DAT!$AY$5</f>
        <v>-96972</v>
      </c>
      <c r="BX67" s="705">
        <f>-DAT!$AY$5</f>
        <v>-96972</v>
      </c>
      <c r="BY67" s="705">
        <f>-DAT!$AY$5</f>
        <v>-96972</v>
      </c>
      <c r="BZ67" s="705">
        <f>-DAT!$AY$5</f>
        <v>-96972</v>
      </c>
      <c r="CA67" s="705">
        <f>-DAT!$AY$5</f>
        <v>-96972</v>
      </c>
      <c r="CB67" s="705">
        <f>-DAT!$AY$5</f>
        <v>-96972</v>
      </c>
      <c r="CC67" s="705">
        <f>-DAT!$AY$5</f>
        <v>-96972</v>
      </c>
      <c r="CD67" s="705">
        <f>-DAT!$AY$5</f>
        <v>-96972</v>
      </c>
      <c r="CE67" s="705">
        <f>-DAT!$AY$5</f>
        <v>-96972</v>
      </c>
      <c r="CF67" s="705">
        <f>-DAT!$AY$5</f>
        <v>-96972</v>
      </c>
      <c r="CG67" s="705">
        <f>-DAT!$AY$5</f>
        <v>-96972</v>
      </c>
      <c r="CH67" s="705">
        <f>-DAT!$AY$5</f>
        <v>-96972</v>
      </c>
      <c r="CI67" s="705">
        <f>-DAT!$AY$5</f>
        <v>-96972</v>
      </c>
      <c r="CJ67" s="705">
        <f>-DAT!$AY$5</f>
        <v>-96972</v>
      </c>
      <c r="CK67" s="705">
        <f>-DAT!$AY$5</f>
        <v>-96972</v>
      </c>
      <c r="CL67" s="705">
        <f>-DAT!$AY$5</f>
        <v>-96972</v>
      </c>
      <c r="CM67" s="705">
        <f>-DAT!$AY$5</f>
        <v>-96972</v>
      </c>
      <c r="CN67" s="705">
        <f>-DAT!$AY$5</f>
        <v>-96972</v>
      </c>
      <c r="CO67" s="705">
        <f>-DAT!$AY$5</f>
        <v>-96972</v>
      </c>
    </row>
    <row r="68" spans="2:93">
      <c r="B68" s="843">
        <v>24</v>
      </c>
      <c r="C68" s="843">
        <v>48</v>
      </c>
      <c r="D68" s="843">
        <v>80</v>
      </c>
      <c r="E68" s="843"/>
      <c r="I68" s="843">
        <v>15</v>
      </c>
      <c r="J68" s="846">
        <f>P$14</f>
        <v>47.43</v>
      </c>
      <c r="K68" s="705">
        <f t="shared" si="16"/>
        <v>1500000</v>
      </c>
      <c r="L68" s="705">
        <f t="shared" si="17"/>
        <v>1800000</v>
      </c>
      <c r="M68" s="825">
        <f t="shared" si="18"/>
        <v>3300000</v>
      </c>
      <c r="N68" s="829">
        <f t="shared" si="19"/>
        <v>1565190</v>
      </c>
      <c r="O68" s="1173">
        <f>AZ$14</f>
        <v>0.64119999999999999</v>
      </c>
      <c r="P68" s="705">
        <f t="shared" si="20"/>
        <v>888107</v>
      </c>
      <c r="Q68" s="1173">
        <f>CK$14</f>
        <v>0.18160000000000001</v>
      </c>
      <c r="R68" s="705">
        <f t="shared" si="21"/>
        <v>326880</v>
      </c>
      <c r="S68" s="825">
        <f t="shared" si="22"/>
        <v>1214987</v>
      </c>
      <c r="T68" s="825">
        <f t="shared" si="23"/>
        <v>1565190</v>
      </c>
      <c r="U68" s="847">
        <f t="shared" si="24"/>
        <v>1252200</v>
      </c>
      <c r="V68" s="833">
        <f t="shared" si="25"/>
        <v>1385070</v>
      </c>
      <c r="W68" s="833">
        <f t="shared" si="26"/>
        <v>1454323.5</v>
      </c>
      <c r="X68" s="705">
        <f t="shared" si="27"/>
        <v>2500000</v>
      </c>
      <c r="Y68" s="832">
        <f t="shared" si="28"/>
        <v>2500000</v>
      </c>
      <c r="AA68" s="705">
        <f>C$43*X68/1000</f>
        <v>50000</v>
      </c>
      <c r="AB68" s="825">
        <f t="shared" si="29"/>
        <v>4350000</v>
      </c>
      <c r="AC68" s="825">
        <f t="shared" si="30"/>
        <v>4350000</v>
      </c>
      <c r="AD68" s="705">
        <f>IF(Main!$L$10="YES",Main!$N$10+AC68,AC68)</f>
        <v>4350000</v>
      </c>
      <c r="AE68" s="705">
        <f>IF(AND((Main!$E$9&gt;=18),(Main!$J$10="YES")),$Z$54+AD68,AD68)</f>
        <v>6850000</v>
      </c>
      <c r="AH68" s="848">
        <v>17</v>
      </c>
      <c r="AI68" s="848">
        <v>15</v>
      </c>
      <c r="AJ68" s="848">
        <v>20</v>
      </c>
      <c r="AN68" s="848">
        <v>9</v>
      </c>
      <c r="AO68" s="846">
        <v>43.57</v>
      </c>
      <c r="AP68" s="848">
        <f t="shared" si="31"/>
        <v>653550</v>
      </c>
      <c r="AQ68" s="848">
        <f t="shared" si="32"/>
        <v>877500</v>
      </c>
      <c r="AR68" s="848">
        <f t="shared" si="33"/>
        <v>1531050</v>
      </c>
      <c r="AS68" s="848">
        <f t="shared" si="47"/>
        <v>500000</v>
      </c>
      <c r="AT68" s="848">
        <f t="shared" si="34"/>
        <v>1031050</v>
      </c>
      <c r="AU68" s="845">
        <v>0.55000000000000004</v>
      </c>
      <c r="AV68" s="705">
        <f t="shared" si="35"/>
        <v>922160</v>
      </c>
      <c r="AW68" s="845">
        <v>0.17849999999999999</v>
      </c>
      <c r="AX68" s="705">
        <f t="shared" si="36"/>
        <v>156634</v>
      </c>
      <c r="AY68" s="848">
        <f t="shared" si="37"/>
        <v>1078794</v>
      </c>
      <c r="AZ68" s="848">
        <f>IF((AY68&gt;0),AZ67,0)</f>
        <v>500000</v>
      </c>
      <c r="BA68" s="825">
        <f t="shared" si="38"/>
        <v>578794</v>
      </c>
      <c r="BB68" s="847">
        <f t="shared" si="45"/>
        <v>1031050</v>
      </c>
      <c r="BC68" s="843">
        <f t="shared" si="46"/>
        <v>927900</v>
      </c>
      <c r="BD68" s="705">
        <f t="shared" si="39"/>
        <v>1676655</v>
      </c>
      <c r="BE68" s="833">
        <f t="shared" si="40"/>
        <v>1760487.75</v>
      </c>
      <c r="BF68" s="705">
        <f t="shared" si="41"/>
        <v>3125000</v>
      </c>
      <c r="BG68" s="705">
        <f t="shared" si="42"/>
        <v>2500000</v>
      </c>
      <c r="BI68" s="843">
        <v>0</v>
      </c>
      <c r="BJ68" s="848">
        <f t="shared" si="43"/>
        <v>4002500</v>
      </c>
      <c r="BK68" s="825">
        <f t="shared" si="44"/>
        <v>4002500</v>
      </c>
      <c r="BL68" s="705">
        <f>IF(Main!$L$10="YES",Main!$N$10+BK68,BK68)</f>
        <v>4002500</v>
      </c>
      <c r="BM68" s="705">
        <f>IF(AND((Main!$E$9&gt;=18),(Main!$J$10="YES")),BG68+BL68,BL68)</f>
        <v>6502500</v>
      </c>
      <c r="BQ68" s="843">
        <v>16</v>
      </c>
      <c r="BU68" s="705">
        <f>AD68</f>
        <v>4350000</v>
      </c>
      <c r="BV68" s="705">
        <f>-DAT!$AY$5</f>
        <v>-96972</v>
      </c>
      <c r="BW68" s="705">
        <f>-DAT!$AY$5</f>
        <v>-96972</v>
      </c>
      <c r="BX68" s="705">
        <f>-DAT!$AY$5</f>
        <v>-96972</v>
      </c>
      <c r="BY68" s="705">
        <f>-DAT!$AY$5</f>
        <v>-96972</v>
      </c>
      <c r="BZ68" s="705">
        <f>-DAT!$AY$5</f>
        <v>-96972</v>
      </c>
      <c r="CA68" s="705">
        <f>-DAT!$AY$5</f>
        <v>-96972</v>
      </c>
      <c r="CB68" s="705">
        <f>-DAT!$AY$5</f>
        <v>-96972</v>
      </c>
      <c r="CC68" s="705">
        <f>-DAT!$AY$5</f>
        <v>-96972</v>
      </c>
      <c r="CD68" s="705">
        <f>-DAT!$AY$5</f>
        <v>-96972</v>
      </c>
      <c r="CE68" s="705">
        <f>-DAT!$AY$5</f>
        <v>-96972</v>
      </c>
      <c r="CF68" s="705">
        <f>-DAT!$AY$5</f>
        <v>-96972</v>
      </c>
      <c r="CG68" s="705">
        <f>-DAT!$AY$5</f>
        <v>-96972</v>
      </c>
      <c r="CH68" s="705">
        <f>-DAT!$AY$5</f>
        <v>-96972</v>
      </c>
      <c r="CI68" s="705">
        <f>-DAT!$AY$5</f>
        <v>-96972</v>
      </c>
      <c r="CJ68" s="705">
        <f>-DAT!$AY$5</f>
        <v>-96972</v>
      </c>
      <c r="CK68" s="705">
        <f>-DAT!$AY$5</f>
        <v>-96972</v>
      </c>
      <c r="CL68" s="705">
        <f>-DAT!$AY$5</f>
        <v>-96972</v>
      </c>
      <c r="CM68" s="705">
        <f>-DAT!$AY$5</f>
        <v>-96972</v>
      </c>
      <c r="CN68" s="705">
        <f>-DAT!$AY$5</f>
        <v>-96972</v>
      </c>
      <c r="CO68" s="705">
        <f>-DAT!$AY$5</f>
        <v>-96972</v>
      </c>
    </row>
    <row r="69" spans="2:93">
      <c r="B69" s="843">
        <v>25</v>
      </c>
      <c r="C69" s="843">
        <v>48</v>
      </c>
      <c r="D69" s="843">
        <v>80</v>
      </c>
      <c r="E69" s="843"/>
      <c r="I69" s="843">
        <v>16</v>
      </c>
      <c r="J69" s="846">
        <f>Q$14</f>
        <v>50.25</v>
      </c>
      <c r="K69" s="705">
        <f t="shared" si="16"/>
        <v>1600000</v>
      </c>
      <c r="L69" s="705">
        <f t="shared" si="17"/>
        <v>1920000</v>
      </c>
      <c r="M69" s="825">
        <f t="shared" si="18"/>
        <v>3520000</v>
      </c>
      <c r="N69" s="829">
        <f t="shared" si="19"/>
        <v>1768800</v>
      </c>
      <c r="O69" s="1173">
        <f>BA$14</f>
        <v>0.65880000000000005</v>
      </c>
      <c r="P69" s="705">
        <f t="shared" si="20"/>
        <v>973316</v>
      </c>
      <c r="Q69" s="1173">
        <f>CL$14</f>
        <v>0.186</v>
      </c>
      <c r="R69" s="705">
        <f t="shared" si="21"/>
        <v>357120</v>
      </c>
      <c r="S69" s="825">
        <f t="shared" si="22"/>
        <v>1330436</v>
      </c>
      <c r="T69" s="825">
        <f t="shared" si="23"/>
        <v>1768800</v>
      </c>
      <c r="U69" s="847">
        <f t="shared" si="24"/>
        <v>1415000</v>
      </c>
      <c r="V69" s="833">
        <f t="shared" si="25"/>
        <v>1477408</v>
      </c>
      <c r="W69" s="833">
        <f t="shared" si="26"/>
        <v>1551278.4</v>
      </c>
      <c r="X69" s="705">
        <f t="shared" si="27"/>
        <v>2500000</v>
      </c>
      <c r="Y69" s="832">
        <f t="shared" si="28"/>
        <v>2500000</v>
      </c>
      <c r="AA69" s="705">
        <f>D$43*X69/1000</f>
        <v>62500</v>
      </c>
      <c r="AB69" s="825">
        <f t="shared" si="29"/>
        <v>4482500</v>
      </c>
      <c r="AC69" s="825">
        <f t="shared" si="30"/>
        <v>4482500</v>
      </c>
      <c r="AD69" s="705">
        <f>IF(Main!$L$10="YES",Main!$N$10+AC69,AC69)</f>
        <v>4482500</v>
      </c>
      <c r="AE69" s="705">
        <f>IF(AND((Main!$E$9&gt;=18),(Main!$J$10="YES")),$Z$54+AD69,AD69)</f>
        <v>6982500</v>
      </c>
      <c r="AH69" s="848">
        <v>18</v>
      </c>
      <c r="AI69" s="848">
        <v>15</v>
      </c>
      <c r="AJ69" s="848">
        <v>20</v>
      </c>
      <c r="AN69" s="848">
        <v>10</v>
      </c>
      <c r="AO69" s="846">
        <v>46.94</v>
      </c>
      <c r="AP69" s="848">
        <f t="shared" si="31"/>
        <v>782333.33333333326</v>
      </c>
      <c r="AQ69" s="848">
        <f t="shared" si="32"/>
        <v>975000</v>
      </c>
      <c r="AR69" s="848">
        <f t="shared" si="33"/>
        <v>1757333.3333333333</v>
      </c>
      <c r="AS69" s="848">
        <f t="shared" si="47"/>
        <v>1000000</v>
      </c>
      <c r="AT69" s="848">
        <f t="shared" si="34"/>
        <v>757333.33333333326</v>
      </c>
      <c r="AU69" s="845">
        <v>0.57499999999999996</v>
      </c>
      <c r="AV69" s="705">
        <f t="shared" si="35"/>
        <v>1071196</v>
      </c>
      <c r="AW69" s="845">
        <v>0.18160000000000001</v>
      </c>
      <c r="AX69" s="705">
        <f t="shared" si="36"/>
        <v>177060</v>
      </c>
      <c r="AY69" s="848">
        <f t="shared" si="37"/>
        <v>1248256</v>
      </c>
      <c r="AZ69" s="848">
        <f>IF((AY69&gt;0),(AL76+AZ68),0)</f>
        <v>1000000</v>
      </c>
      <c r="BA69" s="825">
        <f t="shared" si="38"/>
        <v>248256</v>
      </c>
      <c r="BB69" s="847">
        <f t="shared" si="45"/>
        <v>757333.33333333326</v>
      </c>
      <c r="BC69" s="843">
        <f t="shared" si="46"/>
        <v>681600</v>
      </c>
      <c r="BD69" s="705">
        <f t="shared" si="39"/>
        <v>1862950</v>
      </c>
      <c r="BE69" s="833">
        <f t="shared" si="40"/>
        <v>1956097.5</v>
      </c>
      <c r="BF69" s="705">
        <f t="shared" si="41"/>
        <v>3125000</v>
      </c>
      <c r="BG69" s="705">
        <f t="shared" si="42"/>
        <v>2500000</v>
      </c>
      <c r="BI69" s="843">
        <v>0</v>
      </c>
      <c r="BJ69" s="848">
        <f t="shared" si="43"/>
        <v>4100000</v>
      </c>
      <c r="BK69" s="825">
        <f t="shared" si="44"/>
        <v>4100000</v>
      </c>
      <c r="BL69" s="705">
        <f>IF(Main!$L$10="YES",Main!$N$10+BK69,BK69)</f>
        <v>4100000</v>
      </c>
      <c r="BM69" s="705">
        <f>IF(AND((Main!$E$9&gt;=18),(Main!$J$10="YES")),BG69+BL69,BL69)</f>
        <v>6600000</v>
      </c>
      <c r="BQ69" s="843">
        <v>17</v>
      </c>
      <c r="BV69" s="705">
        <f>AD69</f>
        <v>4482500</v>
      </c>
      <c r="BW69" s="705">
        <f>-DAT!$AY$5</f>
        <v>-96972</v>
      </c>
      <c r="BX69" s="705">
        <f>-DAT!$AY$5</f>
        <v>-96972</v>
      </c>
      <c r="BY69" s="705">
        <f>-DAT!$AY$5</f>
        <v>-96972</v>
      </c>
      <c r="BZ69" s="705">
        <f>-DAT!$AY$5</f>
        <v>-96972</v>
      </c>
      <c r="CA69" s="705">
        <f>-DAT!$AY$5</f>
        <v>-96972</v>
      </c>
      <c r="CB69" s="705">
        <f>-DAT!$AY$5</f>
        <v>-96972</v>
      </c>
      <c r="CC69" s="705">
        <f>-DAT!$AY$5</f>
        <v>-96972</v>
      </c>
      <c r="CD69" s="705">
        <f>-DAT!$AY$5</f>
        <v>-96972</v>
      </c>
      <c r="CE69" s="705">
        <f>-DAT!$AY$5</f>
        <v>-96972</v>
      </c>
      <c r="CF69" s="705">
        <f>-DAT!$AY$5</f>
        <v>-96972</v>
      </c>
      <c r="CG69" s="705">
        <f>-DAT!$AY$5</f>
        <v>-96972</v>
      </c>
      <c r="CH69" s="705">
        <f>-DAT!$AY$5</f>
        <v>-96972</v>
      </c>
      <c r="CI69" s="705">
        <f>-DAT!$AY$5</f>
        <v>-96972</v>
      </c>
      <c r="CJ69" s="705">
        <f>-DAT!$AY$5</f>
        <v>-96972</v>
      </c>
      <c r="CK69" s="705">
        <f>-DAT!$AY$5</f>
        <v>-96972</v>
      </c>
      <c r="CL69" s="705">
        <f>-DAT!$AY$5</f>
        <v>-96972</v>
      </c>
      <c r="CM69" s="705">
        <f>-DAT!$AY$5</f>
        <v>-96972</v>
      </c>
      <c r="CN69" s="705">
        <f>-DAT!$AY$5</f>
        <v>-96972</v>
      </c>
      <c r="CO69" s="705">
        <f>-DAT!$AY$5</f>
        <v>-96972</v>
      </c>
    </row>
    <row r="70" spans="2:93">
      <c r="B70" s="843">
        <v>26</v>
      </c>
      <c r="C70" s="843">
        <v>48</v>
      </c>
      <c r="D70" s="843">
        <v>80</v>
      </c>
      <c r="E70" s="843"/>
      <c r="I70" s="843">
        <v>17</v>
      </c>
      <c r="J70" s="846">
        <f>R$14</f>
        <v>53.4</v>
      </c>
      <c r="K70" s="705">
        <f t="shared" si="16"/>
        <v>1700000</v>
      </c>
      <c r="L70" s="705">
        <f t="shared" si="17"/>
        <v>2040000</v>
      </c>
      <c r="M70" s="825">
        <f t="shared" si="18"/>
        <v>3740000</v>
      </c>
      <c r="N70" s="829">
        <f t="shared" si="19"/>
        <v>1997160</v>
      </c>
      <c r="O70" s="1173">
        <f>BB$14</f>
        <v>0.67649999999999999</v>
      </c>
      <c r="P70" s="705">
        <f t="shared" si="20"/>
        <v>1061933</v>
      </c>
      <c r="Q70" s="1173">
        <f>CM$14</f>
        <v>0.1918</v>
      </c>
      <c r="R70" s="705">
        <f t="shared" si="21"/>
        <v>391272</v>
      </c>
      <c r="S70" s="825">
        <f t="shared" si="22"/>
        <v>1453205</v>
      </c>
      <c r="T70" s="825">
        <f t="shared" si="23"/>
        <v>1997160</v>
      </c>
      <c r="U70" s="847">
        <f t="shared" si="24"/>
        <v>1597700</v>
      </c>
      <c r="V70" s="833">
        <f t="shared" si="25"/>
        <v>1569746</v>
      </c>
      <c r="W70" s="833">
        <f t="shared" si="26"/>
        <v>1648233.3</v>
      </c>
      <c r="X70" s="705">
        <f t="shared" si="27"/>
        <v>2500000</v>
      </c>
      <c r="Y70" s="832">
        <f t="shared" si="28"/>
        <v>2500000</v>
      </c>
      <c r="AA70" s="705">
        <f>E$43*X70/1000</f>
        <v>75000</v>
      </c>
      <c r="AB70" s="825">
        <f t="shared" si="29"/>
        <v>4615000</v>
      </c>
      <c r="AC70" s="825">
        <f t="shared" si="30"/>
        <v>4615000</v>
      </c>
      <c r="AD70" s="705">
        <f>IF(Main!$L$10="YES",Main!$N$10+AC70,AC70)</f>
        <v>4615000</v>
      </c>
      <c r="AE70" s="705">
        <f>IF(AND((Main!$E$9&gt;=18),(Main!$J$10="YES")),$Z$54+AD70,AD70)</f>
        <v>7115000</v>
      </c>
      <c r="AH70" s="848">
        <v>19</v>
      </c>
      <c r="AI70" s="848">
        <v>15</v>
      </c>
      <c r="AJ70" s="848">
        <v>20</v>
      </c>
      <c r="AN70" s="848">
        <v>11</v>
      </c>
      <c r="AO70" s="846">
        <v>49.8</v>
      </c>
      <c r="AP70" s="848">
        <f t="shared" si="31"/>
        <v>913000</v>
      </c>
      <c r="AQ70" s="848">
        <f t="shared" si="32"/>
        <v>1072500</v>
      </c>
      <c r="AR70" s="848">
        <f t="shared" si="33"/>
        <v>1985500</v>
      </c>
      <c r="AS70" s="848">
        <f t="shared" si="47"/>
        <v>1000000</v>
      </c>
      <c r="AT70" s="848">
        <f t="shared" si="34"/>
        <v>985500</v>
      </c>
      <c r="AU70" s="845">
        <v>0.6</v>
      </c>
      <c r="AV70" s="705">
        <f t="shared" si="35"/>
        <v>1229547</v>
      </c>
      <c r="AW70" s="845">
        <v>0.186</v>
      </c>
      <c r="AX70" s="705">
        <f t="shared" si="36"/>
        <v>199485</v>
      </c>
      <c r="AY70" s="848">
        <f t="shared" si="37"/>
        <v>1429032</v>
      </c>
      <c r="AZ70" s="848">
        <f>IF((AY70&gt;0),AZ69,0)</f>
        <v>1000000</v>
      </c>
      <c r="BA70" s="825">
        <f t="shared" si="38"/>
        <v>429032</v>
      </c>
      <c r="BB70" s="847">
        <f t="shared" si="45"/>
        <v>985500</v>
      </c>
      <c r="BC70" s="843">
        <f t="shared" si="46"/>
        <v>887000</v>
      </c>
      <c r="BD70" s="705">
        <f t="shared" si="39"/>
        <v>2049245</v>
      </c>
      <c r="BE70" s="833">
        <f t="shared" si="40"/>
        <v>2151707.25</v>
      </c>
      <c r="BF70" s="705">
        <f t="shared" si="41"/>
        <v>3125000</v>
      </c>
      <c r="BG70" s="705">
        <f t="shared" si="42"/>
        <v>2500000</v>
      </c>
      <c r="BI70" s="843">
        <v>0</v>
      </c>
      <c r="BJ70" s="848">
        <f t="shared" si="43"/>
        <v>4197500</v>
      </c>
      <c r="BK70" s="825">
        <f t="shared" si="44"/>
        <v>4197500</v>
      </c>
      <c r="BL70" s="705">
        <f>IF(Main!$L$10="YES",Main!$N$10+BK70,BK70)</f>
        <v>4197500</v>
      </c>
      <c r="BM70" s="705">
        <f>IF(AND((Main!$E$9&gt;=18),(Main!$J$10="YES")),BG70+BL70,BL70)</f>
        <v>6697500</v>
      </c>
      <c r="BQ70" s="843">
        <v>18</v>
      </c>
      <c r="BW70" s="705">
        <f>AD70</f>
        <v>4615000</v>
      </c>
      <c r="BX70" s="705">
        <f>-DAT!$AY$5</f>
        <v>-96972</v>
      </c>
      <c r="BY70" s="705">
        <f>-DAT!$AY$5</f>
        <v>-96972</v>
      </c>
      <c r="BZ70" s="705">
        <f>-DAT!$AY$5</f>
        <v>-96972</v>
      </c>
      <c r="CA70" s="705">
        <f>-DAT!$AY$5</f>
        <v>-96972</v>
      </c>
      <c r="CB70" s="705">
        <f>-DAT!$AY$5</f>
        <v>-96972</v>
      </c>
      <c r="CC70" s="705">
        <f>-DAT!$AY$5</f>
        <v>-96972</v>
      </c>
      <c r="CD70" s="705">
        <f>-DAT!$AY$5</f>
        <v>-96972</v>
      </c>
      <c r="CE70" s="705">
        <f>-DAT!$AY$5</f>
        <v>-96972</v>
      </c>
      <c r="CF70" s="705">
        <f>-DAT!$AY$5</f>
        <v>-96972</v>
      </c>
      <c r="CG70" s="705">
        <f>-DAT!$AY$5</f>
        <v>-96972</v>
      </c>
      <c r="CH70" s="705">
        <f>-DAT!$AY$5</f>
        <v>-96972</v>
      </c>
      <c r="CI70" s="705">
        <f>-DAT!$AY$5</f>
        <v>-96972</v>
      </c>
      <c r="CJ70" s="705">
        <f>-DAT!$AY$5</f>
        <v>-96972</v>
      </c>
      <c r="CK70" s="705">
        <f>-DAT!$AY$5</f>
        <v>-96972</v>
      </c>
      <c r="CL70" s="705">
        <f>-DAT!$AY$5</f>
        <v>-96972</v>
      </c>
      <c r="CM70" s="705">
        <f>-DAT!$AY$5</f>
        <v>-96972</v>
      </c>
      <c r="CN70" s="705">
        <f>-DAT!$AY$5</f>
        <v>-96972</v>
      </c>
      <c r="CO70" s="705">
        <f>-DAT!$AY$5</f>
        <v>-96972</v>
      </c>
    </row>
    <row r="71" spans="2:93">
      <c r="B71" s="843">
        <v>27</v>
      </c>
      <c r="C71" s="843">
        <v>48</v>
      </c>
      <c r="D71" s="843">
        <v>80</v>
      </c>
      <c r="E71" s="843"/>
      <c r="I71" s="843">
        <v>18</v>
      </c>
      <c r="J71" s="846">
        <f>S$14</f>
        <v>56.95</v>
      </c>
      <c r="K71" s="705">
        <f t="shared" si="16"/>
        <v>1800000</v>
      </c>
      <c r="L71" s="705">
        <f t="shared" si="17"/>
        <v>2160000</v>
      </c>
      <c r="M71" s="825">
        <f t="shared" si="18"/>
        <v>3960000</v>
      </c>
      <c r="N71" s="829">
        <f t="shared" si="19"/>
        <v>2255220</v>
      </c>
      <c r="O71" s="1173">
        <f>BC$14</f>
        <v>0.69410000000000005</v>
      </c>
      <c r="P71" s="705">
        <f t="shared" si="20"/>
        <v>1153653</v>
      </c>
      <c r="Q71" s="1173">
        <f>CN$14</f>
        <v>0.1993</v>
      </c>
      <c r="R71" s="705">
        <f t="shared" si="21"/>
        <v>430488</v>
      </c>
      <c r="S71" s="825">
        <f t="shared" si="22"/>
        <v>1584141</v>
      </c>
      <c r="T71" s="825">
        <f t="shared" si="23"/>
        <v>2255220</v>
      </c>
      <c r="U71" s="847">
        <f t="shared" si="24"/>
        <v>1804200</v>
      </c>
      <c r="V71" s="833">
        <f t="shared" si="25"/>
        <v>1662084</v>
      </c>
      <c r="W71" s="833">
        <f t="shared" si="26"/>
        <v>1745188.2</v>
      </c>
      <c r="X71" s="705">
        <f t="shared" si="27"/>
        <v>2500000</v>
      </c>
      <c r="Y71" s="832">
        <f t="shared" si="28"/>
        <v>2500000</v>
      </c>
      <c r="AA71" s="705">
        <f>F$43*X71/1000</f>
        <v>87500</v>
      </c>
      <c r="AB71" s="825">
        <f t="shared" si="29"/>
        <v>4747500</v>
      </c>
      <c r="AC71" s="825">
        <f t="shared" si="30"/>
        <v>4747500</v>
      </c>
      <c r="AD71" s="705">
        <f>IF(Main!$L$10="YES",Main!$N$10+AC71,AC71)</f>
        <v>4747500</v>
      </c>
      <c r="AE71" s="705">
        <f>IF(AND((Main!$E$9&gt;=18),(Main!$J$10="YES")),$Z$54+AD71,AD71)</f>
        <v>7247500</v>
      </c>
      <c r="AH71" s="848">
        <v>20</v>
      </c>
      <c r="AI71" s="848">
        <v>30</v>
      </c>
      <c r="AJ71" s="848">
        <v>40</v>
      </c>
      <c r="AN71" s="848">
        <v>12</v>
      </c>
      <c r="AO71" s="846">
        <v>53</v>
      </c>
      <c r="AP71" s="848">
        <f t="shared" si="31"/>
        <v>1060000</v>
      </c>
      <c r="AQ71" s="848">
        <f t="shared" si="32"/>
        <v>1170000</v>
      </c>
      <c r="AR71" s="848">
        <f t="shared" si="33"/>
        <v>2230000</v>
      </c>
      <c r="AS71" s="848">
        <f t="shared" si="47"/>
        <v>1000000</v>
      </c>
      <c r="AT71" s="848">
        <f t="shared" si="34"/>
        <v>1230000</v>
      </c>
      <c r="AU71" s="845">
        <v>0.625</v>
      </c>
      <c r="AV71" s="705">
        <f t="shared" si="35"/>
        <v>1397213</v>
      </c>
      <c r="AW71" s="845">
        <v>0.1918</v>
      </c>
      <c r="AX71" s="705">
        <f t="shared" si="36"/>
        <v>224406</v>
      </c>
      <c r="AY71" s="848">
        <f t="shared" si="37"/>
        <v>1621619</v>
      </c>
      <c r="AZ71" s="848">
        <f>IF((AY71&gt;0),AZ70,0)</f>
        <v>1000000</v>
      </c>
      <c r="BA71" s="825">
        <f t="shared" si="38"/>
        <v>621619</v>
      </c>
      <c r="BB71" s="847">
        <f t="shared" si="45"/>
        <v>1230000</v>
      </c>
      <c r="BC71" s="843">
        <f t="shared" si="46"/>
        <v>1107000</v>
      </c>
      <c r="BD71" s="705">
        <f t="shared" si="39"/>
        <v>2235540</v>
      </c>
      <c r="BE71" s="833">
        <f t="shared" si="40"/>
        <v>2347317</v>
      </c>
      <c r="BF71" s="705">
        <f t="shared" si="41"/>
        <v>3125000</v>
      </c>
      <c r="BG71" s="705">
        <f t="shared" si="42"/>
        <v>2500000</v>
      </c>
      <c r="BI71" s="843">
        <v>0</v>
      </c>
      <c r="BJ71" s="848">
        <f t="shared" si="43"/>
        <v>4295000</v>
      </c>
      <c r="BK71" s="825">
        <f t="shared" si="44"/>
        <v>4295000</v>
      </c>
      <c r="BL71" s="705">
        <f>IF(Main!$L$10="YES",Main!$N$10+BK71,BK71)</f>
        <v>4295000</v>
      </c>
      <c r="BM71" s="705">
        <f>IF(AND((Main!$E$9&gt;=18),(Main!$J$10="YES")),BG71+BL71,BL71)</f>
        <v>6795000</v>
      </c>
      <c r="BQ71" s="843">
        <v>19</v>
      </c>
      <c r="BX71" s="705">
        <f>AD71</f>
        <v>4747500</v>
      </c>
      <c r="BY71" s="705">
        <f>-DAT!$AY$5</f>
        <v>-96972</v>
      </c>
      <c r="BZ71" s="705">
        <f>-DAT!$AY$5</f>
        <v>-96972</v>
      </c>
      <c r="CA71" s="705">
        <f>-DAT!$AY$5</f>
        <v>-96972</v>
      </c>
      <c r="CB71" s="705">
        <f>-DAT!$AY$5</f>
        <v>-96972</v>
      </c>
      <c r="CC71" s="705">
        <f>-DAT!$AY$5</f>
        <v>-96972</v>
      </c>
      <c r="CD71" s="705">
        <f>-DAT!$AY$5</f>
        <v>-96972</v>
      </c>
      <c r="CE71" s="705">
        <f>-DAT!$AY$5</f>
        <v>-96972</v>
      </c>
      <c r="CF71" s="705">
        <f>-DAT!$AY$5</f>
        <v>-96972</v>
      </c>
      <c r="CG71" s="705">
        <f>-DAT!$AY$5</f>
        <v>-96972</v>
      </c>
      <c r="CH71" s="705">
        <f>-DAT!$AY$5</f>
        <v>-96972</v>
      </c>
      <c r="CI71" s="705">
        <f>-DAT!$AY$5</f>
        <v>-96972</v>
      </c>
      <c r="CJ71" s="705">
        <f>-DAT!$AY$5</f>
        <v>-96972</v>
      </c>
      <c r="CK71" s="705">
        <f>-DAT!$AY$5</f>
        <v>-96972</v>
      </c>
      <c r="CL71" s="705">
        <f>-DAT!$AY$5</f>
        <v>-96972</v>
      </c>
      <c r="CM71" s="705">
        <f>-DAT!$AY$5</f>
        <v>-96972</v>
      </c>
      <c r="CN71" s="705">
        <f>-DAT!$AY$5</f>
        <v>-96972</v>
      </c>
      <c r="CO71" s="705">
        <f>-DAT!$AY$5</f>
        <v>-96972</v>
      </c>
    </row>
    <row r="72" spans="2:93">
      <c r="B72" s="843">
        <v>28</v>
      </c>
      <c r="C72" s="843">
        <v>48</v>
      </c>
      <c r="D72" s="843">
        <v>70</v>
      </c>
      <c r="E72" s="843"/>
      <c r="I72" s="843">
        <v>19</v>
      </c>
      <c r="J72" s="846">
        <f>T$14</f>
        <v>60.95</v>
      </c>
      <c r="K72" s="705">
        <f t="shared" si="16"/>
        <v>1900000</v>
      </c>
      <c r="L72" s="705">
        <f t="shared" si="17"/>
        <v>2280000</v>
      </c>
      <c r="M72" s="825">
        <f t="shared" si="18"/>
        <v>4180000</v>
      </c>
      <c r="N72" s="829">
        <f t="shared" si="19"/>
        <v>2547710</v>
      </c>
      <c r="O72" s="1173">
        <f>BD$14</f>
        <v>0.71179999999999999</v>
      </c>
      <c r="P72" s="705">
        <f t="shared" si="20"/>
        <v>1248798</v>
      </c>
      <c r="Q72" s="1173">
        <f>CO$14</f>
        <v>0.20849999999999999</v>
      </c>
      <c r="R72" s="705">
        <f t="shared" si="21"/>
        <v>475380</v>
      </c>
      <c r="S72" s="825">
        <f t="shared" si="22"/>
        <v>1724178</v>
      </c>
      <c r="T72" s="825">
        <f t="shared" si="23"/>
        <v>2547710</v>
      </c>
      <c r="U72" s="847">
        <f t="shared" si="24"/>
        <v>2038200</v>
      </c>
      <c r="V72" s="833">
        <f t="shared" si="25"/>
        <v>1754422</v>
      </c>
      <c r="W72" s="833">
        <f t="shared" si="26"/>
        <v>1842143.1</v>
      </c>
      <c r="X72" s="705">
        <f t="shared" si="27"/>
        <v>2500000</v>
      </c>
      <c r="Y72" s="832">
        <f t="shared" si="28"/>
        <v>2500000</v>
      </c>
      <c r="AA72" s="705">
        <f>G$43*X72/1000</f>
        <v>125000</v>
      </c>
      <c r="AB72" s="825">
        <f t="shared" si="29"/>
        <v>4905000</v>
      </c>
      <c r="AC72" s="825">
        <f t="shared" si="30"/>
        <v>4905000</v>
      </c>
      <c r="AD72" s="705">
        <f>IF(Main!$L$10="YES",Main!$N$10+AC72,AC72)</f>
        <v>4905000</v>
      </c>
      <c r="AE72" s="705">
        <f>IF(AND((Main!$E$9&gt;=18),(Main!$J$10="YES")),$Z$54+AD72,AD72)</f>
        <v>7405000</v>
      </c>
      <c r="AH72" s="848">
        <v>21</v>
      </c>
      <c r="AI72" s="848">
        <v>30</v>
      </c>
      <c r="AJ72" s="848">
        <v>40</v>
      </c>
      <c r="AN72" s="848">
        <v>13</v>
      </c>
      <c r="AO72" s="846">
        <v>56.6</v>
      </c>
      <c r="AP72" s="848">
        <f t="shared" si="31"/>
        <v>1226333.3333333335</v>
      </c>
      <c r="AQ72" s="848">
        <f t="shared" si="32"/>
        <v>1267500</v>
      </c>
      <c r="AR72" s="848">
        <f t="shared" si="33"/>
        <v>2493833.3333333335</v>
      </c>
      <c r="AS72" s="848">
        <f t="shared" si="47"/>
        <v>1000000</v>
      </c>
      <c r="AT72" s="848">
        <f t="shared" si="34"/>
        <v>1493833.3333333335</v>
      </c>
      <c r="AU72" s="845">
        <v>0.65</v>
      </c>
      <c r="AV72" s="705">
        <f t="shared" si="35"/>
        <v>1574193</v>
      </c>
      <c r="AW72" s="845">
        <v>0.1993</v>
      </c>
      <c r="AX72" s="705">
        <f t="shared" si="36"/>
        <v>252613</v>
      </c>
      <c r="AY72" s="848">
        <f t="shared" si="37"/>
        <v>1826806</v>
      </c>
      <c r="AZ72" s="848">
        <f>IF((AY72&gt;0),AZ71,0)</f>
        <v>1000000</v>
      </c>
      <c r="BA72" s="825">
        <f t="shared" si="38"/>
        <v>826806</v>
      </c>
      <c r="BB72" s="847">
        <f t="shared" si="45"/>
        <v>1493833.3333333335</v>
      </c>
      <c r="BC72" s="843">
        <f t="shared" si="46"/>
        <v>1344500</v>
      </c>
      <c r="BD72" s="705">
        <f t="shared" si="39"/>
        <v>2421835</v>
      </c>
      <c r="BE72" s="833">
        <f t="shared" si="40"/>
        <v>2542926.75</v>
      </c>
      <c r="BF72" s="705">
        <f t="shared" si="41"/>
        <v>3125000</v>
      </c>
      <c r="BG72" s="705">
        <f t="shared" si="42"/>
        <v>2500000</v>
      </c>
      <c r="BI72" s="843">
        <v>0</v>
      </c>
      <c r="BJ72" s="848">
        <f t="shared" si="43"/>
        <v>4392500</v>
      </c>
      <c r="BK72" s="825">
        <f t="shared" si="44"/>
        <v>4392500</v>
      </c>
      <c r="BL72" s="705">
        <f>IF(Main!$L$10="YES",Main!$N$10+BK72,BK72)</f>
        <v>4392500</v>
      </c>
      <c r="BM72" s="705">
        <f>IF(AND((Main!$E$9&gt;=18),(Main!$J$10="YES")),BG72+BL72,BL72)</f>
        <v>6892500</v>
      </c>
      <c r="BQ72" s="843">
        <v>20</v>
      </c>
      <c r="BY72" s="705">
        <f>AD72</f>
        <v>4905000</v>
      </c>
      <c r="BZ72" s="705">
        <f>-DAT!$AY$5</f>
        <v>-96972</v>
      </c>
      <c r="CA72" s="705">
        <f>-DAT!$AY$5</f>
        <v>-96972</v>
      </c>
      <c r="CB72" s="705">
        <f>-DAT!$AY$5</f>
        <v>-96972</v>
      </c>
      <c r="CC72" s="705">
        <f>-DAT!$AY$5</f>
        <v>-96972</v>
      </c>
      <c r="CD72" s="705">
        <f>-DAT!$AY$5</f>
        <v>-96972</v>
      </c>
      <c r="CE72" s="705">
        <f>-DAT!$AY$5</f>
        <v>-96972</v>
      </c>
      <c r="CF72" s="705">
        <f>-DAT!$AY$5</f>
        <v>-96972</v>
      </c>
      <c r="CG72" s="705">
        <f>-DAT!$AY$5</f>
        <v>-96972</v>
      </c>
      <c r="CH72" s="705">
        <f>-DAT!$AY$5</f>
        <v>-96972</v>
      </c>
      <c r="CI72" s="705">
        <f>-DAT!$AY$5</f>
        <v>-96972</v>
      </c>
      <c r="CJ72" s="705">
        <f>-DAT!$AY$5</f>
        <v>-96972</v>
      </c>
      <c r="CK72" s="705">
        <f>-DAT!$AY$5</f>
        <v>-96972</v>
      </c>
      <c r="CL72" s="705">
        <f>-DAT!$AY$5</f>
        <v>-96972</v>
      </c>
      <c r="CM72" s="705">
        <f>-DAT!$AY$5</f>
        <v>-96972</v>
      </c>
      <c r="CN72" s="705">
        <f>-DAT!$AY$5</f>
        <v>-96972</v>
      </c>
      <c r="CO72" s="705">
        <f>-DAT!$AY$5</f>
        <v>-96972</v>
      </c>
    </row>
    <row r="73" spans="2:93">
      <c r="B73" s="843">
        <v>29</v>
      </c>
      <c r="C73" s="843">
        <v>48</v>
      </c>
      <c r="D73" s="843">
        <v>70</v>
      </c>
      <c r="E73" s="843"/>
      <c r="I73" s="843">
        <v>20</v>
      </c>
      <c r="J73" s="846">
        <f>U$14</f>
        <v>65.489999999999995</v>
      </c>
      <c r="K73" s="705">
        <f t="shared" si="16"/>
        <v>2000000</v>
      </c>
      <c r="L73" s="705">
        <f t="shared" si="17"/>
        <v>2400000</v>
      </c>
      <c r="M73" s="825">
        <f t="shared" si="18"/>
        <v>4400000</v>
      </c>
      <c r="N73" s="829">
        <f t="shared" si="19"/>
        <v>2881560</v>
      </c>
      <c r="O73" s="1173">
        <f>BE$14</f>
        <v>0.72940000000000005</v>
      </c>
      <c r="P73" s="705">
        <f t="shared" si="20"/>
        <v>1347027</v>
      </c>
      <c r="Q73" s="1173">
        <f>CP$14</f>
        <v>0.21990000000000001</v>
      </c>
      <c r="R73" s="705">
        <f t="shared" si="21"/>
        <v>527760</v>
      </c>
      <c r="S73" s="825">
        <f t="shared" si="22"/>
        <v>1874787</v>
      </c>
      <c r="T73" s="825">
        <f t="shared" si="23"/>
        <v>2881560</v>
      </c>
      <c r="U73" s="847">
        <f t="shared" si="24"/>
        <v>2305200</v>
      </c>
      <c r="V73" s="833">
        <f t="shared" si="25"/>
        <v>1846760</v>
      </c>
      <c r="W73" s="833">
        <f t="shared" si="26"/>
        <v>1939098</v>
      </c>
      <c r="X73" s="705">
        <f t="shared" si="27"/>
        <v>2500000</v>
      </c>
      <c r="Y73" s="832">
        <f t="shared" si="28"/>
        <v>2500000</v>
      </c>
      <c r="AA73" s="705">
        <f>H$43*X73/1000</f>
        <v>175000</v>
      </c>
      <c r="AB73" s="825">
        <f t="shared" si="29"/>
        <v>5075000</v>
      </c>
      <c r="AC73" s="825">
        <f t="shared" si="30"/>
        <v>5075000</v>
      </c>
      <c r="AD73" s="705">
        <f>IF(Main!$L$10="YES",Main!$N$10+AC73,AC73)</f>
        <v>5075000</v>
      </c>
      <c r="AE73" s="705">
        <f>IF(AND((Main!$E$9&gt;=18),(Main!$J$10="YES")),$Z$54+AD73,AD73)</f>
        <v>7575000</v>
      </c>
      <c r="AH73" s="848">
        <v>22</v>
      </c>
      <c r="AI73" s="848">
        <v>30</v>
      </c>
      <c r="AJ73" s="848">
        <v>40</v>
      </c>
      <c r="AN73" s="848">
        <v>14</v>
      </c>
      <c r="AO73" s="846">
        <v>60.67</v>
      </c>
      <c r="AP73" s="848">
        <f t="shared" si="31"/>
        <v>1415633.3333333335</v>
      </c>
      <c r="AQ73" s="848">
        <f t="shared" si="32"/>
        <v>1365000</v>
      </c>
      <c r="AR73" s="848">
        <f t="shared" si="33"/>
        <v>2780633.3333333335</v>
      </c>
      <c r="AS73" s="848">
        <f t="shared" si="47"/>
        <v>1000000</v>
      </c>
      <c r="AT73" s="848">
        <f t="shared" si="34"/>
        <v>1780633.3333333335</v>
      </c>
      <c r="AU73" s="845">
        <v>0.67500000000000004</v>
      </c>
      <c r="AV73" s="705">
        <f t="shared" si="35"/>
        <v>1760488</v>
      </c>
      <c r="AW73" s="845">
        <v>0.20849999999999999</v>
      </c>
      <c r="AX73" s="705">
        <f t="shared" si="36"/>
        <v>284603</v>
      </c>
      <c r="AY73" s="848">
        <f t="shared" si="37"/>
        <v>2045091</v>
      </c>
      <c r="AZ73" s="848">
        <f>IF((AY73&gt;0),AZ72,0)</f>
        <v>1000000</v>
      </c>
      <c r="BA73" s="825">
        <f t="shared" si="38"/>
        <v>1045091</v>
      </c>
      <c r="BB73" s="847">
        <f t="shared" si="45"/>
        <v>1780633.3333333335</v>
      </c>
      <c r="BC73" s="843">
        <f t="shared" si="46"/>
        <v>1602600</v>
      </c>
      <c r="BD73" s="705">
        <f t="shared" si="39"/>
        <v>2608130</v>
      </c>
      <c r="BE73" s="833">
        <f t="shared" si="40"/>
        <v>2738536.5</v>
      </c>
      <c r="BF73" s="705">
        <f t="shared" si="41"/>
        <v>3125000</v>
      </c>
      <c r="BG73" s="705">
        <f t="shared" si="42"/>
        <v>2500000</v>
      </c>
      <c r="BI73" s="843">
        <v>0</v>
      </c>
      <c r="BJ73" s="848">
        <f t="shared" si="43"/>
        <v>4490000</v>
      </c>
      <c r="BK73" s="825">
        <f t="shared" si="44"/>
        <v>4490000</v>
      </c>
      <c r="BL73" s="705">
        <f>IF(Main!$L$10="YES",Main!$N$10+BK73,BK73)</f>
        <v>4490000</v>
      </c>
      <c r="BM73" s="705">
        <f>IF(AND((Main!$E$9&gt;=18),(Main!$J$10="YES")),BG73+BL73,BL73)</f>
        <v>6990000</v>
      </c>
      <c r="BQ73" s="843">
        <v>21</v>
      </c>
      <c r="BZ73" s="705">
        <f>AD73</f>
        <v>5075000</v>
      </c>
      <c r="CA73" s="705">
        <f>-DAT!$AY$5</f>
        <v>-96972</v>
      </c>
      <c r="CB73" s="705">
        <f>-DAT!$AY$5</f>
        <v>-96972</v>
      </c>
      <c r="CC73" s="705">
        <f>-DAT!$AY$5</f>
        <v>-96972</v>
      </c>
      <c r="CD73" s="705">
        <f>-DAT!$AY$5</f>
        <v>-96972</v>
      </c>
      <c r="CE73" s="705">
        <f>-DAT!$AY$5</f>
        <v>-96972</v>
      </c>
      <c r="CF73" s="705">
        <f>-DAT!$AY$5</f>
        <v>-96972</v>
      </c>
      <c r="CG73" s="705">
        <f>-DAT!$AY$5</f>
        <v>-96972</v>
      </c>
      <c r="CH73" s="705">
        <f>-DAT!$AY$5</f>
        <v>-96972</v>
      </c>
      <c r="CI73" s="705">
        <f>-DAT!$AY$5</f>
        <v>-96972</v>
      </c>
      <c r="CJ73" s="705">
        <f>-DAT!$AY$5</f>
        <v>-96972</v>
      </c>
      <c r="CK73" s="705">
        <f>-DAT!$AY$5</f>
        <v>-96972</v>
      </c>
      <c r="CL73" s="705">
        <f>-DAT!$AY$5</f>
        <v>-96972</v>
      </c>
      <c r="CM73" s="705">
        <f>-DAT!$AY$5</f>
        <v>-96972</v>
      </c>
      <c r="CN73" s="705">
        <f>-DAT!$AY$5</f>
        <v>-96972</v>
      </c>
      <c r="CO73" s="705">
        <f>-DAT!$AY$5</f>
        <v>-96972</v>
      </c>
    </row>
    <row r="74" spans="2:93">
      <c r="B74" s="843">
        <v>30</v>
      </c>
      <c r="C74" s="843">
        <v>48</v>
      </c>
      <c r="D74" s="843">
        <v>70</v>
      </c>
      <c r="E74" s="843"/>
      <c r="I74" s="843">
        <v>21</v>
      </c>
      <c r="J74" s="846">
        <f>V$14</f>
        <v>71.19</v>
      </c>
      <c r="K74" s="705">
        <f t="shared" si="16"/>
        <v>2100000</v>
      </c>
      <c r="L74" s="705">
        <f t="shared" si="17"/>
        <v>2520000</v>
      </c>
      <c r="M74" s="825">
        <f t="shared" si="18"/>
        <v>4620000</v>
      </c>
      <c r="N74" s="829">
        <f t="shared" si="19"/>
        <v>3288978</v>
      </c>
      <c r="O74" s="1173">
        <f>BF$14</f>
        <v>0.74709999999999999</v>
      </c>
      <c r="P74" s="705">
        <f t="shared" si="20"/>
        <v>1448700</v>
      </c>
      <c r="Q74" s="1173">
        <f>CQ$14</f>
        <v>0.23380000000000001</v>
      </c>
      <c r="R74" s="705">
        <f t="shared" si="21"/>
        <v>589176</v>
      </c>
      <c r="S74" s="825">
        <f t="shared" si="22"/>
        <v>2037876</v>
      </c>
      <c r="T74" s="825">
        <f t="shared" si="23"/>
        <v>3288978</v>
      </c>
      <c r="U74" s="847">
        <f t="shared" si="24"/>
        <v>2631200</v>
      </c>
      <c r="V74" s="833">
        <f t="shared" si="25"/>
        <v>1939098</v>
      </c>
      <c r="W74" s="833">
        <f t="shared" si="26"/>
        <v>2036052.9</v>
      </c>
      <c r="X74" s="705">
        <f t="shared" si="27"/>
        <v>2500000</v>
      </c>
      <c r="Y74" s="832">
        <f t="shared" si="28"/>
        <v>2500000</v>
      </c>
      <c r="AA74" s="705">
        <f>I$43*X74/1000</f>
        <v>250000</v>
      </c>
      <c r="AB74" s="825">
        <f t="shared" si="29"/>
        <v>5270000</v>
      </c>
      <c r="AC74" s="825">
        <f t="shared" si="30"/>
        <v>5270000</v>
      </c>
      <c r="AD74" s="705">
        <f>IF(Main!$L$10="YES",Main!$N$10+AC74,AC74)</f>
        <v>5270000</v>
      </c>
      <c r="AE74" s="705">
        <f>IF(AND((Main!$E$9&gt;=18),(Main!$J$10="YES")),$Z$54+AD74,AD74)</f>
        <v>7770000</v>
      </c>
      <c r="AH74" s="848">
        <v>23</v>
      </c>
      <c r="AI74" s="848">
        <v>30</v>
      </c>
      <c r="AJ74" s="848">
        <v>40</v>
      </c>
      <c r="AN74" s="848">
        <v>15</v>
      </c>
      <c r="AO74" s="846">
        <v>65.28</v>
      </c>
      <c r="AP74" s="848">
        <f t="shared" si="31"/>
        <v>1632000.0000000002</v>
      </c>
      <c r="AQ74" s="848">
        <f t="shared" si="32"/>
        <v>1462500</v>
      </c>
      <c r="AR74" s="848">
        <f t="shared" si="33"/>
        <v>3094500</v>
      </c>
      <c r="AS74" s="848">
        <f t="shared" si="47"/>
        <v>1500000</v>
      </c>
      <c r="AT74" s="848">
        <f t="shared" si="34"/>
        <v>1594500</v>
      </c>
      <c r="AU74" s="845">
        <v>0.7</v>
      </c>
      <c r="AV74" s="705">
        <f t="shared" si="35"/>
        <v>1956098</v>
      </c>
      <c r="AW74" s="845">
        <v>0.21990000000000001</v>
      </c>
      <c r="AX74" s="705">
        <f t="shared" si="36"/>
        <v>321604</v>
      </c>
      <c r="AY74" s="848">
        <f t="shared" si="37"/>
        <v>2277702</v>
      </c>
      <c r="AZ74" s="848">
        <f>IF((AY74&gt;0),(AL76+AZ73),0)</f>
        <v>1500000</v>
      </c>
      <c r="BA74" s="825">
        <f t="shared" si="38"/>
        <v>777702</v>
      </c>
      <c r="BB74" s="847">
        <f t="shared" si="45"/>
        <v>1594500</v>
      </c>
      <c r="BC74" s="843">
        <f t="shared" si="46"/>
        <v>1435100</v>
      </c>
      <c r="BD74" s="705">
        <f t="shared" si="39"/>
        <v>2794425</v>
      </c>
      <c r="BE74" s="833">
        <f t="shared" si="40"/>
        <v>2934146.25</v>
      </c>
      <c r="BF74" s="705">
        <f t="shared" si="41"/>
        <v>3125000</v>
      </c>
      <c r="BG74" s="705">
        <f t="shared" si="42"/>
        <v>2500000</v>
      </c>
      <c r="BI74" s="705">
        <f t="shared" ref="BI74:BI79" si="48">IF(($B$52&lt;200000),(($B$52/1000)*AI66),(($B$52/1000)*AJ66))</f>
        <v>50000</v>
      </c>
      <c r="BJ74" s="848">
        <f t="shared" si="43"/>
        <v>4637500</v>
      </c>
      <c r="BK74" s="825">
        <f t="shared" si="44"/>
        <v>4637500</v>
      </c>
      <c r="BL74" s="705">
        <f>IF(Main!$L$10="YES",Main!$N$10+BK74,BK74)</f>
        <v>4637500</v>
      </c>
      <c r="BM74" s="705">
        <f>IF(AND((Main!$E$9&gt;=18),(Main!$J$10="YES")),BG74+BL74,BL74)</f>
        <v>7137500</v>
      </c>
      <c r="BQ74" s="843">
        <v>22</v>
      </c>
      <c r="CA74" s="848">
        <f>AD74</f>
        <v>5270000</v>
      </c>
      <c r="CB74" s="705">
        <f>-DAT!$AY$5</f>
        <v>-96972</v>
      </c>
      <c r="CC74" s="705">
        <f>-DAT!$AY$5</f>
        <v>-96972</v>
      </c>
      <c r="CD74" s="705">
        <f>-DAT!$AY$5</f>
        <v>-96972</v>
      </c>
      <c r="CE74" s="705">
        <f>-DAT!$AY$5</f>
        <v>-96972</v>
      </c>
      <c r="CF74" s="705">
        <f>-DAT!$AY$5</f>
        <v>-96972</v>
      </c>
      <c r="CG74" s="705">
        <f>-DAT!$AY$5</f>
        <v>-96972</v>
      </c>
      <c r="CH74" s="705">
        <f>-DAT!$AY$5</f>
        <v>-96972</v>
      </c>
      <c r="CI74" s="705">
        <f>-DAT!$AY$5</f>
        <v>-96972</v>
      </c>
      <c r="CJ74" s="705">
        <f>-DAT!$AY$5</f>
        <v>-96972</v>
      </c>
      <c r="CK74" s="705">
        <f>-DAT!$AY$5</f>
        <v>-96972</v>
      </c>
      <c r="CL74" s="705">
        <f>-DAT!$AY$5</f>
        <v>-96972</v>
      </c>
      <c r="CM74" s="705">
        <f>-DAT!$AY$5</f>
        <v>-96972</v>
      </c>
      <c r="CN74" s="705">
        <f>-DAT!$AY$5</f>
        <v>-96972</v>
      </c>
      <c r="CO74" s="705">
        <f>-DAT!$AY$5</f>
        <v>-96972</v>
      </c>
    </row>
    <row r="75" spans="2:93">
      <c r="B75" s="843">
        <v>31</v>
      </c>
      <c r="C75" s="843">
        <v>48</v>
      </c>
      <c r="D75" s="843">
        <v>70</v>
      </c>
      <c r="E75" s="843"/>
      <c r="I75" s="843">
        <v>22</v>
      </c>
      <c r="J75" s="846">
        <f>W$14</f>
        <v>77.41</v>
      </c>
      <c r="K75" s="705">
        <f t="shared" si="16"/>
        <v>2200000</v>
      </c>
      <c r="L75" s="705">
        <f t="shared" si="17"/>
        <v>2640000</v>
      </c>
      <c r="M75" s="825">
        <f t="shared" si="18"/>
        <v>4840000</v>
      </c>
      <c r="N75" s="829">
        <f t="shared" si="19"/>
        <v>3746644</v>
      </c>
      <c r="O75" s="1173">
        <f>BG$14</f>
        <v>0.76470000000000005</v>
      </c>
      <c r="P75" s="705">
        <f t="shared" si="20"/>
        <v>1553439</v>
      </c>
      <c r="Q75" s="1173">
        <f>CR$14</f>
        <v>0.2505</v>
      </c>
      <c r="R75" s="705">
        <f t="shared" si="21"/>
        <v>661320</v>
      </c>
      <c r="S75" s="825">
        <f t="shared" si="22"/>
        <v>2214759</v>
      </c>
      <c r="T75" s="825">
        <f t="shared" si="23"/>
        <v>3746644</v>
      </c>
      <c r="U75" s="847">
        <f t="shared" si="24"/>
        <v>2997300</v>
      </c>
      <c r="V75" s="833">
        <f t="shared" si="25"/>
        <v>2031436</v>
      </c>
      <c r="W75" s="833">
        <f t="shared" si="26"/>
        <v>2133007.7999999998</v>
      </c>
      <c r="X75" s="705">
        <f t="shared" si="27"/>
        <v>2500000</v>
      </c>
      <c r="Y75" s="832">
        <f t="shared" si="28"/>
        <v>2500000</v>
      </c>
      <c r="AA75" s="705">
        <f>J$43*X75/1000</f>
        <v>375000</v>
      </c>
      <c r="AB75" s="825">
        <f t="shared" si="29"/>
        <v>5515000</v>
      </c>
      <c r="AC75" s="825">
        <f t="shared" si="30"/>
        <v>5515000</v>
      </c>
      <c r="AD75" s="705">
        <f>IF(Main!$L$10="YES",Main!$N$10+AC75,AC75)</f>
        <v>5515000</v>
      </c>
      <c r="AE75" s="705">
        <f>IF(AND((Main!$E$9&gt;=18),(Main!$J$10="YES")),$Z$54+AD75,AD75)</f>
        <v>8015000</v>
      </c>
      <c r="AH75" s="848">
        <v>24</v>
      </c>
      <c r="AI75" s="848">
        <v>30</v>
      </c>
      <c r="AJ75" s="848">
        <v>40</v>
      </c>
      <c r="AN75" s="848">
        <v>16</v>
      </c>
      <c r="AO75" s="846">
        <v>71.040000000000006</v>
      </c>
      <c r="AP75" s="848">
        <f t="shared" si="31"/>
        <v>1894400</v>
      </c>
      <c r="AQ75" s="848">
        <f t="shared" si="32"/>
        <v>1560000</v>
      </c>
      <c r="AR75" s="848">
        <f t="shared" si="33"/>
        <v>3454400</v>
      </c>
      <c r="AS75" s="848">
        <f t="shared" si="47"/>
        <v>1500000</v>
      </c>
      <c r="AT75" s="848">
        <f t="shared" si="34"/>
        <v>1954400</v>
      </c>
      <c r="AU75" s="845">
        <v>0.72499999999999998</v>
      </c>
      <c r="AV75" s="705">
        <f t="shared" si="35"/>
        <v>2161022</v>
      </c>
      <c r="AW75" s="845">
        <v>0.23380000000000001</v>
      </c>
      <c r="AX75" s="705">
        <f t="shared" si="36"/>
        <v>364728</v>
      </c>
      <c r="AY75" s="848">
        <f t="shared" si="37"/>
        <v>2525750</v>
      </c>
      <c r="AZ75" s="848">
        <f>IF((AY75&gt;0),AZ74,0)</f>
        <v>1500000</v>
      </c>
      <c r="BA75" s="825">
        <f t="shared" si="38"/>
        <v>1025750</v>
      </c>
      <c r="BB75" s="847">
        <f t="shared" si="45"/>
        <v>1954400</v>
      </c>
      <c r="BC75" s="843">
        <f t="shared" si="46"/>
        <v>1759000</v>
      </c>
      <c r="BD75" s="705">
        <f t="shared" si="39"/>
        <v>2980720</v>
      </c>
      <c r="BE75" s="833">
        <f t="shared" si="40"/>
        <v>3129756</v>
      </c>
      <c r="BF75" s="705">
        <f t="shared" si="41"/>
        <v>3125000</v>
      </c>
      <c r="BG75" s="705">
        <f t="shared" si="42"/>
        <v>2500000</v>
      </c>
      <c r="BI75" s="705">
        <f t="shared" si="48"/>
        <v>50000</v>
      </c>
      <c r="BJ75" s="848">
        <f t="shared" si="43"/>
        <v>4735000</v>
      </c>
      <c r="BK75" s="825">
        <f t="shared" si="44"/>
        <v>4735000</v>
      </c>
      <c r="BL75" s="705">
        <f>IF(Main!$L$10="YES",Main!$N$10+BK75,BK75)</f>
        <v>4735000</v>
      </c>
      <c r="BM75" s="705">
        <f>IF(AND((Main!$E$9&gt;=18),(Main!$J$10="YES")),BG75+BL75,BL75)</f>
        <v>7235000</v>
      </c>
      <c r="BQ75" s="843">
        <v>23</v>
      </c>
      <c r="CB75" s="848">
        <f>AD75</f>
        <v>5515000</v>
      </c>
      <c r="CC75" s="705">
        <f>-DAT!$AY$5</f>
        <v>-96972</v>
      </c>
      <c r="CD75" s="705">
        <f>-DAT!$AY$5</f>
        <v>-96972</v>
      </c>
      <c r="CE75" s="705">
        <f>-DAT!$AY$5</f>
        <v>-96972</v>
      </c>
      <c r="CF75" s="705">
        <f>-DAT!$AY$5</f>
        <v>-96972</v>
      </c>
      <c r="CG75" s="705">
        <f>-DAT!$AY$5</f>
        <v>-96972</v>
      </c>
      <c r="CH75" s="705">
        <f>-DAT!$AY$5</f>
        <v>-96972</v>
      </c>
      <c r="CI75" s="705">
        <f>-DAT!$AY$5</f>
        <v>-96972</v>
      </c>
      <c r="CJ75" s="705">
        <f>-DAT!$AY$5</f>
        <v>-96972</v>
      </c>
      <c r="CK75" s="705">
        <f>-DAT!$AY$5</f>
        <v>-96972</v>
      </c>
      <c r="CL75" s="705">
        <f>-DAT!$AY$5</f>
        <v>-96972</v>
      </c>
      <c r="CM75" s="705">
        <f>-DAT!$AY$5</f>
        <v>-96972</v>
      </c>
      <c r="CN75" s="705">
        <f>-DAT!$AY$5</f>
        <v>-96972</v>
      </c>
      <c r="CO75" s="705">
        <f>-DAT!$AY$5</f>
        <v>-96972</v>
      </c>
    </row>
    <row r="76" spans="2:93">
      <c r="B76" s="843">
        <v>32</v>
      </c>
      <c r="C76" s="843">
        <v>48</v>
      </c>
      <c r="D76" s="843">
        <v>60</v>
      </c>
      <c r="E76" s="843"/>
      <c r="I76" s="843">
        <v>23</v>
      </c>
      <c r="J76" s="846">
        <f>X$14</f>
        <v>84.24</v>
      </c>
      <c r="K76" s="705">
        <f t="shared" si="16"/>
        <v>2300000</v>
      </c>
      <c r="L76" s="705">
        <f t="shared" si="17"/>
        <v>2760000</v>
      </c>
      <c r="M76" s="825">
        <f t="shared" si="18"/>
        <v>5060000</v>
      </c>
      <c r="N76" s="829">
        <f t="shared" si="19"/>
        <v>4262544</v>
      </c>
      <c r="O76" s="1173">
        <f>BH$14</f>
        <v>0.78239999999999998</v>
      </c>
      <c r="P76" s="705">
        <f t="shared" si="20"/>
        <v>1661641</v>
      </c>
      <c r="Q76" s="1173">
        <f>CS$14</f>
        <v>0.27060000000000001</v>
      </c>
      <c r="R76" s="705">
        <f t="shared" si="21"/>
        <v>746856</v>
      </c>
      <c r="S76" s="825">
        <f t="shared" si="22"/>
        <v>2408497</v>
      </c>
      <c r="T76" s="825">
        <f t="shared" si="23"/>
        <v>4262544</v>
      </c>
      <c r="U76" s="847">
        <f t="shared" si="24"/>
        <v>3410000</v>
      </c>
      <c r="V76" s="833">
        <f t="shared" si="25"/>
        <v>2123774</v>
      </c>
      <c r="W76" s="833">
        <f t="shared" si="26"/>
        <v>2229962.7000000002</v>
      </c>
      <c r="X76" s="705">
        <f t="shared" si="27"/>
        <v>2500000</v>
      </c>
      <c r="Y76" s="832">
        <f t="shared" si="28"/>
        <v>2500000</v>
      </c>
      <c r="AA76" s="705">
        <f>K$43*X76/1000</f>
        <v>625000</v>
      </c>
      <c r="AB76" s="825">
        <f t="shared" si="29"/>
        <v>5885000</v>
      </c>
      <c r="AC76" s="825">
        <f t="shared" si="30"/>
        <v>5885000</v>
      </c>
      <c r="AD76" s="705">
        <f>IF(Main!$L$10="YES",Main!$N$10+AC76,AC76)</f>
        <v>5885000</v>
      </c>
      <c r="AE76" s="705">
        <f>IF(AND((Main!$E$9&gt;=18),(Main!$J$10="YES")),$Z$54+AD76,AD76)</f>
        <v>8385000</v>
      </c>
      <c r="AH76" s="848">
        <v>25</v>
      </c>
      <c r="AI76" s="848">
        <v>175</v>
      </c>
      <c r="AJ76" s="848">
        <v>225</v>
      </c>
      <c r="AL76" s="705">
        <f>B52*20%</f>
        <v>500000</v>
      </c>
      <c r="AN76" s="848">
        <v>17</v>
      </c>
      <c r="AO76" s="846">
        <v>77.33</v>
      </c>
      <c r="AP76" s="848">
        <f t="shared" si="31"/>
        <v>2191016.666666667</v>
      </c>
      <c r="AQ76" s="848">
        <f t="shared" si="32"/>
        <v>1657500</v>
      </c>
      <c r="AR76" s="848">
        <f t="shared" si="33"/>
        <v>3848516.666666667</v>
      </c>
      <c r="AS76" s="848">
        <f t="shared" si="47"/>
        <v>1500000</v>
      </c>
      <c r="AT76" s="848">
        <f t="shared" si="34"/>
        <v>2348516.666666667</v>
      </c>
      <c r="AU76" s="845">
        <v>0.75</v>
      </c>
      <c r="AV76" s="705">
        <f t="shared" si="35"/>
        <v>2375261</v>
      </c>
      <c r="AW76" s="845">
        <v>0.2505</v>
      </c>
      <c r="AX76" s="705">
        <f t="shared" si="36"/>
        <v>415204</v>
      </c>
      <c r="AY76" s="848">
        <f t="shared" si="37"/>
        <v>2790465</v>
      </c>
      <c r="AZ76" s="848">
        <f>IF((AY76&gt;0),AZ75,0)</f>
        <v>1500000</v>
      </c>
      <c r="BA76" s="825">
        <f t="shared" si="38"/>
        <v>1290465</v>
      </c>
      <c r="BB76" s="847">
        <f t="shared" si="45"/>
        <v>2348516.666666667</v>
      </c>
      <c r="BC76" s="843">
        <f t="shared" si="46"/>
        <v>2113700</v>
      </c>
      <c r="BD76" s="705">
        <f t="shared" si="39"/>
        <v>3167015</v>
      </c>
      <c r="BE76" s="833">
        <f t="shared" si="40"/>
        <v>3325365.75</v>
      </c>
      <c r="BF76" s="705">
        <f t="shared" si="41"/>
        <v>3125000</v>
      </c>
      <c r="BG76" s="705">
        <f t="shared" si="42"/>
        <v>2500000</v>
      </c>
      <c r="BI76" s="705">
        <f t="shared" si="48"/>
        <v>50000</v>
      </c>
      <c r="BJ76" s="848">
        <f t="shared" si="43"/>
        <v>4832500</v>
      </c>
      <c r="BK76" s="825">
        <f t="shared" si="44"/>
        <v>4832500</v>
      </c>
      <c r="BL76" s="705">
        <f>IF(Main!$L$10="YES",Main!$N$10+BK76,BK76)</f>
        <v>4832500</v>
      </c>
      <c r="BM76" s="705">
        <f>IF(AND((Main!$E$9&gt;=18),(Main!$J$10="YES")),BG76+BL76,BL76)</f>
        <v>7332500</v>
      </c>
      <c r="BQ76" s="843">
        <v>24</v>
      </c>
      <c r="CC76" s="705">
        <f>AD76</f>
        <v>5885000</v>
      </c>
      <c r="CD76" s="705">
        <f>-DAT!$AY$5</f>
        <v>-96972</v>
      </c>
      <c r="CE76" s="705">
        <f>-DAT!$AY$5</f>
        <v>-96972</v>
      </c>
      <c r="CF76" s="705">
        <f>-DAT!$AY$5</f>
        <v>-96972</v>
      </c>
      <c r="CG76" s="705">
        <f>-DAT!$AY$5</f>
        <v>-96972</v>
      </c>
      <c r="CH76" s="705">
        <f>-DAT!$AY$5</f>
        <v>-96972</v>
      </c>
      <c r="CI76" s="705">
        <f>-DAT!$AY$5</f>
        <v>-96972</v>
      </c>
      <c r="CJ76" s="705">
        <f>-DAT!$AY$5</f>
        <v>-96972</v>
      </c>
      <c r="CK76" s="705">
        <f>-DAT!$AY$5</f>
        <v>-96972</v>
      </c>
      <c r="CL76" s="705">
        <f>-DAT!$AY$5</f>
        <v>-96972</v>
      </c>
      <c r="CM76" s="705">
        <f>-DAT!$AY$5</f>
        <v>-96972</v>
      </c>
      <c r="CN76" s="705">
        <f>-DAT!$AY$5</f>
        <v>-96972</v>
      </c>
      <c r="CO76" s="705">
        <f>-DAT!$AY$5</f>
        <v>-96972</v>
      </c>
    </row>
    <row r="77" spans="2:93">
      <c r="B77" s="843">
        <v>33</v>
      </c>
      <c r="C77" s="843">
        <v>48</v>
      </c>
      <c r="D77" s="843">
        <v>60</v>
      </c>
      <c r="E77" s="843"/>
      <c r="I77" s="843">
        <v>24</v>
      </c>
      <c r="J77" s="846">
        <f>Y$14</f>
        <v>91.74</v>
      </c>
      <c r="K77" s="705">
        <f t="shared" si="16"/>
        <v>2400000</v>
      </c>
      <c r="L77" s="705">
        <f t="shared" si="17"/>
        <v>2880000</v>
      </c>
      <c r="M77" s="825">
        <f t="shared" si="18"/>
        <v>5280000</v>
      </c>
      <c r="N77" s="829">
        <f t="shared" si="19"/>
        <v>4843872</v>
      </c>
      <c r="O77" s="1173">
        <f>BI$14</f>
        <v>0.8</v>
      </c>
      <c r="P77" s="705">
        <f t="shared" si="20"/>
        <v>1772890</v>
      </c>
      <c r="Q77" s="1173">
        <f>CT$14</f>
        <v>0.3</v>
      </c>
      <c r="R77" s="705">
        <f t="shared" si="21"/>
        <v>864000</v>
      </c>
      <c r="S77" s="825">
        <f t="shared" si="22"/>
        <v>2636890</v>
      </c>
      <c r="T77" s="825">
        <f t="shared" si="23"/>
        <v>4843872</v>
      </c>
      <c r="U77" s="847">
        <f t="shared" si="24"/>
        <v>3875100</v>
      </c>
      <c r="V77" s="833">
        <f t="shared" si="25"/>
        <v>2216112</v>
      </c>
      <c r="W77" s="833">
        <f t="shared" si="26"/>
        <v>2326917.6</v>
      </c>
      <c r="X77" s="705">
        <f t="shared" si="27"/>
        <v>2500000</v>
      </c>
      <c r="Y77" s="832">
        <f t="shared" si="28"/>
        <v>2500000</v>
      </c>
      <c r="AA77" s="705">
        <f>L$43*X77/1000</f>
        <v>875000</v>
      </c>
      <c r="AB77" s="825">
        <f t="shared" si="29"/>
        <v>6255000</v>
      </c>
      <c r="AC77" s="825">
        <f t="shared" si="30"/>
        <v>6255000</v>
      </c>
      <c r="AD77" s="705">
        <f>IF(Main!$L$10="YES",Main!$N$10+AC77,AC77)</f>
        <v>6255000</v>
      </c>
      <c r="AE77" s="705">
        <f>IF(AND((Main!$E$9&gt;=18),(Main!$J$10="YES")),$Z$54+AD77,AD77)</f>
        <v>8755000</v>
      </c>
      <c r="AN77" s="848">
        <v>18</v>
      </c>
      <c r="AO77" s="846">
        <v>84.21</v>
      </c>
      <c r="AP77" s="848">
        <f t="shared" si="31"/>
        <v>2526300</v>
      </c>
      <c r="AQ77" s="848">
        <f t="shared" si="32"/>
        <v>1755000</v>
      </c>
      <c r="AR77" s="848">
        <f t="shared" si="33"/>
        <v>4281300</v>
      </c>
      <c r="AS77" s="848">
        <f t="shared" si="47"/>
        <v>1500000</v>
      </c>
      <c r="AT77" s="848">
        <f t="shared" si="34"/>
        <v>2781300</v>
      </c>
      <c r="AU77" s="845">
        <v>0.77500000000000002</v>
      </c>
      <c r="AV77" s="705">
        <f t="shared" si="35"/>
        <v>2598815</v>
      </c>
      <c r="AW77" s="845">
        <v>0.27060000000000001</v>
      </c>
      <c r="AX77" s="705">
        <f t="shared" si="36"/>
        <v>474903</v>
      </c>
      <c r="AY77" s="848">
        <f t="shared" si="37"/>
        <v>3073718</v>
      </c>
      <c r="AZ77" s="848">
        <f>IF((AY77&gt;0),AZ76,0)</f>
        <v>1500000</v>
      </c>
      <c r="BA77" s="825">
        <f t="shared" si="38"/>
        <v>1573718</v>
      </c>
      <c r="BB77" s="847">
        <f t="shared" si="45"/>
        <v>2781300</v>
      </c>
      <c r="BC77" s="843">
        <f t="shared" si="46"/>
        <v>2503200</v>
      </c>
      <c r="BD77" s="705">
        <f t="shared" si="39"/>
        <v>3353310</v>
      </c>
      <c r="BE77" s="833">
        <f t="shared" si="40"/>
        <v>3520975.5</v>
      </c>
      <c r="BF77" s="705">
        <f t="shared" si="41"/>
        <v>3125000</v>
      </c>
      <c r="BG77" s="705">
        <f t="shared" si="42"/>
        <v>2500000</v>
      </c>
      <c r="BI77" s="705">
        <f t="shared" si="48"/>
        <v>50000</v>
      </c>
      <c r="BJ77" s="848">
        <f t="shared" si="43"/>
        <v>4930000</v>
      </c>
      <c r="BK77" s="825">
        <f t="shared" si="44"/>
        <v>4930000</v>
      </c>
      <c r="BL77" s="705">
        <f>IF(Main!$L$10="YES",Main!$N$10+BK77,BK77)</f>
        <v>4930000</v>
      </c>
      <c r="BM77" s="705">
        <f>IF(AND((Main!$E$9&gt;=18),(Main!$J$10="YES")),BG77+BL77,BL77)</f>
        <v>7430000</v>
      </c>
      <c r="BQ77" s="843">
        <v>25</v>
      </c>
      <c r="CD77" s="705">
        <f>AD77</f>
        <v>6255000</v>
      </c>
      <c r="CE77" s="705">
        <f>-DAT!$AY$5</f>
        <v>-96972</v>
      </c>
      <c r="CF77" s="705">
        <f>-DAT!$AY$5</f>
        <v>-96972</v>
      </c>
      <c r="CG77" s="705">
        <f>-DAT!$AY$5</f>
        <v>-96972</v>
      </c>
      <c r="CH77" s="705">
        <f>-DAT!$AY$5</f>
        <v>-96972</v>
      </c>
      <c r="CI77" s="705">
        <f>-DAT!$AY$5</f>
        <v>-96972</v>
      </c>
      <c r="CJ77" s="705">
        <f>-DAT!$AY$5</f>
        <v>-96972</v>
      </c>
      <c r="CK77" s="705">
        <f>-DAT!$AY$5</f>
        <v>-96972</v>
      </c>
      <c r="CL77" s="705">
        <f>-DAT!$AY$5</f>
        <v>-96972</v>
      </c>
      <c r="CM77" s="705">
        <f>-DAT!$AY$5</f>
        <v>-96972</v>
      </c>
      <c r="CN77" s="705">
        <f>-DAT!$AY$5</f>
        <v>-96972</v>
      </c>
      <c r="CO77" s="705">
        <f>-DAT!$AY$5</f>
        <v>-96972</v>
      </c>
    </row>
    <row r="78" spans="2:93">
      <c r="B78" s="843">
        <v>34</v>
      </c>
      <c r="C78" s="843">
        <v>48</v>
      </c>
      <c r="D78" s="843">
        <v>60</v>
      </c>
      <c r="E78" s="843"/>
      <c r="I78" s="843">
        <v>25</v>
      </c>
      <c r="J78" s="846">
        <f>Z$14</f>
        <v>0</v>
      </c>
      <c r="K78" s="705">
        <f t="shared" si="16"/>
        <v>2500000</v>
      </c>
      <c r="L78" s="705">
        <f t="shared" si="17"/>
        <v>3000000</v>
      </c>
      <c r="M78" s="825">
        <f t="shared" si="18"/>
        <v>5500000</v>
      </c>
      <c r="N78" s="829">
        <f t="shared" si="19"/>
        <v>0</v>
      </c>
      <c r="O78" s="1173">
        <f>BJ$14</f>
        <v>0.8</v>
      </c>
      <c r="P78" s="705">
        <f t="shared" si="20"/>
        <v>1846760</v>
      </c>
      <c r="Q78" s="1173">
        <f>CU$14</f>
        <v>0.35</v>
      </c>
      <c r="R78" s="705">
        <f t="shared" si="21"/>
        <v>1050000</v>
      </c>
      <c r="S78" s="825">
        <f t="shared" si="22"/>
        <v>2896760</v>
      </c>
      <c r="T78" s="825">
        <f t="shared" si="23"/>
        <v>2896760</v>
      </c>
      <c r="U78" s="847">
        <f t="shared" si="24"/>
        <v>2317400</v>
      </c>
      <c r="V78" s="833">
        <f t="shared" si="25"/>
        <v>2308450</v>
      </c>
      <c r="W78" s="833">
        <f t="shared" si="26"/>
        <v>2423872.5</v>
      </c>
      <c r="X78" s="705">
        <f t="shared" si="27"/>
        <v>2500000</v>
      </c>
      <c r="Y78" s="832">
        <f t="shared" si="28"/>
        <v>2500000</v>
      </c>
      <c r="AA78" s="705">
        <f>M$43*X78/1000</f>
        <v>1125000</v>
      </c>
      <c r="AB78" s="825">
        <f t="shared" si="29"/>
        <v>6625000</v>
      </c>
      <c r="AC78" s="825">
        <f t="shared" si="30"/>
        <v>6625000</v>
      </c>
      <c r="AD78" s="705">
        <f>IF(Main!$L$10="YES",Main!$N$10+AC78,AC78)</f>
        <v>6625000</v>
      </c>
      <c r="AE78" s="705">
        <f>IF(AND((Main!$E$9&gt;=18),(Main!$J$10="YES")),$Z$54+AD78,AD78)</f>
        <v>9125000</v>
      </c>
      <c r="AN78" s="848">
        <v>19</v>
      </c>
      <c r="AO78" s="846">
        <v>91.74</v>
      </c>
      <c r="AP78" s="848">
        <f t="shared" si="31"/>
        <v>2905100</v>
      </c>
      <c r="AQ78" s="848">
        <f t="shared" si="32"/>
        <v>1852500</v>
      </c>
      <c r="AR78" s="848">
        <f t="shared" si="33"/>
        <v>4757600</v>
      </c>
      <c r="AS78" s="848">
        <f t="shared" si="47"/>
        <v>1500000</v>
      </c>
      <c r="AT78" s="848">
        <f t="shared" si="34"/>
        <v>3257600</v>
      </c>
      <c r="AU78" s="845">
        <v>0.8</v>
      </c>
      <c r="AV78" s="705">
        <f t="shared" si="35"/>
        <v>2831684</v>
      </c>
      <c r="AW78" s="845">
        <v>0.3</v>
      </c>
      <c r="AX78" s="705">
        <f t="shared" si="36"/>
        <v>555750</v>
      </c>
      <c r="AY78" s="848">
        <f t="shared" si="37"/>
        <v>3387434</v>
      </c>
      <c r="AZ78" s="848">
        <f>IF((AY78&gt;0),AZ77,0)</f>
        <v>1500000</v>
      </c>
      <c r="BA78" s="825">
        <f t="shared" si="38"/>
        <v>1887434</v>
      </c>
      <c r="BB78" s="847">
        <f t="shared" si="45"/>
        <v>3257600</v>
      </c>
      <c r="BC78" s="843">
        <f t="shared" si="46"/>
        <v>2931800</v>
      </c>
      <c r="BD78" s="705">
        <f t="shared" si="39"/>
        <v>3539605</v>
      </c>
      <c r="BE78" s="833">
        <f t="shared" si="40"/>
        <v>3716585.25</v>
      </c>
      <c r="BF78" s="705">
        <f t="shared" si="41"/>
        <v>3125000</v>
      </c>
      <c r="BG78" s="705">
        <f t="shared" si="42"/>
        <v>2500000</v>
      </c>
      <c r="BI78" s="705">
        <f t="shared" si="48"/>
        <v>50000</v>
      </c>
      <c r="BJ78" s="848">
        <f t="shared" si="43"/>
        <v>5027500</v>
      </c>
      <c r="BK78" s="825">
        <f t="shared" si="44"/>
        <v>5027500</v>
      </c>
      <c r="BL78" s="705">
        <f>IF(Main!$L$10="YES",Main!$N$10+BK78,BK78)</f>
        <v>5027500</v>
      </c>
      <c r="BM78" s="705">
        <f>IF(AND((Main!$E$9&gt;=18),(Main!$J$10="YES")),BG78+BL78,BL78)</f>
        <v>7527500</v>
      </c>
      <c r="BQ78" s="843">
        <v>26</v>
      </c>
      <c r="CE78" s="705">
        <f>AD78</f>
        <v>6625000</v>
      </c>
      <c r="CF78" s="705">
        <f>-DAT!$AY$5</f>
        <v>-96972</v>
      </c>
      <c r="CG78" s="705">
        <f>-DAT!$AY$5</f>
        <v>-96972</v>
      </c>
      <c r="CH78" s="705">
        <f>-DAT!$AY$5</f>
        <v>-96972</v>
      </c>
      <c r="CI78" s="705">
        <f>-DAT!$AY$5</f>
        <v>-96972</v>
      </c>
      <c r="CJ78" s="705">
        <f>-DAT!$AY$5</f>
        <v>-96972</v>
      </c>
      <c r="CK78" s="705">
        <f>-DAT!$AY$5</f>
        <v>-96972</v>
      </c>
      <c r="CL78" s="705">
        <f>-DAT!$AY$5</f>
        <v>-96972</v>
      </c>
      <c r="CM78" s="705">
        <f>-DAT!$AY$5</f>
        <v>-96972</v>
      </c>
      <c r="CN78" s="705">
        <f>-DAT!$AY$5</f>
        <v>-96972</v>
      </c>
      <c r="CO78" s="705">
        <f>-DAT!$AY$5</f>
        <v>-96972</v>
      </c>
    </row>
    <row r="79" spans="2:93">
      <c r="B79" s="843">
        <v>35</v>
      </c>
      <c r="C79" s="843">
        <v>48</v>
      </c>
      <c r="D79" s="843">
        <v>60</v>
      </c>
      <c r="I79" s="843">
        <v>26</v>
      </c>
      <c r="J79" s="846">
        <f>AA$14</f>
        <v>0</v>
      </c>
      <c r="K79" s="705">
        <f t="shared" si="16"/>
        <v>2600000</v>
      </c>
      <c r="L79" s="705">
        <f t="shared" si="17"/>
        <v>3120000</v>
      </c>
      <c r="M79" s="825">
        <f t="shared" si="18"/>
        <v>5720000</v>
      </c>
      <c r="N79" s="829">
        <f t="shared" si="19"/>
        <v>0</v>
      </c>
      <c r="O79" s="1173">
        <f>BK$14</f>
        <v>0</v>
      </c>
      <c r="P79" s="705">
        <f t="shared" si="20"/>
        <v>0</v>
      </c>
      <c r="Q79" s="1173">
        <f>CV$14</f>
        <v>0</v>
      </c>
      <c r="R79" s="705">
        <f t="shared" si="21"/>
        <v>0</v>
      </c>
      <c r="S79" s="825">
        <f t="shared" si="22"/>
        <v>0</v>
      </c>
      <c r="T79" s="825">
        <f t="shared" si="23"/>
        <v>0</v>
      </c>
      <c r="U79" s="847">
        <f t="shared" si="24"/>
        <v>0</v>
      </c>
      <c r="V79" s="833">
        <f t="shared" si="25"/>
        <v>2400788</v>
      </c>
      <c r="W79" s="833">
        <f t="shared" si="26"/>
        <v>2520827.4</v>
      </c>
      <c r="X79" s="705">
        <f t="shared" si="27"/>
        <v>2500000</v>
      </c>
      <c r="Y79" s="832">
        <f t="shared" si="28"/>
        <v>2500000</v>
      </c>
      <c r="AA79" s="705">
        <f>N$43*X79/1000</f>
        <v>1375000</v>
      </c>
      <c r="AB79" s="825">
        <f t="shared" si="29"/>
        <v>6995000</v>
      </c>
      <c r="AC79" s="825">
        <f t="shared" si="30"/>
        <v>6995000</v>
      </c>
      <c r="AD79" s="705">
        <f>IF(Main!$L$10="YES",Main!$N$10+AC79,AC79)</f>
        <v>6995000</v>
      </c>
      <c r="AE79" s="705">
        <f>IF(AND((Main!$E$9&gt;=18),(Main!$J$10="YES")),$Z$54+AD79,AD79)</f>
        <v>9495000</v>
      </c>
      <c r="AN79" s="848">
        <v>20</v>
      </c>
      <c r="AO79" s="846"/>
      <c r="AP79" s="848">
        <f t="shared" si="31"/>
        <v>0</v>
      </c>
      <c r="AQ79" s="848">
        <f t="shared" si="32"/>
        <v>1950000</v>
      </c>
      <c r="AR79" s="848">
        <f t="shared" si="33"/>
        <v>1950000</v>
      </c>
      <c r="AT79" s="848">
        <f t="shared" si="34"/>
        <v>1950000</v>
      </c>
      <c r="AU79" s="845">
        <v>0.8</v>
      </c>
      <c r="AV79" s="705">
        <f t="shared" si="35"/>
        <v>2980720</v>
      </c>
      <c r="AW79" s="845">
        <v>0.35</v>
      </c>
      <c r="AX79" s="705">
        <f t="shared" si="36"/>
        <v>682500</v>
      </c>
      <c r="AY79" s="848"/>
      <c r="BA79" s="825"/>
      <c r="BD79" s="705">
        <f t="shared" si="39"/>
        <v>3725900</v>
      </c>
      <c r="BE79" s="833">
        <f t="shared" si="40"/>
        <v>3912195</v>
      </c>
      <c r="BF79" s="705">
        <f t="shared" si="41"/>
        <v>3125000</v>
      </c>
      <c r="BG79" s="705">
        <f t="shared" si="42"/>
        <v>2500000</v>
      </c>
      <c r="BI79" s="705">
        <f t="shared" si="48"/>
        <v>100000</v>
      </c>
      <c r="BJ79" s="848">
        <f t="shared" si="43"/>
        <v>5175000</v>
      </c>
      <c r="BK79" s="825">
        <f t="shared" si="44"/>
        <v>5175000</v>
      </c>
      <c r="BL79" s="705">
        <f>IF(Main!$L$10="YES",Main!$N$10+BK79,BK79)</f>
        <v>5175000</v>
      </c>
      <c r="BM79" s="705">
        <f>IF(AND((Main!$E$9&gt;=18),(Main!$J$10="YES")),BG79+BL79,BL79)</f>
        <v>7675000</v>
      </c>
      <c r="BQ79" s="843">
        <v>27</v>
      </c>
      <c r="CF79" s="705">
        <f>AD79</f>
        <v>6995000</v>
      </c>
      <c r="CG79" s="705">
        <f>-DAT!$AY$5</f>
        <v>-96972</v>
      </c>
      <c r="CH79" s="705">
        <f>-DAT!$AY$5</f>
        <v>-96972</v>
      </c>
      <c r="CI79" s="705">
        <f>-DAT!$AY$5</f>
        <v>-96972</v>
      </c>
      <c r="CJ79" s="705">
        <f>-DAT!$AY$5</f>
        <v>-96972</v>
      </c>
      <c r="CK79" s="705">
        <f>-DAT!$AY$5</f>
        <v>-96972</v>
      </c>
      <c r="CL79" s="705">
        <f>-DAT!$AY$5</f>
        <v>-96972</v>
      </c>
      <c r="CM79" s="705">
        <f>-DAT!$AY$5</f>
        <v>-96972</v>
      </c>
      <c r="CN79" s="705">
        <f>-DAT!$AY$5</f>
        <v>-96972</v>
      </c>
      <c r="CO79" s="705">
        <f>-DAT!$AY$5</f>
        <v>-96972</v>
      </c>
    </row>
    <row r="80" spans="2:93">
      <c r="I80" s="843">
        <v>27</v>
      </c>
      <c r="J80" s="846">
        <f>AB$14</f>
        <v>0</v>
      </c>
      <c r="K80" s="705">
        <f t="shared" si="16"/>
        <v>2700000</v>
      </c>
      <c r="L80" s="705">
        <f t="shared" si="17"/>
        <v>3240000</v>
      </c>
      <c r="M80" s="825">
        <f t="shared" si="18"/>
        <v>5940000</v>
      </c>
      <c r="N80" s="829">
        <f t="shared" si="19"/>
        <v>0</v>
      </c>
      <c r="O80" s="1173">
        <f>BL$14</f>
        <v>0</v>
      </c>
      <c r="P80" s="705">
        <f t="shared" si="20"/>
        <v>0</v>
      </c>
      <c r="Q80" s="1173">
        <f>CW$14</f>
        <v>0</v>
      </c>
      <c r="R80" s="705">
        <f t="shared" si="21"/>
        <v>0</v>
      </c>
      <c r="S80" s="825">
        <f t="shared" si="22"/>
        <v>0</v>
      </c>
      <c r="T80" s="825">
        <f t="shared" si="23"/>
        <v>0</v>
      </c>
      <c r="U80" s="847">
        <f t="shared" si="24"/>
        <v>0</v>
      </c>
      <c r="V80" s="833">
        <f t="shared" si="25"/>
        <v>2493126</v>
      </c>
      <c r="W80" s="833">
        <f t="shared" si="26"/>
        <v>2617782.2999999998</v>
      </c>
      <c r="X80" s="705">
        <f t="shared" si="27"/>
        <v>2500000</v>
      </c>
      <c r="Y80" s="832">
        <f t="shared" si="28"/>
        <v>2500000</v>
      </c>
      <c r="AA80" s="705">
        <f>O$43*X80/1000</f>
        <v>1675000</v>
      </c>
      <c r="AB80" s="825">
        <f t="shared" si="29"/>
        <v>7415000</v>
      </c>
      <c r="AC80" s="825">
        <f t="shared" si="30"/>
        <v>7415000</v>
      </c>
      <c r="AD80" s="705">
        <f>IF(Main!$L$10="YES",Main!$N$10+AC80,AC80)</f>
        <v>7415000</v>
      </c>
      <c r="AE80" s="705">
        <f>IF(AND((Main!$E$9&gt;=18),(Main!$J$10="YES")),$Z$54+AD80,AD80)</f>
        <v>9915000</v>
      </c>
      <c r="AN80" s="848"/>
      <c r="AO80" s="848"/>
      <c r="BQ80" s="843">
        <v>28</v>
      </c>
      <c r="CG80" s="705">
        <f>AD80</f>
        <v>7415000</v>
      </c>
      <c r="CH80" s="705">
        <f>-DAT!$AY$5</f>
        <v>-96972</v>
      </c>
      <c r="CI80" s="705">
        <f>-DAT!$AY$5</f>
        <v>-96972</v>
      </c>
      <c r="CJ80" s="705">
        <f>-DAT!$AY$5</f>
        <v>-96972</v>
      </c>
      <c r="CK80" s="705">
        <f>-DAT!$AY$5</f>
        <v>-96972</v>
      </c>
      <c r="CL80" s="705">
        <f>-DAT!$AY$5</f>
        <v>-96972</v>
      </c>
      <c r="CM80" s="705">
        <f>-DAT!$AY$5</f>
        <v>-96972</v>
      </c>
      <c r="CN80" s="705">
        <f>-DAT!$AY$5</f>
        <v>-96972</v>
      </c>
      <c r="CO80" s="705">
        <f>-DAT!$AY$5</f>
        <v>-96972</v>
      </c>
    </row>
    <row r="81" spans="2:93">
      <c r="I81" s="843">
        <v>28</v>
      </c>
      <c r="J81" s="846">
        <f>AC$14</f>
        <v>0</v>
      </c>
      <c r="K81" s="705">
        <f t="shared" si="16"/>
        <v>2800000</v>
      </c>
      <c r="L81" s="705">
        <f t="shared" si="17"/>
        <v>3360000</v>
      </c>
      <c r="M81" s="825">
        <f t="shared" si="18"/>
        <v>6160000</v>
      </c>
      <c r="N81" s="829">
        <f t="shared" si="19"/>
        <v>0</v>
      </c>
      <c r="O81" s="1173">
        <f>BM$14</f>
        <v>0</v>
      </c>
      <c r="P81" s="705">
        <f t="shared" si="20"/>
        <v>0</v>
      </c>
      <c r="Q81" s="1173">
        <f>CX$14</f>
        <v>0</v>
      </c>
      <c r="R81" s="705">
        <f t="shared" si="21"/>
        <v>0</v>
      </c>
      <c r="S81" s="825">
        <f t="shared" si="22"/>
        <v>0</v>
      </c>
      <c r="T81" s="825">
        <f t="shared" si="23"/>
        <v>0</v>
      </c>
      <c r="U81" s="847">
        <f t="shared" si="24"/>
        <v>0</v>
      </c>
      <c r="V81" s="833">
        <f t="shared" si="25"/>
        <v>2585464</v>
      </c>
      <c r="W81" s="833">
        <f t="shared" si="26"/>
        <v>2714737.2</v>
      </c>
      <c r="X81" s="705">
        <f t="shared" si="27"/>
        <v>2500000</v>
      </c>
      <c r="Y81" s="832">
        <f t="shared" si="28"/>
        <v>2500000</v>
      </c>
      <c r="AA81" s="705">
        <f>P$43*X81/1000</f>
        <v>1975000</v>
      </c>
      <c r="AB81" s="825">
        <f t="shared" si="29"/>
        <v>7835000</v>
      </c>
      <c r="AC81" s="825">
        <f t="shared" si="30"/>
        <v>7835000</v>
      </c>
      <c r="AD81" s="705">
        <f>IF(Main!$L$10="YES",Main!$N$10+AC81,AC81)</f>
        <v>7835000</v>
      </c>
      <c r="AE81" s="705">
        <f>IF(AND((Main!$E$9&gt;=18),(Main!$J$10="YES")),$Z$54+AD81,AD81)</f>
        <v>10335000</v>
      </c>
      <c r="AN81" s="848"/>
      <c r="AO81" s="848"/>
      <c r="BQ81" s="843">
        <v>29</v>
      </c>
      <c r="CH81" s="705">
        <f>AD81</f>
        <v>7835000</v>
      </c>
      <c r="CI81" s="705">
        <f>-DAT!$AY$5</f>
        <v>-96972</v>
      </c>
      <c r="CJ81" s="705">
        <f>-DAT!$AY$5</f>
        <v>-96972</v>
      </c>
      <c r="CK81" s="705">
        <f>-DAT!$AY$5</f>
        <v>-96972</v>
      </c>
      <c r="CL81" s="705">
        <f>-DAT!$AY$5</f>
        <v>-96972</v>
      </c>
      <c r="CM81" s="705">
        <f>-DAT!$AY$5</f>
        <v>-96972</v>
      </c>
      <c r="CN81" s="705">
        <f>-DAT!$AY$5</f>
        <v>-96972</v>
      </c>
      <c r="CO81" s="705">
        <f>-DAT!$AY$5</f>
        <v>-96972</v>
      </c>
    </row>
    <row r="82" spans="2:93">
      <c r="I82" s="843">
        <v>29</v>
      </c>
      <c r="J82" s="846">
        <f>AD$14</f>
        <v>0</v>
      </c>
      <c r="K82" s="705">
        <f t="shared" si="16"/>
        <v>2900000</v>
      </c>
      <c r="L82" s="705">
        <f t="shared" si="17"/>
        <v>3480000</v>
      </c>
      <c r="M82" s="825">
        <f t="shared" si="18"/>
        <v>6380000</v>
      </c>
      <c r="N82" s="829">
        <f t="shared" si="19"/>
        <v>0</v>
      </c>
      <c r="O82" s="1173">
        <f>BN$14</f>
        <v>0</v>
      </c>
      <c r="P82" s="705">
        <f t="shared" si="20"/>
        <v>0</v>
      </c>
      <c r="Q82" s="1173">
        <f>CY$14</f>
        <v>0</v>
      </c>
      <c r="R82" s="705">
        <f t="shared" si="21"/>
        <v>0</v>
      </c>
      <c r="S82" s="825">
        <f t="shared" si="22"/>
        <v>0</v>
      </c>
      <c r="T82" s="825">
        <f t="shared" si="23"/>
        <v>0</v>
      </c>
      <c r="U82" s="847">
        <f t="shared" si="24"/>
        <v>0</v>
      </c>
      <c r="V82" s="833">
        <f t="shared" si="25"/>
        <v>2677802</v>
      </c>
      <c r="W82" s="833">
        <f t="shared" si="26"/>
        <v>2811692.1</v>
      </c>
      <c r="X82" s="705">
        <f t="shared" si="27"/>
        <v>2500000</v>
      </c>
      <c r="Y82" s="832">
        <f t="shared" si="28"/>
        <v>2500000</v>
      </c>
      <c r="AA82" s="705">
        <f>Q$43*X82/1000</f>
        <v>2275000</v>
      </c>
      <c r="AB82" s="825">
        <f t="shared" si="29"/>
        <v>8255000</v>
      </c>
      <c r="AC82" s="825">
        <f t="shared" si="30"/>
        <v>8255000</v>
      </c>
      <c r="AD82" s="705">
        <f>IF(Main!$L$10="YES",Main!$N$10+AC82,AC82)</f>
        <v>8255000</v>
      </c>
      <c r="AE82" s="705">
        <f>IF(AND((Main!$E$9&gt;=18),(Main!$J$10="YES")),$Z$54+AD82,AD82)</f>
        <v>10755000</v>
      </c>
      <c r="AN82" s="848"/>
      <c r="AO82" s="848"/>
      <c r="AR82" s="705">
        <f>$B$52*40%</f>
        <v>1000000</v>
      </c>
      <c r="BQ82" s="843">
        <v>30</v>
      </c>
      <c r="CI82" s="705">
        <f>AD82</f>
        <v>8255000</v>
      </c>
      <c r="CJ82" s="705">
        <f>-DAT!$AY$5</f>
        <v>-96972</v>
      </c>
      <c r="CK82" s="705">
        <f>-DAT!$AY$5</f>
        <v>-96972</v>
      </c>
      <c r="CL82" s="705">
        <f>-DAT!$AY$5</f>
        <v>-96972</v>
      </c>
      <c r="CM82" s="705">
        <f>-DAT!$AY$5</f>
        <v>-96972</v>
      </c>
      <c r="CN82" s="705">
        <f>-DAT!$AY$5</f>
        <v>-96972</v>
      </c>
      <c r="CO82" s="705">
        <f>-DAT!$AY$5</f>
        <v>-96972</v>
      </c>
    </row>
    <row r="83" spans="2:93">
      <c r="I83" s="843">
        <v>30</v>
      </c>
      <c r="J83" s="846">
        <f>AE$14</f>
        <v>0</v>
      </c>
      <c r="K83" s="705">
        <f t="shared" si="16"/>
        <v>3000000</v>
      </c>
      <c r="L83" s="705">
        <f t="shared" si="17"/>
        <v>3600000</v>
      </c>
      <c r="M83" s="825">
        <f t="shared" si="18"/>
        <v>6600000</v>
      </c>
      <c r="N83" s="829">
        <f t="shared" si="19"/>
        <v>0</v>
      </c>
      <c r="O83" s="1173">
        <f>BO$14</f>
        <v>0</v>
      </c>
      <c r="P83" s="705">
        <f t="shared" si="20"/>
        <v>0</v>
      </c>
      <c r="Q83" s="1173">
        <f>CZ$14</f>
        <v>0</v>
      </c>
      <c r="R83" s="705">
        <f t="shared" si="21"/>
        <v>0</v>
      </c>
      <c r="S83" s="825">
        <f t="shared" si="22"/>
        <v>0</v>
      </c>
      <c r="T83" s="825">
        <f t="shared" si="23"/>
        <v>0</v>
      </c>
      <c r="U83" s="847">
        <f t="shared" si="24"/>
        <v>0</v>
      </c>
      <c r="V83" s="833">
        <f t="shared" si="25"/>
        <v>2770140</v>
      </c>
      <c r="W83" s="833">
        <f t="shared" si="26"/>
        <v>2908647</v>
      </c>
      <c r="X83" s="705">
        <f t="shared" si="27"/>
        <v>2500000</v>
      </c>
      <c r="Y83" s="832">
        <f t="shared" si="28"/>
        <v>2500000</v>
      </c>
      <c r="AA83" s="705">
        <f>R$43*X83/1000</f>
        <v>2750000</v>
      </c>
      <c r="AB83" s="825">
        <f t="shared" si="29"/>
        <v>8850000</v>
      </c>
      <c r="AC83" s="825">
        <f t="shared" si="30"/>
        <v>8850000</v>
      </c>
      <c r="AD83" s="705">
        <f>IF(Main!$L$10="YES",Main!$N$10+AC83,AC83)</f>
        <v>8850000</v>
      </c>
      <c r="AE83" s="705">
        <f>IF(AND((Main!$E$9&gt;=18),(Main!$J$10="YES")),$Z$54+AD83,AD83)</f>
        <v>11350000</v>
      </c>
      <c r="AN83" s="848"/>
      <c r="AO83" s="848"/>
      <c r="AR83" s="705">
        <f>(((($B$52/1000)*39)*20)+BI79)</f>
        <v>2050000</v>
      </c>
      <c r="BQ83" s="843">
        <v>31</v>
      </c>
      <c r="CJ83" s="705">
        <f>AD83</f>
        <v>8850000</v>
      </c>
      <c r="CK83" s="705">
        <f>-DAT!$AY$5</f>
        <v>-96972</v>
      </c>
      <c r="CL83" s="705">
        <f>-DAT!$AY$5</f>
        <v>-96972</v>
      </c>
      <c r="CM83" s="705">
        <f>-DAT!$AY$5</f>
        <v>-96972</v>
      </c>
      <c r="CN83" s="705">
        <f>-DAT!$AY$5</f>
        <v>-96972</v>
      </c>
      <c r="CO83" s="705">
        <f>-DAT!$AY$5</f>
        <v>-96972</v>
      </c>
    </row>
    <row r="84" spans="2:93">
      <c r="I84" s="843">
        <v>31</v>
      </c>
      <c r="J84" s="846">
        <f>AF$14</f>
        <v>0</v>
      </c>
      <c r="K84" s="705">
        <f t="shared" si="16"/>
        <v>3100000</v>
      </c>
      <c r="L84" s="705">
        <f t="shared" si="17"/>
        <v>3720000</v>
      </c>
      <c r="M84" s="825">
        <f t="shared" si="18"/>
        <v>6820000</v>
      </c>
      <c r="N84" s="829">
        <f t="shared" si="19"/>
        <v>0</v>
      </c>
      <c r="O84" s="1173">
        <f>BP$14</f>
        <v>0</v>
      </c>
      <c r="P84" s="705">
        <f t="shared" si="20"/>
        <v>0</v>
      </c>
      <c r="Q84" s="1173">
        <f>DA$14</f>
        <v>0</v>
      </c>
      <c r="R84" s="705">
        <f t="shared" si="21"/>
        <v>0</v>
      </c>
      <c r="S84" s="825">
        <f t="shared" si="22"/>
        <v>0</v>
      </c>
      <c r="T84" s="825">
        <f t="shared" si="23"/>
        <v>0</v>
      </c>
      <c r="U84" s="847">
        <f t="shared" si="24"/>
        <v>0</v>
      </c>
      <c r="V84" s="833">
        <f t="shared" si="25"/>
        <v>2862478</v>
      </c>
      <c r="W84" s="833">
        <f t="shared" si="26"/>
        <v>3005601.9</v>
      </c>
      <c r="X84" s="705">
        <f t="shared" si="27"/>
        <v>2500000</v>
      </c>
      <c r="Y84" s="832">
        <f t="shared" si="28"/>
        <v>2500000</v>
      </c>
      <c r="AA84" s="705">
        <f>S$43*X84/1000</f>
        <v>3250000</v>
      </c>
      <c r="AB84" s="825">
        <f t="shared" si="29"/>
        <v>9470000</v>
      </c>
      <c r="AC84" s="825">
        <f t="shared" si="30"/>
        <v>9470000</v>
      </c>
      <c r="AD84" s="705">
        <f>IF(Main!$L$10="YES",Main!$N$10+AC84,AC84)</f>
        <v>9470000</v>
      </c>
      <c r="AE84" s="705">
        <f>IF(AND((Main!$E$9&gt;=18),(Main!$J$10="YES")),$Z$54+AD84,AD84)</f>
        <v>11970000</v>
      </c>
      <c r="AN84" s="848"/>
      <c r="AO84" s="848"/>
      <c r="AR84" s="705">
        <f>AR82+AR83</f>
        <v>3050000</v>
      </c>
      <c r="BQ84" s="843">
        <v>32</v>
      </c>
      <c r="CK84" s="705">
        <f>AD84</f>
        <v>9470000</v>
      </c>
      <c r="CL84" s="705">
        <f>-DAT!$AY$5</f>
        <v>-96972</v>
      </c>
      <c r="CM84" s="705">
        <f>-DAT!$AY$5</f>
        <v>-96972</v>
      </c>
      <c r="CN84" s="705">
        <f>-DAT!$AY$5</f>
        <v>-96972</v>
      </c>
      <c r="CO84" s="705">
        <f>-DAT!$AY$5</f>
        <v>-96972</v>
      </c>
    </row>
    <row r="85" spans="2:93">
      <c r="I85" s="843">
        <v>32</v>
      </c>
      <c r="J85" s="846">
        <f>AG$14</f>
        <v>0</v>
      </c>
      <c r="K85" s="705">
        <f t="shared" si="16"/>
        <v>3200000</v>
      </c>
      <c r="L85" s="705">
        <f t="shared" si="17"/>
        <v>3840000</v>
      </c>
      <c r="M85" s="825">
        <f t="shared" si="18"/>
        <v>7040000</v>
      </c>
      <c r="N85" s="829">
        <f t="shared" si="19"/>
        <v>0</v>
      </c>
      <c r="O85" s="1173">
        <f>BQ$14</f>
        <v>0</v>
      </c>
      <c r="P85" s="705">
        <f t="shared" si="20"/>
        <v>0</v>
      </c>
      <c r="Q85" s="1173">
        <f>DB$14</f>
        <v>0</v>
      </c>
      <c r="R85" s="705">
        <f t="shared" si="21"/>
        <v>0</v>
      </c>
      <c r="S85" s="825">
        <f t="shared" si="22"/>
        <v>0</v>
      </c>
      <c r="T85" s="825">
        <f t="shared" si="23"/>
        <v>0</v>
      </c>
      <c r="U85" s="847">
        <f t="shared" si="24"/>
        <v>0</v>
      </c>
      <c r="V85" s="833">
        <f t="shared" si="25"/>
        <v>2954816</v>
      </c>
      <c r="W85" s="833">
        <f t="shared" si="26"/>
        <v>3102556.8</v>
      </c>
      <c r="X85" s="705">
        <f t="shared" si="27"/>
        <v>2500000</v>
      </c>
      <c r="Y85" s="832">
        <f t="shared" si="28"/>
        <v>2500000</v>
      </c>
      <c r="AA85" s="705">
        <f>T$43*X85/1000</f>
        <v>3875000</v>
      </c>
      <c r="AB85" s="825">
        <f t="shared" si="29"/>
        <v>10215000</v>
      </c>
      <c r="AC85" s="825">
        <f t="shared" si="30"/>
        <v>10215000</v>
      </c>
      <c r="AD85" s="705">
        <f>IF(Main!$L$10="YES",Main!$N$10+AC85,AC85)</f>
        <v>10215000</v>
      </c>
      <c r="AE85" s="705">
        <f>IF(AND((Main!$E$9&gt;=18),(Main!$J$10="YES")),$Z$54+AD85,AD85)</f>
        <v>12715000</v>
      </c>
      <c r="AN85" s="848"/>
      <c r="AO85" s="848"/>
      <c r="BQ85" s="843">
        <v>33</v>
      </c>
      <c r="CL85" s="705">
        <f>AD85</f>
        <v>10215000</v>
      </c>
      <c r="CM85" s="705">
        <f>-DAT!$AY$5</f>
        <v>-96972</v>
      </c>
      <c r="CN85" s="705">
        <f>-DAT!$AY$5</f>
        <v>-96972</v>
      </c>
      <c r="CO85" s="705">
        <f>-DAT!$AY$5</f>
        <v>-96972</v>
      </c>
    </row>
    <row r="86" spans="2:93">
      <c r="I86" s="843">
        <v>33</v>
      </c>
      <c r="J86" s="846">
        <f>AH$14</f>
        <v>0</v>
      </c>
      <c r="K86" s="705">
        <f t="shared" si="16"/>
        <v>3300000</v>
      </c>
      <c r="L86" s="705">
        <f t="shared" si="17"/>
        <v>3960000</v>
      </c>
      <c r="M86" s="825">
        <f t="shared" si="18"/>
        <v>7260000</v>
      </c>
      <c r="N86" s="829">
        <f t="shared" si="19"/>
        <v>0</v>
      </c>
      <c r="O86" s="1173">
        <f>BR$14</f>
        <v>0</v>
      </c>
      <c r="P86" s="705">
        <f t="shared" si="20"/>
        <v>0</v>
      </c>
      <c r="Q86" s="1173">
        <f>DC$14</f>
        <v>0</v>
      </c>
      <c r="R86" s="705">
        <f t="shared" si="21"/>
        <v>0</v>
      </c>
      <c r="S86" s="825">
        <f t="shared" si="22"/>
        <v>0</v>
      </c>
      <c r="T86" s="825">
        <f t="shared" si="23"/>
        <v>0</v>
      </c>
      <c r="U86" s="847">
        <f t="shared" si="24"/>
        <v>0</v>
      </c>
      <c r="V86" s="833">
        <f t="shared" si="25"/>
        <v>3047154</v>
      </c>
      <c r="W86" s="833">
        <f t="shared" si="26"/>
        <v>3199511.7</v>
      </c>
      <c r="X86" s="705">
        <f t="shared" si="27"/>
        <v>2500000</v>
      </c>
      <c r="Y86" s="832">
        <f t="shared" si="28"/>
        <v>2500000</v>
      </c>
      <c r="AA86" s="705">
        <f>U$43*X86/1000</f>
        <v>4500000</v>
      </c>
      <c r="AB86" s="825">
        <f t="shared" si="29"/>
        <v>10960000</v>
      </c>
      <c r="AC86" s="825">
        <f t="shared" si="30"/>
        <v>10960000</v>
      </c>
      <c r="AD86" s="705">
        <f>IF(Main!$L$10="YES",Main!$N$10+AC86,AC86)</f>
        <v>10960000</v>
      </c>
      <c r="AE86" s="705">
        <f>IF(AND((Main!$E$9&gt;=18),(Main!$J$10="YES")),$Z$54+AD86,AD86)</f>
        <v>13460000</v>
      </c>
      <c r="AN86" s="848"/>
      <c r="AO86" s="848"/>
      <c r="BQ86" s="843">
        <v>34</v>
      </c>
      <c r="CM86" s="705">
        <f>AD86</f>
        <v>10960000</v>
      </c>
      <c r="CN86" s="705">
        <f>-DAT!$AY$5</f>
        <v>-96972</v>
      </c>
      <c r="CO86" s="705">
        <f>-DAT!$AY$5</f>
        <v>-96972</v>
      </c>
    </row>
    <row r="87" spans="2:93">
      <c r="I87" s="843">
        <v>34</v>
      </c>
      <c r="J87" s="846">
        <f>AI$14</f>
        <v>0</v>
      </c>
      <c r="K87" s="705">
        <f t="shared" si="16"/>
        <v>3400000</v>
      </c>
      <c r="L87" s="705">
        <f t="shared" si="17"/>
        <v>4080000</v>
      </c>
      <c r="M87" s="825">
        <f t="shared" si="18"/>
        <v>7480000</v>
      </c>
      <c r="N87" s="829">
        <f t="shared" si="19"/>
        <v>0</v>
      </c>
      <c r="O87" s="1173">
        <f>BS$14</f>
        <v>0</v>
      </c>
      <c r="P87" s="705">
        <f t="shared" si="20"/>
        <v>0</v>
      </c>
      <c r="Q87" s="1173">
        <f>DD$14</f>
        <v>0</v>
      </c>
      <c r="R87" s="705">
        <f t="shared" si="21"/>
        <v>0</v>
      </c>
      <c r="S87" s="825">
        <f t="shared" si="22"/>
        <v>0</v>
      </c>
      <c r="T87" s="825">
        <f t="shared" si="23"/>
        <v>0</v>
      </c>
      <c r="U87" s="847">
        <f t="shared" si="24"/>
        <v>0</v>
      </c>
      <c r="V87" s="833">
        <f t="shared" si="25"/>
        <v>3139492</v>
      </c>
      <c r="W87" s="833">
        <f t="shared" si="26"/>
        <v>3296466.6</v>
      </c>
      <c r="X87" s="705">
        <f t="shared" si="27"/>
        <v>2500000</v>
      </c>
      <c r="Y87" s="832">
        <f t="shared" si="28"/>
        <v>2500000</v>
      </c>
      <c r="AA87" s="705">
        <f>V$43*X87/1000</f>
        <v>5125000</v>
      </c>
      <c r="AB87" s="825">
        <f t="shared" si="29"/>
        <v>11705000</v>
      </c>
      <c r="AC87" s="825">
        <f t="shared" si="30"/>
        <v>11705000</v>
      </c>
      <c r="AD87" s="705">
        <f>IF(Main!$L$10="YES",Main!$N$10+AC87,AC87)</f>
        <v>11705000</v>
      </c>
      <c r="AE87" s="705">
        <f>IF(AND((Main!$E$9&gt;=18),(Main!$J$10="YES")),$Z$54+AD87,AD87)</f>
        <v>14205000</v>
      </c>
      <c r="AN87" s="848"/>
      <c r="AO87" s="848"/>
      <c r="BQ87" s="843">
        <v>35</v>
      </c>
      <c r="CN87" s="705">
        <f>AD87</f>
        <v>11705000</v>
      </c>
      <c r="CO87" s="705">
        <f>-DAT!$AY$5</f>
        <v>-96972</v>
      </c>
    </row>
    <row r="88" spans="2:93">
      <c r="I88" s="843">
        <v>35</v>
      </c>
      <c r="K88" s="705">
        <f t="shared" si="16"/>
        <v>3500000</v>
      </c>
      <c r="L88" s="705">
        <f t="shared" si="17"/>
        <v>4200000</v>
      </c>
      <c r="M88" s="825">
        <f t="shared" si="18"/>
        <v>7700000</v>
      </c>
      <c r="V88" s="833">
        <f t="shared" si="25"/>
        <v>3231830</v>
      </c>
      <c r="W88" s="833">
        <f t="shared" si="26"/>
        <v>3393421.5</v>
      </c>
      <c r="X88" s="705">
        <f t="shared" si="27"/>
        <v>2500000</v>
      </c>
      <c r="Y88" s="832">
        <f t="shared" si="28"/>
        <v>2500000</v>
      </c>
      <c r="AA88" s="705">
        <f>W$43*X88/1000</f>
        <v>5750000</v>
      </c>
      <c r="AB88" s="825">
        <f t="shared" si="29"/>
        <v>12450000</v>
      </c>
      <c r="AC88" s="825">
        <f t="shared" si="30"/>
        <v>12450000</v>
      </c>
      <c r="AD88" s="705">
        <f>IF(Main!$L$10="YES",Main!$N$10+AC88,AC88)</f>
        <v>12450000</v>
      </c>
      <c r="AE88" s="705">
        <f>IF(AND((Main!$E$9&gt;=18),(Main!$J$10="YES")),$Z$54+AD88,AD88)</f>
        <v>14950000</v>
      </c>
      <c r="AN88" s="848"/>
      <c r="AO88" s="848"/>
      <c r="CO88" s="705">
        <f>AD88</f>
        <v>12450000</v>
      </c>
    </row>
    <row r="89" spans="2:93">
      <c r="I89" s="843"/>
      <c r="M89" s="825"/>
      <c r="V89" s="833"/>
      <c r="W89" s="833"/>
      <c r="Y89" s="832"/>
      <c r="AB89" s="825"/>
      <c r="AC89" s="825"/>
      <c r="AN89" s="848"/>
      <c r="AO89" s="848"/>
    </row>
    <row r="90" spans="2:93">
      <c r="X90" s="705">
        <f>$B$52</f>
        <v>2500000</v>
      </c>
      <c r="AN90" s="848"/>
      <c r="AO90" s="848"/>
    </row>
    <row r="91" spans="2:93">
      <c r="X91" s="843">
        <f>X90*(125/100)</f>
        <v>3125000</v>
      </c>
      <c r="Y91" s="843">
        <f>IF((X91&gt;Z94),X91,Z94)</f>
        <v>3125000</v>
      </c>
      <c r="AN91" s="848"/>
      <c r="AO91" s="848"/>
      <c r="BR91" s="1170">
        <f>LOOKUP($C$52,BR93:CL93,BR92:CL92)</f>
        <v>6.1640607371845943E-2</v>
      </c>
      <c r="BW91" s="705">
        <v>815</v>
      </c>
    </row>
    <row r="92" spans="2:93">
      <c r="I92" s="705">
        <v>815</v>
      </c>
      <c r="Y92" s="1174">
        <f>IF((Main!J10="YES"),X90,0)</f>
        <v>2500000</v>
      </c>
      <c r="AN92" s="848">
        <v>821</v>
      </c>
      <c r="AO92" s="848"/>
      <c r="BR92" s="845">
        <f>IRR(BR94:BR109)</f>
        <v>0.15923017931487815</v>
      </c>
      <c r="BS92" s="845">
        <f>IRR(BS94:BS110)</f>
        <v>0.14245269527283558</v>
      </c>
      <c r="BT92" s="845">
        <f>IRR(BT94:BT111)</f>
        <v>0.12809797951204535</v>
      </c>
      <c r="BU92" s="845">
        <f>IRR(BU94:BU112)</f>
        <v>0.11569923585435153</v>
      </c>
      <c r="BV92" s="845">
        <f>IRR(BV94:BV113)</f>
        <v>0.10490029070869533</v>
      </c>
      <c r="BW92" s="845">
        <f>IRR(BW94:BW114)</f>
        <v>9.5424945138002648E-2</v>
      </c>
      <c r="BX92" s="845">
        <f>IRR(BX94:BX115)</f>
        <v>8.7055927023735255E-2</v>
      </c>
      <c r="BY92" s="845">
        <f>IRR(BY94:BY116)</f>
        <v>7.9620121627802659E-2</v>
      </c>
      <c r="BZ92" s="845">
        <f>IRR(BZ94:BZ117)</f>
        <v>7.2978007101684145E-2</v>
      </c>
      <c r="CA92" s="845">
        <f>IRR(CA94:CA118)</f>
        <v>6.7015966755779255E-2</v>
      </c>
      <c r="CB92" s="845">
        <f>IRR(CB94:CB119)</f>
        <v>6.1640607371845943E-2</v>
      </c>
      <c r="CC92" s="845">
        <f>IRR(CC94:CC120)</f>
        <v>5.6774500724899618E-2</v>
      </c>
      <c r="CD92" s="845">
        <f>IRR(CD94:CD121)</f>
        <v>5.2352950754538261E-2</v>
      </c>
      <c r="CE92" s="845">
        <f>IRR(CE94:CE122)</f>
        <v>4.8321510512446507E-2</v>
      </c>
      <c r="CF92" s="845">
        <f>IRR(CF94:CF123)</f>
        <v>4.4634054430566512E-2</v>
      </c>
      <c r="CG92" s="845" t="e">
        <f>IRR(CG94:CG124)</f>
        <v>#NUM!</v>
      </c>
      <c r="CH92" s="845" t="e">
        <f>IRR(CH94:CH125)</f>
        <v>#DIV/0!</v>
      </c>
      <c r="CI92" s="845" t="e">
        <f>IRR(CI94:CI126)</f>
        <v>#DIV/0!</v>
      </c>
      <c r="CJ92" s="845" t="e">
        <f>IRR(CJ94:CJ127)</f>
        <v>#DIV/0!</v>
      </c>
      <c r="CK92" s="845" t="e">
        <f>IRR(CK94:CK128)</f>
        <v>#DIV/0!</v>
      </c>
      <c r="CL92" s="845" t="e">
        <f>IRR(CL94:CL129)</f>
        <v>#DIV/0!</v>
      </c>
    </row>
    <row r="93" spans="2:93">
      <c r="L93" s="1172">
        <f>LOOKUP($C$52,$I94:$I127,L94:L127)</f>
        <v>3062500</v>
      </c>
      <c r="AA93" s="1172">
        <f>LOOKUP($C$52,$I94:$I127,AA94:AA127)</f>
        <v>1125000</v>
      </c>
      <c r="AB93" s="705">
        <f>($C$97)*($B$52/1000)</f>
        <v>122500</v>
      </c>
      <c r="AC93" s="705">
        <f>X94+AB93</f>
        <v>3247500</v>
      </c>
      <c r="AD93" s="705">
        <f>IF(Main!$L$10="YES",Main!$N$10+AC93,AC93)</f>
        <v>3247500</v>
      </c>
      <c r="AE93" s="705">
        <f>IF(AND((Main!$E$9&gt;=18),(Main!$J$10="YES")),$Y$94+AD93,AD93)</f>
        <v>5747500</v>
      </c>
      <c r="AN93" s="848"/>
      <c r="AO93" s="848"/>
      <c r="BR93" s="843">
        <v>15</v>
      </c>
      <c r="BS93" s="843">
        <v>16</v>
      </c>
      <c r="BT93" s="843">
        <v>17</v>
      </c>
      <c r="BU93" s="843">
        <v>18</v>
      </c>
      <c r="BV93" s="843">
        <v>19</v>
      </c>
      <c r="BW93" s="843">
        <v>20</v>
      </c>
      <c r="BX93" s="843">
        <v>21</v>
      </c>
      <c r="BY93" s="843">
        <v>22</v>
      </c>
      <c r="BZ93" s="843">
        <v>23</v>
      </c>
      <c r="CA93" s="843">
        <v>24</v>
      </c>
      <c r="CB93" s="843">
        <v>25</v>
      </c>
      <c r="CC93" s="843">
        <v>26</v>
      </c>
      <c r="CD93" s="843">
        <v>27</v>
      </c>
      <c r="CE93" s="843">
        <v>28</v>
      </c>
      <c r="CF93" s="843">
        <v>29</v>
      </c>
      <c r="CG93" s="843">
        <v>30</v>
      </c>
      <c r="CH93" s="843">
        <v>31</v>
      </c>
      <c r="CI93" s="843">
        <v>32</v>
      </c>
      <c r="CJ93" s="843">
        <v>33</v>
      </c>
      <c r="CK93" s="843">
        <v>34</v>
      </c>
      <c r="CL93" s="843">
        <v>35</v>
      </c>
    </row>
    <row r="94" spans="2:93">
      <c r="B94" s="846">
        <f>((DAT!E6*(100-DAT!F6)/100)-DAT!AA6)</f>
        <v>42.814999999999998</v>
      </c>
      <c r="C94" s="705">
        <f>ROUND(B94*B52/1000,0)</f>
        <v>107038</v>
      </c>
      <c r="I94" s="824">
        <v>2</v>
      </c>
      <c r="J94" s="846">
        <f>C$14</f>
        <v>18.45</v>
      </c>
      <c r="K94" s="705">
        <f t="shared" ref="K94:K127" si="49">$B$52*I94/$C$52</f>
        <v>200000</v>
      </c>
      <c r="L94" s="705">
        <f t="shared" ref="L94:L127" si="50">(I94*$C$97)*($B$52/1000)</f>
        <v>245000</v>
      </c>
      <c r="M94" s="825">
        <f t="shared" ref="M94:M127" si="51">K94+L94</f>
        <v>445000</v>
      </c>
      <c r="N94" s="829">
        <f t="shared" ref="N94:N126" si="52">ROUND((M94*J94/100),0)</f>
        <v>82103</v>
      </c>
      <c r="O94" s="1173">
        <f>AM$14</f>
        <v>0</v>
      </c>
      <c r="P94" s="705">
        <f t="shared" ref="P94:P126" si="53">ROUND(($C$94*I94)*O94,0)</f>
        <v>0</v>
      </c>
      <c r="Q94" s="1173">
        <f>BX$14</f>
        <v>0</v>
      </c>
      <c r="R94" s="705">
        <f t="shared" ref="R94:R126" si="54">ROUND(L94*Q94,0)</f>
        <v>0</v>
      </c>
      <c r="S94" s="825">
        <f t="shared" ref="S94:S126" si="55">P94+R94</f>
        <v>0</v>
      </c>
      <c r="T94" s="825">
        <f t="shared" ref="T94:T126" si="56">IF(S94&gt;N94,S94,N94)</f>
        <v>82103</v>
      </c>
      <c r="U94" s="847">
        <f t="shared" ref="U94:U126" si="57">ROUND((T94*($D$97/100)),-2)</f>
        <v>65700</v>
      </c>
      <c r="V94" s="705">
        <f t="shared" ref="V94:V127" si="58">$C$94*I94</f>
        <v>214076</v>
      </c>
      <c r="W94" s="833">
        <f t="shared" ref="W94:W127" si="59">V94*105/100</f>
        <v>224779.8</v>
      </c>
      <c r="X94" s="705">
        <f t="shared" ref="X94:X127" si="60">$Y$91</f>
        <v>3125000</v>
      </c>
      <c r="Y94" s="705">
        <f t="shared" ref="Y94:Y127" si="61">IF(($Y$92&gt;10000000),10000000,$Y$92)</f>
        <v>2500000</v>
      </c>
      <c r="Z94" s="705">
        <f>C94*10</f>
        <v>1070380</v>
      </c>
      <c r="AA94" s="843">
        <v>0</v>
      </c>
      <c r="AB94" s="705">
        <f t="shared" ref="AB94:AB127" si="62">X94+L94+AA94</f>
        <v>3370000</v>
      </c>
      <c r="AC94" s="825">
        <f t="shared" ref="AC94:AC127" si="63">IF((W94&gt;AB94),W94,AB94)</f>
        <v>3370000</v>
      </c>
      <c r="AD94" s="705">
        <f>IF(Main!$L$10="YES",Main!$N$10+AC94,AC94)</f>
        <v>3370000</v>
      </c>
      <c r="AE94" s="705">
        <f>IF(AND((Main!$E$9&gt;=18),(Main!$J$10="YES")),$Y$94+AD94,AD94)</f>
        <v>5870000</v>
      </c>
      <c r="AK94" s="1175" t="s">
        <v>182</v>
      </c>
      <c r="AL94" s="1175" t="s">
        <v>181</v>
      </c>
      <c r="AN94" s="848">
        <v>1</v>
      </c>
      <c r="AO94" s="846">
        <v>0</v>
      </c>
      <c r="AP94" s="848">
        <f t="shared" ref="AP94:AP118" si="64">((AN94/$AL$95)*$B$52)*(AO94/100)</f>
        <v>0</v>
      </c>
      <c r="AQ94" s="848">
        <f t="shared" ref="AQ94:AQ118" si="65">(($B$52/1000)*($AK$95*AN94))</f>
        <v>110000</v>
      </c>
      <c r="AR94" s="848">
        <f t="shared" ref="AR94:AR118" si="66">AQ94+AP94</f>
        <v>110000</v>
      </c>
      <c r="AS94" s="848">
        <v>0</v>
      </c>
      <c r="AT94" s="848">
        <f t="shared" ref="AT94:AT118" si="67">AR94-AS94</f>
        <v>110000</v>
      </c>
      <c r="AU94" s="849">
        <v>0</v>
      </c>
      <c r="AV94" s="705">
        <f t="shared" ref="AV94:AV118" si="68">ROUND(($AL$97*AN94)*AU94,0)</f>
        <v>0</v>
      </c>
      <c r="AW94" s="845">
        <v>0</v>
      </c>
      <c r="AX94" s="705">
        <f t="shared" ref="AX94:AX118" si="69">ROUND(AQ94*AW94,0)</f>
        <v>0</v>
      </c>
      <c r="AY94" s="848">
        <f t="shared" ref="AY94:AY118" si="70">AV94+AX94</f>
        <v>0</v>
      </c>
      <c r="AZ94" s="848">
        <v>0</v>
      </c>
      <c r="BA94" s="825">
        <f t="shared" ref="BA94:BA117" si="71">AY94-AZ94</f>
        <v>0</v>
      </c>
      <c r="BB94" s="847">
        <v>0</v>
      </c>
      <c r="BC94" s="847">
        <v>0</v>
      </c>
      <c r="BD94" s="705">
        <f t="shared" ref="BD94:BD118" si="72">$AL$97*AN94</f>
        <v>143053</v>
      </c>
      <c r="BE94" s="833">
        <f t="shared" ref="BE94:BE118" si="73">BD94*105/100</f>
        <v>150205.65</v>
      </c>
      <c r="BF94" s="705">
        <f t="shared" ref="BF94:BF118" si="74">$BG$56</f>
        <v>3125000</v>
      </c>
      <c r="BG94" s="705">
        <f t="shared" ref="BG94:BG118" si="75">IF(($BG$57&gt;10000000),10000000,$BG$57)</f>
        <v>2500000</v>
      </c>
      <c r="BH94" s="705">
        <f>AL97*10</f>
        <v>1430530</v>
      </c>
      <c r="BI94" s="843">
        <v>0</v>
      </c>
      <c r="BJ94" s="848">
        <f t="shared" ref="BJ94:BJ118" si="76">BI94+BF94+AQ94</f>
        <v>3235000</v>
      </c>
      <c r="BK94" s="825">
        <f t="shared" ref="BK94:BK118" si="77">IF((BE94&gt;BJ94),BE94,BJ94)</f>
        <v>3235000</v>
      </c>
      <c r="BL94" s="705">
        <f>IF(Main!$L$10="YES",Main!$N$10+BK94,BK94)</f>
        <v>3235000</v>
      </c>
      <c r="BM94" s="705">
        <f>IF(AND((Main!$E$9&gt;=18),(Main!$J$10="YES")),BG94+BL94,BL94)</f>
        <v>5735000</v>
      </c>
      <c r="BQ94" s="705">
        <v>1</v>
      </c>
      <c r="BR94" s="705">
        <f>-DAT!$AT$6</f>
        <v>-114467</v>
      </c>
      <c r="BS94" s="705">
        <f>-DAT!$AT$6</f>
        <v>-114467</v>
      </c>
      <c r="BT94" s="705">
        <f>-DAT!$AT$6</f>
        <v>-114467</v>
      </c>
      <c r="BU94" s="705">
        <f>-DAT!$AT$6</f>
        <v>-114467</v>
      </c>
      <c r="BV94" s="705">
        <f>-DAT!$AT$6</f>
        <v>-114467</v>
      </c>
      <c r="BW94" s="705">
        <f>-DAT!$AT$6</f>
        <v>-114467</v>
      </c>
      <c r="BX94" s="705">
        <f>-DAT!$AT$6</f>
        <v>-114467</v>
      </c>
      <c r="BY94" s="705">
        <f>-DAT!$AT$6</f>
        <v>-114467</v>
      </c>
      <c r="BZ94" s="705">
        <f>-DAT!$AT$6</f>
        <v>-114467</v>
      </c>
      <c r="CA94" s="705">
        <f>-DAT!$AT$6</f>
        <v>-114467</v>
      </c>
      <c r="CB94" s="705">
        <f>-DAT!$AT$6</f>
        <v>-114467</v>
      </c>
      <c r="CC94" s="705">
        <f>-DAT!$AT$6</f>
        <v>-114467</v>
      </c>
      <c r="CD94" s="705">
        <f>-DAT!$AT$6</f>
        <v>-114467</v>
      </c>
      <c r="CE94" s="705">
        <f>-DAT!$AT$6</f>
        <v>-114467</v>
      </c>
      <c r="CF94" s="705">
        <f>-DAT!$AT$6</f>
        <v>-114467</v>
      </c>
      <c r="CG94" s="705">
        <f>-DAT!$AT$6</f>
        <v>-114467</v>
      </c>
      <c r="CH94" s="705">
        <f>-DAT!$AT$6</f>
        <v>-114467</v>
      </c>
      <c r="CI94" s="705">
        <f>-DAT!$AT$6</f>
        <v>-114467</v>
      </c>
      <c r="CJ94" s="705">
        <f>-DAT!$AT$6</f>
        <v>-114467</v>
      </c>
      <c r="CK94" s="705">
        <f>-DAT!$AT$6</f>
        <v>-114467</v>
      </c>
      <c r="CL94" s="705">
        <f>-DAT!$AT$6</f>
        <v>-114467</v>
      </c>
    </row>
    <row r="95" spans="2:93">
      <c r="I95" s="824">
        <v>3</v>
      </c>
      <c r="J95" s="846">
        <f>D$14</f>
        <v>19.829999999999998</v>
      </c>
      <c r="K95" s="705">
        <f t="shared" si="49"/>
        <v>300000</v>
      </c>
      <c r="L95" s="705">
        <f t="shared" si="50"/>
        <v>367500</v>
      </c>
      <c r="M95" s="825">
        <f t="shared" si="51"/>
        <v>667500</v>
      </c>
      <c r="N95" s="829">
        <f t="shared" si="52"/>
        <v>132365</v>
      </c>
      <c r="O95" s="1173">
        <f>AN$14</f>
        <v>0.3</v>
      </c>
      <c r="P95" s="705">
        <f t="shared" si="53"/>
        <v>96334</v>
      </c>
      <c r="Q95" s="1173">
        <f>BY$14</f>
        <v>0.15279999999999999</v>
      </c>
      <c r="R95" s="705">
        <f t="shared" si="54"/>
        <v>56154</v>
      </c>
      <c r="S95" s="825">
        <f t="shared" si="55"/>
        <v>152488</v>
      </c>
      <c r="T95" s="825">
        <f t="shared" si="56"/>
        <v>152488</v>
      </c>
      <c r="U95" s="847">
        <f t="shared" si="57"/>
        <v>122000</v>
      </c>
      <c r="V95" s="705">
        <f t="shared" si="58"/>
        <v>321114</v>
      </c>
      <c r="W95" s="833">
        <f t="shared" si="59"/>
        <v>337169.7</v>
      </c>
      <c r="X95" s="705">
        <f t="shared" si="60"/>
        <v>3125000</v>
      </c>
      <c r="Y95" s="705">
        <f t="shared" si="61"/>
        <v>2500000</v>
      </c>
      <c r="AA95" s="843">
        <v>0</v>
      </c>
      <c r="AB95" s="705">
        <f t="shared" si="62"/>
        <v>3492500</v>
      </c>
      <c r="AC95" s="825">
        <f t="shared" si="63"/>
        <v>3492500</v>
      </c>
      <c r="AD95" s="705">
        <f>IF(Main!$L$10="YES",Main!$N$10+AC95,AC95)</f>
        <v>3492500</v>
      </c>
      <c r="AE95" s="705">
        <f>IF(AND((Main!$E$9&gt;=18),(Main!$J$10="YES")),$Y$94+AD95,AD95)</f>
        <v>5992500</v>
      </c>
      <c r="AK95" s="705">
        <v>44</v>
      </c>
      <c r="AL95" s="705">
        <v>20</v>
      </c>
      <c r="AN95" s="848">
        <v>2</v>
      </c>
      <c r="AO95" s="846">
        <v>0</v>
      </c>
      <c r="AP95" s="848">
        <f t="shared" si="64"/>
        <v>0</v>
      </c>
      <c r="AQ95" s="848">
        <f t="shared" si="65"/>
        <v>220000</v>
      </c>
      <c r="AR95" s="848">
        <f t="shared" si="66"/>
        <v>220000</v>
      </c>
      <c r="AS95" s="848">
        <v>0</v>
      </c>
      <c r="AT95" s="848">
        <f t="shared" si="67"/>
        <v>220000</v>
      </c>
      <c r="AU95" s="849">
        <v>0</v>
      </c>
      <c r="AV95" s="705">
        <f t="shared" si="68"/>
        <v>0</v>
      </c>
      <c r="AW95" s="845">
        <v>0</v>
      </c>
      <c r="AX95" s="705">
        <f t="shared" si="69"/>
        <v>0</v>
      </c>
      <c r="AY95" s="848">
        <f t="shared" si="70"/>
        <v>0</v>
      </c>
      <c r="AZ95" s="848">
        <v>0</v>
      </c>
      <c r="BA95" s="825">
        <f t="shared" si="71"/>
        <v>0</v>
      </c>
      <c r="BB95" s="847">
        <v>0</v>
      </c>
      <c r="BC95" s="847">
        <v>0</v>
      </c>
      <c r="BD95" s="705">
        <f t="shared" si="72"/>
        <v>286106</v>
      </c>
      <c r="BE95" s="833">
        <f t="shared" si="73"/>
        <v>300411.3</v>
      </c>
      <c r="BF95" s="705">
        <f t="shared" si="74"/>
        <v>3125000</v>
      </c>
      <c r="BG95" s="705">
        <f t="shared" si="75"/>
        <v>2500000</v>
      </c>
      <c r="BI95" s="843">
        <v>0</v>
      </c>
      <c r="BJ95" s="848">
        <f t="shared" si="76"/>
        <v>3345000</v>
      </c>
      <c r="BK95" s="825">
        <f t="shared" si="77"/>
        <v>3345000</v>
      </c>
      <c r="BL95" s="705">
        <f>IF(Main!$L$10="YES",Main!$N$10+BK95,BK95)</f>
        <v>3345000</v>
      </c>
      <c r="BM95" s="705">
        <f>IF(AND((Main!$E$9&gt;=18),(Main!$J$10="YES")),BG95+BL95,BL95)</f>
        <v>5845000</v>
      </c>
      <c r="BQ95" s="824">
        <v>2</v>
      </c>
      <c r="BR95" s="705">
        <f>-DAT!$AY$6</f>
        <v>-112003</v>
      </c>
      <c r="BS95" s="705">
        <f>-DAT!$AY$6</f>
        <v>-112003</v>
      </c>
      <c r="BT95" s="705">
        <f>-DAT!$AY$6</f>
        <v>-112003</v>
      </c>
      <c r="BU95" s="705">
        <f>-DAT!$AY$6</f>
        <v>-112003</v>
      </c>
      <c r="BV95" s="705">
        <f>-DAT!$AY$6</f>
        <v>-112003</v>
      </c>
      <c r="BW95" s="705">
        <f>-DAT!$AY$6</f>
        <v>-112003</v>
      </c>
      <c r="BX95" s="705">
        <f>-DAT!$AY$6</f>
        <v>-112003</v>
      </c>
      <c r="BY95" s="705">
        <f>-DAT!$AY$6</f>
        <v>-112003</v>
      </c>
      <c r="BZ95" s="705">
        <f>-DAT!$AY$6</f>
        <v>-112003</v>
      </c>
      <c r="CA95" s="705">
        <f>-DAT!$AY$6</f>
        <v>-112003</v>
      </c>
      <c r="CB95" s="705">
        <f>-DAT!$AY$6</f>
        <v>-112003</v>
      </c>
      <c r="CC95" s="705">
        <f>-DAT!$AY$6</f>
        <v>-112003</v>
      </c>
      <c r="CD95" s="705">
        <f>-DAT!$AY$6</f>
        <v>-112003</v>
      </c>
      <c r="CE95" s="705">
        <f>-DAT!$AY$6</f>
        <v>-112003</v>
      </c>
      <c r="CF95" s="705">
        <f>-DAT!$AY$6</f>
        <v>-112003</v>
      </c>
      <c r="CG95" s="705">
        <f>-DAT!$AY$6</f>
        <v>-112003</v>
      </c>
      <c r="CH95" s="705">
        <f>-DAT!$AY$6</f>
        <v>-112003</v>
      </c>
      <c r="CI95" s="705">
        <f>-DAT!$AY$6</f>
        <v>-112003</v>
      </c>
      <c r="CJ95" s="705">
        <f>-DAT!$AY$6</f>
        <v>-112003</v>
      </c>
      <c r="CK95" s="705">
        <f>-DAT!$AY$6</f>
        <v>-112003</v>
      </c>
      <c r="CL95" s="705">
        <f>-DAT!$AY$6</f>
        <v>-112003</v>
      </c>
    </row>
    <row r="96" spans="2:93">
      <c r="G96" s="848">
        <f>X90+L93+AA93</f>
        <v>6687500</v>
      </c>
      <c r="I96" s="824">
        <v>4</v>
      </c>
      <c r="J96" s="846">
        <f>E$14</f>
        <v>21.31</v>
      </c>
      <c r="K96" s="705">
        <f t="shared" si="49"/>
        <v>400000</v>
      </c>
      <c r="L96" s="705">
        <f t="shared" si="50"/>
        <v>490000</v>
      </c>
      <c r="M96" s="825">
        <f t="shared" si="51"/>
        <v>890000</v>
      </c>
      <c r="N96" s="829">
        <f t="shared" si="52"/>
        <v>189659</v>
      </c>
      <c r="O96" s="1173">
        <f>AO$14</f>
        <v>0.5</v>
      </c>
      <c r="P96" s="705">
        <f t="shared" si="53"/>
        <v>214076</v>
      </c>
      <c r="Q96" s="1173">
        <f>BZ$14</f>
        <v>0.1542</v>
      </c>
      <c r="R96" s="705">
        <f t="shared" si="54"/>
        <v>75558</v>
      </c>
      <c r="S96" s="825">
        <f t="shared" si="55"/>
        <v>289634</v>
      </c>
      <c r="T96" s="825">
        <f t="shared" si="56"/>
        <v>289634</v>
      </c>
      <c r="U96" s="847">
        <f t="shared" si="57"/>
        <v>231700</v>
      </c>
      <c r="V96" s="705">
        <f t="shared" si="58"/>
        <v>428152</v>
      </c>
      <c r="W96" s="833">
        <f t="shared" si="59"/>
        <v>449559.6</v>
      </c>
      <c r="X96" s="705">
        <f t="shared" si="60"/>
        <v>3125000</v>
      </c>
      <c r="Y96" s="705">
        <f t="shared" si="61"/>
        <v>2500000</v>
      </c>
      <c r="AA96" s="843">
        <v>0</v>
      </c>
      <c r="AB96" s="705">
        <f t="shared" si="62"/>
        <v>3615000</v>
      </c>
      <c r="AC96" s="825">
        <f t="shared" si="63"/>
        <v>3615000</v>
      </c>
      <c r="AD96" s="705">
        <f>IF(Main!$L$10="YES",Main!$N$10+AC96,AC96)</f>
        <v>3615000</v>
      </c>
      <c r="AE96" s="705">
        <f>IF(AND((Main!$E$9&gt;=18),(Main!$J$10="YES")),$Y$94+AD96,AD96)</f>
        <v>6115000</v>
      </c>
      <c r="AN96" s="848">
        <v>3</v>
      </c>
      <c r="AO96" s="846">
        <v>19.829999999999998</v>
      </c>
      <c r="AP96" s="848">
        <f t="shared" si="64"/>
        <v>74362.499999999985</v>
      </c>
      <c r="AQ96" s="848">
        <f t="shared" si="65"/>
        <v>330000</v>
      </c>
      <c r="AR96" s="848">
        <f t="shared" si="66"/>
        <v>404362.5</v>
      </c>
      <c r="AS96" s="848">
        <v>0</v>
      </c>
      <c r="AT96" s="848">
        <f t="shared" si="67"/>
        <v>404362.5</v>
      </c>
      <c r="AU96" s="845">
        <v>0.3</v>
      </c>
      <c r="AV96" s="705">
        <f t="shared" si="68"/>
        <v>128748</v>
      </c>
      <c r="AW96" s="845">
        <v>0.15279999999999999</v>
      </c>
      <c r="AX96" s="705">
        <f t="shared" si="69"/>
        <v>50424</v>
      </c>
      <c r="AY96" s="848">
        <f t="shared" si="70"/>
        <v>179172</v>
      </c>
      <c r="AZ96" s="848">
        <v>0</v>
      </c>
      <c r="BA96" s="825">
        <f t="shared" si="71"/>
        <v>179172</v>
      </c>
      <c r="BB96" s="847">
        <f t="shared" ref="BB96:BB117" si="78">IF((AT96&gt;BA96),AT96,BA96)</f>
        <v>404362.5</v>
      </c>
      <c r="BC96" s="843">
        <f t="shared" ref="BC96:BC117" si="79">ROUND((BB96*(90/100)),-2)</f>
        <v>363900</v>
      </c>
      <c r="BD96" s="705">
        <f t="shared" si="72"/>
        <v>429159</v>
      </c>
      <c r="BE96" s="833">
        <f t="shared" si="73"/>
        <v>450616.95</v>
      </c>
      <c r="BF96" s="705">
        <f t="shared" si="74"/>
        <v>3125000</v>
      </c>
      <c r="BG96" s="705">
        <f t="shared" si="75"/>
        <v>2500000</v>
      </c>
      <c r="BI96" s="843">
        <v>0</v>
      </c>
      <c r="BJ96" s="848">
        <f t="shared" si="76"/>
        <v>3455000</v>
      </c>
      <c r="BK96" s="825">
        <f t="shared" si="77"/>
        <v>3455000</v>
      </c>
      <c r="BL96" s="705">
        <f>IF(Main!$L$10="YES",Main!$N$10+BK96,BK96)</f>
        <v>3455000</v>
      </c>
      <c r="BM96" s="705">
        <f>IF(AND((Main!$E$9&gt;=18),(Main!$J$10="YES")),BG96+BL96,BL96)</f>
        <v>5955000</v>
      </c>
      <c r="BQ96" s="824">
        <v>3</v>
      </c>
      <c r="BR96" s="705">
        <f>-DAT!$AY$6</f>
        <v>-112003</v>
      </c>
      <c r="BS96" s="705">
        <f>-DAT!$AY$6</f>
        <v>-112003</v>
      </c>
      <c r="BT96" s="705">
        <f>-DAT!$AY$6</f>
        <v>-112003</v>
      </c>
      <c r="BU96" s="705">
        <f>-DAT!$AY$6</f>
        <v>-112003</v>
      </c>
      <c r="BV96" s="705">
        <f>-DAT!$AY$6</f>
        <v>-112003</v>
      </c>
      <c r="BW96" s="705">
        <f>-DAT!$AY$6</f>
        <v>-112003</v>
      </c>
      <c r="BX96" s="705">
        <f>-DAT!$AY$6</f>
        <v>-112003</v>
      </c>
      <c r="BY96" s="705">
        <f>-DAT!$AY$6</f>
        <v>-112003</v>
      </c>
      <c r="BZ96" s="705">
        <f>-DAT!$AY$6</f>
        <v>-112003</v>
      </c>
      <c r="CA96" s="705">
        <f>-DAT!$AY$6</f>
        <v>-112003</v>
      </c>
      <c r="CB96" s="705">
        <f>-DAT!$AY$6</f>
        <v>-112003</v>
      </c>
      <c r="CC96" s="705">
        <f>-DAT!$AY$6</f>
        <v>-112003</v>
      </c>
      <c r="CD96" s="705">
        <f>-DAT!$AY$6</f>
        <v>-112003</v>
      </c>
      <c r="CE96" s="705">
        <f>-DAT!$AY$6</f>
        <v>-112003</v>
      </c>
      <c r="CF96" s="705">
        <f>-DAT!$AY$6</f>
        <v>-112003</v>
      </c>
      <c r="CG96" s="705">
        <f>-DAT!$AY$6</f>
        <v>-112003</v>
      </c>
      <c r="CH96" s="705">
        <f>-DAT!$AY$6</f>
        <v>-112003</v>
      </c>
      <c r="CI96" s="705">
        <f>-DAT!$AY$6</f>
        <v>-112003</v>
      </c>
      <c r="CJ96" s="705">
        <f>-DAT!$AY$6</f>
        <v>-112003</v>
      </c>
      <c r="CK96" s="705">
        <f>-DAT!$AY$6</f>
        <v>-112003</v>
      </c>
      <c r="CL96" s="705">
        <f>-DAT!$AY$6</f>
        <v>-112003</v>
      </c>
    </row>
    <row r="97" spans="2:90">
      <c r="C97" s="1172">
        <f>LOOKUP($C$52,$B98:$B120,C98:C120)</f>
        <v>49</v>
      </c>
      <c r="D97" s="1172">
        <f>LOOKUP($C$52,$B98:$B120,D98:D120)</f>
        <v>80</v>
      </c>
      <c r="I97" s="824">
        <v>5</v>
      </c>
      <c r="J97" s="846">
        <f>F$14</f>
        <v>22.91</v>
      </c>
      <c r="K97" s="705">
        <f t="shared" si="49"/>
        <v>500000</v>
      </c>
      <c r="L97" s="705">
        <f t="shared" si="50"/>
        <v>612500</v>
      </c>
      <c r="M97" s="825">
        <f t="shared" si="51"/>
        <v>1112500</v>
      </c>
      <c r="N97" s="829">
        <f t="shared" si="52"/>
        <v>254874</v>
      </c>
      <c r="O97" s="1173">
        <f>AP$14</f>
        <v>0.5</v>
      </c>
      <c r="P97" s="705">
        <f t="shared" si="53"/>
        <v>267595</v>
      </c>
      <c r="Q97" s="1173">
        <f>CA$14</f>
        <v>0.1555</v>
      </c>
      <c r="R97" s="705">
        <f t="shared" si="54"/>
        <v>95244</v>
      </c>
      <c r="S97" s="825">
        <f t="shared" si="55"/>
        <v>362839</v>
      </c>
      <c r="T97" s="825">
        <f t="shared" si="56"/>
        <v>362839</v>
      </c>
      <c r="U97" s="847">
        <f t="shared" si="57"/>
        <v>290300</v>
      </c>
      <c r="V97" s="705">
        <f t="shared" si="58"/>
        <v>535190</v>
      </c>
      <c r="W97" s="833">
        <f t="shared" si="59"/>
        <v>561949.5</v>
      </c>
      <c r="X97" s="705">
        <f t="shared" si="60"/>
        <v>3125000</v>
      </c>
      <c r="Y97" s="705">
        <f t="shared" si="61"/>
        <v>2500000</v>
      </c>
      <c r="AA97" s="843">
        <v>0</v>
      </c>
      <c r="AB97" s="705">
        <f t="shared" si="62"/>
        <v>3737500</v>
      </c>
      <c r="AC97" s="825">
        <f t="shared" si="63"/>
        <v>3737500</v>
      </c>
      <c r="AD97" s="705">
        <f>IF(Main!$L$10="YES",Main!$N$10+AC97,AC97)</f>
        <v>3737500</v>
      </c>
      <c r="AE97" s="705">
        <f>IF(AND((Main!$E$9&gt;=18),(Main!$J$10="YES")),$Y$94+AD97,AD97)</f>
        <v>6237500</v>
      </c>
      <c r="AK97" s="846">
        <f>((DAT!E11*(100-DAT!F11)/100)-DAT!AA11)</f>
        <v>57.221000000000004</v>
      </c>
      <c r="AL97" s="705">
        <f>ROUND(AK97*B52/1000,0)</f>
        <v>143053</v>
      </c>
      <c r="AN97" s="848">
        <v>4</v>
      </c>
      <c r="AO97" s="846">
        <v>21.31</v>
      </c>
      <c r="AP97" s="848">
        <f t="shared" si="64"/>
        <v>106549.99999999999</v>
      </c>
      <c r="AQ97" s="848">
        <f t="shared" si="65"/>
        <v>440000</v>
      </c>
      <c r="AR97" s="848">
        <f t="shared" si="66"/>
        <v>546550</v>
      </c>
      <c r="AS97" s="848">
        <v>0</v>
      </c>
      <c r="AT97" s="848">
        <f t="shared" si="67"/>
        <v>546550</v>
      </c>
      <c r="AU97" s="845">
        <v>0.5</v>
      </c>
      <c r="AV97" s="705">
        <f t="shared" si="68"/>
        <v>286106</v>
      </c>
      <c r="AW97" s="845">
        <v>0.1542</v>
      </c>
      <c r="AX97" s="705">
        <f t="shared" si="69"/>
        <v>67848</v>
      </c>
      <c r="AY97" s="848">
        <f t="shared" si="70"/>
        <v>353954</v>
      </c>
      <c r="AZ97" s="848">
        <v>0</v>
      </c>
      <c r="BA97" s="825">
        <f t="shared" si="71"/>
        <v>353954</v>
      </c>
      <c r="BB97" s="847">
        <f t="shared" si="78"/>
        <v>546550</v>
      </c>
      <c r="BC97" s="843">
        <f t="shared" si="79"/>
        <v>491900</v>
      </c>
      <c r="BD97" s="705">
        <f t="shared" si="72"/>
        <v>572212</v>
      </c>
      <c r="BE97" s="833">
        <f t="shared" si="73"/>
        <v>600822.6</v>
      </c>
      <c r="BF97" s="705">
        <f t="shared" si="74"/>
        <v>3125000</v>
      </c>
      <c r="BG97" s="705">
        <f t="shared" si="75"/>
        <v>2500000</v>
      </c>
      <c r="BI97" s="843">
        <v>0</v>
      </c>
      <c r="BJ97" s="848">
        <f t="shared" si="76"/>
        <v>3565000</v>
      </c>
      <c r="BK97" s="825">
        <f t="shared" si="77"/>
        <v>3565000</v>
      </c>
      <c r="BL97" s="705">
        <f>IF(Main!$L$10="YES",Main!$N$10+BK97,BK97)</f>
        <v>3565000</v>
      </c>
      <c r="BM97" s="705">
        <f>IF(AND((Main!$E$9&gt;=18),(Main!$J$10="YES")),BG97+BL97,BL97)</f>
        <v>6065000</v>
      </c>
      <c r="BQ97" s="824">
        <v>4</v>
      </c>
      <c r="BR97" s="705">
        <f>-DAT!$AY$6</f>
        <v>-112003</v>
      </c>
      <c r="BS97" s="705">
        <f>-DAT!$AY$6</f>
        <v>-112003</v>
      </c>
      <c r="BT97" s="705">
        <f>-DAT!$AY$6</f>
        <v>-112003</v>
      </c>
      <c r="BU97" s="705">
        <f>-DAT!$AY$6</f>
        <v>-112003</v>
      </c>
      <c r="BV97" s="705">
        <f>-DAT!$AY$6</f>
        <v>-112003</v>
      </c>
      <c r="BW97" s="705">
        <f>-DAT!$AY$6</f>
        <v>-112003</v>
      </c>
      <c r="BX97" s="705">
        <f>-DAT!$AY$6</f>
        <v>-112003</v>
      </c>
      <c r="BY97" s="705">
        <f>-DAT!$AY$6</f>
        <v>-112003</v>
      </c>
      <c r="BZ97" s="705">
        <f>-DAT!$AY$6</f>
        <v>-112003</v>
      </c>
      <c r="CA97" s="705">
        <f>-DAT!$AY$6</f>
        <v>-112003</v>
      </c>
      <c r="CB97" s="705">
        <f>-DAT!$AY$6</f>
        <v>-112003</v>
      </c>
      <c r="CC97" s="705">
        <f>-DAT!$AY$6</f>
        <v>-112003</v>
      </c>
      <c r="CD97" s="705">
        <f>-DAT!$AY$6</f>
        <v>-112003</v>
      </c>
      <c r="CE97" s="705">
        <f>-DAT!$AY$6</f>
        <v>-112003</v>
      </c>
      <c r="CF97" s="705">
        <f>-DAT!$AY$6</f>
        <v>-112003</v>
      </c>
      <c r="CG97" s="705">
        <f>-DAT!$AY$6</f>
        <v>-112003</v>
      </c>
      <c r="CH97" s="705">
        <f>-DAT!$AY$6</f>
        <v>-112003</v>
      </c>
      <c r="CI97" s="705">
        <f>-DAT!$AY$6</f>
        <v>-112003</v>
      </c>
      <c r="CJ97" s="705">
        <f>-DAT!$AY$6</f>
        <v>-112003</v>
      </c>
      <c r="CK97" s="705">
        <f>-DAT!$AY$6</f>
        <v>-112003</v>
      </c>
      <c r="CL97" s="705">
        <f>-DAT!$AY$6</f>
        <v>-112003</v>
      </c>
    </row>
    <row r="98" spans="2:90">
      <c r="B98" s="843">
        <v>13</v>
      </c>
      <c r="C98" s="843">
        <v>41</v>
      </c>
      <c r="D98" s="843">
        <v>90</v>
      </c>
      <c r="I98" s="824">
        <v>6</v>
      </c>
      <c r="J98" s="846">
        <f>G$14</f>
        <v>24.63</v>
      </c>
      <c r="K98" s="705">
        <f t="shared" si="49"/>
        <v>600000</v>
      </c>
      <c r="L98" s="705">
        <f t="shared" si="50"/>
        <v>735000</v>
      </c>
      <c r="M98" s="825">
        <f t="shared" si="51"/>
        <v>1335000</v>
      </c>
      <c r="N98" s="829">
        <f t="shared" si="52"/>
        <v>328811</v>
      </c>
      <c r="O98" s="1173">
        <f>AQ$14</f>
        <v>0.5</v>
      </c>
      <c r="P98" s="705">
        <f t="shared" si="53"/>
        <v>321114</v>
      </c>
      <c r="Q98" s="1173">
        <f>CB$14</f>
        <v>0.15720000000000001</v>
      </c>
      <c r="R98" s="705">
        <f t="shared" si="54"/>
        <v>115542</v>
      </c>
      <c r="S98" s="825">
        <f t="shared" si="55"/>
        <v>436656</v>
      </c>
      <c r="T98" s="825">
        <f t="shared" si="56"/>
        <v>436656</v>
      </c>
      <c r="U98" s="847">
        <f t="shared" si="57"/>
        <v>349300</v>
      </c>
      <c r="V98" s="705">
        <f t="shared" si="58"/>
        <v>642228</v>
      </c>
      <c r="W98" s="833">
        <f t="shared" si="59"/>
        <v>674339.4</v>
      </c>
      <c r="X98" s="705">
        <f t="shared" si="60"/>
        <v>3125000</v>
      </c>
      <c r="Y98" s="705">
        <f t="shared" si="61"/>
        <v>2500000</v>
      </c>
      <c r="AA98" s="843">
        <v>0</v>
      </c>
      <c r="AB98" s="705">
        <f t="shared" si="62"/>
        <v>3860000</v>
      </c>
      <c r="AC98" s="825">
        <f t="shared" si="63"/>
        <v>3860000</v>
      </c>
      <c r="AD98" s="705">
        <f>IF(Main!$L$10="YES",Main!$N$10+AC98,AC98)</f>
        <v>3860000</v>
      </c>
      <c r="AE98" s="705">
        <f>IF(AND((Main!$E$9&gt;=18),(Main!$J$10="YES")),$Y$94+AD98,AD98)</f>
        <v>6360000</v>
      </c>
      <c r="AN98" s="848">
        <v>5</v>
      </c>
      <c r="AO98" s="846">
        <v>22.91</v>
      </c>
      <c r="AP98" s="848">
        <f t="shared" si="64"/>
        <v>143187.5</v>
      </c>
      <c r="AQ98" s="848">
        <f t="shared" si="65"/>
        <v>550000</v>
      </c>
      <c r="AR98" s="848">
        <f t="shared" si="66"/>
        <v>693187.5</v>
      </c>
      <c r="AS98" s="848">
        <f t="shared" ref="AS98:AS117" si="80">AZ98</f>
        <v>375000</v>
      </c>
      <c r="AT98" s="848">
        <f t="shared" si="67"/>
        <v>318187.5</v>
      </c>
      <c r="AU98" s="845">
        <v>0.5</v>
      </c>
      <c r="AV98" s="705">
        <f t="shared" si="68"/>
        <v>357633</v>
      </c>
      <c r="AW98" s="845">
        <v>0.1555</v>
      </c>
      <c r="AX98" s="705">
        <f t="shared" si="69"/>
        <v>85525</v>
      </c>
      <c r="AY98" s="848">
        <f t="shared" si="70"/>
        <v>443158</v>
      </c>
      <c r="AZ98" s="848">
        <f>IF((AY98&gt;0),(AL110+AZ97),0)</f>
        <v>375000</v>
      </c>
      <c r="BA98" s="825">
        <f t="shared" si="71"/>
        <v>68158</v>
      </c>
      <c r="BB98" s="847">
        <f t="shared" si="78"/>
        <v>318187.5</v>
      </c>
      <c r="BC98" s="843">
        <f t="shared" si="79"/>
        <v>286400</v>
      </c>
      <c r="BD98" s="705">
        <f t="shared" si="72"/>
        <v>715265</v>
      </c>
      <c r="BE98" s="833">
        <f t="shared" si="73"/>
        <v>751028.25</v>
      </c>
      <c r="BF98" s="705">
        <f t="shared" si="74"/>
        <v>3125000</v>
      </c>
      <c r="BG98" s="705">
        <f t="shared" si="75"/>
        <v>2500000</v>
      </c>
      <c r="BI98" s="843">
        <v>0</v>
      </c>
      <c r="BJ98" s="848">
        <f t="shared" si="76"/>
        <v>3675000</v>
      </c>
      <c r="BK98" s="825">
        <f t="shared" si="77"/>
        <v>3675000</v>
      </c>
      <c r="BL98" s="705">
        <f>IF(Main!$L$10="YES",Main!$N$10+BK98,BK98)</f>
        <v>3675000</v>
      </c>
      <c r="BM98" s="705">
        <f>IF(AND((Main!$E$9&gt;=18),(Main!$J$10="YES")),BG98+BL98,BL98)</f>
        <v>6175000</v>
      </c>
      <c r="BQ98" s="824">
        <v>5</v>
      </c>
      <c r="BR98" s="705">
        <f>-DAT!$AY$6</f>
        <v>-112003</v>
      </c>
      <c r="BS98" s="705">
        <f>-DAT!$AY$6</f>
        <v>-112003</v>
      </c>
      <c r="BT98" s="705">
        <f>-DAT!$AY$6</f>
        <v>-112003</v>
      </c>
      <c r="BU98" s="705">
        <f>-DAT!$AY$6</f>
        <v>-112003</v>
      </c>
      <c r="BV98" s="705">
        <f>-DAT!$AY$6</f>
        <v>-112003</v>
      </c>
      <c r="BW98" s="705">
        <f>-DAT!$AY$6</f>
        <v>-112003</v>
      </c>
      <c r="BX98" s="705">
        <f>-DAT!$AY$6</f>
        <v>-112003</v>
      </c>
      <c r="BY98" s="705">
        <f>-DAT!$AY$6</f>
        <v>-112003</v>
      </c>
      <c r="BZ98" s="705">
        <f>-DAT!$AY$6</f>
        <v>-112003</v>
      </c>
      <c r="CA98" s="705">
        <f>-DAT!$AY$6</f>
        <v>-112003</v>
      </c>
      <c r="CB98" s="705">
        <f>-DAT!$AY$6</f>
        <v>-112003</v>
      </c>
      <c r="CC98" s="705">
        <f>-DAT!$AY$6</f>
        <v>-112003</v>
      </c>
      <c r="CD98" s="705">
        <f>-DAT!$AY$6</f>
        <v>-112003</v>
      </c>
      <c r="CE98" s="705">
        <f>-DAT!$AY$6</f>
        <v>-112003</v>
      </c>
      <c r="CF98" s="705">
        <f>-DAT!$AY$6</f>
        <v>-112003</v>
      </c>
      <c r="CG98" s="705">
        <f>-DAT!$AY$6</f>
        <v>-112003</v>
      </c>
      <c r="CH98" s="705">
        <f>-DAT!$AY$6</f>
        <v>-112003</v>
      </c>
      <c r="CI98" s="705">
        <f>-DAT!$AY$6</f>
        <v>-112003</v>
      </c>
      <c r="CJ98" s="705">
        <f>-DAT!$AY$6</f>
        <v>-112003</v>
      </c>
      <c r="CK98" s="705">
        <f>-DAT!$AY$6</f>
        <v>-112003</v>
      </c>
      <c r="CL98" s="705">
        <f>-DAT!$AY$6</f>
        <v>-112003</v>
      </c>
    </row>
    <row r="99" spans="2:90">
      <c r="B99" s="843">
        <v>14</v>
      </c>
      <c r="C99" s="843">
        <v>41</v>
      </c>
      <c r="D99" s="843">
        <v>90</v>
      </c>
      <c r="I99" s="824">
        <v>7</v>
      </c>
      <c r="J99" s="846">
        <f>H$14</f>
        <v>26.48</v>
      </c>
      <c r="K99" s="705">
        <f t="shared" si="49"/>
        <v>700000</v>
      </c>
      <c r="L99" s="705">
        <f t="shared" si="50"/>
        <v>857500</v>
      </c>
      <c r="M99" s="825">
        <f t="shared" si="51"/>
        <v>1557500</v>
      </c>
      <c r="N99" s="829">
        <f t="shared" si="52"/>
        <v>412426</v>
      </c>
      <c r="O99" s="1173">
        <f>AR$14</f>
        <v>0.5</v>
      </c>
      <c r="P99" s="705">
        <f t="shared" si="53"/>
        <v>374633</v>
      </c>
      <c r="Q99" s="1173">
        <f>CC$14</f>
        <v>0.1593</v>
      </c>
      <c r="R99" s="705">
        <f t="shared" si="54"/>
        <v>136600</v>
      </c>
      <c r="S99" s="825">
        <f t="shared" si="55"/>
        <v>511233</v>
      </c>
      <c r="T99" s="825">
        <f t="shared" si="56"/>
        <v>511233</v>
      </c>
      <c r="U99" s="847">
        <f t="shared" si="57"/>
        <v>409000</v>
      </c>
      <c r="V99" s="705">
        <f t="shared" si="58"/>
        <v>749266</v>
      </c>
      <c r="W99" s="833">
        <f t="shared" si="59"/>
        <v>786729.3</v>
      </c>
      <c r="X99" s="705">
        <f t="shared" si="60"/>
        <v>3125000</v>
      </c>
      <c r="Y99" s="705">
        <f t="shared" si="61"/>
        <v>2500000</v>
      </c>
      <c r="AA99" s="843">
        <v>0</v>
      </c>
      <c r="AB99" s="705">
        <f t="shared" si="62"/>
        <v>3982500</v>
      </c>
      <c r="AC99" s="825">
        <f t="shared" si="63"/>
        <v>3982500</v>
      </c>
      <c r="AD99" s="705">
        <f>IF(Main!$L$10="YES",Main!$N$10+AC99,AC99)</f>
        <v>3982500</v>
      </c>
      <c r="AE99" s="705">
        <f>IF(AND((Main!$E$9&gt;=18),(Main!$J$10="YES")),$Y$94+AD99,AD99)</f>
        <v>6482500</v>
      </c>
      <c r="AN99" s="848">
        <v>6</v>
      </c>
      <c r="AO99" s="846">
        <v>24.63</v>
      </c>
      <c r="AP99" s="848">
        <f t="shared" si="64"/>
        <v>184725</v>
      </c>
      <c r="AQ99" s="848">
        <f t="shared" si="65"/>
        <v>660000</v>
      </c>
      <c r="AR99" s="848">
        <f t="shared" si="66"/>
        <v>844725</v>
      </c>
      <c r="AS99" s="848">
        <f t="shared" si="80"/>
        <v>375000</v>
      </c>
      <c r="AT99" s="848">
        <f t="shared" si="67"/>
        <v>469725</v>
      </c>
      <c r="AU99" s="845">
        <v>0.5</v>
      </c>
      <c r="AV99" s="705">
        <f t="shared" si="68"/>
        <v>429159</v>
      </c>
      <c r="AW99" s="845">
        <v>0.15720000000000001</v>
      </c>
      <c r="AX99" s="705">
        <f t="shared" si="69"/>
        <v>103752</v>
      </c>
      <c r="AY99" s="848">
        <f t="shared" si="70"/>
        <v>532911</v>
      </c>
      <c r="AZ99" s="848">
        <f>IF((AY99&gt;0),AZ98,0)</f>
        <v>375000</v>
      </c>
      <c r="BA99" s="825">
        <f t="shared" si="71"/>
        <v>157911</v>
      </c>
      <c r="BB99" s="847">
        <f t="shared" si="78"/>
        <v>469725</v>
      </c>
      <c r="BC99" s="843">
        <f t="shared" si="79"/>
        <v>422800</v>
      </c>
      <c r="BD99" s="705">
        <f t="shared" si="72"/>
        <v>858318</v>
      </c>
      <c r="BE99" s="833">
        <f t="shared" si="73"/>
        <v>901233.9</v>
      </c>
      <c r="BF99" s="705">
        <f t="shared" si="74"/>
        <v>3125000</v>
      </c>
      <c r="BG99" s="705">
        <f t="shared" si="75"/>
        <v>2500000</v>
      </c>
      <c r="BI99" s="843">
        <v>0</v>
      </c>
      <c r="BJ99" s="848">
        <f t="shared" si="76"/>
        <v>3785000</v>
      </c>
      <c r="BK99" s="825">
        <f t="shared" si="77"/>
        <v>3785000</v>
      </c>
      <c r="BL99" s="705">
        <f>IF(Main!$L$10="YES",Main!$N$10+BK99,BK99)</f>
        <v>3785000</v>
      </c>
      <c r="BM99" s="705">
        <f>IF(AND((Main!$E$9&gt;=18),(Main!$J$10="YES")),BG99+BL99,BL99)</f>
        <v>6285000</v>
      </c>
      <c r="BQ99" s="824">
        <v>6</v>
      </c>
      <c r="BR99" s="705">
        <f>-DAT!$AY$6</f>
        <v>-112003</v>
      </c>
      <c r="BS99" s="705">
        <f>-DAT!$AY$6</f>
        <v>-112003</v>
      </c>
      <c r="BT99" s="705">
        <f>-DAT!$AY$6</f>
        <v>-112003</v>
      </c>
      <c r="BU99" s="705">
        <f>-DAT!$AY$6</f>
        <v>-112003</v>
      </c>
      <c r="BV99" s="705">
        <f>-DAT!$AY$6</f>
        <v>-112003</v>
      </c>
      <c r="BW99" s="705">
        <f>-DAT!$AY$6</f>
        <v>-112003</v>
      </c>
      <c r="BX99" s="705">
        <f>-DAT!$AY$6</f>
        <v>-112003</v>
      </c>
      <c r="BY99" s="705">
        <f>-DAT!$AY$6</f>
        <v>-112003</v>
      </c>
      <c r="BZ99" s="705">
        <f>-DAT!$AY$6</f>
        <v>-112003</v>
      </c>
      <c r="CA99" s="705">
        <f>-DAT!$AY$6</f>
        <v>-112003</v>
      </c>
      <c r="CB99" s="705">
        <f>-DAT!$AY$6</f>
        <v>-112003</v>
      </c>
      <c r="CC99" s="705">
        <f>-DAT!$AY$6</f>
        <v>-112003</v>
      </c>
      <c r="CD99" s="705">
        <f>-DAT!$AY$6</f>
        <v>-112003</v>
      </c>
      <c r="CE99" s="705">
        <f>-DAT!$AY$6</f>
        <v>-112003</v>
      </c>
      <c r="CF99" s="705">
        <f>-DAT!$AY$6</f>
        <v>-112003</v>
      </c>
      <c r="CG99" s="705">
        <f>-DAT!$AY$6</f>
        <v>-112003</v>
      </c>
      <c r="CH99" s="705">
        <f>-DAT!$AY$6</f>
        <v>-112003</v>
      </c>
      <c r="CI99" s="705">
        <f>-DAT!$AY$6</f>
        <v>-112003</v>
      </c>
      <c r="CJ99" s="705">
        <f>-DAT!$AY$6</f>
        <v>-112003</v>
      </c>
      <c r="CK99" s="705">
        <f>-DAT!$AY$6</f>
        <v>-112003</v>
      </c>
      <c r="CL99" s="705">
        <f>-DAT!$AY$6</f>
        <v>-112003</v>
      </c>
    </row>
    <row r="100" spans="2:90">
      <c r="B100" s="843">
        <v>15</v>
      </c>
      <c r="C100" s="843">
        <v>41</v>
      </c>
      <c r="D100" s="843">
        <v>90</v>
      </c>
      <c r="I100" s="824">
        <v>8</v>
      </c>
      <c r="J100" s="846">
        <f>I$14</f>
        <v>28.47</v>
      </c>
      <c r="K100" s="705">
        <f t="shared" si="49"/>
        <v>800000</v>
      </c>
      <c r="L100" s="705">
        <f t="shared" si="50"/>
        <v>980000</v>
      </c>
      <c r="M100" s="825">
        <f t="shared" si="51"/>
        <v>1780000</v>
      </c>
      <c r="N100" s="829">
        <f t="shared" si="52"/>
        <v>506766</v>
      </c>
      <c r="O100" s="1173">
        <f>AS$14</f>
        <v>0.51759999999999995</v>
      </c>
      <c r="P100" s="705">
        <f t="shared" si="53"/>
        <v>443223</v>
      </c>
      <c r="Q100" s="1173">
        <f>CD$14</f>
        <v>0.16220000000000001</v>
      </c>
      <c r="R100" s="705">
        <f t="shared" si="54"/>
        <v>158956</v>
      </c>
      <c r="S100" s="825">
        <f t="shared" si="55"/>
        <v>602179</v>
      </c>
      <c r="T100" s="825">
        <f t="shared" si="56"/>
        <v>602179</v>
      </c>
      <c r="U100" s="847">
        <f t="shared" si="57"/>
        <v>481700</v>
      </c>
      <c r="V100" s="705">
        <f t="shared" si="58"/>
        <v>856304</v>
      </c>
      <c r="W100" s="833">
        <f t="shared" si="59"/>
        <v>899119.2</v>
      </c>
      <c r="X100" s="705">
        <f t="shared" si="60"/>
        <v>3125000</v>
      </c>
      <c r="Y100" s="705">
        <f t="shared" si="61"/>
        <v>2500000</v>
      </c>
      <c r="AA100" s="843">
        <v>0</v>
      </c>
      <c r="AB100" s="705">
        <f t="shared" si="62"/>
        <v>4105000</v>
      </c>
      <c r="AC100" s="825">
        <f t="shared" si="63"/>
        <v>4105000</v>
      </c>
      <c r="AD100" s="705">
        <f>IF(Main!$L$10="YES",Main!$N$10+AC100,AC100)</f>
        <v>4105000</v>
      </c>
      <c r="AE100" s="705">
        <f>IF(AND((Main!$E$9&gt;=18),(Main!$J$10="YES")),$Y$94+AD100,AD100)</f>
        <v>6605000</v>
      </c>
      <c r="AN100" s="848">
        <v>7</v>
      </c>
      <c r="AO100" s="846">
        <v>26.48</v>
      </c>
      <c r="AP100" s="848">
        <f t="shared" si="64"/>
        <v>231699.99999999997</v>
      </c>
      <c r="AQ100" s="848">
        <f t="shared" si="65"/>
        <v>770000</v>
      </c>
      <c r="AR100" s="848">
        <f t="shared" si="66"/>
        <v>1001700</v>
      </c>
      <c r="AS100" s="848">
        <f t="shared" si="80"/>
        <v>375000</v>
      </c>
      <c r="AT100" s="848">
        <f t="shared" si="67"/>
        <v>626700</v>
      </c>
      <c r="AU100" s="845">
        <v>0.5</v>
      </c>
      <c r="AV100" s="705">
        <f t="shared" si="68"/>
        <v>500686</v>
      </c>
      <c r="AW100" s="845">
        <v>0.1593</v>
      </c>
      <c r="AX100" s="705">
        <f t="shared" si="69"/>
        <v>122661</v>
      </c>
      <c r="AY100" s="848">
        <f t="shared" si="70"/>
        <v>623347</v>
      </c>
      <c r="AZ100" s="848">
        <f>IF((AY100&gt;0),AZ99,0)</f>
        <v>375000</v>
      </c>
      <c r="BA100" s="825">
        <f t="shared" si="71"/>
        <v>248347</v>
      </c>
      <c r="BB100" s="847">
        <f t="shared" si="78"/>
        <v>626700</v>
      </c>
      <c r="BC100" s="843">
        <f t="shared" si="79"/>
        <v>564000</v>
      </c>
      <c r="BD100" s="705">
        <f t="shared" si="72"/>
        <v>1001371</v>
      </c>
      <c r="BE100" s="833">
        <f t="shared" si="73"/>
        <v>1051439.55</v>
      </c>
      <c r="BF100" s="705">
        <f t="shared" si="74"/>
        <v>3125000</v>
      </c>
      <c r="BG100" s="705">
        <f t="shared" si="75"/>
        <v>2500000</v>
      </c>
      <c r="BI100" s="843">
        <v>0</v>
      </c>
      <c r="BJ100" s="848">
        <f t="shared" si="76"/>
        <v>3895000</v>
      </c>
      <c r="BK100" s="825">
        <f t="shared" si="77"/>
        <v>3895000</v>
      </c>
      <c r="BL100" s="705">
        <f>IF(Main!$L$10="YES",Main!$N$10+BK100,BK100)</f>
        <v>3895000</v>
      </c>
      <c r="BM100" s="705">
        <f>IF(AND((Main!$E$9&gt;=18),(Main!$J$10="YES")),BG100+BL100,BL100)</f>
        <v>6395000</v>
      </c>
      <c r="BQ100" s="824">
        <v>7</v>
      </c>
      <c r="BR100" s="705">
        <f>-DAT!$AY$6</f>
        <v>-112003</v>
      </c>
      <c r="BS100" s="705">
        <f>-DAT!$AY$6</f>
        <v>-112003</v>
      </c>
      <c r="BT100" s="705">
        <f>-DAT!$AY$6</f>
        <v>-112003</v>
      </c>
      <c r="BU100" s="705">
        <f>-DAT!$AY$6</f>
        <v>-112003</v>
      </c>
      <c r="BV100" s="705">
        <f>-DAT!$AY$6</f>
        <v>-112003</v>
      </c>
      <c r="BW100" s="705">
        <f>-DAT!$AY$6</f>
        <v>-112003</v>
      </c>
      <c r="BX100" s="705">
        <f>-DAT!$AY$6</f>
        <v>-112003</v>
      </c>
      <c r="BY100" s="705">
        <f>-DAT!$AY$6</f>
        <v>-112003</v>
      </c>
      <c r="BZ100" s="705">
        <f>-DAT!$AY$6</f>
        <v>-112003</v>
      </c>
      <c r="CA100" s="705">
        <f>-DAT!$AY$6</f>
        <v>-112003</v>
      </c>
      <c r="CB100" s="705">
        <f>-DAT!$AY$6</f>
        <v>-112003</v>
      </c>
      <c r="CC100" s="705">
        <f>-DAT!$AY$6</f>
        <v>-112003</v>
      </c>
      <c r="CD100" s="705">
        <f>-DAT!$AY$6</f>
        <v>-112003</v>
      </c>
      <c r="CE100" s="705">
        <f>-DAT!$AY$6</f>
        <v>-112003</v>
      </c>
      <c r="CF100" s="705">
        <f>-DAT!$AY$6</f>
        <v>-112003</v>
      </c>
      <c r="CG100" s="705">
        <f>-DAT!$AY$6</f>
        <v>-112003</v>
      </c>
      <c r="CH100" s="705">
        <f>-DAT!$AY$6</f>
        <v>-112003</v>
      </c>
      <c r="CI100" s="705">
        <f>-DAT!$AY$6</f>
        <v>-112003</v>
      </c>
      <c r="CJ100" s="705">
        <f>-DAT!$AY$6</f>
        <v>-112003</v>
      </c>
      <c r="CK100" s="705">
        <f>-DAT!$AY$6</f>
        <v>-112003</v>
      </c>
      <c r="CL100" s="705">
        <f>-DAT!$AY$6</f>
        <v>-112003</v>
      </c>
    </row>
    <row r="101" spans="2:90">
      <c r="B101" s="843">
        <v>16</v>
      </c>
      <c r="C101" s="843">
        <v>45</v>
      </c>
      <c r="D101" s="843">
        <v>90</v>
      </c>
      <c r="I101" s="824">
        <v>9</v>
      </c>
      <c r="J101" s="846">
        <f>J$14</f>
        <v>30.61</v>
      </c>
      <c r="K101" s="705">
        <f t="shared" si="49"/>
        <v>900000</v>
      </c>
      <c r="L101" s="705">
        <f t="shared" si="50"/>
        <v>1102500</v>
      </c>
      <c r="M101" s="825">
        <f t="shared" si="51"/>
        <v>2002500</v>
      </c>
      <c r="N101" s="829">
        <f t="shared" si="52"/>
        <v>612965</v>
      </c>
      <c r="O101" s="1173">
        <f>AT$14</f>
        <v>0.5353</v>
      </c>
      <c r="P101" s="705">
        <f t="shared" si="53"/>
        <v>515677</v>
      </c>
      <c r="Q101" s="1173">
        <f>CE$14</f>
        <v>0.1658</v>
      </c>
      <c r="R101" s="705">
        <f t="shared" si="54"/>
        <v>182795</v>
      </c>
      <c r="S101" s="825">
        <f t="shared" si="55"/>
        <v>698472</v>
      </c>
      <c r="T101" s="825">
        <f t="shared" si="56"/>
        <v>698472</v>
      </c>
      <c r="U101" s="847">
        <f t="shared" si="57"/>
        <v>558800</v>
      </c>
      <c r="V101" s="705">
        <f t="shared" si="58"/>
        <v>963342</v>
      </c>
      <c r="W101" s="833">
        <f t="shared" si="59"/>
        <v>1011509.1</v>
      </c>
      <c r="X101" s="705">
        <f t="shared" si="60"/>
        <v>3125000</v>
      </c>
      <c r="Y101" s="705">
        <f t="shared" si="61"/>
        <v>2500000</v>
      </c>
      <c r="AA101" s="843">
        <v>0</v>
      </c>
      <c r="AB101" s="705">
        <f t="shared" si="62"/>
        <v>4227500</v>
      </c>
      <c r="AC101" s="825">
        <f t="shared" si="63"/>
        <v>4227500</v>
      </c>
      <c r="AD101" s="705">
        <f>IF(Main!$L$10="YES",Main!$N$10+AC101,AC101)</f>
        <v>4227500</v>
      </c>
      <c r="AE101" s="705">
        <f>IF(AND((Main!$E$9&gt;=18),(Main!$J$10="YES")),$Y$94+AD101,AD101)</f>
        <v>6727500</v>
      </c>
      <c r="AN101" s="848">
        <v>8</v>
      </c>
      <c r="AO101" s="846">
        <v>28.47</v>
      </c>
      <c r="AP101" s="848">
        <f t="shared" si="64"/>
        <v>284700</v>
      </c>
      <c r="AQ101" s="848">
        <f t="shared" si="65"/>
        <v>880000</v>
      </c>
      <c r="AR101" s="848">
        <f t="shared" si="66"/>
        <v>1164700</v>
      </c>
      <c r="AS101" s="848">
        <f t="shared" si="80"/>
        <v>375000</v>
      </c>
      <c r="AT101" s="848">
        <f t="shared" si="67"/>
        <v>789700</v>
      </c>
      <c r="AU101" s="845">
        <v>0.51759999999999995</v>
      </c>
      <c r="AV101" s="705">
        <f t="shared" si="68"/>
        <v>592354</v>
      </c>
      <c r="AW101" s="845">
        <v>0.16220000000000001</v>
      </c>
      <c r="AX101" s="705">
        <f t="shared" si="69"/>
        <v>142736</v>
      </c>
      <c r="AY101" s="848">
        <f t="shared" si="70"/>
        <v>735090</v>
      </c>
      <c r="AZ101" s="848">
        <f>IF((AY101&gt;0),AZ100,0)</f>
        <v>375000</v>
      </c>
      <c r="BA101" s="825">
        <f t="shared" si="71"/>
        <v>360090</v>
      </c>
      <c r="BB101" s="847">
        <f t="shared" si="78"/>
        <v>789700</v>
      </c>
      <c r="BC101" s="843">
        <f t="shared" si="79"/>
        <v>710700</v>
      </c>
      <c r="BD101" s="705">
        <f t="shared" si="72"/>
        <v>1144424</v>
      </c>
      <c r="BE101" s="833">
        <f t="shared" si="73"/>
        <v>1201645.2</v>
      </c>
      <c r="BF101" s="705">
        <f t="shared" si="74"/>
        <v>3125000</v>
      </c>
      <c r="BG101" s="705">
        <f t="shared" si="75"/>
        <v>2500000</v>
      </c>
      <c r="BI101" s="843">
        <v>0</v>
      </c>
      <c r="BJ101" s="848">
        <f t="shared" si="76"/>
        <v>4005000</v>
      </c>
      <c r="BK101" s="825">
        <f t="shared" si="77"/>
        <v>4005000</v>
      </c>
      <c r="BL101" s="705">
        <f>IF(Main!$L$10="YES",Main!$N$10+BK101,BK101)</f>
        <v>4005000</v>
      </c>
      <c r="BM101" s="705">
        <f>IF(AND((Main!$E$9&gt;=18),(Main!$J$10="YES")),BG101+BL101,BL101)</f>
        <v>6505000</v>
      </c>
      <c r="BQ101" s="824">
        <v>8</v>
      </c>
      <c r="BR101" s="705">
        <f>-DAT!$AY$6</f>
        <v>-112003</v>
      </c>
      <c r="BS101" s="705">
        <f>-DAT!$AY$6</f>
        <v>-112003</v>
      </c>
      <c r="BT101" s="705">
        <f>-DAT!$AY$6</f>
        <v>-112003</v>
      </c>
      <c r="BU101" s="705">
        <f>-DAT!$AY$6</f>
        <v>-112003</v>
      </c>
      <c r="BV101" s="705">
        <f>-DAT!$AY$6</f>
        <v>-112003</v>
      </c>
      <c r="BW101" s="705">
        <f>-DAT!$AY$6</f>
        <v>-112003</v>
      </c>
      <c r="BX101" s="705">
        <f>-DAT!$AY$6</f>
        <v>-112003</v>
      </c>
      <c r="BY101" s="705">
        <f>-DAT!$AY$6</f>
        <v>-112003</v>
      </c>
      <c r="BZ101" s="705">
        <f>-DAT!$AY$6</f>
        <v>-112003</v>
      </c>
      <c r="CA101" s="705">
        <f>-DAT!$AY$6</f>
        <v>-112003</v>
      </c>
      <c r="CB101" s="705">
        <f>-DAT!$AY$6</f>
        <v>-112003</v>
      </c>
      <c r="CC101" s="705">
        <f>-DAT!$AY$6</f>
        <v>-112003</v>
      </c>
      <c r="CD101" s="705">
        <f>-DAT!$AY$6</f>
        <v>-112003</v>
      </c>
      <c r="CE101" s="705">
        <f>-DAT!$AY$6</f>
        <v>-112003</v>
      </c>
      <c r="CF101" s="705">
        <f>-DAT!$AY$6</f>
        <v>-112003</v>
      </c>
      <c r="CG101" s="705">
        <f>-DAT!$AY$6</f>
        <v>-112003</v>
      </c>
      <c r="CH101" s="705">
        <f>-DAT!$AY$6</f>
        <v>-112003</v>
      </c>
      <c r="CI101" s="705">
        <f>-DAT!$AY$6</f>
        <v>-112003</v>
      </c>
      <c r="CJ101" s="705">
        <f>-DAT!$AY$6</f>
        <v>-112003</v>
      </c>
      <c r="CK101" s="705">
        <f>-DAT!$AY$6</f>
        <v>-112003</v>
      </c>
      <c r="CL101" s="705">
        <f>-DAT!$AY$6</f>
        <v>-112003</v>
      </c>
    </row>
    <row r="102" spans="2:90">
      <c r="B102" s="843">
        <v>17</v>
      </c>
      <c r="C102" s="843">
        <v>45</v>
      </c>
      <c r="D102" s="843">
        <v>90</v>
      </c>
      <c r="I102" s="824">
        <v>10</v>
      </c>
      <c r="J102" s="846">
        <f>K$14</f>
        <v>32.92</v>
      </c>
      <c r="K102" s="705">
        <f t="shared" si="49"/>
        <v>1000000</v>
      </c>
      <c r="L102" s="705">
        <f t="shared" si="50"/>
        <v>1225000</v>
      </c>
      <c r="M102" s="825">
        <f t="shared" si="51"/>
        <v>2225000</v>
      </c>
      <c r="N102" s="829">
        <f t="shared" si="52"/>
        <v>732470</v>
      </c>
      <c r="O102" s="1173">
        <f>AU$14</f>
        <v>0.55289999999999995</v>
      </c>
      <c r="P102" s="705">
        <f t="shared" si="53"/>
        <v>591813</v>
      </c>
      <c r="Q102" s="1173">
        <f>CF$14</f>
        <v>0.17030000000000001</v>
      </c>
      <c r="R102" s="705">
        <f t="shared" si="54"/>
        <v>208618</v>
      </c>
      <c r="S102" s="825">
        <f t="shared" si="55"/>
        <v>800431</v>
      </c>
      <c r="T102" s="825">
        <f t="shared" si="56"/>
        <v>800431</v>
      </c>
      <c r="U102" s="847">
        <f t="shared" si="57"/>
        <v>640300</v>
      </c>
      <c r="V102" s="705">
        <f t="shared" si="58"/>
        <v>1070380</v>
      </c>
      <c r="W102" s="833">
        <f t="shared" si="59"/>
        <v>1123899</v>
      </c>
      <c r="X102" s="705">
        <f t="shared" si="60"/>
        <v>3125000</v>
      </c>
      <c r="Y102" s="705">
        <f t="shared" si="61"/>
        <v>2500000</v>
      </c>
      <c r="AA102" s="843">
        <v>0</v>
      </c>
      <c r="AB102" s="705">
        <f t="shared" si="62"/>
        <v>4350000</v>
      </c>
      <c r="AC102" s="825">
        <f t="shared" si="63"/>
        <v>4350000</v>
      </c>
      <c r="AD102" s="705">
        <f>IF(Main!$L$10="YES",Main!$N$10+AC102,AC102)</f>
        <v>4350000</v>
      </c>
      <c r="AE102" s="705">
        <f>IF(AND((Main!$E$9&gt;=18),(Main!$J$10="YES")),$Y$94+AD102,AD102)</f>
        <v>6850000</v>
      </c>
      <c r="AN102" s="848">
        <v>9</v>
      </c>
      <c r="AO102" s="846">
        <v>30.61</v>
      </c>
      <c r="AP102" s="848">
        <f t="shared" si="64"/>
        <v>344362.5</v>
      </c>
      <c r="AQ102" s="848">
        <f t="shared" si="65"/>
        <v>990000</v>
      </c>
      <c r="AR102" s="848">
        <f t="shared" si="66"/>
        <v>1334362.5</v>
      </c>
      <c r="AS102" s="848">
        <f t="shared" si="80"/>
        <v>375000</v>
      </c>
      <c r="AT102" s="848">
        <f t="shared" si="67"/>
        <v>959362.5</v>
      </c>
      <c r="AU102" s="845">
        <v>0.5353</v>
      </c>
      <c r="AV102" s="705">
        <f t="shared" si="68"/>
        <v>689186</v>
      </c>
      <c r="AW102" s="845">
        <v>0.1658</v>
      </c>
      <c r="AX102" s="705">
        <f t="shared" si="69"/>
        <v>164142</v>
      </c>
      <c r="AY102" s="848">
        <f t="shared" si="70"/>
        <v>853328</v>
      </c>
      <c r="AZ102" s="848">
        <f>IF((AY102&gt;0),AZ101,0)</f>
        <v>375000</v>
      </c>
      <c r="BA102" s="825">
        <f t="shared" si="71"/>
        <v>478328</v>
      </c>
      <c r="BB102" s="847">
        <f t="shared" si="78"/>
        <v>959362.5</v>
      </c>
      <c r="BC102" s="843">
        <f t="shared" si="79"/>
        <v>863400</v>
      </c>
      <c r="BD102" s="705">
        <f t="shared" si="72"/>
        <v>1287477</v>
      </c>
      <c r="BE102" s="833">
        <f t="shared" si="73"/>
        <v>1351850.85</v>
      </c>
      <c r="BF102" s="705">
        <f t="shared" si="74"/>
        <v>3125000</v>
      </c>
      <c r="BG102" s="705">
        <f t="shared" si="75"/>
        <v>2500000</v>
      </c>
      <c r="BI102" s="843">
        <v>0</v>
      </c>
      <c r="BJ102" s="848">
        <f t="shared" si="76"/>
        <v>4115000</v>
      </c>
      <c r="BK102" s="825">
        <f t="shared" si="77"/>
        <v>4115000</v>
      </c>
      <c r="BL102" s="705">
        <f>IF(Main!$L$10="YES",Main!$N$10+BK102,BK102)</f>
        <v>4115000</v>
      </c>
      <c r="BM102" s="705">
        <f>IF(AND((Main!$E$9&gt;=18),(Main!$J$10="YES")),BG102+BL102,BL102)</f>
        <v>6615000</v>
      </c>
      <c r="BQ102" s="824">
        <v>9</v>
      </c>
      <c r="BR102" s="705">
        <f>-DAT!$AY$6</f>
        <v>-112003</v>
      </c>
      <c r="BS102" s="705">
        <f>-DAT!$AY$6</f>
        <v>-112003</v>
      </c>
      <c r="BT102" s="705">
        <f>-DAT!$AY$6</f>
        <v>-112003</v>
      </c>
      <c r="BU102" s="705">
        <f>-DAT!$AY$6</f>
        <v>-112003</v>
      </c>
      <c r="BV102" s="705">
        <f>-DAT!$AY$6</f>
        <v>-112003</v>
      </c>
      <c r="BW102" s="705">
        <f>-DAT!$AY$6</f>
        <v>-112003</v>
      </c>
      <c r="BX102" s="705">
        <f>-DAT!$AY$6</f>
        <v>-112003</v>
      </c>
      <c r="BY102" s="705">
        <f>-DAT!$AY$6</f>
        <v>-112003</v>
      </c>
      <c r="BZ102" s="705">
        <f>-DAT!$AY$6</f>
        <v>-112003</v>
      </c>
      <c r="CA102" s="705">
        <f>-DAT!$AY$6</f>
        <v>-112003</v>
      </c>
      <c r="CB102" s="705">
        <f>-DAT!$AY$6</f>
        <v>-112003</v>
      </c>
      <c r="CC102" s="705">
        <f>-DAT!$AY$6</f>
        <v>-112003</v>
      </c>
      <c r="CD102" s="705">
        <f>-DAT!$AY$6</f>
        <v>-112003</v>
      </c>
      <c r="CE102" s="705">
        <f>-DAT!$AY$6</f>
        <v>-112003</v>
      </c>
      <c r="CF102" s="705">
        <f>-DAT!$AY$6</f>
        <v>-112003</v>
      </c>
      <c r="CG102" s="705">
        <f>-DAT!$AY$6</f>
        <v>-112003</v>
      </c>
      <c r="CH102" s="705">
        <f>-DAT!$AY$6</f>
        <v>-112003</v>
      </c>
      <c r="CI102" s="705">
        <f>-DAT!$AY$6</f>
        <v>-112003</v>
      </c>
      <c r="CJ102" s="705">
        <f>-DAT!$AY$6</f>
        <v>-112003</v>
      </c>
      <c r="CK102" s="705">
        <f>-DAT!$AY$6</f>
        <v>-112003</v>
      </c>
      <c r="CL102" s="705">
        <f>-DAT!$AY$6</f>
        <v>-112003</v>
      </c>
    </row>
    <row r="103" spans="2:90">
      <c r="B103" s="843">
        <v>18</v>
      </c>
      <c r="C103" s="843">
        <v>45</v>
      </c>
      <c r="D103" s="843">
        <v>90</v>
      </c>
      <c r="I103" s="824">
        <v>11</v>
      </c>
      <c r="J103" s="846">
        <f>L$14</f>
        <v>35.42</v>
      </c>
      <c r="K103" s="705">
        <f t="shared" si="49"/>
        <v>1100000</v>
      </c>
      <c r="L103" s="705">
        <f t="shared" si="50"/>
        <v>1347500</v>
      </c>
      <c r="M103" s="825">
        <f t="shared" si="51"/>
        <v>2447500</v>
      </c>
      <c r="N103" s="829">
        <f t="shared" si="52"/>
        <v>866905</v>
      </c>
      <c r="O103" s="1173">
        <f>AV$14</f>
        <v>0.5706</v>
      </c>
      <c r="P103" s="705">
        <f t="shared" si="53"/>
        <v>671835</v>
      </c>
      <c r="Q103" s="1173">
        <f>CG$14</f>
        <v>0.17580000000000001</v>
      </c>
      <c r="R103" s="705">
        <f t="shared" si="54"/>
        <v>236891</v>
      </c>
      <c r="S103" s="825">
        <f t="shared" si="55"/>
        <v>908726</v>
      </c>
      <c r="T103" s="825">
        <f t="shared" si="56"/>
        <v>908726</v>
      </c>
      <c r="U103" s="847">
        <f t="shared" si="57"/>
        <v>727000</v>
      </c>
      <c r="V103" s="705">
        <f t="shared" si="58"/>
        <v>1177418</v>
      </c>
      <c r="W103" s="833">
        <f t="shared" si="59"/>
        <v>1236288.8999999999</v>
      </c>
      <c r="X103" s="705">
        <f t="shared" si="60"/>
        <v>3125000</v>
      </c>
      <c r="Y103" s="705">
        <f t="shared" si="61"/>
        <v>2500000</v>
      </c>
      <c r="AA103" s="843">
        <v>0</v>
      </c>
      <c r="AB103" s="705">
        <f t="shared" si="62"/>
        <v>4472500</v>
      </c>
      <c r="AC103" s="825">
        <f t="shared" si="63"/>
        <v>4472500</v>
      </c>
      <c r="AD103" s="705">
        <f>IF(Main!$L$10="YES",Main!$N$10+AC103,AC103)</f>
        <v>4472500</v>
      </c>
      <c r="AE103" s="705">
        <f>IF(AND((Main!$E$9&gt;=18),(Main!$J$10="YES")),$Y$94+AD103,AD103)</f>
        <v>6972500</v>
      </c>
      <c r="AN103" s="848">
        <v>10</v>
      </c>
      <c r="AO103" s="846">
        <v>32.92</v>
      </c>
      <c r="AP103" s="848">
        <f t="shared" si="64"/>
        <v>411500</v>
      </c>
      <c r="AQ103" s="848">
        <f t="shared" si="65"/>
        <v>1100000</v>
      </c>
      <c r="AR103" s="848">
        <f t="shared" si="66"/>
        <v>1511500</v>
      </c>
      <c r="AS103" s="848">
        <f t="shared" si="80"/>
        <v>750000</v>
      </c>
      <c r="AT103" s="848">
        <f t="shared" si="67"/>
        <v>761500</v>
      </c>
      <c r="AU103" s="845">
        <v>0.55289999999999995</v>
      </c>
      <c r="AV103" s="705">
        <f t="shared" si="68"/>
        <v>790940</v>
      </c>
      <c r="AW103" s="845">
        <v>0.17030000000000001</v>
      </c>
      <c r="AX103" s="705">
        <f t="shared" si="69"/>
        <v>187330</v>
      </c>
      <c r="AY103" s="848">
        <f t="shared" si="70"/>
        <v>978270</v>
      </c>
      <c r="AZ103" s="848">
        <f>IF((AY103&gt;0),(AL110+AZ102),0)</f>
        <v>750000</v>
      </c>
      <c r="BA103" s="825">
        <f t="shared" si="71"/>
        <v>228270</v>
      </c>
      <c r="BB103" s="847">
        <f t="shared" si="78"/>
        <v>761500</v>
      </c>
      <c r="BC103" s="843">
        <f t="shared" si="79"/>
        <v>685400</v>
      </c>
      <c r="BD103" s="705">
        <f t="shared" si="72"/>
        <v>1430530</v>
      </c>
      <c r="BE103" s="833">
        <f t="shared" si="73"/>
        <v>1502056.5</v>
      </c>
      <c r="BF103" s="705">
        <f t="shared" si="74"/>
        <v>3125000</v>
      </c>
      <c r="BG103" s="705">
        <f t="shared" si="75"/>
        <v>2500000</v>
      </c>
      <c r="BI103" s="843">
        <v>0</v>
      </c>
      <c r="BJ103" s="848">
        <f t="shared" si="76"/>
        <v>4225000</v>
      </c>
      <c r="BK103" s="825">
        <f t="shared" si="77"/>
        <v>4225000</v>
      </c>
      <c r="BL103" s="705">
        <f>IF(Main!$L$10="YES",Main!$N$10+BK103,BK103)</f>
        <v>4225000</v>
      </c>
      <c r="BM103" s="705">
        <f>IF(AND((Main!$E$9&gt;=18),(Main!$J$10="YES")),BG103+BL103,BL103)</f>
        <v>6725000</v>
      </c>
      <c r="BQ103" s="824">
        <v>10</v>
      </c>
      <c r="BR103" s="705">
        <f>-DAT!$AY$6</f>
        <v>-112003</v>
      </c>
      <c r="BS103" s="705">
        <f>-DAT!$AY$6</f>
        <v>-112003</v>
      </c>
      <c r="BT103" s="705">
        <f>-DAT!$AY$6</f>
        <v>-112003</v>
      </c>
      <c r="BU103" s="705">
        <f>-DAT!$AY$6</f>
        <v>-112003</v>
      </c>
      <c r="BV103" s="705">
        <f>-DAT!$AY$6</f>
        <v>-112003</v>
      </c>
      <c r="BW103" s="705">
        <f>-DAT!$AY$6</f>
        <v>-112003</v>
      </c>
      <c r="BX103" s="705">
        <f>-DAT!$AY$6</f>
        <v>-112003</v>
      </c>
      <c r="BY103" s="705">
        <f>-DAT!$AY$6</f>
        <v>-112003</v>
      </c>
      <c r="BZ103" s="705">
        <f>-DAT!$AY$6</f>
        <v>-112003</v>
      </c>
      <c r="CA103" s="705">
        <f>-DAT!$AY$6</f>
        <v>-112003</v>
      </c>
      <c r="CB103" s="705">
        <f>-DAT!$AY$6</f>
        <v>-112003</v>
      </c>
      <c r="CC103" s="705">
        <f>-DAT!$AY$6</f>
        <v>-112003</v>
      </c>
      <c r="CD103" s="705">
        <f>-DAT!$AY$6</f>
        <v>-112003</v>
      </c>
      <c r="CE103" s="705">
        <f>-DAT!$AY$6</f>
        <v>-112003</v>
      </c>
      <c r="CF103" s="705">
        <f>-DAT!$AY$6</f>
        <v>-112003</v>
      </c>
      <c r="CG103" s="705">
        <f>-DAT!$AY$6</f>
        <v>-112003</v>
      </c>
      <c r="CH103" s="705">
        <f>-DAT!$AY$6</f>
        <v>-112003</v>
      </c>
      <c r="CI103" s="705">
        <f>-DAT!$AY$6</f>
        <v>-112003</v>
      </c>
      <c r="CJ103" s="705">
        <f>-DAT!$AY$6</f>
        <v>-112003</v>
      </c>
      <c r="CK103" s="705">
        <f>-DAT!$AY$6</f>
        <v>-112003</v>
      </c>
      <c r="CL103" s="705">
        <f>-DAT!$AY$6</f>
        <v>-112003</v>
      </c>
    </row>
    <row r="104" spans="2:90">
      <c r="B104" s="843">
        <v>19</v>
      </c>
      <c r="C104" s="843">
        <v>45</v>
      </c>
      <c r="D104" s="843">
        <v>90</v>
      </c>
      <c r="I104" s="843">
        <v>12</v>
      </c>
      <c r="J104" s="846">
        <f>M$14</f>
        <v>38.1</v>
      </c>
      <c r="K104" s="705">
        <f t="shared" si="49"/>
        <v>1200000</v>
      </c>
      <c r="L104" s="705">
        <f t="shared" si="50"/>
        <v>1470000</v>
      </c>
      <c r="M104" s="825">
        <f t="shared" si="51"/>
        <v>2670000</v>
      </c>
      <c r="N104" s="829">
        <f t="shared" si="52"/>
        <v>1017270</v>
      </c>
      <c r="O104" s="1173">
        <f>AW$14</f>
        <v>0.58819999999999995</v>
      </c>
      <c r="P104" s="705">
        <f t="shared" si="53"/>
        <v>755517</v>
      </c>
      <c r="Q104" s="1173">
        <f>CH$14</f>
        <v>0.17580000000000001</v>
      </c>
      <c r="R104" s="705">
        <f t="shared" si="54"/>
        <v>258426</v>
      </c>
      <c r="S104" s="825">
        <f t="shared" si="55"/>
        <v>1013943</v>
      </c>
      <c r="T104" s="825">
        <f t="shared" si="56"/>
        <v>1017270</v>
      </c>
      <c r="U104" s="847">
        <f t="shared" si="57"/>
        <v>813800</v>
      </c>
      <c r="V104" s="705">
        <f t="shared" si="58"/>
        <v>1284456</v>
      </c>
      <c r="W104" s="833">
        <f t="shared" si="59"/>
        <v>1348678.8</v>
      </c>
      <c r="X104" s="705">
        <f t="shared" si="60"/>
        <v>3125000</v>
      </c>
      <c r="Y104" s="705">
        <f t="shared" si="61"/>
        <v>2500000</v>
      </c>
      <c r="AA104" s="843">
        <v>0</v>
      </c>
      <c r="AB104" s="705">
        <f t="shared" si="62"/>
        <v>4595000</v>
      </c>
      <c r="AC104" s="825">
        <f t="shared" si="63"/>
        <v>4595000</v>
      </c>
      <c r="AD104" s="705">
        <f>IF(Main!$L$10="YES",Main!$N$10+AC104,AC104)</f>
        <v>4595000</v>
      </c>
      <c r="AE104" s="705">
        <f>IF(AND((Main!$E$9&gt;=18),(Main!$J$10="YES")),$Y$94+AD104,AD104)</f>
        <v>7095000</v>
      </c>
      <c r="AN104" s="848">
        <v>11</v>
      </c>
      <c r="AO104" s="846">
        <v>35.42</v>
      </c>
      <c r="AP104" s="848">
        <f t="shared" si="64"/>
        <v>487025</v>
      </c>
      <c r="AQ104" s="848">
        <f t="shared" si="65"/>
        <v>1210000</v>
      </c>
      <c r="AR104" s="848">
        <f t="shared" si="66"/>
        <v>1697025</v>
      </c>
      <c r="AS104" s="848">
        <f t="shared" si="80"/>
        <v>750000</v>
      </c>
      <c r="AT104" s="848">
        <f t="shared" si="67"/>
        <v>947025</v>
      </c>
      <c r="AU104" s="845">
        <v>0.5706</v>
      </c>
      <c r="AV104" s="705">
        <f t="shared" si="68"/>
        <v>897886</v>
      </c>
      <c r="AW104" s="845">
        <v>0.17580000000000001</v>
      </c>
      <c r="AX104" s="705">
        <f t="shared" si="69"/>
        <v>212718</v>
      </c>
      <c r="AY104" s="848">
        <f t="shared" si="70"/>
        <v>1110604</v>
      </c>
      <c r="AZ104" s="848">
        <f>IF((AY104&gt;0),AZ103,0)</f>
        <v>750000</v>
      </c>
      <c r="BA104" s="825">
        <f t="shared" si="71"/>
        <v>360604</v>
      </c>
      <c r="BB104" s="847">
        <f t="shared" si="78"/>
        <v>947025</v>
      </c>
      <c r="BC104" s="843">
        <f t="shared" si="79"/>
        <v>852300</v>
      </c>
      <c r="BD104" s="705">
        <f t="shared" si="72"/>
        <v>1573583</v>
      </c>
      <c r="BE104" s="833">
        <f t="shared" si="73"/>
        <v>1652262.15</v>
      </c>
      <c r="BF104" s="705">
        <f t="shared" si="74"/>
        <v>3125000</v>
      </c>
      <c r="BG104" s="705">
        <f t="shared" si="75"/>
        <v>2500000</v>
      </c>
      <c r="BI104" s="843">
        <v>0</v>
      </c>
      <c r="BJ104" s="848">
        <f t="shared" si="76"/>
        <v>4335000</v>
      </c>
      <c r="BK104" s="825">
        <f t="shared" si="77"/>
        <v>4335000</v>
      </c>
      <c r="BL104" s="705">
        <f>IF(Main!$L$10="YES",Main!$N$10+BK104,BK104)</f>
        <v>4335000</v>
      </c>
      <c r="BM104" s="705">
        <f>IF(AND((Main!$E$9&gt;=18),(Main!$J$10="YES")),BG104+BL104,BL104)</f>
        <v>6835000</v>
      </c>
      <c r="BQ104" s="824">
        <v>11</v>
      </c>
      <c r="BR104" s="705">
        <f>-DAT!$AY$6</f>
        <v>-112003</v>
      </c>
      <c r="BS104" s="705">
        <f>-DAT!$AY$6</f>
        <v>-112003</v>
      </c>
      <c r="BT104" s="705">
        <f>-DAT!$AY$6</f>
        <v>-112003</v>
      </c>
      <c r="BU104" s="705">
        <f>-DAT!$AY$6</f>
        <v>-112003</v>
      </c>
      <c r="BV104" s="705">
        <f>-DAT!$AY$6</f>
        <v>-112003</v>
      </c>
      <c r="BW104" s="705">
        <f>-DAT!$AY$6</f>
        <v>-112003</v>
      </c>
      <c r="BX104" s="705">
        <f>-DAT!$AY$6</f>
        <v>-112003</v>
      </c>
      <c r="BY104" s="705">
        <f>-DAT!$AY$6</f>
        <v>-112003</v>
      </c>
      <c r="BZ104" s="705">
        <f>-DAT!$AY$6</f>
        <v>-112003</v>
      </c>
      <c r="CA104" s="705">
        <f>-DAT!$AY$6</f>
        <v>-112003</v>
      </c>
      <c r="CB104" s="705">
        <f>-DAT!$AY$6</f>
        <v>-112003</v>
      </c>
      <c r="CC104" s="705">
        <f>-DAT!$AY$6</f>
        <v>-112003</v>
      </c>
      <c r="CD104" s="705">
        <f>-DAT!$AY$6</f>
        <v>-112003</v>
      </c>
      <c r="CE104" s="705">
        <f>-DAT!$AY$6</f>
        <v>-112003</v>
      </c>
      <c r="CF104" s="705">
        <f>-DAT!$AY$6</f>
        <v>-112003</v>
      </c>
      <c r="CG104" s="705">
        <f>-DAT!$AY$6</f>
        <v>-112003</v>
      </c>
      <c r="CH104" s="705">
        <f>-DAT!$AY$6</f>
        <v>-112003</v>
      </c>
      <c r="CI104" s="705">
        <f>-DAT!$AY$6</f>
        <v>-112003</v>
      </c>
      <c r="CJ104" s="705">
        <f>-DAT!$AY$6</f>
        <v>-112003</v>
      </c>
      <c r="CK104" s="705">
        <f>-DAT!$AY$6</f>
        <v>-112003</v>
      </c>
      <c r="CL104" s="705">
        <f>-DAT!$AY$6</f>
        <v>-112003</v>
      </c>
    </row>
    <row r="105" spans="2:90">
      <c r="B105" s="843">
        <v>20</v>
      </c>
      <c r="C105" s="843">
        <v>45</v>
      </c>
      <c r="D105" s="843">
        <v>90</v>
      </c>
      <c r="I105" s="843">
        <v>13</v>
      </c>
      <c r="J105" s="846">
        <f>N$14</f>
        <v>40.98</v>
      </c>
      <c r="K105" s="705">
        <f t="shared" si="49"/>
        <v>1300000</v>
      </c>
      <c r="L105" s="705">
        <f t="shared" si="50"/>
        <v>1592500</v>
      </c>
      <c r="M105" s="825">
        <f t="shared" si="51"/>
        <v>2892500</v>
      </c>
      <c r="N105" s="829">
        <f t="shared" si="52"/>
        <v>1185347</v>
      </c>
      <c r="O105" s="1173">
        <f>AX$14</f>
        <v>0.60589999999999999</v>
      </c>
      <c r="P105" s="705">
        <f t="shared" si="53"/>
        <v>843106</v>
      </c>
      <c r="Q105" s="1173">
        <f>CI$14</f>
        <v>0.17660000000000001</v>
      </c>
      <c r="R105" s="705">
        <f t="shared" si="54"/>
        <v>281236</v>
      </c>
      <c r="S105" s="825">
        <f t="shared" si="55"/>
        <v>1124342</v>
      </c>
      <c r="T105" s="825">
        <f t="shared" si="56"/>
        <v>1185347</v>
      </c>
      <c r="U105" s="847">
        <f t="shared" si="57"/>
        <v>948300</v>
      </c>
      <c r="V105" s="705">
        <f t="shared" si="58"/>
        <v>1391494</v>
      </c>
      <c r="W105" s="833">
        <f t="shared" si="59"/>
        <v>1461068.7</v>
      </c>
      <c r="X105" s="705">
        <f t="shared" si="60"/>
        <v>3125000</v>
      </c>
      <c r="Y105" s="705">
        <f t="shared" si="61"/>
        <v>2500000</v>
      </c>
      <c r="AA105" s="843">
        <v>0</v>
      </c>
      <c r="AB105" s="705">
        <f t="shared" si="62"/>
        <v>4717500</v>
      </c>
      <c r="AC105" s="825">
        <f t="shared" si="63"/>
        <v>4717500</v>
      </c>
      <c r="AD105" s="705">
        <f>IF(Main!$L$10="YES",Main!$N$10+AC105,AC105)</f>
        <v>4717500</v>
      </c>
      <c r="AE105" s="705">
        <f>IF(AND((Main!$E$9&gt;=18),(Main!$J$10="YES")),$Y$94+AD105,AD105)</f>
        <v>7217500</v>
      </c>
      <c r="AN105" s="848">
        <v>12</v>
      </c>
      <c r="AO105" s="846">
        <v>38.1</v>
      </c>
      <c r="AP105" s="848">
        <f t="shared" si="64"/>
        <v>571500</v>
      </c>
      <c r="AQ105" s="848">
        <f t="shared" si="65"/>
        <v>1320000</v>
      </c>
      <c r="AR105" s="848">
        <f t="shared" si="66"/>
        <v>1891500</v>
      </c>
      <c r="AS105" s="848">
        <f t="shared" si="80"/>
        <v>750000</v>
      </c>
      <c r="AT105" s="848">
        <f t="shared" si="67"/>
        <v>1141500</v>
      </c>
      <c r="AU105" s="845">
        <v>0.58819999999999995</v>
      </c>
      <c r="AV105" s="705">
        <f t="shared" si="68"/>
        <v>1009725</v>
      </c>
      <c r="AW105" s="845">
        <v>0.17580000000000001</v>
      </c>
      <c r="AX105" s="705">
        <f t="shared" si="69"/>
        <v>232056</v>
      </c>
      <c r="AY105" s="848">
        <f t="shared" si="70"/>
        <v>1241781</v>
      </c>
      <c r="AZ105" s="848">
        <f>IF((AY105&gt;0),AZ104,0)</f>
        <v>750000</v>
      </c>
      <c r="BA105" s="825">
        <f t="shared" si="71"/>
        <v>491781</v>
      </c>
      <c r="BB105" s="847">
        <f t="shared" si="78"/>
        <v>1141500</v>
      </c>
      <c r="BC105" s="843">
        <f t="shared" si="79"/>
        <v>1027400</v>
      </c>
      <c r="BD105" s="705">
        <f t="shared" si="72"/>
        <v>1716636</v>
      </c>
      <c r="BE105" s="833">
        <f t="shared" si="73"/>
        <v>1802467.8</v>
      </c>
      <c r="BF105" s="705">
        <f t="shared" si="74"/>
        <v>3125000</v>
      </c>
      <c r="BG105" s="705">
        <f t="shared" si="75"/>
        <v>2500000</v>
      </c>
      <c r="BI105" s="843">
        <v>0</v>
      </c>
      <c r="BJ105" s="848">
        <f t="shared" si="76"/>
        <v>4445000</v>
      </c>
      <c r="BK105" s="825">
        <f t="shared" si="77"/>
        <v>4445000</v>
      </c>
      <c r="BL105" s="705">
        <f>IF(Main!$L$10="YES",Main!$N$10+BK105,BK105)</f>
        <v>4445000</v>
      </c>
      <c r="BM105" s="705">
        <f>IF(AND((Main!$E$9&gt;=18),(Main!$J$10="YES")),BG105+BL105,BL105)</f>
        <v>6945000</v>
      </c>
      <c r="BQ105" s="843">
        <v>12</v>
      </c>
      <c r="BR105" s="705">
        <f>-DAT!$AY$6</f>
        <v>-112003</v>
      </c>
      <c r="BS105" s="705">
        <f>-DAT!$AY$6</f>
        <v>-112003</v>
      </c>
      <c r="BT105" s="705">
        <f>-DAT!$AY$6</f>
        <v>-112003</v>
      </c>
      <c r="BU105" s="705">
        <f>-DAT!$AY$6</f>
        <v>-112003</v>
      </c>
      <c r="BV105" s="705">
        <f>-DAT!$AY$6</f>
        <v>-112003</v>
      </c>
      <c r="BW105" s="705">
        <f>-DAT!$AY$6</f>
        <v>-112003</v>
      </c>
      <c r="BX105" s="705">
        <f>-DAT!$AY$6</f>
        <v>-112003</v>
      </c>
      <c r="BY105" s="705">
        <f>-DAT!$AY$6</f>
        <v>-112003</v>
      </c>
      <c r="BZ105" s="705">
        <f>-DAT!$AY$6</f>
        <v>-112003</v>
      </c>
      <c r="CA105" s="705">
        <f>-DAT!$AY$6</f>
        <v>-112003</v>
      </c>
      <c r="CB105" s="705">
        <f>-DAT!$AY$6</f>
        <v>-112003</v>
      </c>
      <c r="CC105" s="705">
        <f>-DAT!$AY$6</f>
        <v>-112003</v>
      </c>
      <c r="CD105" s="705">
        <f>-DAT!$AY$6</f>
        <v>-112003</v>
      </c>
      <c r="CE105" s="705">
        <f>-DAT!$AY$6</f>
        <v>-112003</v>
      </c>
      <c r="CF105" s="705">
        <f>-DAT!$AY$6</f>
        <v>-112003</v>
      </c>
      <c r="CG105" s="705">
        <f>-DAT!$AY$6</f>
        <v>-112003</v>
      </c>
      <c r="CH105" s="705">
        <f>-DAT!$AY$6</f>
        <v>-112003</v>
      </c>
      <c r="CI105" s="705">
        <f>-DAT!$AY$6</f>
        <v>-112003</v>
      </c>
      <c r="CJ105" s="705">
        <f>-DAT!$AY$6</f>
        <v>-112003</v>
      </c>
      <c r="CK105" s="705">
        <f>-DAT!$AY$6</f>
        <v>-112003</v>
      </c>
      <c r="CL105" s="705">
        <f>-DAT!$AY$6</f>
        <v>-112003</v>
      </c>
    </row>
    <row r="106" spans="2:90">
      <c r="B106" s="843">
        <v>21</v>
      </c>
      <c r="C106" s="843">
        <v>49</v>
      </c>
      <c r="D106" s="843">
        <v>90</v>
      </c>
      <c r="I106" s="843">
        <v>14</v>
      </c>
      <c r="J106" s="846">
        <f>O$14</f>
        <v>44.09</v>
      </c>
      <c r="K106" s="705">
        <f t="shared" si="49"/>
        <v>1400000</v>
      </c>
      <c r="L106" s="705">
        <f t="shared" si="50"/>
        <v>1715000</v>
      </c>
      <c r="M106" s="825">
        <f t="shared" si="51"/>
        <v>3115000</v>
      </c>
      <c r="N106" s="829">
        <f t="shared" si="52"/>
        <v>1373404</v>
      </c>
      <c r="O106" s="1173">
        <f>AY$14</f>
        <v>0.62350000000000005</v>
      </c>
      <c r="P106" s="705">
        <f t="shared" si="53"/>
        <v>934335</v>
      </c>
      <c r="Q106" s="1173">
        <f>CJ$14</f>
        <v>0.17849999999999999</v>
      </c>
      <c r="R106" s="705">
        <f t="shared" si="54"/>
        <v>306128</v>
      </c>
      <c r="S106" s="825">
        <f t="shared" si="55"/>
        <v>1240463</v>
      </c>
      <c r="T106" s="825">
        <f t="shared" si="56"/>
        <v>1373404</v>
      </c>
      <c r="U106" s="847">
        <f t="shared" si="57"/>
        <v>1098700</v>
      </c>
      <c r="V106" s="705">
        <f t="shared" si="58"/>
        <v>1498532</v>
      </c>
      <c r="W106" s="833">
        <f t="shared" si="59"/>
        <v>1573458.6</v>
      </c>
      <c r="X106" s="705">
        <f t="shared" si="60"/>
        <v>3125000</v>
      </c>
      <c r="Y106" s="705">
        <f t="shared" si="61"/>
        <v>2500000</v>
      </c>
      <c r="AA106" s="843">
        <v>0</v>
      </c>
      <c r="AB106" s="705">
        <f t="shared" si="62"/>
        <v>4840000</v>
      </c>
      <c r="AC106" s="825">
        <f t="shared" si="63"/>
        <v>4840000</v>
      </c>
      <c r="AD106" s="705">
        <f>IF(Main!$L$10="YES",Main!$N$10+AC106,AC106)</f>
        <v>4840000</v>
      </c>
      <c r="AE106" s="705">
        <f>IF(AND((Main!$E$9&gt;=18),(Main!$J$10="YES")),$Y$94+AD106,AD106)</f>
        <v>7340000</v>
      </c>
      <c r="AN106" s="848">
        <v>13</v>
      </c>
      <c r="AO106" s="846">
        <v>40.98</v>
      </c>
      <c r="AP106" s="848">
        <f t="shared" si="64"/>
        <v>665924.99999999988</v>
      </c>
      <c r="AQ106" s="848">
        <f t="shared" si="65"/>
        <v>1430000</v>
      </c>
      <c r="AR106" s="848">
        <f t="shared" si="66"/>
        <v>2095925</v>
      </c>
      <c r="AS106" s="848">
        <f t="shared" si="80"/>
        <v>750000</v>
      </c>
      <c r="AT106" s="848">
        <f t="shared" si="67"/>
        <v>1345925</v>
      </c>
      <c r="AU106" s="845">
        <v>0.60589999999999999</v>
      </c>
      <c r="AV106" s="705">
        <f t="shared" si="68"/>
        <v>1126786</v>
      </c>
      <c r="AW106" s="845">
        <v>0.17660000000000001</v>
      </c>
      <c r="AX106" s="705">
        <f t="shared" si="69"/>
        <v>252538</v>
      </c>
      <c r="AY106" s="848">
        <f t="shared" si="70"/>
        <v>1379324</v>
      </c>
      <c r="AZ106" s="848">
        <f>IF((AY106&gt;0),AZ105,0)</f>
        <v>750000</v>
      </c>
      <c r="BA106" s="825">
        <f t="shared" si="71"/>
        <v>629324</v>
      </c>
      <c r="BB106" s="847">
        <f t="shared" si="78"/>
        <v>1345925</v>
      </c>
      <c r="BC106" s="843">
        <f t="shared" si="79"/>
        <v>1211300</v>
      </c>
      <c r="BD106" s="705">
        <f t="shared" si="72"/>
        <v>1859689</v>
      </c>
      <c r="BE106" s="833">
        <f t="shared" si="73"/>
        <v>1952673.45</v>
      </c>
      <c r="BF106" s="705">
        <f t="shared" si="74"/>
        <v>3125000</v>
      </c>
      <c r="BG106" s="705">
        <f t="shared" si="75"/>
        <v>2500000</v>
      </c>
      <c r="BI106" s="843">
        <v>0</v>
      </c>
      <c r="BJ106" s="848">
        <f t="shared" si="76"/>
        <v>4555000</v>
      </c>
      <c r="BK106" s="825">
        <f t="shared" si="77"/>
        <v>4555000</v>
      </c>
      <c r="BL106" s="705">
        <f>IF(Main!$L$10="YES",Main!$N$10+BK106,BK106)</f>
        <v>4555000</v>
      </c>
      <c r="BM106" s="705">
        <f>IF(AND((Main!$E$9&gt;=18),(Main!$J$10="YES")),BG106+BL106,BL106)</f>
        <v>7055000</v>
      </c>
      <c r="BQ106" s="843">
        <v>13</v>
      </c>
      <c r="BR106" s="705">
        <f>-DAT!$AY$6</f>
        <v>-112003</v>
      </c>
      <c r="BS106" s="705">
        <f>-DAT!$AY$6</f>
        <v>-112003</v>
      </c>
      <c r="BT106" s="705">
        <f>-DAT!$AY$6</f>
        <v>-112003</v>
      </c>
      <c r="BU106" s="705">
        <f>-DAT!$AY$6</f>
        <v>-112003</v>
      </c>
      <c r="BV106" s="705">
        <f>-DAT!$AY$6</f>
        <v>-112003</v>
      </c>
      <c r="BW106" s="705">
        <f>-DAT!$AY$6</f>
        <v>-112003</v>
      </c>
      <c r="BX106" s="705">
        <f>-DAT!$AY$6</f>
        <v>-112003</v>
      </c>
      <c r="BY106" s="705">
        <f>-DAT!$AY$6</f>
        <v>-112003</v>
      </c>
      <c r="BZ106" s="705">
        <f>-DAT!$AY$6</f>
        <v>-112003</v>
      </c>
      <c r="CA106" s="705">
        <f>-DAT!$AY$6</f>
        <v>-112003</v>
      </c>
      <c r="CB106" s="705">
        <f>-DAT!$AY$6</f>
        <v>-112003</v>
      </c>
      <c r="CC106" s="705">
        <f>-DAT!$AY$6</f>
        <v>-112003</v>
      </c>
      <c r="CD106" s="705">
        <f>-DAT!$AY$6</f>
        <v>-112003</v>
      </c>
      <c r="CE106" s="705">
        <f>-DAT!$AY$6</f>
        <v>-112003</v>
      </c>
      <c r="CF106" s="705">
        <f>-DAT!$AY$6</f>
        <v>-112003</v>
      </c>
      <c r="CG106" s="705">
        <f>-DAT!$AY$6</f>
        <v>-112003</v>
      </c>
      <c r="CH106" s="705">
        <f>-DAT!$AY$6</f>
        <v>-112003</v>
      </c>
      <c r="CI106" s="705">
        <f>-DAT!$AY$6</f>
        <v>-112003</v>
      </c>
      <c r="CJ106" s="705">
        <f>-DAT!$AY$6</f>
        <v>-112003</v>
      </c>
      <c r="CK106" s="705">
        <f>-DAT!$AY$6</f>
        <v>-112003</v>
      </c>
      <c r="CL106" s="705">
        <f>-DAT!$AY$6</f>
        <v>-112003</v>
      </c>
    </row>
    <row r="107" spans="2:90">
      <c r="B107" s="843">
        <v>22</v>
      </c>
      <c r="C107" s="843">
        <v>49</v>
      </c>
      <c r="D107" s="843">
        <v>90</v>
      </c>
      <c r="I107" s="843">
        <v>15</v>
      </c>
      <c r="J107" s="846">
        <f>P$14</f>
        <v>47.43</v>
      </c>
      <c r="K107" s="705">
        <f t="shared" si="49"/>
        <v>1500000</v>
      </c>
      <c r="L107" s="705">
        <f t="shared" si="50"/>
        <v>1837500</v>
      </c>
      <c r="M107" s="825">
        <f t="shared" si="51"/>
        <v>3337500</v>
      </c>
      <c r="N107" s="829">
        <f t="shared" si="52"/>
        <v>1582976</v>
      </c>
      <c r="O107" s="1173">
        <f>AZ$14</f>
        <v>0.64119999999999999</v>
      </c>
      <c r="P107" s="705">
        <f t="shared" si="53"/>
        <v>1029491</v>
      </c>
      <c r="Q107" s="1173">
        <f>CK$14</f>
        <v>0.18160000000000001</v>
      </c>
      <c r="R107" s="705">
        <f t="shared" si="54"/>
        <v>333690</v>
      </c>
      <c r="S107" s="825">
        <f t="shared" si="55"/>
        <v>1363181</v>
      </c>
      <c r="T107" s="825">
        <f t="shared" si="56"/>
        <v>1582976</v>
      </c>
      <c r="U107" s="847">
        <f t="shared" si="57"/>
        <v>1266400</v>
      </c>
      <c r="V107" s="705">
        <f t="shared" si="58"/>
        <v>1605570</v>
      </c>
      <c r="W107" s="833">
        <f t="shared" si="59"/>
        <v>1685848.5</v>
      </c>
      <c r="X107" s="705">
        <f t="shared" si="60"/>
        <v>3125000</v>
      </c>
      <c r="Y107" s="705">
        <f t="shared" si="61"/>
        <v>2500000</v>
      </c>
      <c r="AA107" s="705">
        <f>C$43*X$90/1000</f>
        <v>50000</v>
      </c>
      <c r="AB107" s="705">
        <f t="shared" si="62"/>
        <v>5012500</v>
      </c>
      <c r="AC107" s="825">
        <f t="shared" si="63"/>
        <v>5012500</v>
      </c>
      <c r="AD107" s="705">
        <f>IF(Main!$L$10="YES",Main!$N$10+AC107,AC107)</f>
        <v>5012500</v>
      </c>
      <c r="AE107" s="705">
        <f>IF(AND((Main!$E$9&gt;=18),(Main!$J$10="YES")),$Y$94+AD107,AD107)</f>
        <v>7512500</v>
      </c>
      <c r="AN107" s="848">
        <v>14</v>
      </c>
      <c r="AO107" s="846">
        <v>44.09</v>
      </c>
      <c r="AP107" s="848">
        <f t="shared" si="64"/>
        <v>771575</v>
      </c>
      <c r="AQ107" s="848">
        <f t="shared" si="65"/>
        <v>1540000</v>
      </c>
      <c r="AR107" s="848">
        <f t="shared" si="66"/>
        <v>2311575</v>
      </c>
      <c r="AS107" s="848">
        <f t="shared" si="80"/>
        <v>750000</v>
      </c>
      <c r="AT107" s="848">
        <f t="shared" si="67"/>
        <v>1561575</v>
      </c>
      <c r="AU107" s="845">
        <v>0.62350000000000005</v>
      </c>
      <c r="AV107" s="705">
        <f t="shared" si="68"/>
        <v>1248710</v>
      </c>
      <c r="AW107" s="845">
        <v>0.17849999999999999</v>
      </c>
      <c r="AX107" s="705">
        <f t="shared" si="69"/>
        <v>274890</v>
      </c>
      <c r="AY107" s="848">
        <f t="shared" si="70"/>
        <v>1523600</v>
      </c>
      <c r="AZ107" s="848">
        <f>IF((AY107&gt;0),AZ106,0)</f>
        <v>750000</v>
      </c>
      <c r="BA107" s="825">
        <f t="shared" si="71"/>
        <v>773600</v>
      </c>
      <c r="BB107" s="847">
        <f t="shared" si="78"/>
        <v>1561575</v>
      </c>
      <c r="BC107" s="843">
        <f t="shared" si="79"/>
        <v>1405400</v>
      </c>
      <c r="BD107" s="705">
        <f t="shared" si="72"/>
        <v>2002742</v>
      </c>
      <c r="BE107" s="833">
        <f t="shared" si="73"/>
        <v>2102879.1</v>
      </c>
      <c r="BF107" s="705">
        <f t="shared" si="74"/>
        <v>3125000</v>
      </c>
      <c r="BG107" s="705">
        <f t="shared" si="75"/>
        <v>2500000</v>
      </c>
      <c r="BI107" s="843">
        <v>0</v>
      </c>
      <c r="BJ107" s="848">
        <f t="shared" si="76"/>
        <v>4665000</v>
      </c>
      <c r="BK107" s="825">
        <f t="shared" si="77"/>
        <v>4665000</v>
      </c>
      <c r="BL107" s="705">
        <f>IF(Main!$L$10="YES",Main!$N$10+BK107,BK107)</f>
        <v>4665000</v>
      </c>
      <c r="BM107" s="705">
        <f>IF(AND((Main!$E$9&gt;=18),(Main!$J$10="YES")),BG107+BL107,BL107)</f>
        <v>7165000</v>
      </c>
      <c r="BQ107" s="843">
        <v>14</v>
      </c>
      <c r="BR107" s="705">
        <f>-DAT!$AY$6</f>
        <v>-112003</v>
      </c>
      <c r="BS107" s="705">
        <f>-DAT!$AY$6</f>
        <v>-112003</v>
      </c>
      <c r="BT107" s="705">
        <f>-DAT!$AY$6</f>
        <v>-112003</v>
      </c>
      <c r="BU107" s="705">
        <f>-DAT!$AY$6</f>
        <v>-112003</v>
      </c>
      <c r="BV107" s="705">
        <f>-DAT!$AY$6</f>
        <v>-112003</v>
      </c>
      <c r="BW107" s="705">
        <f>-DAT!$AY$6</f>
        <v>-112003</v>
      </c>
      <c r="BX107" s="705">
        <f>-DAT!$AY$6</f>
        <v>-112003</v>
      </c>
      <c r="BY107" s="705">
        <f>-DAT!$AY$6</f>
        <v>-112003</v>
      </c>
      <c r="BZ107" s="705">
        <f>-DAT!$AY$6</f>
        <v>-112003</v>
      </c>
      <c r="CA107" s="705">
        <f>-DAT!$AY$6</f>
        <v>-112003</v>
      </c>
      <c r="CB107" s="705">
        <f>-DAT!$AY$6</f>
        <v>-112003</v>
      </c>
      <c r="CC107" s="705">
        <f>-DAT!$AY$6</f>
        <v>-112003</v>
      </c>
      <c r="CD107" s="705">
        <f>-DAT!$AY$6</f>
        <v>-112003</v>
      </c>
      <c r="CE107" s="705">
        <f>-DAT!$AY$6</f>
        <v>-112003</v>
      </c>
      <c r="CF107" s="705">
        <f>-DAT!$AY$6</f>
        <v>-112003</v>
      </c>
      <c r="CG107" s="705">
        <f>-DAT!$AY$6</f>
        <v>-112003</v>
      </c>
      <c r="CH107" s="705">
        <f>-DAT!$AY$6</f>
        <v>-112003</v>
      </c>
      <c r="CI107" s="705">
        <f>-DAT!$AY$6</f>
        <v>-112003</v>
      </c>
      <c r="CJ107" s="705">
        <f>-DAT!$AY$6</f>
        <v>-112003</v>
      </c>
      <c r="CK107" s="705">
        <f>-DAT!$AY$6</f>
        <v>-112003</v>
      </c>
      <c r="CL107" s="705">
        <f>-DAT!$AY$6</f>
        <v>-112003</v>
      </c>
    </row>
    <row r="108" spans="2:90">
      <c r="B108" s="843">
        <v>23</v>
      </c>
      <c r="C108" s="843">
        <v>49</v>
      </c>
      <c r="D108" s="843">
        <v>90</v>
      </c>
      <c r="I108" s="843">
        <v>16</v>
      </c>
      <c r="J108" s="846">
        <f>Q$14</f>
        <v>50.25</v>
      </c>
      <c r="K108" s="705">
        <f t="shared" si="49"/>
        <v>1600000</v>
      </c>
      <c r="L108" s="705">
        <f t="shared" si="50"/>
        <v>1960000</v>
      </c>
      <c r="M108" s="825">
        <f t="shared" si="51"/>
        <v>3560000</v>
      </c>
      <c r="N108" s="829">
        <f t="shared" si="52"/>
        <v>1788900</v>
      </c>
      <c r="O108" s="1173">
        <f>BA$14</f>
        <v>0.65880000000000005</v>
      </c>
      <c r="P108" s="705">
        <f t="shared" si="53"/>
        <v>1128266</v>
      </c>
      <c r="Q108" s="1173">
        <f>CL$14</f>
        <v>0.186</v>
      </c>
      <c r="R108" s="705">
        <f t="shared" si="54"/>
        <v>364560</v>
      </c>
      <c r="S108" s="825">
        <f t="shared" si="55"/>
        <v>1492826</v>
      </c>
      <c r="T108" s="825">
        <f t="shared" si="56"/>
        <v>1788900</v>
      </c>
      <c r="U108" s="847">
        <f t="shared" si="57"/>
        <v>1431100</v>
      </c>
      <c r="V108" s="705">
        <f t="shared" si="58"/>
        <v>1712608</v>
      </c>
      <c r="W108" s="833">
        <f t="shared" si="59"/>
        <v>1798238.4</v>
      </c>
      <c r="X108" s="705">
        <f t="shared" si="60"/>
        <v>3125000</v>
      </c>
      <c r="Y108" s="705">
        <f t="shared" si="61"/>
        <v>2500000</v>
      </c>
      <c r="AA108" s="705">
        <f>D$43*X$90/1000</f>
        <v>62500</v>
      </c>
      <c r="AB108" s="705">
        <f t="shared" si="62"/>
        <v>5147500</v>
      </c>
      <c r="AC108" s="825">
        <f t="shared" si="63"/>
        <v>5147500</v>
      </c>
      <c r="AD108" s="705">
        <f>IF(Main!$L$10="YES",Main!$N$10+AC108,AC108)</f>
        <v>5147500</v>
      </c>
      <c r="AE108" s="705">
        <f>IF(AND((Main!$E$9&gt;=18),(Main!$J$10="YES")),$Y$94+AD108,AD108)</f>
        <v>7647500</v>
      </c>
      <c r="AN108" s="848">
        <v>15</v>
      </c>
      <c r="AO108" s="846">
        <v>47.43</v>
      </c>
      <c r="AP108" s="848">
        <f t="shared" si="64"/>
        <v>889312.5</v>
      </c>
      <c r="AQ108" s="848">
        <f t="shared" si="65"/>
        <v>1650000</v>
      </c>
      <c r="AR108" s="848">
        <f t="shared" si="66"/>
        <v>2539312.5</v>
      </c>
      <c r="AS108" s="848">
        <f t="shared" si="80"/>
        <v>1125000</v>
      </c>
      <c r="AT108" s="848">
        <f t="shared" si="67"/>
        <v>1414312.5</v>
      </c>
      <c r="AU108" s="845">
        <v>0.64119999999999999</v>
      </c>
      <c r="AV108" s="705">
        <f t="shared" si="68"/>
        <v>1375884</v>
      </c>
      <c r="AW108" s="845">
        <v>0.18160000000000001</v>
      </c>
      <c r="AX108" s="705">
        <f t="shared" si="69"/>
        <v>299640</v>
      </c>
      <c r="AY108" s="848">
        <f t="shared" si="70"/>
        <v>1675524</v>
      </c>
      <c r="AZ108" s="848">
        <f>IF((AY108&gt;0),(AL110+AZ107),0)</f>
        <v>1125000</v>
      </c>
      <c r="BA108" s="825">
        <f t="shared" si="71"/>
        <v>550524</v>
      </c>
      <c r="BB108" s="847">
        <f t="shared" si="78"/>
        <v>1414312.5</v>
      </c>
      <c r="BC108" s="843">
        <f t="shared" si="79"/>
        <v>1272900</v>
      </c>
      <c r="BD108" s="705">
        <f t="shared" si="72"/>
        <v>2145795</v>
      </c>
      <c r="BE108" s="833">
        <f t="shared" si="73"/>
        <v>2253084.75</v>
      </c>
      <c r="BF108" s="705">
        <f t="shared" si="74"/>
        <v>3125000</v>
      </c>
      <c r="BG108" s="705">
        <f t="shared" si="75"/>
        <v>2500000</v>
      </c>
      <c r="BI108" s="705">
        <f t="shared" ref="BI108:BI117" si="81">IF(($B$52&lt;200000),(($B$52/1000)*AI66),(($B$52/1000)*AJ66))</f>
        <v>50000</v>
      </c>
      <c r="BJ108" s="848">
        <f t="shared" si="76"/>
        <v>4825000</v>
      </c>
      <c r="BK108" s="825">
        <f t="shared" si="77"/>
        <v>4825000</v>
      </c>
      <c r="BL108" s="705">
        <f>IF(Main!$L$10="YES",Main!$N$10+BK108,BK108)</f>
        <v>4825000</v>
      </c>
      <c r="BM108" s="705">
        <f>IF(AND((Main!$E$9&gt;=18),(Main!$J$10="YES")),BG108+BL108,BL108)</f>
        <v>7325000</v>
      </c>
      <c r="BQ108" s="843">
        <v>15</v>
      </c>
      <c r="BR108" s="705">
        <f>-DAT!$AY$6</f>
        <v>-112003</v>
      </c>
      <c r="BS108" s="705">
        <f>-DAT!$AY$6</f>
        <v>-112003</v>
      </c>
      <c r="BT108" s="705">
        <f>-DAT!$AY$6</f>
        <v>-112003</v>
      </c>
      <c r="BU108" s="705">
        <f>-DAT!$AY$6</f>
        <v>-112003</v>
      </c>
      <c r="BV108" s="705">
        <f>-DAT!$AY$6</f>
        <v>-112003</v>
      </c>
      <c r="BW108" s="705">
        <f>-DAT!$AY$6</f>
        <v>-112003</v>
      </c>
      <c r="BX108" s="705">
        <f>-DAT!$AY$6</f>
        <v>-112003</v>
      </c>
      <c r="BY108" s="705">
        <f>-DAT!$AY$6</f>
        <v>-112003</v>
      </c>
      <c r="BZ108" s="705">
        <f>-DAT!$AY$6</f>
        <v>-112003</v>
      </c>
      <c r="CA108" s="705">
        <f>-DAT!$AY$6</f>
        <v>-112003</v>
      </c>
      <c r="CB108" s="705">
        <f>-DAT!$AY$6</f>
        <v>-112003</v>
      </c>
      <c r="CC108" s="705">
        <f>-DAT!$AY$6</f>
        <v>-112003</v>
      </c>
      <c r="CD108" s="705">
        <f>-DAT!$AY$6</f>
        <v>-112003</v>
      </c>
      <c r="CE108" s="705">
        <f>-DAT!$AY$6</f>
        <v>-112003</v>
      </c>
      <c r="CF108" s="705">
        <f>-DAT!$AY$6</f>
        <v>-112003</v>
      </c>
      <c r="CG108" s="705">
        <f>-DAT!$AY$6</f>
        <v>-112003</v>
      </c>
      <c r="CH108" s="705">
        <f>-DAT!$AY$6</f>
        <v>-112003</v>
      </c>
      <c r="CI108" s="705">
        <f>-DAT!$AY$6</f>
        <v>-112003</v>
      </c>
      <c r="CJ108" s="705">
        <f>-DAT!$AY$6</f>
        <v>-112003</v>
      </c>
      <c r="CK108" s="705">
        <f>-DAT!$AY$6</f>
        <v>-112003</v>
      </c>
      <c r="CL108" s="705">
        <f>-DAT!$AY$6</f>
        <v>-112003</v>
      </c>
    </row>
    <row r="109" spans="2:90">
      <c r="B109" s="843">
        <v>24</v>
      </c>
      <c r="C109" s="843">
        <v>49</v>
      </c>
      <c r="D109" s="843">
        <v>80</v>
      </c>
      <c r="I109" s="843">
        <v>17</v>
      </c>
      <c r="J109" s="846">
        <f>R$14</f>
        <v>53.4</v>
      </c>
      <c r="K109" s="705">
        <f t="shared" si="49"/>
        <v>1700000</v>
      </c>
      <c r="L109" s="705">
        <f t="shared" si="50"/>
        <v>2082500</v>
      </c>
      <c r="M109" s="825">
        <f t="shared" si="51"/>
        <v>3782500</v>
      </c>
      <c r="N109" s="829">
        <f t="shared" si="52"/>
        <v>2019855</v>
      </c>
      <c r="O109" s="1173">
        <f>BB$14</f>
        <v>0.67649999999999999</v>
      </c>
      <c r="P109" s="705">
        <f t="shared" si="53"/>
        <v>1230991</v>
      </c>
      <c r="Q109" s="1173">
        <f>CM$14</f>
        <v>0.1918</v>
      </c>
      <c r="R109" s="705">
        <f t="shared" si="54"/>
        <v>399424</v>
      </c>
      <c r="S109" s="825">
        <f t="shared" si="55"/>
        <v>1630415</v>
      </c>
      <c r="T109" s="825">
        <f t="shared" si="56"/>
        <v>2019855</v>
      </c>
      <c r="U109" s="847">
        <f t="shared" si="57"/>
        <v>1615900</v>
      </c>
      <c r="V109" s="705">
        <f t="shared" si="58"/>
        <v>1819646</v>
      </c>
      <c r="W109" s="833">
        <f t="shared" si="59"/>
        <v>1910628.3</v>
      </c>
      <c r="X109" s="705">
        <f t="shared" si="60"/>
        <v>3125000</v>
      </c>
      <c r="Y109" s="705">
        <f t="shared" si="61"/>
        <v>2500000</v>
      </c>
      <c r="AA109" s="705">
        <f>E$43*X$90/1000</f>
        <v>75000</v>
      </c>
      <c r="AB109" s="705">
        <f t="shared" si="62"/>
        <v>5282500</v>
      </c>
      <c r="AC109" s="825">
        <f t="shared" si="63"/>
        <v>5282500</v>
      </c>
      <c r="AD109" s="705">
        <f>IF(Main!$L$10="YES",Main!$N$10+AC109,AC109)</f>
        <v>5282500</v>
      </c>
      <c r="AE109" s="705">
        <f>IF(AND((Main!$E$9&gt;=18),(Main!$J$10="YES")),$Y$94+AD109,AD109)</f>
        <v>7782500</v>
      </c>
      <c r="AN109" s="848">
        <v>16</v>
      </c>
      <c r="AO109" s="846">
        <v>50.25</v>
      </c>
      <c r="AP109" s="848">
        <f t="shared" si="64"/>
        <v>1004999.9999999999</v>
      </c>
      <c r="AQ109" s="848">
        <f t="shared" si="65"/>
        <v>1760000</v>
      </c>
      <c r="AR109" s="848">
        <f t="shared" si="66"/>
        <v>2765000</v>
      </c>
      <c r="AS109" s="848">
        <f t="shared" si="80"/>
        <v>1125000</v>
      </c>
      <c r="AT109" s="848">
        <f t="shared" si="67"/>
        <v>1640000</v>
      </c>
      <c r="AU109" s="845">
        <v>0.65880000000000005</v>
      </c>
      <c r="AV109" s="705">
        <f t="shared" si="68"/>
        <v>1507893</v>
      </c>
      <c r="AW109" s="845">
        <v>0.186</v>
      </c>
      <c r="AX109" s="705">
        <f t="shared" si="69"/>
        <v>327360</v>
      </c>
      <c r="AY109" s="848">
        <f t="shared" si="70"/>
        <v>1835253</v>
      </c>
      <c r="AZ109" s="848">
        <f>IF((AY109&gt;0),AZ108,0)</f>
        <v>1125000</v>
      </c>
      <c r="BA109" s="825">
        <f t="shared" si="71"/>
        <v>710253</v>
      </c>
      <c r="BB109" s="847">
        <f t="shared" si="78"/>
        <v>1640000</v>
      </c>
      <c r="BC109" s="843">
        <f t="shared" si="79"/>
        <v>1476000</v>
      </c>
      <c r="BD109" s="705">
        <f t="shared" si="72"/>
        <v>2288848</v>
      </c>
      <c r="BE109" s="833">
        <f t="shared" si="73"/>
        <v>2403290.4</v>
      </c>
      <c r="BF109" s="705">
        <f t="shared" si="74"/>
        <v>3125000</v>
      </c>
      <c r="BG109" s="705">
        <f t="shared" si="75"/>
        <v>2500000</v>
      </c>
      <c r="BI109" s="705">
        <f t="shared" si="81"/>
        <v>50000</v>
      </c>
      <c r="BJ109" s="848">
        <f t="shared" si="76"/>
        <v>4935000</v>
      </c>
      <c r="BK109" s="825">
        <f t="shared" si="77"/>
        <v>4935000</v>
      </c>
      <c r="BL109" s="705">
        <f>IF(Main!$L$10="YES",Main!$N$10+BK109,BK109)</f>
        <v>4935000</v>
      </c>
      <c r="BM109" s="705">
        <f>IF(AND((Main!$E$9&gt;=18),(Main!$J$10="YES")),BG109+BL109,BL109)</f>
        <v>7435000</v>
      </c>
      <c r="BQ109" s="843">
        <v>16</v>
      </c>
      <c r="BR109" s="848">
        <f>$G$96</f>
        <v>6687500</v>
      </c>
      <c r="BS109" s="705">
        <f>-DAT!$AY$6</f>
        <v>-112003</v>
      </c>
      <c r="BT109" s="705">
        <f>-DAT!$AY$6</f>
        <v>-112003</v>
      </c>
      <c r="BU109" s="705">
        <f>-DAT!$AY$6</f>
        <v>-112003</v>
      </c>
      <c r="BV109" s="705">
        <f>-DAT!$AY$6</f>
        <v>-112003</v>
      </c>
      <c r="BW109" s="705">
        <f>-DAT!$AY$6</f>
        <v>-112003</v>
      </c>
      <c r="BX109" s="705">
        <f>-DAT!$AY$6</f>
        <v>-112003</v>
      </c>
      <c r="BY109" s="705">
        <f>-DAT!$AY$6</f>
        <v>-112003</v>
      </c>
      <c r="BZ109" s="705">
        <f>-DAT!$AY$6</f>
        <v>-112003</v>
      </c>
      <c r="CA109" s="705">
        <f>-DAT!$AY$6</f>
        <v>-112003</v>
      </c>
      <c r="CB109" s="705">
        <f>-DAT!$AY$6</f>
        <v>-112003</v>
      </c>
      <c r="CC109" s="705">
        <f>-DAT!$AY$6</f>
        <v>-112003</v>
      </c>
      <c r="CD109" s="705">
        <f>-DAT!$AY$6</f>
        <v>-112003</v>
      </c>
      <c r="CE109" s="705">
        <f>-DAT!$AY$6</f>
        <v>-112003</v>
      </c>
      <c r="CF109" s="705">
        <f>-DAT!$AY$6</f>
        <v>-112003</v>
      </c>
      <c r="CG109" s="705">
        <f>-DAT!$AY$6</f>
        <v>-112003</v>
      </c>
      <c r="CH109" s="705">
        <f>-DAT!$AY$6</f>
        <v>-112003</v>
      </c>
      <c r="CI109" s="705">
        <f>-DAT!$AY$6</f>
        <v>-112003</v>
      </c>
      <c r="CJ109" s="705">
        <f>-DAT!$AY$6</f>
        <v>-112003</v>
      </c>
      <c r="CK109" s="705">
        <f>-DAT!$AY$6</f>
        <v>-112003</v>
      </c>
      <c r="CL109" s="705">
        <f>-DAT!$AY$6</f>
        <v>-112003</v>
      </c>
    </row>
    <row r="110" spans="2:90">
      <c r="B110" s="843">
        <v>25</v>
      </c>
      <c r="C110" s="843">
        <v>49</v>
      </c>
      <c r="D110" s="843">
        <v>80</v>
      </c>
      <c r="I110" s="843">
        <v>18</v>
      </c>
      <c r="J110" s="846">
        <f>S$14</f>
        <v>56.95</v>
      </c>
      <c r="K110" s="705">
        <f t="shared" si="49"/>
        <v>1800000</v>
      </c>
      <c r="L110" s="705">
        <f t="shared" si="50"/>
        <v>2205000</v>
      </c>
      <c r="M110" s="825">
        <f t="shared" si="51"/>
        <v>4005000</v>
      </c>
      <c r="N110" s="829">
        <f t="shared" si="52"/>
        <v>2280848</v>
      </c>
      <c r="O110" s="1173">
        <f>BC$14</f>
        <v>0.69410000000000005</v>
      </c>
      <c r="P110" s="705">
        <f t="shared" si="53"/>
        <v>1337311</v>
      </c>
      <c r="Q110" s="1173">
        <f>CN$14</f>
        <v>0.1993</v>
      </c>
      <c r="R110" s="705">
        <f t="shared" si="54"/>
        <v>439457</v>
      </c>
      <c r="S110" s="825">
        <f t="shared" si="55"/>
        <v>1776768</v>
      </c>
      <c r="T110" s="825">
        <f t="shared" si="56"/>
        <v>2280848</v>
      </c>
      <c r="U110" s="847">
        <f t="shared" si="57"/>
        <v>1824700</v>
      </c>
      <c r="V110" s="705">
        <f t="shared" si="58"/>
        <v>1926684</v>
      </c>
      <c r="W110" s="833">
        <f t="shared" si="59"/>
        <v>2023018.2</v>
      </c>
      <c r="X110" s="705">
        <f t="shared" si="60"/>
        <v>3125000</v>
      </c>
      <c r="Y110" s="705">
        <f t="shared" si="61"/>
        <v>2500000</v>
      </c>
      <c r="AA110" s="705">
        <f>F$43*X$90/1000</f>
        <v>87500</v>
      </c>
      <c r="AB110" s="705">
        <f t="shared" si="62"/>
        <v>5417500</v>
      </c>
      <c r="AC110" s="825">
        <f t="shared" si="63"/>
        <v>5417500</v>
      </c>
      <c r="AD110" s="705">
        <f>IF(Main!$L$10="YES",Main!$N$10+AC110,AC110)</f>
        <v>5417500</v>
      </c>
      <c r="AE110" s="705">
        <f>IF(AND((Main!$E$9&gt;=18),(Main!$J$10="YES")),$Y$94+AD110,AD110)</f>
        <v>7917500</v>
      </c>
      <c r="AL110" s="705">
        <f>B52*15%</f>
        <v>375000</v>
      </c>
      <c r="AN110" s="848">
        <v>17</v>
      </c>
      <c r="AO110" s="846">
        <v>53.4</v>
      </c>
      <c r="AP110" s="848">
        <f t="shared" si="64"/>
        <v>1134750</v>
      </c>
      <c r="AQ110" s="848">
        <f t="shared" si="65"/>
        <v>1870000</v>
      </c>
      <c r="AR110" s="848">
        <f t="shared" si="66"/>
        <v>3004750</v>
      </c>
      <c r="AS110" s="848">
        <f t="shared" si="80"/>
        <v>1125000</v>
      </c>
      <c r="AT110" s="848">
        <f t="shared" si="67"/>
        <v>1879750</v>
      </c>
      <c r="AU110" s="845">
        <v>0.67649999999999999</v>
      </c>
      <c r="AV110" s="705">
        <f t="shared" si="68"/>
        <v>1645181</v>
      </c>
      <c r="AW110" s="845">
        <v>0.1918</v>
      </c>
      <c r="AX110" s="705">
        <f t="shared" si="69"/>
        <v>358666</v>
      </c>
      <c r="AY110" s="848">
        <f t="shared" si="70"/>
        <v>2003847</v>
      </c>
      <c r="AZ110" s="848">
        <f>IF((AY110&gt;0),AZ109,0)</f>
        <v>1125000</v>
      </c>
      <c r="BA110" s="825">
        <f t="shared" si="71"/>
        <v>878847</v>
      </c>
      <c r="BB110" s="847">
        <f t="shared" si="78"/>
        <v>1879750</v>
      </c>
      <c r="BC110" s="843">
        <f t="shared" si="79"/>
        <v>1691800</v>
      </c>
      <c r="BD110" s="705">
        <f t="shared" si="72"/>
        <v>2431901</v>
      </c>
      <c r="BE110" s="833">
        <f t="shared" si="73"/>
        <v>2553496.0499999998</v>
      </c>
      <c r="BF110" s="705">
        <f t="shared" si="74"/>
        <v>3125000</v>
      </c>
      <c r="BG110" s="705">
        <f t="shared" si="75"/>
        <v>2500000</v>
      </c>
      <c r="BI110" s="705">
        <f t="shared" si="81"/>
        <v>50000</v>
      </c>
      <c r="BJ110" s="848">
        <f t="shared" si="76"/>
        <v>5045000</v>
      </c>
      <c r="BK110" s="825">
        <f t="shared" si="77"/>
        <v>5045000</v>
      </c>
      <c r="BL110" s="705">
        <f>IF(Main!$L$10="YES",Main!$N$10+BK110,BK110)</f>
        <v>5045000</v>
      </c>
      <c r="BM110" s="705">
        <f>IF(AND((Main!$E$9&gt;=18),(Main!$J$10="YES")),BG110+BL110,BL110)</f>
        <v>7545000</v>
      </c>
      <c r="BQ110" s="843">
        <v>17</v>
      </c>
      <c r="BS110" s="848">
        <f>$G$96</f>
        <v>6687500</v>
      </c>
      <c r="BT110" s="705">
        <f>-DAT!$AY$6</f>
        <v>-112003</v>
      </c>
      <c r="BU110" s="705">
        <f>-DAT!$AY$6</f>
        <v>-112003</v>
      </c>
      <c r="BV110" s="705">
        <f>-DAT!$AY$6</f>
        <v>-112003</v>
      </c>
      <c r="BW110" s="705">
        <f>-DAT!$AY$6</f>
        <v>-112003</v>
      </c>
      <c r="BX110" s="705">
        <f>-DAT!$AY$6</f>
        <v>-112003</v>
      </c>
      <c r="BY110" s="705">
        <f>-DAT!$AY$6</f>
        <v>-112003</v>
      </c>
      <c r="BZ110" s="705">
        <f>-DAT!$AY$6</f>
        <v>-112003</v>
      </c>
      <c r="CA110" s="705">
        <f>-DAT!$AY$6</f>
        <v>-112003</v>
      </c>
      <c r="CB110" s="705">
        <f>-DAT!$AY$6</f>
        <v>-112003</v>
      </c>
      <c r="CC110" s="705">
        <f>-DAT!$AY$6</f>
        <v>-112003</v>
      </c>
      <c r="CD110" s="705">
        <f>-DAT!$AY$6</f>
        <v>-112003</v>
      </c>
      <c r="CE110" s="705">
        <f>-DAT!$AY$6</f>
        <v>-112003</v>
      </c>
      <c r="CF110" s="705">
        <f>-DAT!$AY$6</f>
        <v>-112003</v>
      </c>
      <c r="CG110" s="705">
        <f>-DAT!$AY$6</f>
        <v>-112003</v>
      </c>
      <c r="CH110" s="705">
        <f>-DAT!$AY$6</f>
        <v>-112003</v>
      </c>
      <c r="CI110" s="705">
        <f>-DAT!$AY$6</f>
        <v>-112003</v>
      </c>
      <c r="CJ110" s="705">
        <f>-DAT!$AY$6</f>
        <v>-112003</v>
      </c>
      <c r="CK110" s="705">
        <f>-DAT!$AY$6</f>
        <v>-112003</v>
      </c>
      <c r="CL110" s="705">
        <f>-DAT!$AY$6</f>
        <v>-112003</v>
      </c>
    </row>
    <row r="111" spans="2:90">
      <c r="B111" s="843">
        <v>26</v>
      </c>
      <c r="C111" s="843">
        <v>49</v>
      </c>
      <c r="D111" s="843">
        <v>80</v>
      </c>
      <c r="I111" s="843">
        <v>19</v>
      </c>
      <c r="J111" s="846">
        <f>T$14</f>
        <v>60.95</v>
      </c>
      <c r="K111" s="705">
        <f t="shared" si="49"/>
        <v>1900000</v>
      </c>
      <c r="L111" s="705">
        <f t="shared" si="50"/>
        <v>2327500</v>
      </c>
      <c r="M111" s="825">
        <f t="shared" si="51"/>
        <v>4227500</v>
      </c>
      <c r="N111" s="829">
        <f t="shared" si="52"/>
        <v>2576661</v>
      </c>
      <c r="O111" s="1173">
        <f>BD$14</f>
        <v>0.71179999999999999</v>
      </c>
      <c r="P111" s="705">
        <f t="shared" si="53"/>
        <v>1447603</v>
      </c>
      <c r="Q111" s="1173">
        <f>CO$14</f>
        <v>0.20849999999999999</v>
      </c>
      <c r="R111" s="705">
        <f t="shared" si="54"/>
        <v>485284</v>
      </c>
      <c r="S111" s="825">
        <f t="shared" si="55"/>
        <v>1932887</v>
      </c>
      <c r="T111" s="825">
        <f t="shared" si="56"/>
        <v>2576661</v>
      </c>
      <c r="U111" s="847">
        <f t="shared" si="57"/>
        <v>2061300</v>
      </c>
      <c r="V111" s="705">
        <f t="shared" si="58"/>
        <v>2033722</v>
      </c>
      <c r="W111" s="833">
        <f t="shared" si="59"/>
        <v>2135408.1</v>
      </c>
      <c r="X111" s="705">
        <f t="shared" si="60"/>
        <v>3125000</v>
      </c>
      <c r="Y111" s="705">
        <f t="shared" si="61"/>
        <v>2500000</v>
      </c>
      <c r="AA111" s="705">
        <f>G$43*X$90/1000</f>
        <v>125000</v>
      </c>
      <c r="AB111" s="705">
        <f t="shared" si="62"/>
        <v>5577500</v>
      </c>
      <c r="AC111" s="825">
        <f t="shared" si="63"/>
        <v>5577500</v>
      </c>
      <c r="AD111" s="705">
        <f>IF(Main!$L$10="YES",Main!$N$10+AC111,AC111)</f>
        <v>5577500</v>
      </c>
      <c r="AE111" s="705">
        <f>IF(AND((Main!$E$9&gt;=18),(Main!$J$10="YES")),$Y$94+AD111,AD111)</f>
        <v>8077500</v>
      </c>
      <c r="AN111" s="848">
        <v>18</v>
      </c>
      <c r="AO111" s="846">
        <v>56.95</v>
      </c>
      <c r="AP111" s="848">
        <f t="shared" si="64"/>
        <v>1281375</v>
      </c>
      <c r="AQ111" s="848">
        <f t="shared" si="65"/>
        <v>1980000</v>
      </c>
      <c r="AR111" s="848">
        <f t="shared" si="66"/>
        <v>3261375</v>
      </c>
      <c r="AS111" s="848">
        <f t="shared" si="80"/>
        <v>1125000</v>
      </c>
      <c r="AT111" s="848">
        <f t="shared" si="67"/>
        <v>2136375</v>
      </c>
      <c r="AU111" s="845">
        <v>0.69410000000000005</v>
      </c>
      <c r="AV111" s="705">
        <f t="shared" si="68"/>
        <v>1787276</v>
      </c>
      <c r="AW111" s="845">
        <v>0.1993</v>
      </c>
      <c r="AX111" s="705">
        <f t="shared" si="69"/>
        <v>394614</v>
      </c>
      <c r="AY111" s="848">
        <f t="shared" si="70"/>
        <v>2181890</v>
      </c>
      <c r="AZ111" s="848">
        <f>IF((AY111&gt;0),AZ110,0)</f>
        <v>1125000</v>
      </c>
      <c r="BA111" s="825">
        <f t="shared" si="71"/>
        <v>1056890</v>
      </c>
      <c r="BB111" s="847">
        <f t="shared" si="78"/>
        <v>2136375</v>
      </c>
      <c r="BC111" s="843">
        <f t="shared" si="79"/>
        <v>1922700</v>
      </c>
      <c r="BD111" s="705">
        <f t="shared" si="72"/>
        <v>2574954</v>
      </c>
      <c r="BE111" s="833">
        <f t="shared" si="73"/>
        <v>2703701.7</v>
      </c>
      <c r="BF111" s="705">
        <f t="shared" si="74"/>
        <v>3125000</v>
      </c>
      <c r="BG111" s="705">
        <f t="shared" si="75"/>
        <v>2500000</v>
      </c>
      <c r="BI111" s="705">
        <f t="shared" si="81"/>
        <v>50000</v>
      </c>
      <c r="BJ111" s="848">
        <f t="shared" si="76"/>
        <v>5155000</v>
      </c>
      <c r="BK111" s="825">
        <f t="shared" si="77"/>
        <v>5155000</v>
      </c>
      <c r="BL111" s="705">
        <f>IF(Main!$L$10="YES",Main!$N$10+BK111,BK111)</f>
        <v>5155000</v>
      </c>
      <c r="BM111" s="705">
        <f>IF(AND((Main!$E$9&gt;=18),(Main!$J$10="YES")),BG111+BL111,BL111)</f>
        <v>7655000</v>
      </c>
      <c r="BQ111" s="843">
        <v>18</v>
      </c>
      <c r="BT111" s="848">
        <f>$G$96</f>
        <v>6687500</v>
      </c>
      <c r="BU111" s="705">
        <f>-DAT!$AY$6</f>
        <v>-112003</v>
      </c>
      <c r="BV111" s="705">
        <f>-DAT!$AY$6</f>
        <v>-112003</v>
      </c>
      <c r="BW111" s="705">
        <f>-DAT!$AY$6</f>
        <v>-112003</v>
      </c>
      <c r="BX111" s="705">
        <f>-DAT!$AY$6</f>
        <v>-112003</v>
      </c>
      <c r="BY111" s="705">
        <f>-DAT!$AY$6</f>
        <v>-112003</v>
      </c>
      <c r="BZ111" s="705">
        <f>-DAT!$AY$6</f>
        <v>-112003</v>
      </c>
      <c r="CA111" s="705">
        <f>-DAT!$AY$6</f>
        <v>-112003</v>
      </c>
      <c r="CB111" s="705">
        <f>-DAT!$AY$6</f>
        <v>-112003</v>
      </c>
      <c r="CC111" s="705">
        <f>-DAT!$AY$6</f>
        <v>-112003</v>
      </c>
      <c r="CD111" s="705">
        <f>-DAT!$AY$6</f>
        <v>-112003</v>
      </c>
      <c r="CE111" s="705">
        <f>-DAT!$AY$6</f>
        <v>-112003</v>
      </c>
      <c r="CF111" s="705">
        <f>-DAT!$AY$6</f>
        <v>-112003</v>
      </c>
      <c r="CG111" s="705">
        <f>-DAT!$AY$6</f>
        <v>-112003</v>
      </c>
      <c r="CH111" s="705">
        <f>-DAT!$AY$6</f>
        <v>-112003</v>
      </c>
      <c r="CI111" s="705">
        <f>-DAT!$AY$6</f>
        <v>-112003</v>
      </c>
      <c r="CJ111" s="705">
        <f>-DAT!$AY$6</f>
        <v>-112003</v>
      </c>
      <c r="CK111" s="705">
        <f>-DAT!$AY$6</f>
        <v>-112003</v>
      </c>
      <c r="CL111" s="705">
        <f>-DAT!$AY$6</f>
        <v>-112003</v>
      </c>
    </row>
    <row r="112" spans="2:90">
      <c r="B112" s="843">
        <v>27</v>
      </c>
      <c r="C112" s="843">
        <v>49</v>
      </c>
      <c r="D112" s="843">
        <v>80</v>
      </c>
      <c r="I112" s="843">
        <v>20</v>
      </c>
      <c r="J112" s="846">
        <f>U$14</f>
        <v>65.489999999999995</v>
      </c>
      <c r="K112" s="705">
        <f t="shared" si="49"/>
        <v>2000000</v>
      </c>
      <c r="L112" s="705">
        <f t="shared" si="50"/>
        <v>2450000</v>
      </c>
      <c r="M112" s="825">
        <f t="shared" si="51"/>
        <v>4450000</v>
      </c>
      <c r="N112" s="829">
        <f t="shared" si="52"/>
        <v>2914305</v>
      </c>
      <c r="O112" s="1173">
        <f>BE$14</f>
        <v>0.72940000000000005</v>
      </c>
      <c r="P112" s="705">
        <f t="shared" si="53"/>
        <v>1561470</v>
      </c>
      <c r="Q112" s="1173">
        <f>CP$14</f>
        <v>0.21990000000000001</v>
      </c>
      <c r="R112" s="705">
        <f t="shared" si="54"/>
        <v>538755</v>
      </c>
      <c r="S112" s="825">
        <f t="shared" si="55"/>
        <v>2100225</v>
      </c>
      <c r="T112" s="825">
        <f t="shared" si="56"/>
        <v>2914305</v>
      </c>
      <c r="U112" s="847">
        <f t="shared" si="57"/>
        <v>2331400</v>
      </c>
      <c r="V112" s="705">
        <f t="shared" si="58"/>
        <v>2140760</v>
      </c>
      <c r="W112" s="833">
        <f t="shared" si="59"/>
        <v>2247798</v>
      </c>
      <c r="X112" s="705">
        <f t="shared" si="60"/>
        <v>3125000</v>
      </c>
      <c r="Y112" s="705">
        <f t="shared" si="61"/>
        <v>2500000</v>
      </c>
      <c r="AA112" s="705">
        <f>H$43*X$90/1000</f>
        <v>175000</v>
      </c>
      <c r="AB112" s="705">
        <f t="shared" si="62"/>
        <v>5750000</v>
      </c>
      <c r="AC112" s="825">
        <f t="shared" si="63"/>
        <v>5750000</v>
      </c>
      <c r="AD112" s="705">
        <f>IF(Main!$L$10="YES",Main!$N$10+AC112,AC112)</f>
        <v>5750000</v>
      </c>
      <c r="AE112" s="705">
        <f>IF(AND((Main!$E$9&gt;=18),(Main!$J$10="YES")),$Y$94+AD112,AD112)</f>
        <v>8250000</v>
      </c>
      <c r="AN112" s="848">
        <v>19</v>
      </c>
      <c r="AO112" s="846">
        <v>60.95</v>
      </c>
      <c r="AP112" s="848">
        <f t="shared" si="64"/>
        <v>1447562.5</v>
      </c>
      <c r="AQ112" s="848">
        <f t="shared" si="65"/>
        <v>2090000</v>
      </c>
      <c r="AR112" s="848">
        <f t="shared" si="66"/>
        <v>3537562.5</v>
      </c>
      <c r="AS112" s="848">
        <f t="shared" si="80"/>
        <v>1125000</v>
      </c>
      <c r="AT112" s="848">
        <f t="shared" si="67"/>
        <v>2412562.5</v>
      </c>
      <c r="AU112" s="845">
        <v>0.71179999999999999</v>
      </c>
      <c r="AV112" s="705">
        <f t="shared" si="68"/>
        <v>1934677</v>
      </c>
      <c r="AW112" s="845">
        <v>0.20849999999999999</v>
      </c>
      <c r="AX112" s="705">
        <f t="shared" si="69"/>
        <v>435765</v>
      </c>
      <c r="AY112" s="848">
        <f t="shared" si="70"/>
        <v>2370442</v>
      </c>
      <c r="AZ112" s="848">
        <f>IF((AY112&gt;0),AZ111,0)</f>
        <v>1125000</v>
      </c>
      <c r="BA112" s="825">
        <f t="shared" si="71"/>
        <v>1245442</v>
      </c>
      <c r="BB112" s="847">
        <f t="shared" si="78"/>
        <v>2412562.5</v>
      </c>
      <c r="BC112" s="843">
        <f t="shared" si="79"/>
        <v>2171300</v>
      </c>
      <c r="BD112" s="705">
        <f t="shared" si="72"/>
        <v>2718007</v>
      </c>
      <c r="BE112" s="833">
        <f t="shared" si="73"/>
        <v>2853907.35</v>
      </c>
      <c r="BF112" s="705">
        <f t="shared" si="74"/>
        <v>3125000</v>
      </c>
      <c r="BG112" s="705">
        <f t="shared" si="75"/>
        <v>2500000</v>
      </c>
      <c r="BI112" s="705">
        <f t="shared" si="81"/>
        <v>50000</v>
      </c>
      <c r="BJ112" s="848">
        <f t="shared" si="76"/>
        <v>5265000</v>
      </c>
      <c r="BK112" s="825">
        <f t="shared" si="77"/>
        <v>5265000</v>
      </c>
      <c r="BL112" s="705">
        <f>IF(Main!$L$10="YES",Main!$N$10+BK112,BK112)</f>
        <v>5265000</v>
      </c>
      <c r="BM112" s="705">
        <f>IF(AND((Main!$E$9&gt;=18),(Main!$J$10="YES")),BG112+BL112,BL112)</f>
        <v>7765000</v>
      </c>
      <c r="BQ112" s="843">
        <v>19</v>
      </c>
      <c r="BU112" s="848">
        <f>$G$96</f>
        <v>6687500</v>
      </c>
      <c r="BV112" s="705">
        <f>-DAT!$AY$6</f>
        <v>-112003</v>
      </c>
      <c r="BW112" s="705">
        <f>-DAT!$AY$6</f>
        <v>-112003</v>
      </c>
      <c r="BX112" s="705">
        <f>-DAT!$AY$6</f>
        <v>-112003</v>
      </c>
      <c r="BY112" s="705">
        <f>-DAT!$AY$6</f>
        <v>-112003</v>
      </c>
      <c r="BZ112" s="705">
        <f>-DAT!$AY$6</f>
        <v>-112003</v>
      </c>
      <c r="CA112" s="705">
        <f>-DAT!$AY$6</f>
        <v>-112003</v>
      </c>
      <c r="CB112" s="705">
        <f>-DAT!$AY$6</f>
        <v>-112003</v>
      </c>
      <c r="CC112" s="705">
        <f>-DAT!$AY$6</f>
        <v>-112003</v>
      </c>
      <c r="CD112" s="705">
        <f>-DAT!$AY$6</f>
        <v>-112003</v>
      </c>
      <c r="CE112" s="705">
        <f>-DAT!$AY$6</f>
        <v>-112003</v>
      </c>
      <c r="CF112" s="705">
        <f>-DAT!$AY$6</f>
        <v>-112003</v>
      </c>
      <c r="CG112" s="705">
        <f>-DAT!$AY$6</f>
        <v>-112003</v>
      </c>
      <c r="CH112" s="705">
        <f>-DAT!$AY$6</f>
        <v>-112003</v>
      </c>
      <c r="CI112" s="705">
        <f>-DAT!$AY$6</f>
        <v>-112003</v>
      </c>
      <c r="CJ112" s="705">
        <f>-DAT!$AY$6</f>
        <v>-112003</v>
      </c>
      <c r="CK112" s="705">
        <f>-DAT!$AY$6</f>
        <v>-112003</v>
      </c>
      <c r="CL112" s="705">
        <f>-DAT!$AY$6</f>
        <v>-112003</v>
      </c>
    </row>
    <row r="113" spans="2:90">
      <c r="B113" s="843">
        <v>28</v>
      </c>
      <c r="C113" s="843">
        <v>49</v>
      </c>
      <c r="D113" s="843">
        <v>70</v>
      </c>
      <c r="I113" s="843">
        <v>21</v>
      </c>
      <c r="J113" s="846">
        <f>V$14</f>
        <v>71.19</v>
      </c>
      <c r="K113" s="705">
        <f t="shared" si="49"/>
        <v>2100000</v>
      </c>
      <c r="L113" s="705">
        <f t="shared" si="50"/>
        <v>2572500</v>
      </c>
      <c r="M113" s="825">
        <f t="shared" si="51"/>
        <v>4672500</v>
      </c>
      <c r="N113" s="829">
        <f t="shared" si="52"/>
        <v>3326353</v>
      </c>
      <c r="O113" s="1173">
        <f>BF$14</f>
        <v>0.74709999999999999</v>
      </c>
      <c r="P113" s="705">
        <f t="shared" si="53"/>
        <v>1679330</v>
      </c>
      <c r="Q113" s="1173">
        <f>CQ$14</f>
        <v>0.23380000000000001</v>
      </c>
      <c r="R113" s="705">
        <f t="shared" si="54"/>
        <v>601451</v>
      </c>
      <c r="S113" s="825">
        <f t="shared" si="55"/>
        <v>2280781</v>
      </c>
      <c r="T113" s="825">
        <f t="shared" si="56"/>
        <v>3326353</v>
      </c>
      <c r="U113" s="847">
        <f t="shared" si="57"/>
        <v>2661100</v>
      </c>
      <c r="V113" s="705">
        <f t="shared" si="58"/>
        <v>2247798</v>
      </c>
      <c r="W113" s="833">
        <f t="shared" si="59"/>
        <v>2360187.9</v>
      </c>
      <c r="X113" s="705">
        <f t="shared" si="60"/>
        <v>3125000</v>
      </c>
      <c r="Y113" s="705">
        <f t="shared" si="61"/>
        <v>2500000</v>
      </c>
      <c r="AA113" s="705">
        <f>I$43*X$90/1000</f>
        <v>250000</v>
      </c>
      <c r="AB113" s="705">
        <f t="shared" si="62"/>
        <v>5947500</v>
      </c>
      <c r="AC113" s="825">
        <f t="shared" si="63"/>
        <v>5947500</v>
      </c>
      <c r="AD113" s="705">
        <f>IF(Main!$L$10="YES",Main!$N$10+AC113,AC113)</f>
        <v>5947500</v>
      </c>
      <c r="AE113" s="705">
        <f>IF(AND((Main!$E$9&gt;=18),(Main!$J$10="YES")),$Y$94+AD113,AD113)</f>
        <v>8447500</v>
      </c>
      <c r="AN113" s="848">
        <v>20</v>
      </c>
      <c r="AO113" s="846">
        <v>65.489999999999995</v>
      </c>
      <c r="AP113" s="848">
        <f t="shared" si="64"/>
        <v>1637249.9999999998</v>
      </c>
      <c r="AQ113" s="848">
        <f t="shared" si="65"/>
        <v>2200000</v>
      </c>
      <c r="AR113" s="848">
        <f t="shared" si="66"/>
        <v>3837250</v>
      </c>
      <c r="AS113" s="848">
        <f t="shared" si="80"/>
        <v>1500000</v>
      </c>
      <c r="AT113" s="848">
        <f t="shared" si="67"/>
        <v>2337250</v>
      </c>
      <c r="AU113" s="845">
        <v>0.72940000000000005</v>
      </c>
      <c r="AV113" s="705">
        <f t="shared" si="68"/>
        <v>2086857</v>
      </c>
      <c r="AW113" s="845">
        <v>0.21990000000000001</v>
      </c>
      <c r="AX113" s="705">
        <f t="shared" si="69"/>
        <v>483780</v>
      </c>
      <c r="AY113" s="848">
        <f t="shared" si="70"/>
        <v>2570637</v>
      </c>
      <c r="AZ113" s="848">
        <f>IF((AY113&gt;0),(AL110+AZ112),0)</f>
        <v>1500000</v>
      </c>
      <c r="BA113" s="825">
        <f t="shared" si="71"/>
        <v>1070637</v>
      </c>
      <c r="BB113" s="847">
        <f t="shared" si="78"/>
        <v>2337250</v>
      </c>
      <c r="BC113" s="843">
        <f t="shared" si="79"/>
        <v>2103500</v>
      </c>
      <c r="BD113" s="705">
        <f t="shared" si="72"/>
        <v>2861060</v>
      </c>
      <c r="BE113" s="833">
        <f t="shared" si="73"/>
        <v>3004113</v>
      </c>
      <c r="BF113" s="705">
        <f t="shared" si="74"/>
        <v>3125000</v>
      </c>
      <c r="BG113" s="705">
        <f t="shared" si="75"/>
        <v>2500000</v>
      </c>
      <c r="BI113" s="705">
        <f t="shared" si="81"/>
        <v>100000</v>
      </c>
      <c r="BJ113" s="848">
        <f t="shared" si="76"/>
        <v>5425000</v>
      </c>
      <c r="BK113" s="825">
        <f t="shared" si="77"/>
        <v>5425000</v>
      </c>
      <c r="BL113" s="705">
        <f>IF(Main!$L$10="YES",Main!$N$10+BK113,BK113)</f>
        <v>5425000</v>
      </c>
      <c r="BM113" s="705">
        <f>IF(AND((Main!$E$9&gt;=18),(Main!$J$10="YES")),BG113+BL113,BL113)</f>
        <v>7925000</v>
      </c>
      <c r="BQ113" s="843">
        <v>20</v>
      </c>
      <c r="BV113" s="848">
        <f>$G$96</f>
        <v>6687500</v>
      </c>
      <c r="BW113" s="705">
        <f>-DAT!$AY$6</f>
        <v>-112003</v>
      </c>
      <c r="BX113" s="705">
        <f>-DAT!$AY$6</f>
        <v>-112003</v>
      </c>
      <c r="BY113" s="705">
        <f>-DAT!$AY$6</f>
        <v>-112003</v>
      </c>
      <c r="BZ113" s="705">
        <f>-DAT!$AY$6</f>
        <v>-112003</v>
      </c>
      <c r="CA113" s="705">
        <f>-DAT!$AY$6</f>
        <v>-112003</v>
      </c>
      <c r="CB113" s="705">
        <f>-DAT!$AY$6</f>
        <v>-112003</v>
      </c>
      <c r="CC113" s="705">
        <f>-DAT!$AY$6</f>
        <v>-112003</v>
      </c>
      <c r="CD113" s="705">
        <f>-DAT!$AY$6</f>
        <v>-112003</v>
      </c>
      <c r="CE113" s="705">
        <f>-DAT!$AY$6</f>
        <v>-112003</v>
      </c>
      <c r="CF113" s="705">
        <f>-DAT!$AY$6</f>
        <v>-112003</v>
      </c>
      <c r="CG113" s="705">
        <f>-DAT!$AY$6</f>
        <v>-112003</v>
      </c>
      <c r="CH113" s="705">
        <f>-DAT!$AY$6</f>
        <v>-112003</v>
      </c>
      <c r="CI113" s="705">
        <f>-DAT!$AY$6</f>
        <v>-112003</v>
      </c>
      <c r="CJ113" s="705">
        <f>-DAT!$AY$6</f>
        <v>-112003</v>
      </c>
      <c r="CK113" s="705">
        <f>-DAT!$AY$6</f>
        <v>-112003</v>
      </c>
      <c r="CL113" s="705">
        <f>-DAT!$AY$6</f>
        <v>-112003</v>
      </c>
    </row>
    <row r="114" spans="2:90">
      <c r="B114" s="843">
        <v>29</v>
      </c>
      <c r="C114" s="843">
        <v>49</v>
      </c>
      <c r="D114" s="843">
        <v>70</v>
      </c>
      <c r="I114" s="843">
        <v>22</v>
      </c>
      <c r="J114" s="846">
        <f>W$14</f>
        <v>77.41</v>
      </c>
      <c r="K114" s="705">
        <f t="shared" si="49"/>
        <v>2200000</v>
      </c>
      <c r="L114" s="705">
        <f t="shared" si="50"/>
        <v>2695000</v>
      </c>
      <c r="M114" s="825">
        <f t="shared" si="51"/>
        <v>4895000</v>
      </c>
      <c r="N114" s="829">
        <f t="shared" si="52"/>
        <v>3789220</v>
      </c>
      <c r="O114" s="1173">
        <f>BG$14</f>
        <v>0.76470000000000005</v>
      </c>
      <c r="P114" s="705">
        <f t="shared" si="53"/>
        <v>1800743</v>
      </c>
      <c r="Q114" s="1173">
        <f>CR$14</f>
        <v>0.2505</v>
      </c>
      <c r="R114" s="705">
        <f t="shared" si="54"/>
        <v>675098</v>
      </c>
      <c r="S114" s="825">
        <f t="shared" si="55"/>
        <v>2475841</v>
      </c>
      <c r="T114" s="825">
        <f t="shared" si="56"/>
        <v>3789220</v>
      </c>
      <c r="U114" s="847">
        <f t="shared" si="57"/>
        <v>3031400</v>
      </c>
      <c r="V114" s="705">
        <f t="shared" si="58"/>
        <v>2354836</v>
      </c>
      <c r="W114" s="833">
        <f t="shared" si="59"/>
        <v>2472577.7999999998</v>
      </c>
      <c r="X114" s="705">
        <f t="shared" si="60"/>
        <v>3125000</v>
      </c>
      <c r="Y114" s="705">
        <f t="shared" si="61"/>
        <v>2500000</v>
      </c>
      <c r="AA114" s="705">
        <f>J$43*X$90/1000</f>
        <v>375000</v>
      </c>
      <c r="AB114" s="705">
        <f t="shared" si="62"/>
        <v>6195000</v>
      </c>
      <c r="AC114" s="825">
        <f t="shared" si="63"/>
        <v>6195000</v>
      </c>
      <c r="AD114" s="705">
        <f>IF(Main!$L$10="YES",Main!$N$10+AC114,AC114)</f>
        <v>6195000</v>
      </c>
      <c r="AE114" s="705">
        <f>IF(AND((Main!$E$9&gt;=18),(Main!$J$10="YES")),$Y$94+AD114,AD114)</f>
        <v>8695000</v>
      </c>
      <c r="AN114" s="848">
        <v>21</v>
      </c>
      <c r="AO114" s="846">
        <v>71.19</v>
      </c>
      <c r="AP114" s="848">
        <f t="shared" si="64"/>
        <v>1868737.5</v>
      </c>
      <c r="AQ114" s="848">
        <f t="shared" si="65"/>
        <v>2310000</v>
      </c>
      <c r="AR114" s="848">
        <f t="shared" si="66"/>
        <v>4178737.5</v>
      </c>
      <c r="AS114" s="848">
        <f t="shared" si="80"/>
        <v>1500000</v>
      </c>
      <c r="AT114" s="848">
        <f t="shared" si="67"/>
        <v>2678737.5</v>
      </c>
      <c r="AU114" s="845">
        <v>0.74709999999999999</v>
      </c>
      <c r="AV114" s="705">
        <f t="shared" si="68"/>
        <v>2244373</v>
      </c>
      <c r="AW114" s="845">
        <v>0.23380000000000001</v>
      </c>
      <c r="AX114" s="705">
        <f t="shared" si="69"/>
        <v>540078</v>
      </c>
      <c r="AY114" s="848">
        <f t="shared" si="70"/>
        <v>2784451</v>
      </c>
      <c r="AZ114" s="848">
        <f>IF((AY114&gt;0),AZ113,0)</f>
        <v>1500000</v>
      </c>
      <c r="BA114" s="825">
        <f t="shared" si="71"/>
        <v>1284451</v>
      </c>
      <c r="BB114" s="847">
        <f t="shared" si="78"/>
        <v>2678737.5</v>
      </c>
      <c r="BC114" s="843">
        <f t="shared" si="79"/>
        <v>2410900</v>
      </c>
      <c r="BD114" s="705">
        <f t="shared" si="72"/>
        <v>3004113</v>
      </c>
      <c r="BE114" s="833">
        <f t="shared" si="73"/>
        <v>3154318.65</v>
      </c>
      <c r="BF114" s="705">
        <f t="shared" si="74"/>
        <v>3125000</v>
      </c>
      <c r="BG114" s="705">
        <f t="shared" si="75"/>
        <v>2500000</v>
      </c>
      <c r="BI114" s="705">
        <f t="shared" si="81"/>
        <v>100000</v>
      </c>
      <c r="BJ114" s="848">
        <f t="shared" si="76"/>
        <v>5535000</v>
      </c>
      <c r="BK114" s="825">
        <f t="shared" si="77"/>
        <v>5535000</v>
      </c>
      <c r="BL114" s="705">
        <f>IF(Main!$L$10="YES",Main!$N$10+BK114,BK114)</f>
        <v>5535000</v>
      </c>
      <c r="BM114" s="705">
        <f>IF(AND((Main!$E$9&gt;=18),(Main!$J$10="YES")),BG114+BL114,BL114)</f>
        <v>8035000</v>
      </c>
      <c r="BQ114" s="843">
        <v>21</v>
      </c>
      <c r="BW114" s="848">
        <f>$G$96</f>
        <v>6687500</v>
      </c>
      <c r="BX114" s="705">
        <f>-DAT!$AY$6</f>
        <v>-112003</v>
      </c>
      <c r="BY114" s="705">
        <f>-DAT!$AY$6</f>
        <v>-112003</v>
      </c>
      <c r="BZ114" s="705">
        <f>-DAT!$AY$6</f>
        <v>-112003</v>
      </c>
      <c r="CA114" s="705">
        <f>-DAT!$AY$6</f>
        <v>-112003</v>
      </c>
      <c r="CB114" s="705">
        <f>-DAT!$AY$6</f>
        <v>-112003</v>
      </c>
      <c r="CC114" s="705">
        <f>-DAT!$AY$6</f>
        <v>-112003</v>
      </c>
      <c r="CD114" s="705">
        <f>-DAT!$AY$6</f>
        <v>-112003</v>
      </c>
      <c r="CE114" s="705">
        <f>-DAT!$AY$6</f>
        <v>-112003</v>
      </c>
      <c r="CF114" s="705">
        <f>-DAT!$AY$6</f>
        <v>-112003</v>
      </c>
      <c r="CG114" s="705">
        <f>-DAT!$AY$6</f>
        <v>-112003</v>
      </c>
      <c r="CH114" s="705">
        <f>-DAT!$AY$6</f>
        <v>-112003</v>
      </c>
      <c r="CI114" s="705">
        <f>-DAT!$AY$6</f>
        <v>-112003</v>
      </c>
      <c r="CJ114" s="705">
        <f>-DAT!$AY$6</f>
        <v>-112003</v>
      </c>
      <c r="CK114" s="705">
        <f>-DAT!$AY$6</f>
        <v>-112003</v>
      </c>
      <c r="CL114" s="705">
        <f>-DAT!$AY$6</f>
        <v>-112003</v>
      </c>
    </row>
    <row r="115" spans="2:90">
      <c r="B115" s="843">
        <v>30</v>
      </c>
      <c r="C115" s="843">
        <v>49</v>
      </c>
      <c r="D115" s="843">
        <v>70</v>
      </c>
      <c r="I115" s="843">
        <v>23</v>
      </c>
      <c r="J115" s="846">
        <f>X$14</f>
        <v>84.24</v>
      </c>
      <c r="K115" s="705">
        <f t="shared" si="49"/>
        <v>2300000</v>
      </c>
      <c r="L115" s="705">
        <f t="shared" si="50"/>
        <v>2817500</v>
      </c>
      <c r="M115" s="825">
        <f t="shared" si="51"/>
        <v>5117500</v>
      </c>
      <c r="N115" s="829">
        <f t="shared" si="52"/>
        <v>4310982</v>
      </c>
      <c r="O115" s="1173">
        <f>BH$14</f>
        <v>0.78239999999999998</v>
      </c>
      <c r="P115" s="705">
        <f t="shared" si="53"/>
        <v>1926170</v>
      </c>
      <c r="Q115" s="1173">
        <f>CS$14</f>
        <v>0.27060000000000001</v>
      </c>
      <c r="R115" s="705">
        <f t="shared" si="54"/>
        <v>762416</v>
      </c>
      <c r="S115" s="825">
        <f t="shared" si="55"/>
        <v>2688586</v>
      </c>
      <c r="T115" s="825">
        <f t="shared" si="56"/>
        <v>4310982</v>
      </c>
      <c r="U115" s="847">
        <f t="shared" si="57"/>
        <v>3448800</v>
      </c>
      <c r="V115" s="705">
        <f t="shared" si="58"/>
        <v>2461874</v>
      </c>
      <c r="W115" s="833">
        <f t="shared" si="59"/>
        <v>2584967.7000000002</v>
      </c>
      <c r="X115" s="705">
        <f t="shared" si="60"/>
        <v>3125000</v>
      </c>
      <c r="Y115" s="705">
        <f t="shared" si="61"/>
        <v>2500000</v>
      </c>
      <c r="AA115" s="705">
        <f>K$43*X$90/1000</f>
        <v>625000</v>
      </c>
      <c r="AB115" s="705">
        <f t="shared" si="62"/>
        <v>6567500</v>
      </c>
      <c r="AC115" s="825">
        <f t="shared" si="63"/>
        <v>6567500</v>
      </c>
      <c r="AD115" s="705">
        <f>IF(Main!$L$10="YES",Main!$N$10+AC115,AC115)</f>
        <v>6567500</v>
      </c>
      <c r="AE115" s="705">
        <f>IF(AND((Main!$E$9&gt;=18),(Main!$J$10="YES")),$Y$94+AD115,AD115)</f>
        <v>9067500</v>
      </c>
      <c r="AN115" s="848">
        <v>22</v>
      </c>
      <c r="AO115" s="846">
        <v>77.41</v>
      </c>
      <c r="AP115" s="848">
        <f t="shared" si="64"/>
        <v>2128775</v>
      </c>
      <c r="AQ115" s="848">
        <f t="shared" si="65"/>
        <v>2420000</v>
      </c>
      <c r="AR115" s="848">
        <f t="shared" si="66"/>
        <v>4548775</v>
      </c>
      <c r="AS115" s="848">
        <f t="shared" si="80"/>
        <v>1500000</v>
      </c>
      <c r="AT115" s="848">
        <f t="shared" si="67"/>
        <v>3048775</v>
      </c>
      <c r="AU115" s="845">
        <v>0.76470000000000005</v>
      </c>
      <c r="AV115" s="705">
        <f t="shared" si="68"/>
        <v>2406638</v>
      </c>
      <c r="AW115" s="845">
        <v>0.2505</v>
      </c>
      <c r="AX115" s="705">
        <f t="shared" si="69"/>
        <v>606210</v>
      </c>
      <c r="AY115" s="848">
        <f t="shared" si="70"/>
        <v>3012848</v>
      </c>
      <c r="AZ115" s="848">
        <f>IF((AY115&gt;0),AZ114,0)</f>
        <v>1500000</v>
      </c>
      <c r="BA115" s="825">
        <f t="shared" si="71"/>
        <v>1512848</v>
      </c>
      <c r="BB115" s="847">
        <f t="shared" si="78"/>
        <v>3048775</v>
      </c>
      <c r="BC115" s="843">
        <f t="shared" si="79"/>
        <v>2743900</v>
      </c>
      <c r="BD115" s="705">
        <f t="shared" si="72"/>
        <v>3147166</v>
      </c>
      <c r="BE115" s="833">
        <f t="shared" si="73"/>
        <v>3304524.3</v>
      </c>
      <c r="BF115" s="705">
        <f t="shared" si="74"/>
        <v>3125000</v>
      </c>
      <c r="BG115" s="705">
        <f t="shared" si="75"/>
        <v>2500000</v>
      </c>
      <c r="BI115" s="705">
        <f t="shared" si="81"/>
        <v>100000</v>
      </c>
      <c r="BJ115" s="848">
        <f t="shared" si="76"/>
        <v>5645000</v>
      </c>
      <c r="BK115" s="825">
        <f t="shared" si="77"/>
        <v>5645000</v>
      </c>
      <c r="BL115" s="705">
        <f>IF(Main!$L$10="YES",Main!$N$10+BK115,BK115)</f>
        <v>5645000</v>
      </c>
      <c r="BM115" s="705">
        <f>IF(AND((Main!$E$9&gt;=18),(Main!$J$10="YES")),BG115+BL115,BL115)</f>
        <v>8145000</v>
      </c>
      <c r="BQ115" s="843">
        <v>22</v>
      </c>
      <c r="BX115" s="848">
        <f>$G$96</f>
        <v>6687500</v>
      </c>
      <c r="BY115" s="705">
        <f>-DAT!$AY$6</f>
        <v>-112003</v>
      </c>
      <c r="BZ115" s="705">
        <f>-DAT!$AY$6</f>
        <v>-112003</v>
      </c>
      <c r="CA115" s="705">
        <f>-DAT!$AY$6</f>
        <v>-112003</v>
      </c>
      <c r="CB115" s="705">
        <f>-DAT!$AY$6</f>
        <v>-112003</v>
      </c>
      <c r="CC115" s="705">
        <f>-DAT!$AY$6</f>
        <v>-112003</v>
      </c>
      <c r="CD115" s="705">
        <f>-DAT!$AY$6</f>
        <v>-112003</v>
      </c>
      <c r="CE115" s="705">
        <f>-DAT!$AY$6</f>
        <v>-112003</v>
      </c>
      <c r="CF115" s="705">
        <f>-DAT!$AY$6</f>
        <v>-112003</v>
      </c>
      <c r="CG115" s="705">
        <f>-DAT!$AY$6</f>
        <v>-112003</v>
      </c>
      <c r="CH115" s="705">
        <f>-DAT!$AY$6</f>
        <v>-112003</v>
      </c>
      <c r="CI115" s="705">
        <f>-DAT!$AY$6</f>
        <v>-112003</v>
      </c>
      <c r="CJ115" s="705">
        <f>-DAT!$AY$6</f>
        <v>-112003</v>
      </c>
      <c r="CK115" s="705">
        <f>-DAT!$AY$6</f>
        <v>-112003</v>
      </c>
      <c r="CL115" s="705">
        <f>-DAT!$AY$6</f>
        <v>-112003</v>
      </c>
    </row>
    <row r="116" spans="2:90">
      <c r="B116" s="843">
        <v>31</v>
      </c>
      <c r="C116" s="843">
        <v>49</v>
      </c>
      <c r="D116" s="843">
        <v>70</v>
      </c>
      <c r="I116" s="843">
        <v>24</v>
      </c>
      <c r="J116" s="846">
        <f>Y$14</f>
        <v>91.74</v>
      </c>
      <c r="K116" s="705">
        <f t="shared" si="49"/>
        <v>2400000</v>
      </c>
      <c r="L116" s="705">
        <f t="shared" si="50"/>
        <v>2940000</v>
      </c>
      <c r="M116" s="825">
        <f t="shared" si="51"/>
        <v>5340000</v>
      </c>
      <c r="N116" s="829">
        <f t="shared" si="52"/>
        <v>4898916</v>
      </c>
      <c r="O116" s="1173">
        <f>BI$14</f>
        <v>0.8</v>
      </c>
      <c r="P116" s="705">
        <f t="shared" si="53"/>
        <v>2055130</v>
      </c>
      <c r="Q116" s="1173">
        <f>CT$14</f>
        <v>0.3</v>
      </c>
      <c r="R116" s="705">
        <f t="shared" si="54"/>
        <v>882000</v>
      </c>
      <c r="S116" s="825">
        <f t="shared" si="55"/>
        <v>2937130</v>
      </c>
      <c r="T116" s="825">
        <f t="shared" si="56"/>
        <v>4898916</v>
      </c>
      <c r="U116" s="847">
        <f t="shared" si="57"/>
        <v>3919100</v>
      </c>
      <c r="V116" s="705">
        <f t="shared" si="58"/>
        <v>2568912</v>
      </c>
      <c r="W116" s="833">
        <f t="shared" si="59"/>
        <v>2697357.6</v>
      </c>
      <c r="X116" s="705">
        <f t="shared" si="60"/>
        <v>3125000</v>
      </c>
      <c r="Y116" s="705">
        <f t="shared" si="61"/>
        <v>2500000</v>
      </c>
      <c r="AA116" s="705">
        <f>L$43*X$90/1000</f>
        <v>875000</v>
      </c>
      <c r="AB116" s="705">
        <f t="shared" si="62"/>
        <v>6940000</v>
      </c>
      <c r="AC116" s="825">
        <f t="shared" si="63"/>
        <v>6940000</v>
      </c>
      <c r="AD116" s="705">
        <f>IF(Main!$L$10="YES",Main!$N$10+AC116,AC116)</f>
        <v>6940000</v>
      </c>
      <c r="AE116" s="705">
        <f>IF(AND((Main!$E$9&gt;=18),(Main!$J$10="YES")),$Y$94+AD116,AD116)</f>
        <v>9440000</v>
      </c>
      <c r="AN116" s="848">
        <v>23</v>
      </c>
      <c r="AO116" s="846">
        <v>84.24</v>
      </c>
      <c r="AP116" s="848">
        <f t="shared" si="64"/>
        <v>2421900</v>
      </c>
      <c r="AQ116" s="848">
        <f t="shared" si="65"/>
        <v>2530000</v>
      </c>
      <c r="AR116" s="848">
        <f t="shared" si="66"/>
        <v>4951900</v>
      </c>
      <c r="AS116" s="848">
        <f t="shared" si="80"/>
        <v>1500000</v>
      </c>
      <c r="AT116" s="848">
        <f t="shared" si="67"/>
        <v>3451900</v>
      </c>
      <c r="AU116" s="845">
        <v>0.78239999999999998</v>
      </c>
      <c r="AV116" s="705">
        <f t="shared" si="68"/>
        <v>2574267</v>
      </c>
      <c r="AW116" s="845">
        <v>0.27060000000000001</v>
      </c>
      <c r="AX116" s="705">
        <f t="shared" si="69"/>
        <v>684618</v>
      </c>
      <c r="AY116" s="848">
        <f t="shared" si="70"/>
        <v>3258885</v>
      </c>
      <c r="AZ116" s="848">
        <f>IF((AY116&gt;0),AZ115,0)</f>
        <v>1500000</v>
      </c>
      <c r="BA116" s="825">
        <f t="shared" si="71"/>
        <v>1758885</v>
      </c>
      <c r="BB116" s="847">
        <f t="shared" si="78"/>
        <v>3451900</v>
      </c>
      <c r="BC116" s="843">
        <f t="shared" si="79"/>
        <v>3106700</v>
      </c>
      <c r="BD116" s="705">
        <f t="shared" si="72"/>
        <v>3290219</v>
      </c>
      <c r="BE116" s="833">
        <f t="shared" si="73"/>
        <v>3454729.95</v>
      </c>
      <c r="BF116" s="705">
        <f t="shared" si="74"/>
        <v>3125000</v>
      </c>
      <c r="BG116" s="705">
        <f t="shared" si="75"/>
        <v>2500000</v>
      </c>
      <c r="BI116" s="705">
        <f t="shared" si="81"/>
        <v>100000</v>
      </c>
      <c r="BJ116" s="848">
        <f t="shared" si="76"/>
        <v>5755000</v>
      </c>
      <c r="BK116" s="825">
        <f t="shared" si="77"/>
        <v>5755000</v>
      </c>
      <c r="BL116" s="705">
        <f>IF(Main!$L$10="YES",Main!$N$10+BK116,BK116)</f>
        <v>5755000</v>
      </c>
      <c r="BM116" s="705">
        <f>IF(AND((Main!$E$9&gt;=18),(Main!$J$10="YES")),BG116+BL116,BL116)</f>
        <v>8255000</v>
      </c>
      <c r="BQ116" s="843">
        <v>23</v>
      </c>
      <c r="BY116" s="848">
        <f>$G$96</f>
        <v>6687500</v>
      </c>
      <c r="BZ116" s="705">
        <f>-DAT!$AY$6</f>
        <v>-112003</v>
      </c>
      <c r="CA116" s="705">
        <f>-DAT!$AY$6</f>
        <v>-112003</v>
      </c>
      <c r="CB116" s="705">
        <f>-DAT!$AY$6</f>
        <v>-112003</v>
      </c>
      <c r="CC116" s="705">
        <f>-DAT!$AY$6</f>
        <v>-112003</v>
      </c>
      <c r="CD116" s="705">
        <f>-DAT!$AY$6</f>
        <v>-112003</v>
      </c>
      <c r="CE116" s="705">
        <f>-DAT!$AY$6</f>
        <v>-112003</v>
      </c>
      <c r="CF116" s="705">
        <f>-DAT!$AY$6</f>
        <v>-112003</v>
      </c>
      <c r="CG116" s="705">
        <f>-DAT!$AY$6</f>
        <v>-112003</v>
      </c>
      <c r="CH116" s="705">
        <f>-DAT!$AY$6</f>
        <v>-112003</v>
      </c>
      <c r="CI116" s="705">
        <f>-DAT!$AY$6</f>
        <v>-112003</v>
      </c>
      <c r="CJ116" s="705">
        <f>-DAT!$AY$6</f>
        <v>-112003</v>
      </c>
      <c r="CK116" s="705">
        <f>-DAT!$AY$6</f>
        <v>-112003</v>
      </c>
      <c r="CL116" s="705">
        <f>-DAT!$AY$6</f>
        <v>-112003</v>
      </c>
    </row>
    <row r="117" spans="2:90">
      <c r="B117" s="843">
        <v>32</v>
      </c>
      <c r="C117" s="843">
        <v>49</v>
      </c>
      <c r="D117" s="843">
        <v>60</v>
      </c>
      <c r="I117" s="843">
        <v>25</v>
      </c>
      <c r="J117" s="846">
        <f>Z$14</f>
        <v>0</v>
      </c>
      <c r="K117" s="705">
        <f t="shared" si="49"/>
        <v>2500000</v>
      </c>
      <c r="L117" s="705">
        <f t="shared" si="50"/>
        <v>3062500</v>
      </c>
      <c r="M117" s="825">
        <f t="shared" si="51"/>
        <v>5562500</v>
      </c>
      <c r="N117" s="829">
        <f t="shared" si="52"/>
        <v>0</v>
      </c>
      <c r="O117" s="1173">
        <f>BJ$14</f>
        <v>0.8</v>
      </c>
      <c r="P117" s="705">
        <f t="shared" si="53"/>
        <v>2140760</v>
      </c>
      <c r="Q117" s="1173">
        <f>CU$14</f>
        <v>0.35</v>
      </c>
      <c r="R117" s="705">
        <f t="shared" si="54"/>
        <v>1071875</v>
      </c>
      <c r="S117" s="825">
        <f t="shared" si="55"/>
        <v>3212635</v>
      </c>
      <c r="T117" s="825">
        <f t="shared" si="56"/>
        <v>3212635</v>
      </c>
      <c r="U117" s="847">
        <f t="shared" si="57"/>
        <v>2570100</v>
      </c>
      <c r="V117" s="705">
        <f t="shared" si="58"/>
        <v>2675950</v>
      </c>
      <c r="W117" s="833">
        <f t="shared" si="59"/>
        <v>2809747.5</v>
      </c>
      <c r="X117" s="705">
        <f t="shared" si="60"/>
        <v>3125000</v>
      </c>
      <c r="Y117" s="705">
        <f t="shared" si="61"/>
        <v>2500000</v>
      </c>
      <c r="AA117" s="705">
        <f>M$43*X$90/1000</f>
        <v>1125000</v>
      </c>
      <c r="AB117" s="705">
        <f t="shared" si="62"/>
        <v>7312500</v>
      </c>
      <c r="AC117" s="825">
        <f t="shared" si="63"/>
        <v>7312500</v>
      </c>
      <c r="AD117" s="705">
        <f>IF(Main!$L$10="YES",Main!$N$10+AC117,AC117)</f>
        <v>7312500</v>
      </c>
      <c r="AE117" s="705">
        <f>IF(AND((Main!$E$9&gt;=18),(Main!$J$10="YES")),$Y$94+AD117,AD117)</f>
        <v>9812500</v>
      </c>
      <c r="AN117" s="848">
        <v>24</v>
      </c>
      <c r="AO117" s="846">
        <v>91.74</v>
      </c>
      <c r="AP117" s="848">
        <f t="shared" si="64"/>
        <v>2752200</v>
      </c>
      <c r="AQ117" s="848">
        <f t="shared" si="65"/>
        <v>2640000</v>
      </c>
      <c r="AR117" s="848">
        <f t="shared" si="66"/>
        <v>5392200</v>
      </c>
      <c r="AS117" s="848">
        <f t="shared" si="80"/>
        <v>1500000</v>
      </c>
      <c r="AT117" s="848">
        <f t="shared" si="67"/>
        <v>3892200</v>
      </c>
      <c r="AU117" s="845">
        <v>0.8</v>
      </c>
      <c r="AV117" s="705">
        <f t="shared" si="68"/>
        <v>2746618</v>
      </c>
      <c r="AW117" s="845">
        <v>0.3</v>
      </c>
      <c r="AX117" s="705">
        <f t="shared" si="69"/>
        <v>792000</v>
      </c>
      <c r="AY117" s="848">
        <f t="shared" si="70"/>
        <v>3538618</v>
      </c>
      <c r="AZ117" s="848">
        <f>IF((AY117&gt;0),AZ116,0)</f>
        <v>1500000</v>
      </c>
      <c r="BA117" s="825">
        <f t="shared" si="71"/>
        <v>2038618</v>
      </c>
      <c r="BB117" s="847">
        <f t="shared" si="78"/>
        <v>3892200</v>
      </c>
      <c r="BC117" s="843">
        <f t="shared" si="79"/>
        <v>3503000</v>
      </c>
      <c r="BD117" s="705">
        <f t="shared" si="72"/>
        <v>3433272</v>
      </c>
      <c r="BE117" s="833">
        <f t="shared" si="73"/>
        <v>3604935.6</v>
      </c>
      <c r="BF117" s="705">
        <f t="shared" si="74"/>
        <v>3125000</v>
      </c>
      <c r="BG117" s="705">
        <f t="shared" si="75"/>
        <v>2500000</v>
      </c>
      <c r="BI117" s="705">
        <f t="shared" si="81"/>
        <v>100000</v>
      </c>
      <c r="BJ117" s="848">
        <f t="shared" si="76"/>
        <v>5865000</v>
      </c>
      <c r="BK117" s="825">
        <f t="shared" si="77"/>
        <v>5865000</v>
      </c>
      <c r="BL117" s="705">
        <f>IF(Main!$L$10="YES",Main!$N$10+BK117,BK117)</f>
        <v>5865000</v>
      </c>
      <c r="BM117" s="705">
        <f>IF(AND((Main!$E$9&gt;=18),(Main!$J$10="YES")),BG117+BL117,BL117)</f>
        <v>8365000</v>
      </c>
      <c r="BQ117" s="843">
        <v>24</v>
      </c>
      <c r="BZ117" s="848">
        <f>$G$96</f>
        <v>6687500</v>
      </c>
      <c r="CA117" s="705">
        <f>-DAT!$AY$6</f>
        <v>-112003</v>
      </c>
      <c r="CB117" s="705">
        <f>-DAT!$AY$6</f>
        <v>-112003</v>
      </c>
      <c r="CC117" s="705">
        <f>-DAT!$AY$6</f>
        <v>-112003</v>
      </c>
      <c r="CD117" s="705">
        <f>-DAT!$AY$6</f>
        <v>-112003</v>
      </c>
      <c r="CE117" s="705">
        <f>-DAT!$AY$6</f>
        <v>-112003</v>
      </c>
      <c r="CF117" s="705">
        <f>-DAT!$AY$6</f>
        <v>-112003</v>
      </c>
      <c r="CG117" s="705">
        <f>-DAT!$AY$6</f>
        <v>-112003</v>
      </c>
      <c r="CH117" s="705">
        <f>-DAT!$AY$6</f>
        <v>-112003</v>
      </c>
      <c r="CI117" s="705">
        <f>-DAT!$AY$6</f>
        <v>-112003</v>
      </c>
      <c r="CJ117" s="705">
        <f>-DAT!$AY$6</f>
        <v>-112003</v>
      </c>
      <c r="CK117" s="705">
        <f>-DAT!$AY$6</f>
        <v>-112003</v>
      </c>
      <c r="CL117" s="705">
        <f>-DAT!$AY$6</f>
        <v>-112003</v>
      </c>
    </row>
    <row r="118" spans="2:90">
      <c r="B118" s="843">
        <v>33</v>
      </c>
      <c r="C118" s="843">
        <v>49</v>
      </c>
      <c r="D118" s="843">
        <v>60</v>
      </c>
      <c r="I118" s="843">
        <v>26</v>
      </c>
      <c r="J118" s="846">
        <f>AA$14</f>
        <v>0</v>
      </c>
      <c r="K118" s="705">
        <f t="shared" si="49"/>
        <v>2600000</v>
      </c>
      <c r="L118" s="705">
        <f t="shared" si="50"/>
        <v>3185000</v>
      </c>
      <c r="M118" s="825">
        <f t="shared" si="51"/>
        <v>5785000</v>
      </c>
      <c r="N118" s="829">
        <f t="shared" si="52"/>
        <v>0</v>
      </c>
      <c r="O118" s="1173">
        <f>BK$14</f>
        <v>0</v>
      </c>
      <c r="P118" s="705">
        <f t="shared" si="53"/>
        <v>0</v>
      </c>
      <c r="Q118" s="1173">
        <f>CV$14</f>
        <v>0</v>
      </c>
      <c r="R118" s="705">
        <f t="shared" si="54"/>
        <v>0</v>
      </c>
      <c r="S118" s="825">
        <f t="shared" si="55"/>
        <v>0</v>
      </c>
      <c r="T118" s="825">
        <f t="shared" si="56"/>
        <v>0</v>
      </c>
      <c r="U118" s="847">
        <f t="shared" si="57"/>
        <v>0</v>
      </c>
      <c r="V118" s="705">
        <f t="shared" si="58"/>
        <v>2782988</v>
      </c>
      <c r="W118" s="833">
        <f t="shared" si="59"/>
        <v>2922137.4</v>
      </c>
      <c r="X118" s="705">
        <f t="shared" si="60"/>
        <v>3125000</v>
      </c>
      <c r="Y118" s="705">
        <f t="shared" si="61"/>
        <v>2500000</v>
      </c>
      <c r="AA118" s="705">
        <f>N$43*X$90/1000</f>
        <v>1375000</v>
      </c>
      <c r="AB118" s="705">
        <f t="shared" si="62"/>
        <v>7685000</v>
      </c>
      <c r="AC118" s="825">
        <f t="shared" si="63"/>
        <v>7685000</v>
      </c>
      <c r="AD118" s="705">
        <f>IF(Main!$L$10="YES",Main!$N$10+AC118,AC118)</f>
        <v>7685000</v>
      </c>
      <c r="AE118" s="705">
        <f>IF(AND((Main!$E$9&gt;=18),(Main!$J$10="YES")),$Y$94+AD118,AD118)</f>
        <v>10185000</v>
      </c>
      <c r="AN118" s="848">
        <v>25</v>
      </c>
      <c r="AO118" s="846"/>
      <c r="AP118" s="848">
        <f t="shared" si="64"/>
        <v>0</v>
      </c>
      <c r="AQ118" s="848">
        <f t="shared" si="65"/>
        <v>2750000</v>
      </c>
      <c r="AR118" s="848">
        <f t="shared" si="66"/>
        <v>2750000</v>
      </c>
      <c r="AS118" s="848"/>
      <c r="AT118" s="848">
        <f t="shared" si="67"/>
        <v>2750000</v>
      </c>
      <c r="AU118" s="845">
        <v>0.8</v>
      </c>
      <c r="AV118" s="705">
        <f t="shared" si="68"/>
        <v>2861060</v>
      </c>
      <c r="AW118" s="845">
        <v>0.35</v>
      </c>
      <c r="AX118" s="705">
        <f t="shared" si="69"/>
        <v>962500</v>
      </c>
      <c r="AY118" s="848">
        <f t="shared" si="70"/>
        <v>3823560</v>
      </c>
      <c r="BA118" s="825"/>
      <c r="BD118" s="705">
        <f t="shared" si="72"/>
        <v>3576325</v>
      </c>
      <c r="BE118" s="833">
        <f t="shared" si="73"/>
        <v>3755141.25</v>
      </c>
      <c r="BF118" s="705">
        <f t="shared" si="74"/>
        <v>3125000</v>
      </c>
      <c r="BG118" s="705">
        <f t="shared" si="75"/>
        <v>2500000</v>
      </c>
      <c r="BI118" s="705">
        <f>IF(($B$52&lt;200000),(($B$52/1000)*A76),(($B$52/1000)*AJ76))</f>
        <v>562500</v>
      </c>
      <c r="BJ118" s="848">
        <f t="shared" si="76"/>
        <v>6437500</v>
      </c>
      <c r="BK118" s="825">
        <f t="shared" si="77"/>
        <v>6437500</v>
      </c>
      <c r="BL118" s="705">
        <f>IF(Main!$L$10="YES",Main!$N$10+BK118,BK118)</f>
        <v>6437500</v>
      </c>
      <c r="BM118" s="705">
        <f>IF(AND((Main!$E$9&gt;=18),(Main!$J$10="YES")),BG118+BL118,BL118)</f>
        <v>8937500</v>
      </c>
      <c r="BQ118" s="843">
        <v>25</v>
      </c>
      <c r="CA118" s="848">
        <f>$G$96</f>
        <v>6687500</v>
      </c>
      <c r="CB118" s="705">
        <f>-DAT!$AY$6</f>
        <v>-112003</v>
      </c>
      <c r="CC118" s="705">
        <f>-DAT!$AY$6</f>
        <v>-112003</v>
      </c>
      <c r="CD118" s="705">
        <f>-DAT!$AY$6</f>
        <v>-112003</v>
      </c>
      <c r="CE118" s="705">
        <f>-DAT!$AY$6</f>
        <v>-112003</v>
      </c>
      <c r="CF118" s="705">
        <f>-DAT!$AY$6</f>
        <v>-112003</v>
      </c>
      <c r="CG118" s="705">
        <f>-DAT!$AY$6</f>
        <v>-112003</v>
      </c>
      <c r="CH118" s="705">
        <f>-DAT!$AY$6</f>
        <v>-112003</v>
      </c>
      <c r="CI118" s="705">
        <f>-DAT!$AY$6</f>
        <v>-112003</v>
      </c>
      <c r="CJ118" s="705">
        <f>-DAT!$AY$6</f>
        <v>-112003</v>
      </c>
      <c r="CK118" s="705">
        <f>-DAT!$AY$6</f>
        <v>-112003</v>
      </c>
      <c r="CL118" s="705">
        <f>-DAT!$AY$6</f>
        <v>-112003</v>
      </c>
    </row>
    <row r="119" spans="2:90">
      <c r="B119" s="843">
        <v>34</v>
      </c>
      <c r="C119" s="843">
        <v>49</v>
      </c>
      <c r="D119" s="843">
        <v>60</v>
      </c>
      <c r="I119" s="843">
        <v>27</v>
      </c>
      <c r="J119" s="846">
        <f>AB$14</f>
        <v>0</v>
      </c>
      <c r="K119" s="705">
        <f t="shared" si="49"/>
        <v>2700000</v>
      </c>
      <c r="L119" s="705">
        <f t="shared" si="50"/>
        <v>3307500</v>
      </c>
      <c r="M119" s="825">
        <f t="shared" si="51"/>
        <v>6007500</v>
      </c>
      <c r="N119" s="829">
        <f t="shared" si="52"/>
        <v>0</v>
      </c>
      <c r="O119" s="1173">
        <f>BL$14</f>
        <v>0</v>
      </c>
      <c r="P119" s="705">
        <f t="shared" si="53"/>
        <v>0</v>
      </c>
      <c r="Q119" s="1173">
        <f>CW$14</f>
        <v>0</v>
      </c>
      <c r="R119" s="705">
        <f t="shared" si="54"/>
        <v>0</v>
      </c>
      <c r="S119" s="825">
        <f t="shared" si="55"/>
        <v>0</v>
      </c>
      <c r="T119" s="825">
        <f t="shared" si="56"/>
        <v>0</v>
      </c>
      <c r="U119" s="847">
        <f t="shared" si="57"/>
        <v>0</v>
      </c>
      <c r="V119" s="705">
        <f t="shared" si="58"/>
        <v>2890026</v>
      </c>
      <c r="W119" s="833">
        <f t="shared" si="59"/>
        <v>3034527.3</v>
      </c>
      <c r="X119" s="705">
        <f t="shared" si="60"/>
        <v>3125000</v>
      </c>
      <c r="Y119" s="705">
        <f t="shared" si="61"/>
        <v>2500000</v>
      </c>
      <c r="AA119" s="705">
        <f>O$43*X$90/1000</f>
        <v>1675000</v>
      </c>
      <c r="AB119" s="705">
        <f t="shared" si="62"/>
        <v>8107500</v>
      </c>
      <c r="AC119" s="825">
        <f t="shared" si="63"/>
        <v>8107500</v>
      </c>
      <c r="AD119" s="705">
        <f>IF(Main!$L$10="YES",Main!$N$10+AC119,AC119)</f>
        <v>8107500</v>
      </c>
      <c r="AE119" s="705">
        <f>IF(AND((Main!$E$9&gt;=18),(Main!$J$10="YES")),$Y$94+AD119,AD119)</f>
        <v>10607500</v>
      </c>
      <c r="BQ119" s="843">
        <v>26</v>
      </c>
      <c r="CB119" s="848">
        <f>$G$96</f>
        <v>6687500</v>
      </c>
      <c r="CC119" s="705">
        <f>-DAT!$AY$6</f>
        <v>-112003</v>
      </c>
      <c r="CD119" s="705">
        <f>-DAT!$AY$6</f>
        <v>-112003</v>
      </c>
      <c r="CE119" s="705">
        <f>-DAT!$AY$6</f>
        <v>-112003</v>
      </c>
      <c r="CF119" s="705">
        <f>-DAT!$AY$6</f>
        <v>-112003</v>
      </c>
      <c r="CG119" s="705">
        <f>-DAT!$AY$6</f>
        <v>-112003</v>
      </c>
      <c r="CH119" s="705">
        <f>-DAT!$AY$6</f>
        <v>-112003</v>
      </c>
      <c r="CI119" s="705">
        <f>-DAT!$AY$6</f>
        <v>-112003</v>
      </c>
      <c r="CJ119" s="705">
        <f>-DAT!$AY$6</f>
        <v>-112003</v>
      </c>
      <c r="CK119" s="705">
        <f>-DAT!$AY$6</f>
        <v>-112003</v>
      </c>
      <c r="CL119" s="705">
        <f>-DAT!$AY$6</f>
        <v>-112003</v>
      </c>
    </row>
    <row r="120" spans="2:90">
      <c r="B120" s="843">
        <v>35</v>
      </c>
      <c r="C120" s="843">
        <v>49</v>
      </c>
      <c r="D120" s="843">
        <v>60</v>
      </c>
      <c r="I120" s="843">
        <v>28</v>
      </c>
      <c r="J120" s="846">
        <f>AC$14</f>
        <v>0</v>
      </c>
      <c r="K120" s="705">
        <f t="shared" si="49"/>
        <v>2800000</v>
      </c>
      <c r="L120" s="705">
        <f t="shared" si="50"/>
        <v>3430000</v>
      </c>
      <c r="M120" s="825">
        <f t="shared" si="51"/>
        <v>6230000</v>
      </c>
      <c r="N120" s="829">
        <f t="shared" si="52"/>
        <v>0</v>
      </c>
      <c r="O120" s="1173">
        <f>BM$14</f>
        <v>0</v>
      </c>
      <c r="P120" s="705">
        <f t="shared" si="53"/>
        <v>0</v>
      </c>
      <c r="Q120" s="1173">
        <f>CX$14</f>
        <v>0</v>
      </c>
      <c r="R120" s="705">
        <f t="shared" si="54"/>
        <v>0</v>
      </c>
      <c r="S120" s="825">
        <f t="shared" si="55"/>
        <v>0</v>
      </c>
      <c r="T120" s="825">
        <f t="shared" si="56"/>
        <v>0</v>
      </c>
      <c r="U120" s="847">
        <f t="shared" si="57"/>
        <v>0</v>
      </c>
      <c r="V120" s="705">
        <f t="shared" si="58"/>
        <v>2997064</v>
      </c>
      <c r="W120" s="833">
        <f t="shared" si="59"/>
        <v>3146917.2</v>
      </c>
      <c r="X120" s="705">
        <f t="shared" si="60"/>
        <v>3125000</v>
      </c>
      <c r="Y120" s="705">
        <f t="shared" si="61"/>
        <v>2500000</v>
      </c>
      <c r="AA120" s="705">
        <f>P$43*X$90/1000</f>
        <v>1975000</v>
      </c>
      <c r="AB120" s="705">
        <f t="shared" si="62"/>
        <v>8530000</v>
      </c>
      <c r="AC120" s="825">
        <f t="shared" si="63"/>
        <v>8530000</v>
      </c>
      <c r="AD120" s="705">
        <f>IF(Main!$L$10="YES",Main!$N$10+AC120,AC120)</f>
        <v>8530000</v>
      </c>
      <c r="AE120" s="705">
        <f>IF(AND((Main!$E$9&gt;=18),(Main!$J$10="YES")),$Y$94+AD120,AD120)</f>
        <v>11030000</v>
      </c>
      <c r="BQ120" s="843">
        <v>27</v>
      </c>
      <c r="CC120" s="848">
        <f>$G$96</f>
        <v>6687500</v>
      </c>
      <c r="CD120" s="705">
        <f>-DAT!$AY$6</f>
        <v>-112003</v>
      </c>
      <c r="CE120" s="705">
        <f>-DAT!$AY$6</f>
        <v>-112003</v>
      </c>
      <c r="CF120" s="705">
        <f>-DAT!$AY$6</f>
        <v>-112003</v>
      </c>
      <c r="CG120" s="705">
        <f>-DAT!$AY$6</f>
        <v>-112003</v>
      </c>
      <c r="CH120" s="705">
        <f>-DAT!$AY$6</f>
        <v>-112003</v>
      </c>
      <c r="CI120" s="705">
        <f>-DAT!$AY$6</f>
        <v>-112003</v>
      </c>
      <c r="CJ120" s="705">
        <f>-DAT!$AY$6</f>
        <v>-112003</v>
      </c>
      <c r="CK120" s="705">
        <f>-DAT!$AY$6</f>
        <v>-112003</v>
      </c>
      <c r="CL120" s="705">
        <f>-DAT!$AY$6</f>
        <v>-112003</v>
      </c>
    </row>
    <row r="121" spans="2:90">
      <c r="I121" s="843">
        <v>29</v>
      </c>
      <c r="J121" s="846">
        <f>AD$14</f>
        <v>0</v>
      </c>
      <c r="K121" s="705">
        <f t="shared" si="49"/>
        <v>2900000</v>
      </c>
      <c r="L121" s="705">
        <f t="shared" si="50"/>
        <v>3552500</v>
      </c>
      <c r="M121" s="825">
        <f t="shared" si="51"/>
        <v>6452500</v>
      </c>
      <c r="N121" s="829">
        <f t="shared" si="52"/>
        <v>0</v>
      </c>
      <c r="O121" s="1173">
        <f>BN$14</f>
        <v>0</v>
      </c>
      <c r="P121" s="705">
        <f t="shared" si="53"/>
        <v>0</v>
      </c>
      <c r="Q121" s="1173">
        <f>CY$14</f>
        <v>0</v>
      </c>
      <c r="R121" s="705">
        <f t="shared" si="54"/>
        <v>0</v>
      </c>
      <c r="S121" s="825">
        <f t="shared" si="55"/>
        <v>0</v>
      </c>
      <c r="T121" s="825">
        <f t="shared" si="56"/>
        <v>0</v>
      </c>
      <c r="U121" s="847">
        <f t="shared" si="57"/>
        <v>0</v>
      </c>
      <c r="V121" s="705">
        <f t="shared" si="58"/>
        <v>3104102</v>
      </c>
      <c r="W121" s="833">
        <f t="shared" si="59"/>
        <v>3259307.1</v>
      </c>
      <c r="X121" s="705">
        <f t="shared" si="60"/>
        <v>3125000</v>
      </c>
      <c r="Y121" s="705">
        <f t="shared" si="61"/>
        <v>2500000</v>
      </c>
      <c r="AA121" s="705">
        <f>Q$43*X$90/1000</f>
        <v>2275000</v>
      </c>
      <c r="AB121" s="705">
        <f t="shared" si="62"/>
        <v>8952500</v>
      </c>
      <c r="AC121" s="825">
        <f t="shared" si="63"/>
        <v>8952500</v>
      </c>
      <c r="AD121" s="705">
        <f>IF(Main!$L$10="YES",Main!$N$10+AC121,AC121)</f>
        <v>8952500</v>
      </c>
      <c r="AE121" s="705">
        <f>IF(AND((Main!$E$9&gt;=18),(Main!$J$10="YES")),$Y$94+AD121,AD121)</f>
        <v>11452500</v>
      </c>
      <c r="AR121" s="705">
        <f>$B$52*40%</f>
        <v>1000000</v>
      </c>
      <c r="BQ121" s="843">
        <v>28</v>
      </c>
      <c r="CD121" s="848">
        <f>$G$96</f>
        <v>6687500</v>
      </c>
      <c r="CE121" s="705">
        <f>-DAT!$AY$6</f>
        <v>-112003</v>
      </c>
      <c r="CF121" s="705">
        <f>-DAT!$AY$6</f>
        <v>-112003</v>
      </c>
      <c r="CG121" s="705">
        <f>-DAT!$AY$6</f>
        <v>-112003</v>
      </c>
      <c r="CH121" s="705">
        <f>-DAT!$AY$6</f>
        <v>-112003</v>
      </c>
      <c r="CI121" s="705">
        <f>-DAT!$AY$6</f>
        <v>-112003</v>
      </c>
      <c r="CJ121" s="705">
        <f>-DAT!$AY$6</f>
        <v>-112003</v>
      </c>
      <c r="CK121" s="705">
        <f>-DAT!$AY$6</f>
        <v>-112003</v>
      </c>
      <c r="CL121" s="705">
        <f>-DAT!$AY$6</f>
        <v>-112003</v>
      </c>
    </row>
    <row r="122" spans="2:90">
      <c r="I122" s="843">
        <v>30</v>
      </c>
      <c r="J122" s="846">
        <f>AE$14</f>
        <v>0</v>
      </c>
      <c r="K122" s="705">
        <f t="shared" si="49"/>
        <v>3000000</v>
      </c>
      <c r="L122" s="705">
        <f t="shared" si="50"/>
        <v>3675000</v>
      </c>
      <c r="M122" s="825">
        <f t="shared" si="51"/>
        <v>6675000</v>
      </c>
      <c r="N122" s="829">
        <f t="shared" si="52"/>
        <v>0</v>
      </c>
      <c r="O122" s="1173">
        <f>BO$14</f>
        <v>0</v>
      </c>
      <c r="P122" s="705">
        <f t="shared" si="53"/>
        <v>0</v>
      </c>
      <c r="Q122" s="1173">
        <f>CZ$14</f>
        <v>0</v>
      </c>
      <c r="R122" s="705">
        <f t="shared" si="54"/>
        <v>0</v>
      </c>
      <c r="S122" s="825">
        <f t="shared" si="55"/>
        <v>0</v>
      </c>
      <c r="T122" s="825">
        <f t="shared" si="56"/>
        <v>0</v>
      </c>
      <c r="U122" s="847">
        <f t="shared" si="57"/>
        <v>0</v>
      </c>
      <c r="V122" s="705">
        <f t="shared" si="58"/>
        <v>3211140</v>
      </c>
      <c r="W122" s="833">
        <f t="shared" si="59"/>
        <v>3371697</v>
      </c>
      <c r="X122" s="705">
        <f t="shared" si="60"/>
        <v>3125000</v>
      </c>
      <c r="Y122" s="705">
        <f t="shared" si="61"/>
        <v>2500000</v>
      </c>
      <c r="AA122" s="705">
        <f>R$43*X$90/1000</f>
        <v>2750000</v>
      </c>
      <c r="AB122" s="705">
        <f t="shared" si="62"/>
        <v>9550000</v>
      </c>
      <c r="AC122" s="825">
        <f t="shared" si="63"/>
        <v>9550000</v>
      </c>
      <c r="AD122" s="705">
        <f>IF(Main!$L$10="YES",Main!$N$10+AC122,AC122)</f>
        <v>9550000</v>
      </c>
      <c r="AE122" s="705">
        <f>IF(AND((Main!$E$9&gt;=18),(Main!$J$10="YES")),$Y$94+AD122,AD122)</f>
        <v>12050000</v>
      </c>
      <c r="AR122" s="705">
        <f>(((($B$52/1000)*44)*25)+BI118)</f>
        <v>3312500</v>
      </c>
      <c r="BQ122" s="843">
        <v>29</v>
      </c>
      <c r="CE122" s="848">
        <f>$G$96</f>
        <v>6687500</v>
      </c>
      <c r="CF122" s="705">
        <f>-DAT!$AY$6</f>
        <v>-112003</v>
      </c>
      <c r="CG122" s="705">
        <f>-DAT!$AY$6</f>
        <v>-112003</v>
      </c>
      <c r="CH122" s="705">
        <f>-DAT!$AY$6</f>
        <v>-112003</v>
      </c>
      <c r="CI122" s="705">
        <f>-DAT!$AY$6</f>
        <v>-112003</v>
      </c>
      <c r="CJ122" s="705">
        <f>-DAT!$AY$6</f>
        <v>-112003</v>
      </c>
      <c r="CK122" s="705">
        <f>-DAT!$AY$6</f>
        <v>-112003</v>
      </c>
      <c r="CL122" s="705">
        <f>-DAT!$AY$6</f>
        <v>-112003</v>
      </c>
    </row>
    <row r="123" spans="2:90">
      <c r="I123" s="843">
        <v>31</v>
      </c>
      <c r="J123" s="846">
        <f>AF$14</f>
        <v>0</v>
      </c>
      <c r="K123" s="705">
        <f t="shared" si="49"/>
        <v>3100000</v>
      </c>
      <c r="L123" s="705">
        <f t="shared" si="50"/>
        <v>3797500</v>
      </c>
      <c r="M123" s="825">
        <f t="shared" si="51"/>
        <v>6897500</v>
      </c>
      <c r="N123" s="829">
        <f t="shared" si="52"/>
        <v>0</v>
      </c>
      <c r="O123" s="1173">
        <f>BP$14</f>
        <v>0</v>
      </c>
      <c r="P123" s="705">
        <f t="shared" si="53"/>
        <v>0</v>
      </c>
      <c r="Q123" s="1173">
        <f>DA$14</f>
        <v>0</v>
      </c>
      <c r="R123" s="705">
        <f t="shared" si="54"/>
        <v>0</v>
      </c>
      <c r="S123" s="825">
        <f t="shared" si="55"/>
        <v>0</v>
      </c>
      <c r="T123" s="825">
        <f t="shared" si="56"/>
        <v>0</v>
      </c>
      <c r="U123" s="847">
        <f t="shared" si="57"/>
        <v>0</v>
      </c>
      <c r="V123" s="705">
        <f t="shared" si="58"/>
        <v>3318178</v>
      </c>
      <c r="W123" s="833">
        <f t="shared" si="59"/>
        <v>3484086.9</v>
      </c>
      <c r="X123" s="705">
        <f t="shared" si="60"/>
        <v>3125000</v>
      </c>
      <c r="Y123" s="705">
        <f t="shared" si="61"/>
        <v>2500000</v>
      </c>
      <c r="AA123" s="705">
        <f>S$43*X$90/1000</f>
        <v>3250000</v>
      </c>
      <c r="AB123" s="705">
        <f t="shared" si="62"/>
        <v>10172500</v>
      </c>
      <c r="AC123" s="825">
        <f t="shared" si="63"/>
        <v>10172500</v>
      </c>
      <c r="AD123" s="705">
        <f>IF(Main!$L$10="YES",Main!$N$10+AC123,AC123)</f>
        <v>10172500</v>
      </c>
      <c r="AE123" s="705">
        <f>IF(AND((Main!$E$9&gt;=18),(Main!$J$10="YES")),$Y$94+AD123,AD123)</f>
        <v>12672500</v>
      </c>
      <c r="AR123" s="705">
        <f>AR122+AR121</f>
        <v>4312500</v>
      </c>
      <c r="BQ123" s="843">
        <v>30</v>
      </c>
      <c r="CF123" s="848">
        <f>$G$96</f>
        <v>6687500</v>
      </c>
      <c r="CG123" s="705">
        <f>-DAT!$AY$6</f>
        <v>-112003</v>
      </c>
      <c r="CH123" s="705">
        <f>-DAT!$AY$6</f>
        <v>-112003</v>
      </c>
      <c r="CI123" s="705">
        <f>-DAT!$AY$6</f>
        <v>-112003</v>
      </c>
      <c r="CJ123" s="705">
        <f>-DAT!$AY$6</f>
        <v>-112003</v>
      </c>
      <c r="CK123" s="705">
        <f>-DAT!$AY$6</f>
        <v>-112003</v>
      </c>
      <c r="CL123" s="705">
        <f>-DAT!$AY$6</f>
        <v>-112003</v>
      </c>
    </row>
    <row r="124" spans="2:90">
      <c r="I124" s="843">
        <v>32</v>
      </c>
      <c r="J124" s="846">
        <f>AG$14</f>
        <v>0</v>
      </c>
      <c r="K124" s="705">
        <f t="shared" si="49"/>
        <v>3200000</v>
      </c>
      <c r="L124" s="705">
        <f t="shared" si="50"/>
        <v>3920000</v>
      </c>
      <c r="M124" s="825">
        <f t="shared" si="51"/>
        <v>7120000</v>
      </c>
      <c r="N124" s="829">
        <f t="shared" si="52"/>
        <v>0</v>
      </c>
      <c r="O124" s="1173">
        <f>BQ$14</f>
        <v>0</v>
      </c>
      <c r="P124" s="705">
        <f t="shared" si="53"/>
        <v>0</v>
      </c>
      <c r="Q124" s="1173">
        <f>DB$14</f>
        <v>0</v>
      </c>
      <c r="R124" s="705">
        <f t="shared" si="54"/>
        <v>0</v>
      </c>
      <c r="S124" s="825">
        <f t="shared" si="55"/>
        <v>0</v>
      </c>
      <c r="T124" s="825">
        <f t="shared" si="56"/>
        <v>0</v>
      </c>
      <c r="U124" s="847">
        <f t="shared" si="57"/>
        <v>0</v>
      </c>
      <c r="V124" s="705">
        <f t="shared" si="58"/>
        <v>3425216</v>
      </c>
      <c r="W124" s="833">
        <f t="shared" si="59"/>
        <v>3596476.8</v>
      </c>
      <c r="X124" s="705">
        <f t="shared" si="60"/>
        <v>3125000</v>
      </c>
      <c r="Y124" s="705">
        <f t="shared" si="61"/>
        <v>2500000</v>
      </c>
      <c r="AA124" s="705">
        <f>T$43*X$90/1000</f>
        <v>3875000</v>
      </c>
      <c r="AB124" s="705">
        <f t="shared" si="62"/>
        <v>10920000</v>
      </c>
      <c r="AC124" s="825">
        <f t="shared" si="63"/>
        <v>10920000</v>
      </c>
      <c r="AD124" s="705">
        <f>IF(Main!$L$10="YES",Main!$N$10+AC124,AC124)</f>
        <v>10920000</v>
      </c>
      <c r="AE124" s="705">
        <f>IF(AND((Main!$E$9&gt;=18),(Main!$J$10="YES")),$Y$94+AD124,AD124)</f>
        <v>13420000</v>
      </c>
      <c r="BQ124" s="843">
        <v>31</v>
      </c>
      <c r="CG124" s="848">
        <f>$G$96</f>
        <v>6687500</v>
      </c>
      <c r="CH124" s="705">
        <f>-DAT!$AY$6</f>
        <v>-112003</v>
      </c>
      <c r="CI124" s="705">
        <f>-DAT!$AY$6</f>
        <v>-112003</v>
      </c>
      <c r="CJ124" s="705">
        <f>-DAT!$AY$6</f>
        <v>-112003</v>
      </c>
      <c r="CK124" s="705">
        <f>-DAT!$AY$6</f>
        <v>-112003</v>
      </c>
      <c r="CL124" s="705">
        <f>-DAT!$AY$6</f>
        <v>-112003</v>
      </c>
    </row>
    <row r="125" spans="2:90">
      <c r="I125" s="843">
        <v>33</v>
      </c>
      <c r="J125" s="846">
        <f>AH$14</f>
        <v>0</v>
      </c>
      <c r="K125" s="705">
        <f t="shared" si="49"/>
        <v>3300000</v>
      </c>
      <c r="L125" s="705">
        <f t="shared" si="50"/>
        <v>4042500</v>
      </c>
      <c r="M125" s="825">
        <f t="shared" si="51"/>
        <v>7342500</v>
      </c>
      <c r="N125" s="829">
        <f t="shared" si="52"/>
        <v>0</v>
      </c>
      <c r="O125" s="1173">
        <f>BR$14</f>
        <v>0</v>
      </c>
      <c r="P125" s="705">
        <f t="shared" si="53"/>
        <v>0</v>
      </c>
      <c r="Q125" s="1173">
        <f>DC$14</f>
        <v>0</v>
      </c>
      <c r="R125" s="705">
        <f t="shared" si="54"/>
        <v>0</v>
      </c>
      <c r="S125" s="825">
        <f t="shared" si="55"/>
        <v>0</v>
      </c>
      <c r="T125" s="825">
        <f t="shared" si="56"/>
        <v>0</v>
      </c>
      <c r="U125" s="847">
        <f t="shared" si="57"/>
        <v>0</v>
      </c>
      <c r="V125" s="705">
        <f t="shared" si="58"/>
        <v>3532254</v>
      </c>
      <c r="W125" s="833">
        <f t="shared" si="59"/>
        <v>3708866.7</v>
      </c>
      <c r="X125" s="705">
        <f t="shared" si="60"/>
        <v>3125000</v>
      </c>
      <c r="Y125" s="705">
        <f t="shared" si="61"/>
        <v>2500000</v>
      </c>
      <c r="AA125" s="705">
        <f>U$43*X$90/1000</f>
        <v>4500000</v>
      </c>
      <c r="AB125" s="705">
        <f t="shared" si="62"/>
        <v>11667500</v>
      </c>
      <c r="AC125" s="825">
        <f t="shared" si="63"/>
        <v>11667500</v>
      </c>
      <c r="AD125" s="705">
        <f>IF(Main!$L$10="YES",Main!$N$10+AC125,AC125)</f>
        <v>11667500</v>
      </c>
      <c r="AE125" s="705">
        <f>IF(AND((Main!$E$9&gt;=18),(Main!$J$10="YES")),$Y$94+AD125,AD125)</f>
        <v>14167500</v>
      </c>
      <c r="BQ125" s="843">
        <v>32</v>
      </c>
      <c r="CH125" s="848">
        <f>$G$96</f>
        <v>6687500</v>
      </c>
      <c r="CI125" s="705">
        <f>-DAT!$AY$6</f>
        <v>-112003</v>
      </c>
      <c r="CJ125" s="705">
        <f>-DAT!$AY$6</f>
        <v>-112003</v>
      </c>
      <c r="CK125" s="705">
        <f>-DAT!$AY$6</f>
        <v>-112003</v>
      </c>
      <c r="CL125" s="705">
        <f>-DAT!$AY$6</f>
        <v>-112003</v>
      </c>
    </row>
    <row r="126" spans="2:90">
      <c r="I126" s="843">
        <v>34</v>
      </c>
      <c r="J126" s="846">
        <f>AI$14</f>
        <v>0</v>
      </c>
      <c r="K126" s="705">
        <f t="shared" si="49"/>
        <v>3400000</v>
      </c>
      <c r="L126" s="705">
        <f t="shared" si="50"/>
        <v>4165000</v>
      </c>
      <c r="M126" s="825">
        <f t="shared" si="51"/>
        <v>7565000</v>
      </c>
      <c r="N126" s="829">
        <f t="shared" si="52"/>
        <v>0</v>
      </c>
      <c r="O126" s="1173">
        <f>BS$14</f>
        <v>0</v>
      </c>
      <c r="P126" s="705">
        <f t="shared" si="53"/>
        <v>0</v>
      </c>
      <c r="Q126" s="1173">
        <f>DD$14</f>
        <v>0</v>
      </c>
      <c r="R126" s="705">
        <f t="shared" si="54"/>
        <v>0</v>
      </c>
      <c r="S126" s="825">
        <f t="shared" si="55"/>
        <v>0</v>
      </c>
      <c r="T126" s="825">
        <f t="shared" si="56"/>
        <v>0</v>
      </c>
      <c r="U126" s="847">
        <f t="shared" si="57"/>
        <v>0</v>
      </c>
      <c r="V126" s="705">
        <f t="shared" si="58"/>
        <v>3639292</v>
      </c>
      <c r="W126" s="833">
        <f t="shared" si="59"/>
        <v>3821256.6</v>
      </c>
      <c r="X126" s="705">
        <f t="shared" si="60"/>
        <v>3125000</v>
      </c>
      <c r="Y126" s="705">
        <f t="shared" si="61"/>
        <v>2500000</v>
      </c>
      <c r="AA126" s="705">
        <f>V$43*X$90/1000</f>
        <v>5125000</v>
      </c>
      <c r="AB126" s="705">
        <f t="shared" si="62"/>
        <v>12415000</v>
      </c>
      <c r="AC126" s="825">
        <f t="shared" si="63"/>
        <v>12415000</v>
      </c>
      <c r="AD126" s="705">
        <f>IF(Main!$L$10="YES",Main!$N$10+AC126,AC126)</f>
        <v>12415000</v>
      </c>
      <c r="AE126" s="705">
        <f>IF(AND((Main!$E$9&gt;=18),(Main!$J$10="YES")),$Y$94+AD126,AD126)</f>
        <v>14915000</v>
      </c>
      <c r="BQ126" s="843">
        <v>33</v>
      </c>
      <c r="CI126" s="848">
        <f>$G$96</f>
        <v>6687500</v>
      </c>
      <c r="CJ126" s="705">
        <f>-DAT!$AY$6</f>
        <v>-112003</v>
      </c>
      <c r="CK126" s="705">
        <f>-DAT!$AY$6</f>
        <v>-112003</v>
      </c>
      <c r="CL126" s="705">
        <f>-DAT!$AY$6</f>
        <v>-112003</v>
      </c>
    </row>
    <row r="127" spans="2:90">
      <c r="I127" s="843">
        <v>35</v>
      </c>
      <c r="K127" s="705">
        <f t="shared" si="49"/>
        <v>3500000</v>
      </c>
      <c r="L127" s="705">
        <f t="shared" si="50"/>
        <v>4287500</v>
      </c>
      <c r="M127" s="825">
        <f t="shared" si="51"/>
        <v>7787500</v>
      </c>
      <c r="V127" s="705">
        <f t="shared" si="58"/>
        <v>3746330</v>
      </c>
      <c r="W127" s="833">
        <f t="shared" si="59"/>
        <v>3933646.5</v>
      </c>
      <c r="X127" s="705">
        <f t="shared" si="60"/>
        <v>3125000</v>
      </c>
      <c r="Y127" s="705">
        <f t="shared" si="61"/>
        <v>2500000</v>
      </c>
      <c r="AA127" s="705">
        <f>W$43*X$90/1000</f>
        <v>5750000</v>
      </c>
      <c r="AB127" s="705">
        <f t="shared" si="62"/>
        <v>13162500</v>
      </c>
      <c r="AC127" s="825">
        <f t="shared" si="63"/>
        <v>13162500</v>
      </c>
      <c r="AD127" s="705">
        <f>IF(Main!$L$10="YES",Main!$N$10+AC127,AC127)</f>
        <v>13162500</v>
      </c>
      <c r="AE127" s="705">
        <f>IF(AND((Main!$E$9&gt;=18),(Main!$J$10="YES")),$Y$94+AD127,AD127)</f>
        <v>15662500</v>
      </c>
      <c r="BQ127" s="843">
        <v>34</v>
      </c>
      <c r="CJ127" s="848">
        <f>$G$96</f>
        <v>6687500</v>
      </c>
      <c r="CK127" s="705">
        <f>-DAT!$AY$6</f>
        <v>-112003</v>
      </c>
      <c r="CL127" s="705">
        <f>-DAT!$AY$6</f>
        <v>-112003</v>
      </c>
    </row>
    <row r="128" spans="2:90">
      <c r="I128" s="843"/>
      <c r="M128" s="825"/>
      <c r="W128" s="833"/>
      <c r="AC128" s="825"/>
      <c r="AD128" s="1176"/>
      <c r="AE128" s="1176"/>
      <c r="BQ128" s="843">
        <v>35</v>
      </c>
      <c r="CK128" s="848">
        <f>$G$96</f>
        <v>6687500</v>
      </c>
      <c r="CL128" s="705">
        <f>-DAT!$AY$6</f>
        <v>-112003</v>
      </c>
    </row>
    <row r="129" spans="3:99">
      <c r="I129" s="843"/>
      <c r="M129" s="825"/>
      <c r="W129" s="833"/>
      <c r="AC129" s="825"/>
      <c r="AD129" s="1176"/>
      <c r="AE129" s="1176"/>
      <c r="BT129" s="705">
        <v>820</v>
      </c>
      <c r="BU129" s="705">
        <v>821</v>
      </c>
      <c r="BX129" s="1170" t="e">
        <f>LOOKUP($C$52,BX131:CH131,BX130:CH130)</f>
        <v>#VALUE!</v>
      </c>
      <c r="CA129" s="705">
        <v>827</v>
      </c>
      <c r="CL129" s="848">
        <f>$G$96</f>
        <v>6687500</v>
      </c>
      <c r="CM129" s="1170" t="e">
        <f>LOOKUP($C$52,CM131:CU131,CM130:CU130)</f>
        <v>#VALUE!</v>
      </c>
      <c r="CP129" s="705">
        <v>838</v>
      </c>
    </row>
    <row r="130" spans="3:99">
      <c r="X130" s="705">
        <f>$B$52</f>
        <v>2500000</v>
      </c>
      <c r="AE130" s="705">
        <f>Main!E9</f>
        <v>30</v>
      </c>
      <c r="BT130" s="845">
        <f>IRR(BT132:BT151)</f>
        <v>5.1860834734722756E-2</v>
      </c>
      <c r="BU130" s="845">
        <f>IRR(BU132:BU156)</f>
        <v>5.805700369457515E-2</v>
      </c>
      <c r="BX130" s="845" t="e">
        <f>IRR(BX132:BX142)</f>
        <v>#VALUE!</v>
      </c>
      <c r="BY130" s="845" t="e">
        <f>IRR(BY132:BY143)</f>
        <v>#VALUE!</v>
      </c>
      <c r="BZ130" s="845" t="e">
        <f>IRR(BZ132:BZ144)</f>
        <v>#VALUE!</v>
      </c>
      <c r="CA130" s="845" t="e">
        <f>IRR(CA132:CA145)</f>
        <v>#VALUE!</v>
      </c>
      <c r="CB130" s="845" t="e">
        <f>IRR(CB132:CB146)</f>
        <v>#VALUE!</v>
      </c>
      <c r="CC130" s="845" t="e">
        <f>IRR(CC132:CC147)</f>
        <v>#VALUE!</v>
      </c>
      <c r="CD130" s="845" t="e">
        <f>IRR(CD132:CD148)</f>
        <v>#VALUE!</v>
      </c>
      <c r="CE130" s="845" t="e">
        <f>IRR(CE132:CE149)</f>
        <v>#VALUE!</v>
      </c>
      <c r="CF130" s="845" t="e">
        <f>IRR(CF132:CF150)</f>
        <v>#VALUE!</v>
      </c>
      <c r="CG130" s="845" t="e">
        <f>IRR(CG132:CG151)</f>
        <v>#VALUE!</v>
      </c>
      <c r="CH130" s="845" t="e">
        <f>IRR(CH132:CH152)</f>
        <v>#VALUE!</v>
      </c>
      <c r="CM130" s="845" t="e">
        <f>IRR(CM132:CM144)</f>
        <v>#VALUE!</v>
      </c>
      <c r="CN130" s="845" t="e">
        <f>IRR(CN132:CN145)</f>
        <v>#VALUE!</v>
      </c>
      <c r="CO130" s="845" t="e">
        <f>IRR(CO132:CO146)</f>
        <v>#VALUE!</v>
      </c>
      <c r="CP130" s="845" t="e">
        <f>IRR(CP132:CP147)</f>
        <v>#VALUE!</v>
      </c>
      <c r="CQ130" s="845" t="e">
        <f>IRR(CQ132:CQ148)</f>
        <v>#VALUE!</v>
      </c>
      <c r="CR130" s="845" t="e">
        <f>IRR(CR132:CR149)</f>
        <v>#VALUE!</v>
      </c>
      <c r="CS130" s="845" t="e">
        <f>IRR(CS132:CS150)</f>
        <v>#VALUE!</v>
      </c>
      <c r="CT130" s="845" t="e">
        <f>IRR(CT132:CT151)</f>
        <v>#VALUE!</v>
      </c>
      <c r="CU130" s="845" t="e">
        <f>IRR(CU132:CU152)</f>
        <v>#VALUE!</v>
      </c>
    </row>
    <row r="131" spans="3:99">
      <c r="X131" s="843">
        <f>X130*(125/100)</f>
        <v>3125000</v>
      </c>
      <c r="Y131" s="843">
        <f>IF((X131&gt;Z134),X131,Z134)</f>
        <v>3125000</v>
      </c>
      <c r="AE131" s="705">
        <f>Main!E11</f>
        <v>25</v>
      </c>
      <c r="BT131" s="843">
        <v>20</v>
      </c>
      <c r="BU131" s="843">
        <v>25</v>
      </c>
      <c r="BX131" s="705">
        <v>10</v>
      </c>
      <c r="BY131" s="705">
        <v>11</v>
      </c>
      <c r="BZ131" s="843">
        <v>12</v>
      </c>
      <c r="CA131" s="843">
        <v>13</v>
      </c>
      <c r="CB131" s="843">
        <v>14</v>
      </c>
      <c r="CC131" s="843">
        <v>15</v>
      </c>
      <c r="CD131" s="843">
        <v>16</v>
      </c>
      <c r="CE131" s="843">
        <v>17</v>
      </c>
      <c r="CF131" s="843">
        <v>18</v>
      </c>
      <c r="CG131" s="843">
        <v>19</v>
      </c>
      <c r="CH131" s="843">
        <v>20</v>
      </c>
      <c r="CM131" s="843">
        <v>12</v>
      </c>
      <c r="CN131" s="843">
        <v>13</v>
      </c>
      <c r="CO131" s="843">
        <v>14</v>
      </c>
      <c r="CP131" s="843">
        <v>15</v>
      </c>
      <c r="CQ131" s="843">
        <v>16</v>
      </c>
      <c r="CR131" s="843">
        <v>17</v>
      </c>
      <c r="CS131" s="843">
        <v>18</v>
      </c>
      <c r="CT131" s="843">
        <v>19</v>
      </c>
      <c r="CU131" s="843">
        <v>20</v>
      </c>
    </row>
    <row r="132" spans="3:99">
      <c r="I132" s="705">
        <v>830</v>
      </c>
      <c r="N132" s="848">
        <f>X130+L133+AA133</f>
        <v>5375000</v>
      </c>
      <c r="Y132" s="1174">
        <f>IF((Main!J10="YES"),X130,0)</f>
        <v>2500000</v>
      </c>
      <c r="AD132" s="848"/>
      <c r="AE132" s="705">
        <f>AE130+AE131</f>
        <v>55</v>
      </c>
      <c r="AF132" s="705">
        <f>AD132</f>
        <v>0</v>
      </c>
      <c r="AN132" s="705">
        <v>827</v>
      </c>
      <c r="BS132" s="705">
        <v>1</v>
      </c>
      <c r="BT132" s="705">
        <f>-DAT!$AT$10</f>
        <v>-197813</v>
      </c>
      <c r="BU132" s="705">
        <f>-DAT!$AT$11</f>
        <v>-152495</v>
      </c>
      <c r="BX132" s="705" t="e">
        <f>-DAT!$AT$14</f>
        <v>#N/A</v>
      </c>
      <c r="BY132" s="705" t="e">
        <f>-DAT!$AT$14</f>
        <v>#N/A</v>
      </c>
      <c r="BZ132" s="705" t="e">
        <f>-DAT!$AT$14</f>
        <v>#N/A</v>
      </c>
      <c r="CA132" s="705" t="e">
        <f>-DAT!$AT$14</f>
        <v>#N/A</v>
      </c>
      <c r="CB132" s="705" t="e">
        <f>-DAT!$AT$14</f>
        <v>#N/A</v>
      </c>
      <c r="CC132" s="705" t="e">
        <f>-DAT!$AT$14</f>
        <v>#N/A</v>
      </c>
      <c r="CD132" s="705" t="e">
        <f>-DAT!$AT$14</f>
        <v>#N/A</v>
      </c>
      <c r="CE132" s="705" t="e">
        <f>-DAT!$AT$14</f>
        <v>#N/A</v>
      </c>
      <c r="CF132" s="705" t="e">
        <f>-DAT!$AT$14</f>
        <v>#N/A</v>
      </c>
      <c r="CG132" s="705" t="e">
        <f>-DAT!$AT$14</f>
        <v>#N/A</v>
      </c>
      <c r="CH132" s="705" t="e">
        <f>-DAT!$AT$14</f>
        <v>#N/A</v>
      </c>
      <c r="CL132" s="705">
        <v>1</v>
      </c>
      <c r="CM132" s="705" t="e">
        <f>-DAT!$AT$20</f>
        <v>#N/A</v>
      </c>
      <c r="CN132" s="705" t="e">
        <f>-DAT!$AT$20</f>
        <v>#N/A</v>
      </c>
      <c r="CO132" s="705" t="e">
        <f>-DAT!$AT$20</f>
        <v>#N/A</v>
      </c>
      <c r="CP132" s="705" t="e">
        <f>-DAT!$AT$20</f>
        <v>#N/A</v>
      </c>
      <c r="CQ132" s="705" t="e">
        <f>-DAT!$AT$20</f>
        <v>#N/A</v>
      </c>
      <c r="CR132" s="705" t="e">
        <f>-DAT!$AT$20</f>
        <v>#N/A</v>
      </c>
      <c r="CS132" s="705" t="e">
        <f>-DAT!$AT$20</f>
        <v>#N/A</v>
      </c>
      <c r="CT132" s="705" t="e">
        <f>-DAT!$AT$20</f>
        <v>#N/A</v>
      </c>
      <c r="CU132" s="705" t="e">
        <f>-DAT!$AT$20</f>
        <v>#N/A</v>
      </c>
    </row>
    <row r="133" spans="3:99">
      <c r="K133" s="1172"/>
      <c r="L133" s="1172">
        <f>LOOKUP($C$52,$I134:$I153,L134:L153)</f>
        <v>2625000</v>
      </c>
      <c r="Y133" s="705">
        <f>($D$134)*($B$52/1000)</f>
        <v>125000</v>
      </c>
      <c r="AA133" s="1172">
        <f>LOOKUP($C$52,$I134:$I153,AA134:AA153)</f>
        <v>250000</v>
      </c>
      <c r="AB133" s="705">
        <f>X134+Y133</f>
        <v>3250000</v>
      </c>
      <c r="AC133" s="705">
        <f>X134+Y133</f>
        <v>3250000</v>
      </c>
      <c r="AD133" s="848">
        <f>AC133+Y132</f>
        <v>5750000</v>
      </c>
      <c r="AE133" s="705">
        <f>AE130+1</f>
        <v>31</v>
      </c>
      <c r="AF133" s="705">
        <f t="shared" ref="AF133:AF153" si="82">IF(AE133&lt;70,AD133,AC133)</f>
        <v>5750000</v>
      </c>
      <c r="AH133" s="705">
        <f>IF(Main!$L$10="YES",Main!$N$10+AC133,AC133)</f>
        <v>3250000</v>
      </c>
      <c r="AI133" s="705">
        <f>IF(AND((Main!$E$9&gt;=18),(Main!$J$10="YES")),$Y$132+AH133,AH133)</f>
        <v>5750000</v>
      </c>
      <c r="AT133" s="1172" t="e">
        <f>LOOKUP($AL$134,$AN134:$AN153,AT134:AT153)</f>
        <v>#N/A</v>
      </c>
      <c r="BR133" s="705">
        <f>$B$52*20%</f>
        <v>500000</v>
      </c>
      <c r="BS133" s="824">
        <v>2</v>
      </c>
      <c r="BT133" s="705">
        <f>-DAT!$AY$10</f>
        <v>-193554</v>
      </c>
      <c r="BU133" s="705">
        <f>-DAT!$AY$11</f>
        <v>-149211</v>
      </c>
      <c r="BX133" s="705" t="e">
        <f>-DAT!$AY$14</f>
        <v>#N/A</v>
      </c>
      <c r="BY133" s="705" t="e">
        <f>-DAT!$AY$14</f>
        <v>#N/A</v>
      </c>
      <c r="BZ133" s="705" t="e">
        <f>-DAT!$AY$14</f>
        <v>#N/A</v>
      </c>
      <c r="CA133" s="705" t="e">
        <f>-DAT!$AY$14</f>
        <v>#N/A</v>
      </c>
      <c r="CB133" s="705" t="e">
        <f>-DAT!$AY$14</f>
        <v>#N/A</v>
      </c>
      <c r="CC133" s="705" t="e">
        <f>-DAT!$AY$14</f>
        <v>#N/A</v>
      </c>
      <c r="CD133" s="705" t="e">
        <f>-DAT!$AY$14</f>
        <v>#N/A</v>
      </c>
      <c r="CE133" s="705" t="e">
        <f>-DAT!$AY$14</f>
        <v>#N/A</v>
      </c>
      <c r="CF133" s="705" t="e">
        <f>-DAT!$AY$14</f>
        <v>#N/A</v>
      </c>
      <c r="CG133" s="705" t="e">
        <f>-DAT!$AY$14</f>
        <v>#N/A</v>
      </c>
      <c r="CH133" s="705" t="e">
        <f>-DAT!$AY$14</f>
        <v>#N/A</v>
      </c>
      <c r="CL133" s="824">
        <v>2</v>
      </c>
      <c r="CM133" s="705" t="e">
        <f>-DAT!$AY$20</f>
        <v>#N/A</v>
      </c>
      <c r="CN133" s="705" t="e">
        <f>-DAT!$AY$20</f>
        <v>#N/A</v>
      </c>
      <c r="CO133" s="705" t="e">
        <f>-DAT!$AY$20</f>
        <v>#N/A</v>
      </c>
      <c r="CP133" s="705" t="e">
        <f>-DAT!$AY$20</f>
        <v>#N/A</v>
      </c>
      <c r="CQ133" s="705" t="e">
        <f>-DAT!$AY$20</f>
        <v>#N/A</v>
      </c>
      <c r="CR133" s="705" t="e">
        <f>-DAT!$AY$20</f>
        <v>#N/A</v>
      </c>
      <c r="CS133" s="705" t="e">
        <f>-DAT!$AY$20</f>
        <v>#N/A</v>
      </c>
      <c r="CT133" s="705" t="e">
        <f>-DAT!$AY$20</f>
        <v>#N/A</v>
      </c>
      <c r="CU133" s="705" t="e">
        <f>-DAT!$AY$20</f>
        <v>#N/A</v>
      </c>
    </row>
    <row r="134" spans="3:99">
      <c r="D134" s="1172">
        <f>LOOKUP($C$52,$C135:$C137,D135:D137)</f>
        <v>50</v>
      </c>
      <c r="I134" s="824">
        <v>2</v>
      </c>
      <c r="J134" s="846">
        <f>C$14</f>
        <v>18.45</v>
      </c>
      <c r="K134" s="705">
        <f t="shared" ref="K134:K153" si="83">$B$52*I134/$C$52</f>
        <v>200000</v>
      </c>
      <c r="L134" s="705">
        <f t="shared" ref="L134:L153" si="84">(I134*$D$134)*($B$52/1000)</f>
        <v>250000</v>
      </c>
      <c r="M134" s="825">
        <f t="shared" ref="M134:M153" si="85">K134+L134</f>
        <v>450000</v>
      </c>
      <c r="N134" s="829">
        <f t="shared" ref="N134:N153" si="86">ROUND((M134*J134/100),0)</f>
        <v>83025</v>
      </c>
      <c r="O134" s="1173">
        <f>AM$14</f>
        <v>0</v>
      </c>
      <c r="P134" s="705">
        <f t="shared" ref="P134:P153" si="87">ROUND(($F$135*I134)*O134,0)</f>
        <v>0</v>
      </c>
      <c r="Q134" s="1173">
        <f>BX$14</f>
        <v>0</v>
      </c>
      <c r="R134" s="705">
        <f t="shared" ref="R134:R153" si="88">ROUND(L134*Q134,0)</f>
        <v>0</v>
      </c>
      <c r="S134" s="825">
        <f t="shared" ref="S134:S153" si="89">P134+R134</f>
        <v>0</v>
      </c>
      <c r="T134" s="825">
        <f t="shared" ref="T134:T153" si="90">IF(S134&gt;N134,S134,N134)</f>
        <v>83025</v>
      </c>
      <c r="U134" s="847">
        <f t="shared" ref="U134:U153" si="91">ROUND((T134*($D$97/100)),-2)</f>
        <v>66400</v>
      </c>
      <c r="V134" s="705">
        <f t="shared" ref="V134:V153" si="92">$F$135*I134</f>
        <v>386046</v>
      </c>
      <c r="W134" s="833">
        <f t="shared" ref="W134:W153" si="93">V134*105/100</f>
        <v>405348.3</v>
      </c>
      <c r="X134" s="705">
        <f t="shared" ref="X134:X153" si="94">$Y$131</f>
        <v>3125000</v>
      </c>
      <c r="Y134" s="705">
        <f t="shared" ref="Y134:Y153" si="95">IF(($Y$132&gt;10000000),10000000,$Y$132)</f>
        <v>2500000</v>
      </c>
      <c r="Z134" s="705">
        <f>F135*10</f>
        <v>1930230</v>
      </c>
      <c r="AA134" s="843">
        <v>0</v>
      </c>
      <c r="AB134" s="705">
        <f t="shared" ref="AB134:AB153" si="96">X134+L134+AA134</f>
        <v>3375000</v>
      </c>
      <c r="AC134" s="825">
        <f t="shared" ref="AC134:AC153" si="97">IF((W134&gt;AB134),W134,AB134)</f>
        <v>3375000</v>
      </c>
      <c r="AD134" s="848">
        <f t="shared" ref="AD134:AD153" si="98">AC134+Y134</f>
        <v>5875000</v>
      </c>
      <c r="AE134" s="705">
        <f t="shared" ref="AE134:AE153" si="99">$AE$130+I134</f>
        <v>32</v>
      </c>
      <c r="AF134" s="705">
        <f t="shared" si="82"/>
        <v>5875000</v>
      </c>
      <c r="AH134" s="705">
        <f>IF(Main!$L$10="YES",Main!$N$10+AC134,AC134)</f>
        <v>3375000</v>
      </c>
      <c r="AI134" s="705">
        <f>IF(AND((Main!$E$9&gt;=18),(Main!$J$10="YES")),$Y$132+AH134,AH134)</f>
        <v>5875000</v>
      </c>
      <c r="AK134" s="705">
        <f>DAT!L14</f>
        <v>0</v>
      </c>
      <c r="AL134" s="705">
        <f>DAT!M14</f>
        <v>0</v>
      </c>
      <c r="AN134" s="848">
        <v>1</v>
      </c>
      <c r="AO134" s="1173">
        <f>AM$14</f>
        <v>0</v>
      </c>
      <c r="AP134" s="848" t="e">
        <f t="shared" ref="AP134:AP153" si="100">($AL$135*AN134)*AO134</f>
        <v>#N/A</v>
      </c>
      <c r="AQ134" s="705" t="e">
        <f t="shared" ref="AQ134:AQ153" si="101">ROUND((AP134*(70%)),-2)</f>
        <v>#N/A</v>
      </c>
      <c r="AU134" s="705" t="e">
        <f t="shared" ref="AU134:AU153" si="102">ROUND($AL$135*AN134,0)</f>
        <v>#N/A</v>
      </c>
      <c r="AV134" s="705" t="e">
        <f t="shared" ref="AV134:AV153" si="103">ROUND(AU134*(105/100),0)</f>
        <v>#N/A</v>
      </c>
      <c r="AW134" s="705">
        <f t="shared" ref="AW134:AW153" si="104">$AK$134</f>
        <v>0</v>
      </c>
      <c r="AX134" s="705" t="e">
        <f>AL135*10</f>
        <v>#N/A</v>
      </c>
      <c r="AY134" s="705" t="e">
        <f t="shared" ref="AY134:AY153" si="105">IF((AW134&gt;$AX$134),AW134,$AX$134)</f>
        <v>#N/A</v>
      </c>
      <c r="AZ134" s="705" t="e">
        <f t="shared" ref="AZ134:AZ153" si="106">AT134+AY134</f>
        <v>#N/A</v>
      </c>
      <c r="BA134" s="705" t="e">
        <f>IF(AND((Main!$E$9&gt;=18),(Main!$J$10="YES")),AW134+AZ134,AZ134)</f>
        <v>#N/A</v>
      </c>
      <c r="BD134" s="848">
        <f>DAT!AB7</f>
        <v>1876950</v>
      </c>
      <c r="BE134" s="705">
        <f>B52</f>
        <v>2500000</v>
      </c>
      <c r="BF134" s="705">
        <f>(BE134/1000)*BM139</f>
        <v>937500</v>
      </c>
      <c r="BG134" s="705">
        <f>BE134+BF134</f>
        <v>3437500</v>
      </c>
      <c r="BR134" s="705">
        <f>BR133-DAT!$AY$10</f>
        <v>306446</v>
      </c>
      <c r="BS134" s="824">
        <v>3</v>
      </c>
      <c r="BT134" s="705">
        <f>-DAT!$AY$10</f>
        <v>-193554</v>
      </c>
      <c r="BU134" s="705">
        <f>-DAT!$AY$11</f>
        <v>-149211</v>
      </c>
      <c r="BX134" s="705" t="e">
        <f>-DAT!$AY$14</f>
        <v>#N/A</v>
      </c>
      <c r="BY134" s="705" t="e">
        <f>-DAT!$AY$14</f>
        <v>#N/A</v>
      </c>
      <c r="BZ134" s="705" t="e">
        <f>-DAT!$AY$14</f>
        <v>#N/A</v>
      </c>
      <c r="CA134" s="705" t="e">
        <f>-DAT!$AY$14</f>
        <v>#N/A</v>
      </c>
      <c r="CB134" s="705" t="e">
        <f>-DAT!$AY$14</f>
        <v>#N/A</v>
      </c>
      <c r="CC134" s="705" t="e">
        <f>-DAT!$AY$14</f>
        <v>#N/A</v>
      </c>
      <c r="CD134" s="705" t="e">
        <f>-DAT!$AY$14</f>
        <v>#N/A</v>
      </c>
      <c r="CE134" s="705" t="e">
        <f>-DAT!$AY$14</f>
        <v>#N/A</v>
      </c>
      <c r="CF134" s="705" t="e">
        <f>-DAT!$AY$14</f>
        <v>#N/A</v>
      </c>
      <c r="CG134" s="705" t="e">
        <f>-DAT!$AY$14</f>
        <v>#N/A</v>
      </c>
      <c r="CH134" s="705" t="e">
        <f>-DAT!$AY$14</f>
        <v>#N/A</v>
      </c>
      <c r="CL134" s="824">
        <v>3</v>
      </c>
      <c r="CM134" s="705" t="e">
        <f>-DAT!$AY$20</f>
        <v>#N/A</v>
      </c>
      <c r="CN134" s="705" t="e">
        <f>-DAT!$AY$20</f>
        <v>#N/A</v>
      </c>
      <c r="CO134" s="705" t="e">
        <f>-DAT!$AY$20</f>
        <v>#N/A</v>
      </c>
      <c r="CP134" s="705" t="e">
        <f>-DAT!$AY$20</f>
        <v>#N/A</v>
      </c>
      <c r="CQ134" s="705" t="e">
        <f>-DAT!$AY$20</f>
        <v>#N/A</v>
      </c>
      <c r="CR134" s="705" t="e">
        <f>-DAT!$AY$20</f>
        <v>#N/A</v>
      </c>
      <c r="CS134" s="705" t="e">
        <f>-DAT!$AY$20</f>
        <v>#N/A</v>
      </c>
      <c r="CT134" s="705" t="e">
        <f>-DAT!$AY$20</f>
        <v>#N/A</v>
      </c>
      <c r="CU134" s="705" t="e">
        <f>-DAT!$AY$20</f>
        <v>#N/A</v>
      </c>
    </row>
    <row r="135" spans="3:99">
      <c r="C135" s="705">
        <v>12</v>
      </c>
      <c r="D135" s="836">
        <v>40</v>
      </c>
      <c r="E135" s="846">
        <f>((DAT!E15*(100-DAT!F15)/100)-DAT!AA15)</f>
        <v>77.209000000000003</v>
      </c>
      <c r="F135" s="705">
        <f>ROUND(E135*B52/1000,0)</f>
        <v>193023</v>
      </c>
      <c r="I135" s="824">
        <v>3</v>
      </c>
      <c r="J135" s="846">
        <f>D$14</f>
        <v>19.829999999999998</v>
      </c>
      <c r="K135" s="705">
        <f t="shared" si="83"/>
        <v>300000</v>
      </c>
      <c r="L135" s="705">
        <f t="shared" si="84"/>
        <v>375000</v>
      </c>
      <c r="M135" s="825">
        <f t="shared" si="85"/>
        <v>675000</v>
      </c>
      <c r="N135" s="829">
        <f t="shared" si="86"/>
        <v>133853</v>
      </c>
      <c r="O135" s="1173">
        <f>AN$14</f>
        <v>0.3</v>
      </c>
      <c r="P135" s="705">
        <f t="shared" si="87"/>
        <v>173721</v>
      </c>
      <c r="Q135" s="1173">
        <f>BY$14</f>
        <v>0.15279999999999999</v>
      </c>
      <c r="R135" s="705">
        <f t="shared" si="88"/>
        <v>57300</v>
      </c>
      <c r="S135" s="825">
        <f t="shared" si="89"/>
        <v>231021</v>
      </c>
      <c r="T135" s="825">
        <f t="shared" si="90"/>
        <v>231021</v>
      </c>
      <c r="U135" s="847">
        <f t="shared" si="91"/>
        <v>184800</v>
      </c>
      <c r="V135" s="705">
        <f t="shared" si="92"/>
        <v>579069</v>
      </c>
      <c r="W135" s="833">
        <f t="shared" si="93"/>
        <v>608022.44999999995</v>
      </c>
      <c r="X135" s="705">
        <f t="shared" si="94"/>
        <v>3125000</v>
      </c>
      <c r="Y135" s="705">
        <f t="shared" si="95"/>
        <v>2500000</v>
      </c>
      <c r="AA135" s="843">
        <v>0</v>
      </c>
      <c r="AB135" s="705">
        <f t="shared" si="96"/>
        <v>3500000</v>
      </c>
      <c r="AC135" s="825">
        <f t="shared" si="97"/>
        <v>3500000</v>
      </c>
      <c r="AD135" s="848">
        <f t="shared" si="98"/>
        <v>6000000</v>
      </c>
      <c r="AE135" s="705">
        <f t="shared" si="99"/>
        <v>33</v>
      </c>
      <c r="AF135" s="705">
        <f t="shared" si="82"/>
        <v>6000000</v>
      </c>
      <c r="AH135" s="705">
        <f>IF(Main!$L$10="YES",Main!$N$10+AC135,AC135)</f>
        <v>3500000</v>
      </c>
      <c r="AI135" s="705">
        <f>IF(AND((Main!$E$9&gt;=18),(Main!$J$10="YES")),$Y$132+AH135,AH135)</f>
        <v>6000000</v>
      </c>
      <c r="AK135" s="846" t="e">
        <f>((DAT!E14*(100-DAT!F14)/100)-DAT!AA14)</f>
        <v>#N/A</v>
      </c>
      <c r="AL135" s="705" t="e">
        <f>ROUND(AK135*AK134/1000,0)</f>
        <v>#N/A</v>
      </c>
      <c r="AN135" s="848">
        <v>2</v>
      </c>
      <c r="AO135" s="1173">
        <f>AM$14</f>
        <v>0</v>
      </c>
      <c r="AP135" s="848" t="e">
        <f t="shared" si="100"/>
        <v>#N/A</v>
      </c>
      <c r="AQ135" s="705" t="e">
        <f t="shared" si="101"/>
        <v>#N/A</v>
      </c>
      <c r="AU135" s="705" t="e">
        <f t="shared" si="102"/>
        <v>#N/A</v>
      </c>
      <c r="AV135" s="705" t="e">
        <f t="shared" si="103"/>
        <v>#N/A</v>
      </c>
      <c r="AW135" s="705">
        <f t="shared" si="104"/>
        <v>0</v>
      </c>
      <c r="AY135" s="705" t="e">
        <f t="shared" si="105"/>
        <v>#N/A</v>
      </c>
      <c r="AZ135" s="705" t="e">
        <f t="shared" si="106"/>
        <v>#N/A</v>
      </c>
      <c r="BA135" s="705" t="e">
        <f>IF(AND((Main!$E$9&gt;=18),(Main!$J$10="YES")),AW135+AZ135,AZ135)</f>
        <v>#N/A</v>
      </c>
      <c r="BD135" s="705">
        <v>816</v>
      </c>
      <c r="BS135" s="824">
        <v>4</v>
      </c>
      <c r="BT135" s="705">
        <f>-DAT!$AY$10</f>
        <v>-193554</v>
      </c>
      <c r="BU135" s="705">
        <f>-DAT!$AY$11</f>
        <v>-149211</v>
      </c>
      <c r="BX135" s="705" t="e">
        <f>-DAT!$AY$14</f>
        <v>#N/A</v>
      </c>
      <c r="BY135" s="705" t="e">
        <f>-DAT!$AY$14</f>
        <v>#N/A</v>
      </c>
      <c r="BZ135" s="705" t="e">
        <f>-DAT!$AY$14</f>
        <v>#N/A</v>
      </c>
      <c r="CA135" s="705" t="e">
        <f>-DAT!$AY$14</f>
        <v>#N/A</v>
      </c>
      <c r="CB135" s="705" t="e">
        <f>-DAT!$AY$14</f>
        <v>#N/A</v>
      </c>
      <c r="CC135" s="705" t="e">
        <f>-DAT!$AY$14</f>
        <v>#N/A</v>
      </c>
      <c r="CD135" s="705" t="e">
        <f>-DAT!$AY$14</f>
        <v>#N/A</v>
      </c>
      <c r="CE135" s="705" t="e">
        <f>-DAT!$AY$14</f>
        <v>#N/A</v>
      </c>
      <c r="CF135" s="705" t="e">
        <f>-DAT!$AY$14</f>
        <v>#N/A</v>
      </c>
      <c r="CG135" s="705" t="e">
        <f>-DAT!$AY$14</f>
        <v>#N/A</v>
      </c>
      <c r="CH135" s="705" t="e">
        <f>-DAT!$AY$14</f>
        <v>#N/A</v>
      </c>
      <c r="CL135" s="824">
        <v>4</v>
      </c>
      <c r="CM135" s="705" t="e">
        <f>-DAT!$AY$20</f>
        <v>#N/A</v>
      </c>
      <c r="CN135" s="705" t="e">
        <f>-DAT!$AY$20</f>
        <v>#N/A</v>
      </c>
      <c r="CO135" s="705" t="e">
        <f>-DAT!$AY$20</f>
        <v>#N/A</v>
      </c>
      <c r="CP135" s="705" t="e">
        <f>-DAT!$AY$20</f>
        <v>#N/A</v>
      </c>
      <c r="CQ135" s="705" t="e">
        <f>-DAT!$AY$20</f>
        <v>#N/A</v>
      </c>
      <c r="CR135" s="705" t="e">
        <f>-DAT!$AY$20</f>
        <v>#N/A</v>
      </c>
      <c r="CS135" s="705" t="e">
        <f>-DAT!$AY$20</f>
        <v>#N/A</v>
      </c>
      <c r="CT135" s="705" t="e">
        <f>-DAT!$AY$20</f>
        <v>#N/A</v>
      </c>
      <c r="CU135" s="705" t="e">
        <f>-DAT!$AY$20</f>
        <v>#N/A</v>
      </c>
    </row>
    <row r="136" spans="3:99">
      <c r="C136" s="705">
        <v>16</v>
      </c>
      <c r="D136" s="836">
        <v>45</v>
      </c>
      <c r="I136" s="824">
        <v>4</v>
      </c>
      <c r="J136" s="846">
        <f>E$14</f>
        <v>21.31</v>
      </c>
      <c r="K136" s="705">
        <f t="shared" si="83"/>
        <v>400000</v>
      </c>
      <c r="L136" s="705">
        <f t="shared" si="84"/>
        <v>500000</v>
      </c>
      <c r="M136" s="825">
        <f t="shared" si="85"/>
        <v>900000</v>
      </c>
      <c r="N136" s="829">
        <f t="shared" si="86"/>
        <v>191790</v>
      </c>
      <c r="O136" s="1173">
        <f>AO$14</f>
        <v>0.5</v>
      </c>
      <c r="P136" s="705">
        <f t="shared" si="87"/>
        <v>386046</v>
      </c>
      <c r="Q136" s="1173">
        <f>BZ$14</f>
        <v>0.1542</v>
      </c>
      <c r="R136" s="705">
        <f t="shared" si="88"/>
        <v>77100</v>
      </c>
      <c r="S136" s="825">
        <f t="shared" si="89"/>
        <v>463146</v>
      </c>
      <c r="T136" s="825">
        <f t="shared" si="90"/>
        <v>463146</v>
      </c>
      <c r="U136" s="847">
        <f t="shared" si="91"/>
        <v>370500</v>
      </c>
      <c r="V136" s="705">
        <f t="shared" si="92"/>
        <v>772092</v>
      </c>
      <c r="W136" s="833">
        <f t="shared" si="93"/>
        <v>810696.6</v>
      </c>
      <c r="X136" s="705">
        <f t="shared" si="94"/>
        <v>3125000</v>
      </c>
      <c r="Y136" s="705">
        <f t="shared" si="95"/>
        <v>2500000</v>
      </c>
      <c r="AA136" s="843">
        <v>0</v>
      </c>
      <c r="AB136" s="705">
        <f t="shared" si="96"/>
        <v>3625000</v>
      </c>
      <c r="AC136" s="825">
        <f t="shared" si="97"/>
        <v>3625000</v>
      </c>
      <c r="AD136" s="848">
        <f t="shared" si="98"/>
        <v>6125000</v>
      </c>
      <c r="AE136" s="705">
        <f t="shared" si="99"/>
        <v>34</v>
      </c>
      <c r="AF136" s="705">
        <f t="shared" si="82"/>
        <v>6125000</v>
      </c>
      <c r="AH136" s="705">
        <f>IF(Main!$L$10="YES",Main!$N$10+AC136,AC136)</f>
        <v>3625000</v>
      </c>
      <c r="AI136" s="705">
        <f>IF(AND((Main!$E$9&gt;=18),(Main!$J$10="YES")),$Y$132+AH136,AH136)</f>
        <v>6125000</v>
      </c>
      <c r="AN136" s="848">
        <v>3</v>
      </c>
      <c r="AO136" s="1173">
        <f>AN$14</f>
        <v>0.3</v>
      </c>
      <c r="AP136" s="848" t="e">
        <f t="shared" si="100"/>
        <v>#N/A</v>
      </c>
      <c r="AQ136" s="705" t="e">
        <f t="shared" si="101"/>
        <v>#N/A</v>
      </c>
      <c r="AU136" s="705" t="e">
        <f t="shared" si="102"/>
        <v>#N/A</v>
      </c>
      <c r="AV136" s="705" t="e">
        <f t="shared" si="103"/>
        <v>#N/A</v>
      </c>
      <c r="AW136" s="705">
        <f t="shared" si="104"/>
        <v>0</v>
      </c>
      <c r="AY136" s="705" t="e">
        <f t="shared" si="105"/>
        <v>#N/A</v>
      </c>
      <c r="AZ136" s="705" t="e">
        <f t="shared" si="106"/>
        <v>#N/A</v>
      </c>
      <c r="BA136" s="705" t="e">
        <f>IF(AND((Main!$E$9&gt;=18),(Main!$J$10="YES")),AW136+AZ136,AZ136)</f>
        <v>#N/A</v>
      </c>
      <c r="BS136" s="824">
        <v>5</v>
      </c>
      <c r="BT136" s="705">
        <f>-DAT!$AY$10</f>
        <v>-193554</v>
      </c>
      <c r="BU136" s="705">
        <f>-DAT!$AY$11</f>
        <v>-149211</v>
      </c>
      <c r="BX136" s="705" t="e">
        <f>-DAT!$AY$14</f>
        <v>#N/A</v>
      </c>
      <c r="BY136" s="705" t="e">
        <f>-DAT!$AY$14</f>
        <v>#N/A</v>
      </c>
      <c r="BZ136" s="705" t="e">
        <f>-DAT!$AY$14</f>
        <v>#N/A</v>
      </c>
      <c r="CA136" s="705" t="e">
        <f>-DAT!$AY$14</f>
        <v>#N/A</v>
      </c>
      <c r="CB136" s="705" t="e">
        <f>-DAT!$AY$14</f>
        <v>#N/A</v>
      </c>
      <c r="CC136" s="705" t="e">
        <f>-DAT!$AY$14</f>
        <v>#N/A</v>
      </c>
      <c r="CD136" s="705" t="e">
        <f>-DAT!$AY$14</f>
        <v>#N/A</v>
      </c>
      <c r="CE136" s="705" t="e">
        <f>-DAT!$AY$14</f>
        <v>#N/A</v>
      </c>
      <c r="CF136" s="705" t="e">
        <f>-DAT!$AY$14</f>
        <v>#N/A</v>
      </c>
      <c r="CG136" s="705" t="e">
        <f>-DAT!$AY$14</f>
        <v>#N/A</v>
      </c>
      <c r="CH136" s="705" t="e">
        <f>-DAT!$AY$14</f>
        <v>#N/A</v>
      </c>
      <c r="CL136" s="824">
        <v>5</v>
      </c>
      <c r="CM136" s="705" t="e">
        <f>-DAT!$AY$20</f>
        <v>#N/A</v>
      </c>
      <c r="CN136" s="705" t="e">
        <f>-DAT!$AY$20</f>
        <v>#N/A</v>
      </c>
      <c r="CO136" s="705" t="e">
        <f>-DAT!$AY$20</f>
        <v>#N/A</v>
      </c>
      <c r="CP136" s="705" t="e">
        <f>-DAT!$AY$20</f>
        <v>#N/A</v>
      </c>
      <c r="CQ136" s="705" t="e">
        <f>-DAT!$AY$20</f>
        <v>#N/A</v>
      </c>
      <c r="CR136" s="705" t="e">
        <f>-DAT!$AY$20</f>
        <v>#N/A</v>
      </c>
      <c r="CS136" s="705" t="e">
        <f>-DAT!$AY$20</f>
        <v>#N/A</v>
      </c>
      <c r="CT136" s="705" t="e">
        <f>-DAT!$AY$20</f>
        <v>#N/A</v>
      </c>
      <c r="CU136" s="705" t="e">
        <f>-DAT!$AY$20</f>
        <v>#N/A</v>
      </c>
    </row>
    <row r="137" spans="3:99">
      <c r="C137" s="705">
        <v>21</v>
      </c>
      <c r="D137" s="836">
        <v>50</v>
      </c>
      <c r="I137" s="824">
        <v>5</v>
      </c>
      <c r="J137" s="846">
        <f>F$14</f>
        <v>22.91</v>
      </c>
      <c r="K137" s="705">
        <f t="shared" si="83"/>
        <v>500000</v>
      </c>
      <c r="L137" s="705">
        <f t="shared" si="84"/>
        <v>625000</v>
      </c>
      <c r="M137" s="825">
        <f t="shared" si="85"/>
        <v>1125000</v>
      </c>
      <c r="N137" s="829">
        <f t="shared" si="86"/>
        <v>257738</v>
      </c>
      <c r="O137" s="1173">
        <f>AP$14</f>
        <v>0.5</v>
      </c>
      <c r="P137" s="705">
        <f t="shared" si="87"/>
        <v>482558</v>
      </c>
      <c r="Q137" s="1173">
        <f>CA$14</f>
        <v>0.1555</v>
      </c>
      <c r="R137" s="705">
        <f t="shared" si="88"/>
        <v>97188</v>
      </c>
      <c r="S137" s="825">
        <f t="shared" si="89"/>
        <v>579746</v>
      </c>
      <c r="T137" s="825">
        <f t="shared" si="90"/>
        <v>579746</v>
      </c>
      <c r="U137" s="847">
        <f t="shared" si="91"/>
        <v>463800</v>
      </c>
      <c r="V137" s="705">
        <f t="shared" si="92"/>
        <v>965115</v>
      </c>
      <c r="W137" s="833">
        <f t="shared" si="93"/>
        <v>1013370.75</v>
      </c>
      <c r="X137" s="705">
        <f t="shared" si="94"/>
        <v>3125000</v>
      </c>
      <c r="Y137" s="705">
        <f t="shared" si="95"/>
        <v>2500000</v>
      </c>
      <c r="AA137" s="843">
        <v>0</v>
      </c>
      <c r="AB137" s="705">
        <f t="shared" si="96"/>
        <v>3750000</v>
      </c>
      <c r="AC137" s="825">
        <f t="shared" si="97"/>
        <v>3750000</v>
      </c>
      <c r="AD137" s="848">
        <f t="shared" si="98"/>
        <v>6250000</v>
      </c>
      <c r="AE137" s="705">
        <f t="shared" si="99"/>
        <v>35</v>
      </c>
      <c r="AF137" s="705">
        <f t="shared" si="82"/>
        <v>6250000</v>
      </c>
      <c r="AH137" s="705">
        <f>IF(Main!$L$10="YES",Main!$N$10+AC137,AC137)</f>
        <v>3750000</v>
      </c>
      <c r="AI137" s="705">
        <f>IF(AND((Main!$E$9&gt;=18),(Main!$J$10="YES")),$Y$132+AH137,AH137)</f>
        <v>6250000</v>
      </c>
      <c r="AL137" s="848" t="e">
        <f>AK134+AT133</f>
        <v>#N/A</v>
      </c>
      <c r="AN137" s="848">
        <v>4</v>
      </c>
      <c r="AO137" s="1173">
        <f>AO$14</f>
        <v>0.5</v>
      </c>
      <c r="AP137" s="848" t="e">
        <f t="shared" si="100"/>
        <v>#N/A</v>
      </c>
      <c r="AQ137" s="705" t="e">
        <f t="shared" si="101"/>
        <v>#N/A</v>
      </c>
      <c r="AU137" s="705" t="e">
        <f t="shared" si="102"/>
        <v>#N/A</v>
      </c>
      <c r="AV137" s="705" t="e">
        <f t="shared" si="103"/>
        <v>#N/A</v>
      </c>
      <c r="AW137" s="705">
        <f t="shared" si="104"/>
        <v>0</v>
      </c>
      <c r="AY137" s="705" t="e">
        <f t="shared" si="105"/>
        <v>#N/A</v>
      </c>
      <c r="AZ137" s="705" t="e">
        <f t="shared" si="106"/>
        <v>#N/A</v>
      </c>
      <c r="BA137" s="705" t="e">
        <f>IF(AND((Main!$E$9&gt;=18),(Main!$J$10="YES")),AW137+AZ137,AZ137)</f>
        <v>#N/A</v>
      </c>
      <c r="BD137" s="705">
        <v>1</v>
      </c>
      <c r="BE137" s="848">
        <f>$BD$134*70%</f>
        <v>1313865</v>
      </c>
      <c r="BG137" s="848">
        <f t="shared" ref="BG137:BG151" si="107">BE137-BF137</f>
        <v>1313865</v>
      </c>
      <c r="BH137" s="1173">
        <v>0.90249999999999997</v>
      </c>
      <c r="BI137" s="838">
        <f t="shared" ref="BI137:BI151" si="108">$BD$134*BH137</f>
        <v>1693947.375</v>
      </c>
      <c r="BJ137" s="838">
        <f t="shared" ref="BJ137:BJ151" si="109">IF(BG137&gt;BI137,BG137,BI137)</f>
        <v>1693947.375</v>
      </c>
      <c r="BK137" s="705">
        <v>0</v>
      </c>
      <c r="BR137" s="705">
        <f>$B$52*15%</f>
        <v>375000</v>
      </c>
      <c r="BS137" s="824">
        <v>6</v>
      </c>
      <c r="BT137" s="705">
        <f>BR134</f>
        <v>306446</v>
      </c>
      <c r="BU137" s="705">
        <f>BR138</f>
        <v>225789</v>
      </c>
      <c r="BX137" s="705" t="e">
        <f>-DAT!$AY$14</f>
        <v>#N/A</v>
      </c>
      <c r="BY137" s="705" t="e">
        <f>-DAT!$AY$14</f>
        <v>#N/A</v>
      </c>
      <c r="BZ137" s="705" t="e">
        <f>-DAT!$AY$14</f>
        <v>#N/A</v>
      </c>
      <c r="CA137" s="705" t="e">
        <f>-DAT!$AY$14</f>
        <v>#N/A</v>
      </c>
      <c r="CB137" s="705" t="e">
        <f>-DAT!$AY$14</f>
        <v>#N/A</v>
      </c>
      <c r="CC137" s="705" t="e">
        <f>-DAT!$AY$14</f>
        <v>#N/A</v>
      </c>
      <c r="CD137" s="705" t="e">
        <f>-DAT!$AY$14</f>
        <v>#N/A</v>
      </c>
      <c r="CE137" s="705" t="e">
        <f>-DAT!$AY$14</f>
        <v>#N/A</v>
      </c>
      <c r="CF137" s="705" t="e">
        <f>-DAT!$AY$14</f>
        <v>#N/A</v>
      </c>
      <c r="CG137" s="705" t="e">
        <f>-DAT!$AY$14</f>
        <v>#N/A</v>
      </c>
      <c r="CH137" s="705" t="e">
        <f>-DAT!$AY$14</f>
        <v>#N/A</v>
      </c>
      <c r="CL137" s="824">
        <v>6</v>
      </c>
      <c r="CM137" s="705" t="e">
        <f>-DAT!$AY$20</f>
        <v>#N/A</v>
      </c>
      <c r="CN137" s="705" t="e">
        <f>-DAT!$AY$20</f>
        <v>#N/A</v>
      </c>
      <c r="CO137" s="705" t="e">
        <f>-DAT!$AY$20</f>
        <v>#N/A</v>
      </c>
      <c r="CP137" s="705" t="e">
        <f>-DAT!$AY$20</f>
        <v>#N/A</v>
      </c>
      <c r="CQ137" s="705" t="e">
        <f>-DAT!$AY$20</f>
        <v>#N/A</v>
      </c>
      <c r="CR137" s="705" t="e">
        <f>-DAT!$AY$20</f>
        <v>#N/A</v>
      </c>
      <c r="CS137" s="705" t="e">
        <f>-DAT!$AY$20</f>
        <v>#N/A</v>
      </c>
      <c r="CT137" s="705" t="e">
        <f>-DAT!$AY$20</f>
        <v>#N/A</v>
      </c>
      <c r="CU137" s="705" t="e">
        <f>-DAT!$AY$20</f>
        <v>#N/A</v>
      </c>
    </row>
    <row r="138" spans="3:99">
      <c r="I138" s="824">
        <v>6</v>
      </c>
      <c r="J138" s="846">
        <f>G$14</f>
        <v>24.63</v>
      </c>
      <c r="K138" s="705">
        <f t="shared" si="83"/>
        <v>600000</v>
      </c>
      <c r="L138" s="705">
        <f t="shared" si="84"/>
        <v>750000</v>
      </c>
      <c r="M138" s="825">
        <f t="shared" si="85"/>
        <v>1350000</v>
      </c>
      <c r="N138" s="829">
        <f t="shared" si="86"/>
        <v>332505</v>
      </c>
      <c r="O138" s="1173">
        <f>AQ$14</f>
        <v>0.5</v>
      </c>
      <c r="P138" s="705">
        <f t="shared" si="87"/>
        <v>579069</v>
      </c>
      <c r="Q138" s="1173">
        <f>CB$14</f>
        <v>0.15720000000000001</v>
      </c>
      <c r="R138" s="705">
        <f t="shared" si="88"/>
        <v>117900</v>
      </c>
      <c r="S138" s="825">
        <f t="shared" si="89"/>
        <v>696969</v>
      </c>
      <c r="T138" s="825">
        <f t="shared" si="90"/>
        <v>696969</v>
      </c>
      <c r="U138" s="847">
        <f t="shared" si="91"/>
        <v>557600</v>
      </c>
      <c r="V138" s="705">
        <f t="shared" si="92"/>
        <v>1158138</v>
      </c>
      <c r="W138" s="833">
        <f t="shared" si="93"/>
        <v>1216044.8999999999</v>
      </c>
      <c r="X138" s="705">
        <f t="shared" si="94"/>
        <v>3125000</v>
      </c>
      <c r="Y138" s="705">
        <f t="shared" si="95"/>
        <v>2500000</v>
      </c>
      <c r="AA138" s="843">
        <v>0</v>
      </c>
      <c r="AB138" s="705">
        <f t="shared" si="96"/>
        <v>3875000</v>
      </c>
      <c r="AC138" s="825">
        <f t="shared" si="97"/>
        <v>3875000</v>
      </c>
      <c r="AD138" s="848">
        <f t="shared" si="98"/>
        <v>6375000</v>
      </c>
      <c r="AE138" s="705">
        <f t="shared" si="99"/>
        <v>36</v>
      </c>
      <c r="AF138" s="705">
        <f t="shared" si="82"/>
        <v>6375000</v>
      </c>
      <c r="AH138" s="705">
        <f>IF(Main!$L$10="YES",Main!$N$10+AC138,AC138)</f>
        <v>3875000</v>
      </c>
      <c r="AI138" s="705">
        <f>IF(AND((Main!$E$9&gt;=18),(Main!$J$10="YES")),$Y$132+AH138,AH138)</f>
        <v>6375000</v>
      </c>
      <c r="AN138" s="848">
        <v>5</v>
      </c>
      <c r="AO138" s="1173">
        <f>AP$14</f>
        <v>0.5</v>
      </c>
      <c r="AP138" s="848" t="e">
        <f t="shared" si="100"/>
        <v>#N/A</v>
      </c>
      <c r="AQ138" s="705" t="e">
        <f t="shared" si="101"/>
        <v>#N/A</v>
      </c>
      <c r="AS138" s="705">
        <v>100</v>
      </c>
      <c r="AT138" s="705">
        <f>($AK$134/1000)*AS138</f>
        <v>0</v>
      </c>
      <c r="AU138" s="705" t="e">
        <f t="shared" si="102"/>
        <v>#N/A</v>
      </c>
      <c r="AV138" s="705" t="e">
        <f t="shared" si="103"/>
        <v>#N/A</v>
      </c>
      <c r="AW138" s="705">
        <f t="shared" si="104"/>
        <v>0</v>
      </c>
      <c r="AY138" s="705" t="e">
        <f t="shared" si="105"/>
        <v>#N/A</v>
      </c>
      <c r="AZ138" s="705" t="e">
        <f t="shared" si="106"/>
        <v>#N/A</v>
      </c>
      <c r="BA138" s="705" t="e">
        <f>IF(AND((Main!$E$9&gt;=18),(Main!$J$10="YES")),AW138+AZ138,AZ138)</f>
        <v>#N/A</v>
      </c>
      <c r="BD138" s="705">
        <v>2</v>
      </c>
      <c r="BE138" s="848">
        <f t="shared" ref="BE138:BE151" si="110">$BD$134*90%</f>
        <v>1689255</v>
      </c>
      <c r="BG138" s="848">
        <f t="shared" si="107"/>
        <v>1689255</v>
      </c>
      <c r="BH138" s="1173">
        <v>0.95250000000000001</v>
      </c>
      <c r="BI138" s="838">
        <f t="shared" si="108"/>
        <v>1787794.875</v>
      </c>
      <c r="BJ138" s="838">
        <f t="shared" si="109"/>
        <v>1787794.875</v>
      </c>
      <c r="BK138" s="705">
        <f t="shared" ref="BK138:BK151" si="111">(ROUND(BJ138*60%,-2))</f>
        <v>1072700</v>
      </c>
      <c r="BR138" s="705">
        <f>BR137-DAT!$AY$11</f>
        <v>225789</v>
      </c>
      <c r="BS138" s="824">
        <v>7</v>
      </c>
      <c r="BT138" s="705">
        <f>-DAT!$AY$10</f>
        <v>-193554</v>
      </c>
      <c r="BU138" s="705">
        <f>-DAT!$AY$11</f>
        <v>-149211</v>
      </c>
      <c r="BX138" s="705" t="e">
        <f>-DAT!$AY$14</f>
        <v>#N/A</v>
      </c>
      <c r="BY138" s="705" t="e">
        <f>-DAT!$AY$14</f>
        <v>#N/A</v>
      </c>
      <c r="BZ138" s="705" t="e">
        <f>-DAT!$AY$14</f>
        <v>#N/A</v>
      </c>
      <c r="CA138" s="705" t="e">
        <f>-DAT!$AY$14</f>
        <v>#N/A</v>
      </c>
      <c r="CB138" s="705" t="e">
        <f>-DAT!$AY$14</f>
        <v>#N/A</v>
      </c>
      <c r="CC138" s="705" t="e">
        <f>-DAT!$AY$14</f>
        <v>#N/A</v>
      </c>
      <c r="CD138" s="705" t="e">
        <f>-DAT!$AY$14</f>
        <v>#N/A</v>
      </c>
      <c r="CE138" s="705" t="e">
        <f>-DAT!$AY$14</f>
        <v>#N/A</v>
      </c>
      <c r="CF138" s="705" t="e">
        <f>-DAT!$AY$14</f>
        <v>#N/A</v>
      </c>
      <c r="CG138" s="705" t="e">
        <f>-DAT!$AY$14</f>
        <v>#N/A</v>
      </c>
      <c r="CH138" s="705" t="e">
        <f>-DAT!$AY$14</f>
        <v>#N/A</v>
      </c>
      <c r="CL138" s="824">
        <v>7</v>
      </c>
      <c r="CM138" s="705" t="e">
        <f>-DAT!$AY$20</f>
        <v>#N/A</v>
      </c>
      <c r="CN138" s="705" t="e">
        <f>-DAT!$AY$20</f>
        <v>#N/A</v>
      </c>
      <c r="CO138" s="705" t="e">
        <f>-DAT!$AY$20</f>
        <v>#N/A</v>
      </c>
      <c r="CP138" s="705" t="e">
        <f>-DAT!$AY$20</f>
        <v>#N/A</v>
      </c>
      <c r="CQ138" s="705" t="e">
        <f>-DAT!$AY$20</f>
        <v>#N/A</v>
      </c>
      <c r="CR138" s="705" t="e">
        <f>-DAT!$AY$20</f>
        <v>#N/A</v>
      </c>
      <c r="CS138" s="705" t="e">
        <f>-DAT!$AY$20</f>
        <v>#N/A</v>
      </c>
      <c r="CT138" s="705" t="e">
        <f>-DAT!$AY$20</f>
        <v>#N/A</v>
      </c>
      <c r="CU138" s="705" t="e">
        <f>-DAT!$AY$20</f>
        <v>#N/A</v>
      </c>
    </row>
    <row r="139" spans="3:99">
      <c r="I139" s="824">
        <v>7</v>
      </c>
      <c r="J139" s="846">
        <f>H$14</f>
        <v>26.48</v>
      </c>
      <c r="K139" s="705">
        <f t="shared" si="83"/>
        <v>700000</v>
      </c>
      <c r="L139" s="705">
        <f t="shared" si="84"/>
        <v>875000</v>
      </c>
      <c r="M139" s="825">
        <f t="shared" si="85"/>
        <v>1575000</v>
      </c>
      <c r="N139" s="829">
        <f t="shared" si="86"/>
        <v>417060</v>
      </c>
      <c r="O139" s="1173">
        <f>AR$14</f>
        <v>0.5</v>
      </c>
      <c r="P139" s="705">
        <f t="shared" si="87"/>
        <v>675581</v>
      </c>
      <c r="Q139" s="1173">
        <f>CC$14</f>
        <v>0.1593</v>
      </c>
      <c r="R139" s="705">
        <f t="shared" si="88"/>
        <v>139388</v>
      </c>
      <c r="S139" s="825">
        <f t="shared" si="89"/>
        <v>814969</v>
      </c>
      <c r="T139" s="825">
        <f t="shared" si="90"/>
        <v>814969</v>
      </c>
      <c r="U139" s="847">
        <f t="shared" si="91"/>
        <v>652000</v>
      </c>
      <c r="V139" s="705">
        <f t="shared" si="92"/>
        <v>1351161</v>
      </c>
      <c r="W139" s="833">
        <f t="shared" si="93"/>
        <v>1418719.05</v>
      </c>
      <c r="X139" s="705">
        <f t="shared" si="94"/>
        <v>3125000</v>
      </c>
      <c r="Y139" s="705">
        <f t="shared" si="95"/>
        <v>2500000</v>
      </c>
      <c r="AA139" s="843">
        <v>0</v>
      </c>
      <c r="AB139" s="705">
        <f t="shared" si="96"/>
        <v>4000000</v>
      </c>
      <c r="AC139" s="825">
        <f t="shared" si="97"/>
        <v>4000000</v>
      </c>
      <c r="AD139" s="848">
        <f t="shared" si="98"/>
        <v>6500000</v>
      </c>
      <c r="AE139" s="705">
        <f t="shared" si="99"/>
        <v>37</v>
      </c>
      <c r="AF139" s="705">
        <f t="shared" si="82"/>
        <v>6500000</v>
      </c>
      <c r="AH139" s="705">
        <f>IF(Main!$L$10="YES",Main!$N$10+AC139,AC139)</f>
        <v>4000000</v>
      </c>
      <c r="AI139" s="705">
        <f>IF(AND((Main!$E$9&gt;=18),(Main!$J$10="YES")),$Y$132+AH139,AH139)</f>
        <v>6500000</v>
      </c>
      <c r="AN139" s="848">
        <v>6</v>
      </c>
      <c r="AO139" s="1173">
        <f>AQ$14</f>
        <v>0.5</v>
      </c>
      <c r="AP139" s="848" t="e">
        <f t="shared" si="100"/>
        <v>#N/A</v>
      </c>
      <c r="AQ139" s="705" t="e">
        <f t="shared" si="101"/>
        <v>#N/A</v>
      </c>
      <c r="AS139" s="705">
        <v>114</v>
      </c>
      <c r="AT139" s="705">
        <f t="shared" ref="AT139:AT153" si="112">($AK$134/1000)*AS139</f>
        <v>0</v>
      </c>
      <c r="AU139" s="705" t="e">
        <f t="shared" si="102"/>
        <v>#N/A</v>
      </c>
      <c r="AV139" s="705" t="e">
        <f t="shared" si="103"/>
        <v>#N/A</v>
      </c>
      <c r="AW139" s="705">
        <f t="shared" si="104"/>
        <v>0</v>
      </c>
      <c r="AY139" s="705" t="e">
        <f t="shared" si="105"/>
        <v>#N/A</v>
      </c>
      <c r="AZ139" s="705" t="e">
        <f t="shared" si="106"/>
        <v>#N/A</v>
      </c>
      <c r="BA139" s="705" t="e">
        <f>IF(AND((Main!$E$9&gt;=18),(Main!$J$10="YES")),AW139+AZ139,AZ139)</f>
        <v>#N/A</v>
      </c>
      <c r="BD139" s="705">
        <v>3</v>
      </c>
      <c r="BE139" s="848">
        <f t="shared" si="110"/>
        <v>1689255</v>
      </c>
      <c r="BF139" s="705">
        <f>$BE$134*15%</f>
        <v>375000</v>
      </c>
      <c r="BG139" s="848">
        <f t="shared" si="107"/>
        <v>1314255</v>
      </c>
      <c r="BH139" s="1173">
        <v>0.84</v>
      </c>
      <c r="BI139" s="838">
        <f t="shared" si="108"/>
        <v>1576638</v>
      </c>
      <c r="BJ139" s="838">
        <f t="shared" si="109"/>
        <v>1576638</v>
      </c>
      <c r="BK139" s="705">
        <f t="shared" si="111"/>
        <v>946000</v>
      </c>
      <c r="BM139" s="1172">
        <f>LOOKUP(Main!E11,BL140:BL142,BM140:BM142)</f>
        <v>375</v>
      </c>
      <c r="BS139" s="824">
        <v>8</v>
      </c>
      <c r="BT139" s="705">
        <f>-DAT!$AY$10</f>
        <v>-193554</v>
      </c>
      <c r="BU139" s="705">
        <f>-DAT!$AY$11</f>
        <v>-149211</v>
      </c>
      <c r="BX139" s="705" t="e">
        <f>-DAT!$AY$14</f>
        <v>#N/A</v>
      </c>
      <c r="BY139" s="705" t="e">
        <f>-DAT!$AY$14</f>
        <v>#N/A</v>
      </c>
      <c r="BZ139" s="705" t="e">
        <f>-DAT!$AY$14</f>
        <v>#N/A</v>
      </c>
      <c r="CA139" s="705" t="e">
        <f>-DAT!$AY$14</f>
        <v>#N/A</v>
      </c>
      <c r="CB139" s="705" t="e">
        <f>-DAT!$AY$14</f>
        <v>#N/A</v>
      </c>
      <c r="CC139" s="705" t="e">
        <f>-DAT!$AY$14</f>
        <v>#N/A</v>
      </c>
      <c r="CD139" s="705" t="e">
        <f>-DAT!$AY$14</f>
        <v>#N/A</v>
      </c>
      <c r="CE139" s="705" t="e">
        <f>-DAT!$AY$14</f>
        <v>#N/A</v>
      </c>
      <c r="CF139" s="705" t="e">
        <f>-DAT!$AY$14</f>
        <v>#N/A</v>
      </c>
      <c r="CG139" s="705" t="e">
        <f>-DAT!$AY$14</f>
        <v>#N/A</v>
      </c>
      <c r="CH139" s="705" t="e">
        <f>-DAT!$AY$14</f>
        <v>#N/A</v>
      </c>
      <c r="CL139" s="824">
        <v>8</v>
      </c>
      <c r="CM139" s="705" t="e">
        <f>-DAT!$AY$20</f>
        <v>#N/A</v>
      </c>
      <c r="CN139" s="705" t="e">
        <f>-DAT!$AY$20</f>
        <v>#N/A</v>
      </c>
      <c r="CO139" s="705" t="e">
        <f>-DAT!$AY$20</f>
        <v>#N/A</v>
      </c>
      <c r="CP139" s="705" t="e">
        <f>-DAT!$AY$20</f>
        <v>#N/A</v>
      </c>
      <c r="CQ139" s="705" t="e">
        <f>-DAT!$AY$20</f>
        <v>#N/A</v>
      </c>
      <c r="CR139" s="705" t="e">
        <f>-DAT!$AY$20</f>
        <v>#N/A</v>
      </c>
      <c r="CS139" s="705" t="e">
        <f>-DAT!$AY$20</f>
        <v>#N/A</v>
      </c>
      <c r="CT139" s="705" t="e">
        <f>-DAT!$AY$20</f>
        <v>#N/A</v>
      </c>
      <c r="CU139" s="705" t="e">
        <f>-DAT!$AY$20</f>
        <v>#N/A</v>
      </c>
    </row>
    <row r="140" spans="3:99">
      <c r="I140" s="824">
        <v>8</v>
      </c>
      <c r="J140" s="846">
        <f>I$14</f>
        <v>28.47</v>
      </c>
      <c r="K140" s="705">
        <f t="shared" si="83"/>
        <v>800000</v>
      </c>
      <c r="L140" s="705">
        <f t="shared" si="84"/>
        <v>1000000</v>
      </c>
      <c r="M140" s="825">
        <f t="shared" si="85"/>
        <v>1800000</v>
      </c>
      <c r="N140" s="829">
        <f t="shared" si="86"/>
        <v>512460</v>
      </c>
      <c r="O140" s="1173">
        <f>AS$14</f>
        <v>0.51759999999999995</v>
      </c>
      <c r="P140" s="705">
        <f t="shared" si="87"/>
        <v>799270</v>
      </c>
      <c r="Q140" s="1173">
        <f>CD$14</f>
        <v>0.16220000000000001</v>
      </c>
      <c r="R140" s="705">
        <f t="shared" si="88"/>
        <v>162200</v>
      </c>
      <c r="S140" s="825">
        <f t="shared" si="89"/>
        <v>961470</v>
      </c>
      <c r="T140" s="825">
        <f t="shared" si="90"/>
        <v>961470</v>
      </c>
      <c r="U140" s="847">
        <f t="shared" si="91"/>
        <v>769200</v>
      </c>
      <c r="V140" s="705">
        <f t="shared" si="92"/>
        <v>1544184</v>
      </c>
      <c r="W140" s="833">
        <f t="shared" si="93"/>
        <v>1621393.2</v>
      </c>
      <c r="X140" s="705">
        <f t="shared" si="94"/>
        <v>3125000</v>
      </c>
      <c r="Y140" s="705">
        <f t="shared" si="95"/>
        <v>2500000</v>
      </c>
      <c r="AA140" s="843">
        <v>0</v>
      </c>
      <c r="AB140" s="705">
        <f t="shared" si="96"/>
        <v>4125000</v>
      </c>
      <c r="AC140" s="825">
        <f t="shared" si="97"/>
        <v>4125000</v>
      </c>
      <c r="AD140" s="848">
        <f t="shared" si="98"/>
        <v>6625000</v>
      </c>
      <c r="AE140" s="705">
        <f t="shared" si="99"/>
        <v>38</v>
      </c>
      <c r="AF140" s="705">
        <f t="shared" si="82"/>
        <v>6625000</v>
      </c>
      <c r="AH140" s="705">
        <f>IF(Main!$L$10="YES",Main!$N$10+AC140,AC140)</f>
        <v>4125000</v>
      </c>
      <c r="AI140" s="705">
        <f>IF(AND((Main!$E$9&gt;=18),(Main!$J$10="YES")),$Y$132+AH140,AH140)</f>
        <v>6625000</v>
      </c>
      <c r="AN140" s="848">
        <v>7</v>
      </c>
      <c r="AO140" s="1173">
        <f>AR$14</f>
        <v>0.5</v>
      </c>
      <c r="AP140" s="848" t="e">
        <f t="shared" si="100"/>
        <v>#N/A</v>
      </c>
      <c r="AQ140" s="705" t="e">
        <f t="shared" si="101"/>
        <v>#N/A</v>
      </c>
      <c r="AS140" s="705">
        <v>143</v>
      </c>
      <c r="AT140" s="705">
        <f t="shared" si="112"/>
        <v>0</v>
      </c>
      <c r="AU140" s="705" t="e">
        <f t="shared" si="102"/>
        <v>#N/A</v>
      </c>
      <c r="AV140" s="705" t="e">
        <f t="shared" si="103"/>
        <v>#N/A</v>
      </c>
      <c r="AW140" s="705">
        <f t="shared" si="104"/>
        <v>0</v>
      </c>
      <c r="AY140" s="705" t="e">
        <f t="shared" si="105"/>
        <v>#N/A</v>
      </c>
      <c r="AZ140" s="705" t="e">
        <f t="shared" si="106"/>
        <v>#N/A</v>
      </c>
      <c r="BA140" s="705" t="e">
        <f>IF(AND((Main!$E$9&gt;=18),(Main!$J$10="YES")),AW140+AZ140,AZ140)</f>
        <v>#N/A</v>
      </c>
      <c r="BD140" s="705">
        <v>4</v>
      </c>
      <c r="BE140" s="848">
        <f t="shared" si="110"/>
        <v>1689255</v>
      </c>
      <c r="BF140" s="705">
        <f>$BE$134*15%</f>
        <v>375000</v>
      </c>
      <c r="BG140" s="848">
        <f t="shared" si="107"/>
        <v>1314255</v>
      </c>
      <c r="BH140" s="1173">
        <v>0.89</v>
      </c>
      <c r="BI140" s="838">
        <f t="shared" si="108"/>
        <v>1670485.5</v>
      </c>
      <c r="BJ140" s="838">
        <f t="shared" si="109"/>
        <v>1670485.5</v>
      </c>
      <c r="BK140" s="705">
        <f t="shared" si="111"/>
        <v>1002300</v>
      </c>
      <c r="BL140" s="705">
        <v>9</v>
      </c>
      <c r="BM140" s="705">
        <v>110</v>
      </c>
      <c r="BS140" s="824">
        <v>9</v>
      </c>
      <c r="BT140" s="705">
        <f>-DAT!$AY$10</f>
        <v>-193554</v>
      </c>
      <c r="BU140" s="705">
        <f>-DAT!$AY$11</f>
        <v>-149211</v>
      </c>
      <c r="BX140" s="705" t="e">
        <f>-DAT!$AY$14</f>
        <v>#N/A</v>
      </c>
      <c r="BY140" s="705" t="e">
        <f>-DAT!$AY$14</f>
        <v>#N/A</v>
      </c>
      <c r="BZ140" s="705" t="e">
        <f>-DAT!$AY$14</f>
        <v>#N/A</v>
      </c>
      <c r="CA140" s="705" t="e">
        <f>-DAT!$AY$14</f>
        <v>#N/A</v>
      </c>
      <c r="CB140" s="705" t="e">
        <f>-DAT!$AY$14</f>
        <v>#N/A</v>
      </c>
      <c r="CC140" s="705" t="e">
        <f>-DAT!$AY$14</f>
        <v>#N/A</v>
      </c>
      <c r="CD140" s="705" t="e">
        <f>-DAT!$AY$14</f>
        <v>#N/A</v>
      </c>
      <c r="CE140" s="705" t="e">
        <f>-DAT!$AY$14</f>
        <v>#N/A</v>
      </c>
      <c r="CF140" s="705" t="e">
        <f>-DAT!$AY$14</f>
        <v>#N/A</v>
      </c>
      <c r="CG140" s="705" t="e">
        <f>-DAT!$AY$14</f>
        <v>#N/A</v>
      </c>
      <c r="CH140" s="705" t="e">
        <f>-DAT!$AY$14</f>
        <v>#N/A</v>
      </c>
      <c r="CL140" s="824">
        <v>9</v>
      </c>
      <c r="CM140" s="705" t="e">
        <f>-DAT!$AY$20</f>
        <v>#N/A</v>
      </c>
      <c r="CN140" s="705" t="e">
        <f>-DAT!$AY$20</f>
        <v>#N/A</v>
      </c>
      <c r="CO140" s="705" t="e">
        <f>-DAT!$AY$20</f>
        <v>#N/A</v>
      </c>
      <c r="CP140" s="705" t="e">
        <f>-DAT!$AY$20</f>
        <v>#N/A</v>
      </c>
      <c r="CQ140" s="705" t="e">
        <f>-DAT!$AY$20</f>
        <v>#N/A</v>
      </c>
      <c r="CR140" s="705" t="e">
        <f>-DAT!$AY$20</f>
        <v>#N/A</v>
      </c>
      <c r="CS140" s="705" t="e">
        <f>-DAT!$AY$20</f>
        <v>#N/A</v>
      </c>
      <c r="CT140" s="705" t="e">
        <f>-DAT!$AY$20</f>
        <v>#N/A</v>
      </c>
      <c r="CU140" s="705" t="e">
        <f>-DAT!$AY$20</f>
        <v>#N/A</v>
      </c>
    </row>
    <row r="141" spans="3:99">
      <c r="I141" s="824">
        <v>9</v>
      </c>
      <c r="J141" s="846">
        <f>J$14</f>
        <v>30.61</v>
      </c>
      <c r="K141" s="705">
        <f t="shared" si="83"/>
        <v>900000</v>
      </c>
      <c r="L141" s="705">
        <f t="shared" si="84"/>
        <v>1125000</v>
      </c>
      <c r="M141" s="825">
        <f t="shared" si="85"/>
        <v>2025000</v>
      </c>
      <c r="N141" s="829">
        <f t="shared" si="86"/>
        <v>619853</v>
      </c>
      <c r="O141" s="1173">
        <f>AT$14</f>
        <v>0.5353</v>
      </c>
      <c r="P141" s="705">
        <f t="shared" si="87"/>
        <v>929927</v>
      </c>
      <c r="Q141" s="1173">
        <f>CE$14</f>
        <v>0.1658</v>
      </c>
      <c r="R141" s="705">
        <f t="shared" si="88"/>
        <v>186525</v>
      </c>
      <c r="S141" s="825">
        <f t="shared" si="89"/>
        <v>1116452</v>
      </c>
      <c r="T141" s="825">
        <f t="shared" si="90"/>
        <v>1116452</v>
      </c>
      <c r="U141" s="847">
        <f t="shared" si="91"/>
        <v>893200</v>
      </c>
      <c r="V141" s="705">
        <f t="shared" si="92"/>
        <v>1737207</v>
      </c>
      <c r="W141" s="833">
        <f t="shared" si="93"/>
        <v>1824067.35</v>
      </c>
      <c r="X141" s="705">
        <f t="shared" si="94"/>
        <v>3125000</v>
      </c>
      <c r="Y141" s="705">
        <f t="shared" si="95"/>
        <v>2500000</v>
      </c>
      <c r="AA141" s="843">
        <v>0</v>
      </c>
      <c r="AB141" s="705">
        <f t="shared" si="96"/>
        <v>4250000</v>
      </c>
      <c r="AC141" s="825">
        <f t="shared" si="97"/>
        <v>4250000</v>
      </c>
      <c r="AD141" s="848">
        <f t="shared" si="98"/>
        <v>6750000</v>
      </c>
      <c r="AE141" s="705">
        <f t="shared" si="99"/>
        <v>39</v>
      </c>
      <c r="AF141" s="705">
        <f t="shared" si="82"/>
        <v>6750000</v>
      </c>
      <c r="AH141" s="705">
        <f>IF(Main!$L$10="YES",Main!$N$10+AC141,AC141)</f>
        <v>4250000</v>
      </c>
      <c r="AI141" s="705">
        <f>IF(AND((Main!$E$9&gt;=18),(Main!$J$10="YES")),$Y$132+AH141,AH141)</f>
        <v>6750000</v>
      </c>
      <c r="AN141" s="848">
        <v>8</v>
      </c>
      <c r="AO141" s="1173">
        <f>AS$14</f>
        <v>0.51759999999999995</v>
      </c>
      <c r="AP141" s="848" t="e">
        <f t="shared" si="100"/>
        <v>#N/A</v>
      </c>
      <c r="AQ141" s="705" t="e">
        <f t="shared" si="101"/>
        <v>#N/A</v>
      </c>
      <c r="AS141" s="705">
        <v>168</v>
      </c>
      <c r="AT141" s="705">
        <f t="shared" si="112"/>
        <v>0</v>
      </c>
      <c r="AU141" s="705" t="e">
        <f t="shared" si="102"/>
        <v>#N/A</v>
      </c>
      <c r="AV141" s="705" t="e">
        <f t="shared" si="103"/>
        <v>#N/A</v>
      </c>
      <c r="AW141" s="705">
        <f t="shared" si="104"/>
        <v>0</v>
      </c>
      <c r="AY141" s="705" t="e">
        <f t="shared" si="105"/>
        <v>#N/A</v>
      </c>
      <c r="AZ141" s="705" t="e">
        <f t="shared" si="106"/>
        <v>#N/A</v>
      </c>
      <c r="BA141" s="705" t="e">
        <f>IF(AND((Main!$E$9&gt;=18),(Main!$J$10="YES")),AW141+AZ141,AZ141)</f>
        <v>#N/A</v>
      </c>
      <c r="BD141" s="705">
        <v>5</v>
      </c>
      <c r="BE141" s="848">
        <f t="shared" si="110"/>
        <v>1689255</v>
      </c>
      <c r="BF141" s="705">
        <f>($BE$134*15%)</f>
        <v>375000</v>
      </c>
      <c r="BG141" s="848">
        <f t="shared" si="107"/>
        <v>1314255</v>
      </c>
      <c r="BH141" s="1173">
        <v>0.94</v>
      </c>
      <c r="BI141" s="838">
        <f t="shared" si="108"/>
        <v>1764333</v>
      </c>
      <c r="BJ141" s="838">
        <f t="shared" si="109"/>
        <v>1764333</v>
      </c>
      <c r="BK141" s="705">
        <f t="shared" si="111"/>
        <v>1058600</v>
      </c>
      <c r="BL141" s="705">
        <v>12</v>
      </c>
      <c r="BM141" s="705">
        <v>200</v>
      </c>
      <c r="BS141" s="824">
        <v>10</v>
      </c>
      <c r="BT141" s="705">
        <f>-DAT!$AY$10</f>
        <v>-193554</v>
      </c>
      <c r="BU141" s="705">
        <f>-DAT!$AY$11</f>
        <v>-149211</v>
      </c>
      <c r="BX141" s="705" t="e">
        <f>-DAT!$AY$14</f>
        <v>#N/A</v>
      </c>
      <c r="BY141" s="705" t="e">
        <f>-DAT!$AY$14</f>
        <v>#N/A</v>
      </c>
      <c r="BZ141" s="705" t="e">
        <f>-DAT!$AY$14</f>
        <v>#N/A</v>
      </c>
      <c r="CA141" s="705" t="e">
        <f>-DAT!$AY$14</f>
        <v>#N/A</v>
      </c>
      <c r="CB141" s="705" t="e">
        <f>-DAT!$AY$14</f>
        <v>#N/A</v>
      </c>
      <c r="CC141" s="705" t="e">
        <f>-DAT!$AY$14</f>
        <v>#N/A</v>
      </c>
      <c r="CD141" s="705" t="e">
        <f>-DAT!$AY$14</f>
        <v>#N/A</v>
      </c>
      <c r="CE141" s="705" t="e">
        <f>-DAT!$AY$14</f>
        <v>#N/A</v>
      </c>
      <c r="CF141" s="705" t="e">
        <f>-DAT!$AY$14</f>
        <v>#N/A</v>
      </c>
      <c r="CG141" s="705" t="e">
        <f>-DAT!$AY$14</f>
        <v>#N/A</v>
      </c>
      <c r="CH141" s="705" t="e">
        <f>-DAT!$AY$14</f>
        <v>#N/A</v>
      </c>
      <c r="CL141" s="824">
        <v>10</v>
      </c>
      <c r="CM141" s="705" t="e">
        <f>-DAT!$AY$20</f>
        <v>#N/A</v>
      </c>
      <c r="CN141" s="705" t="e">
        <f>-DAT!$AY$20</f>
        <v>#N/A</v>
      </c>
      <c r="CO141" s="705" t="e">
        <f>-DAT!$AY$20</f>
        <v>#N/A</v>
      </c>
      <c r="CP141" s="705" t="e">
        <f>-DAT!$AY$20</f>
        <v>#N/A</v>
      </c>
      <c r="CQ141" s="705" t="e">
        <f>-DAT!$AY$20</f>
        <v>#N/A</v>
      </c>
      <c r="CR141" s="705" t="e">
        <f>-DAT!$AY$20</f>
        <v>#N/A</v>
      </c>
      <c r="CS141" s="705" t="e">
        <f>-DAT!$AY$20</f>
        <v>#N/A</v>
      </c>
      <c r="CT141" s="705" t="e">
        <f>-DAT!$AY$20</f>
        <v>#N/A</v>
      </c>
      <c r="CU141" s="705" t="e">
        <f>-DAT!$AY$20</f>
        <v>#N/A</v>
      </c>
    </row>
    <row r="142" spans="3:99">
      <c r="I142" s="824">
        <v>10</v>
      </c>
      <c r="J142" s="846">
        <f>K$14</f>
        <v>32.92</v>
      </c>
      <c r="K142" s="705">
        <f t="shared" si="83"/>
        <v>1000000</v>
      </c>
      <c r="L142" s="705">
        <f t="shared" si="84"/>
        <v>1250000</v>
      </c>
      <c r="M142" s="825">
        <f t="shared" si="85"/>
        <v>2250000</v>
      </c>
      <c r="N142" s="829">
        <f t="shared" si="86"/>
        <v>740700</v>
      </c>
      <c r="O142" s="1173">
        <f>AU$14</f>
        <v>0.55289999999999995</v>
      </c>
      <c r="P142" s="705">
        <f t="shared" si="87"/>
        <v>1067224</v>
      </c>
      <c r="Q142" s="1173">
        <f>CF$14</f>
        <v>0.17030000000000001</v>
      </c>
      <c r="R142" s="705">
        <f t="shared" si="88"/>
        <v>212875</v>
      </c>
      <c r="S142" s="825">
        <f t="shared" si="89"/>
        <v>1280099</v>
      </c>
      <c r="T142" s="825">
        <f t="shared" si="90"/>
        <v>1280099</v>
      </c>
      <c r="U142" s="847">
        <f t="shared" si="91"/>
        <v>1024100</v>
      </c>
      <c r="V142" s="705">
        <f t="shared" si="92"/>
        <v>1930230</v>
      </c>
      <c r="W142" s="833">
        <f t="shared" si="93"/>
        <v>2026741.5</v>
      </c>
      <c r="X142" s="705">
        <f t="shared" si="94"/>
        <v>3125000</v>
      </c>
      <c r="Y142" s="705">
        <f t="shared" si="95"/>
        <v>2500000</v>
      </c>
      <c r="AA142" s="843">
        <v>0</v>
      </c>
      <c r="AB142" s="705">
        <f t="shared" si="96"/>
        <v>4375000</v>
      </c>
      <c r="AC142" s="825">
        <f t="shared" si="97"/>
        <v>4375000</v>
      </c>
      <c r="AD142" s="848">
        <f t="shared" si="98"/>
        <v>6875000</v>
      </c>
      <c r="AE142" s="705">
        <f t="shared" si="99"/>
        <v>40</v>
      </c>
      <c r="AF142" s="705">
        <f t="shared" si="82"/>
        <v>6875000</v>
      </c>
      <c r="AH142" s="705">
        <f>IF(Main!$L$10="YES",Main!$N$10+AC142,AC142)</f>
        <v>4375000</v>
      </c>
      <c r="AI142" s="705">
        <f>IF(AND((Main!$E$9&gt;=18),(Main!$J$10="YES")),$Y$132+AH142,AH142)</f>
        <v>6875000</v>
      </c>
      <c r="AN142" s="848">
        <v>9</v>
      </c>
      <c r="AO142" s="1173">
        <f>AT$14</f>
        <v>0.5353</v>
      </c>
      <c r="AP142" s="848" t="e">
        <f t="shared" si="100"/>
        <v>#N/A</v>
      </c>
      <c r="AQ142" s="705" t="e">
        <f t="shared" si="101"/>
        <v>#N/A</v>
      </c>
      <c r="AS142" s="705">
        <v>187</v>
      </c>
      <c r="AT142" s="705">
        <f t="shared" si="112"/>
        <v>0</v>
      </c>
      <c r="AU142" s="705" t="e">
        <f t="shared" si="102"/>
        <v>#N/A</v>
      </c>
      <c r="AV142" s="705" t="e">
        <f t="shared" si="103"/>
        <v>#N/A</v>
      </c>
      <c r="AW142" s="705">
        <f t="shared" si="104"/>
        <v>0</v>
      </c>
      <c r="AY142" s="705" t="e">
        <f t="shared" si="105"/>
        <v>#N/A</v>
      </c>
      <c r="AZ142" s="705" t="e">
        <f t="shared" si="106"/>
        <v>#N/A</v>
      </c>
      <c r="BA142" s="705" t="e">
        <f>IF(AND((Main!$E$9&gt;=18),(Main!$J$10="YES")),AW142+AZ142,AZ142)</f>
        <v>#N/A</v>
      </c>
      <c r="BD142" s="705">
        <v>6</v>
      </c>
      <c r="BE142" s="848">
        <f t="shared" si="110"/>
        <v>1689255</v>
      </c>
      <c r="BF142" s="705">
        <f>($BE$134*15%)*2</f>
        <v>750000</v>
      </c>
      <c r="BG142" s="848">
        <f t="shared" si="107"/>
        <v>939255</v>
      </c>
      <c r="BH142" s="1173">
        <v>0.83</v>
      </c>
      <c r="BI142" s="838">
        <f t="shared" si="108"/>
        <v>1557868.5</v>
      </c>
      <c r="BJ142" s="838">
        <f t="shared" si="109"/>
        <v>1557868.5</v>
      </c>
      <c r="BK142" s="705">
        <f t="shared" si="111"/>
        <v>934700</v>
      </c>
      <c r="BL142" s="705">
        <v>15</v>
      </c>
      <c r="BM142" s="705">
        <v>375</v>
      </c>
      <c r="BS142" s="824">
        <v>11</v>
      </c>
      <c r="BT142" s="705">
        <f>BR134</f>
        <v>306446</v>
      </c>
      <c r="BU142" s="705">
        <f>BR138</f>
        <v>225789</v>
      </c>
      <c r="BX142" s="705" t="e">
        <f>AZ143</f>
        <v>#N/A</v>
      </c>
      <c r="BY142" s="705" t="e">
        <f>-DAT!$AY$14</f>
        <v>#N/A</v>
      </c>
      <c r="BZ142" s="705" t="e">
        <f>-DAT!$AY$14</f>
        <v>#N/A</v>
      </c>
      <c r="CA142" s="705" t="e">
        <f>-DAT!$AY$14</f>
        <v>#N/A</v>
      </c>
      <c r="CB142" s="705" t="e">
        <f>-DAT!$AY$14</f>
        <v>#N/A</v>
      </c>
      <c r="CC142" s="705" t="e">
        <f>-DAT!$AY$14</f>
        <v>#N/A</v>
      </c>
      <c r="CD142" s="705" t="e">
        <f>-DAT!$AY$14</f>
        <v>#N/A</v>
      </c>
      <c r="CE142" s="705" t="e">
        <f>-DAT!$AY$14</f>
        <v>#N/A</v>
      </c>
      <c r="CF142" s="705" t="e">
        <f>-DAT!$AY$14</f>
        <v>#N/A</v>
      </c>
      <c r="CG142" s="705" t="e">
        <f>-DAT!$AY$14</f>
        <v>#N/A</v>
      </c>
      <c r="CH142" s="705" t="e">
        <f>-DAT!$AY$14</f>
        <v>#N/A</v>
      </c>
      <c r="CL142" s="824">
        <v>11</v>
      </c>
      <c r="CM142" s="705" t="e">
        <f>-DAT!$AY$20</f>
        <v>#N/A</v>
      </c>
      <c r="CN142" s="705" t="e">
        <f>-DAT!$AY$20</f>
        <v>#N/A</v>
      </c>
      <c r="CO142" s="705" t="e">
        <f>-DAT!$AY$20</f>
        <v>#N/A</v>
      </c>
      <c r="CP142" s="705" t="e">
        <f>-DAT!$AY$20</f>
        <v>#N/A</v>
      </c>
      <c r="CQ142" s="705" t="e">
        <f>-DAT!$AY$20</f>
        <v>#N/A</v>
      </c>
      <c r="CR142" s="705" t="e">
        <f>-DAT!$AY$20</f>
        <v>#N/A</v>
      </c>
      <c r="CS142" s="705" t="e">
        <f>-DAT!$AY$20</f>
        <v>#N/A</v>
      </c>
      <c r="CT142" s="705" t="e">
        <f>-DAT!$AY$20</f>
        <v>#N/A</v>
      </c>
      <c r="CU142" s="705" t="e">
        <f>-DAT!$AY$20</f>
        <v>#N/A</v>
      </c>
    </row>
    <row r="143" spans="3:99">
      <c r="I143" s="824">
        <v>11</v>
      </c>
      <c r="J143" s="846">
        <f>L$14</f>
        <v>35.42</v>
      </c>
      <c r="K143" s="705">
        <f t="shared" si="83"/>
        <v>1100000</v>
      </c>
      <c r="L143" s="705">
        <f t="shared" si="84"/>
        <v>1375000</v>
      </c>
      <c r="M143" s="825">
        <f t="shared" si="85"/>
        <v>2475000</v>
      </c>
      <c r="N143" s="829">
        <f t="shared" si="86"/>
        <v>876645</v>
      </c>
      <c r="O143" s="1173">
        <f>AV$14</f>
        <v>0.5706</v>
      </c>
      <c r="P143" s="705">
        <f t="shared" si="87"/>
        <v>1211528</v>
      </c>
      <c r="Q143" s="1173">
        <f>CG$14</f>
        <v>0.17580000000000001</v>
      </c>
      <c r="R143" s="705">
        <f t="shared" si="88"/>
        <v>241725</v>
      </c>
      <c r="S143" s="825">
        <f t="shared" si="89"/>
        <v>1453253</v>
      </c>
      <c r="T143" s="825">
        <f t="shared" si="90"/>
        <v>1453253</v>
      </c>
      <c r="U143" s="847">
        <f t="shared" si="91"/>
        <v>1162600</v>
      </c>
      <c r="V143" s="705">
        <f t="shared" si="92"/>
        <v>2123253</v>
      </c>
      <c r="W143" s="833">
        <f t="shared" si="93"/>
        <v>2229415.65</v>
      </c>
      <c r="X143" s="705">
        <f t="shared" si="94"/>
        <v>3125000</v>
      </c>
      <c r="Y143" s="705">
        <f t="shared" si="95"/>
        <v>2500000</v>
      </c>
      <c r="AA143" s="843">
        <v>0</v>
      </c>
      <c r="AB143" s="705">
        <f t="shared" si="96"/>
        <v>4500000</v>
      </c>
      <c r="AC143" s="825">
        <f t="shared" si="97"/>
        <v>4500000</v>
      </c>
      <c r="AD143" s="848">
        <f t="shared" si="98"/>
        <v>7000000</v>
      </c>
      <c r="AE143" s="705">
        <f t="shared" si="99"/>
        <v>41</v>
      </c>
      <c r="AF143" s="705">
        <f t="shared" si="82"/>
        <v>7000000</v>
      </c>
      <c r="AH143" s="705">
        <f>IF(Main!$L$10="YES",Main!$N$10+AC143,AC143)</f>
        <v>4500000</v>
      </c>
      <c r="AI143" s="705">
        <f>IF(AND((Main!$E$9&gt;=18),(Main!$J$10="YES")),$Y$132+AH143,AH143)</f>
        <v>7000000</v>
      </c>
      <c r="AN143" s="848">
        <v>10</v>
      </c>
      <c r="AO143" s="1173">
        <f>AU$14</f>
        <v>0.55289999999999995</v>
      </c>
      <c r="AP143" s="848" t="e">
        <f t="shared" si="100"/>
        <v>#N/A</v>
      </c>
      <c r="AQ143" s="705" t="e">
        <f t="shared" si="101"/>
        <v>#N/A</v>
      </c>
      <c r="AS143" s="705">
        <v>213</v>
      </c>
      <c r="AT143" s="705">
        <f t="shared" si="112"/>
        <v>0</v>
      </c>
      <c r="AU143" s="705" t="e">
        <f t="shared" si="102"/>
        <v>#N/A</v>
      </c>
      <c r="AV143" s="705" t="e">
        <f t="shared" si="103"/>
        <v>#N/A</v>
      </c>
      <c r="AW143" s="705">
        <f t="shared" si="104"/>
        <v>0</v>
      </c>
      <c r="AY143" s="705" t="e">
        <f t="shared" si="105"/>
        <v>#N/A</v>
      </c>
      <c r="AZ143" s="705" t="e">
        <f t="shared" si="106"/>
        <v>#N/A</v>
      </c>
      <c r="BA143" s="705" t="e">
        <f>IF(AND((Main!$E$9&gt;=18),(Main!$J$10="YES")),AW143+AZ143,AZ143)</f>
        <v>#N/A</v>
      </c>
      <c r="BD143" s="705">
        <v>7</v>
      </c>
      <c r="BE143" s="848">
        <f t="shared" si="110"/>
        <v>1689255</v>
      </c>
      <c r="BF143" s="705">
        <f>($BE$134*15%)*2</f>
        <v>750000</v>
      </c>
      <c r="BG143" s="848">
        <f t="shared" si="107"/>
        <v>939255</v>
      </c>
      <c r="BH143" s="1173">
        <v>0.88</v>
      </c>
      <c r="BI143" s="838">
        <f t="shared" si="108"/>
        <v>1651716</v>
      </c>
      <c r="BJ143" s="838">
        <f t="shared" si="109"/>
        <v>1651716</v>
      </c>
      <c r="BK143" s="705">
        <f t="shared" si="111"/>
        <v>991000</v>
      </c>
      <c r="BS143" s="843">
        <v>12</v>
      </c>
      <c r="BT143" s="705">
        <f>-DAT!$AY$10</f>
        <v>-193554</v>
      </c>
      <c r="BU143" s="705">
        <f>-DAT!$AY$11</f>
        <v>-149211</v>
      </c>
      <c r="BY143" s="705" t="e">
        <f>AZ144</f>
        <v>#N/A</v>
      </c>
      <c r="BZ143" s="705" t="e">
        <f>-DAT!$AY$14</f>
        <v>#N/A</v>
      </c>
      <c r="CA143" s="705" t="e">
        <f>-DAT!$AY$14</f>
        <v>#N/A</v>
      </c>
      <c r="CB143" s="705" t="e">
        <f>-DAT!$AY$14</f>
        <v>#N/A</v>
      </c>
      <c r="CC143" s="705" t="e">
        <f>-DAT!$AY$14</f>
        <v>#N/A</v>
      </c>
      <c r="CD143" s="705" t="e">
        <f>-DAT!$AY$14</f>
        <v>#N/A</v>
      </c>
      <c r="CE143" s="705" t="e">
        <f>-DAT!$AY$14</f>
        <v>#N/A</v>
      </c>
      <c r="CF143" s="705" t="e">
        <f>-DAT!$AY$14</f>
        <v>#N/A</v>
      </c>
      <c r="CG143" s="705" t="e">
        <f>-DAT!$AY$14</f>
        <v>#N/A</v>
      </c>
      <c r="CH143" s="705" t="e">
        <f>-DAT!$AY$14</f>
        <v>#N/A</v>
      </c>
      <c r="CL143" s="843">
        <v>12</v>
      </c>
      <c r="CM143" s="705" t="e">
        <f>-DAT!$AY$20</f>
        <v>#N/A</v>
      </c>
      <c r="CN143" s="705" t="e">
        <f>-DAT!$AY$20</f>
        <v>#N/A</v>
      </c>
      <c r="CO143" s="705" t="e">
        <f>-DAT!$AY$20</f>
        <v>#N/A</v>
      </c>
      <c r="CP143" s="705" t="e">
        <f>-DAT!$AY$20</f>
        <v>#N/A</v>
      </c>
      <c r="CQ143" s="705" t="e">
        <f>-DAT!$AY$20</f>
        <v>#N/A</v>
      </c>
      <c r="CR143" s="705" t="e">
        <f>-DAT!$AY$20</f>
        <v>#N/A</v>
      </c>
      <c r="CS143" s="705" t="e">
        <f>-DAT!$AY$20</f>
        <v>#N/A</v>
      </c>
      <c r="CT143" s="705" t="e">
        <f>-DAT!$AY$20</f>
        <v>#N/A</v>
      </c>
      <c r="CU143" s="705" t="e">
        <f>-DAT!$AY$20</f>
        <v>#N/A</v>
      </c>
    </row>
    <row r="144" spans="3:99">
      <c r="I144" s="843">
        <v>12</v>
      </c>
      <c r="J144" s="846">
        <f>M$14</f>
        <v>38.1</v>
      </c>
      <c r="K144" s="705">
        <f t="shared" si="83"/>
        <v>1200000</v>
      </c>
      <c r="L144" s="705">
        <f t="shared" si="84"/>
        <v>1500000</v>
      </c>
      <c r="M144" s="825">
        <f t="shared" si="85"/>
        <v>2700000</v>
      </c>
      <c r="N144" s="829">
        <f t="shared" si="86"/>
        <v>1028700</v>
      </c>
      <c r="O144" s="1173">
        <f>AW$14</f>
        <v>0.58819999999999995</v>
      </c>
      <c r="P144" s="705">
        <f t="shared" si="87"/>
        <v>1362434</v>
      </c>
      <c r="Q144" s="1173">
        <f>CH$14</f>
        <v>0.17580000000000001</v>
      </c>
      <c r="R144" s="705">
        <f t="shared" si="88"/>
        <v>263700</v>
      </c>
      <c r="S144" s="825">
        <f t="shared" si="89"/>
        <v>1626134</v>
      </c>
      <c r="T144" s="825">
        <f t="shared" si="90"/>
        <v>1626134</v>
      </c>
      <c r="U144" s="847">
        <f t="shared" si="91"/>
        <v>1300900</v>
      </c>
      <c r="V144" s="705">
        <f t="shared" si="92"/>
        <v>2316276</v>
      </c>
      <c r="W144" s="833">
        <f t="shared" si="93"/>
        <v>2432089.7999999998</v>
      </c>
      <c r="X144" s="705">
        <f t="shared" si="94"/>
        <v>3125000</v>
      </c>
      <c r="Y144" s="705">
        <f t="shared" si="95"/>
        <v>2500000</v>
      </c>
      <c r="AA144" s="843">
        <v>0</v>
      </c>
      <c r="AB144" s="705">
        <f t="shared" si="96"/>
        <v>4625000</v>
      </c>
      <c r="AC144" s="825">
        <f t="shared" si="97"/>
        <v>4625000</v>
      </c>
      <c r="AD144" s="848">
        <f t="shared" si="98"/>
        <v>7125000</v>
      </c>
      <c r="AE144" s="705">
        <f t="shared" si="99"/>
        <v>42</v>
      </c>
      <c r="AF144" s="705">
        <f t="shared" si="82"/>
        <v>7125000</v>
      </c>
      <c r="AH144" s="705">
        <f>IF(Main!$L$10="YES",Main!$N$10+AC144,AC144)</f>
        <v>4625000</v>
      </c>
      <c r="AI144" s="705">
        <f>IF(AND((Main!$E$9&gt;=18),(Main!$J$10="YES")),$Y$132+AH144,AH144)</f>
        <v>7125000</v>
      </c>
      <c r="AN144" s="848">
        <v>11</v>
      </c>
      <c r="AO144" s="1173">
        <f>AV$14</f>
        <v>0.5706</v>
      </c>
      <c r="AP144" s="848" t="e">
        <f t="shared" si="100"/>
        <v>#N/A</v>
      </c>
      <c r="AQ144" s="705" t="e">
        <f t="shared" si="101"/>
        <v>#N/A</v>
      </c>
      <c r="AS144" s="705">
        <v>237</v>
      </c>
      <c r="AT144" s="705">
        <f t="shared" si="112"/>
        <v>0</v>
      </c>
      <c r="AU144" s="705" t="e">
        <f t="shared" si="102"/>
        <v>#N/A</v>
      </c>
      <c r="AV144" s="705" t="e">
        <f t="shared" si="103"/>
        <v>#N/A</v>
      </c>
      <c r="AW144" s="705">
        <f t="shared" si="104"/>
        <v>0</v>
      </c>
      <c r="AY144" s="705" t="e">
        <f t="shared" si="105"/>
        <v>#N/A</v>
      </c>
      <c r="AZ144" s="705" t="e">
        <f t="shared" si="106"/>
        <v>#N/A</v>
      </c>
      <c r="BA144" s="705" t="e">
        <f>IF(AND((Main!$E$9&gt;=18),(Main!$J$10="YES")),AW144+AZ144,AZ144)</f>
        <v>#N/A</v>
      </c>
      <c r="BD144" s="705">
        <v>8</v>
      </c>
      <c r="BE144" s="848">
        <f t="shared" si="110"/>
        <v>1689255</v>
      </c>
      <c r="BF144" s="705">
        <f>($BE$134*15%)*2</f>
        <v>750000</v>
      </c>
      <c r="BG144" s="848">
        <f t="shared" si="107"/>
        <v>939255</v>
      </c>
      <c r="BH144" s="1173">
        <v>0.93</v>
      </c>
      <c r="BI144" s="838">
        <f t="shared" si="108"/>
        <v>1745563.5</v>
      </c>
      <c r="BJ144" s="838">
        <f t="shared" si="109"/>
        <v>1745563.5</v>
      </c>
      <c r="BK144" s="705">
        <f t="shared" si="111"/>
        <v>1047300</v>
      </c>
      <c r="BS144" s="843">
        <v>13</v>
      </c>
      <c r="BT144" s="705">
        <f>-DAT!$AY$10</f>
        <v>-193554</v>
      </c>
      <c r="BU144" s="705">
        <f>-DAT!$AY$11</f>
        <v>-149211</v>
      </c>
      <c r="BZ144" s="705" t="e">
        <f>AZ145</f>
        <v>#N/A</v>
      </c>
      <c r="CA144" s="705" t="e">
        <f>-DAT!$AY$14</f>
        <v>#N/A</v>
      </c>
      <c r="CB144" s="705" t="e">
        <f>-DAT!$AY$14</f>
        <v>#N/A</v>
      </c>
      <c r="CC144" s="705" t="e">
        <f>-DAT!$AY$14</f>
        <v>#N/A</v>
      </c>
      <c r="CD144" s="705" t="e">
        <f>-DAT!$AY$14</f>
        <v>#N/A</v>
      </c>
      <c r="CE144" s="705" t="e">
        <f>-DAT!$AY$14</f>
        <v>#N/A</v>
      </c>
      <c r="CF144" s="705" t="e">
        <f>-DAT!$AY$14</f>
        <v>#N/A</v>
      </c>
      <c r="CG144" s="705" t="e">
        <f>-DAT!$AY$14</f>
        <v>#N/A</v>
      </c>
      <c r="CH144" s="705" t="e">
        <f>-DAT!$AY$14</f>
        <v>#N/A</v>
      </c>
      <c r="CL144" s="843">
        <v>13</v>
      </c>
      <c r="CM144" s="848">
        <f>$P$220</f>
        <v>4900000</v>
      </c>
      <c r="CN144" s="705" t="e">
        <f>-DAT!$AY$20</f>
        <v>#N/A</v>
      </c>
      <c r="CO144" s="705" t="e">
        <f>-DAT!$AY$20</f>
        <v>#N/A</v>
      </c>
      <c r="CP144" s="705" t="e">
        <f>-DAT!$AY$20</f>
        <v>#N/A</v>
      </c>
      <c r="CQ144" s="705" t="e">
        <f>-DAT!$AY$20</f>
        <v>#N/A</v>
      </c>
      <c r="CR144" s="705" t="e">
        <f>-DAT!$AY$20</f>
        <v>#N/A</v>
      </c>
      <c r="CS144" s="705" t="e">
        <f>-DAT!$AY$20</f>
        <v>#N/A</v>
      </c>
      <c r="CT144" s="705" t="e">
        <f>-DAT!$AY$20</f>
        <v>#N/A</v>
      </c>
      <c r="CU144" s="705" t="e">
        <f>-DAT!$AY$20</f>
        <v>#N/A</v>
      </c>
    </row>
    <row r="145" spans="9:99">
      <c r="I145" s="843">
        <v>13</v>
      </c>
      <c r="J145" s="846">
        <f>N$14</f>
        <v>40.98</v>
      </c>
      <c r="K145" s="705">
        <f t="shared" si="83"/>
        <v>1300000</v>
      </c>
      <c r="L145" s="705">
        <f t="shared" si="84"/>
        <v>1625000</v>
      </c>
      <c r="M145" s="825">
        <f t="shared" si="85"/>
        <v>2925000</v>
      </c>
      <c r="N145" s="829">
        <f t="shared" si="86"/>
        <v>1198665</v>
      </c>
      <c r="O145" s="1173">
        <f>AX$14</f>
        <v>0.60589999999999999</v>
      </c>
      <c r="P145" s="705">
        <f t="shared" si="87"/>
        <v>1520384</v>
      </c>
      <c r="Q145" s="1173">
        <f>CI$14</f>
        <v>0.17660000000000001</v>
      </c>
      <c r="R145" s="705">
        <f t="shared" si="88"/>
        <v>286975</v>
      </c>
      <c r="S145" s="825">
        <f t="shared" si="89"/>
        <v>1807359</v>
      </c>
      <c r="T145" s="825">
        <f t="shared" si="90"/>
        <v>1807359</v>
      </c>
      <c r="U145" s="847">
        <f t="shared" si="91"/>
        <v>1445900</v>
      </c>
      <c r="V145" s="705">
        <f t="shared" si="92"/>
        <v>2509299</v>
      </c>
      <c r="W145" s="833">
        <f t="shared" si="93"/>
        <v>2634763.9500000002</v>
      </c>
      <c r="X145" s="705">
        <f t="shared" si="94"/>
        <v>3125000</v>
      </c>
      <c r="Y145" s="705">
        <f t="shared" si="95"/>
        <v>2500000</v>
      </c>
      <c r="AA145" s="843">
        <v>0</v>
      </c>
      <c r="AB145" s="705">
        <f t="shared" si="96"/>
        <v>4750000</v>
      </c>
      <c r="AC145" s="825">
        <f t="shared" si="97"/>
        <v>4750000</v>
      </c>
      <c r="AD145" s="848">
        <f t="shared" si="98"/>
        <v>7250000</v>
      </c>
      <c r="AE145" s="705">
        <f t="shared" si="99"/>
        <v>43</v>
      </c>
      <c r="AF145" s="705">
        <f t="shared" si="82"/>
        <v>7250000</v>
      </c>
      <c r="AH145" s="705">
        <f>IF(Main!$L$10="YES",Main!$N$10+AC145,AC145)</f>
        <v>4750000</v>
      </c>
      <c r="AI145" s="705">
        <f>IF(AND((Main!$E$9&gt;=18),(Main!$J$10="YES")),$Y$132+AH145,AH145)</f>
        <v>7250000</v>
      </c>
      <c r="AN145" s="848">
        <v>12</v>
      </c>
      <c r="AO145" s="1173">
        <f>AW$14</f>
        <v>0.58819999999999995</v>
      </c>
      <c r="AP145" s="848" t="e">
        <f t="shared" si="100"/>
        <v>#N/A</v>
      </c>
      <c r="AQ145" s="705" t="e">
        <f t="shared" si="101"/>
        <v>#N/A</v>
      </c>
      <c r="AS145" s="705">
        <v>269</v>
      </c>
      <c r="AT145" s="705">
        <f t="shared" si="112"/>
        <v>0</v>
      </c>
      <c r="AU145" s="705" t="e">
        <f t="shared" si="102"/>
        <v>#N/A</v>
      </c>
      <c r="AV145" s="705" t="e">
        <f t="shared" si="103"/>
        <v>#N/A</v>
      </c>
      <c r="AW145" s="705">
        <f t="shared" si="104"/>
        <v>0</v>
      </c>
      <c r="AY145" s="705" t="e">
        <f t="shared" si="105"/>
        <v>#N/A</v>
      </c>
      <c r="AZ145" s="705" t="e">
        <f t="shared" si="106"/>
        <v>#N/A</v>
      </c>
      <c r="BA145" s="705" t="e">
        <f>IF(AND((Main!$E$9&gt;=18),(Main!$J$10="YES")),AW145+AZ145,AZ145)</f>
        <v>#N/A</v>
      </c>
      <c r="BD145" s="705">
        <v>9</v>
      </c>
      <c r="BE145" s="848">
        <f t="shared" si="110"/>
        <v>1689255</v>
      </c>
      <c r="BF145" s="705">
        <f>($BE$134*15%)*3</f>
        <v>1125000</v>
      </c>
      <c r="BG145" s="848">
        <f t="shared" si="107"/>
        <v>564255</v>
      </c>
      <c r="BH145" s="1173">
        <v>0.82</v>
      </c>
      <c r="BI145" s="838">
        <f t="shared" si="108"/>
        <v>1539099</v>
      </c>
      <c r="BJ145" s="838">
        <f t="shared" si="109"/>
        <v>1539099</v>
      </c>
      <c r="BK145" s="705">
        <f t="shared" si="111"/>
        <v>923500</v>
      </c>
      <c r="BS145" s="843">
        <v>14</v>
      </c>
      <c r="BT145" s="705">
        <f>-DAT!$AY$10</f>
        <v>-193554</v>
      </c>
      <c r="BU145" s="705">
        <f>-DAT!$AY$11</f>
        <v>-149211</v>
      </c>
      <c r="CA145" s="705" t="e">
        <f>AZ146</f>
        <v>#N/A</v>
      </c>
      <c r="CB145" s="705" t="e">
        <f>-DAT!$AY$14</f>
        <v>#N/A</v>
      </c>
      <c r="CC145" s="705" t="e">
        <f>-DAT!$AY$14</f>
        <v>#N/A</v>
      </c>
      <c r="CD145" s="705" t="e">
        <f>-DAT!$AY$14</f>
        <v>#N/A</v>
      </c>
      <c r="CE145" s="705" t="e">
        <f>-DAT!$AY$14</f>
        <v>#N/A</v>
      </c>
      <c r="CF145" s="705" t="e">
        <f>-DAT!$AY$14</f>
        <v>#N/A</v>
      </c>
      <c r="CG145" s="705" t="e">
        <f>-DAT!$AY$14</f>
        <v>#N/A</v>
      </c>
      <c r="CH145" s="705" t="e">
        <f>-DAT!$AY$14</f>
        <v>#N/A</v>
      </c>
      <c r="CL145" s="843">
        <v>14</v>
      </c>
      <c r="CN145" s="848">
        <f>$P$220</f>
        <v>4900000</v>
      </c>
      <c r="CO145" s="705" t="e">
        <f>-DAT!$AY$20</f>
        <v>#N/A</v>
      </c>
      <c r="CP145" s="705" t="e">
        <f>-DAT!$AY$20</f>
        <v>#N/A</v>
      </c>
      <c r="CQ145" s="705" t="e">
        <f>-DAT!$AY$20</f>
        <v>#N/A</v>
      </c>
      <c r="CR145" s="705" t="e">
        <f>-DAT!$AY$20</f>
        <v>#N/A</v>
      </c>
      <c r="CS145" s="705" t="e">
        <f>-DAT!$AY$20</f>
        <v>#N/A</v>
      </c>
      <c r="CT145" s="705" t="e">
        <f>-DAT!$AY$20</f>
        <v>#N/A</v>
      </c>
      <c r="CU145" s="705" t="e">
        <f>-DAT!$AY$20</f>
        <v>#N/A</v>
      </c>
    </row>
    <row r="146" spans="9:99">
      <c r="I146" s="843">
        <v>14</v>
      </c>
      <c r="J146" s="846">
        <f>O$14</f>
        <v>44.09</v>
      </c>
      <c r="K146" s="705">
        <f t="shared" si="83"/>
        <v>1400000</v>
      </c>
      <c r="L146" s="705">
        <f t="shared" si="84"/>
        <v>1750000</v>
      </c>
      <c r="M146" s="825">
        <f t="shared" si="85"/>
        <v>3150000</v>
      </c>
      <c r="N146" s="829">
        <f t="shared" si="86"/>
        <v>1388835</v>
      </c>
      <c r="O146" s="1173">
        <f>AY$14</f>
        <v>0.62350000000000005</v>
      </c>
      <c r="P146" s="705">
        <f t="shared" si="87"/>
        <v>1684898</v>
      </c>
      <c r="Q146" s="1173">
        <f>CJ$14</f>
        <v>0.17849999999999999</v>
      </c>
      <c r="R146" s="705">
        <f t="shared" si="88"/>
        <v>312375</v>
      </c>
      <c r="S146" s="825">
        <f t="shared" si="89"/>
        <v>1997273</v>
      </c>
      <c r="T146" s="825">
        <f t="shared" si="90"/>
        <v>1997273</v>
      </c>
      <c r="U146" s="847">
        <f t="shared" si="91"/>
        <v>1597800</v>
      </c>
      <c r="V146" s="705">
        <f t="shared" si="92"/>
        <v>2702322</v>
      </c>
      <c r="W146" s="833">
        <f t="shared" si="93"/>
        <v>2837438.1</v>
      </c>
      <c r="X146" s="705">
        <f t="shared" si="94"/>
        <v>3125000</v>
      </c>
      <c r="Y146" s="705">
        <f t="shared" si="95"/>
        <v>2500000</v>
      </c>
      <c r="AA146" s="843">
        <v>0</v>
      </c>
      <c r="AB146" s="705">
        <f t="shared" si="96"/>
        <v>4875000</v>
      </c>
      <c r="AC146" s="825">
        <f t="shared" si="97"/>
        <v>4875000</v>
      </c>
      <c r="AD146" s="848">
        <f t="shared" si="98"/>
        <v>7375000</v>
      </c>
      <c r="AE146" s="705">
        <f t="shared" si="99"/>
        <v>44</v>
      </c>
      <c r="AF146" s="705">
        <f t="shared" si="82"/>
        <v>7375000</v>
      </c>
      <c r="AH146" s="705">
        <f>IF(Main!$L$10="YES",Main!$N$10+AC146,AC146)</f>
        <v>4875000</v>
      </c>
      <c r="AI146" s="705">
        <f>IF(AND((Main!$E$9&gt;=18),(Main!$J$10="YES")),$Y$132+AH146,AH146)</f>
        <v>7375000</v>
      </c>
      <c r="AN146" s="848">
        <v>13</v>
      </c>
      <c r="AO146" s="1173">
        <f>AX$14</f>
        <v>0.60589999999999999</v>
      </c>
      <c r="AP146" s="848" t="e">
        <f t="shared" si="100"/>
        <v>#N/A</v>
      </c>
      <c r="AQ146" s="705" t="e">
        <f t="shared" si="101"/>
        <v>#N/A</v>
      </c>
      <c r="AS146" s="705">
        <v>298</v>
      </c>
      <c r="AT146" s="705">
        <f t="shared" si="112"/>
        <v>0</v>
      </c>
      <c r="AU146" s="705" t="e">
        <f t="shared" si="102"/>
        <v>#N/A</v>
      </c>
      <c r="AV146" s="705" t="e">
        <f t="shared" si="103"/>
        <v>#N/A</v>
      </c>
      <c r="AW146" s="705">
        <f t="shared" si="104"/>
        <v>0</v>
      </c>
      <c r="AY146" s="705" t="e">
        <f t="shared" si="105"/>
        <v>#N/A</v>
      </c>
      <c r="AZ146" s="705" t="e">
        <f t="shared" si="106"/>
        <v>#N/A</v>
      </c>
      <c r="BA146" s="705" t="e">
        <f>IF(AND((Main!$E$9&gt;=18),(Main!$J$10="YES")),AW146+AZ146,AZ146)</f>
        <v>#N/A</v>
      </c>
      <c r="BD146" s="705">
        <v>10</v>
      </c>
      <c r="BE146" s="848">
        <f t="shared" si="110"/>
        <v>1689255</v>
      </c>
      <c r="BF146" s="705">
        <f>($BE$134*15%)*3</f>
        <v>1125000</v>
      </c>
      <c r="BG146" s="848">
        <f t="shared" si="107"/>
        <v>564255</v>
      </c>
      <c r="BH146" s="1173">
        <v>0.86</v>
      </c>
      <c r="BI146" s="838">
        <f t="shared" si="108"/>
        <v>1614177</v>
      </c>
      <c r="BJ146" s="838">
        <f t="shared" si="109"/>
        <v>1614177</v>
      </c>
      <c r="BK146" s="705">
        <f t="shared" si="111"/>
        <v>968500</v>
      </c>
      <c r="BS146" s="843">
        <v>15</v>
      </c>
      <c r="BT146" s="705">
        <f>-DAT!$AY$10</f>
        <v>-193554</v>
      </c>
      <c r="BU146" s="705">
        <f>-DAT!$AY$11</f>
        <v>-149211</v>
      </c>
      <c r="CB146" s="705" t="e">
        <f>AZ147</f>
        <v>#N/A</v>
      </c>
      <c r="CC146" s="705" t="e">
        <f>-DAT!$AY$14</f>
        <v>#N/A</v>
      </c>
      <c r="CD146" s="705" t="e">
        <f>-DAT!$AY$14</f>
        <v>#N/A</v>
      </c>
      <c r="CE146" s="705" t="e">
        <f>-DAT!$AY$14</f>
        <v>#N/A</v>
      </c>
      <c r="CF146" s="705" t="e">
        <f>-DAT!$AY$14</f>
        <v>#N/A</v>
      </c>
      <c r="CG146" s="705" t="e">
        <f>-DAT!$AY$14</f>
        <v>#N/A</v>
      </c>
      <c r="CH146" s="705" t="e">
        <f>-DAT!$AY$14</f>
        <v>#N/A</v>
      </c>
      <c r="CL146" s="843">
        <v>15</v>
      </c>
      <c r="CO146" s="848">
        <f>$P$220</f>
        <v>4900000</v>
      </c>
      <c r="CP146" s="705" t="e">
        <f>-DAT!$AY$20</f>
        <v>#N/A</v>
      </c>
      <c r="CQ146" s="705" t="e">
        <f>-DAT!$AY$20</f>
        <v>#N/A</v>
      </c>
      <c r="CR146" s="705" t="e">
        <f>-DAT!$AY$20</f>
        <v>#N/A</v>
      </c>
      <c r="CS146" s="705" t="e">
        <f>-DAT!$AY$20</f>
        <v>#N/A</v>
      </c>
      <c r="CT146" s="705" t="e">
        <f>-DAT!$AY$20</f>
        <v>#N/A</v>
      </c>
      <c r="CU146" s="705" t="e">
        <f>-DAT!$AY$20</f>
        <v>#N/A</v>
      </c>
    </row>
    <row r="147" spans="9:99">
      <c r="I147" s="843">
        <v>15</v>
      </c>
      <c r="J147" s="846">
        <f>P$14</f>
        <v>47.43</v>
      </c>
      <c r="K147" s="705">
        <f t="shared" si="83"/>
        <v>1500000</v>
      </c>
      <c r="L147" s="705">
        <f t="shared" si="84"/>
        <v>1875000</v>
      </c>
      <c r="M147" s="825">
        <f t="shared" si="85"/>
        <v>3375000</v>
      </c>
      <c r="N147" s="829">
        <f t="shared" si="86"/>
        <v>1600763</v>
      </c>
      <c r="O147" s="1173">
        <f>AZ$14</f>
        <v>0.64119999999999999</v>
      </c>
      <c r="P147" s="705">
        <f t="shared" si="87"/>
        <v>1856495</v>
      </c>
      <c r="Q147" s="1173">
        <f>CK$14</f>
        <v>0.18160000000000001</v>
      </c>
      <c r="R147" s="705">
        <f t="shared" si="88"/>
        <v>340500</v>
      </c>
      <c r="S147" s="825">
        <f t="shared" si="89"/>
        <v>2196995</v>
      </c>
      <c r="T147" s="825">
        <f t="shared" si="90"/>
        <v>2196995</v>
      </c>
      <c r="U147" s="847">
        <f t="shared" si="91"/>
        <v>1757600</v>
      </c>
      <c r="V147" s="705">
        <f t="shared" si="92"/>
        <v>2895345</v>
      </c>
      <c r="W147" s="833">
        <f t="shared" si="93"/>
        <v>3040112.25</v>
      </c>
      <c r="X147" s="705">
        <f t="shared" si="94"/>
        <v>3125000</v>
      </c>
      <c r="Y147" s="705">
        <f t="shared" si="95"/>
        <v>2500000</v>
      </c>
      <c r="AA147" s="705">
        <f>C$43*X$130/1000</f>
        <v>50000</v>
      </c>
      <c r="AB147" s="705">
        <f t="shared" si="96"/>
        <v>5050000</v>
      </c>
      <c r="AC147" s="825">
        <f t="shared" si="97"/>
        <v>5050000</v>
      </c>
      <c r="AD147" s="848">
        <f t="shared" si="98"/>
        <v>7550000</v>
      </c>
      <c r="AE147" s="705">
        <f t="shared" si="99"/>
        <v>45</v>
      </c>
      <c r="AF147" s="705">
        <f t="shared" si="82"/>
        <v>7550000</v>
      </c>
      <c r="AH147" s="705">
        <f>IF(Main!$L$10="YES",Main!$N$10+AC147,AC147)</f>
        <v>5050000</v>
      </c>
      <c r="AI147" s="705">
        <f>IF(AND((Main!$E$9&gt;=18),(Main!$J$10="YES")),$Y$132+AH147,AH147)</f>
        <v>7550000</v>
      </c>
      <c r="AN147" s="848">
        <v>14</v>
      </c>
      <c r="AO147" s="1173">
        <f>AY$14</f>
        <v>0.62350000000000005</v>
      </c>
      <c r="AP147" s="848" t="e">
        <f t="shared" si="100"/>
        <v>#N/A</v>
      </c>
      <c r="AQ147" s="705" t="e">
        <f t="shared" si="101"/>
        <v>#N/A</v>
      </c>
      <c r="AS147" s="705">
        <v>325</v>
      </c>
      <c r="AT147" s="705">
        <f t="shared" si="112"/>
        <v>0</v>
      </c>
      <c r="AU147" s="705" t="e">
        <f t="shared" si="102"/>
        <v>#N/A</v>
      </c>
      <c r="AV147" s="705" t="e">
        <f t="shared" si="103"/>
        <v>#N/A</v>
      </c>
      <c r="AW147" s="705">
        <f t="shared" si="104"/>
        <v>0</v>
      </c>
      <c r="AY147" s="705" t="e">
        <f t="shared" si="105"/>
        <v>#N/A</v>
      </c>
      <c r="AZ147" s="705" t="e">
        <f t="shared" si="106"/>
        <v>#N/A</v>
      </c>
      <c r="BA147" s="705" t="e">
        <f>IF(AND((Main!$E$9&gt;=18),(Main!$J$10="YES")),AW147+AZ147,AZ147)</f>
        <v>#N/A</v>
      </c>
      <c r="BD147" s="705">
        <v>11</v>
      </c>
      <c r="BE147" s="848">
        <f t="shared" si="110"/>
        <v>1689255</v>
      </c>
      <c r="BF147" s="705">
        <f>($BE$134*15%)*3</f>
        <v>1125000</v>
      </c>
      <c r="BG147" s="848">
        <f t="shared" si="107"/>
        <v>564255</v>
      </c>
      <c r="BH147" s="1173">
        <v>0.90249999999999997</v>
      </c>
      <c r="BI147" s="838">
        <f t="shared" si="108"/>
        <v>1693947.375</v>
      </c>
      <c r="BJ147" s="838">
        <f t="shared" si="109"/>
        <v>1693947.375</v>
      </c>
      <c r="BK147" s="705">
        <f t="shared" si="111"/>
        <v>1016400</v>
      </c>
      <c r="BS147" s="843">
        <v>16</v>
      </c>
      <c r="BT147" s="705">
        <f>BR133</f>
        <v>500000</v>
      </c>
      <c r="BU147" s="705">
        <f>BR138</f>
        <v>225789</v>
      </c>
      <c r="CC147" s="705" t="e">
        <f>AZ148</f>
        <v>#N/A</v>
      </c>
      <c r="CD147" s="705" t="e">
        <f>-DAT!$AY$14</f>
        <v>#N/A</v>
      </c>
      <c r="CE147" s="705" t="e">
        <f>-DAT!$AY$14</f>
        <v>#N/A</v>
      </c>
      <c r="CF147" s="705" t="e">
        <f>-DAT!$AY$14</f>
        <v>#N/A</v>
      </c>
      <c r="CG147" s="705" t="e">
        <f>-DAT!$AY$14</f>
        <v>#N/A</v>
      </c>
      <c r="CH147" s="705" t="e">
        <f>-DAT!$AY$14</f>
        <v>#N/A</v>
      </c>
      <c r="CL147" s="843">
        <v>16</v>
      </c>
      <c r="CP147" s="848">
        <f>$P$220</f>
        <v>4900000</v>
      </c>
      <c r="CQ147" s="705" t="e">
        <f>-DAT!$AY$20</f>
        <v>#N/A</v>
      </c>
      <c r="CR147" s="705" t="e">
        <f>-DAT!$AY$20</f>
        <v>#N/A</v>
      </c>
      <c r="CS147" s="705" t="e">
        <f>-DAT!$AY$20</f>
        <v>#N/A</v>
      </c>
      <c r="CT147" s="705" t="e">
        <f>-DAT!$AY$20</f>
        <v>#N/A</v>
      </c>
      <c r="CU147" s="705" t="e">
        <f>-DAT!$AY$20</f>
        <v>#N/A</v>
      </c>
    </row>
    <row r="148" spans="9:99">
      <c r="I148" s="843">
        <v>16</v>
      </c>
      <c r="J148" s="846">
        <f>Q$14</f>
        <v>50.25</v>
      </c>
      <c r="K148" s="705">
        <f t="shared" si="83"/>
        <v>1600000</v>
      </c>
      <c r="L148" s="705">
        <f t="shared" si="84"/>
        <v>2000000</v>
      </c>
      <c r="M148" s="825">
        <f t="shared" si="85"/>
        <v>3600000</v>
      </c>
      <c r="N148" s="829">
        <f t="shared" si="86"/>
        <v>1809000</v>
      </c>
      <c r="O148" s="1173">
        <f>BA$14</f>
        <v>0.65880000000000005</v>
      </c>
      <c r="P148" s="705">
        <f t="shared" si="87"/>
        <v>2034617</v>
      </c>
      <c r="Q148" s="1173">
        <f>CL$14</f>
        <v>0.186</v>
      </c>
      <c r="R148" s="705">
        <f t="shared" si="88"/>
        <v>372000</v>
      </c>
      <c r="S148" s="825">
        <f t="shared" si="89"/>
        <v>2406617</v>
      </c>
      <c r="T148" s="825">
        <f t="shared" si="90"/>
        <v>2406617</v>
      </c>
      <c r="U148" s="847">
        <f t="shared" si="91"/>
        <v>1925300</v>
      </c>
      <c r="V148" s="705">
        <f t="shared" si="92"/>
        <v>3088368</v>
      </c>
      <c r="W148" s="833">
        <f t="shared" si="93"/>
        <v>3242786.4</v>
      </c>
      <c r="X148" s="705">
        <f t="shared" si="94"/>
        <v>3125000</v>
      </c>
      <c r="Y148" s="705">
        <f t="shared" si="95"/>
        <v>2500000</v>
      </c>
      <c r="AA148" s="705">
        <f>D$43*X$130/1000</f>
        <v>62500</v>
      </c>
      <c r="AB148" s="705">
        <f t="shared" si="96"/>
        <v>5187500</v>
      </c>
      <c r="AC148" s="825">
        <f t="shared" si="97"/>
        <v>5187500</v>
      </c>
      <c r="AD148" s="848">
        <f t="shared" si="98"/>
        <v>7687500</v>
      </c>
      <c r="AE148" s="705">
        <f t="shared" si="99"/>
        <v>46</v>
      </c>
      <c r="AF148" s="705">
        <f t="shared" si="82"/>
        <v>7687500</v>
      </c>
      <c r="AH148" s="705">
        <f>IF(Main!$L$10="YES",Main!$N$10+AC148,AC148)</f>
        <v>5187500</v>
      </c>
      <c r="AI148" s="705">
        <f>IF(AND((Main!$E$9&gt;=18),(Main!$J$10="YES")),$Y$132+AH148,AH148)</f>
        <v>7687500</v>
      </c>
      <c r="AN148" s="848">
        <v>15</v>
      </c>
      <c r="AO148" s="1173">
        <f>AZ$14</f>
        <v>0.64119999999999999</v>
      </c>
      <c r="AP148" s="848" t="e">
        <f t="shared" si="100"/>
        <v>#N/A</v>
      </c>
      <c r="AQ148" s="705" t="e">
        <f t="shared" si="101"/>
        <v>#N/A</v>
      </c>
      <c r="AS148" s="705">
        <v>356</v>
      </c>
      <c r="AT148" s="705">
        <f t="shared" si="112"/>
        <v>0</v>
      </c>
      <c r="AU148" s="705" t="e">
        <f t="shared" si="102"/>
        <v>#N/A</v>
      </c>
      <c r="AV148" s="705" t="e">
        <f t="shared" si="103"/>
        <v>#N/A</v>
      </c>
      <c r="AW148" s="705">
        <f t="shared" si="104"/>
        <v>0</v>
      </c>
      <c r="AY148" s="705" t="e">
        <f t="shared" si="105"/>
        <v>#N/A</v>
      </c>
      <c r="AZ148" s="705" t="e">
        <f t="shared" si="106"/>
        <v>#N/A</v>
      </c>
      <c r="BA148" s="705" t="e">
        <f>IF(AND((Main!$E$9&gt;=18),(Main!$J$10="YES")),AW148+AZ148,AZ148)</f>
        <v>#N/A</v>
      </c>
      <c r="BD148" s="705">
        <v>12</v>
      </c>
      <c r="BE148" s="848">
        <f t="shared" si="110"/>
        <v>1689255</v>
      </c>
      <c r="BF148" s="705">
        <f>($BE$134*15%)*4</f>
        <v>1500000</v>
      </c>
      <c r="BG148" s="848">
        <f t="shared" si="107"/>
        <v>189255</v>
      </c>
      <c r="BH148" s="1173">
        <v>0.81</v>
      </c>
      <c r="BI148" s="838">
        <f t="shared" si="108"/>
        <v>1520329.5</v>
      </c>
      <c r="BJ148" s="838">
        <f t="shared" si="109"/>
        <v>1520329.5</v>
      </c>
      <c r="BK148" s="705">
        <f t="shared" si="111"/>
        <v>912200</v>
      </c>
      <c r="BS148" s="843">
        <v>17</v>
      </c>
      <c r="BT148" s="705">
        <v>0</v>
      </c>
      <c r="BU148" s="705">
        <f>-DAT!$AY$11</f>
        <v>-149211</v>
      </c>
      <c r="CD148" s="705" t="e">
        <f>AZ149</f>
        <v>#N/A</v>
      </c>
      <c r="CE148" s="705" t="e">
        <f>-DAT!$AY$14</f>
        <v>#N/A</v>
      </c>
      <c r="CF148" s="705" t="e">
        <f>-DAT!$AY$14</f>
        <v>#N/A</v>
      </c>
      <c r="CG148" s="705" t="e">
        <f>-DAT!$AY$14</f>
        <v>#N/A</v>
      </c>
      <c r="CH148" s="705" t="e">
        <f>-DAT!$AY$14</f>
        <v>#N/A</v>
      </c>
      <c r="CL148" s="843">
        <v>17</v>
      </c>
      <c r="CQ148" s="848">
        <f>$P$220</f>
        <v>4900000</v>
      </c>
      <c r="CR148" s="705" t="e">
        <f>-DAT!$AY$20</f>
        <v>#N/A</v>
      </c>
      <c r="CS148" s="705" t="e">
        <f>-DAT!$AY$20</f>
        <v>#N/A</v>
      </c>
      <c r="CT148" s="705" t="e">
        <f>-DAT!$AY$20</f>
        <v>#N/A</v>
      </c>
      <c r="CU148" s="705" t="e">
        <f>-DAT!$AY$20</f>
        <v>#N/A</v>
      </c>
    </row>
    <row r="149" spans="9:99">
      <c r="I149" s="843">
        <v>17</v>
      </c>
      <c r="J149" s="846">
        <f>R$14</f>
        <v>53.4</v>
      </c>
      <c r="K149" s="705">
        <f t="shared" si="83"/>
        <v>1700000</v>
      </c>
      <c r="L149" s="705">
        <f t="shared" si="84"/>
        <v>2125000</v>
      </c>
      <c r="M149" s="825">
        <f t="shared" si="85"/>
        <v>3825000</v>
      </c>
      <c r="N149" s="829">
        <f t="shared" si="86"/>
        <v>2042550</v>
      </c>
      <c r="O149" s="1173">
        <f>BB$14</f>
        <v>0.67649999999999999</v>
      </c>
      <c r="P149" s="705">
        <f t="shared" si="87"/>
        <v>2219861</v>
      </c>
      <c r="Q149" s="1173">
        <f>CM$14</f>
        <v>0.1918</v>
      </c>
      <c r="R149" s="705">
        <f t="shared" si="88"/>
        <v>407575</v>
      </c>
      <c r="S149" s="825">
        <f t="shared" si="89"/>
        <v>2627436</v>
      </c>
      <c r="T149" s="825">
        <f t="shared" si="90"/>
        <v>2627436</v>
      </c>
      <c r="U149" s="847">
        <f t="shared" si="91"/>
        <v>2101900</v>
      </c>
      <c r="V149" s="705">
        <f t="shared" si="92"/>
        <v>3281391</v>
      </c>
      <c r="W149" s="833">
        <f t="shared" si="93"/>
        <v>3445460.55</v>
      </c>
      <c r="X149" s="705">
        <f t="shared" si="94"/>
        <v>3125000</v>
      </c>
      <c r="Y149" s="705">
        <f t="shared" si="95"/>
        <v>2500000</v>
      </c>
      <c r="AA149" s="705">
        <f>E$43*X$130/1000</f>
        <v>75000</v>
      </c>
      <c r="AB149" s="705">
        <f t="shared" si="96"/>
        <v>5325000</v>
      </c>
      <c r="AC149" s="825">
        <f t="shared" si="97"/>
        <v>5325000</v>
      </c>
      <c r="AD149" s="848">
        <f t="shared" si="98"/>
        <v>7825000</v>
      </c>
      <c r="AE149" s="705">
        <f t="shared" si="99"/>
        <v>47</v>
      </c>
      <c r="AF149" s="705">
        <f t="shared" si="82"/>
        <v>7825000</v>
      </c>
      <c r="AH149" s="705">
        <f>IF(Main!$L$10="YES",Main!$N$10+AC149,AC149)</f>
        <v>5325000</v>
      </c>
      <c r="AI149" s="705">
        <f>IF(AND((Main!$E$9&gt;=18),(Main!$J$10="YES")),$Y$132+AH149,AH149)</f>
        <v>7825000</v>
      </c>
      <c r="AN149" s="848">
        <v>16</v>
      </c>
      <c r="AO149" s="1173">
        <f>BA$14</f>
        <v>0.65880000000000005</v>
      </c>
      <c r="AP149" s="848" t="e">
        <f t="shared" si="100"/>
        <v>#N/A</v>
      </c>
      <c r="AQ149" s="705" t="e">
        <f t="shared" si="101"/>
        <v>#N/A</v>
      </c>
      <c r="AS149" s="705">
        <v>388</v>
      </c>
      <c r="AT149" s="705">
        <f t="shared" si="112"/>
        <v>0</v>
      </c>
      <c r="AU149" s="705" t="e">
        <f t="shared" si="102"/>
        <v>#N/A</v>
      </c>
      <c r="AV149" s="705" t="e">
        <f t="shared" si="103"/>
        <v>#N/A</v>
      </c>
      <c r="AW149" s="705">
        <f t="shared" si="104"/>
        <v>0</v>
      </c>
      <c r="AY149" s="705" t="e">
        <f t="shared" si="105"/>
        <v>#N/A</v>
      </c>
      <c r="AZ149" s="705" t="e">
        <f t="shared" si="106"/>
        <v>#N/A</v>
      </c>
      <c r="BA149" s="705" t="e">
        <f>IF(AND((Main!$E$9&gt;=18),(Main!$J$10="YES")),AW149+AZ149,AZ149)</f>
        <v>#N/A</v>
      </c>
      <c r="BD149" s="705">
        <v>13</v>
      </c>
      <c r="BE149" s="848">
        <f t="shared" si="110"/>
        <v>1689255</v>
      </c>
      <c r="BF149" s="705">
        <f>($BE$134*15%)*4</f>
        <v>1500000</v>
      </c>
      <c r="BG149" s="848">
        <f t="shared" si="107"/>
        <v>189255</v>
      </c>
      <c r="BH149" s="1173">
        <v>0.87</v>
      </c>
      <c r="BI149" s="838">
        <f t="shared" si="108"/>
        <v>1632946.5</v>
      </c>
      <c r="BJ149" s="838">
        <f t="shared" si="109"/>
        <v>1632946.5</v>
      </c>
      <c r="BK149" s="705">
        <f t="shared" si="111"/>
        <v>979800</v>
      </c>
      <c r="BS149" s="843">
        <v>18</v>
      </c>
      <c r="BT149" s="705">
        <v>0</v>
      </c>
      <c r="BU149" s="705">
        <f>-DAT!$AY$11</f>
        <v>-149211</v>
      </c>
      <c r="CE149" s="705" t="e">
        <f>AZ150</f>
        <v>#N/A</v>
      </c>
      <c r="CF149" s="705" t="e">
        <f>-DAT!$AY$14</f>
        <v>#N/A</v>
      </c>
      <c r="CG149" s="705" t="e">
        <f>-DAT!$AY$14</f>
        <v>#N/A</v>
      </c>
      <c r="CH149" s="705" t="e">
        <f>-DAT!$AY$14</f>
        <v>#N/A</v>
      </c>
      <c r="CL149" s="843">
        <v>18</v>
      </c>
      <c r="CR149" s="848">
        <f>$P$220</f>
        <v>4900000</v>
      </c>
      <c r="CS149" s="705" t="e">
        <f>-DAT!$AY$20</f>
        <v>#N/A</v>
      </c>
      <c r="CT149" s="705" t="e">
        <f>-DAT!$AY$20</f>
        <v>#N/A</v>
      </c>
      <c r="CU149" s="705" t="e">
        <f>-DAT!$AY$20</f>
        <v>#N/A</v>
      </c>
    </row>
    <row r="150" spans="9:99">
      <c r="I150" s="843">
        <v>18</v>
      </c>
      <c r="J150" s="846">
        <f>S$14</f>
        <v>56.95</v>
      </c>
      <c r="K150" s="705">
        <f t="shared" si="83"/>
        <v>1800000</v>
      </c>
      <c r="L150" s="705">
        <f t="shared" si="84"/>
        <v>2250000</v>
      </c>
      <c r="M150" s="825">
        <f t="shared" si="85"/>
        <v>4050000</v>
      </c>
      <c r="N150" s="829">
        <f t="shared" si="86"/>
        <v>2306475</v>
      </c>
      <c r="O150" s="1173">
        <f>BC$14</f>
        <v>0.69410000000000005</v>
      </c>
      <c r="P150" s="705">
        <f t="shared" si="87"/>
        <v>2411591</v>
      </c>
      <c r="Q150" s="1173">
        <f>CN$14</f>
        <v>0.1993</v>
      </c>
      <c r="R150" s="705">
        <f t="shared" si="88"/>
        <v>448425</v>
      </c>
      <c r="S150" s="825">
        <f t="shared" si="89"/>
        <v>2860016</v>
      </c>
      <c r="T150" s="825">
        <f t="shared" si="90"/>
        <v>2860016</v>
      </c>
      <c r="U150" s="847">
        <f t="shared" si="91"/>
        <v>2288000</v>
      </c>
      <c r="V150" s="705">
        <f t="shared" si="92"/>
        <v>3474414</v>
      </c>
      <c r="W150" s="833">
        <f t="shared" si="93"/>
        <v>3648134.7</v>
      </c>
      <c r="X150" s="705">
        <f t="shared" si="94"/>
        <v>3125000</v>
      </c>
      <c r="Y150" s="705">
        <f t="shared" si="95"/>
        <v>2500000</v>
      </c>
      <c r="AA150" s="705">
        <f>F$43*X$130/1000</f>
        <v>87500</v>
      </c>
      <c r="AB150" s="705">
        <f t="shared" si="96"/>
        <v>5462500</v>
      </c>
      <c r="AC150" s="825">
        <f t="shared" si="97"/>
        <v>5462500</v>
      </c>
      <c r="AD150" s="848">
        <f t="shared" si="98"/>
        <v>7962500</v>
      </c>
      <c r="AE150" s="705">
        <f t="shared" si="99"/>
        <v>48</v>
      </c>
      <c r="AF150" s="705">
        <f t="shared" si="82"/>
        <v>7962500</v>
      </c>
      <c r="AH150" s="705">
        <f>IF(Main!$L$10="YES",Main!$N$10+AC150,AC150)</f>
        <v>5462500</v>
      </c>
      <c r="AI150" s="705">
        <f>IF(AND((Main!$E$9&gt;=18),(Main!$J$10="YES")),$Y$132+AH150,AH150)</f>
        <v>7962500</v>
      </c>
      <c r="AN150" s="848">
        <v>17</v>
      </c>
      <c r="AO150" s="1173">
        <f>BB$14</f>
        <v>0.67649999999999999</v>
      </c>
      <c r="AP150" s="848" t="e">
        <f t="shared" si="100"/>
        <v>#N/A</v>
      </c>
      <c r="AQ150" s="705" t="e">
        <f t="shared" si="101"/>
        <v>#N/A</v>
      </c>
      <c r="AS150" s="705">
        <v>417</v>
      </c>
      <c r="AT150" s="705">
        <f t="shared" si="112"/>
        <v>0</v>
      </c>
      <c r="AU150" s="705" t="e">
        <f t="shared" si="102"/>
        <v>#N/A</v>
      </c>
      <c r="AV150" s="705" t="e">
        <f t="shared" si="103"/>
        <v>#N/A</v>
      </c>
      <c r="AW150" s="705">
        <f t="shared" si="104"/>
        <v>0</v>
      </c>
      <c r="AY150" s="705" t="e">
        <f t="shared" si="105"/>
        <v>#N/A</v>
      </c>
      <c r="AZ150" s="705" t="e">
        <f t="shared" si="106"/>
        <v>#N/A</v>
      </c>
      <c r="BA150" s="705" t="e">
        <f>IF(AND((Main!$E$9&gt;=18),(Main!$J$10="YES")),AW150+AZ150,AZ150)</f>
        <v>#N/A</v>
      </c>
      <c r="BD150" s="705">
        <v>14</v>
      </c>
      <c r="BE150" s="848">
        <f t="shared" si="110"/>
        <v>1689255</v>
      </c>
      <c r="BF150" s="705">
        <f>($BE$134*15%)*4</f>
        <v>1500000</v>
      </c>
      <c r="BG150" s="848">
        <f t="shared" si="107"/>
        <v>189255</v>
      </c>
      <c r="BH150" s="1173">
        <v>0.93</v>
      </c>
      <c r="BI150" s="838">
        <f t="shared" si="108"/>
        <v>1745563.5</v>
      </c>
      <c r="BJ150" s="838">
        <f t="shared" si="109"/>
        <v>1745563.5</v>
      </c>
      <c r="BK150" s="705">
        <f t="shared" si="111"/>
        <v>1047300</v>
      </c>
      <c r="BS150" s="843">
        <v>19</v>
      </c>
      <c r="BT150" s="705">
        <v>0</v>
      </c>
      <c r="BU150" s="705">
        <f>-DAT!$AY$11</f>
        <v>-149211</v>
      </c>
      <c r="CF150" s="705" t="e">
        <f>AZ151</f>
        <v>#N/A</v>
      </c>
      <c r="CG150" s="705" t="e">
        <f>-DAT!$AY$14</f>
        <v>#N/A</v>
      </c>
      <c r="CH150" s="705" t="e">
        <f>-DAT!$AY$14</f>
        <v>#N/A</v>
      </c>
      <c r="CL150" s="843">
        <v>19</v>
      </c>
      <c r="CS150" s="848">
        <f>$P$220</f>
        <v>4900000</v>
      </c>
      <c r="CT150" s="705" t="e">
        <f>-DAT!$AY$20</f>
        <v>#N/A</v>
      </c>
      <c r="CU150" s="705" t="e">
        <f>-DAT!$AY$20</f>
        <v>#N/A</v>
      </c>
    </row>
    <row r="151" spans="9:99">
      <c r="I151" s="843">
        <v>19</v>
      </c>
      <c r="J151" s="846">
        <f>T$14</f>
        <v>60.95</v>
      </c>
      <c r="K151" s="705">
        <f t="shared" si="83"/>
        <v>1900000</v>
      </c>
      <c r="L151" s="705">
        <f t="shared" si="84"/>
        <v>2375000</v>
      </c>
      <c r="M151" s="825">
        <f t="shared" si="85"/>
        <v>4275000</v>
      </c>
      <c r="N151" s="829">
        <f t="shared" si="86"/>
        <v>2605613</v>
      </c>
      <c r="O151" s="1173">
        <f>BD$14</f>
        <v>0.71179999999999999</v>
      </c>
      <c r="P151" s="705">
        <f t="shared" si="87"/>
        <v>2610482</v>
      </c>
      <c r="Q151" s="1173">
        <f>CO$14</f>
        <v>0.20849999999999999</v>
      </c>
      <c r="R151" s="705">
        <f t="shared" si="88"/>
        <v>495188</v>
      </c>
      <c r="S151" s="825">
        <f t="shared" si="89"/>
        <v>3105670</v>
      </c>
      <c r="T151" s="825">
        <f t="shared" si="90"/>
        <v>3105670</v>
      </c>
      <c r="U151" s="847">
        <f t="shared" si="91"/>
        <v>2484500</v>
      </c>
      <c r="V151" s="705">
        <f t="shared" si="92"/>
        <v>3667437</v>
      </c>
      <c r="W151" s="833">
        <f t="shared" si="93"/>
        <v>3850808.85</v>
      </c>
      <c r="X151" s="705">
        <f t="shared" si="94"/>
        <v>3125000</v>
      </c>
      <c r="Y151" s="705">
        <f t="shared" si="95"/>
        <v>2500000</v>
      </c>
      <c r="AA151" s="705">
        <f>G$43*X$130/1000</f>
        <v>125000</v>
      </c>
      <c r="AB151" s="705">
        <f t="shared" si="96"/>
        <v>5625000</v>
      </c>
      <c r="AC151" s="825">
        <f t="shared" si="97"/>
        <v>5625000</v>
      </c>
      <c r="AD151" s="848">
        <f t="shared" si="98"/>
        <v>8125000</v>
      </c>
      <c r="AE151" s="705">
        <f t="shared" si="99"/>
        <v>49</v>
      </c>
      <c r="AF151" s="705">
        <f t="shared" si="82"/>
        <v>8125000</v>
      </c>
      <c r="AH151" s="705">
        <f>IF(Main!$L$10="YES",Main!$N$10+AC151,AC151)</f>
        <v>5625000</v>
      </c>
      <c r="AI151" s="705">
        <f>IF(AND((Main!$E$9&gt;=18),(Main!$J$10="YES")),$Y$132+AH151,AH151)</f>
        <v>8125000</v>
      </c>
      <c r="AN151" s="848">
        <v>18</v>
      </c>
      <c r="AO151" s="1173">
        <f>BC$14</f>
        <v>0.69410000000000005</v>
      </c>
      <c r="AP151" s="848" t="e">
        <f t="shared" si="100"/>
        <v>#N/A</v>
      </c>
      <c r="AQ151" s="705" t="e">
        <f t="shared" si="101"/>
        <v>#N/A</v>
      </c>
      <c r="AS151" s="705">
        <v>454</v>
      </c>
      <c r="AT151" s="705">
        <f t="shared" si="112"/>
        <v>0</v>
      </c>
      <c r="AU151" s="705" t="e">
        <f t="shared" si="102"/>
        <v>#N/A</v>
      </c>
      <c r="AV151" s="705" t="e">
        <f t="shared" si="103"/>
        <v>#N/A</v>
      </c>
      <c r="AW151" s="705">
        <f t="shared" si="104"/>
        <v>0</v>
      </c>
      <c r="AY151" s="705" t="e">
        <f t="shared" si="105"/>
        <v>#N/A</v>
      </c>
      <c r="AZ151" s="705" t="e">
        <f t="shared" si="106"/>
        <v>#N/A</v>
      </c>
      <c r="BA151" s="705" t="e">
        <f>IF(AND((Main!$E$9&gt;=18),(Main!$J$10="YES")),AW151+AZ151,AZ151)</f>
        <v>#N/A</v>
      </c>
      <c r="BD151" s="705">
        <v>15</v>
      </c>
      <c r="BE151" s="848">
        <f t="shared" si="110"/>
        <v>1689255</v>
      </c>
      <c r="BG151" s="848">
        <f t="shared" si="107"/>
        <v>1689255</v>
      </c>
      <c r="BH151" s="1173">
        <v>0.93</v>
      </c>
      <c r="BI151" s="838">
        <f t="shared" si="108"/>
        <v>1745563.5</v>
      </c>
      <c r="BJ151" s="838">
        <f t="shared" si="109"/>
        <v>1745563.5</v>
      </c>
      <c r="BK151" s="705">
        <f t="shared" si="111"/>
        <v>1047300</v>
      </c>
      <c r="BS151" s="843">
        <v>20</v>
      </c>
      <c r="BT151" s="705">
        <f>AR84</f>
        <v>3050000</v>
      </c>
      <c r="BU151" s="705">
        <f>-DAT!$AY$11</f>
        <v>-149211</v>
      </c>
      <c r="CG151" s="705" t="e">
        <f>AZ152</f>
        <v>#N/A</v>
      </c>
      <c r="CH151" s="705" t="e">
        <f>-DAT!$AY$14</f>
        <v>#N/A</v>
      </c>
      <c r="CL151" s="843">
        <v>20</v>
      </c>
      <c r="CT151" s="848">
        <f>$P$220</f>
        <v>4900000</v>
      </c>
      <c r="CU151" s="705" t="e">
        <f>-DAT!$AY$20</f>
        <v>#N/A</v>
      </c>
    </row>
    <row r="152" spans="9:99">
      <c r="I152" s="843">
        <v>20</v>
      </c>
      <c r="J152" s="846">
        <f>U$14</f>
        <v>65.489999999999995</v>
      </c>
      <c r="K152" s="705">
        <f t="shared" si="83"/>
        <v>2000000</v>
      </c>
      <c r="L152" s="705">
        <f t="shared" si="84"/>
        <v>2500000</v>
      </c>
      <c r="M152" s="825">
        <f t="shared" si="85"/>
        <v>4500000</v>
      </c>
      <c r="N152" s="829">
        <f t="shared" si="86"/>
        <v>2947050</v>
      </c>
      <c r="O152" s="1173">
        <f>BE$14</f>
        <v>0.72940000000000005</v>
      </c>
      <c r="P152" s="705">
        <f t="shared" si="87"/>
        <v>2815820</v>
      </c>
      <c r="Q152" s="1173">
        <f>CP$14</f>
        <v>0.21990000000000001</v>
      </c>
      <c r="R152" s="705">
        <f t="shared" si="88"/>
        <v>549750</v>
      </c>
      <c r="S152" s="825">
        <f t="shared" si="89"/>
        <v>3365570</v>
      </c>
      <c r="T152" s="825">
        <f t="shared" si="90"/>
        <v>3365570</v>
      </c>
      <c r="U152" s="847">
        <f t="shared" si="91"/>
        <v>2692500</v>
      </c>
      <c r="V152" s="705">
        <f t="shared" si="92"/>
        <v>3860460</v>
      </c>
      <c r="W152" s="833">
        <f t="shared" si="93"/>
        <v>4053483</v>
      </c>
      <c r="X152" s="705">
        <f t="shared" si="94"/>
        <v>3125000</v>
      </c>
      <c r="Y152" s="705">
        <f t="shared" si="95"/>
        <v>2500000</v>
      </c>
      <c r="AA152" s="705">
        <f>H$43*X$130/1000</f>
        <v>175000</v>
      </c>
      <c r="AB152" s="705">
        <f t="shared" si="96"/>
        <v>5800000</v>
      </c>
      <c r="AC152" s="825">
        <f t="shared" si="97"/>
        <v>5800000</v>
      </c>
      <c r="AD152" s="848">
        <f t="shared" si="98"/>
        <v>8300000</v>
      </c>
      <c r="AE152" s="705">
        <f t="shared" si="99"/>
        <v>50</v>
      </c>
      <c r="AF152" s="705">
        <f t="shared" si="82"/>
        <v>8300000</v>
      </c>
      <c r="AH152" s="705">
        <f>IF(Main!$L$10="YES",Main!$N$10+AC152,AC152)</f>
        <v>5800000</v>
      </c>
      <c r="AI152" s="705">
        <f>IF(AND((Main!$E$9&gt;=18),(Main!$J$10="YES")),$Y$132+AH152,AH152)</f>
        <v>8300000</v>
      </c>
      <c r="AN152" s="848">
        <v>19</v>
      </c>
      <c r="AO152" s="1173">
        <f>BD$14</f>
        <v>0.71179999999999999</v>
      </c>
      <c r="AP152" s="848" t="e">
        <f t="shared" si="100"/>
        <v>#N/A</v>
      </c>
      <c r="AQ152" s="705" t="e">
        <f t="shared" si="101"/>
        <v>#N/A</v>
      </c>
      <c r="AS152" s="705">
        <v>487</v>
      </c>
      <c r="AT152" s="705">
        <f t="shared" si="112"/>
        <v>0</v>
      </c>
      <c r="AU152" s="705" t="e">
        <f t="shared" si="102"/>
        <v>#N/A</v>
      </c>
      <c r="AV152" s="705" t="e">
        <f t="shared" si="103"/>
        <v>#N/A</v>
      </c>
      <c r="AW152" s="705">
        <f t="shared" si="104"/>
        <v>0</v>
      </c>
      <c r="AY152" s="705" t="e">
        <f t="shared" si="105"/>
        <v>#N/A</v>
      </c>
      <c r="AZ152" s="705" t="e">
        <f t="shared" si="106"/>
        <v>#N/A</v>
      </c>
      <c r="BA152" s="705" t="e">
        <f>IF(AND((Main!$E$9&gt;=18),(Main!$J$10="YES")),AW152+AZ152,AZ152)</f>
        <v>#N/A</v>
      </c>
      <c r="BS152" s="843">
        <v>21</v>
      </c>
      <c r="BU152" s="705">
        <f>BR138</f>
        <v>225789</v>
      </c>
      <c r="CH152" s="705" t="e">
        <f>AZ153</f>
        <v>#N/A</v>
      </c>
      <c r="CU152" s="848">
        <f>$P$220</f>
        <v>4900000</v>
      </c>
    </row>
    <row r="153" spans="9:99">
      <c r="I153" s="843">
        <v>21</v>
      </c>
      <c r="J153" s="846">
        <f>V$14</f>
        <v>71.19</v>
      </c>
      <c r="K153" s="705">
        <f t="shared" si="83"/>
        <v>2100000</v>
      </c>
      <c r="L153" s="705">
        <f t="shared" si="84"/>
        <v>2625000</v>
      </c>
      <c r="M153" s="825">
        <f t="shared" si="85"/>
        <v>4725000</v>
      </c>
      <c r="N153" s="829">
        <f t="shared" si="86"/>
        <v>3363728</v>
      </c>
      <c r="O153" s="1173">
        <f>BF$14</f>
        <v>0.74709999999999999</v>
      </c>
      <c r="P153" s="705">
        <f t="shared" si="87"/>
        <v>3028357</v>
      </c>
      <c r="Q153" s="1173">
        <f>CQ$14</f>
        <v>0.23380000000000001</v>
      </c>
      <c r="R153" s="705">
        <f t="shared" si="88"/>
        <v>613725</v>
      </c>
      <c r="S153" s="825">
        <f t="shared" si="89"/>
        <v>3642082</v>
      </c>
      <c r="T153" s="825">
        <f t="shared" si="90"/>
        <v>3642082</v>
      </c>
      <c r="U153" s="847">
        <f t="shared" si="91"/>
        <v>2913700</v>
      </c>
      <c r="V153" s="705">
        <f t="shared" si="92"/>
        <v>4053483</v>
      </c>
      <c r="W153" s="833">
        <f t="shared" si="93"/>
        <v>4256157.1500000004</v>
      </c>
      <c r="X153" s="705">
        <f t="shared" si="94"/>
        <v>3125000</v>
      </c>
      <c r="Y153" s="705">
        <f t="shared" si="95"/>
        <v>2500000</v>
      </c>
      <c r="AA153" s="705">
        <f>I$43*X$130/1000</f>
        <v>250000</v>
      </c>
      <c r="AB153" s="705">
        <f t="shared" si="96"/>
        <v>6000000</v>
      </c>
      <c r="AC153" s="825">
        <f t="shared" si="97"/>
        <v>6000000</v>
      </c>
      <c r="AD153" s="848">
        <f t="shared" si="98"/>
        <v>8500000</v>
      </c>
      <c r="AE153" s="705">
        <f t="shared" si="99"/>
        <v>51</v>
      </c>
      <c r="AF153" s="705">
        <f t="shared" si="82"/>
        <v>8500000</v>
      </c>
      <c r="AH153" s="705">
        <f>IF(Main!$L$10="YES",Main!$N$10+AC153,AC153)</f>
        <v>6000000</v>
      </c>
      <c r="AI153" s="705">
        <f>IF(AND((Main!$E$9&gt;=18),(Main!$J$10="YES")),$Y$132+AH153,AH153)</f>
        <v>8500000</v>
      </c>
      <c r="AN153" s="848">
        <v>20</v>
      </c>
      <c r="AO153" s="1173">
        <f>BE$14</f>
        <v>0.72940000000000005</v>
      </c>
      <c r="AP153" s="848" t="e">
        <f t="shared" si="100"/>
        <v>#N/A</v>
      </c>
      <c r="AQ153" s="705" t="e">
        <f t="shared" si="101"/>
        <v>#N/A</v>
      </c>
      <c r="AS153" s="705">
        <v>525</v>
      </c>
      <c r="AT153" s="705">
        <f t="shared" si="112"/>
        <v>0</v>
      </c>
      <c r="AU153" s="705" t="e">
        <f t="shared" si="102"/>
        <v>#N/A</v>
      </c>
      <c r="AV153" s="705" t="e">
        <f t="shared" si="103"/>
        <v>#N/A</v>
      </c>
      <c r="AW153" s="705">
        <f t="shared" si="104"/>
        <v>0</v>
      </c>
      <c r="AY153" s="705" t="e">
        <f t="shared" si="105"/>
        <v>#N/A</v>
      </c>
      <c r="AZ153" s="705" t="e">
        <f t="shared" si="106"/>
        <v>#N/A</v>
      </c>
      <c r="BA153" s="705" t="e">
        <f>IF(AND((Main!$E$9&gt;=18),(Main!$J$10="YES")),AW153+AZ153,AZ153)</f>
        <v>#N/A</v>
      </c>
      <c r="BS153" s="843">
        <v>22</v>
      </c>
      <c r="BU153" s="705">
        <v>0</v>
      </c>
    </row>
    <row r="154" spans="9:99">
      <c r="BS154" s="843">
        <v>23</v>
      </c>
      <c r="BU154" s="705">
        <v>0</v>
      </c>
    </row>
    <row r="155" spans="9:99">
      <c r="BS155" s="843">
        <v>24</v>
      </c>
      <c r="BU155" s="705">
        <v>0</v>
      </c>
    </row>
    <row r="156" spans="9:99">
      <c r="BS156" s="843">
        <v>25</v>
      </c>
      <c r="BU156" s="705">
        <f>AR123</f>
        <v>4312500</v>
      </c>
    </row>
    <row r="157" spans="9:99">
      <c r="Y157" s="824">
        <f>$B$52</f>
        <v>2500000</v>
      </c>
    </row>
    <row r="158" spans="9:99">
      <c r="I158" s="705">
        <v>833</v>
      </c>
      <c r="Y158" s="705">
        <f>IF(($Y$157&gt;10000000),10000000,$Y$157)</f>
        <v>2500000</v>
      </c>
      <c r="AN158" s="705">
        <v>832</v>
      </c>
      <c r="AQ158" s="1172" t="e">
        <f>LOOKUP($AL$160,$AN159:$AN183,AQ159:AQ183)</f>
        <v>#N/A</v>
      </c>
    </row>
    <row r="159" spans="9:99">
      <c r="X159" s="824">
        <f t="shared" ref="X159:X183" si="113">$B$52</f>
        <v>2500000</v>
      </c>
      <c r="AC159" s="705">
        <f>$B$52/1000*C162+B52</f>
        <v>2622500</v>
      </c>
      <c r="AD159" s="705">
        <f>IF(Main!$L$10="YES",Main!$N$10+AC159,AC159)</f>
        <v>2622500</v>
      </c>
      <c r="AE159" s="705">
        <f>IF(AND((Main!$E$9&gt;=18),(Main!$J$10="YES")),$Y$158+AD159,AD159)</f>
        <v>5122500</v>
      </c>
      <c r="AF159" s="705">
        <f>X159*10%</f>
        <v>250000</v>
      </c>
      <c r="AH159" s="705">
        <f>IF(Main!$L$10="YES",AF184+AD184,AF184+AC184)</f>
        <v>12937500</v>
      </c>
      <c r="AI159" s="705">
        <f>IF(AND((Main!$E$9&gt;=18),(Main!$J$10="YES")),$Y$158+AH159,AH159)</f>
        <v>15437500</v>
      </c>
      <c r="AN159" s="705">
        <v>1</v>
      </c>
      <c r="AQ159" s="705" t="e">
        <f t="shared" ref="AQ159:AQ183" si="114">(AN159*$C$54)*($B$52/1000)</f>
        <v>#N/A</v>
      </c>
      <c r="BC159" s="824">
        <f t="shared" ref="BC159:BC183" si="115">$B$52</f>
        <v>2500000</v>
      </c>
      <c r="BD159" s="684">
        <f t="shared" ref="BD159:BD183" si="116">IF((BC159&gt;$BE$160),BC159,$BE$160)</f>
        <v>2500000</v>
      </c>
      <c r="BF159" s="1172" t="e">
        <f>LOOKUP($AL$160,$AN160:$AN184,BF160:BF184)</f>
        <v>#N/A</v>
      </c>
      <c r="BG159" s="824" t="e">
        <f>BD159+AQ159</f>
        <v>#N/A</v>
      </c>
      <c r="BH159" s="824" t="e">
        <f t="shared" ref="BH159:BH183" si="117">IF((BB159&gt;BG159),BB159,BG159)</f>
        <v>#N/A</v>
      </c>
      <c r="CL159" s="705">
        <v>830</v>
      </c>
    </row>
    <row r="160" spans="9:99">
      <c r="I160" s="824">
        <v>2</v>
      </c>
      <c r="J160" s="846">
        <f>C$14</f>
        <v>18.45</v>
      </c>
      <c r="K160" s="705">
        <f t="shared" ref="K160:K183" si="118">$B$52*I160/$C$52</f>
        <v>200000</v>
      </c>
      <c r="L160" s="705">
        <f t="shared" ref="L160:L183" si="119">(I160*$C$162)*($B$52/1000)</f>
        <v>245000</v>
      </c>
      <c r="M160" s="825">
        <f t="shared" ref="M160:M183" si="120">K160+L160</f>
        <v>445000</v>
      </c>
      <c r="N160" s="829">
        <f t="shared" ref="N160:N183" si="121">ROUND((M160*J160/100),0)</f>
        <v>82103</v>
      </c>
      <c r="O160" s="1173">
        <f>AM$14</f>
        <v>0</v>
      </c>
      <c r="P160" s="705">
        <f t="shared" ref="P160:P183" si="122">ROUND(($G$163*I160)*O160,0)</f>
        <v>0</v>
      </c>
      <c r="Q160" s="1173">
        <f>BX$14</f>
        <v>0</v>
      </c>
      <c r="R160" s="705">
        <f t="shared" ref="R160:R183" si="123">ROUND(L160*Q160,0)</f>
        <v>0</v>
      </c>
      <c r="S160" s="825">
        <f t="shared" ref="S160:S183" si="124">P160+R160</f>
        <v>0</v>
      </c>
      <c r="T160" s="825">
        <f t="shared" ref="T160:T183" si="125">IF(S160&gt;N160,S160,N160)</f>
        <v>82103</v>
      </c>
      <c r="U160" s="847">
        <f t="shared" ref="U160:U183" si="126">ROUND((T160*($D$162/100)),-2)</f>
        <v>65700</v>
      </c>
      <c r="V160" s="684">
        <f t="shared" ref="V160:V183" si="127">ROUND($G$163*I160,0)</f>
        <v>203296</v>
      </c>
      <c r="W160" s="684">
        <f t="shared" ref="W160:W183" si="128">ROUND(V160*105/100,0)</f>
        <v>213461</v>
      </c>
      <c r="X160" s="824">
        <f t="shared" si="113"/>
        <v>2500000</v>
      </c>
      <c r="Y160" s="684">
        <f t="shared" ref="Y160:Y183" si="129">IF((X160&gt;$Z$160),X160,$Z$160)</f>
        <v>2500000</v>
      </c>
      <c r="Z160" s="824">
        <f>G163*10</f>
        <v>1016480</v>
      </c>
      <c r="AA160" s="843">
        <v>0</v>
      </c>
      <c r="AB160" s="684">
        <f t="shared" ref="AB160:AB183" si="130">AA160+Y160+L160</f>
        <v>2745000</v>
      </c>
      <c r="AC160" s="685">
        <f t="shared" ref="AC160:AC183" si="131">IF((W160&gt;AB160),W160,AB160)</f>
        <v>2745000</v>
      </c>
      <c r="AD160" s="705">
        <f>IF(Main!$L$10="YES",Main!$N$10+AC160,AC160)</f>
        <v>2745000</v>
      </c>
      <c r="AE160" s="705">
        <f>IF(AND((Main!$E$9&gt;=18),(Main!$J$10="YES")),$Y$158+AD160,AD160)</f>
        <v>5245000</v>
      </c>
      <c r="AF160" s="705">
        <f t="shared" ref="AF160:AF183" si="132">IF(T160=0,0,X160*10%)</f>
        <v>250000</v>
      </c>
      <c r="AH160" s="705">
        <f t="shared" ref="AH160:AH183" si="133">AH159-AF160</f>
        <v>12687500</v>
      </c>
      <c r="AI160" s="705">
        <f>IF(AND((Main!$E$9&gt;=18),(Main!$J$10="YES")),$Y$158+AH160,AH160)</f>
        <v>15187500</v>
      </c>
      <c r="AL160" s="705">
        <f>Main!E11-Main!E9</f>
        <v>-5</v>
      </c>
      <c r="AN160" s="848">
        <v>2</v>
      </c>
      <c r="AO160" s="846" t="e">
        <f>C$13</f>
        <v>#N/A</v>
      </c>
      <c r="AP160" s="824">
        <f t="shared" ref="AP160:AP183" si="134">ROUND($B$52*(AN160/$AL$160),0)</f>
        <v>-1000000</v>
      </c>
      <c r="AQ160" s="705" t="e">
        <f t="shared" si="114"/>
        <v>#N/A</v>
      </c>
      <c r="AR160" s="825" t="e">
        <f t="shared" ref="AR160:AR183" si="135">AP160+AQ160</f>
        <v>#N/A</v>
      </c>
      <c r="AS160" s="829" t="e">
        <f t="shared" ref="AS160:AS183" si="136">ROUND((AR160*AO160/100),0)</f>
        <v>#N/A</v>
      </c>
      <c r="AT160" s="1173" t="e">
        <f>AM$13</f>
        <v>#N/A</v>
      </c>
      <c r="AU160" s="705" t="e">
        <f t="shared" ref="AU160:AU183" si="137">ROUND(($AL$161*AN160)*AT160,0)</f>
        <v>#N/A</v>
      </c>
      <c r="AV160" s="1173" t="e">
        <f>BX$13</f>
        <v>#N/A</v>
      </c>
      <c r="AW160" s="705" t="e">
        <f t="shared" ref="AW160:AW183" si="138">ROUND(AQ160*AV160,0)</f>
        <v>#N/A</v>
      </c>
      <c r="AX160" s="825" t="e">
        <f t="shared" ref="AX160:AX183" si="139">AU160+AW160</f>
        <v>#N/A</v>
      </c>
      <c r="AY160" s="825" t="e">
        <f t="shared" ref="AY160:AY183" si="140">IF(AX160&gt;AS160,AX160,AS160)</f>
        <v>#N/A</v>
      </c>
      <c r="AZ160" s="847" t="e">
        <f t="shared" ref="AZ160:AZ183" si="141">ROUND((AY160*($D$54/100)),-2)</f>
        <v>#N/A</v>
      </c>
      <c r="BA160" s="684">
        <f t="shared" ref="BA160:BA183" si="142">ROUND($AL$161*AN160,0)</f>
        <v>445110</v>
      </c>
      <c r="BB160" s="684">
        <f t="shared" ref="BB160:BB183" si="143">ROUND(BA160*105/100,0)</f>
        <v>467366</v>
      </c>
      <c r="BC160" s="824">
        <f t="shared" si="115"/>
        <v>2500000</v>
      </c>
      <c r="BD160" s="684">
        <f t="shared" si="116"/>
        <v>2500000</v>
      </c>
      <c r="BE160" s="824">
        <f>AL161*10</f>
        <v>2225550</v>
      </c>
      <c r="BF160" s="824">
        <v>0</v>
      </c>
      <c r="BG160" s="824" t="e">
        <f t="shared" ref="BG160:BG183" si="144">BF160+BD160+AQ160</f>
        <v>#N/A</v>
      </c>
      <c r="BH160" s="824" t="e">
        <f t="shared" si="117"/>
        <v>#N/A</v>
      </c>
      <c r="BT160" s="1170">
        <f>LOOKUP($C$52,BT162:CF162,BT161:CF161)</f>
        <v>6.8319715862816544E-2</v>
      </c>
      <c r="BY160" s="705">
        <v>833</v>
      </c>
      <c r="CJ160" s="1170">
        <f>LOOKUP($CH$162,CJ162:CK162,CJ161:CK161)</f>
        <v>0.16356525625091684</v>
      </c>
      <c r="CL160" s="1170">
        <f>LOOKUP($CH$162,CL162:CM162,CL161:CM161)</f>
        <v>0.10702416529213302</v>
      </c>
      <c r="CN160" s="1170">
        <f>LOOKUP($CH$162,CN162:CO162,CN161:CO161)</f>
        <v>7.4338067679357106E-2</v>
      </c>
      <c r="CS160" s="1170">
        <f>LOOKUP($CG$165,CS162:CU162,CS161:CU161)</f>
        <v>6.9417409644712685E-2</v>
      </c>
      <c r="CT160" s="705">
        <v>836</v>
      </c>
    </row>
    <row r="161" spans="2:99">
      <c r="I161" s="824">
        <v>3</v>
      </c>
      <c r="J161" s="846">
        <f>D$14</f>
        <v>19.829999999999998</v>
      </c>
      <c r="K161" s="705">
        <f t="shared" si="118"/>
        <v>300000</v>
      </c>
      <c r="L161" s="705">
        <f t="shared" si="119"/>
        <v>367500</v>
      </c>
      <c r="M161" s="825">
        <f t="shared" si="120"/>
        <v>667500</v>
      </c>
      <c r="N161" s="829">
        <f t="shared" si="121"/>
        <v>132365</v>
      </c>
      <c r="O161" s="1173">
        <f>AN$14</f>
        <v>0.3</v>
      </c>
      <c r="P161" s="705">
        <f t="shared" si="122"/>
        <v>91483</v>
      </c>
      <c r="Q161" s="1173">
        <f>BY$14</f>
        <v>0.15279999999999999</v>
      </c>
      <c r="R161" s="705">
        <f t="shared" si="123"/>
        <v>56154</v>
      </c>
      <c r="S161" s="825">
        <f t="shared" si="124"/>
        <v>147637</v>
      </c>
      <c r="T161" s="825">
        <f t="shared" si="125"/>
        <v>147637</v>
      </c>
      <c r="U161" s="847">
        <f t="shared" si="126"/>
        <v>118100</v>
      </c>
      <c r="V161" s="684">
        <f t="shared" si="127"/>
        <v>304944</v>
      </c>
      <c r="W161" s="684">
        <f t="shared" si="128"/>
        <v>320191</v>
      </c>
      <c r="X161" s="824">
        <f t="shared" si="113"/>
        <v>2500000</v>
      </c>
      <c r="Y161" s="684">
        <f t="shared" si="129"/>
        <v>2500000</v>
      </c>
      <c r="AA161" s="843">
        <v>0</v>
      </c>
      <c r="AB161" s="684">
        <f t="shared" si="130"/>
        <v>2867500</v>
      </c>
      <c r="AC161" s="685">
        <f t="shared" si="131"/>
        <v>2867500</v>
      </c>
      <c r="AD161" s="705">
        <f>IF(Main!$L$10="YES",Main!$N$10+AC161,AC161)</f>
        <v>2867500</v>
      </c>
      <c r="AE161" s="705">
        <f>IF(AND((Main!$E$9&gt;=18),(Main!$J$10="YES")),$Y$158+AD161,AD161)</f>
        <v>5367500</v>
      </c>
      <c r="AF161" s="705">
        <f t="shared" si="132"/>
        <v>250000</v>
      </c>
      <c r="AH161" s="705">
        <f t="shared" si="133"/>
        <v>12437500</v>
      </c>
      <c r="AI161" s="705">
        <f>IF(AND((Main!$E$9&gt;=18),(Main!$J$10="YES")),$Y$158+AH161,AH161)</f>
        <v>14937500</v>
      </c>
      <c r="AK161" s="846">
        <f>((DAT!E16*(100-DAT!F16)/100)-DAT!AA16)</f>
        <v>89.022000000000006</v>
      </c>
      <c r="AL161" s="705">
        <f>ROUND(AK161*B52/1000,0)</f>
        <v>222555</v>
      </c>
      <c r="AN161" s="848">
        <v>3</v>
      </c>
      <c r="AO161" s="846" t="e">
        <f>D$13</f>
        <v>#N/A</v>
      </c>
      <c r="AP161" s="824">
        <f t="shared" si="134"/>
        <v>-1500000</v>
      </c>
      <c r="AQ161" s="705" t="e">
        <f t="shared" si="114"/>
        <v>#N/A</v>
      </c>
      <c r="AR161" s="825" t="e">
        <f t="shared" si="135"/>
        <v>#N/A</v>
      </c>
      <c r="AS161" s="829" t="e">
        <f t="shared" si="136"/>
        <v>#N/A</v>
      </c>
      <c r="AT161" s="1173" t="e">
        <f>AN$13</f>
        <v>#N/A</v>
      </c>
      <c r="AU161" s="705" t="e">
        <f t="shared" si="137"/>
        <v>#N/A</v>
      </c>
      <c r="AV161" s="1173" t="e">
        <f>BY$13</f>
        <v>#N/A</v>
      </c>
      <c r="AW161" s="705" t="e">
        <f t="shared" si="138"/>
        <v>#N/A</v>
      </c>
      <c r="AX161" s="825" t="e">
        <f t="shared" si="139"/>
        <v>#N/A</v>
      </c>
      <c r="AY161" s="825" t="e">
        <f t="shared" si="140"/>
        <v>#N/A</v>
      </c>
      <c r="AZ161" s="847" t="e">
        <f t="shared" si="141"/>
        <v>#N/A</v>
      </c>
      <c r="BA161" s="684">
        <f t="shared" si="142"/>
        <v>667665</v>
      </c>
      <c r="BB161" s="684">
        <f t="shared" si="143"/>
        <v>701048</v>
      </c>
      <c r="BC161" s="824">
        <f t="shared" si="115"/>
        <v>2500000</v>
      </c>
      <c r="BD161" s="684">
        <f t="shared" si="116"/>
        <v>2500000</v>
      </c>
      <c r="BF161" s="824">
        <v>0</v>
      </c>
      <c r="BG161" s="824" t="e">
        <f t="shared" si="144"/>
        <v>#N/A</v>
      </c>
      <c r="BH161" s="824" t="e">
        <f t="shared" si="117"/>
        <v>#N/A</v>
      </c>
      <c r="BT161" s="845">
        <f>IRR(BT163:BT176)</f>
        <v>0.15870044236685679</v>
      </c>
      <c r="BU161" s="845">
        <f>IRR(BU163:BU177)</f>
        <v>0.14120537013916928</v>
      </c>
      <c r="BV161" s="845">
        <f>IRR(BV163:BV178)</f>
        <v>0.12786281679531886</v>
      </c>
      <c r="BW161" s="845">
        <f>IRR(BW163:BW179)</f>
        <v>0.11580324331881132</v>
      </c>
      <c r="BX161" s="845">
        <f>IRR(BX163:BX180)</f>
        <v>0.1055351057747769</v>
      </c>
      <c r="BY161" s="845">
        <f>IRR(BY163:BY181)</f>
        <v>9.6705500192235672E-2</v>
      </c>
      <c r="BZ161" s="845">
        <f>IRR(BZ163:BZ182)</f>
        <v>8.9461819524693426E-2</v>
      </c>
      <c r="CA161" s="845">
        <f>IRR(CA163:CA183)</f>
        <v>8.3309832244885862E-2</v>
      </c>
      <c r="CB161" s="845">
        <f>IRR(CB163:CB184)</f>
        <v>7.8229570667276593E-2</v>
      </c>
      <c r="CC161" s="845">
        <f>IRR(CC163:CC185)</f>
        <v>7.4343935518825621E-2</v>
      </c>
      <c r="CD161" s="845">
        <f>IRR(CD163:CD186)</f>
        <v>7.2273512285605648E-2</v>
      </c>
      <c r="CE161" s="845">
        <f>IRR(CE163:CE187)</f>
        <v>7.0262574071851824E-2</v>
      </c>
      <c r="CF161" s="845">
        <f>IRR(CF163:CF188)</f>
        <v>6.8319715862816544E-2</v>
      </c>
      <c r="CJ161" s="845">
        <f>IRR(CJ163:CJ174)</f>
        <v>0.16356525625091684</v>
      </c>
      <c r="CK161" s="845">
        <f>IRR(CK163:CK174)</f>
        <v>0.15518432793993439</v>
      </c>
      <c r="CL161" s="845">
        <f>IRR(CL163:CL178)</f>
        <v>0.10702416529213302</v>
      </c>
      <c r="CM161" s="845">
        <f>IRR(CM163:CM178)</f>
        <v>0.10002950233674407</v>
      </c>
      <c r="CN161" s="845">
        <f>IRR(CN163:CN183)</f>
        <v>7.4338067679357106E-2</v>
      </c>
      <c r="CO161" s="845">
        <f>IRR(CO163:CO183)</f>
        <v>6.8790251763064039E-2</v>
      </c>
      <c r="CS161" s="845">
        <f>IRR(CS163:CS178)</f>
        <v>0.17123945092680304</v>
      </c>
      <c r="CT161" s="845">
        <f>IRR(CT163:CT183)</f>
        <v>0.10255039641803897</v>
      </c>
      <c r="CU161" s="845">
        <f>IRR(CU163:CU187)</f>
        <v>6.9417409644712685E-2</v>
      </c>
    </row>
    <row r="162" spans="2:99">
      <c r="C162" s="1172">
        <f>LOOKUP($C$52,$B163:$B175,C163:C175)</f>
        <v>49</v>
      </c>
      <c r="D162" s="1172">
        <f>LOOKUP($C$52,$B163:$B175,D163:D175)</f>
        <v>80</v>
      </c>
      <c r="I162" s="824">
        <v>4</v>
      </c>
      <c r="J162" s="846">
        <f>E$14</f>
        <v>21.31</v>
      </c>
      <c r="K162" s="705">
        <f t="shared" si="118"/>
        <v>400000</v>
      </c>
      <c r="L162" s="705">
        <f t="shared" si="119"/>
        <v>490000</v>
      </c>
      <c r="M162" s="825">
        <f t="shared" si="120"/>
        <v>890000</v>
      </c>
      <c r="N162" s="829">
        <f t="shared" si="121"/>
        <v>189659</v>
      </c>
      <c r="O162" s="1173">
        <f>AO$14</f>
        <v>0.5</v>
      </c>
      <c r="P162" s="705">
        <f t="shared" si="122"/>
        <v>203296</v>
      </c>
      <c r="Q162" s="1173">
        <f>BZ$14</f>
        <v>0.1542</v>
      </c>
      <c r="R162" s="705">
        <f t="shared" si="123"/>
        <v>75558</v>
      </c>
      <c r="S162" s="825">
        <f t="shared" si="124"/>
        <v>278854</v>
      </c>
      <c r="T162" s="825">
        <f t="shared" si="125"/>
        <v>278854</v>
      </c>
      <c r="U162" s="847">
        <f t="shared" si="126"/>
        <v>223100</v>
      </c>
      <c r="V162" s="684">
        <f t="shared" si="127"/>
        <v>406592</v>
      </c>
      <c r="W162" s="684">
        <f t="shared" si="128"/>
        <v>426922</v>
      </c>
      <c r="X162" s="824">
        <f t="shared" si="113"/>
        <v>2500000</v>
      </c>
      <c r="Y162" s="684">
        <f t="shared" si="129"/>
        <v>2500000</v>
      </c>
      <c r="AA162" s="843">
        <v>0</v>
      </c>
      <c r="AB162" s="684">
        <f t="shared" si="130"/>
        <v>2990000</v>
      </c>
      <c r="AC162" s="685">
        <f t="shared" si="131"/>
        <v>2990000</v>
      </c>
      <c r="AD162" s="705">
        <f>IF(Main!$L$10="YES",Main!$N$10+AC162,AC162)</f>
        <v>2990000</v>
      </c>
      <c r="AE162" s="705">
        <f>IF(AND((Main!$E$9&gt;=18),(Main!$J$10="YES")),$Y$158+AD162,AD162)</f>
        <v>5490000</v>
      </c>
      <c r="AF162" s="705">
        <f t="shared" si="132"/>
        <v>250000</v>
      </c>
      <c r="AH162" s="705">
        <f t="shared" si="133"/>
        <v>12187500</v>
      </c>
      <c r="AI162" s="705">
        <f>IF(AND((Main!$E$9&gt;=18),(Main!$J$10="YES")),$Y$158+AH162,AH162)</f>
        <v>14687500</v>
      </c>
      <c r="AN162" s="848">
        <v>4</v>
      </c>
      <c r="AO162" s="846" t="e">
        <f>E$13</f>
        <v>#N/A</v>
      </c>
      <c r="AP162" s="824">
        <f t="shared" si="134"/>
        <v>-2000000</v>
      </c>
      <c r="AQ162" s="705" t="e">
        <f t="shared" si="114"/>
        <v>#N/A</v>
      </c>
      <c r="AR162" s="825" t="e">
        <f t="shared" si="135"/>
        <v>#N/A</v>
      </c>
      <c r="AS162" s="829" t="e">
        <f t="shared" si="136"/>
        <v>#N/A</v>
      </c>
      <c r="AT162" s="1173" t="e">
        <f>AO$13</f>
        <v>#N/A</v>
      </c>
      <c r="AU162" s="705" t="e">
        <f t="shared" si="137"/>
        <v>#N/A</v>
      </c>
      <c r="AV162" s="1173" t="e">
        <f>BZ$13</f>
        <v>#N/A</v>
      </c>
      <c r="AW162" s="705" t="e">
        <f t="shared" si="138"/>
        <v>#N/A</v>
      </c>
      <c r="AX162" s="825" t="e">
        <f t="shared" si="139"/>
        <v>#N/A</v>
      </c>
      <c r="AY162" s="825" t="e">
        <f t="shared" si="140"/>
        <v>#N/A</v>
      </c>
      <c r="AZ162" s="847" t="e">
        <f t="shared" si="141"/>
        <v>#N/A</v>
      </c>
      <c r="BA162" s="684">
        <f t="shared" si="142"/>
        <v>890220</v>
      </c>
      <c r="BB162" s="684">
        <f t="shared" si="143"/>
        <v>934731</v>
      </c>
      <c r="BC162" s="824">
        <f t="shared" si="115"/>
        <v>2500000</v>
      </c>
      <c r="BD162" s="684">
        <f t="shared" si="116"/>
        <v>2500000</v>
      </c>
      <c r="BF162" s="824">
        <v>0</v>
      </c>
      <c r="BG162" s="824" t="e">
        <f t="shared" si="144"/>
        <v>#N/A</v>
      </c>
      <c r="BH162" s="824" t="e">
        <f t="shared" si="117"/>
        <v>#N/A</v>
      </c>
      <c r="BT162" s="843">
        <v>13</v>
      </c>
      <c r="BU162" s="843">
        <v>14</v>
      </c>
      <c r="BV162" s="843">
        <v>15</v>
      </c>
      <c r="BW162" s="843">
        <v>16</v>
      </c>
      <c r="BX162" s="843">
        <v>17</v>
      </c>
      <c r="BY162" s="843">
        <v>18</v>
      </c>
      <c r="BZ162" s="843">
        <v>19</v>
      </c>
      <c r="CA162" s="843">
        <v>20</v>
      </c>
      <c r="CB162" s="843">
        <v>21</v>
      </c>
      <c r="CC162" s="843">
        <v>22</v>
      </c>
      <c r="CD162" s="843">
        <v>23</v>
      </c>
      <c r="CE162" s="843">
        <v>24</v>
      </c>
      <c r="CF162" s="843">
        <v>25</v>
      </c>
      <c r="CH162" s="1177">
        <f>Main!G$12</f>
        <v>8</v>
      </c>
      <c r="CJ162" s="705">
        <v>8</v>
      </c>
      <c r="CK162" s="705">
        <v>9</v>
      </c>
      <c r="CL162" s="705">
        <v>8</v>
      </c>
      <c r="CM162" s="705">
        <v>9</v>
      </c>
      <c r="CN162" s="705">
        <v>8</v>
      </c>
      <c r="CO162" s="705">
        <v>9</v>
      </c>
      <c r="CS162" s="705">
        <v>16</v>
      </c>
      <c r="CT162" s="705">
        <v>21</v>
      </c>
      <c r="CU162" s="705">
        <v>25</v>
      </c>
    </row>
    <row r="163" spans="2:99">
      <c r="B163" s="843">
        <v>13</v>
      </c>
      <c r="C163" s="843">
        <v>41</v>
      </c>
      <c r="D163" s="843">
        <v>90</v>
      </c>
      <c r="F163" s="846">
        <f>((DAT!E17*(100-DAT!F17)/100)-DAT!AA17)</f>
        <v>40.658999999999999</v>
      </c>
      <c r="G163" s="705">
        <f>ROUND(F163*B52/1000,0)</f>
        <v>101648</v>
      </c>
      <c r="I163" s="824">
        <v>5</v>
      </c>
      <c r="J163" s="846">
        <f>F$14</f>
        <v>22.91</v>
      </c>
      <c r="K163" s="705">
        <f t="shared" si="118"/>
        <v>500000</v>
      </c>
      <c r="L163" s="705">
        <f t="shared" si="119"/>
        <v>612500</v>
      </c>
      <c r="M163" s="825">
        <f t="shared" si="120"/>
        <v>1112500</v>
      </c>
      <c r="N163" s="829">
        <f t="shared" si="121"/>
        <v>254874</v>
      </c>
      <c r="O163" s="1173">
        <f>AP$14</f>
        <v>0.5</v>
      </c>
      <c r="P163" s="705">
        <f t="shared" si="122"/>
        <v>254120</v>
      </c>
      <c r="Q163" s="1173">
        <f>CA$14</f>
        <v>0.1555</v>
      </c>
      <c r="R163" s="705">
        <f t="shared" si="123"/>
        <v>95244</v>
      </c>
      <c r="S163" s="825">
        <f t="shared" si="124"/>
        <v>349364</v>
      </c>
      <c r="T163" s="825">
        <f t="shared" si="125"/>
        <v>349364</v>
      </c>
      <c r="U163" s="847">
        <f t="shared" si="126"/>
        <v>279500</v>
      </c>
      <c r="V163" s="684">
        <f t="shared" si="127"/>
        <v>508240</v>
      </c>
      <c r="W163" s="684">
        <f t="shared" si="128"/>
        <v>533652</v>
      </c>
      <c r="X163" s="824">
        <f t="shared" si="113"/>
        <v>2500000</v>
      </c>
      <c r="Y163" s="684">
        <f t="shared" si="129"/>
        <v>2500000</v>
      </c>
      <c r="Z163" s="705">
        <f t="shared" ref="Z163:Z183" si="145">IF(J163=0,$AC$186,$AC$185)</f>
        <v>250000</v>
      </c>
      <c r="AA163" s="843">
        <v>0</v>
      </c>
      <c r="AB163" s="684">
        <f t="shared" si="130"/>
        <v>3112500</v>
      </c>
      <c r="AC163" s="685">
        <f t="shared" si="131"/>
        <v>3112500</v>
      </c>
      <c r="AD163" s="705">
        <f>IF(Main!$L$10="YES",Main!$N$10+AC163,AC163)</f>
        <v>3112500</v>
      </c>
      <c r="AE163" s="705">
        <f>IF(AND((Main!$E$9&gt;=18),(Main!$J$10="YES")),$Y$158+AD163,AD163)</f>
        <v>5612500</v>
      </c>
      <c r="AF163" s="705">
        <f t="shared" si="132"/>
        <v>250000</v>
      </c>
      <c r="AH163" s="705">
        <f t="shared" si="133"/>
        <v>11937500</v>
      </c>
      <c r="AI163" s="705">
        <f>IF(AND((Main!$E$9&gt;=18),(Main!$J$10="YES")),$Y$158+AH163,AH163)</f>
        <v>14437500</v>
      </c>
      <c r="AN163" s="848">
        <v>5</v>
      </c>
      <c r="AO163" s="846" t="e">
        <f>F$13</f>
        <v>#N/A</v>
      </c>
      <c r="AP163" s="824">
        <f t="shared" si="134"/>
        <v>-2500000</v>
      </c>
      <c r="AQ163" s="705" t="e">
        <f t="shared" si="114"/>
        <v>#N/A</v>
      </c>
      <c r="AR163" s="825" t="e">
        <f t="shared" si="135"/>
        <v>#N/A</v>
      </c>
      <c r="AS163" s="829" t="e">
        <f t="shared" si="136"/>
        <v>#N/A</v>
      </c>
      <c r="AT163" s="1173" t="e">
        <f>AP$13</f>
        <v>#N/A</v>
      </c>
      <c r="AU163" s="705" t="e">
        <f t="shared" si="137"/>
        <v>#N/A</v>
      </c>
      <c r="AV163" s="1173" t="e">
        <f>CA$13</f>
        <v>#N/A</v>
      </c>
      <c r="AW163" s="705" t="e">
        <f t="shared" si="138"/>
        <v>#N/A</v>
      </c>
      <c r="AX163" s="825" t="e">
        <f t="shared" si="139"/>
        <v>#N/A</v>
      </c>
      <c r="AY163" s="825" t="e">
        <f t="shared" si="140"/>
        <v>#N/A</v>
      </c>
      <c r="AZ163" s="847" t="e">
        <f t="shared" si="141"/>
        <v>#N/A</v>
      </c>
      <c r="BA163" s="684">
        <f t="shared" si="142"/>
        <v>1112775</v>
      </c>
      <c r="BB163" s="684">
        <f t="shared" si="143"/>
        <v>1168414</v>
      </c>
      <c r="BC163" s="824">
        <f t="shared" si="115"/>
        <v>2500000</v>
      </c>
      <c r="BD163" s="684">
        <f t="shared" si="116"/>
        <v>2500000</v>
      </c>
      <c r="BF163" s="824">
        <v>0</v>
      </c>
      <c r="BG163" s="824" t="e">
        <f t="shared" si="144"/>
        <v>#N/A</v>
      </c>
      <c r="BH163" s="824" t="e">
        <f t="shared" si="117"/>
        <v>#N/A</v>
      </c>
      <c r="BS163" s="705">
        <v>1</v>
      </c>
      <c r="BT163" s="705">
        <f>-DAT!$AT$17</f>
        <v>-109096</v>
      </c>
      <c r="BU163" s="705">
        <f>-DAT!$AT$17</f>
        <v>-109096</v>
      </c>
      <c r="BV163" s="705">
        <f>-DAT!$AT$17</f>
        <v>-109096</v>
      </c>
      <c r="BW163" s="705">
        <f>-DAT!$AT$17</f>
        <v>-109096</v>
      </c>
      <c r="BX163" s="705">
        <f>-DAT!$AT$17</f>
        <v>-109096</v>
      </c>
      <c r="BY163" s="705">
        <f>-DAT!$AT$17</f>
        <v>-109096</v>
      </c>
      <c r="BZ163" s="705">
        <f>-DAT!$AT$17</f>
        <v>-109096</v>
      </c>
      <c r="CA163" s="705">
        <f>-DAT!$AT$17</f>
        <v>-109096</v>
      </c>
      <c r="CB163" s="705">
        <f>-DAT!$AT$17</f>
        <v>-109096</v>
      </c>
      <c r="CC163" s="705">
        <f>-DAT!$AT$17</f>
        <v>-109096</v>
      </c>
      <c r="CD163" s="705">
        <f>-DAT!$AT$17</f>
        <v>-109096</v>
      </c>
      <c r="CE163" s="705">
        <f>-DAT!$AT$17</f>
        <v>-109096</v>
      </c>
      <c r="CF163" s="705">
        <f>-DAT!$AT$17</f>
        <v>-109096</v>
      </c>
      <c r="CI163" s="705">
        <v>1</v>
      </c>
      <c r="CJ163" s="705">
        <f>-DAT!$AT$15</f>
        <v>-206803</v>
      </c>
      <c r="CK163" s="705">
        <f>-DAT!$AT$15</f>
        <v>-206803</v>
      </c>
      <c r="CL163" s="705">
        <f>-DAT!$AT$15</f>
        <v>-206803</v>
      </c>
      <c r="CM163" s="705">
        <f>-DAT!$AT$15</f>
        <v>-206803</v>
      </c>
      <c r="CN163" s="705">
        <f>-DAT!$AT$15</f>
        <v>-206803</v>
      </c>
      <c r="CO163" s="705">
        <f>-DAT!$AT$15</f>
        <v>-206803</v>
      </c>
      <c r="CR163" s="705">
        <v>1</v>
      </c>
      <c r="CS163" s="705">
        <f>-DAT!$AT$19</f>
        <v>-118132</v>
      </c>
      <c r="CT163" s="705">
        <f>-DAT!$AT$19</f>
        <v>-118132</v>
      </c>
      <c r="CU163" s="705">
        <f>-DAT!$AT$19</f>
        <v>-118132</v>
      </c>
    </row>
    <row r="164" spans="2:99">
      <c r="B164" s="843">
        <v>14</v>
      </c>
      <c r="C164" s="843">
        <v>41</v>
      </c>
      <c r="D164" s="843">
        <v>90</v>
      </c>
      <c r="I164" s="824">
        <v>6</v>
      </c>
      <c r="J164" s="846">
        <f>G$14</f>
        <v>24.63</v>
      </c>
      <c r="K164" s="705">
        <f t="shared" si="118"/>
        <v>600000</v>
      </c>
      <c r="L164" s="705">
        <f t="shared" si="119"/>
        <v>735000</v>
      </c>
      <c r="M164" s="825">
        <f t="shared" si="120"/>
        <v>1335000</v>
      </c>
      <c r="N164" s="829">
        <f t="shared" si="121"/>
        <v>328811</v>
      </c>
      <c r="O164" s="1173">
        <f>AQ$14</f>
        <v>0.5</v>
      </c>
      <c r="P164" s="705">
        <f t="shared" si="122"/>
        <v>304944</v>
      </c>
      <c r="Q164" s="1173">
        <f>CB$14</f>
        <v>0.15720000000000001</v>
      </c>
      <c r="R164" s="705">
        <f t="shared" si="123"/>
        <v>115542</v>
      </c>
      <c r="S164" s="825">
        <f t="shared" si="124"/>
        <v>420486</v>
      </c>
      <c r="T164" s="825">
        <f t="shared" si="125"/>
        <v>420486</v>
      </c>
      <c r="U164" s="847">
        <f t="shared" si="126"/>
        <v>336400</v>
      </c>
      <c r="V164" s="684">
        <f t="shared" si="127"/>
        <v>609888</v>
      </c>
      <c r="W164" s="684">
        <f t="shared" si="128"/>
        <v>640382</v>
      </c>
      <c r="X164" s="824">
        <f t="shared" si="113"/>
        <v>2500000</v>
      </c>
      <c r="Y164" s="684">
        <f t="shared" si="129"/>
        <v>2500000</v>
      </c>
      <c r="Z164" s="705">
        <f t="shared" si="145"/>
        <v>250000</v>
      </c>
      <c r="AA164" s="843">
        <v>0</v>
      </c>
      <c r="AB164" s="684">
        <f t="shared" si="130"/>
        <v>3235000</v>
      </c>
      <c r="AC164" s="685">
        <f t="shared" si="131"/>
        <v>3235000</v>
      </c>
      <c r="AD164" s="705">
        <f>IF(Main!$L$10="YES",Main!$N$10+AC164,AC164)</f>
        <v>3235000</v>
      </c>
      <c r="AE164" s="705">
        <f>IF(AND((Main!$E$9&gt;=18),(Main!$J$10="YES")),$Y$158+AD164,AD164)</f>
        <v>5735000</v>
      </c>
      <c r="AF164" s="705">
        <f t="shared" si="132"/>
        <v>250000</v>
      </c>
      <c r="AH164" s="705">
        <f t="shared" si="133"/>
        <v>11687500</v>
      </c>
      <c r="AI164" s="705">
        <f>IF(AND((Main!$E$9&gt;=18),(Main!$J$10="YES")),$Y$158+AH164,AH164)</f>
        <v>14187500</v>
      </c>
      <c r="AN164" s="848">
        <v>6</v>
      </c>
      <c r="AO164" s="846" t="e">
        <f>G$13</f>
        <v>#N/A</v>
      </c>
      <c r="AP164" s="824">
        <f t="shared" si="134"/>
        <v>-3000000</v>
      </c>
      <c r="AQ164" s="705" t="e">
        <f t="shared" si="114"/>
        <v>#N/A</v>
      </c>
      <c r="AR164" s="825" t="e">
        <f t="shared" si="135"/>
        <v>#N/A</v>
      </c>
      <c r="AS164" s="829" t="e">
        <f t="shared" si="136"/>
        <v>#N/A</v>
      </c>
      <c r="AT164" s="1173" t="e">
        <f>AQ$13</f>
        <v>#N/A</v>
      </c>
      <c r="AU164" s="705" t="e">
        <f t="shared" si="137"/>
        <v>#N/A</v>
      </c>
      <c r="AV164" s="1173" t="e">
        <f>CB$13</f>
        <v>#N/A</v>
      </c>
      <c r="AW164" s="705" t="e">
        <f t="shared" si="138"/>
        <v>#N/A</v>
      </c>
      <c r="AX164" s="825" t="e">
        <f t="shared" si="139"/>
        <v>#N/A</v>
      </c>
      <c r="AY164" s="825" t="e">
        <f t="shared" si="140"/>
        <v>#N/A</v>
      </c>
      <c r="AZ164" s="847" t="e">
        <f t="shared" si="141"/>
        <v>#N/A</v>
      </c>
      <c r="BA164" s="684">
        <f t="shared" si="142"/>
        <v>1335330</v>
      </c>
      <c r="BB164" s="684">
        <f t="shared" si="143"/>
        <v>1402097</v>
      </c>
      <c r="BC164" s="824">
        <f t="shared" si="115"/>
        <v>2500000</v>
      </c>
      <c r="BD164" s="684">
        <f t="shared" si="116"/>
        <v>2500000</v>
      </c>
      <c r="BF164" s="824">
        <v>0</v>
      </c>
      <c r="BG164" s="824" t="e">
        <f t="shared" si="144"/>
        <v>#N/A</v>
      </c>
      <c r="BH164" s="824" t="e">
        <f t="shared" si="117"/>
        <v>#N/A</v>
      </c>
      <c r="BS164" s="824">
        <v>2</v>
      </c>
      <c r="BT164" s="705">
        <f>-DAT!$AY$17</f>
        <v>-106747</v>
      </c>
      <c r="BU164" s="705">
        <f>-DAT!$AY$17</f>
        <v>-106747</v>
      </c>
      <c r="BV164" s="705">
        <f>-DAT!$AY$17</f>
        <v>-106747</v>
      </c>
      <c r="BW164" s="705">
        <f>-DAT!$AY$17</f>
        <v>-106747</v>
      </c>
      <c r="BX164" s="705">
        <f>-DAT!$AY$17</f>
        <v>-106747</v>
      </c>
      <c r="BY164" s="705">
        <f>-DAT!$AY$17</f>
        <v>-106747</v>
      </c>
      <c r="BZ164" s="705">
        <f>-DAT!$AY$17</f>
        <v>-106747</v>
      </c>
      <c r="CA164" s="705">
        <f>-DAT!$AY$17</f>
        <v>-106747</v>
      </c>
      <c r="CB164" s="705">
        <f>-DAT!$AY$17</f>
        <v>-106747</v>
      </c>
      <c r="CC164" s="705">
        <f>-DAT!$AY$17</f>
        <v>-106747</v>
      </c>
      <c r="CD164" s="705">
        <f>-DAT!$AY$17</f>
        <v>-106747</v>
      </c>
      <c r="CE164" s="705">
        <f>-DAT!$AY$17</f>
        <v>-106747</v>
      </c>
      <c r="CF164" s="705">
        <f>-DAT!$AY$17</f>
        <v>-106747</v>
      </c>
      <c r="CI164" s="824">
        <v>2</v>
      </c>
      <c r="CJ164" s="705">
        <f>-DAT!$AY$15</f>
        <v>-202351</v>
      </c>
      <c r="CK164" s="705">
        <f>-DAT!$AY$15</f>
        <v>-202351</v>
      </c>
      <c r="CL164" s="705">
        <f>-DAT!$AY$15</f>
        <v>-202351</v>
      </c>
      <c r="CM164" s="705">
        <f>-DAT!$AY$15</f>
        <v>-202351</v>
      </c>
      <c r="CN164" s="705">
        <f>-DAT!$AY$15</f>
        <v>-202351</v>
      </c>
      <c r="CO164" s="705">
        <f>-DAT!$AY$15</f>
        <v>-202351</v>
      </c>
      <c r="CR164" s="824">
        <v>2</v>
      </c>
      <c r="CS164" s="705">
        <f>-DAT!$AY$19</f>
        <v>-115589</v>
      </c>
      <c r="CT164" s="705">
        <f>-DAT!$AY$19</f>
        <v>-115589</v>
      </c>
      <c r="CU164" s="705">
        <f>-DAT!$AY$19</f>
        <v>-115589</v>
      </c>
    </row>
    <row r="165" spans="2:99">
      <c r="B165" s="843">
        <v>15</v>
      </c>
      <c r="C165" s="843">
        <v>41</v>
      </c>
      <c r="D165" s="843">
        <v>90</v>
      </c>
      <c r="I165" s="824">
        <v>7</v>
      </c>
      <c r="J165" s="846">
        <f>H$14</f>
        <v>26.48</v>
      </c>
      <c r="K165" s="705">
        <f t="shared" si="118"/>
        <v>700000</v>
      </c>
      <c r="L165" s="705">
        <f t="shared" si="119"/>
        <v>857500</v>
      </c>
      <c r="M165" s="825">
        <f t="shared" si="120"/>
        <v>1557500</v>
      </c>
      <c r="N165" s="829">
        <f t="shared" si="121"/>
        <v>412426</v>
      </c>
      <c r="O165" s="1173">
        <f>AR$14</f>
        <v>0.5</v>
      </c>
      <c r="P165" s="705">
        <f t="shared" si="122"/>
        <v>355768</v>
      </c>
      <c r="Q165" s="1173">
        <f>CC$14</f>
        <v>0.1593</v>
      </c>
      <c r="R165" s="705">
        <f t="shared" si="123"/>
        <v>136600</v>
      </c>
      <c r="S165" s="825">
        <f t="shared" si="124"/>
        <v>492368</v>
      </c>
      <c r="T165" s="825">
        <f t="shared" si="125"/>
        <v>492368</v>
      </c>
      <c r="U165" s="847">
        <f t="shared" si="126"/>
        <v>393900</v>
      </c>
      <c r="V165" s="684">
        <f t="shared" si="127"/>
        <v>711536</v>
      </c>
      <c r="W165" s="684">
        <f t="shared" si="128"/>
        <v>747113</v>
      </c>
      <c r="X165" s="824">
        <f t="shared" si="113"/>
        <v>2500000</v>
      </c>
      <c r="Y165" s="684">
        <f t="shared" si="129"/>
        <v>2500000</v>
      </c>
      <c r="Z165" s="705">
        <f t="shared" si="145"/>
        <v>250000</v>
      </c>
      <c r="AA165" s="843">
        <v>0</v>
      </c>
      <c r="AB165" s="684">
        <f t="shared" si="130"/>
        <v>3357500</v>
      </c>
      <c r="AC165" s="685">
        <f t="shared" si="131"/>
        <v>3357500</v>
      </c>
      <c r="AD165" s="705">
        <f>IF(Main!$L$10="YES",Main!$N$10+AC165,AC165)</f>
        <v>3357500</v>
      </c>
      <c r="AE165" s="705">
        <f>IF(AND((Main!$E$9&gt;=18),(Main!$J$10="YES")),$Y$158+AD165,AD165)</f>
        <v>5857500</v>
      </c>
      <c r="AF165" s="705">
        <f t="shared" si="132"/>
        <v>250000</v>
      </c>
      <c r="AH165" s="705">
        <f t="shared" si="133"/>
        <v>11437500</v>
      </c>
      <c r="AI165" s="705">
        <f>IF(AND((Main!$E$9&gt;=18),(Main!$J$10="YES")),$Y$158+AH165,AH165)</f>
        <v>13937500</v>
      </c>
      <c r="AK165" s="848">
        <f>BC159*40%</f>
        <v>1000000</v>
      </c>
      <c r="AN165" s="848">
        <v>7</v>
      </c>
      <c r="AO165" s="846" t="e">
        <f>H$13</f>
        <v>#N/A</v>
      </c>
      <c r="AP165" s="824">
        <f t="shared" si="134"/>
        <v>-3500000</v>
      </c>
      <c r="AQ165" s="705" t="e">
        <f t="shared" si="114"/>
        <v>#N/A</v>
      </c>
      <c r="AR165" s="825" t="e">
        <f t="shared" si="135"/>
        <v>#N/A</v>
      </c>
      <c r="AS165" s="829" t="e">
        <f t="shared" si="136"/>
        <v>#N/A</v>
      </c>
      <c r="AT165" s="1173" t="e">
        <f>AR$13</f>
        <v>#N/A</v>
      </c>
      <c r="AU165" s="705" t="e">
        <f t="shared" si="137"/>
        <v>#N/A</v>
      </c>
      <c r="AV165" s="1173" t="e">
        <f>CC$13</f>
        <v>#N/A</v>
      </c>
      <c r="AW165" s="705" t="e">
        <f t="shared" si="138"/>
        <v>#N/A</v>
      </c>
      <c r="AX165" s="825" t="e">
        <f t="shared" si="139"/>
        <v>#N/A</v>
      </c>
      <c r="AY165" s="825" t="e">
        <f t="shared" si="140"/>
        <v>#N/A</v>
      </c>
      <c r="AZ165" s="847" t="e">
        <f t="shared" si="141"/>
        <v>#N/A</v>
      </c>
      <c r="BA165" s="684">
        <f t="shared" si="142"/>
        <v>1557885</v>
      </c>
      <c r="BB165" s="684">
        <f t="shared" si="143"/>
        <v>1635779</v>
      </c>
      <c r="BC165" s="824">
        <f t="shared" si="115"/>
        <v>2500000</v>
      </c>
      <c r="BD165" s="684">
        <f t="shared" si="116"/>
        <v>2500000</v>
      </c>
      <c r="BF165" s="824">
        <v>0</v>
      </c>
      <c r="BG165" s="824" t="e">
        <f t="shared" si="144"/>
        <v>#N/A</v>
      </c>
      <c r="BH165" s="824" t="e">
        <f t="shared" si="117"/>
        <v>#N/A</v>
      </c>
      <c r="BS165" s="824">
        <v>3</v>
      </c>
      <c r="BT165" s="705">
        <f>-DAT!$AY$17</f>
        <v>-106747</v>
      </c>
      <c r="BU165" s="705">
        <f>-DAT!$AY$17</f>
        <v>-106747</v>
      </c>
      <c r="BV165" s="705">
        <f>-DAT!$AY$17</f>
        <v>-106747</v>
      </c>
      <c r="BW165" s="705">
        <f>-DAT!$AY$17</f>
        <v>-106747</v>
      </c>
      <c r="BX165" s="705">
        <f>-DAT!$AY$17</f>
        <v>-106747</v>
      </c>
      <c r="BY165" s="705">
        <f>-DAT!$AY$17</f>
        <v>-106747</v>
      </c>
      <c r="BZ165" s="705">
        <f>-DAT!$AY$17</f>
        <v>-106747</v>
      </c>
      <c r="CA165" s="705">
        <f>-DAT!$AY$17</f>
        <v>-106747</v>
      </c>
      <c r="CB165" s="705">
        <f>-DAT!$AY$17</f>
        <v>-106747</v>
      </c>
      <c r="CC165" s="705">
        <f>-DAT!$AY$17</f>
        <v>-106747</v>
      </c>
      <c r="CD165" s="705">
        <f>-DAT!$AY$17</f>
        <v>-106747</v>
      </c>
      <c r="CE165" s="705">
        <f>-DAT!$AY$17</f>
        <v>-106747</v>
      </c>
      <c r="CF165" s="705">
        <f>-DAT!$AY$17</f>
        <v>-106747</v>
      </c>
      <c r="CG165" s="1177">
        <f>Main!E$11</f>
        <v>25</v>
      </c>
      <c r="CH165" s="1170">
        <f>LOOKUP($CG$165,CG166:CG168,CH166:CH168)</f>
        <v>7.4338067679357106E-2</v>
      </c>
      <c r="CI165" s="824">
        <v>3</v>
      </c>
      <c r="CJ165" s="705">
        <f>-DAT!$AY$15</f>
        <v>-202351</v>
      </c>
      <c r="CK165" s="705">
        <f>-DAT!$AY$15</f>
        <v>-202351</v>
      </c>
      <c r="CL165" s="705">
        <f>-DAT!$AY$15</f>
        <v>-202351</v>
      </c>
      <c r="CM165" s="705">
        <f>-DAT!$AY$15</f>
        <v>-202351</v>
      </c>
      <c r="CN165" s="705">
        <f>-DAT!$AY$15</f>
        <v>-202351</v>
      </c>
      <c r="CO165" s="705">
        <f>-DAT!$AY$15</f>
        <v>-202351</v>
      </c>
      <c r="CR165" s="824">
        <v>3</v>
      </c>
      <c r="CS165" s="705">
        <f>-DAT!$AY$19</f>
        <v>-115589</v>
      </c>
      <c r="CT165" s="705">
        <f>-DAT!$AY$19</f>
        <v>-115589</v>
      </c>
      <c r="CU165" s="705">
        <f>-DAT!$AY$19</f>
        <v>-115589</v>
      </c>
    </row>
    <row r="166" spans="2:99">
      <c r="B166" s="843">
        <v>16</v>
      </c>
      <c r="C166" s="843">
        <v>45</v>
      </c>
      <c r="D166" s="843">
        <v>90</v>
      </c>
      <c r="I166" s="824">
        <v>8</v>
      </c>
      <c r="J166" s="846">
        <f>I$14</f>
        <v>28.47</v>
      </c>
      <c r="K166" s="705">
        <f t="shared" si="118"/>
        <v>800000</v>
      </c>
      <c r="L166" s="705">
        <f t="shared" si="119"/>
        <v>980000</v>
      </c>
      <c r="M166" s="825">
        <f t="shared" si="120"/>
        <v>1780000</v>
      </c>
      <c r="N166" s="829">
        <f t="shared" si="121"/>
        <v>506766</v>
      </c>
      <c r="O166" s="1173">
        <f>AS$14</f>
        <v>0.51759999999999995</v>
      </c>
      <c r="P166" s="705">
        <f t="shared" si="122"/>
        <v>420904</v>
      </c>
      <c r="Q166" s="1173">
        <f>CD$14</f>
        <v>0.16220000000000001</v>
      </c>
      <c r="R166" s="705">
        <f t="shared" si="123"/>
        <v>158956</v>
      </c>
      <c r="S166" s="825">
        <f t="shared" si="124"/>
        <v>579860</v>
      </c>
      <c r="T166" s="825">
        <f t="shared" si="125"/>
        <v>579860</v>
      </c>
      <c r="U166" s="847">
        <f t="shared" si="126"/>
        <v>463900</v>
      </c>
      <c r="V166" s="684">
        <f t="shared" si="127"/>
        <v>813184</v>
      </c>
      <c r="W166" s="684">
        <f t="shared" si="128"/>
        <v>853843</v>
      </c>
      <c r="X166" s="824">
        <f t="shared" si="113"/>
        <v>2500000</v>
      </c>
      <c r="Y166" s="684">
        <f t="shared" si="129"/>
        <v>2500000</v>
      </c>
      <c r="Z166" s="705">
        <f t="shared" si="145"/>
        <v>250000</v>
      </c>
      <c r="AA166" s="843">
        <v>0</v>
      </c>
      <c r="AB166" s="684">
        <f t="shared" si="130"/>
        <v>3480000</v>
      </c>
      <c r="AC166" s="685">
        <f t="shared" si="131"/>
        <v>3480000</v>
      </c>
      <c r="AD166" s="705">
        <f>IF(Main!$L$10="YES",Main!$N$10+AC166,AC166)</f>
        <v>3480000</v>
      </c>
      <c r="AE166" s="705">
        <f>IF(AND((Main!$E$9&gt;=18),(Main!$J$10="YES")),$Y$158+AD166,AD166)</f>
        <v>5980000</v>
      </c>
      <c r="AF166" s="705">
        <f t="shared" si="132"/>
        <v>250000</v>
      </c>
      <c r="AH166" s="705">
        <f t="shared" si="133"/>
        <v>11187500</v>
      </c>
      <c r="AI166" s="705">
        <f>IF(AND((Main!$E$9&gt;=18),(Main!$J$10="YES")),$Y$158+AH166,AH166)</f>
        <v>13687500</v>
      </c>
      <c r="AK166" s="848" t="e">
        <f>AK165+AQ158+BF159</f>
        <v>#N/A</v>
      </c>
      <c r="AN166" s="848">
        <v>8</v>
      </c>
      <c r="AO166" s="846" t="e">
        <f>I$13</f>
        <v>#N/A</v>
      </c>
      <c r="AP166" s="824">
        <f t="shared" si="134"/>
        <v>-4000000</v>
      </c>
      <c r="AQ166" s="705" t="e">
        <f t="shared" si="114"/>
        <v>#N/A</v>
      </c>
      <c r="AR166" s="825" t="e">
        <f t="shared" si="135"/>
        <v>#N/A</v>
      </c>
      <c r="AS166" s="829" t="e">
        <f t="shared" si="136"/>
        <v>#N/A</v>
      </c>
      <c r="AT166" s="1173" t="e">
        <f>AS$13</f>
        <v>#N/A</v>
      </c>
      <c r="AU166" s="705" t="e">
        <f t="shared" si="137"/>
        <v>#N/A</v>
      </c>
      <c r="AV166" s="1173" t="e">
        <f>CD$13</f>
        <v>#N/A</v>
      </c>
      <c r="AW166" s="705" t="e">
        <f t="shared" si="138"/>
        <v>#N/A</v>
      </c>
      <c r="AX166" s="825" t="e">
        <f t="shared" si="139"/>
        <v>#N/A</v>
      </c>
      <c r="AY166" s="825" t="e">
        <f t="shared" si="140"/>
        <v>#N/A</v>
      </c>
      <c r="AZ166" s="847" t="e">
        <f t="shared" si="141"/>
        <v>#N/A</v>
      </c>
      <c r="BA166" s="684">
        <f t="shared" si="142"/>
        <v>1780440</v>
      </c>
      <c r="BB166" s="684">
        <f t="shared" si="143"/>
        <v>1869462</v>
      </c>
      <c r="BC166" s="824">
        <f t="shared" si="115"/>
        <v>2500000</v>
      </c>
      <c r="BD166" s="684">
        <f t="shared" si="116"/>
        <v>2500000</v>
      </c>
      <c r="BF166" s="824">
        <v>0</v>
      </c>
      <c r="BG166" s="824" t="e">
        <f t="shared" si="144"/>
        <v>#N/A</v>
      </c>
      <c r="BH166" s="824" t="e">
        <f t="shared" si="117"/>
        <v>#N/A</v>
      </c>
      <c r="BS166" s="824">
        <v>4</v>
      </c>
      <c r="BT166" s="705">
        <f>-DAT!$AY$17</f>
        <v>-106747</v>
      </c>
      <c r="BU166" s="705">
        <f>-DAT!$AY$17</f>
        <v>-106747</v>
      </c>
      <c r="BV166" s="705">
        <f>-DAT!$AY$17</f>
        <v>-106747</v>
      </c>
      <c r="BW166" s="705">
        <f>-DAT!$AY$17</f>
        <v>-106747</v>
      </c>
      <c r="BX166" s="705">
        <f>-DAT!$AY$17</f>
        <v>-106747</v>
      </c>
      <c r="BY166" s="705">
        <f>-DAT!$AY$17</f>
        <v>-106747</v>
      </c>
      <c r="BZ166" s="705">
        <f>-DAT!$AY$17</f>
        <v>-106747</v>
      </c>
      <c r="CA166" s="705">
        <f>-DAT!$AY$17</f>
        <v>-106747</v>
      </c>
      <c r="CB166" s="705">
        <f>-DAT!$AY$17</f>
        <v>-106747</v>
      </c>
      <c r="CC166" s="705">
        <f>-DAT!$AY$17</f>
        <v>-106747</v>
      </c>
      <c r="CD166" s="705">
        <f>-DAT!$AY$17</f>
        <v>-106747</v>
      </c>
      <c r="CE166" s="705">
        <f>-DAT!$AY$17</f>
        <v>-106747</v>
      </c>
      <c r="CF166" s="705">
        <f>-DAT!$AY$17</f>
        <v>-106747</v>
      </c>
      <c r="CG166" s="705">
        <v>12</v>
      </c>
      <c r="CH166" s="1173">
        <f>CJ160</f>
        <v>0.16356525625091684</v>
      </c>
      <c r="CI166" s="824">
        <v>4</v>
      </c>
      <c r="CJ166" s="705">
        <f>-DAT!$AY$15</f>
        <v>-202351</v>
      </c>
      <c r="CK166" s="705">
        <f>-DAT!$AY$15</f>
        <v>-202351</v>
      </c>
      <c r="CL166" s="705">
        <f>-DAT!$AY$15</f>
        <v>-202351</v>
      </c>
      <c r="CM166" s="705">
        <f>-DAT!$AY$15</f>
        <v>-202351</v>
      </c>
      <c r="CN166" s="705">
        <f>-DAT!$AY$15</f>
        <v>-202351</v>
      </c>
      <c r="CO166" s="705">
        <f>-DAT!$AY$15</f>
        <v>-202351</v>
      </c>
      <c r="CR166" s="824">
        <v>4</v>
      </c>
      <c r="CS166" s="705">
        <f>-DAT!$AY$19</f>
        <v>-115589</v>
      </c>
      <c r="CT166" s="705">
        <f>-DAT!$AY$19</f>
        <v>-115589</v>
      </c>
      <c r="CU166" s="705">
        <f>-DAT!$AY$19</f>
        <v>-115589</v>
      </c>
    </row>
    <row r="167" spans="2:99">
      <c r="B167" s="843">
        <v>17</v>
      </c>
      <c r="C167" s="843">
        <v>45</v>
      </c>
      <c r="D167" s="843">
        <v>90</v>
      </c>
      <c r="I167" s="824">
        <v>9</v>
      </c>
      <c r="J167" s="846">
        <f>J$14</f>
        <v>30.61</v>
      </c>
      <c r="K167" s="705">
        <f t="shared" si="118"/>
        <v>900000</v>
      </c>
      <c r="L167" s="705">
        <f t="shared" si="119"/>
        <v>1102500</v>
      </c>
      <c r="M167" s="825">
        <f t="shared" si="120"/>
        <v>2002500</v>
      </c>
      <c r="N167" s="829">
        <f t="shared" si="121"/>
        <v>612965</v>
      </c>
      <c r="O167" s="1173">
        <f>AT$14</f>
        <v>0.5353</v>
      </c>
      <c r="P167" s="705">
        <f t="shared" si="122"/>
        <v>489710</v>
      </c>
      <c r="Q167" s="1173">
        <f>CE$14</f>
        <v>0.1658</v>
      </c>
      <c r="R167" s="705">
        <f t="shared" si="123"/>
        <v>182795</v>
      </c>
      <c r="S167" s="825">
        <f t="shared" si="124"/>
        <v>672505</v>
      </c>
      <c r="T167" s="825">
        <f t="shared" si="125"/>
        <v>672505</v>
      </c>
      <c r="U167" s="847">
        <f t="shared" si="126"/>
        <v>538000</v>
      </c>
      <c r="V167" s="684">
        <f t="shared" si="127"/>
        <v>914832</v>
      </c>
      <c r="W167" s="684">
        <f t="shared" si="128"/>
        <v>960574</v>
      </c>
      <c r="X167" s="824">
        <f t="shared" si="113"/>
        <v>2500000</v>
      </c>
      <c r="Y167" s="684">
        <f t="shared" si="129"/>
        <v>2500000</v>
      </c>
      <c r="Z167" s="705">
        <f t="shared" si="145"/>
        <v>250000</v>
      </c>
      <c r="AA167" s="843">
        <v>0</v>
      </c>
      <c r="AB167" s="684">
        <f t="shared" si="130"/>
        <v>3602500</v>
      </c>
      <c r="AC167" s="685">
        <f t="shared" si="131"/>
        <v>3602500</v>
      </c>
      <c r="AD167" s="705">
        <f>IF(Main!$L$10="YES",Main!$N$10+AC167,AC167)</f>
        <v>3602500</v>
      </c>
      <c r="AE167" s="705">
        <f>IF(AND((Main!$E$9&gt;=18),(Main!$J$10="YES")),$Y$158+AD167,AD167)</f>
        <v>6102500</v>
      </c>
      <c r="AF167" s="705">
        <f t="shared" si="132"/>
        <v>250000</v>
      </c>
      <c r="AH167" s="705">
        <f t="shared" si="133"/>
        <v>10937500</v>
      </c>
      <c r="AI167" s="705">
        <f>IF(AND((Main!$E$9&gt;=18),(Main!$J$10="YES")),$Y$158+AH167,AH167)</f>
        <v>13437500</v>
      </c>
      <c r="AN167" s="848">
        <v>9</v>
      </c>
      <c r="AO167" s="846" t="e">
        <f>J$13</f>
        <v>#N/A</v>
      </c>
      <c r="AP167" s="824">
        <f t="shared" si="134"/>
        <v>-4500000</v>
      </c>
      <c r="AQ167" s="705" t="e">
        <f t="shared" si="114"/>
        <v>#N/A</v>
      </c>
      <c r="AR167" s="825" t="e">
        <f t="shared" si="135"/>
        <v>#N/A</v>
      </c>
      <c r="AS167" s="829" t="e">
        <f t="shared" si="136"/>
        <v>#N/A</v>
      </c>
      <c r="AT167" s="1173" t="e">
        <f>AT$13</f>
        <v>#N/A</v>
      </c>
      <c r="AU167" s="705" t="e">
        <f t="shared" si="137"/>
        <v>#N/A</v>
      </c>
      <c r="AV167" s="1173" t="e">
        <f>CE$13</f>
        <v>#N/A</v>
      </c>
      <c r="AW167" s="705" t="e">
        <f t="shared" si="138"/>
        <v>#N/A</v>
      </c>
      <c r="AX167" s="825" t="e">
        <f t="shared" si="139"/>
        <v>#N/A</v>
      </c>
      <c r="AY167" s="825" t="e">
        <f t="shared" si="140"/>
        <v>#N/A</v>
      </c>
      <c r="AZ167" s="847" t="e">
        <f t="shared" si="141"/>
        <v>#N/A</v>
      </c>
      <c r="BA167" s="684">
        <f t="shared" si="142"/>
        <v>2002995</v>
      </c>
      <c r="BB167" s="684">
        <f t="shared" si="143"/>
        <v>2103145</v>
      </c>
      <c r="BC167" s="824">
        <f t="shared" si="115"/>
        <v>2500000</v>
      </c>
      <c r="BD167" s="684">
        <f t="shared" si="116"/>
        <v>2500000</v>
      </c>
      <c r="BF167" s="824">
        <v>0</v>
      </c>
      <c r="BG167" s="824" t="e">
        <f t="shared" si="144"/>
        <v>#N/A</v>
      </c>
      <c r="BH167" s="824" t="e">
        <f t="shared" si="117"/>
        <v>#N/A</v>
      </c>
      <c r="BS167" s="824">
        <v>5</v>
      </c>
      <c r="BT167" s="705">
        <f>-DAT!$AY$17</f>
        <v>-106747</v>
      </c>
      <c r="BU167" s="705">
        <f>-DAT!$AY$17</f>
        <v>-106747</v>
      </c>
      <c r="BV167" s="705">
        <f>-DAT!$AY$17</f>
        <v>-106747</v>
      </c>
      <c r="BW167" s="705">
        <f>-DAT!$AY$17</f>
        <v>-106747</v>
      </c>
      <c r="BX167" s="705">
        <f>-DAT!$AY$17</f>
        <v>-106747</v>
      </c>
      <c r="BY167" s="705">
        <f>-DAT!$AY$17</f>
        <v>-106747</v>
      </c>
      <c r="BZ167" s="705">
        <f>-DAT!$AY$17</f>
        <v>-106747</v>
      </c>
      <c r="CA167" s="705">
        <f>-DAT!$AY$17</f>
        <v>-106747</v>
      </c>
      <c r="CB167" s="705">
        <f>-DAT!$AY$17</f>
        <v>-106747</v>
      </c>
      <c r="CC167" s="705">
        <f>-DAT!$AY$17</f>
        <v>-106747</v>
      </c>
      <c r="CD167" s="705">
        <f>-DAT!$AY$17</f>
        <v>-106747</v>
      </c>
      <c r="CE167" s="705">
        <f>-DAT!$AY$17</f>
        <v>-106747</v>
      </c>
      <c r="CF167" s="705">
        <f>-DAT!$AY$17</f>
        <v>-106747</v>
      </c>
      <c r="CG167" s="705">
        <v>16</v>
      </c>
      <c r="CH167" s="1173">
        <f>CL160</f>
        <v>0.10702416529213302</v>
      </c>
      <c r="CI167" s="824">
        <v>5</v>
      </c>
      <c r="CJ167" s="705">
        <f>-DAT!$AY$15</f>
        <v>-202351</v>
      </c>
      <c r="CK167" s="705">
        <f>-DAT!$AY$15</f>
        <v>-202351</v>
      </c>
      <c r="CL167" s="705">
        <f>-DAT!$AY$15</f>
        <v>-202351</v>
      </c>
      <c r="CM167" s="705">
        <f>-DAT!$AY$15</f>
        <v>-202351</v>
      </c>
      <c r="CN167" s="705">
        <f>-DAT!$AY$15</f>
        <v>-202351</v>
      </c>
      <c r="CO167" s="705">
        <f>-DAT!$AY$15</f>
        <v>-202351</v>
      </c>
      <c r="CR167" s="824">
        <v>5</v>
      </c>
      <c r="CS167" s="705">
        <f>-DAT!$AY$19</f>
        <v>-115589</v>
      </c>
      <c r="CT167" s="705">
        <f>-DAT!$AY$19</f>
        <v>-115589</v>
      </c>
      <c r="CU167" s="705">
        <f>-DAT!$AY$19</f>
        <v>-115589</v>
      </c>
    </row>
    <row r="168" spans="2:99">
      <c r="B168" s="843">
        <v>18</v>
      </c>
      <c r="C168" s="843">
        <v>45</v>
      </c>
      <c r="D168" s="843">
        <v>90</v>
      </c>
      <c r="I168" s="824">
        <v>10</v>
      </c>
      <c r="J168" s="846">
        <f>K$14</f>
        <v>32.92</v>
      </c>
      <c r="K168" s="705">
        <f t="shared" si="118"/>
        <v>1000000</v>
      </c>
      <c r="L168" s="705">
        <f t="shared" si="119"/>
        <v>1225000</v>
      </c>
      <c r="M168" s="825">
        <f t="shared" si="120"/>
        <v>2225000</v>
      </c>
      <c r="N168" s="829">
        <f t="shared" si="121"/>
        <v>732470</v>
      </c>
      <c r="O168" s="1173">
        <f>AU$14</f>
        <v>0.55289999999999995</v>
      </c>
      <c r="P168" s="705">
        <f t="shared" si="122"/>
        <v>562012</v>
      </c>
      <c r="Q168" s="1173">
        <f>CF$14</f>
        <v>0.17030000000000001</v>
      </c>
      <c r="R168" s="705">
        <f t="shared" si="123"/>
        <v>208618</v>
      </c>
      <c r="S168" s="825">
        <f t="shared" si="124"/>
        <v>770630</v>
      </c>
      <c r="T168" s="825">
        <f t="shared" si="125"/>
        <v>770630</v>
      </c>
      <c r="U168" s="847">
        <f t="shared" si="126"/>
        <v>616500</v>
      </c>
      <c r="V168" s="684">
        <f t="shared" si="127"/>
        <v>1016480</v>
      </c>
      <c r="W168" s="684">
        <f t="shared" si="128"/>
        <v>1067304</v>
      </c>
      <c r="X168" s="824">
        <f t="shared" si="113"/>
        <v>2500000</v>
      </c>
      <c r="Y168" s="684">
        <f t="shared" si="129"/>
        <v>2500000</v>
      </c>
      <c r="Z168" s="705">
        <f t="shared" si="145"/>
        <v>250000</v>
      </c>
      <c r="AA168" s="843">
        <v>0</v>
      </c>
      <c r="AB168" s="684">
        <f t="shared" si="130"/>
        <v>3725000</v>
      </c>
      <c r="AC168" s="685">
        <f t="shared" si="131"/>
        <v>3725000</v>
      </c>
      <c r="AD168" s="705">
        <f>IF(Main!$L$10="YES",Main!$N$10+AC168,AC168)</f>
        <v>3725000</v>
      </c>
      <c r="AE168" s="705">
        <f>IF(AND((Main!$E$9&gt;=18),(Main!$J$10="YES")),$Y$158+AD168,AD168)</f>
        <v>6225000</v>
      </c>
      <c r="AF168" s="705">
        <f t="shared" si="132"/>
        <v>250000</v>
      </c>
      <c r="AH168" s="705">
        <f t="shared" si="133"/>
        <v>10687500</v>
      </c>
      <c r="AI168" s="705">
        <f>IF(AND((Main!$E$9&gt;=18),(Main!$J$10="YES")),$Y$158+AH168,AH168)</f>
        <v>13187500</v>
      </c>
      <c r="AN168" s="848">
        <v>10</v>
      </c>
      <c r="AO168" s="846" t="e">
        <f>K$13</f>
        <v>#N/A</v>
      </c>
      <c r="AP168" s="824">
        <f t="shared" si="134"/>
        <v>-5000000</v>
      </c>
      <c r="AQ168" s="705" t="e">
        <f t="shared" si="114"/>
        <v>#N/A</v>
      </c>
      <c r="AR168" s="825" t="e">
        <f t="shared" si="135"/>
        <v>#N/A</v>
      </c>
      <c r="AS168" s="829" t="e">
        <f t="shared" si="136"/>
        <v>#N/A</v>
      </c>
      <c r="AT168" s="1173" t="e">
        <f>AU$13</f>
        <v>#N/A</v>
      </c>
      <c r="AU168" s="705" t="e">
        <f t="shared" si="137"/>
        <v>#N/A</v>
      </c>
      <c r="AV168" s="1173" t="e">
        <f>CF$13</f>
        <v>#N/A</v>
      </c>
      <c r="AW168" s="705" t="e">
        <f t="shared" si="138"/>
        <v>#N/A</v>
      </c>
      <c r="AX168" s="825" t="e">
        <f t="shared" si="139"/>
        <v>#N/A</v>
      </c>
      <c r="AY168" s="825" t="e">
        <f t="shared" si="140"/>
        <v>#N/A</v>
      </c>
      <c r="AZ168" s="847" t="e">
        <f t="shared" si="141"/>
        <v>#N/A</v>
      </c>
      <c r="BA168" s="684">
        <f t="shared" si="142"/>
        <v>2225550</v>
      </c>
      <c r="BB168" s="684">
        <f t="shared" si="143"/>
        <v>2336828</v>
      </c>
      <c r="BC168" s="824">
        <f t="shared" si="115"/>
        <v>2500000</v>
      </c>
      <c r="BD168" s="684">
        <f t="shared" si="116"/>
        <v>2500000</v>
      </c>
      <c r="BF168" s="824">
        <v>0</v>
      </c>
      <c r="BG168" s="824" t="e">
        <f t="shared" si="144"/>
        <v>#N/A</v>
      </c>
      <c r="BH168" s="824" t="e">
        <f t="shared" si="117"/>
        <v>#N/A</v>
      </c>
      <c r="BS168" s="824">
        <v>6</v>
      </c>
      <c r="BT168" s="705">
        <f>-DAT!$AY$17</f>
        <v>-106747</v>
      </c>
      <c r="BU168" s="705">
        <f>-DAT!$AY$17</f>
        <v>-106747</v>
      </c>
      <c r="BV168" s="705">
        <f>-DAT!$AY$17</f>
        <v>-106747</v>
      </c>
      <c r="BW168" s="705">
        <f>-DAT!$AY$17</f>
        <v>-106747</v>
      </c>
      <c r="BX168" s="705">
        <f>-DAT!$AY$17</f>
        <v>-106747</v>
      </c>
      <c r="BY168" s="705">
        <f>-DAT!$AY$17</f>
        <v>-106747</v>
      </c>
      <c r="BZ168" s="705">
        <f>-DAT!$AY$17</f>
        <v>-106747</v>
      </c>
      <c r="CA168" s="705">
        <f>-DAT!$AY$17</f>
        <v>-106747</v>
      </c>
      <c r="CB168" s="705">
        <f>-DAT!$AY$17</f>
        <v>-106747</v>
      </c>
      <c r="CC168" s="705">
        <f>-DAT!$AY$17</f>
        <v>-106747</v>
      </c>
      <c r="CD168" s="705">
        <f>-DAT!$AY$17</f>
        <v>-106747</v>
      </c>
      <c r="CE168" s="705">
        <f>-DAT!$AY$17</f>
        <v>-106747</v>
      </c>
      <c r="CF168" s="705">
        <f>-DAT!$AY$17</f>
        <v>-106747</v>
      </c>
      <c r="CG168" s="705">
        <v>21</v>
      </c>
      <c r="CH168" s="1173">
        <f>CN160</f>
        <v>7.4338067679357106E-2</v>
      </c>
      <c r="CI168" s="824">
        <v>6</v>
      </c>
      <c r="CJ168" s="705">
        <f>-DAT!$AY$15</f>
        <v>-202351</v>
      </c>
      <c r="CK168" s="705">
        <f>-DAT!$AY$15</f>
        <v>-202351</v>
      </c>
      <c r="CL168" s="705">
        <f>-DAT!$AY$15</f>
        <v>-202351</v>
      </c>
      <c r="CM168" s="705">
        <f>-DAT!$AY$15</f>
        <v>-202351</v>
      </c>
      <c r="CN168" s="705">
        <f>-DAT!$AY$15</f>
        <v>-202351</v>
      </c>
      <c r="CO168" s="705">
        <f>-DAT!$AY$15</f>
        <v>-202351</v>
      </c>
      <c r="CR168" s="824">
        <v>6</v>
      </c>
      <c r="CS168" s="705">
        <f>-DAT!$AY$19</f>
        <v>-115589</v>
      </c>
      <c r="CT168" s="705">
        <f>-DAT!$AY$19</f>
        <v>-115589</v>
      </c>
      <c r="CU168" s="705">
        <f>-DAT!$AY$19</f>
        <v>-115589</v>
      </c>
    </row>
    <row r="169" spans="2:99">
      <c r="B169" s="843">
        <v>19</v>
      </c>
      <c r="C169" s="843">
        <v>45</v>
      </c>
      <c r="D169" s="843">
        <v>90</v>
      </c>
      <c r="I169" s="824">
        <v>11</v>
      </c>
      <c r="J169" s="846">
        <f>L$14</f>
        <v>35.42</v>
      </c>
      <c r="K169" s="705">
        <f t="shared" si="118"/>
        <v>1100000</v>
      </c>
      <c r="L169" s="705">
        <f t="shared" si="119"/>
        <v>1347500</v>
      </c>
      <c r="M169" s="825">
        <f t="shared" si="120"/>
        <v>2447500</v>
      </c>
      <c r="N169" s="829">
        <f t="shared" si="121"/>
        <v>866905</v>
      </c>
      <c r="O169" s="1173">
        <f>AV$14</f>
        <v>0.5706</v>
      </c>
      <c r="P169" s="705">
        <f t="shared" si="122"/>
        <v>638004</v>
      </c>
      <c r="Q169" s="1173">
        <f>CG$14</f>
        <v>0.17580000000000001</v>
      </c>
      <c r="R169" s="705">
        <f t="shared" si="123"/>
        <v>236891</v>
      </c>
      <c r="S169" s="825">
        <f t="shared" si="124"/>
        <v>874895</v>
      </c>
      <c r="T169" s="825">
        <f t="shared" si="125"/>
        <v>874895</v>
      </c>
      <c r="U169" s="847">
        <f t="shared" si="126"/>
        <v>699900</v>
      </c>
      <c r="V169" s="684">
        <f t="shared" si="127"/>
        <v>1118128</v>
      </c>
      <c r="W169" s="684">
        <f t="shared" si="128"/>
        <v>1174034</v>
      </c>
      <c r="X169" s="824">
        <f t="shared" si="113"/>
        <v>2500000</v>
      </c>
      <c r="Y169" s="684">
        <f t="shared" si="129"/>
        <v>2500000</v>
      </c>
      <c r="Z169" s="705">
        <f t="shared" si="145"/>
        <v>250000</v>
      </c>
      <c r="AA169" s="843">
        <v>0</v>
      </c>
      <c r="AB169" s="684">
        <f t="shared" si="130"/>
        <v>3847500</v>
      </c>
      <c r="AC169" s="685">
        <f t="shared" si="131"/>
        <v>3847500</v>
      </c>
      <c r="AD169" s="705">
        <f>IF(Main!$L$10="YES",Main!$N$10+AC169,AC169)</f>
        <v>3847500</v>
      </c>
      <c r="AE169" s="705">
        <f>IF(AND((Main!$E$9&gt;=18),(Main!$J$10="YES")),$Y$158+AD169,AD169)</f>
        <v>6347500</v>
      </c>
      <c r="AF169" s="705">
        <f t="shared" si="132"/>
        <v>250000</v>
      </c>
      <c r="AH169" s="705">
        <f t="shared" si="133"/>
        <v>10437500</v>
      </c>
      <c r="AI169" s="705">
        <f>IF(AND((Main!$E$9&gt;=18),(Main!$J$10="YES")),$Y$158+AH169,AH169)</f>
        <v>12937500</v>
      </c>
      <c r="AN169" s="848">
        <v>11</v>
      </c>
      <c r="AO169" s="846" t="e">
        <f>L$13</f>
        <v>#N/A</v>
      </c>
      <c r="AP169" s="824">
        <f t="shared" si="134"/>
        <v>-5500000</v>
      </c>
      <c r="AQ169" s="705" t="e">
        <f t="shared" si="114"/>
        <v>#N/A</v>
      </c>
      <c r="AR169" s="825" t="e">
        <f t="shared" si="135"/>
        <v>#N/A</v>
      </c>
      <c r="AS169" s="829" t="e">
        <f t="shared" si="136"/>
        <v>#N/A</v>
      </c>
      <c r="AT169" s="1173" t="e">
        <f>AV$13</f>
        <v>#N/A</v>
      </c>
      <c r="AU169" s="705" t="e">
        <f t="shared" si="137"/>
        <v>#N/A</v>
      </c>
      <c r="AV169" s="1173" t="e">
        <f>CG$13</f>
        <v>#N/A</v>
      </c>
      <c r="AW169" s="705" t="e">
        <f t="shared" si="138"/>
        <v>#N/A</v>
      </c>
      <c r="AX169" s="825" t="e">
        <f t="shared" si="139"/>
        <v>#N/A</v>
      </c>
      <c r="AY169" s="825" t="e">
        <f t="shared" si="140"/>
        <v>#N/A</v>
      </c>
      <c r="AZ169" s="847" t="e">
        <f t="shared" si="141"/>
        <v>#N/A</v>
      </c>
      <c r="BA169" s="684">
        <f t="shared" si="142"/>
        <v>2448105</v>
      </c>
      <c r="BB169" s="684">
        <f t="shared" si="143"/>
        <v>2570510</v>
      </c>
      <c r="BC169" s="824">
        <f t="shared" si="115"/>
        <v>2500000</v>
      </c>
      <c r="BD169" s="684">
        <f t="shared" si="116"/>
        <v>2500000</v>
      </c>
      <c r="BF169" s="824">
        <v>0</v>
      </c>
      <c r="BG169" s="824" t="e">
        <f t="shared" si="144"/>
        <v>#N/A</v>
      </c>
      <c r="BH169" s="824" t="e">
        <f t="shared" si="117"/>
        <v>#N/A</v>
      </c>
      <c r="BS169" s="824">
        <v>7</v>
      </c>
      <c r="BT169" s="705">
        <f>-DAT!$AY$17</f>
        <v>-106747</v>
      </c>
      <c r="BU169" s="705">
        <f>-DAT!$AY$17</f>
        <v>-106747</v>
      </c>
      <c r="BV169" s="705">
        <f>-DAT!$AY$17</f>
        <v>-106747</v>
      </c>
      <c r="BW169" s="705">
        <f>-DAT!$AY$17</f>
        <v>-106747</v>
      </c>
      <c r="BX169" s="705">
        <f>-DAT!$AY$17</f>
        <v>-106747</v>
      </c>
      <c r="BY169" s="705">
        <f>-DAT!$AY$17</f>
        <v>-106747</v>
      </c>
      <c r="BZ169" s="705">
        <f>-DAT!$AY$17</f>
        <v>-106747</v>
      </c>
      <c r="CA169" s="705">
        <f>-DAT!$AY$17</f>
        <v>-106747</v>
      </c>
      <c r="CB169" s="705">
        <f>-DAT!$AY$17</f>
        <v>-106747</v>
      </c>
      <c r="CC169" s="705">
        <f>-DAT!$AY$17</f>
        <v>-106747</v>
      </c>
      <c r="CD169" s="705">
        <f>-DAT!$AY$17</f>
        <v>-106747</v>
      </c>
      <c r="CE169" s="705">
        <f>-DAT!$AY$17</f>
        <v>-106747</v>
      </c>
      <c r="CF169" s="705">
        <f>-DAT!$AY$17</f>
        <v>-106747</v>
      </c>
      <c r="CI169" s="824">
        <v>7</v>
      </c>
      <c r="CJ169" s="705">
        <f>-DAT!$AY$15</f>
        <v>-202351</v>
      </c>
      <c r="CK169" s="705">
        <f>-DAT!$AY$15</f>
        <v>-202351</v>
      </c>
      <c r="CL169" s="705">
        <f>-DAT!$AY$15</f>
        <v>-202351</v>
      </c>
      <c r="CM169" s="705">
        <f>-DAT!$AY$15</f>
        <v>-202351</v>
      </c>
      <c r="CN169" s="705">
        <f>-DAT!$AY$15</f>
        <v>-202351</v>
      </c>
      <c r="CO169" s="705">
        <f>-DAT!$AY$15</f>
        <v>-202351</v>
      </c>
      <c r="CR169" s="824">
        <v>7</v>
      </c>
      <c r="CS169" s="705">
        <f>-DAT!$AY$19</f>
        <v>-115589</v>
      </c>
      <c r="CT169" s="705">
        <f>-DAT!$AY$19</f>
        <v>-115589</v>
      </c>
      <c r="CU169" s="705">
        <f>-DAT!$AY$19</f>
        <v>-115589</v>
      </c>
    </row>
    <row r="170" spans="2:99">
      <c r="B170" s="843">
        <v>20</v>
      </c>
      <c r="C170" s="843">
        <v>45</v>
      </c>
      <c r="D170" s="843">
        <v>90</v>
      </c>
      <c r="I170" s="843">
        <v>12</v>
      </c>
      <c r="J170" s="846">
        <f>M$14</f>
        <v>38.1</v>
      </c>
      <c r="K170" s="705">
        <f t="shared" si="118"/>
        <v>1200000</v>
      </c>
      <c r="L170" s="705">
        <f t="shared" si="119"/>
        <v>1470000</v>
      </c>
      <c r="M170" s="825">
        <f t="shared" si="120"/>
        <v>2670000</v>
      </c>
      <c r="N170" s="829">
        <f t="shared" si="121"/>
        <v>1017270</v>
      </c>
      <c r="O170" s="1173">
        <f>AW$14</f>
        <v>0.58819999999999995</v>
      </c>
      <c r="P170" s="705">
        <f t="shared" si="122"/>
        <v>717472</v>
      </c>
      <c r="Q170" s="1173">
        <f>CH$14</f>
        <v>0.17580000000000001</v>
      </c>
      <c r="R170" s="705">
        <f t="shared" si="123"/>
        <v>258426</v>
      </c>
      <c r="S170" s="825">
        <f t="shared" si="124"/>
        <v>975898</v>
      </c>
      <c r="T170" s="825">
        <f t="shared" si="125"/>
        <v>1017270</v>
      </c>
      <c r="U170" s="847">
        <f t="shared" si="126"/>
        <v>813800</v>
      </c>
      <c r="V170" s="684">
        <f t="shared" si="127"/>
        <v>1219776</v>
      </c>
      <c r="W170" s="684">
        <f t="shared" si="128"/>
        <v>1280765</v>
      </c>
      <c r="X170" s="824">
        <f t="shared" si="113"/>
        <v>2500000</v>
      </c>
      <c r="Y170" s="684">
        <f t="shared" si="129"/>
        <v>2500000</v>
      </c>
      <c r="Z170" s="705">
        <f t="shared" si="145"/>
        <v>250000</v>
      </c>
      <c r="AA170" s="843">
        <v>0</v>
      </c>
      <c r="AB170" s="684">
        <f t="shared" si="130"/>
        <v>3970000</v>
      </c>
      <c r="AC170" s="685">
        <f t="shared" si="131"/>
        <v>3970000</v>
      </c>
      <c r="AD170" s="705">
        <f>IF(Main!$L$10="YES",Main!$N$10+AC170,AC170)</f>
        <v>3970000</v>
      </c>
      <c r="AE170" s="705">
        <f>IF(AND((Main!$E$9&gt;=18),(Main!$J$10="YES")),$Y$158+AD170,AD170)</f>
        <v>6470000</v>
      </c>
      <c r="AF170" s="705">
        <f t="shared" si="132"/>
        <v>250000</v>
      </c>
      <c r="AH170" s="705">
        <f t="shared" si="133"/>
        <v>10187500</v>
      </c>
      <c r="AI170" s="705">
        <f>IF(AND((Main!$E$9&gt;=18),(Main!$J$10="YES")),$Y$158+AH170,AH170)</f>
        <v>12687500</v>
      </c>
      <c r="AN170" s="848">
        <v>12</v>
      </c>
      <c r="AO170" s="846" t="e">
        <f>M$13</f>
        <v>#N/A</v>
      </c>
      <c r="AP170" s="824">
        <f t="shared" si="134"/>
        <v>-6000000</v>
      </c>
      <c r="AQ170" s="705" t="e">
        <f t="shared" si="114"/>
        <v>#N/A</v>
      </c>
      <c r="AR170" s="825" t="e">
        <f t="shared" si="135"/>
        <v>#N/A</v>
      </c>
      <c r="AS170" s="829" t="e">
        <f t="shared" si="136"/>
        <v>#N/A</v>
      </c>
      <c r="AT170" s="1173" t="e">
        <f>AW$13</f>
        <v>#N/A</v>
      </c>
      <c r="AU170" s="705" t="e">
        <f t="shared" si="137"/>
        <v>#N/A</v>
      </c>
      <c r="AV170" s="1173" t="e">
        <f>CH$13</f>
        <v>#N/A</v>
      </c>
      <c r="AW170" s="705" t="e">
        <f t="shared" si="138"/>
        <v>#N/A</v>
      </c>
      <c r="AX170" s="825" t="e">
        <f t="shared" si="139"/>
        <v>#N/A</v>
      </c>
      <c r="AY170" s="825" t="e">
        <f t="shared" si="140"/>
        <v>#N/A</v>
      </c>
      <c r="AZ170" s="847" t="e">
        <f t="shared" si="141"/>
        <v>#N/A</v>
      </c>
      <c r="BA170" s="684">
        <f t="shared" si="142"/>
        <v>2670660</v>
      </c>
      <c r="BB170" s="684">
        <f t="shared" si="143"/>
        <v>2804193</v>
      </c>
      <c r="BC170" s="824">
        <f t="shared" si="115"/>
        <v>2500000</v>
      </c>
      <c r="BD170" s="684">
        <f t="shared" si="116"/>
        <v>2500000</v>
      </c>
      <c r="BF170" s="824">
        <v>0</v>
      </c>
      <c r="BG170" s="824" t="e">
        <f t="shared" si="144"/>
        <v>#N/A</v>
      </c>
      <c r="BH170" s="824" t="e">
        <f t="shared" si="117"/>
        <v>#N/A</v>
      </c>
      <c r="BS170" s="824">
        <v>8</v>
      </c>
      <c r="BT170" s="705">
        <f>-DAT!$AY$17</f>
        <v>-106747</v>
      </c>
      <c r="BU170" s="705">
        <f>-DAT!$AY$17</f>
        <v>-106747</v>
      </c>
      <c r="BV170" s="705">
        <f>-DAT!$AY$17</f>
        <v>-106747</v>
      </c>
      <c r="BW170" s="705">
        <f>-DAT!$AY$17</f>
        <v>-106747</v>
      </c>
      <c r="BX170" s="705">
        <f>-DAT!$AY$17</f>
        <v>-106747</v>
      </c>
      <c r="BY170" s="705">
        <f>-DAT!$AY$17</f>
        <v>-106747</v>
      </c>
      <c r="BZ170" s="705">
        <f>-DAT!$AY$17</f>
        <v>-106747</v>
      </c>
      <c r="CA170" s="705">
        <f>-DAT!$AY$17</f>
        <v>-106747</v>
      </c>
      <c r="CB170" s="705">
        <f>-DAT!$AY$17</f>
        <v>-106747</v>
      </c>
      <c r="CC170" s="705">
        <f>-DAT!$AY$17</f>
        <v>-106747</v>
      </c>
      <c r="CD170" s="705">
        <f>-DAT!$AY$17</f>
        <v>-106747</v>
      </c>
      <c r="CE170" s="705">
        <f>-DAT!$AY$17</f>
        <v>-106747</v>
      </c>
      <c r="CF170" s="705">
        <f>-DAT!$AY$17</f>
        <v>-106747</v>
      </c>
      <c r="CI170" s="824">
        <v>8</v>
      </c>
      <c r="CJ170" s="705">
        <f>-DAT!$AY$15</f>
        <v>-202351</v>
      </c>
      <c r="CK170" s="705">
        <f>-DAT!$AY$15</f>
        <v>-202351</v>
      </c>
      <c r="CL170" s="705">
        <f>-DAT!$AY$15</f>
        <v>-202351</v>
      </c>
      <c r="CM170" s="705">
        <f>-DAT!$AY$15</f>
        <v>-202351</v>
      </c>
      <c r="CN170" s="705">
        <f>-DAT!$AY$15</f>
        <v>-202351</v>
      </c>
      <c r="CO170" s="705">
        <f>-DAT!$AY$15</f>
        <v>-202351</v>
      </c>
      <c r="CR170" s="824">
        <v>8</v>
      </c>
      <c r="CS170" s="705">
        <f>-DAT!$AY$19</f>
        <v>-115589</v>
      </c>
      <c r="CT170" s="705">
        <f>-DAT!$AY$19</f>
        <v>-115589</v>
      </c>
      <c r="CU170" s="705">
        <f>-DAT!$AY$19</f>
        <v>-115589</v>
      </c>
    </row>
    <row r="171" spans="2:99">
      <c r="B171" s="843">
        <v>21</v>
      </c>
      <c r="C171" s="843">
        <v>49</v>
      </c>
      <c r="D171" s="843">
        <v>90</v>
      </c>
      <c r="I171" s="843">
        <v>13</v>
      </c>
      <c r="J171" s="846">
        <f>N$14</f>
        <v>40.98</v>
      </c>
      <c r="K171" s="705">
        <f t="shared" si="118"/>
        <v>1300000</v>
      </c>
      <c r="L171" s="705">
        <f t="shared" si="119"/>
        <v>1592500</v>
      </c>
      <c r="M171" s="825">
        <f t="shared" si="120"/>
        <v>2892500</v>
      </c>
      <c r="N171" s="829">
        <f t="shared" si="121"/>
        <v>1185347</v>
      </c>
      <c r="O171" s="1173">
        <f>AX$14</f>
        <v>0.60589999999999999</v>
      </c>
      <c r="P171" s="705">
        <f t="shared" si="122"/>
        <v>800651</v>
      </c>
      <c r="Q171" s="1173">
        <f>CI$14</f>
        <v>0.17660000000000001</v>
      </c>
      <c r="R171" s="705">
        <f t="shared" si="123"/>
        <v>281236</v>
      </c>
      <c r="S171" s="825">
        <f t="shared" si="124"/>
        <v>1081887</v>
      </c>
      <c r="T171" s="825">
        <f t="shared" si="125"/>
        <v>1185347</v>
      </c>
      <c r="U171" s="847">
        <f t="shared" si="126"/>
        <v>948300</v>
      </c>
      <c r="V171" s="684">
        <f t="shared" si="127"/>
        <v>1321424</v>
      </c>
      <c r="W171" s="684">
        <f t="shared" si="128"/>
        <v>1387495</v>
      </c>
      <c r="X171" s="824">
        <f t="shared" si="113"/>
        <v>2500000</v>
      </c>
      <c r="Y171" s="684">
        <f t="shared" si="129"/>
        <v>2500000</v>
      </c>
      <c r="Z171" s="705">
        <f t="shared" si="145"/>
        <v>250000</v>
      </c>
      <c r="AA171" s="843">
        <v>0</v>
      </c>
      <c r="AB171" s="684">
        <f t="shared" si="130"/>
        <v>4092500</v>
      </c>
      <c r="AC171" s="685">
        <f t="shared" si="131"/>
        <v>4092500</v>
      </c>
      <c r="AD171" s="705">
        <f>IF(Main!$L$10="YES",Main!$N$10+AC171,AC171)</f>
        <v>4092500</v>
      </c>
      <c r="AE171" s="705">
        <f>IF(AND((Main!$E$9&gt;=18),(Main!$J$10="YES")),$Y$158+AD171,AD171)</f>
        <v>6592500</v>
      </c>
      <c r="AF171" s="705">
        <f t="shared" si="132"/>
        <v>250000</v>
      </c>
      <c r="AH171" s="705">
        <f t="shared" si="133"/>
        <v>9937500</v>
      </c>
      <c r="AI171" s="705">
        <f>IF(AND((Main!$E$9&gt;=18),(Main!$J$10="YES")),$Y$158+AH171,AH171)</f>
        <v>12437500</v>
      </c>
      <c r="AN171" s="848">
        <v>13</v>
      </c>
      <c r="AO171" s="846" t="e">
        <f>N$13</f>
        <v>#N/A</v>
      </c>
      <c r="AP171" s="824">
        <f t="shared" si="134"/>
        <v>-6500000</v>
      </c>
      <c r="AQ171" s="705" t="e">
        <f t="shared" si="114"/>
        <v>#N/A</v>
      </c>
      <c r="AR171" s="825" t="e">
        <f t="shared" si="135"/>
        <v>#N/A</v>
      </c>
      <c r="AS171" s="829" t="e">
        <f t="shared" si="136"/>
        <v>#N/A</v>
      </c>
      <c r="AT171" s="1173" t="e">
        <f>AX$13</f>
        <v>#N/A</v>
      </c>
      <c r="AU171" s="705" t="e">
        <f t="shared" si="137"/>
        <v>#N/A</v>
      </c>
      <c r="AV171" s="1173" t="e">
        <f>CI$13</f>
        <v>#N/A</v>
      </c>
      <c r="AW171" s="705" t="e">
        <f t="shared" si="138"/>
        <v>#N/A</v>
      </c>
      <c r="AX171" s="825" t="e">
        <f t="shared" si="139"/>
        <v>#N/A</v>
      </c>
      <c r="AY171" s="825" t="e">
        <f t="shared" si="140"/>
        <v>#N/A</v>
      </c>
      <c r="AZ171" s="847" t="e">
        <f t="shared" si="141"/>
        <v>#N/A</v>
      </c>
      <c r="BA171" s="684">
        <f t="shared" si="142"/>
        <v>2893215</v>
      </c>
      <c r="BB171" s="684">
        <f t="shared" si="143"/>
        <v>3037876</v>
      </c>
      <c r="BC171" s="824">
        <f t="shared" si="115"/>
        <v>2500000</v>
      </c>
      <c r="BD171" s="684">
        <f t="shared" si="116"/>
        <v>2500000</v>
      </c>
      <c r="BF171" s="824">
        <v>0</v>
      </c>
      <c r="BG171" s="824" t="e">
        <f t="shared" si="144"/>
        <v>#N/A</v>
      </c>
      <c r="BH171" s="824" t="e">
        <f t="shared" si="117"/>
        <v>#N/A</v>
      </c>
      <c r="BS171" s="824">
        <v>9</v>
      </c>
      <c r="BT171" s="705">
        <f>-DAT!$AY$17</f>
        <v>-106747</v>
      </c>
      <c r="BU171" s="705">
        <f>-DAT!$AY$17</f>
        <v>-106747</v>
      </c>
      <c r="BV171" s="705">
        <f>-DAT!$AY$17</f>
        <v>-106747</v>
      </c>
      <c r="BW171" s="705">
        <f>-DAT!$AY$17</f>
        <v>-106747</v>
      </c>
      <c r="BX171" s="705">
        <f>-DAT!$AY$17</f>
        <v>-106747</v>
      </c>
      <c r="BY171" s="705">
        <f>-DAT!$AY$17</f>
        <v>-106747</v>
      </c>
      <c r="BZ171" s="705">
        <f>-DAT!$AY$17</f>
        <v>-106747</v>
      </c>
      <c r="CA171" s="705">
        <f>-DAT!$AY$17</f>
        <v>-106747</v>
      </c>
      <c r="CB171" s="705">
        <f>-DAT!$AY$17</f>
        <v>-106747</v>
      </c>
      <c r="CC171" s="705">
        <f>-DAT!$AY$17</f>
        <v>-106747</v>
      </c>
      <c r="CD171" s="705">
        <f>-DAT!$AY$17</f>
        <v>-106747</v>
      </c>
      <c r="CE171" s="705">
        <f>-DAT!$AY$17</f>
        <v>-106747</v>
      </c>
      <c r="CF171" s="705">
        <f>-DAT!$AY$17</f>
        <v>-106747</v>
      </c>
      <c r="CI171" s="824">
        <v>9</v>
      </c>
      <c r="CJ171" s="705">
        <v>0</v>
      </c>
      <c r="CK171" s="705">
        <f>-DAT!$AY$15</f>
        <v>-202351</v>
      </c>
      <c r="CL171" s="705">
        <v>0</v>
      </c>
      <c r="CM171" s="705">
        <f>-DAT!$AY$15</f>
        <v>-202351</v>
      </c>
      <c r="CN171" s="705">
        <v>0</v>
      </c>
      <c r="CO171" s="705">
        <f>-DAT!$AY$15</f>
        <v>-202351</v>
      </c>
      <c r="CR171" s="824">
        <v>9</v>
      </c>
      <c r="CS171" s="705">
        <f>-DAT!$AY$19</f>
        <v>-115589</v>
      </c>
      <c r="CT171" s="705">
        <f>-DAT!$AY$19</f>
        <v>-115589</v>
      </c>
      <c r="CU171" s="705">
        <f>-DAT!$AY$19</f>
        <v>-115589</v>
      </c>
    </row>
    <row r="172" spans="2:99">
      <c r="B172" s="843">
        <v>22</v>
      </c>
      <c r="C172" s="843">
        <v>49</v>
      </c>
      <c r="D172" s="843">
        <v>90</v>
      </c>
      <c r="I172" s="843">
        <v>14</v>
      </c>
      <c r="J172" s="846">
        <f>O$14</f>
        <v>44.09</v>
      </c>
      <c r="K172" s="705">
        <f t="shared" si="118"/>
        <v>1400000</v>
      </c>
      <c r="L172" s="705">
        <f t="shared" si="119"/>
        <v>1715000</v>
      </c>
      <c r="M172" s="825">
        <f t="shared" si="120"/>
        <v>3115000</v>
      </c>
      <c r="N172" s="829">
        <f t="shared" si="121"/>
        <v>1373404</v>
      </c>
      <c r="O172" s="1173">
        <f>AY$14</f>
        <v>0.62350000000000005</v>
      </c>
      <c r="P172" s="705">
        <f t="shared" si="122"/>
        <v>887285</v>
      </c>
      <c r="Q172" s="1173">
        <f>CJ$14</f>
        <v>0.17849999999999999</v>
      </c>
      <c r="R172" s="705">
        <f t="shared" si="123"/>
        <v>306128</v>
      </c>
      <c r="S172" s="825">
        <f t="shared" si="124"/>
        <v>1193413</v>
      </c>
      <c r="T172" s="825">
        <f t="shared" si="125"/>
        <v>1373404</v>
      </c>
      <c r="U172" s="847">
        <f t="shared" si="126"/>
        <v>1098700</v>
      </c>
      <c r="V172" s="684">
        <f t="shared" si="127"/>
        <v>1423072</v>
      </c>
      <c r="W172" s="684">
        <f t="shared" si="128"/>
        <v>1494226</v>
      </c>
      <c r="X172" s="824">
        <f t="shared" si="113"/>
        <v>2500000</v>
      </c>
      <c r="Y172" s="684">
        <f t="shared" si="129"/>
        <v>2500000</v>
      </c>
      <c r="Z172" s="705">
        <f t="shared" si="145"/>
        <v>250000</v>
      </c>
      <c r="AA172" s="843">
        <v>0</v>
      </c>
      <c r="AB172" s="684">
        <f t="shared" si="130"/>
        <v>4215000</v>
      </c>
      <c r="AC172" s="685">
        <f t="shared" si="131"/>
        <v>4215000</v>
      </c>
      <c r="AD172" s="705">
        <f>IF(Main!$L$10="YES",Main!$N$10+AC172,AC172)</f>
        <v>4215000</v>
      </c>
      <c r="AE172" s="705">
        <f>IF(AND((Main!$E$9&gt;=18),(Main!$J$10="YES")),$Y$158+AD172,AD172)</f>
        <v>6715000</v>
      </c>
      <c r="AF172" s="705">
        <f t="shared" si="132"/>
        <v>250000</v>
      </c>
      <c r="AH172" s="705">
        <f t="shared" si="133"/>
        <v>9687500</v>
      </c>
      <c r="AI172" s="705">
        <f>IF(AND((Main!$E$9&gt;=18),(Main!$J$10="YES")),$Y$158+AH172,AH172)</f>
        <v>12187500</v>
      </c>
      <c r="AN172" s="848">
        <v>14</v>
      </c>
      <c r="AO172" s="846" t="e">
        <f>O$13</f>
        <v>#N/A</v>
      </c>
      <c r="AP172" s="824">
        <f t="shared" si="134"/>
        <v>-7000000</v>
      </c>
      <c r="AQ172" s="705" t="e">
        <f t="shared" si="114"/>
        <v>#N/A</v>
      </c>
      <c r="AR172" s="825" t="e">
        <f t="shared" si="135"/>
        <v>#N/A</v>
      </c>
      <c r="AS172" s="829" t="e">
        <f t="shared" si="136"/>
        <v>#N/A</v>
      </c>
      <c r="AT172" s="1173" t="e">
        <f>AY$13</f>
        <v>#N/A</v>
      </c>
      <c r="AU172" s="705" t="e">
        <f t="shared" si="137"/>
        <v>#N/A</v>
      </c>
      <c r="AV172" s="1173" t="e">
        <f>CJ$13</f>
        <v>#N/A</v>
      </c>
      <c r="AW172" s="705" t="e">
        <f t="shared" si="138"/>
        <v>#N/A</v>
      </c>
      <c r="AX172" s="825" t="e">
        <f t="shared" si="139"/>
        <v>#N/A</v>
      </c>
      <c r="AY172" s="825" t="e">
        <f t="shared" si="140"/>
        <v>#N/A</v>
      </c>
      <c r="AZ172" s="847" t="e">
        <f t="shared" si="141"/>
        <v>#N/A</v>
      </c>
      <c r="BA172" s="684">
        <f t="shared" si="142"/>
        <v>3115770</v>
      </c>
      <c r="BB172" s="684">
        <f t="shared" si="143"/>
        <v>3271559</v>
      </c>
      <c r="BC172" s="824">
        <f t="shared" si="115"/>
        <v>2500000</v>
      </c>
      <c r="BD172" s="684">
        <f t="shared" si="116"/>
        <v>2500000</v>
      </c>
      <c r="BF172" s="824">
        <v>0</v>
      </c>
      <c r="BG172" s="824" t="e">
        <f t="shared" si="144"/>
        <v>#N/A</v>
      </c>
      <c r="BH172" s="824" t="e">
        <f t="shared" si="117"/>
        <v>#N/A</v>
      </c>
      <c r="BS172" s="824">
        <v>10</v>
      </c>
      <c r="BT172" s="705">
        <f>-DAT!$AY$17</f>
        <v>-106747</v>
      </c>
      <c r="BU172" s="705">
        <f>-DAT!$AY$17</f>
        <v>-106747</v>
      </c>
      <c r="BV172" s="705">
        <f>-DAT!$AY$17</f>
        <v>-106747</v>
      </c>
      <c r="BW172" s="705">
        <f>-DAT!$AY$17</f>
        <v>-106747</v>
      </c>
      <c r="BX172" s="705">
        <f>-DAT!$AY$17</f>
        <v>-106747</v>
      </c>
      <c r="BY172" s="705">
        <f>-DAT!$AY$17</f>
        <v>-106747</v>
      </c>
      <c r="BZ172" s="705">
        <f>-DAT!$AY$17</f>
        <v>-106747</v>
      </c>
      <c r="CA172" s="705">
        <f>-DAT!$AY$17</f>
        <v>-106747</v>
      </c>
      <c r="CB172" s="705">
        <f>-DAT!$AY$17</f>
        <v>-106747</v>
      </c>
      <c r="CC172" s="705">
        <f>-DAT!$AY$17</f>
        <v>-106747</v>
      </c>
      <c r="CD172" s="705">
        <f>-DAT!$AY$17</f>
        <v>-106747</v>
      </c>
      <c r="CE172" s="705">
        <f>-DAT!$AY$17</f>
        <v>-106747</v>
      </c>
      <c r="CF172" s="705">
        <f>-DAT!$AY$17</f>
        <v>-106747</v>
      </c>
      <c r="CI172" s="824">
        <v>10</v>
      </c>
      <c r="CJ172" s="705">
        <v>0</v>
      </c>
      <c r="CK172" s="705">
        <v>0</v>
      </c>
      <c r="CL172" s="705">
        <v>0</v>
      </c>
      <c r="CM172" s="705">
        <v>0</v>
      </c>
      <c r="CN172" s="705">
        <v>0</v>
      </c>
      <c r="CO172" s="705">
        <v>0</v>
      </c>
      <c r="CR172" s="824">
        <v>10</v>
      </c>
      <c r="CS172" s="705">
        <f>-DAT!$AY$19</f>
        <v>-115589</v>
      </c>
      <c r="CT172" s="705">
        <f>-DAT!$AY$19</f>
        <v>-115589</v>
      </c>
      <c r="CU172" s="705">
        <f>-DAT!$AY$19</f>
        <v>-115589</v>
      </c>
    </row>
    <row r="173" spans="2:99">
      <c r="B173" s="843">
        <v>23</v>
      </c>
      <c r="C173" s="843">
        <v>49</v>
      </c>
      <c r="D173" s="843">
        <v>90</v>
      </c>
      <c r="I173" s="843">
        <v>15</v>
      </c>
      <c r="J173" s="846">
        <f>P$14</f>
        <v>47.43</v>
      </c>
      <c r="K173" s="705">
        <f t="shared" si="118"/>
        <v>1500000</v>
      </c>
      <c r="L173" s="705">
        <f t="shared" si="119"/>
        <v>1837500</v>
      </c>
      <c r="M173" s="825">
        <f t="shared" si="120"/>
        <v>3337500</v>
      </c>
      <c r="N173" s="829">
        <f t="shared" si="121"/>
        <v>1582976</v>
      </c>
      <c r="O173" s="1173">
        <f>AZ$14</f>
        <v>0.64119999999999999</v>
      </c>
      <c r="P173" s="705">
        <f t="shared" si="122"/>
        <v>977650</v>
      </c>
      <c r="Q173" s="1173">
        <f>CK$14</f>
        <v>0.18160000000000001</v>
      </c>
      <c r="R173" s="705">
        <f t="shared" si="123"/>
        <v>333690</v>
      </c>
      <c r="S173" s="825">
        <f t="shared" si="124"/>
        <v>1311340</v>
      </c>
      <c r="T173" s="825">
        <f t="shared" si="125"/>
        <v>1582976</v>
      </c>
      <c r="U173" s="847">
        <f t="shared" si="126"/>
        <v>1266400</v>
      </c>
      <c r="V173" s="684">
        <f t="shared" si="127"/>
        <v>1524720</v>
      </c>
      <c r="W173" s="684">
        <f t="shared" si="128"/>
        <v>1600956</v>
      </c>
      <c r="X173" s="824">
        <f t="shared" si="113"/>
        <v>2500000</v>
      </c>
      <c r="Y173" s="684">
        <f t="shared" si="129"/>
        <v>2500000</v>
      </c>
      <c r="Z173" s="705">
        <f t="shared" si="145"/>
        <v>250000</v>
      </c>
      <c r="AA173" s="705">
        <f>C$43*X173/1000</f>
        <v>50000</v>
      </c>
      <c r="AB173" s="684">
        <f t="shared" si="130"/>
        <v>4387500</v>
      </c>
      <c r="AC173" s="685">
        <f t="shared" si="131"/>
        <v>4387500</v>
      </c>
      <c r="AD173" s="705">
        <f>IF(Main!$L$10="YES",Main!$N$10+AC173,AC173)</f>
        <v>4387500</v>
      </c>
      <c r="AE173" s="705">
        <f>IF(AND((Main!$E$9&gt;=18),(Main!$J$10="YES")),$Y$158+AD173,AD173)</f>
        <v>6887500</v>
      </c>
      <c r="AF173" s="705">
        <f t="shared" si="132"/>
        <v>250000</v>
      </c>
      <c r="AH173" s="705">
        <f t="shared" si="133"/>
        <v>9437500</v>
      </c>
      <c r="AI173" s="705">
        <f>IF(AND((Main!$E$9&gt;=18),(Main!$J$10="YES")),$Y$158+AH173,AH173)</f>
        <v>11937500</v>
      </c>
      <c r="AN173" s="848">
        <v>15</v>
      </c>
      <c r="AO173" s="846" t="e">
        <f>P$13</f>
        <v>#N/A</v>
      </c>
      <c r="AP173" s="824">
        <f t="shared" si="134"/>
        <v>-7500000</v>
      </c>
      <c r="AQ173" s="705" t="e">
        <f t="shared" si="114"/>
        <v>#N/A</v>
      </c>
      <c r="AR173" s="825" t="e">
        <f t="shared" si="135"/>
        <v>#N/A</v>
      </c>
      <c r="AS173" s="829" t="e">
        <f t="shared" si="136"/>
        <v>#N/A</v>
      </c>
      <c r="AT173" s="1173" t="e">
        <f>AZ$13</f>
        <v>#N/A</v>
      </c>
      <c r="AU173" s="705" t="e">
        <f t="shared" si="137"/>
        <v>#N/A</v>
      </c>
      <c r="AV173" s="1173" t="e">
        <f>CK$13</f>
        <v>#N/A</v>
      </c>
      <c r="AW173" s="705" t="e">
        <f t="shared" si="138"/>
        <v>#N/A</v>
      </c>
      <c r="AX173" s="825" t="e">
        <f t="shared" si="139"/>
        <v>#N/A</v>
      </c>
      <c r="AY173" s="825" t="e">
        <f t="shared" si="140"/>
        <v>#N/A</v>
      </c>
      <c r="AZ173" s="847" t="e">
        <f t="shared" si="141"/>
        <v>#N/A</v>
      </c>
      <c r="BA173" s="684">
        <f t="shared" si="142"/>
        <v>3338325</v>
      </c>
      <c r="BB173" s="684">
        <f t="shared" si="143"/>
        <v>3505241</v>
      </c>
      <c r="BC173" s="824">
        <f t="shared" si="115"/>
        <v>2500000</v>
      </c>
      <c r="BD173" s="684">
        <f t="shared" si="116"/>
        <v>2500000</v>
      </c>
      <c r="BF173" s="705">
        <f>C$43*BC173/1000</f>
        <v>50000</v>
      </c>
      <c r="BG173" s="824" t="e">
        <f t="shared" si="144"/>
        <v>#N/A</v>
      </c>
      <c r="BH173" s="824" t="e">
        <f t="shared" si="117"/>
        <v>#N/A</v>
      </c>
      <c r="BS173" s="824">
        <v>11</v>
      </c>
      <c r="BT173" s="705">
        <v>0</v>
      </c>
      <c r="BU173" s="705">
        <f>-DAT!$AY$17</f>
        <v>-106747</v>
      </c>
      <c r="BV173" s="705">
        <f>-DAT!$AY$17</f>
        <v>-106747</v>
      </c>
      <c r="BW173" s="705">
        <f>-DAT!$AY$17</f>
        <v>-106747</v>
      </c>
      <c r="BX173" s="705">
        <f>-DAT!$AY$17</f>
        <v>-106747</v>
      </c>
      <c r="BY173" s="705">
        <f>-DAT!$AY$17</f>
        <v>-106747</v>
      </c>
      <c r="BZ173" s="705">
        <f>-DAT!$AY$17</f>
        <v>-106747</v>
      </c>
      <c r="CA173" s="705">
        <f>-DAT!$AY$17</f>
        <v>-106747</v>
      </c>
      <c r="CB173" s="705">
        <f>-DAT!$AY$17</f>
        <v>-106747</v>
      </c>
      <c r="CC173" s="705">
        <f>-DAT!$AY$17</f>
        <v>-106747</v>
      </c>
      <c r="CD173" s="705">
        <f>-DAT!$AY$17</f>
        <v>-106747</v>
      </c>
      <c r="CE173" s="705">
        <f>-DAT!$AY$17</f>
        <v>-106747</v>
      </c>
      <c r="CF173" s="705">
        <f>-DAT!$AY$17</f>
        <v>-106747</v>
      </c>
      <c r="CI173" s="824">
        <v>11</v>
      </c>
      <c r="CJ173" s="705">
        <v>0</v>
      </c>
      <c r="CK173" s="705">
        <v>0</v>
      </c>
      <c r="CL173" s="705">
        <v>0</v>
      </c>
      <c r="CM173" s="705">
        <v>0</v>
      </c>
      <c r="CN173" s="705">
        <v>0</v>
      </c>
      <c r="CO173" s="705">
        <v>0</v>
      </c>
      <c r="CR173" s="824">
        <v>11</v>
      </c>
      <c r="CS173" s="705">
        <v>0</v>
      </c>
      <c r="CT173" s="705">
        <f>-DAT!$AY$19</f>
        <v>-115589</v>
      </c>
      <c r="CU173" s="705">
        <f>-DAT!$AY$19</f>
        <v>-115589</v>
      </c>
    </row>
    <row r="174" spans="2:99">
      <c r="B174" s="843">
        <v>24</v>
      </c>
      <c r="C174" s="843">
        <v>49</v>
      </c>
      <c r="D174" s="843">
        <v>80</v>
      </c>
      <c r="I174" s="843">
        <v>16</v>
      </c>
      <c r="J174" s="846">
        <f>Q$14</f>
        <v>50.25</v>
      </c>
      <c r="K174" s="705">
        <f t="shared" si="118"/>
        <v>1600000</v>
      </c>
      <c r="L174" s="705">
        <f t="shared" si="119"/>
        <v>1960000</v>
      </c>
      <c r="M174" s="825">
        <f t="shared" si="120"/>
        <v>3560000</v>
      </c>
      <c r="N174" s="829">
        <f t="shared" si="121"/>
        <v>1788900</v>
      </c>
      <c r="O174" s="1173">
        <f>BA$14</f>
        <v>0.65880000000000005</v>
      </c>
      <c r="P174" s="705">
        <f t="shared" si="122"/>
        <v>1071451</v>
      </c>
      <c r="Q174" s="1173">
        <f>CL$14</f>
        <v>0.186</v>
      </c>
      <c r="R174" s="705">
        <f t="shared" si="123"/>
        <v>364560</v>
      </c>
      <c r="S174" s="825">
        <f t="shared" si="124"/>
        <v>1436011</v>
      </c>
      <c r="T174" s="825">
        <f t="shared" si="125"/>
        <v>1788900</v>
      </c>
      <c r="U174" s="847">
        <f t="shared" si="126"/>
        <v>1431100</v>
      </c>
      <c r="V174" s="684">
        <f t="shared" si="127"/>
        <v>1626368</v>
      </c>
      <c r="W174" s="684">
        <f t="shared" si="128"/>
        <v>1707686</v>
      </c>
      <c r="X174" s="824">
        <f t="shared" si="113"/>
        <v>2500000</v>
      </c>
      <c r="Y174" s="684">
        <f t="shared" si="129"/>
        <v>2500000</v>
      </c>
      <c r="Z174" s="705">
        <f t="shared" si="145"/>
        <v>250000</v>
      </c>
      <c r="AA174" s="705">
        <f>D$43*X174/1000</f>
        <v>62500</v>
      </c>
      <c r="AB174" s="684">
        <f t="shared" si="130"/>
        <v>4522500</v>
      </c>
      <c r="AC174" s="685">
        <f t="shared" si="131"/>
        <v>4522500</v>
      </c>
      <c r="AD174" s="705">
        <f>IF(Main!$L$10="YES",Main!$N$10+AC174,AC174)</f>
        <v>4522500</v>
      </c>
      <c r="AE174" s="705">
        <f>IF(AND((Main!$E$9&gt;=18),(Main!$J$10="YES")),$Y$158+AD174,AD174)</f>
        <v>7022500</v>
      </c>
      <c r="AF174" s="705">
        <f t="shared" si="132"/>
        <v>250000</v>
      </c>
      <c r="AH174" s="705">
        <f t="shared" si="133"/>
        <v>9187500</v>
      </c>
      <c r="AI174" s="705">
        <f>IF(AND((Main!$E$9&gt;=18),(Main!$J$10="YES")),$Y$158+AH174,AH174)</f>
        <v>11687500</v>
      </c>
      <c r="AN174" s="848">
        <v>16</v>
      </c>
      <c r="AO174" s="846" t="e">
        <f>Q$13</f>
        <v>#N/A</v>
      </c>
      <c r="AP174" s="824">
        <f t="shared" si="134"/>
        <v>-8000000</v>
      </c>
      <c r="AQ174" s="705" t="e">
        <f t="shared" si="114"/>
        <v>#N/A</v>
      </c>
      <c r="AR174" s="825" t="e">
        <f t="shared" si="135"/>
        <v>#N/A</v>
      </c>
      <c r="AS174" s="829" t="e">
        <f t="shared" si="136"/>
        <v>#N/A</v>
      </c>
      <c r="AT174" s="1173" t="e">
        <f>BA$13</f>
        <v>#N/A</v>
      </c>
      <c r="AU174" s="705" t="e">
        <f t="shared" si="137"/>
        <v>#N/A</v>
      </c>
      <c r="AV174" s="1173" t="e">
        <f>CL$13</f>
        <v>#N/A</v>
      </c>
      <c r="AW174" s="705" t="e">
        <f t="shared" si="138"/>
        <v>#N/A</v>
      </c>
      <c r="AX174" s="825" t="e">
        <f t="shared" si="139"/>
        <v>#N/A</v>
      </c>
      <c r="AY174" s="825" t="e">
        <f t="shared" si="140"/>
        <v>#N/A</v>
      </c>
      <c r="AZ174" s="847" t="e">
        <f t="shared" si="141"/>
        <v>#N/A</v>
      </c>
      <c r="BA174" s="684">
        <f t="shared" si="142"/>
        <v>3560880</v>
      </c>
      <c r="BB174" s="684">
        <f t="shared" si="143"/>
        <v>3738924</v>
      </c>
      <c r="BC174" s="824">
        <f t="shared" si="115"/>
        <v>2500000</v>
      </c>
      <c r="BD174" s="684">
        <f t="shared" si="116"/>
        <v>2500000</v>
      </c>
      <c r="BF174" s="705">
        <f>D$43*BC174/1000</f>
        <v>62500</v>
      </c>
      <c r="BG174" s="824" t="e">
        <f t="shared" si="144"/>
        <v>#N/A</v>
      </c>
      <c r="BH174" s="824" t="e">
        <f t="shared" si="117"/>
        <v>#N/A</v>
      </c>
      <c r="BS174" s="843">
        <v>12</v>
      </c>
      <c r="BT174" s="705">
        <v>0</v>
      </c>
      <c r="BU174" s="705">
        <v>0</v>
      </c>
      <c r="BV174" s="705">
        <f>-DAT!$AY$17</f>
        <v>-106747</v>
      </c>
      <c r="BW174" s="705">
        <f>-DAT!$AY$17</f>
        <v>-106747</v>
      </c>
      <c r="BX174" s="705">
        <f>-DAT!$AY$17</f>
        <v>-106747</v>
      </c>
      <c r="BY174" s="705">
        <f>-DAT!$AY$17</f>
        <v>-106747</v>
      </c>
      <c r="BZ174" s="705">
        <f>-DAT!$AY$17</f>
        <v>-106747</v>
      </c>
      <c r="CA174" s="705">
        <f>-DAT!$AY$17</f>
        <v>-106747</v>
      </c>
      <c r="CB174" s="705">
        <f>-DAT!$AY$17</f>
        <v>-106747</v>
      </c>
      <c r="CC174" s="705">
        <f>-DAT!$AY$17</f>
        <v>-106747</v>
      </c>
      <c r="CD174" s="705">
        <f>-DAT!$AY$17</f>
        <v>-106747</v>
      </c>
      <c r="CE174" s="705">
        <f>-DAT!$AY$17</f>
        <v>-106747</v>
      </c>
      <c r="CF174" s="705">
        <f>-DAT!$AY$17</f>
        <v>-106747</v>
      </c>
      <c r="CI174" s="843">
        <v>12</v>
      </c>
      <c r="CJ174" s="848">
        <f>N132</f>
        <v>5375000</v>
      </c>
      <c r="CK174" s="848">
        <f>N132</f>
        <v>5375000</v>
      </c>
      <c r="CL174" s="705">
        <v>0</v>
      </c>
      <c r="CM174" s="705">
        <v>0</v>
      </c>
      <c r="CN174" s="705">
        <v>0</v>
      </c>
      <c r="CO174" s="705">
        <v>0</v>
      </c>
      <c r="CR174" s="843">
        <v>12</v>
      </c>
      <c r="CS174" s="705">
        <v>0</v>
      </c>
      <c r="CT174" s="705">
        <f>-DAT!$AY$19</f>
        <v>-115589</v>
      </c>
      <c r="CU174" s="705">
        <f>-DAT!$AY$19</f>
        <v>-115589</v>
      </c>
    </row>
    <row r="175" spans="2:99">
      <c r="B175" s="843">
        <v>25</v>
      </c>
      <c r="C175" s="843">
        <v>49</v>
      </c>
      <c r="D175" s="843">
        <v>80</v>
      </c>
      <c r="I175" s="843">
        <v>17</v>
      </c>
      <c r="J175" s="846">
        <f>R$14</f>
        <v>53.4</v>
      </c>
      <c r="K175" s="705">
        <f t="shared" si="118"/>
        <v>1700000</v>
      </c>
      <c r="L175" s="705">
        <f t="shared" si="119"/>
        <v>2082500</v>
      </c>
      <c r="M175" s="825">
        <f t="shared" si="120"/>
        <v>3782500</v>
      </c>
      <c r="N175" s="829">
        <f t="shared" si="121"/>
        <v>2019855</v>
      </c>
      <c r="O175" s="1173">
        <f>BB$14</f>
        <v>0.67649999999999999</v>
      </c>
      <c r="P175" s="705">
        <f t="shared" si="122"/>
        <v>1169003</v>
      </c>
      <c r="Q175" s="1173">
        <f>CM$14</f>
        <v>0.1918</v>
      </c>
      <c r="R175" s="705">
        <f t="shared" si="123"/>
        <v>399424</v>
      </c>
      <c r="S175" s="825">
        <f t="shared" si="124"/>
        <v>1568427</v>
      </c>
      <c r="T175" s="825">
        <f t="shared" si="125"/>
        <v>2019855</v>
      </c>
      <c r="U175" s="847">
        <f t="shared" si="126"/>
        <v>1615900</v>
      </c>
      <c r="V175" s="684">
        <f t="shared" si="127"/>
        <v>1728016</v>
      </c>
      <c r="W175" s="684">
        <f t="shared" si="128"/>
        <v>1814417</v>
      </c>
      <c r="X175" s="824">
        <f t="shared" si="113"/>
        <v>2500000</v>
      </c>
      <c r="Y175" s="684">
        <f t="shared" si="129"/>
        <v>2500000</v>
      </c>
      <c r="Z175" s="705">
        <f t="shared" si="145"/>
        <v>250000</v>
      </c>
      <c r="AA175" s="705">
        <f>E$43*X175/1000</f>
        <v>75000</v>
      </c>
      <c r="AB175" s="684">
        <f t="shared" si="130"/>
        <v>4657500</v>
      </c>
      <c r="AC175" s="685">
        <f t="shared" si="131"/>
        <v>4657500</v>
      </c>
      <c r="AD175" s="705">
        <f>IF(Main!$L$10="YES",Main!$N$10+AC175,AC175)</f>
        <v>4657500</v>
      </c>
      <c r="AE175" s="705">
        <f>IF(AND((Main!$E$9&gt;=18),(Main!$J$10="YES")),$Y$158+AD175,AD175)</f>
        <v>7157500</v>
      </c>
      <c r="AF175" s="705">
        <f t="shared" si="132"/>
        <v>250000</v>
      </c>
      <c r="AH175" s="705">
        <f t="shared" si="133"/>
        <v>8937500</v>
      </c>
      <c r="AI175" s="705">
        <f>IF(AND((Main!$E$9&gt;=18),(Main!$J$10="YES")),$Y$158+AH175,AH175)</f>
        <v>11437500</v>
      </c>
      <c r="AN175" s="848">
        <v>17</v>
      </c>
      <c r="AO175" s="846" t="e">
        <f>R$13</f>
        <v>#N/A</v>
      </c>
      <c r="AP175" s="824">
        <f t="shared" si="134"/>
        <v>-8500000</v>
      </c>
      <c r="AQ175" s="705" t="e">
        <f t="shared" si="114"/>
        <v>#N/A</v>
      </c>
      <c r="AR175" s="825" t="e">
        <f t="shared" si="135"/>
        <v>#N/A</v>
      </c>
      <c r="AS175" s="829" t="e">
        <f t="shared" si="136"/>
        <v>#N/A</v>
      </c>
      <c r="AT175" s="1173" t="e">
        <f>BB$13</f>
        <v>#N/A</v>
      </c>
      <c r="AU175" s="705" t="e">
        <f t="shared" si="137"/>
        <v>#N/A</v>
      </c>
      <c r="AV175" s="1173" t="e">
        <f>CM$13</f>
        <v>#N/A</v>
      </c>
      <c r="AW175" s="705" t="e">
        <f t="shared" si="138"/>
        <v>#N/A</v>
      </c>
      <c r="AX175" s="825" t="e">
        <f t="shared" si="139"/>
        <v>#N/A</v>
      </c>
      <c r="AY175" s="825" t="e">
        <f t="shared" si="140"/>
        <v>#N/A</v>
      </c>
      <c r="AZ175" s="847" t="e">
        <f t="shared" si="141"/>
        <v>#N/A</v>
      </c>
      <c r="BA175" s="684">
        <f t="shared" si="142"/>
        <v>3783435</v>
      </c>
      <c r="BB175" s="684">
        <f t="shared" si="143"/>
        <v>3972607</v>
      </c>
      <c r="BC175" s="824">
        <f t="shared" si="115"/>
        <v>2500000</v>
      </c>
      <c r="BD175" s="684">
        <f t="shared" si="116"/>
        <v>2500000</v>
      </c>
      <c r="BF175" s="705">
        <f>E$43*BC175/1000</f>
        <v>75000</v>
      </c>
      <c r="BG175" s="824" t="e">
        <f t="shared" si="144"/>
        <v>#N/A</v>
      </c>
      <c r="BH175" s="824" t="e">
        <f t="shared" si="117"/>
        <v>#N/A</v>
      </c>
      <c r="BS175" s="843">
        <v>13</v>
      </c>
      <c r="BT175" s="705">
        <v>0</v>
      </c>
      <c r="BU175" s="705">
        <v>0</v>
      </c>
      <c r="BV175" s="705">
        <v>0</v>
      </c>
      <c r="BW175" s="705">
        <f>-DAT!$AY$17</f>
        <v>-106747</v>
      </c>
      <c r="BX175" s="705">
        <f>-DAT!$AY$17</f>
        <v>-106747</v>
      </c>
      <c r="BY175" s="705">
        <f>-DAT!$AY$17</f>
        <v>-106747</v>
      </c>
      <c r="BZ175" s="705">
        <f>-DAT!$AY$17</f>
        <v>-106747</v>
      </c>
      <c r="CA175" s="705">
        <f>-DAT!$AY$17</f>
        <v>-106747</v>
      </c>
      <c r="CB175" s="705">
        <f>-DAT!$AY$17</f>
        <v>-106747</v>
      </c>
      <c r="CC175" s="705">
        <f>-DAT!$AY$17</f>
        <v>-106747</v>
      </c>
      <c r="CD175" s="705">
        <f>-DAT!$AY$17</f>
        <v>-106747</v>
      </c>
      <c r="CE175" s="705">
        <f>-DAT!$AY$17</f>
        <v>-106747</v>
      </c>
      <c r="CF175" s="705">
        <f>-DAT!$AY$17</f>
        <v>-106747</v>
      </c>
      <c r="CI175" s="843">
        <v>13</v>
      </c>
      <c r="CJ175" s="848"/>
      <c r="CK175" s="848"/>
      <c r="CL175" s="705">
        <v>0</v>
      </c>
      <c r="CM175" s="705">
        <v>0</v>
      </c>
      <c r="CN175" s="705">
        <v>0</v>
      </c>
      <c r="CO175" s="705">
        <v>0</v>
      </c>
      <c r="CR175" s="843">
        <v>13</v>
      </c>
      <c r="CS175" s="705">
        <v>0</v>
      </c>
      <c r="CT175" s="705">
        <f>-DAT!$AY$19</f>
        <v>-115589</v>
      </c>
      <c r="CU175" s="705">
        <f>-DAT!$AY$19</f>
        <v>-115589</v>
      </c>
    </row>
    <row r="176" spans="2:99">
      <c r="I176" s="843">
        <v>18</v>
      </c>
      <c r="J176" s="846">
        <f>S$14</f>
        <v>56.95</v>
      </c>
      <c r="K176" s="705">
        <f t="shared" si="118"/>
        <v>1800000</v>
      </c>
      <c r="L176" s="705">
        <f t="shared" si="119"/>
        <v>2205000</v>
      </c>
      <c r="M176" s="825">
        <f t="shared" si="120"/>
        <v>4005000</v>
      </c>
      <c r="N176" s="829">
        <f t="shared" si="121"/>
        <v>2280848</v>
      </c>
      <c r="O176" s="1173">
        <f>BC$14</f>
        <v>0.69410000000000005</v>
      </c>
      <c r="P176" s="705">
        <f t="shared" si="122"/>
        <v>1269970</v>
      </c>
      <c r="Q176" s="1173">
        <f>CN$14</f>
        <v>0.1993</v>
      </c>
      <c r="R176" s="705">
        <f t="shared" si="123"/>
        <v>439457</v>
      </c>
      <c r="S176" s="825">
        <f t="shared" si="124"/>
        <v>1709427</v>
      </c>
      <c r="T176" s="825">
        <f t="shared" si="125"/>
        <v>2280848</v>
      </c>
      <c r="U176" s="847">
        <f t="shared" si="126"/>
        <v>1824700</v>
      </c>
      <c r="V176" s="684">
        <f t="shared" si="127"/>
        <v>1829664</v>
      </c>
      <c r="W176" s="684">
        <f t="shared" si="128"/>
        <v>1921147</v>
      </c>
      <c r="X176" s="824">
        <f t="shared" si="113"/>
        <v>2500000</v>
      </c>
      <c r="Y176" s="684">
        <f t="shared" si="129"/>
        <v>2500000</v>
      </c>
      <c r="Z176" s="705">
        <f t="shared" si="145"/>
        <v>250000</v>
      </c>
      <c r="AA176" s="705">
        <f>F$43*X176/1000</f>
        <v>87500</v>
      </c>
      <c r="AB176" s="684">
        <f t="shared" si="130"/>
        <v>4792500</v>
      </c>
      <c r="AC176" s="685">
        <f t="shared" si="131"/>
        <v>4792500</v>
      </c>
      <c r="AD176" s="705">
        <f>IF(Main!$L$10="YES",Main!$N$10+AC176,AC176)</f>
        <v>4792500</v>
      </c>
      <c r="AE176" s="705">
        <f>IF(AND((Main!$E$9&gt;=18),(Main!$J$10="YES")),$Y$158+AD176,AD176)</f>
        <v>7292500</v>
      </c>
      <c r="AF176" s="705">
        <f t="shared" si="132"/>
        <v>250000</v>
      </c>
      <c r="AH176" s="705">
        <f t="shared" si="133"/>
        <v>8687500</v>
      </c>
      <c r="AI176" s="705">
        <f>IF(AND((Main!$E$9&gt;=18),(Main!$J$10="YES")),$Y$158+AH176,AH176)</f>
        <v>11187500</v>
      </c>
      <c r="AN176" s="848">
        <v>18</v>
      </c>
      <c r="AO176" s="846" t="e">
        <f>S$13</f>
        <v>#N/A</v>
      </c>
      <c r="AP176" s="824">
        <f t="shared" si="134"/>
        <v>-9000000</v>
      </c>
      <c r="AQ176" s="705" t="e">
        <f t="shared" si="114"/>
        <v>#N/A</v>
      </c>
      <c r="AR176" s="825" t="e">
        <f t="shared" si="135"/>
        <v>#N/A</v>
      </c>
      <c r="AS176" s="829" t="e">
        <f t="shared" si="136"/>
        <v>#N/A</v>
      </c>
      <c r="AT176" s="1173" t="e">
        <f>BC$13</f>
        <v>#N/A</v>
      </c>
      <c r="AU176" s="705" t="e">
        <f t="shared" si="137"/>
        <v>#N/A</v>
      </c>
      <c r="AV176" s="1173" t="e">
        <f>CN$13</f>
        <v>#N/A</v>
      </c>
      <c r="AW176" s="705" t="e">
        <f t="shared" si="138"/>
        <v>#N/A</v>
      </c>
      <c r="AX176" s="825" t="e">
        <f t="shared" si="139"/>
        <v>#N/A</v>
      </c>
      <c r="AY176" s="825" t="e">
        <f t="shared" si="140"/>
        <v>#N/A</v>
      </c>
      <c r="AZ176" s="847" t="e">
        <f t="shared" si="141"/>
        <v>#N/A</v>
      </c>
      <c r="BA176" s="684">
        <f t="shared" si="142"/>
        <v>4005990</v>
      </c>
      <c r="BB176" s="684">
        <f t="shared" si="143"/>
        <v>4206290</v>
      </c>
      <c r="BC176" s="824">
        <f t="shared" si="115"/>
        <v>2500000</v>
      </c>
      <c r="BD176" s="684">
        <f t="shared" si="116"/>
        <v>2500000</v>
      </c>
      <c r="BF176" s="705">
        <f>F$43*BC176/1000</f>
        <v>87500</v>
      </c>
      <c r="BG176" s="824" t="e">
        <f t="shared" si="144"/>
        <v>#N/A</v>
      </c>
      <c r="BH176" s="824" t="e">
        <f t="shared" si="117"/>
        <v>#N/A</v>
      </c>
      <c r="BS176" s="843">
        <v>14</v>
      </c>
      <c r="BT176" s="705">
        <f>AD171</f>
        <v>4092500</v>
      </c>
      <c r="BU176" s="705">
        <v>0</v>
      </c>
      <c r="BV176" s="705">
        <v>0</v>
      </c>
      <c r="BW176" s="705">
        <v>0</v>
      </c>
      <c r="BX176" s="705">
        <f>-DAT!$AY$17</f>
        <v>-106747</v>
      </c>
      <c r="BY176" s="705">
        <f>-DAT!$AY$17</f>
        <v>-106747</v>
      </c>
      <c r="BZ176" s="705">
        <f>-DAT!$AY$17</f>
        <v>-106747</v>
      </c>
      <c r="CA176" s="705">
        <f>-DAT!$AY$17</f>
        <v>-106747</v>
      </c>
      <c r="CB176" s="705">
        <f>-DAT!$AY$17</f>
        <v>-106747</v>
      </c>
      <c r="CC176" s="705">
        <f>-DAT!$AY$17</f>
        <v>-106747</v>
      </c>
      <c r="CD176" s="705">
        <f>-DAT!$AY$17</f>
        <v>-106747</v>
      </c>
      <c r="CE176" s="705">
        <f>-DAT!$AY$17</f>
        <v>-106747</v>
      </c>
      <c r="CF176" s="705">
        <f>-DAT!$AY$17</f>
        <v>-106747</v>
      </c>
      <c r="CI176" s="843">
        <v>14</v>
      </c>
      <c r="CL176" s="705">
        <v>0</v>
      </c>
      <c r="CM176" s="705">
        <v>0</v>
      </c>
      <c r="CN176" s="705">
        <v>0</v>
      </c>
      <c r="CO176" s="705">
        <v>0</v>
      </c>
      <c r="CR176" s="843">
        <v>14</v>
      </c>
      <c r="CS176" s="705">
        <v>0</v>
      </c>
      <c r="CT176" s="705">
        <f>-DAT!$AY$19</f>
        <v>-115589</v>
      </c>
      <c r="CU176" s="705">
        <f>-DAT!$AY$19</f>
        <v>-115589</v>
      </c>
    </row>
    <row r="177" spans="3:103">
      <c r="I177" s="843">
        <v>19</v>
      </c>
      <c r="J177" s="846">
        <f>T$14</f>
        <v>60.95</v>
      </c>
      <c r="K177" s="705">
        <f t="shared" si="118"/>
        <v>1900000</v>
      </c>
      <c r="L177" s="705">
        <f t="shared" si="119"/>
        <v>2327500</v>
      </c>
      <c r="M177" s="825">
        <f t="shared" si="120"/>
        <v>4227500</v>
      </c>
      <c r="N177" s="829">
        <f t="shared" si="121"/>
        <v>2576661</v>
      </c>
      <c r="O177" s="1173">
        <f>BD$14</f>
        <v>0.71179999999999999</v>
      </c>
      <c r="P177" s="705">
        <f t="shared" si="122"/>
        <v>1374708</v>
      </c>
      <c r="Q177" s="1173">
        <f>CO$14</f>
        <v>0.20849999999999999</v>
      </c>
      <c r="R177" s="705">
        <f t="shared" si="123"/>
        <v>485284</v>
      </c>
      <c r="S177" s="825">
        <f t="shared" si="124"/>
        <v>1859992</v>
      </c>
      <c r="T177" s="825">
        <f t="shared" si="125"/>
        <v>2576661</v>
      </c>
      <c r="U177" s="847">
        <f t="shared" si="126"/>
        <v>2061300</v>
      </c>
      <c r="V177" s="684">
        <f t="shared" si="127"/>
        <v>1931312</v>
      </c>
      <c r="W177" s="684">
        <f t="shared" si="128"/>
        <v>2027878</v>
      </c>
      <c r="X177" s="824">
        <f t="shared" si="113"/>
        <v>2500000</v>
      </c>
      <c r="Y177" s="684">
        <f t="shared" si="129"/>
        <v>2500000</v>
      </c>
      <c r="Z177" s="705">
        <f t="shared" si="145"/>
        <v>250000</v>
      </c>
      <c r="AA177" s="705">
        <f>G$43*X177/1000</f>
        <v>125000</v>
      </c>
      <c r="AB177" s="684">
        <f t="shared" si="130"/>
        <v>4952500</v>
      </c>
      <c r="AC177" s="685">
        <f t="shared" si="131"/>
        <v>4952500</v>
      </c>
      <c r="AD177" s="705">
        <f>IF(Main!$L$10="YES",Main!$N$10+AC177,AC177)</f>
        <v>4952500</v>
      </c>
      <c r="AE177" s="705">
        <f>IF(AND((Main!$E$9&gt;=18),(Main!$J$10="YES")),$Y$158+AD177,AD177)</f>
        <v>7452500</v>
      </c>
      <c r="AF177" s="705">
        <f t="shared" si="132"/>
        <v>250000</v>
      </c>
      <c r="AH177" s="705">
        <f t="shared" si="133"/>
        <v>8437500</v>
      </c>
      <c r="AI177" s="705">
        <f>IF(AND((Main!$E$9&gt;=18),(Main!$J$10="YES")),$Y$158+AH177,AH177)</f>
        <v>10937500</v>
      </c>
      <c r="AN177" s="848">
        <v>19</v>
      </c>
      <c r="AO177" s="846" t="e">
        <f>T$13</f>
        <v>#N/A</v>
      </c>
      <c r="AP177" s="824">
        <f t="shared" si="134"/>
        <v>-9500000</v>
      </c>
      <c r="AQ177" s="705" t="e">
        <f t="shared" si="114"/>
        <v>#N/A</v>
      </c>
      <c r="AR177" s="825" t="e">
        <f t="shared" si="135"/>
        <v>#N/A</v>
      </c>
      <c r="AS177" s="829" t="e">
        <f t="shared" si="136"/>
        <v>#N/A</v>
      </c>
      <c r="AT177" s="1173" t="e">
        <f>BD$13</f>
        <v>#N/A</v>
      </c>
      <c r="AU177" s="705" t="e">
        <f t="shared" si="137"/>
        <v>#N/A</v>
      </c>
      <c r="AV177" s="1173" t="e">
        <f>CO$13</f>
        <v>#N/A</v>
      </c>
      <c r="AW177" s="705" t="e">
        <f t="shared" si="138"/>
        <v>#N/A</v>
      </c>
      <c r="AX177" s="825" t="e">
        <f t="shared" si="139"/>
        <v>#N/A</v>
      </c>
      <c r="AY177" s="825" t="e">
        <f t="shared" si="140"/>
        <v>#N/A</v>
      </c>
      <c r="AZ177" s="847" t="e">
        <f t="shared" si="141"/>
        <v>#N/A</v>
      </c>
      <c r="BA177" s="684">
        <f t="shared" si="142"/>
        <v>4228545</v>
      </c>
      <c r="BB177" s="684">
        <f t="shared" si="143"/>
        <v>4439972</v>
      </c>
      <c r="BC177" s="824">
        <f t="shared" si="115"/>
        <v>2500000</v>
      </c>
      <c r="BD177" s="684">
        <f t="shared" si="116"/>
        <v>2500000</v>
      </c>
      <c r="BF177" s="705">
        <f>G$43*BC177/1000</f>
        <v>125000</v>
      </c>
      <c r="BG177" s="824" t="e">
        <f t="shared" si="144"/>
        <v>#N/A</v>
      </c>
      <c r="BH177" s="824" t="e">
        <f t="shared" si="117"/>
        <v>#N/A</v>
      </c>
      <c r="BS177" s="843">
        <v>15</v>
      </c>
      <c r="BU177" s="705">
        <f>AD172</f>
        <v>4215000</v>
      </c>
      <c r="BV177" s="705">
        <v>0</v>
      </c>
      <c r="BW177" s="705">
        <v>0</v>
      </c>
      <c r="BX177" s="705">
        <v>0</v>
      </c>
      <c r="BY177" s="705">
        <f>-DAT!$AY$17</f>
        <v>-106747</v>
      </c>
      <c r="BZ177" s="705">
        <f>-DAT!$AY$17</f>
        <v>-106747</v>
      </c>
      <c r="CA177" s="705">
        <f>-DAT!$AY$17</f>
        <v>-106747</v>
      </c>
      <c r="CB177" s="705">
        <f>-DAT!$AY$17</f>
        <v>-106747</v>
      </c>
      <c r="CC177" s="705">
        <f>-DAT!$AY$17</f>
        <v>-106747</v>
      </c>
      <c r="CD177" s="705">
        <f>-DAT!$AY$17</f>
        <v>-106747</v>
      </c>
      <c r="CE177" s="705">
        <f>-DAT!$AY$17</f>
        <v>-106747</v>
      </c>
      <c r="CF177" s="705">
        <f>-DAT!$AY$17</f>
        <v>-106747</v>
      </c>
      <c r="CI177" s="843">
        <v>15</v>
      </c>
      <c r="CL177" s="705">
        <v>0</v>
      </c>
      <c r="CM177" s="705">
        <v>0</v>
      </c>
      <c r="CN177" s="705">
        <v>0</v>
      </c>
      <c r="CO177" s="705">
        <v>0</v>
      </c>
      <c r="CR177" s="843">
        <v>15</v>
      </c>
      <c r="CS177" s="705">
        <v>0</v>
      </c>
      <c r="CT177" s="705">
        <f>-DAT!$AY$19</f>
        <v>-115589</v>
      </c>
      <c r="CU177" s="705">
        <f>-DAT!$AY$19</f>
        <v>-115589</v>
      </c>
    </row>
    <row r="178" spans="3:103">
      <c r="I178" s="843">
        <v>20</v>
      </c>
      <c r="J178" s="846">
        <f>U$14</f>
        <v>65.489999999999995</v>
      </c>
      <c r="K178" s="705">
        <f t="shared" si="118"/>
        <v>2000000</v>
      </c>
      <c r="L178" s="705">
        <f t="shared" si="119"/>
        <v>2450000</v>
      </c>
      <c r="M178" s="825">
        <f t="shared" si="120"/>
        <v>4450000</v>
      </c>
      <c r="N178" s="829">
        <f t="shared" si="121"/>
        <v>2914305</v>
      </c>
      <c r="O178" s="1173">
        <f>BE$14</f>
        <v>0.72940000000000005</v>
      </c>
      <c r="P178" s="705">
        <f t="shared" si="122"/>
        <v>1482841</v>
      </c>
      <c r="Q178" s="1173">
        <f>CP$14</f>
        <v>0.21990000000000001</v>
      </c>
      <c r="R178" s="705">
        <f t="shared" si="123"/>
        <v>538755</v>
      </c>
      <c r="S178" s="825">
        <f t="shared" si="124"/>
        <v>2021596</v>
      </c>
      <c r="T178" s="825">
        <f t="shared" si="125"/>
        <v>2914305</v>
      </c>
      <c r="U178" s="847">
        <f t="shared" si="126"/>
        <v>2331400</v>
      </c>
      <c r="V178" s="684">
        <f t="shared" si="127"/>
        <v>2032960</v>
      </c>
      <c r="W178" s="684">
        <f t="shared" si="128"/>
        <v>2134608</v>
      </c>
      <c r="X178" s="824">
        <f t="shared" si="113"/>
        <v>2500000</v>
      </c>
      <c r="Y178" s="684">
        <f t="shared" si="129"/>
        <v>2500000</v>
      </c>
      <c r="Z178" s="705">
        <f t="shared" si="145"/>
        <v>250000</v>
      </c>
      <c r="AA178" s="705">
        <f>H$43*X178/1000</f>
        <v>175000</v>
      </c>
      <c r="AB178" s="684">
        <f t="shared" si="130"/>
        <v>5125000</v>
      </c>
      <c r="AC178" s="685">
        <f t="shared" si="131"/>
        <v>5125000</v>
      </c>
      <c r="AD178" s="705">
        <f>IF(Main!$L$10="YES",Main!$N$10+AC178,AC178)</f>
        <v>5125000</v>
      </c>
      <c r="AE178" s="705">
        <f>IF(AND((Main!$E$9&gt;=18),(Main!$J$10="YES")),$Y$158+AD178,AD178)</f>
        <v>7625000</v>
      </c>
      <c r="AF178" s="705">
        <f t="shared" si="132"/>
        <v>250000</v>
      </c>
      <c r="AH178" s="705">
        <f t="shared" si="133"/>
        <v>8187500</v>
      </c>
      <c r="AI178" s="705">
        <f>IF(AND((Main!$E$9&gt;=18),(Main!$J$10="YES")),$Y$158+AH178,AH178)</f>
        <v>10687500</v>
      </c>
      <c r="AN178" s="848">
        <v>20</v>
      </c>
      <c r="AO178" s="846" t="e">
        <f>U$13</f>
        <v>#N/A</v>
      </c>
      <c r="AP178" s="824">
        <f t="shared" si="134"/>
        <v>-10000000</v>
      </c>
      <c r="AQ178" s="705" t="e">
        <f t="shared" si="114"/>
        <v>#N/A</v>
      </c>
      <c r="AR178" s="825" t="e">
        <f t="shared" si="135"/>
        <v>#N/A</v>
      </c>
      <c r="AS178" s="829" t="e">
        <f t="shared" si="136"/>
        <v>#N/A</v>
      </c>
      <c r="AT178" s="1173" t="e">
        <f>BE$13</f>
        <v>#N/A</v>
      </c>
      <c r="AU178" s="705" t="e">
        <f t="shared" si="137"/>
        <v>#N/A</v>
      </c>
      <c r="AV178" s="1173" t="e">
        <f>CP$13</f>
        <v>#N/A</v>
      </c>
      <c r="AW178" s="705" t="e">
        <f t="shared" si="138"/>
        <v>#N/A</v>
      </c>
      <c r="AX178" s="825" t="e">
        <f t="shared" si="139"/>
        <v>#N/A</v>
      </c>
      <c r="AY178" s="825" t="e">
        <f t="shared" si="140"/>
        <v>#N/A</v>
      </c>
      <c r="AZ178" s="847" t="e">
        <f t="shared" si="141"/>
        <v>#N/A</v>
      </c>
      <c r="BA178" s="684">
        <f t="shared" si="142"/>
        <v>4451100</v>
      </c>
      <c r="BB178" s="684">
        <f t="shared" si="143"/>
        <v>4673655</v>
      </c>
      <c r="BC178" s="824">
        <f t="shared" si="115"/>
        <v>2500000</v>
      </c>
      <c r="BD178" s="684">
        <f t="shared" si="116"/>
        <v>2500000</v>
      </c>
      <c r="BF178" s="705">
        <f>H$43*BC178/1000</f>
        <v>175000</v>
      </c>
      <c r="BG178" s="824" t="e">
        <f t="shared" si="144"/>
        <v>#N/A</v>
      </c>
      <c r="BH178" s="824" t="e">
        <f t="shared" si="117"/>
        <v>#N/A</v>
      </c>
      <c r="BS178" s="843">
        <v>16</v>
      </c>
      <c r="BV178" s="705">
        <f>AD173</f>
        <v>4387500</v>
      </c>
      <c r="BW178" s="705">
        <v>0</v>
      </c>
      <c r="BX178" s="705">
        <v>0</v>
      </c>
      <c r="BY178" s="705">
        <v>0</v>
      </c>
      <c r="BZ178" s="705">
        <f>-DAT!$AY$17</f>
        <v>-106747</v>
      </c>
      <c r="CA178" s="705">
        <f>-DAT!$AY$17</f>
        <v>-106747</v>
      </c>
      <c r="CB178" s="705">
        <f>-DAT!$AY$17</f>
        <v>-106747</v>
      </c>
      <c r="CC178" s="705">
        <f>-DAT!$AY$17</f>
        <v>-106747</v>
      </c>
      <c r="CD178" s="705">
        <f>-DAT!$AY$17</f>
        <v>-106747</v>
      </c>
      <c r="CE178" s="705">
        <f>-DAT!$AY$17</f>
        <v>-106747</v>
      </c>
      <c r="CF178" s="705">
        <f>-DAT!$AY$17</f>
        <v>-106747</v>
      </c>
      <c r="CI178" s="843">
        <v>16</v>
      </c>
      <c r="CL178" s="848">
        <f>N132</f>
        <v>5375000</v>
      </c>
      <c r="CM178" s="848">
        <f>N132</f>
        <v>5375000</v>
      </c>
      <c r="CN178" s="705">
        <v>0</v>
      </c>
      <c r="CO178" s="705">
        <v>0</v>
      </c>
      <c r="CR178" s="843">
        <v>16</v>
      </c>
      <c r="CS178" s="848">
        <f>P188</f>
        <v>6750000</v>
      </c>
      <c r="CT178" s="705">
        <v>0</v>
      </c>
      <c r="CU178" s="705">
        <f>-DAT!$AY$19</f>
        <v>-115589</v>
      </c>
    </row>
    <row r="179" spans="3:103">
      <c r="I179" s="843">
        <v>21</v>
      </c>
      <c r="J179" s="846">
        <f>V$14</f>
        <v>71.19</v>
      </c>
      <c r="K179" s="705">
        <f t="shared" si="118"/>
        <v>2100000</v>
      </c>
      <c r="L179" s="705">
        <f t="shared" si="119"/>
        <v>2572500</v>
      </c>
      <c r="M179" s="825">
        <f t="shared" si="120"/>
        <v>4672500</v>
      </c>
      <c r="N179" s="829">
        <f t="shared" si="121"/>
        <v>3326353</v>
      </c>
      <c r="O179" s="1173">
        <f>BF$14</f>
        <v>0.74709999999999999</v>
      </c>
      <c r="P179" s="705">
        <f t="shared" si="122"/>
        <v>1594766</v>
      </c>
      <c r="Q179" s="1173">
        <f>CQ$14</f>
        <v>0.23380000000000001</v>
      </c>
      <c r="R179" s="705">
        <f t="shared" si="123"/>
        <v>601451</v>
      </c>
      <c r="S179" s="825">
        <f t="shared" si="124"/>
        <v>2196217</v>
      </c>
      <c r="T179" s="825">
        <f t="shared" si="125"/>
        <v>3326353</v>
      </c>
      <c r="U179" s="847">
        <f t="shared" si="126"/>
        <v>2661100</v>
      </c>
      <c r="V179" s="684">
        <f t="shared" si="127"/>
        <v>2134608</v>
      </c>
      <c r="W179" s="684">
        <f t="shared" si="128"/>
        <v>2241338</v>
      </c>
      <c r="X179" s="824">
        <f t="shared" si="113"/>
        <v>2500000</v>
      </c>
      <c r="Y179" s="684">
        <f t="shared" si="129"/>
        <v>2500000</v>
      </c>
      <c r="Z179" s="705">
        <f t="shared" si="145"/>
        <v>250000</v>
      </c>
      <c r="AA179" s="705">
        <f>I$43*X179/1000</f>
        <v>250000</v>
      </c>
      <c r="AB179" s="684">
        <f t="shared" si="130"/>
        <v>5322500</v>
      </c>
      <c r="AC179" s="685">
        <f t="shared" si="131"/>
        <v>5322500</v>
      </c>
      <c r="AD179" s="705">
        <f>IF(Main!$L$10="YES",Main!$N$10+AC179,AC179)</f>
        <v>5322500</v>
      </c>
      <c r="AE179" s="705">
        <f>IF(AND((Main!$E$9&gt;=18),(Main!$J$10="YES")),$Y$158+AD179,AD179)</f>
        <v>7822500</v>
      </c>
      <c r="AF179" s="705">
        <f t="shared" si="132"/>
        <v>250000</v>
      </c>
      <c r="AH179" s="705">
        <f t="shared" si="133"/>
        <v>7937500</v>
      </c>
      <c r="AI179" s="705">
        <f>IF(AND((Main!$E$9&gt;=18),(Main!$J$10="YES")),$Y$158+AH179,AH179)</f>
        <v>10437500</v>
      </c>
      <c r="AN179" s="848">
        <v>21</v>
      </c>
      <c r="AO179" s="846" t="e">
        <f>V$13</f>
        <v>#N/A</v>
      </c>
      <c r="AP179" s="824">
        <f t="shared" si="134"/>
        <v>-10500000</v>
      </c>
      <c r="AQ179" s="705" t="e">
        <f t="shared" si="114"/>
        <v>#N/A</v>
      </c>
      <c r="AR179" s="825" t="e">
        <f t="shared" si="135"/>
        <v>#N/A</v>
      </c>
      <c r="AS179" s="829" t="e">
        <f t="shared" si="136"/>
        <v>#N/A</v>
      </c>
      <c r="AT179" s="1173" t="e">
        <f>BF$13</f>
        <v>#N/A</v>
      </c>
      <c r="AU179" s="705" t="e">
        <f t="shared" si="137"/>
        <v>#N/A</v>
      </c>
      <c r="AV179" s="1173" t="e">
        <f>CQ$13</f>
        <v>#N/A</v>
      </c>
      <c r="AW179" s="705" t="e">
        <f t="shared" si="138"/>
        <v>#N/A</v>
      </c>
      <c r="AX179" s="825" t="e">
        <f t="shared" si="139"/>
        <v>#N/A</v>
      </c>
      <c r="AY179" s="825" t="e">
        <f t="shared" si="140"/>
        <v>#N/A</v>
      </c>
      <c r="AZ179" s="847" t="e">
        <f t="shared" si="141"/>
        <v>#N/A</v>
      </c>
      <c r="BA179" s="684">
        <f t="shared" si="142"/>
        <v>4673655</v>
      </c>
      <c r="BB179" s="684">
        <f t="shared" si="143"/>
        <v>4907338</v>
      </c>
      <c r="BC179" s="824">
        <f t="shared" si="115"/>
        <v>2500000</v>
      </c>
      <c r="BD179" s="684">
        <f t="shared" si="116"/>
        <v>2500000</v>
      </c>
      <c r="BF179" s="705">
        <f>I$43*BC179/1000</f>
        <v>250000</v>
      </c>
      <c r="BG179" s="824" t="e">
        <f t="shared" si="144"/>
        <v>#N/A</v>
      </c>
      <c r="BH179" s="824" t="e">
        <f t="shared" si="117"/>
        <v>#N/A</v>
      </c>
      <c r="BS179" s="843">
        <v>17</v>
      </c>
      <c r="BW179" s="705">
        <f>AD174</f>
        <v>4522500</v>
      </c>
      <c r="BX179" s="705">
        <v>0</v>
      </c>
      <c r="BY179" s="705">
        <v>0</v>
      </c>
      <c r="BZ179" s="705">
        <v>0</v>
      </c>
      <c r="CA179" s="705">
        <f>-DAT!$AY$17</f>
        <v>-106747</v>
      </c>
      <c r="CB179" s="705">
        <f>-DAT!$AY$17</f>
        <v>-106747</v>
      </c>
      <c r="CC179" s="705">
        <f>-DAT!$AY$17</f>
        <v>-106747</v>
      </c>
      <c r="CD179" s="705">
        <f>-DAT!$AY$17</f>
        <v>-106747</v>
      </c>
      <c r="CE179" s="705">
        <f>-DAT!$AY$17</f>
        <v>-106747</v>
      </c>
      <c r="CF179" s="705">
        <f>-DAT!$AY$17</f>
        <v>-106747</v>
      </c>
      <c r="CI179" s="843">
        <v>17</v>
      </c>
      <c r="CL179" s="848"/>
      <c r="CM179" s="848"/>
      <c r="CN179" s="705">
        <v>0</v>
      </c>
      <c r="CO179" s="705">
        <v>0</v>
      </c>
      <c r="CR179" s="843">
        <v>17</v>
      </c>
      <c r="CT179" s="705">
        <v>0</v>
      </c>
      <c r="CU179" s="705">
        <f>-DAT!$AY$19</f>
        <v>-115589</v>
      </c>
    </row>
    <row r="180" spans="3:103">
      <c r="I180" s="843">
        <v>22</v>
      </c>
      <c r="J180" s="846">
        <f>W$14</f>
        <v>77.41</v>
      </c>
      <c r="K180" s="705">
        <f t="shared" si="118"/>
        <v>2200000</v>
      </c>
      <c r="L180" s="705">
        <f t="shared" si="119"/>
        <v>2695000</v>
      </c>
      <c r="M180" s="825">
        <f t="shared" si="120"/>
        <v>4895000</v>
      </c>
      <c r="N180" s="829">
        <f t="shared" si="121"/>
        <v>3789220</v>
      </c>
      <c r="O180" s="1173">
        <f>BG$14</f>
        <v>0.76470000000000005</v>
      </c>
      <c r="P180" s="705">
        <f t="shared" si="122"/>
        <v>1710065</v>
      </c>
      <c r="Q180" s="1173">
        <f>CR$14</f>
        <v>0.2505</v>
      </c>
      <c r="R180" s="705">
        <f t="shared" si="123"/>
        <v>675098</v>
      </c>
      <c r="S180" s="825">
        <f t="shared" si="124"/>
        <v>2385163</v>
      </c>
      <c r="T180" s="825">
        <f t="shared" si="125"/>
        <v>3789220</v>
      </c>
      <c r="U180" s="847">
        <f t="shared" si="126"/>
        <v>3031400</v>
      </c>
      <c r="V180" s="684">
        <f t="shared" si="127"/>
        <v>2236256</v>
      </c>
      <c r="W180" s="684">
        <f t="shared" si="128"/>
        <v>2348069</v>
      </c>
      <c r="X180" s="824">
        <f t="shared" si="113"/>
        <v>2500000</v>
      </c>
      <c r="Y180" s="684">
        <f t="shared" si="129"/>
        <v>2500000</v>
      </c>
      <c r="Z180" s="705">
        <f t="shared" si="145"/>
        <v>250000</v>
      </c>
      <c r="AA180" s="705">
        <f>J$43*X180/1000</f>
        <v>375000</v>
      </c>
      <c r="AB180" s="684">
        <f t="shared" si="130"/>
        <v>5570000</v>
      </c>
      <c r="AC180" s="685">
        <f t="shared" si="131"/>
        <v>5570000</v>
      </c>
      <c r="AD180" s="705">
        <f>IF(Main!$L$10="YES",Main!$N$10+AC180,AC180)</f>
        <v>5570000</v>
      </c>
      <c r="AE180" s="705">
        <f>IF(AND((Main!$E$9&gt;=18),(Main!$J$10="YES")),$Y$158+AD180,AD180)</f>
        <v>8070000</v>
      </c>
      <c r="AF180" s="705">
        <f t="shared" si="132"/>
        <v>250000</v>
      </c>
      <c r="AH180" s="705">
        <f t="shared" si="133"/>
        <v>7687500</v>
      </c>
      <c r="AI180" s="705">
        <f>IF(AND((Main!$E$9&gt;=18),(Main!$J$10="YES")),$Y$158+AH180,AH180)</f>
        <v>10187500</v>
      </c>
      <c r="AN180" s="848">
        <v>22</v>
      </c>
      <c r="AO180" s="846" t="e">
        <f>W$13</f>
        <v>#N/A</v>
      </c>
      <c r="AP180" s="824">
        <f t="shared" si="134"/>
        <v>-11000000</v>
      </c>
      <c r="AQ180" s="705" t="e">
        <f t="shared" si="114"/>
        <v>#N/A</v>
      </c>
      <c r="AR180" s="825" t="e">
        <f t="shared" si="135"/>
        <v>#N/A</v>
      </c>
      <c r="AS180" s="829" t="e">
        <f t="shared" si="136"/>
        <v>#N/A</v>
      </c>
      <c r="AT180" s="1173" t="e">
        <f>BG$13</f>
        <v>#N/A</v>
      </c>
      <c r="AU180" s="705" t="e">
        <f t="shared" si="137"/>
        <v>#N/A</v>
      </c>
      <c r="AV180" s="1173" t="e">
        <f>CR$13</f>
        <v>#N/A</v>
      </c>
      <c r="AW180" s="705" t="e">
        <f t="shared" si="138"/>
        <v>#N/A</v>
      </c>
      <c r="AX180" s="825" t="e">
        <f t="shared" si="139"/>
        <v>#N/A</v>
      </c>
      <c r="AY180" s="825" t="e">
        <f t="shared" si="140"/>
        <v>#N/A</v>
      </c>
      <c r="AZ180" s="847" t="e">
        <f t="shared" si="141"/>
        <v>#N/A</v>
      </c>
      <c r="BA180" s="684">
        <f t="shared" si="142"/>
        <v>4896210</v>
      </c>
      <c r="BB180" s="684">
        <f t="shared" si="143"/>
        <v>5141021</v>
      </c>
      <c r="BC180" s="824">
        <f t="shared" si="115"/>
        <v>2500000</v>
      </c>
      <c r="BD180" s="684">
        <f t="shared" si="116"/>
        <v>2500000</v>
      </c>
      <c r="BF180" s="705">
        <f>J$43*BC180/1000</f>
        <v>375000</v>
      </c>
      <c r="BG180" s="824" t="e">
        <f t="shared" si="144"/>
        <v>#N/A</v>
      </c>
      <c r="BH180" s="824" t="e">
        <f t="shared" si="117"/>
        <v>#N/A</v>
      </c>
      <c r="BS180" s="843">
        <v>18</v>
      </c>
      <c r="BX180" s="705">
        <f>AD175</f>
        <v>4657500</v>
      </c>
      <c r="BY180" s="705">
        <v>0</v>
      </c>
      <c r="BZ180" s="705">
        <v>0</v>
      </c>
      <c r="CA180" s="705">
        <v>0</v>
      </c>
      <c r="CB180" s="705">
        <f>-DAT!$AY$17</f>
        <v>-106747</v>
      </c>
      <c r="CC180" s="705">
        <f>-DAT!$AY$17</f>
        <v>-106747</v>
      </c>
      <c r="CD180" s="705">
        <f>-DAT!$AY$17</f>
        <v>-106747</v>
      </c>
      <c r="CE180" s="705">
        <f>-DAT!$AY$17</f>
        <v>-106747</v>
      </c>
      <c r="CF180" s="705">
        <f>-DAT!$AY$17</f>
        <v>-106747</v>
      </c>
      <c r="CI180" s="843">
        <v>18</v>
      </c>
      <c r="CN180" s="705">
        <v>0</v>
      </c>
      <c r="CO180" s="705">
        <v>0</v>
      </c>
      <c r="CR180" s="843">
        <v>18</v>
      </c>
      <c r="CT180" s="705">
        <v>0</v>
      </c>
      <c r="CU180" s="705">
        <f>-DAT!$AY$19</f>
        <v>-115589</v>
      </c>
    </row>
    <row r="181" spans="3:103">
      <c r="I181" s="843">
        <v>23</v>
      </c>
      <c r="J181" s="846">
        <f>X$14</f>
        <v>84.24</v>
      </c>
      <c r="K181" s="705">
        <f t="shared" si="118"/>
        <v>2300000</v>
      </c>
      <c r="L181" s="705">
        <f t="shared" si="119"/>
        <v>2817500</v>
      </c>
      <c r="M181" s="825">
        <f t="shared" si="120"/>
        <v>5117500</v>
      </c>
      <c r="N181" s="829">
        <f t="shared" si="121"/>
        <v>4310982</v>
      </c>
      <c r="O181" s="1173">
        <f>BH$14</f>
        <v>0.78239999999999998</v>
      </c>
      <c r="P181" s="705">
        <f t="shared" si="122"/>
        <v>1829176</v>
      </c>
      <c r="Q181" s="1173">
        <f>CS$14</f>
        <v>0.27060000000000001</v>
      </c>
      <c r="R181" s="705">
        <f t="shared" si="123"/>
        <v>762416</v>
      </c>
      <c r="S181" s="825">
        <f t="shared" si="124"/>
        <v>2591592</v>
      </c>
      <c r="T181" s="825">
        <f t="shared" si="125"/>
        <v>4310982</v>
      </c>
      <c r="U181" s="847">
        <f t="shared" si="126"/>
        <v>3448800</v>
      </c>
      <c r="V181" s="684">
        <f t="shared" si="127"/>
        <v>2337904</v>
      </c>
      <c r="W181" s="684">
        <f t="shared" si="128"/>
        <v>2454799</v>
      </c>
      <c r="X181" s="824">
        <f t="shared" si="113"/>
        <v>2500000</v>
      </c>
      <c r="Y181" s="684">
        <f t="shared" si="129"/>
        <v>2500000</v>
      </c>
      <c r="Z181" s="705">
        <f t="shared" si="145"/>
        <v>250000</v>
      </c>
      <c r="AA181" s="705">
        <f>K$43*X181/1000</f>
        <v>625000</v>
      </c>
      <c r="AB181" s="684">
        <f t="shared" si="130"/>
        <v>5942500</v>
      </c>
      <c r="AC181" s="685">
        <f t="shared" si="131"/>
        <v>5942500</v>
      </c>
      <c r="AD181" s="705">
        <f>IF(Main!$L$10="YES",Main!$N$10+AC181,AC181)</f>
        <v>5942500</v>
      </c>
      <c r="AE181" s="705">
        <f>IF(AND((Main!$E$9&gt;=18),(Main!$J$10="YES")),$Y$158+AD181,AD181)</f>
        <v>8442500</v>
      </c>
      <c r="AF181" s="705">
        <f t="shared" si="132"/>
        <v>250000</v>
      </c>
      <c r="AH181" s="705">
        <f t="shared" si="133"/>
        <v>7437500</v>
      </c>
      <c r="AI181" s="705">
        <f>IF(AND((Main!$E$9&gt;=18),(Main!$J$10="YES")),$Y$158+AH181,AH181)</f>
        <v>9937500</v>
      </c>
      <c r="AN181" s="848">
        <v>23</v>
      </c>
      <c r="AO181" s="846" t="e">
        <f>X$13</f>
        <v>#N/A</v>
      </c>
      <c r="AP181" s="824">
        <f t="shared" si="134"/>
        <v>-11500000</v>
      </c>
      <c r="AQ181" s="705" t="e">
        <f t="shared" si="114"/>
        <v>#N/A</v>
      </c>
      <c r="AR181" s="825" t="e">
        <f t="shared" si="135"/>
        <v>#N/A</v>
      </c>
      <c r="AS181" s="829" t="e">
        <f t="shared" si="136"/>
        <v>#N/A</v>
      </c>
      <c r="AT181" s="1173" t="e">
        <f>BH$13</f>
        <v>#N/A</v>
      </c>
      <c r="AU181" s="705" t="e">
        <f t="shared" si="137"/>
        <v>#N/A</v>
      </c>
      <c r="AV181" s="1173" t="e">
        <f>CS$13</f>
        <v>#N/A</v>
      </c>
      <c r="AW181" s="705" t="e">
        <f t="shared" si="138"/>
        <v>#N/A</v>
      </c>
      <c r="AX181" s="825" t="e">
        <f t="shared" si="139"/>
        <v>#N/A</v>
      </c>
      <c r="AY181" s="825" t="e">
        <f t="shared" si="140"/>
        <v>#N/A</v>
      </c>
      <c r="AZ181" s="847" t="e">
        <f t="shared" si="141"/>
        <v>#N/A</v>
      </c>
      <c r="BA181" s="684">
        <f t="shared" si="142"/>
        <v>5118765</v>
      </c>
      <c r="BB181" s="684">
        <f t="shared" si="143"/>
        <v>5374703</v>
      </c>
      <c r="BC181" s="824">
        <f t="shared" si="115"/>
        <v>2500000</v>
      </c>
      <c r="BD181" s="684">
        <f t="shared" si="116"/>
        <v>2500000</v>
      </c>
      <c r="BF181" s="705">
        <f>K$43*BC181/1000</f>
        <v>625000</v>
      </c>
      <c r="BG181" s="824" t="e">
        <f t="shared" si="144"/>
        <v>#N/A</v>
      </c>
      <c r="BH181" s="824" t="e">
        <f t="shared" si="117"/>
        <v>#N/A</v>
      </c>
      <c r="BS181" s="843">
        <v>19</v>
      </c>
      <c r="BY181" s="705">
        <f>AD176</f>
        <v>4792500</v>
      </c>
      <c r="BZ181" s="705">
        <v>0</v>
      </c>
      <c r="CA181" s="705">
        <v>0</v>
      </c>
      <c r="CB181" s="705">
        <v>0</v>
      </c>
      <c r="CC181" s="705">
        <f>-DAT!$AY$17</f>
        <v>-106747</v>
      </c>
      <c r="CD181" s="705">
        <f>-DAT!$AY$17</f>
        <v>-106747</v>
      </c>
      <c r="CE181" s="705">
        <f>-DAT!$AY$17</f>
        <v>-106747</v>
      </c>
      <c r="CF181" s="705">
        <f>-DAT!$AY$17</f>
        <v>-106747</v>
      </c>
      <c r="CI181" s="843">
        <v>19</v>
      </c>
      <c r="CN181" s="705">
        <v>0</v>
      </c>
      <c r="CO181" s="705">
        <v>0</v>
      </c>
      <c r="CR181" s="843">
        <v>19</v>
      </c>
      <c r="CT181" s="705">
        <v>0</v>
      </c>
      <c r="CU181" s="705">
        <f>-DAT!$AY$19</f>
        <v>-115589</v>
      </c>
    </row>
    <row r="182" spans="3:103">
      <c r="I182" s="843">
        <v>24</v>
      </c>
      <c r="J182" s="846">
        <f>Y$14</f>
        <v>91.74</v>
      </c>
      <c r="K182" s="705">
        <f t="shared" si="118"/>
        <v>2400000</v>
      </c>
      <c r="L182" s="705">
        <f t="shared" si="119"/>
        <v>2940000</v>
      </c>
      <c r="M182" s="825">
        <f t="shared" si="120"/>
        <v>5340000</v>
      </c>
      <c r="N182" s="829">
        <f t="shared" si="121"/>
        <v>4898916</v>
      </c>
      <c r="O182" s="1173">
        <f>BI$14</f>
        <v>0.8</v>
      </c>
      <c r="P182" s="705">
        <f t="shared" si="122"/>
        <v>1951642</v>
      </c>
      <c r="Q182" s="1173">
        <f>CT$14</f>
        <v>0.3</v>
      </c>
      <c r="R182" s="705">
        <f t="shared" si="123"/>
        <v>882000</v>
      </c>
      <c r="S182" s="825">
        <f t="shared" si="124"/>
        <v>2833642</v>
      </c>
      <c r="T182" s="825">
        <f t="shared" si="125"/>
        <v>4898916</v>
      </c>
      <c r="U182" s="847">
        <f t="shared" si="126"/>
        <v>3919100</v>
      </c>
      <c r="V182" s="684">
        <f t="shared" si="127"/>
        <v>2439552</v>
      </c>
      <c r="W182" s="684">
        <f t="shared" si="128"/>
        <v>2561530</v>
      </c>
      <c r="X182" s="824">
        <f t="shared" si="113"/>
        <v>2500000</v>
      </c>
      <c r="Y182" s="684">
        <f t="shared" si="129"/>
        <v>2500000</v>
      </c>
      <c r="Z182" s="705">
        <f t="shared" si="145"/>
        <v>250000</v>
      </c>
      <c r="AA182" s="705">
        <f>L$43*X182/1000</f>
        <v>875000</v>
      </c>
      <c r="AB182" s="684">
        <f t="shared" si="130"/>
        <v>6315000</v>
      </c>
      <c r="AC182" s="685">
        <f t="shared" si="131"/>
        <v>6315000</v>
      </c>
      <c r="AD182" s="705">
        <f>IF(Main!$L$10="YES",Main!$N$10+AC182,AC182)</f>
        <v>6315000</v>
      </c>
      <c r="AE182" s="705">
        <f>IF(AND((Main!$E$9&gt;=18),(Main!$J$10="YES")),$Y$158+AD182,AD182)</f>
        <v>8815000</v>
      </c>
      <c r="AF182" s="705">
        <f t="shared" si="132"/>
        <v>250000</v>
      </c>
      <c r="AH182" s="705">
        <f t="shared" si="133"/>
        <v>7187500</v>
      </c>
      <c r="AI182" s="705">
        <f>IF(AND((Main!$E$9&gt;=18),(Main!$J$10="YES")),$Y$158+AH182,AH182)</f>
        <v>9687500</v>
      </c>
      <c r="AN182" s="848">
        <v>24</v>
      </c>
      <c r="AO182" s="846" t="e">
        <f>Y$13</f>
        <v>#N/A</v>
      </c>
      <c r="AP182" s="824">
        <f t="shared" si="134"/>
        <v>-12000000</v>
      </c>
      <c r="AQ182" s="705" t="e">
        <f t="shared" si="114"/>
        <v>#N/A</v>
      </c>
      <c r="AR182" s="825" t="e">
        <f t="shared" si="135"/>
        <v>#N/A</v>
      </c>
      <c r="AS182" s="829" t="e">
        <f t="shared" si="136"/>
        <v>#N/A</v>
      </c>
      <c r="AT182" s="1173" t="e">
        <f>BI$13</f>
        <v>#N/A</v>
      </c>
      <c r="AU182" s="705" t="e">
        <f t="shared" si="137"/>
        <v>#N/A</v>
      </c>
      <c r="AV182" s="1173" t="e">
        <f>CT$13</f>
        <v>#N/A</v>
      </c>
      <c r="AW182" s="705" t="e">
        <f t="shared" si="138"/>
        <v>#N/A</v>
      </c>
      <c r="AX182" s="825" t="e">
        <f t="shared" si="139"/>
        <v>#N/A</v>
      </c>
      <c r="AY182" s="825" t="e">
        <f t="shared" si="140"/>
        <v>#N/A</v>
      </c>
      <c r="AZ182" s="847" t="e">
        <f t="shared" si="141"/>
        <v>#N/A</v>
      </c>
      <c r="BA182" s="684">
        <f t="shared" si="142"/>
        <v>5341320</v>
      </c>
      <c r="BB182" s="684">
        <f t="shared" si="143"/>
        <v>5608386</v>
      </c>
      <c r="BC182" s="824">
        <f t="shared" si="115"/>
        <v>2500000</v>
      </c>
      <c r="BD182" s="684">
        <f t="shared" si="116"/>
        <v>2500000</v>
      </c>
      <c r="BF182" s="705">
        <f>L$43*BC182/1000</f>
        <v>875000</v>
      </c>
      <c r="BG182" s="824" t="e">
        <f t="shared" si="144"/>
        <v>#N/A</v>
      </c>
      <c r="BH182" s="824" t="e">
        <f t="shared" si="117"/>
        <v>#N/A</v>
      </c>
      <c r="BS182" s="843">
        <v>20</v>
      </c>
      <c r="BZ182" s="705">
        <f>AD177</f>
        <v>4952500</v>
      </c>
      <c r="CA182" s="705">
        <v>0</v>
      </c>
      <c r="CB182" s="705">
        <v>0</v>
      </c>
      <c r="CC182" s="705">
        <v>0</v>
      </c>
      <c r="CD182" s="705">
        <f>-DAT!$AY$17</f>
        <v>-106747</v>
      </c>
      <c r="CE182" s="705">
        <f>-DAT!$AY$17</f>
        <v>-106747</v>
      </c>
      <c r="CF182" s="705">
        <f>-DAT!$AY$17</f>
        <v>-106747</v>
      </c>
      <c r="CI182" s="843">
        <v>20</v>
      </c>
      <c r="CN182" s="705">
        <v>0</v>
      </c>
      <c r="CO182" s="705">
        <v>0</v>
      </c>
      <c r="CR182" s="843">
        <v>20</v>
      </c>
      <c r="CT182" s="705">
        <v>0</v>
      </c>
      <c r="CU182" s="705">
        <f>-DAT!$AY$19</f>
        <v>-115589</v>
      </c>
    </row>
    <row r="183" spans="3:103">
      <c r="I183" s="843">
        <v>25</v>
      </c>
      <c r="J183" s="846">
        <f>Z$14</f>
        <v>0</v>
      </c>
      <c r="K183" s="705">
        <f t="shared" si="118"/>
        <v>2500000</v>
      </c>
      <c r="L183" s="705">
        <f t="shared" si="119"/>
        <v>3062500</v>
      </c>
      <c r="M183" s="825">
        <f t="shared" si="120"/>
        <v>5562500</v>
      </c>
      <c r="N183" s="829">
        <f t="shared" si="121"/>
        <v>0</v>
      </c>
      <c r="O183" s="1173">
        <f>BJ$14</f>
        <v>0.8</v>
      </c>
      <c r="P183" s="705">
        <f t="shared" si="122"/>
        <v>2032960</v>
      </c>
      <c r="Q183" s="1173">
        <f>CU$14</f>
        <v>0.35</v>
      </c>
      <c r="R183" s="705">
        <f t="shared" si="123"/>
        <v>1071875</v>
      </c>
      <c r="S183" s="825">
        <f t="shared" si="124"/>
        <v>3104835</v>
      </c>
      <c r="T183" s="825">
        <f t="shared" si="125"/>
        <v>3104835</v>
      </c>
      <c r="U183" s="847">
        <f t="shared" si="126"/>
        <v>2483900</v>
      </c>
      <c r="V183" s="684">
        <f t="shared" si="127"/>
        <v>2541200</v>
      </c>
      <c r="W183" s="684">
        <f t="shared" si="128"/>
        <v>2668260</v>
      </c>
      <c r="X183" s="824">
        <f t="shared" si="113"/>
        <v>2500000</v>
      </c>
      <c r="Y183" s="684">
        <f t="shared" si="129"/>
        <v>2500000</v>
      </c>
      <c r="Z183" s="705">
        <f t="shared" si="145"/>
        <v>6937500</v>
      </c>
      <c r="AA183" s="705">
        <f>M$43*X183/1000</f>
        <v>1125000</v>
      </c>
      <c r="AB183" s="684">
        <f t="shared" si="130"/>
        <v>6687500</v>
      </c>
      <c r="AC183" s="685">
        <f t="shared" si="131"/>
        <v>6687500</v>
      </c>
      <c r="AD183" s="705">
        <f>IF(Main!$L$10="YES",Main!$N$10+AC183,AC183)</f>
        <v>6687500</v>
      </c>
      <c r="AE183" s="705">
        <f>IF(AND((Main!$E$9&gt;=18),(Main!$J$10="YES")),$Y$158+AD183,AD183)</f>
        <v>9187500</v>
      </c>
      <c r="AF183" s="705">
        <f t="shared" si="132"/>
        <v>250000</v>
      </c>
      <c r="AH183" s="705">
        <f t="shared" si="133"/>
        <v>6937500</v>
      </c>
      <c r="AI183" s="705">
        <f>IF(AND((Main!$E$9&gt;=18),(Main!$J$10="YES")),$Y$158+AH183,AH183)</f>
        <v>9437500</v>
      </c>
      <c r="AN183" s="848">
        <v>25</v>
      </c>
      <c r="AO183" s="846" t="e">
        <f>Z$13</f>
        <v>#N/A</v>
      </c>
      <c r="AP183" s="824">
        <f t="shared" si="134"/>
        <v>-12500000</v>
      </c>
      <c r="AQ183" s="705" t="e">
        <f t="shared" si="114"/>
        <v>#N/A</v>
      </c>
      <c r="AR183" s="825" t="e">
        <f t="shared" si="135"/>
        <v>#N/A</v>
      </c>
      <c r="AS183" s="829" t="e">
        <f t="shared" si="136"/>
        <v>#N/A</v>
      </c>
      <c r="AT183" s="1173" t="e">
        <f>BJ$13</f>
        <v>#N/A</v>
      </c>
      <c r="AU183" s="705" t="e">
        <f t="shared" si="137"/>
        <v>#N/A</v>
      </c>
      <c r="AV183" s="1173" t="e">
        <f>CU$13</f>
        <v>#N/A</v>
      </c>
      <c r="AW183" s="705" t="e">
        <f t="shared" si="138"/>
        <v>#N/A</v>
      </c>
      <c r="AX183" s="825" t="e">
        <f t="shared" si="139"/>
        <v>#N/A</v>
      </c>
      <c r="AY183" s="825" t="e">
        <f t="shared" si="140"/>
        <v>#N/A</v>
      </c>
      <c r="AZ183" s="847" t="e">
        <f t="shared" si="141"/>
        <v>#N/A</v>
      </c>
      <c r="BA183" s="684">
        <f t="shared" si="142"/>
        <v>5563875</v>
      </c>
      <c r="BB183" s="684">
        <f t="shared" si="143"/>
        <v>5842069</v>
      </c>
      <c r="BC183" s="824">
        <f t="shared" si="115"/>
        <v>2500000</v>
      </c>
      <c r="BD183" s="684">
        <f t="shared" si="116"/>
        <v>2500000</v>
      </c>
      <c r="BF183" s="705">
        <f>M$43*BC183/1000</f>
        <v>1125000</v>
      </c>
      <c r="BG183" s="824" t="e">
        <f t="shared" si="144"/>
        <v>#N/A</v>
      </c>
      <c r="BH183" s="824" t="e">
        <f t="shared" si="117"/>
        <v>#N/A</v>
      </c>
      <c r="BS183" s="843">
        <v>21</v>
      </c>
      <c r="CA183" s="705">
        <f>AD178</f>
        <v>5125000</v>
      </c>
      <c r="CB183" s="705">
        <v>0</v>
      </c>
      <c r="CC183" s="705">
        <v>0</v>
      </c>
      <c r="CD183" s="705">
        <v>0</v>
      </c>
      <c r="CE183" s="705">
        <f>-DAT!$AY$17</f>
        <v>-106747</v>
      </c>
      <c r="CF183" s="705">
        <f>-DAT!$AY$17</f>
        <v>-106747</v>
      </c>
      <c r="CI183" s="843">
        <v>21</v>
      </c>
      <c r="CN183" s="848">
        <f>N132</f>
        <v>5375000</v>
      </c>
      <c r="CO183" s="848">
        <f>N132</f>
        <v>5375000</v>
      </c>
      <c r="CR183" s="843">
        <v>21</v>
      </c>
      <c r="CT183" s="848">
        <f>P188</f>
        <v>6750000</v>
      </c>
      <c r="CU183" s="705">
        <f>-DAT!$AY$19</f>
        <v>-115589</v>
      </c>
    </row>
    <row r="184" spans="3:103">
      <c r="I184" s="705">
        <f>C52</f>
        <v>25</v>
      </c>
      <c r="AC184" s="685">
        <f>VLOOKUP(I184,I160:AC183,21)</f>
        <v>6687500</v>
      </c>
      <c r="AD184" s="705">
        <f>VLOOKUP(I184,I160:AD183,22)</f>
        <v>6687500</v>
      </c>
      <c r="AF184" s="705">
        <f>SUM(AF159:AF183)</f>
        <v>6250000</v>
      </c>
      <c r="BS184" s="843">
        <v>22</v>
      </c>
      <c r="CB184" s="705">
        <f>AD179</f>
        <v>5322500</v>
      </c>
      <c r="CC184" s="705">
        <v>0</v>
      </c>
      <c r="CD184" s="705">
        <v>0</v>
      </c>
      <c r="CE184" s="705">
        <v>0</v>
      </c>
      <c r="CF184" s="705">
        <f>-DAT!$AY$17</f>
        <v>-106747</v>
      </c>
      <c r="CN184" s="848"/>
      <c r="CO184" s="848"/>
      <c r="CR184" s="843">
        <v>22</v>
      </c>
      <c r="CU184" s="705">
        <v>0</v>
      </c>
    </row>
    <row r="185" spans="3:103">
      <c r="AC185" s="705">
        <f>X160*10%</f>
        <v>250000</v>
      </c>
      <c r="AD185" s="705">
        <f>X160*10%</f>
        <v>250000</v>
      </c>
      <c r="BS185" s="843">
        <v>23</v>
      </c>
      <c r="CC185" s="705">
        <f>AD180</f>
        <v>5570000</v>
      </c>
      <c r="CD185" s="705">
        <v>0</v>
      </c>
      <c r="CE185" s="705">
        <v>0</v>
      </c>
      <c r="CF185" s="705">
        <v>0</v>
      </c>
      <c r="CR185" s="843">
        <v>23</v>
      </c>
      <c r="CU185" s="705">
        <v>0</v>
      </c>
    </row>
    <row r="186" spans="3:103">
      <c r="AC186" s="705">
        <f>AC184+AC185</f>
        <v>6937500</v>
      </c>
      <c r="AD186" s="705">
        <f>AD184+AD185</f>
        <v>6937500</v>
      </c>
      <c r="BS186" s="843">
        <v>24</v>
      </c>
      <c r="CD186" s="705">
        <f>AD181</f>
        <v>5942500</v>
      </c>
      <c r="CE186" s="705">
        <v>0</v>
      </c>
      <c r="CF186" s="705">
        <v>0</v>
      </c>
      <c r="CR186" s="843">
        <v>24</v>
      </c>
      <c r="CU186" s="705">
        <v>0</v>
      </c>
    </row>
    <row r="187" spans="3:103">
      <c r="Y187" s="824">
        <f>$B$52</f>
        <v>2500000</v>
      </c>
      <c r="BS187" s="843">
        <v>25</v>
      </c>
      <c r="CE187" s="705">
        <f>AD182</f>
        <v>6315000</v>
      </c>
      <c r="CF187" s="705">
        <v>0</v>
      </c>
      <c r="CR187" s="843">
        <v>25</v>
      </c>
      <c r="CU187" s="848">
        <f>P188</f>
        <v>6750000</v>
      </c>
    </row>
    <row r="188" spans="3:103">
      <c r="I188" s="705">
        <v>836</v>
      </c>
      <c r="P188" s="848">
        <f>Y187+L189+AA189</f>
        <v>6750000</v>
      </c>
      <c r="Y188" s="705">
        <f>IF(($Y$187&gt;10000000),10000000,$Y$187)</f>
        <v>2500000</v>
      </c>
      <c r="AN188" s="705">
        <v>834</v>
      </c>
      <c r="AQ188" s="1172" t="e">
        <f>LOOKUP($AL$194,$AN189:$AN213,AQ189:AQ213)</f>
        <v>#N/A</v>
      </c>
      <c r="BF188" s="1172" t="e">
        <f>LOOKUP($AL$194,$AN189:$AN213,BF189:BF213)</f>
        <v>#N/A</v>
      </c>
      <c r="CF188" s="705">
        <f>AD183</f>
        <v>6687500</v>
      </c>
    </row>
    <row r="189" spans="3:103">
      <c r="L189" s="1172">
        <f>LOOKUP($C$52,$I190:$I213,L190:L213)</f>
        <v>3125000</v>
      </c>
      <c r="AA189" s="1172">
        <f>LOOKUP($C$52,$I190:$I213,AA190:AA213)</f>
        <v>1125000</v>
      </c>
      <c r="AC189" s="705">
        <f>$B$52/1000*D191+B52</f>
        <v>2625000</v>
      </c>
      <c r="AD189" s="705">
        <f>IF(Main!$L$10="YES",Main!$N$10+AC189,AC189)</f>
        <v>2625000</v>
      </c>
      <c r="AE189" s="705">
        <f>IF(AND((Main!$E$9&gt;=18),(Main!$J$10="YES")),$Y$188+AD189,AD189)</f>
        <v>5125000</v>
      </c>
      <c r="AN189" s="705">
        <v>1</v>
      </c>
      <c r="AQ189" s="705" t="e">
        <f t="shared" ref="AQ189:AQ213" si="146">(AN189*$C$54)*($B$52/1000)</f>
        <v>#N/A</v>
      </c>
      <c r="BC189" s="824">
        <f t="shared" ref="BC189:BC213" si="147">$B$52</f>
        <v>2500000</v>
      </c>
      <c r="BD189" s="684">
        <f t="shared" ref="BD189:BD213" si="148">IF((BC189&gt;$BE$190),BC189,$BE$190)</f>
        <v>2782930</v>
      </c>
      <c r="BF189" s="824">
        <v>0</v>
      </c>
      <c r="BG189" s="824" t="e">
        <f t="shared" ref="BG189:BG213" si="149">BF189+BD189+AQ189</f>
        <v>#N/A</v>
      </c>
      <c r="BH189" s="824" t="e">
        <f t="shared" ref="BH189:BH213" si="150">IF((BB189&gt;BG189),BB189,BG189)</f>
        <v>#N/A</v>
      </c>
    </row>
    <row r="190" spans="3:103">
      <c r="I190" s="824">
        <v>2</v>
      </c>
      <c r="J190" s="846">
        <f>C$14</f>
        <v>18.45</v>
      </c>
      <c r="K190" s="705">
        <f t="shared" ref="K190:K213" si="151">$B$52*I190/$C$52</f>
        <v>200000</v>
      </c>
      <c r="L190" s="705">
        <f t="shared" ref="L190:L213" si="152">(I190*$D$191)*($B$52/1000)</f>
        <v>250000</v>
      </c>
      <c r="M190" s="825">
        <f t="shared" ref="M190:M213" si="153">K190+L190</f>
        <v>450000</v>
      </c>
      <c r="N190" s="829">
        <f t="shared" ref="N190:N213" si="154">ROUND((M190*J190/100),0)</f>
        <v>83025</v>
      </c>
      <c r="O190" s="1173">
        <f>AM$14</f>
        <v>0</v>
      </c>
      <c r="P190" s="705">
        <f t="shared" ref="P190:P213" si="155">ROUND(($G$192*I190)*O190,0)</f>
        <v>0</v>
      </c>
      <c r="Q190" s="1173">
        <f>BX$14</f>
        <v>0</v>
      </c>
      <c r="R190" s="705">
        <f t="shared" ref="R190:R213" si="156">ROUND(L190*Q190,0)</f>
        <v>0</v>
      </c>
      <c r="S190" s="825">
        <f t="shared" ref="S190:S213" si="157">P190+R190</f>
        <v>0</v>
      </c>
      <c r="T190" s="825">
        <f t="shared" ref="T190:T213" si="158">IF(S190&gt;N190,S190,N190)</f>
        <v>83025</v>
      </c>
      <c r="U190" s="847">
        <f t="shared" ref="U190:U213" si="159">ROUND((T190*($D$162/100)),-2)</f>
        <v>66400</v>
      </c>
      <c r="V190" s="684">
        <f t="shared" ref="V190:V213" si="160">ROUND($G$192*I190,0)</f>
        <v>219590</v>
      </c>
      <c r="W190" s="684">
        <f t="shared" ref="W190:W213" si="161">ROUND(V190*105/100,0)</f>
        <v>230570</v>
      </c>
      <c r="X190" s="824">
        <f t="shared" ref="X190:X213" si="162">$B$52</f>
        <v>2500000</v>
      </c>
      <c r="Y190" s="684">
        <f t="shared" ref="Y190:Y213" si="163">IF((X190&gt;$Z$190),X190,$Z$190)</f>
        <v>2500000</v>
      </c>
      <c r="Z190" s="824">
        <f>G192*10</f>
        <v>1097950</v>
      </c>
      <c r="AA190" s="843">
        <v>0</v>
      </c>
      <c r="AB190" s="684">
        <f t="shared" ref="AB190:AB213" si="164">AA190+Y190+L190</f>
        <v>2750000</v>
      </c>
      <c r="AC190" s="685">
        <f t="shared" ref="AC190:AC213" si="165">IF((W190&gt;AB190),W190,AB190)</f>
        <v>2750000</v>
      </c>
      <c r="AD190" s="705">
        <f>IF(Main!$L$10="YES",Main!$N$10+AC190,AC190)</f>
        <v>2750000</v>
      </c>
      <c r="AE190" s="705">
        <f>IF(AND((Main!$E$9&gt;=18),(Main!$J$10="YES")),$Y$188+AD190,AD190)</f>
        <v>5250000</v>
      </c>
      <c r="AL190" s="705">
        <f>20-Main!E9</f>
        <v>-10</v>
      </c>
      <c r="AN190" s="848">
        <v>2</v>
      </c>
      <c r="AO190" s="846" t="e">
        <f>C$13</f>
        <v>#N/A</v>
      </c>
      <c r="AP190" s="824">
        <f t="shared" ref="AP190:AP213" si="166">ROUND($B$52*(AN190/$AL$160),0)</f>
        <v>-1000000</v>
      </c>
      <c r="AQ190" s="705" t="e">
        <f t="shared" si="146"/>
        <v>#N/A</v>
      </c>
      <c r="AR190" s="825" t="e">
        <f t="shared" ref="AR190:AR213" si="167">AP190+AQ190</f>
        <v>#N/A</v>
      </c>
      <c r="AS190" s="829" t="e">
        <f t="shared" ref="AS190:AS213" si="168">ROUND((AR190*AO190/100),0)</f>
        <v>#N/A</v>
      </c>
      <c r="AT190" s="1173" t="e">
        <f>AM$13</f>
        <v>#N/A</v>
      </c>
      <c r="AU190" s="705" t="e">
        <f t="shared" ref="AU190:AU213" si="169">ROUND(($AL$191*AN190)*AT190,0)</f>
        <v>#N/A</v>
      </c>
      <c r="AV190" s="1173" t="e">
        <f>BX$13</f>
        <v>#N/A</v>
      </c>
      <c r="AW190" s="705" t="e">
        <f t="shared" ref="AW190:AW213" si="170">ROUND(AQ190*AV190,0)</f>
        <v>#N/A</v>
      </c>
      <c r="AX190" s="825" t="e">
        <f t="shared" ref="AX190:AX213" si="171">AU190+AW190</f>
        <v>#N/A</v>
      </c>
      <c r="AY190" s="825" t="e">
        <f t="shared" ref="AY190:AY213" si="172">IF(AX190&gt;AS190,AX190,AS190)</f>
        <v>#N/A</v>
      </c>
      <c r="AZ190" s="847" t="e">
        <f t="shared" ref="AZ190:AZ213" si="173">ROUND((AY190*($D$54/100)),-2)</f>
        <v>#N/A</v>
      </c>
      <c r="BA190" s="684">
        <f t="shared" ref="BA190:BA213" si="174">ROUND($AL$191*AN190,0)</f>
        <v>556586</v>
      </c>
      <c r="BB190" s="684">
        <f t="shared" ref="BB190:BB213" si="175">ROUND(BA190*105/100,0)</f>
        <v>584415</v>
      </c>
      <c r="BC190" s="824">
        <f t="shared" si="147"/>
        <v>2500000</v>
      </c>
      <c r="BD190" s="684">
        <f t="shared" si="148"/>
        <v>2782930</v>
      </c>
      <c r="BE190" s="824">
        <f>AL191*10</f>
        <v>2782930</v>
      </c>
      <c r="BF190" s="824">
        <v>0</v>
      </c>
      <c r="BG190" s="824" t="e">
        <f t="shared" si="149"/>
        <v>#N/A</v>
      </c>
      <c r="BH190" s="824" t="e">
        <f t="shared" si="150"/>
        <v>#N/A</v>
      </c>
    </row>
    <row r="191" spans="3:103">
      <c r="D191" s="1172">
        <f>LOOKUP($C$52,$C192:$C194,D192:D194)</f>
        <v>50</v>
      </c>
      <c r="I191" s="824">
        <v>3</v>
      </c>
      <c r="J191" s="846">
        <f>D$14</f>
        <v>19.829999999999998</v>
      </c>
      <c r="K191" s="705">
        <f t="shared" si="151"/>
        <v>300000</v>
      </c>
      <c r="L191" s="705">
        <f t="shared" si="152"/>
        <v>375000</v>
      </c>
      <c r="M191" s="825">
        <f t="shared" si="153"/>
        <v>675000</v>
      </c>
      <c r="N191" s="829">
        <f t="shared" si="154"/>
        <v>133853</v>
      </c>
      <c r="O191" s="1173">
        <f>AN$14</f>
        <v>0.3</v>
      </c>
      <c r="P191" s="705">
        <f t="shared" si="155"/>
        <v>98816</v>
      </c>
      <c r="Q191" s="1173">
        <f>BY$14</f>
        <v>0.15279999999999999</v>
      </c>
      <c r="R191" s="705">
        <f t="shared" si="156"/>
        <v>57300</v>
      </c>
      <c r="S191" s="825">
        <f t="shared" si="157"/>
        <v>156116</v>
      </c>
      <c r="T191" s="825">
        <f t="shared" si="158"/>
        <v>156116</v>
      </c>
      <c r="U191" s="847">
        <f t="shared" si="159"/>
        <v>124900</v>
      </c>
      <c r="V191" s="684">
        <f t="shared" si="160"/>
        <v>329385</v>
      </c>
      <c r="W191" s="684">
        <f t="shared" si="161"/>
        <v>345854</v>
      </c>
      <c r="X191" s="824">
        <f t="shared" si="162"/>
        <v>2500000</v>
      </c>
      <c r="Y191" s="684">
        <f t="shared" si="163"/>
        <v>2500000</v>
      </c>
      <c r="AA191" s="843">
        <v>0</v>
      </c>
      <c r="AB191" s="684">
        <f t="shared" si="164"/>
        <v>2875000</v>
      </c>
      <c r="AC191" s="685">
        <f t="shared" si="165"/>
        <v>2875000</v>
      </c>
      <c r="AD191" s="705">
        <f>IF(Main!$L$10="YES",Main!$N$10+AC191,AC191)</f>
        <v>2875000</v>
      </c>
      <c r="AE191" s="705">
        <f>IF(AND((Main!$E$9&gt;=18),(Main!$J$10="YES")),$Y$188+AD191,AD191)</f>
        <v>5375000</v>
      </c>
      <c r="AK191" s="846">
        <f>((DAT!E18*(100-DAT!F18)/100)-DAT!AA18)</f>
        <v>111.31700000000001</v>
      </c>
      <c r="AL191" s="705">
        <f>ROUND(AK191*B52/1000,0)</f>
        <v>278293</v>
      </c>
      <c r="AN191" s="848">
        <v>3</v>
      </c>
      <c r="AO191" s="846" t="e">
        <f>D$13</f>
        <v>#N/A</v>
      </c>
      <c r="AP191" s="824">
        <f t="shared" si="166"/>
        <v>-1500000</v>
      </c>
      <c r="AQ191" s="705" t="e">
        <f t="shared" si="146"/>
        <v>#N/A</v>
      </c>
      <c r="AR191" s="825" t="e">
        <f t="shared" si="167"/>
        <v>#N/A</v>
      </c>
      <c r="AS191" s="829" t="e">
        <f t="shared" si="168"/>
        <v>#N/A</v>
      </c>
      <c r="AT191" s="1173" t="e">
        <f>AN$13</f>
        <v>#N/A</v>
      </c>
      <c r="AU191" s="705" t="e">
        <f t="shared" si="169"/>
        <v>#N/A</v>
      </c>
      <c r="AV191" s="1173" t="e">
        <f>BY$13</f>
        <v>#N/A</v>
      </c>
      <c r="AW191" s="705" t="e">
        <f t="shared" si="170"/>
        <v>#N/A</v>
      </c>
      <c r="AX191" s="825" t="e">
        <f t="shared" si="171"/>
        <v>#N/A</v>
      </c>
      <c r="AY191" s="825" t="e">
        <f t="shared" si="172"/>
        <v>#N/A</v>
      </c>
      <c r="AZ191" s="847" t="e">
        <f t="shared" si="173"/>
        <v>#N/A</v>
      </c>
      <c r="BA191" s="684">
        <f t="shared" si="174"/>
        <v>834879</v>
      </c>
      <c r="BB191" s="684">
        <f t="shared" si="175"/>
        <v>876623</v>
      </c>
      <c r="BC191" s="824">
        <f t="shared" si="147"/>
        <v>2500000</v>
      </c>
      <c r="BD191" s="684">
        <f t="shared" si="148"/>
        <v>2782930</v>
      </c>
      <c r="BF191" s="824">
        <v>0</v>
      </c>
      <c r="BG191" s="824" t="e">
        <f t="shared" si="149"/>
        <v>#N/A</v>
      </c>
      <c r="BH191" s="824" t="e">
        <f t="shared" si="150"/>
        <v>#N/A</v>
      </c>
      <c r="BT191" s="1170" t="e">
        <f>LOOKUP($BS$194,BT194:CF194,BT192:CF192)</f>
        <v>#VALUE!</v>
      </c>
      <c r="BX191" s="705">
        <v>832</v>
      </c>
      <c r="CM191" s="1170" t="e">
        <f>LOOKUP($CL$194,CM194:CY194,CM192:CY192)</f>
        <v>#N/A</v>
      </c>
      <c r="CR191" s="705">
        <v>834</v>
      </c>
    </row>
    <row r="192" spans="3:103">
      <c r="C192" s="705">
        <v>16</v>
      </c>
      <c r="D192" s="705">
        <v>43</v>
      </c>
      <c r="F192" s="846">
        <f>((DAT!E19*(100-DAT!F19)/100)-DAT!AA19)</f>
        <v>43.917999999999999</v>
      </c>
      <c r="G192" s="705">
        <f>ROUND(F192*B52/1000,0)</f>
        <v>109795</v>
      </c>
      <c r="I192" s="824">
        <v>4</v>
      </c>
      <c r="J192" s="846">
        <f>E$14</f>
        <v>21.31</v>
      </c>
      <c r="K192" s="705">
        <f t="shared" si="151"/>
        <v>400000</v>
      </c>
      <c r="L192" s="705">
        <f t="shared" si="152"/>
        <v>500000</v>
      </c>
      <c r="M192" s="825">
        <f t="shared" si="153"/>
        <v>900000</v>
      </c>
      <c r="N192" s="829">
        <f t="shared" si="154"/>
        <v>191790</v>
      </c>
      <c r="O192" s="1173">
        <f>AO$14</f>
        <v>0.5</v>
      </c>
      <c r="P192" s="705">
        <f t="shared" si="155"/>
        <v>219590</v>
      </c>
      <c r="Q192" s="1173">
        <f>BZ$14</f>
        <v>0.1542</v>
      </c>
      <c r="R192" s="705">
        <f t="shared" si="156"/>
        <v>77100</v>
      </c>
      <c r="S192" s="825">
        <f t="shared" si="157"/>
        <v>296690</v>
      </c>
      <c r="T192" s="825">
        <f t="shared" si="158"/>
        <v>296690</v>
      </c>
      <c r="U192" s="847">
        <f t="shared" si="159"/>
        <v>237400</v>
      </c>
      <c r="V192" s="684">
        <f t="shared" si="160"/>
        <v>439180</v>
      </c>
      <c r="W192" s="684">
        <f t="shared" si="161"/>
        <v>461139</v>
      </c>
      <c r="X192" s="824">
        <f t="shared" si="162"/>
        <v>2500000</v>
      </c>
      <c r="Y192" s="684">
        <f t="shared" si="163"/>
        <v>2500000</v>
      </c>
      <c r="AA192" s="843">
        <v>0</v>
      </c>
      <c r="AB192" s="684">
        <f t="shared" si="164"/>
        <v>3000000</v>
      </c>
      <c r="AC192" s="685">
        <f t="shared" si="165"/>
        <v>3000000</v>
      </c>
      <c r="AD192" s="705">
        <f>IF(Main!$L$10="YES",Main!$N$10+AC192,AC192)</f>
        <v>3000000</v>
      </c>
      <c r="AE192" s="705">
        <f>IF(AND((Main!$E$9&gt;=18),(Main!$J$10="YES")),$Y$188+AD192,AD192)</f>
        <v>5500000</v>
      </c>
      <c r="AN192" s="848">
        <v>4</v>
      </c>
      <c r="AO192" s="846" t="e">
        <f>E$13</f>
        <v>#N/A</v>
      </c>
      <c r="AP192" s="824">
        <f t="shared" si="166"/>
        <v>-2000000</v>
      </c>
      <c r="AQ192" s="705" t="e">
        <f t="shared" si="146"/>
        <v>#N/A</v>
      </c>
      <c r="AR192" s="825" t="e">
        <f t="shared" si="167"/>
        <v>#N/A</v>
      </c>
      <c r="AS192" s="829" t="e">
        <f t="shared" si="168"/>
        <v>#N/A</v>
      </c>
      <c r="AT192" s="1173" t="e">
        <f>AO$13</f>
        <v>#N/A</v>
      </c>
      <c r="AU192" s="705" t="e">
        <f t="shared" si="169"/>
        <v>#N/A</v>
      </c>
      <c r="AV192" s="1173" t="e">
        <f>BZ$13</f>
        <v>#N/A</v>
      </c>
      <c r="AW192" s="705" t="e">
        <f t="shared" si="170"/>
        <v>#N/A</v>
      </c>
      <c r="AX192" s="825" t="e">
        <f t="shared" si="171"/>
        <v>#N/A</v>
      </c>
      <c r="AY192" s="825" t="e">
        <f t="shared" si="172"/>
        <v>#N/A</v>
      </c>
      <c r="AZ192" s="847" t="e">
        <f t="shared" si="173"/>
        <v>#N/A</v>
      </c>
      <c r="BA192" s="684">
        <f t="shared" si="174"/>
        <v>1113172</v>
      </c>
      <c r="BB192" s="684">
        <f t="shared" si="175"/>
        <v>1168831</v>
      </c>
      <c r="BC192" s="824">
        <f t="shared" si="147"/>
        <v>2500000</v>
      </c>
      <c r="BD192" s="684">
        <f t="shared" si="148"/>
        <v>2782930</v>
      </c>
      <c r="BF192" s="824">
        <v>0</v>
      </c>
      <c r="BG192" s="824" t="e">
        <f t="shared" si="149"/>
        <v>#N/A</v>
      </c>
      <c r="BH192" s="824" t="e">
        <f t="shared" si="150"/>
        <v>#N/A</v>
      </c>
      <c r="BT192" s="845" t="e">
        <f>IRR(BT195:BT208)</f>
        <v>#VALUE!</v>
      </c>
      <c r="BU192" s="845" t="e">
        <f>IRR(BU195:BU209)</f>
        <v>#VALUE!</v>
      </c>
      <c r="BV192" s="845" t="e">
        <f>IRR(BV195:BV210)</f>
        <v>#VALUE!</v>
      </c>
      <c r="BW192" s="845" t="e">
        <f>IRR(BW195:BW211)</f>
        <v>#VALUE!</v>
      </c>
      <c r="BX192" s="845" t="e">
        <f>IRR(BX195:BX212)</f>
        <v>#VALUE!</v>
      </c>
      <c r="BY192" s="845" t="e">
        <f>IRR(BY195:BY213)</f>
        <v>#VALUE!</v>
      </c>
      <c r="BZ192" s="845" t="e">
        <f>IRR(BZ195:BZ214)</f>
        <v>#VALUE!</v>
      </c>
      <c r="CA192" s="845" t="e">
        <f>IRR(CA195:CA215)</f>
        <v>#VALUE!</v>
      </c>
      <c r="CB192" s="845" t="e">
        <f>IRR(CB195:CB216)</f>
        <v>#VALUE!</v>
      </c>
      <c r="CC192" s="845" t="e">
        <f>IRR(CC195:CC217)</f>
        <v>#VALUE!</v>
      </c>
      <c r="CD192" s="845" t="e">
        <f>IRR(CD195:CD218)</f>
        <v>#VALUE!</v>
      </c>
      <c r="CE192" s="845" t="e">
        <f>IRR(CE195:CE219)</f>
        <v>#VALUE!</v>
      </c>
      <c r="CF192" s="845" t="e">
        <f>IRR(CF195:CF220)</f>
        <v>#VALUE!</v>
      </c>
      <c r="CM192" s="845" t="e">
        <f>IRR(CM195:CM208)</f>
        <v>#VALUE!</v>
      </c>
      <c r="CN192" s="845" t="e">
        <f>IRR(CN195:CN209)</f>
        <v>#VALUE!</v>
      </c>
      <c r="CO192" s="845" t="e">
        <f>IRR(CO195:CO210)</f>
        <v>#VALUE!</v>
      </c>
      <c r="CP192" s="845" t="e">
        <f>IRR(CP195:CP211)</f>
        <v>#VALUE!</v>
      </c>
      <c r="CQ192" s="845" t="e">
        <f>IRR(CQ195:CQ212)</f>
        <v>#VALUE!</v>
      </c>
      <c r="CR192" s="845" t="e">
        <f>IRR(CR195:CR213)</f>
        <v>#VALUE!</v>
      </c>
      <c r="CS192" s="845" t="e">
        <f>IRR(CS195:CS214)</f>
        <v>#VALUE!</v>
      </c>
      <c r="CT192" s="845" t="e">
        <f>IRR(CT195:CT215)</f>
        <v>#VALUE!</v>
      </c>
      <c r="CU192" s="845" t="e">
        <f>IRR(CU195:CU216)</f>
        <v>#VALUE!</v>
      </c>
      <c r="CV192" s="845" t="e">
        <f>IRR(CV195:CV217)</f>
        <v>#VALUE!</v>
      </c>
      <c r="CW192" s="845" t="e">
        <f>IRR(CW195:CW218)</f>
        <v>#VALUE!</v>
      </c>
      <c r="CX192" s="845" t="e">
        <f>IRR(CX195:CX219)</f>
        <v>#VALUE!</v>
      </c>
      <c r="CY192" s="845" t="e">
        <f>IRR(CY195:CY220)</f>
        <v>#VALUE!</v>
      </c>
    </row>
    <row r="193" spans="3:103">
      <c r="C193" s="705">
        <v>21</v>
      </c>
      <c r="D193" s="705">
        <v>47</v>
      </c>
      <c r="I193" s="824">
        <v>5</v>
      </c>
      <c r="J193" s="846">
        <f>F$14</f>
        <v>22.91</v>
      </c>
      <c r="K193" s="705">
        <f t="shared" si="151"/>
        <v>500000</v>
      </c>
      <c r="L193" s="705">
        <f t="shared" si="152"/>
        <v>625000</v>
      </c>
      <c r="M193" s="825">
        <f t="shared" si="153"/>
        <v>1125000</v>
      </c>
      <c r="N193" s="829">
        <f t="shared" si="154"/>
        <v>257738</v>
      </c>
      <c r="O193" s="1173">
        <f>AP$14</f>
        <v>0.5</v>
      </c>
      <c r="P193" s="705">
        <f t="shared" si="155"/>
        <v>274488</v>
      </c>
      <c r="Q193" s="1173">
        <f>CA$14</f>
        <v>0.1555</v>
      </c>
      <c r="R193" s="705">
        <f t="shared" si="156"/>
        <v>97188</v>
      </c>
      <c r="S193" s="825">
        <f t="shared" si="157"/>
        <v>371676</v>
      </c>
      <c r="T193" s="825">
        <f t="shared" si="158"/>
        <v>371676</v>
      </c>
      <c r="U193" s="847">
        <f t="shared" si="159"/>
        <v>297300</v>
      </c>
      <c r="V193" s="684">
        <f t="shared" si="160"/>
        <v>548975</v>
      </c>
      <c r="W193" s="684">
        <f t="shared" si="161"/>
        <v>576424</v>
      </c>
      <c r="X193" s="824">
        <f t="shared" si="162"/>
        <v>2500000</v>
      </c>
      <c r="Y193" s="684">
        <f t="shared" si="163"/>
        <v>2500000</v>
      </c>
      <c r="AA193" s="843">
        <v>0</v>
      </c>
      <c r="AB193" s="684">
        <f t="shared" si="164"/>
        <v>3125000</v>
      </c>
      <c r="AC193" s="685">
        <f t="shared" si="165"/>
        <v>3125000</v>
      </c>
      <c r="AD193" s="705">
        <f>IF(Main!$L$10="YES",Main!$N$10+AC193,AC193)</f>
        <v>3125000</v>
      </c>
      <c r="AE193" s="705">
        <f>IF(AND((Main!$E$9&gt;=18),(Main!$J$10="YES")),$Y$188+AD193,AD193)</f>
        <v>5625000</v>
      </c>
      <c r="AN193" s="848">
        <v>5</v>
      </c>
      <c r="AO193" s="846" t="e">
        <f>F$13</f>
        <v>#N/A</v>
      </c>
      <c r="AP193" s="824">
        <f t="shared" si="166"/>
        <v>-2500000</v>
      </c>
      <c r="AQ193" s="705" t="e">
        <f t="shared" si="146"/>
        <v>#N/A</v>
      </c>
      <c r="AR193" s="825" t="e">
        <f t="shared" si="167"/>
        <v>#N/A</v>
      </c>
      <c r="AS193" s="829" t="e">
        <f t="shared" si="168"/>
        <v>#N/A</v>
      </c>
      <c r="AT193" s="1173" t="e">
        <f>AP$13</f>
        <v>#N/A</v>
      </c>
      <c r="AU193" s="705" t="e">
        <f t="shared" si="169"/>
        <v>#N/A</v>
      </c>
      <c r="AV193" s="1173" t="e">
        <f>CA$13</f>
        <v>#N/A</v>
      </c>
      <c r="AW193" s="705" t="e">
        <f t="shared" si="170"/>
        <v>#N/A</v>
      </c>
      <c r="AX193" s="825" t="e">
        <f t="shared" si="171"/>
        <v>#N/A</v>
      </c>
      <c r="AY193" s="825" t="e">
        <f t="shared" si="172"/>
        <v>#N/A</v>
      </c>
      <c r="AZ193" s="847" t="e">
        <f t="shared" si="173"/>
        <v>#N/A</v>
      </c>
      <c r="BA193" s="684">
        <f t="shared" si="174"/>
        <v>1391465</v>
      </c>
      <c r="BB193" s="684">
        <f t="shared" si="175"/>
        <v>1461038</v>
      </c>
      <c r="BC193" s="824">
        <f t="shared" si="147"/>
        <v>2500000</v>
      </c>
      <c r="BD193" s="684">
        <f t="shared" si="148"/>
        <v>2782930</v>
      </c>
      <c r="BF193" s="824">
        <v>0</v>
      </c>
      <c r="BG193" s="824" t="e">
        <f t="shared" si="149"/>
        <v>#N/A</v>
      </c>
      <c r="BH193" s="824" t="e">
        <f t="shared" si="150"/>
        <v>#N/A</v>
      </c>
      <c r="BT193" s="705">
        <v>12</v>
      </c>
      <c r="BU193" s="705">
        <v>11</v>
      </c>
      <c r="BV193" s="705">
        <v>10</v>
      </c>
      <c r="BW193" s="705">
        <v>9</v>
      </c>
      <c r="BX193" s="705">
        <v>8</v>
      </c>
      <c r="BY193" s="705">
        <v>7</v>
      </c>
      <c r="BZ193" s="705">
        <v>6</v>
      </c>
      <c r="CA193" s="705">
        <v>5</v>
      </c>
      <c r="CB193" s="705">
        <v>4</v>
      </c>
      <c r="CC193" s="705">
        <v>3</v>
      </c>
      <c r="CD193" s="705">
        <v>2</v>
      </c>
      <c r="CE193" s="705">
        <v>1</v>
      </c>
      <c r="CF193" s="705">
        <v>0</v>
      </c>
      <c r="CM193" s="705">
        <v>12</v>
      </c>
      <c r="CN193" s="705">
        <v>11</v>
      </c>
      <c r="CO193" s="705">
        <v>10</v>
      </c>
      <c r="CP193" s="705">
        <v>9</v>
      </c>
      <c r="CQ193" s="705">
        <v>8</v>
      </c>
      <c r="CR193" s="705">
        <v>7</v>
      </c>
      <c r="CS193" s="705">
        <v>6</v>
      </c>
      <c r="CT193" s="705">
        <v>5</v>
      </c>
      <c r="CU193" s="705">
        <v>4</v>
      </c>
      <c r="CV193" s="705">
        <v>3</v>
      </c>
      <c r="CW193" s="705">
        <v>2</v>
      </c>
      <c r="CX193" s="705">
        <v>1</v>
      </c>
      <c r="CY193" s="705">
        <v>0</v>
      </c>
    </row>
    <row r="194" spans="3:103">
      <c r="C194" s="705">
        <v>25</v>
      </c>
      <c r="D194" s="705">
        <v>50</v>
      </c>
      <c r="I194" s="824">
        <v>6</v>
      </c>
      <c r="J194" s="846">
        <f>G$14</f>
        <v>24.63</v>
      </c>
      <c r="K194" s="705">
        <f t="shared" si="151"/>
        <v>600000</v>
      </c>
      <c r="L194" s="705">
        <f t="shared" si="152"/>
        <v>750000</v>
      </c>
      <c r="M194" s="825">
        <f t="shared" si="153"/>
        <v>1350000</v>
      </c>
      <c r="N194" s="829">
        <f t="shared" si="154"/>
        <v>332505</v>
      </c>
      <c r="O194" s="1173">
        <f>AQ$14</f>
        <v>0.5</v>
      </c>
      <c r="P194" s="705">
        <f t="shared" si="155"/>
        <v>329385</v>
      </c>
      <c r="Q194" s="1173">
        <f>CB$14</f>
        <v>0.15720000000000001</v>
      </c>
      <c r="R194" s="705">
        <f t="shared" si="156"/>
        <v>117900</v>
      </c>
      <c r="S194" s="825">
        <f t="shared" si="157"/>
        <v>447285</v>
      </c>
      <c r="T194" s="825">
        <f t="shared" si="158"/>
        <v>447285</v>
      </c>
      <c r="U194" s="847">
        <f t="shared" si="159"/>
        <v>357800</v>
      </c>
      <c r="V194" s="684">
        <f t="shared" si="160"/>
        <v>658770</v>
      </c>
      <c r="W194" s="684">
        <f t="shared" si="161"/>
        <v>691709</v>
      </c>
      <c r="X194" s="824">
        <f t="shared" si="162"/>
        <v>2500000</v>
      </c>
      <c r="Y194" s="684">
        <f t="shared" si="163"/>
        <v>2500000</v>
      </c>
      <c r="AA194" s="843">
        <v>0</v>
      </c>
      <c r="AB194" s="684">
        <f t="shared" si="164"/>
        <v>3250000</v>
      </c>
      <c r="AC194" s="685">
        <f t="shared" si="165"/>
        <v>3250000</v>
      </c>
      <c r="AD194" s="705">
        <f>IF(Main!$L$10="YES",Main!$N$10+AC194,AC194)</f>
        <v>3250000</v>
      </c>
      <c r="AE194" s="705">
        <f>IF(AND((Main!$E$9&gt;=18),(Main!$J$10="YES")),$Y$188+AD194,AD194)</f>
        <v>5750000</v>
      </c>
      <c r="AL194" s="705">
        <f>25-Main!E9</f>
        <v>-5</v>
      </c>
      <c r="AN194" s="848">
        <v>6</v>
      </c>
      <c r="AO194" s="846" t="e">
        <f>G$13</f>
        <v>#N/A</v>
      </c>
      <c r="AP194" s="824">
        <f t="shared" si="166"/>
        <v>-3000000</v>
      </c>
      <c r="AQ194" s="705" t="e">
        <f t="shared" si="146"/>
        <v>#N/A</v>
      </c>
      <c r="AR194" s="825" t="e">
        <f t="shared" si="167"/>
        <v>#N/A</v>
      </c>
      <c r="AS194" s="829" t="e">
        <f t="shared" si="168"/>
        <v>#N/A</v>
      </c>
      <c r="AT194" s="1173" t="e">
        <f>AQ$13</f>
        <v>#N/A</v>
      </c>
      <c r="AU194" s="705" t="e">
        <f t="shared" si="169"/>
        <v>#N/A</v>
      </c>
      <c r="AV194" s="1173" t="e">
        <f>CB$13</f>
        <v>#N/A</v>
      </c>
      <c r="AW194" s="705" t="e">
        <f t="shared" si="170"/>
        <v>#N/A</v>
      </c>
      <c r="AX194" s="825" t="e">
        <f t="shared" si="171"/>
        <v>#N/A</v>
      </c>
      <c r="AY194" s="825" t="e">
        <f t="shared" si="172"/>
        <v>#N/A</v>
      </c>
      <c r="AZ194" s="847" t="e">
        <f t="shared" si="173"/>
        <v>#N/A</v>
      </c>
      <c r="BA194" s="684">
        <f t="shared" si="174"/>
        <v>1669758</v>
      </c>
      <c r="BB194" s="684">
        <f t="shared" si="175"/>
        <v>1753246</v>
      </c>
      <c r="BC194" s="824">
        <f t="shared" si="147"/>
        <v>2500000</v>
      </c>
      <c r="BD194" s="684">
        <f t="shared" si="148"/>
        <v>2782930</v>
      </c>
      <c r="BF194" s="824">
        <v>0</v>
      </c>
      <c r="BG194" s="824" t="e">
        <f t="shared" si="149"/>
        <v>#N/A</v>
      </c>
      <c r="BH194" s="824" t="e">
        <f t="shared" si="150"/>
        <v>#N/A</v>
      </c>
      <c r="BS194" s="848">
        <f>Main!E12</f>
        <v>22</v>
      </c>
      <c r="BT194" s="843">
        <v>13</v>
      </c>
      <c r="BU194" s="843">
        <v>14</v>
      </c>
      <c r="BV194" s="843">
        <v>15</v>
      </c>
      <c r="BW194" s="843">
        <v>16</v>
      </c>
      <c r="BX194" s="843">
        <v>17</v>
      </c>
      <c r="BY194" s="843">
        <v>18</v>
      </c>
      <c r="BZ194" s="843">
        <v>19</v>
      </c>
      <c r="CA194" s="843">
        <v>20</v>
      </c>
      <c r="CB194" s="843">
        <v>21</v>
      </c>
      <c r="CC194" s="843">
        <v>22</v>
      </c>
      <c r="CD194" s="843">
        <v>23</v>
      </c>
      <c r="CE194" s="843">
        <v>24</v>
      </c>
      <c r="CF194" s="843">
        <v>25</v>
      </c>
      <c r="CI194" s="848" t="str">
        <f>Main!N12</f>
        <v>OPTION-2</v>
      </c>
      <c r="CJ194" s="848">
        <f>AI195</f>
        <v>1875000</v>
      </c>
      <c r="CK194" s="848">
        <f>AJ195</f>
        <v>125000</v>
      </c>
      <c r="CL194" s="705">
        <f>25-Main!E9</f>
        <v>-5</v>
      </c>
      <c r="CM194" s="843">
        <v>13</v>
      </c>
      <c r="CN194" s="843">
        <v>14</v>
      </c>
      <c r="CO194" s="843">
        <v>15</v>
      </c>
      <c r="CP194" s="843">
        <v>16</v>
      </c>
      <c r="CQ194" s="843">
        <v>17</v>
      </c>
      <c r="CR194" s="843">
        <v>18</v>
      </c>
      <c r="CS194" s="843">
        <v>19</v>
      </c>
      <c r="CT194" s="843">
        <v>20</v>
      </c>
      <c r="CU194" s="843">
        <v>21</v>
      </c>
      <c r="CV194" s="843">
        <v>22</v>
      </c>
      <c r="CW194" s="843">
        <v>23</v>
      </c>
      <c r="CX194" s="843">
        <v>24</v>
      </c>
      <c r="CY194" s="843">
        <v>25</v>
      </c>
    </row>
    <row r="195" spans="3:103">
      <c r="I195" s="824">
        <v>7</v>
      </c>
      <c r="J195" s="846">
        <f>H$14</f>
        <v>26.48</v>
      </c>
      <c r="K195" s="705">
        <f t="shared" si="151"/>
        <v>700000</v>
      </c>
      <c r="L195" s="705">
        <f t="shared" si="152"/>
        <v>875000</v>
      </c>
      <c r="M195" s="825">
        <f t="shared" si="153"/>
        <v>1575000</v>
      </c>
      <c r="N195" s="829">
        <f t="shared" si="154"/>
        <v>417060</v>
      </c>
      <c r="O195" s="1173">
        <f>AR$14</f>
        <v>0.5</v>
      </c>
      <c r="P195" s="705">
        <f t="shared" si="155"/>
        <v>384283</v>
      </c>
      <c r="Q195" s="1173">
        <f>CC$14</f>
        <v>0.1593</v>
      </c>
      <c r="R195" s="705">
        <f t="shared" si="156"/>
        <v>139388</v>
      </c>
      <c r="S195" s="825">
        <f t="shared" si="157"/>
        <v>523671</v>
      </c>
      <c r="T195" s="825">
        <f t="shared" si="158"/>
        <v>523671</v>
      </c>
      <c r="U195" s="847">
        <f t="shared" si="159"/>
        <v>418900</v>
      </c>
      <c r="V195" s="684">
        <f t="shared" si="160"/>
        <v>768565</v>
      </c>
      <c r="W195" s="684">
        <f t="shared" si="161"/>
        <v>806993</v>
      </c>
      <c r="X195" s="824">
        <f t="shared" si="162"/>
        <v>2500000</v>
      </c>
      <c r="Y195" s="684">
        <f t="shared" si="163"/>
        <v>2500000</v>
      </c>
      <c r="AA195" s="843">
        <v>0</v>
      </c>
      <c r="AB195" s="684">
        <f t="shared" si="164"/>
        <v>3375000</v>
      </c>
      <c r="AC195" s="685">
        <f t="shared" si="165"/>
        <v>3375000</v>
      </c>
      <c r="AD195" s="705">
        <f>IF(Main!$L$10="YES",Main!$N$10+AC195,AC195)</f>
        <v>3375000</v>
      </c>
      <c r="AE195" s="705">
        <f>IF(AND((Main!$E$9&gt;=18),(Main!$J$10="YES")),$Y$188+AD195,AD195)</f>
        <v>5875000</v>
      </c>
      <c r="AH195" s="848">
        <f>PM!AJ129</f>
        <v>2</v>
      </c>
      <c r="AI195" s="1172">
        <f>LOOKUP($AH$195,$AH196:$AH199,AI196:AI199)</f>
        <v>1875000</v>
      </c>
      <c r="AJ195" s="1172">
        <f>LOOKUP($AH$195,$AH196:$AH199,AJ196:AJ199)</f>
        <v>125000</v>
      </c>
      <c r="AK195" s="1178"/>
      <c r="AL195" s="1179"/>
      <c r="AN195" s="848">
        <v>7</v>
      </c>
      <c r="AO195" s="846" t="e">
        <f>H$13</f>
        <v>#N/A</v>
      </c>
      <c r="AP195" s="824">
        <f t="shared" si="166"/>
        <v>-3500000</v>
      </c>
      <c r="AQ195" s="705" t="e">
        <f t="shared" si="146"/>
        <v>#N/A</v>
      </c>
      <c r="AR195" s="825" t="e">
        <f t="shared" si="167"/>
        <v>#N/A</v>
      </c>
      <c r="AS195" s="829" t="e">
        <f t="shared" si="168"/>
        <v>#N/A</v>
      </c>
      <c r="AT195" s="1173" t="e">
        <f>AR$13</f>
        <v>#N/A</v>
      </c>
      <c r="AU195" s="705" t="e">
        <f t="shared" si="169"/>
        <v>#N/A</v>
      </c>
      <c r="AV195" s="1173" t="e">
        <f>CC$13</f>
        <v>#N/A</v>
      </c>
      <c r="AW195" s="705" t="e">
        <f t="shared" si="170"/>
        <v>#N/A</v>
      </c>
      <c r="AX195" s="825" t="e">
        <f t="shared" si="171"/>
        <v>#N/A</v>
      </c>
      <c r="AY195" s="825" t="e">
        <f t="shared" si="172"/>
        <v>#N/A</v>
      </c>
      <c r="AZ195" s="847" t="e">
        <f t="shared" si="173"/>
        <v>#N/A</v>
      </c>
      <c r="BA195" s="684">
        <f t="shared" si="174"/>
        <v>1948051</v>
      </c>
      <c r="BB195" s="684">
        <f t="shared" si="175"/>
        <v>2045454</v>
      </c>
      <c r="BC195" s="824">
        <f t="shared" si="147"/>
        <v>2500000</v>
      </c>
      <c r="BD195" s="684">
        <f t="shared" si="148"/>
        <v>2782930</v>
      </c>
      <c r="BF195" s="824">
        <v>0</v>
      </c>
      <c r="BG195" s="824" t="e">
        <f t="shared" si="149"/>
        <v>#N/A</v>
      </c>
      <c r="BH195" s="824" t="e">
        <f t="shared" si="150"/>
        <v>#N/A</v>
      </c>
      <c r="BS195" s="705">
        <v>1</v>
      </c>
      <c r="BT195" s="705">
        <f>-DAT!$AT$16</f>
        <v>-241800</v>
      </c>
      <c r="BU195" s="705">
        <f>-DAT!$AT$16</f>
        <v>-241800</v>
      </c>
      <c r="BV195" s="705">
        <f>-DAT!$AT$16</f>
        <v>-241800</v>
      </c>
      <c r="BW195" s="705">
        <f>-DAT!$AT$16</f>
        <v>-241800</v>
      </c>
      <c r="BX195" s="705">
        <f>-DAT!$AT$16</f>
        <v>-241800</v>
      </c>
      <c r="BY195" s="705">
        <f>-DAT!$AT$16</f>
        <v>-241800</v>
      </c>
      <c r="BZ195" s="705">
        <f>-DAT!$AT$16</f>
        <v>-241800</v>
      </c>
      <c r="CA195" s="705">
        <f>-DAT!$AT$16</f>
        <v>-241800</v>
      </c>
      <c r="CB195" s="705">
        <f>-DAT!$AT$16</f>
        <v>-241800</v>
      </c>
      <c r="CC195" s="705">
        <f>-DAT!$AT$16</f>
        <v>-241800</v>
      </c>
      <c r="CD195" s="705">
        <f>-DAT!$AT$16</f>
        <v>-241800</v>
      </c>
      <c r="CE195" s="705">
        <f>-DAT!$AT$16</f>
        <v>-241800</v>
      </c>
      <c r="CF195" s="705">
        <f>-DAT!$AT$16</f>
        <v>-241800</v>
      </c>
      <c r="CJ195" s="848" t="e">
        <f>AQ188</f>
        <v>#N/A</v>
      </c>
      <c r="CL195" s="705">
        <v>1</v>
      </c>
      <c r="CM195" s="705">
        <f>-DAT!$AT$18</f>
        <v>-302358</v>
      </c>
      <c r="CN195" s="705">
        <f>-DAT!$AT$18</f>
        <v>-302358</v>
      </c>
      <c r="CO195" s="705">
        <f>-DAT!$AT$18</f>
        <v>-302358</v>
      </c>
      <c r="CP195" s="705">
        <f>-DAT!$AT$18</f>
        <v>-302358</v>
      </c>
      <c r="CQ195" s="705">
        <f>-DAT!$AT$18</f>
        <v>-302358</v>
      </c>
      <c r="CR195" s="705">
        <f>-DAT!$AT$18</f>
        <v>-302358</v>
      </c>
      <c r="CS195" s="705">
        <f>-DAT!$AT$18</f>
        <v>-302358</v>
      </c>
      <c r="CT195" s="705">
        <f>-DAT!$AT$18</f>
        <v>-302358</v>
      </c>
      <c r="CU195" s="705">
        <f>-DAT!$AT$18</f>
        <v>-302358</v>
      </c>
      <c r="CV195" s="705">
        <f>-DAT!$AT$18</f>
        <v>-302358</v>
      </c>
      <c r="CW195" s="705">
        <f>-DAT!$AT$18</f>
        <v>-302358</v>
      </c>
      <c r="CX195" s="705">
        <f>-DAT!$AT$18</f>
        <v>-302358</v>
      </c>
      <c r="CY195" s="705">
        <f>-DAT!$AT$18</f>
        <v>-302358</v>
      </c>
    </row>
    <row r="196" spans="3:103">
      <c r="I196" s="824">
        <v>8</v>
      </c>
      <c r="J196" s="846">
        <f>I$14</f>
        <v>28.47</v>
      </c>
      <c r="K196" s="705">
        <f t="shared" si="151"/>
        <v>800000</v>
      </c>
      <c r="L196" s="705">
        <f t="shared" si="152"/>
        <v>1000000</v>
      </c>
      <c r="M196" s="825">
        <f t="shared" si="153"/>
        <v>1800000</v>
      </c>
      <c r="N196" s="829">
        <f t="shared" si="154"/>
        <v>512460</v>
      </c>
      <c r="O196" s="1173">
        <f>AS$14</f>
        <v>0.51759999999999995</v>
      </c>
      <c r="P196" s="705">
        <f t="shared" si="155"/>
        <v>454639</v>
      </c>
      <c r="Q196" s="1173">
        <f>CD$14</f>
        <v>0.16220000000000001</v>
      </c>
      <c r="R196" s="705">
        <f t="shared" si="156"/>
        <v>162200</v>
      </c>
      <c r="S196" s="825">
        <f t="shared" si="157"/>
        <v>616839</v>
      </c>
      <c r="T196" s="825">
        <f t="shared" si="158"/>
        <v>616839</v>
      </c>
      <c r="U196" s="847">
        <f t="shared" si="159"/>
        <v>493500</v>
      </c>
      <c r="V196" s="684">
        <f t="shared" si="160"/>
        <v>878360</v>
      </c>
      <c r="W196" s="684">
        <f t="shared" si="161"/>
        <v>922278</v>
      </c>
      <c r="X196" s="824">
        <f t="shared" si="162"/>
        <v>2500000</v>
      </c>
      <c r="Y196" s="684">
        <f t="shared" si="163"/>
        <v>2500000</v>
      </c>
      <c r="AA196" s="843">
        <v>0</v>
      </c>
      <c r="AB196" s="684">
        <f t="shared" si="164"/>
        <v>3500000</v>
      </c>
      <c r="AC196" s="685">
        <f t="shared" si="165"/>
        <v>3500000</v>
      </c>
      <c r="AD196" s="705">
        <f>IF(Main!$L$10="YES",Main!$N$10+AC196,AC196)</f>
        <v>3500000</v>
      </c>
      <c r="AE196" s="705">
        <f>IF(AND((Main!$E$9&gt;=18),(Main!$J$10="YES")),$Y$188+AD196,AD196)</f>
        <v>6000000</v>
      </c>
      <c r="AH196" s="705">
        <v>1</v>
      </c>
      <c r="AI196" s="824">
        <f>$B$52</f>
        <v>2500000</v>
      </c>
      <c r="AJ196" s="705">
        <v>0</v>
      </c>
      <c r="AN196" s="848">
        <v>8</v>
      </c>
      <c r="AO196" s="846" t="e">
        <f>I$13</f>
        <v>#N/A</v>
      </c>
      <c r="AP196" s="824">
        <f t="shared" si="166"/>
        <v>-4000000</v>
      </c>
      <c r="AQ196" s="705" t="e">
        <f t="shared" si="146"/>
        <v>#N/A</v>
      </c>
      <c r="AR196" s="825" t="e">
        <f t="shared" si="167"/>
        <v>#N/A</v>
      </c>
      <c r="AS196" s="829" t="e">
        <f t="shared" si="168"/>
        <v>#N/A</v>
      </c>
      <c r="AT196" s="1173" t="e">
        <f>AS$13</f>
        <v>#N/A</v>
      </c>
      <c r="AU196" s="705" t="e">
        <f t="shared" si="169"/>
        <v>#N/A</v>
      </c>
      <c r="AV196" s="1173" t="e">
        <f>CD$13</f>
        <v>#N/A</v>
      </c>
      <c r="AW196" s="705" t="e">
        <f t="shared" si="170"/>
        <v>#N/A</v>
      </c>
      <c r="AX196" s="825" t="e">
        <f t="shared" si="171"/>
        <v>#N/A</v>
      </c>
      <c r="AY196" s="825" t="e">
        <f t="shared" si="172"/>
        <v>#N/A</v>
      </c>
      <c r="AZ196" s="847" t="e">
        <f t="shared" si="173"/>
        <v>#N/A</v>
      </c>
      <c r="BA196" s="684">
        <f t="shared" si="174"/>
        <v>2226344</v>
      </c>
      <c r="BB196" s="684">
        <f t="shared" si="175"/>
        <v>2337661</v>
      </c>
      <c r="BC196" s="824">
        <f t="shared" si="147"/>
        <v>2500000</v>
      </c>
      <c r="BD196" s="684">
        <f t="shared" si="148"/>
        <v>2782930</v>
      </c>
      <c r="BF196" s="824">
        <v>0</v>
      </c>
      <c r="BG196" s="824" t="e">
        <f t="shared" si="149"/>
        <v>#N/A</v>
      </c>
      <c r="BH196" s="824" t="e">
        <f t="shared" si="150"/>
        <v>#N/A</v>
      </c>
      <c r="BS196" s="824">
        <v>2</v>
      </c>
      <c r="BT196" s="705">
        <f>-DAT!$AY$16</f>
        <v>-236594</v>
      </c>
      <c r="BU196" s="705">
        <f>-DAT!$AY$16</f>
        <v>-236594</v>
      </c>
      <c r="BV196" s="705">
        <f>-DAT!$AY$16</f>
        <v>-236594</v>
      </c>
      <c r="BW196" s="705">
        <f>-DAT!$AY$16</f>
        <v>-236594</v>
      </c>
      <c r="BX196" s="705">
        <f>-DAT!$AY$16</f>
        <v>-236594</v>
      </c>
      <c r="BY196" s="705">
        <f>-DAT!$AY$16</f>
        <v>-236594</v>
      </c>
      <c r="BZ196" s="705">
        <f>-DAT!$AY$16</f>
        <v>-236594</v>
      </c>
      <c r="CA196" s="705">
        <f>-DAT!$AY$16</f>
        <v>-236594</v>
      </c>
      <c r="CB196" s="705">
        <f>-DAT!$AY$16</f>
        <v>-236594</v>
      </c>
      <c r="CC196" s="705">
        <f>-DAT!$AY$16</f>
        <v>-236594</v>
      </c>
      <c r="CD196" s="705">
        <f>-DAT!$AY$16</f>
        <v>-236594</v>
      </c>
      <c r="CE196" s="705">
        <f>-DAT!$AY$16</f>
        <v>-236594</v>
      </c>
      <c r="CF196" s="705">
        <f>-DAT!$AY$16</f>
        <v>-236594</v>
      </c>
      <c r="CJ196" s="848" t="e">
        <f>BF188</f>
        <v>#N/A</v>
      </c>
      <c r="CL196" s="824">
        <v>2</v>
      </c>
      <c r="CM196" s="705">
        <f>-DAT!$AY$18</f>
        <v>-295848</v>
      </c>
      <c r="CN196" s="705">
        <f>-DAT!$AY$18</f>
        <v>-295848</v>
      </c>
      <c r="CO196" s="705">
        <f>-DAT!$AY$18</f>
        <v>-295848</v>
      </c>
      <c r="CP196" s="705">
        <f>-DAT!$AY$18</f>
        <v>-295848</v>
      </c>
      <c r="CQ196" s="705">
        <f>-DAT!$AY$18</f>
        <v>-295848</v>
      </c>
      <c r="CR196" s="705">
        <f>-DAT!$AY$18</f>
        <v>-295848</v>
      </c>
      <c r="CS196" s="705">
        <f>-DAT!$AY$18</f>
        <v>-295848</v>
      </c>
      <c r="CT196" s="705">
        <f>-DAT!$AY$18</f>
        <v>-295848</v>
      </c>
      <c r="CU196" s="705">
        <f>-DAT!$AY$18</f>
        <v>-295848</v>
      </c>
      <c r="CV196" s="705">
        <f>-DAT!$AY$18</f>
        <v>-295848</v>
      </c>
      <c r="CW196" s="705">
        <f>-DAT!$AY$18</f>
        <v>-295848</v>
      </c>
      <c r="CX196" s="705">
        <f>-DAT!$AY$18</f>
        <v>-295848</v>
      </c>
      <c r="CY196" s="705">
        <f>-DAT!$AY$18</f>
        <v>-295848</v>
      </c>
    </row>
    <row r="197" spans="3:103">
      <c r="I197" s="824">
        <v>9</v>
      </c>
      <c r="J197" s="846">
        <f>J$14</f>
        <v>30.61</v>
      </c>
      <c r="K197" s="705">
        <f t="shared" si="151"/>
        <v>900000</v>
      </c>
      <c r="L197" s="705">
        <f t="shared" si="152"/>
        <v>1125000</v>
      </c>
      <c r="M197" s="825">
        <f t="shared" si="153"/>
        <v>2025000</v>
      </c>
      <c r="N197" s="829">
        <f t="shared" si="154"/>
        <v>619853</v>
      </c>
      <c r="O197" s="1173">
        <f>AT$14</f>
        <v>0.5353</v>
      </c>
      <c r="P197" s="705">
        <f t="shared" si="155"/>
        <v>528959</v>
      </c>
      <c r="Q197" s="1173">
        <f>CE$14</f>
        <v>0.1658</v>
      </c>
      <c r="R197" s="705">
        <f t="shared" si="156"/>
        <v>186525</v>
      </c>
      <c r="S197" s="825">
        <f t="shared" si="157"/>
        <v>715484</v>
      </c>
      <c r="T197" s="825">
        <f t="shared" si="158"/>
        <v>715484</v>
      </c>
      <c r="U197" s="847">
        <f t="shared" si="159"/>
        <v>572400</v>
      </c>
      <c r="V197" s="684">
        <f t="shared" si="160"/>
        <v>988155</v>
      </c>
      <c r="W197" s="684">
        <f t="shared" si="161"/>
        <v>1037563</v>
      </c>
      <c r="X197" s="824">
        <f t="shared" si="162"/>
        <v>2500000</v>
      </c>
      <c r="Y197" s="684">
        <f t="shared" si="163"/>
        <v>2500000</v>
      </c>
      <c r="AA197" s="843">
        <v>0</v>
      </c>
      <c r="AB197" s="684">
        <f t="shared" si="164"/>
        <v>3625000</v>
      </c>
      <c r="AC197" s="685">
        <f t="shared" si="165"/>
        <v>3625000</v>
      </c>
      <c r="AD197" s="705">
        <f>IF(Main!$L$10="YES",Main!$N$10+AC197,AC197)</f>
        <v>3625000</v>
      </c>
      <c r="AE197" s="705">
        <f>IF(AND((Main!$E$9&gt;=18),(Main!$J$10="YES")),$Y$188+AD197,AD197)</f>
        <v>6125000</v>
      </c>
      <c r="AH197" s="705">
        <v>2</v>
      </c>
      <c r="AI197" s="705">
        <f>AI196*75%</f>
        <v>1875000</v>
      </c>
      <c r="AJ197" s="705">
        <f>AI196*5%</f>
        <v>125000</v>
      </c>
      <c r="AN197" s="848">
        <v>9</v>
      </c>
      <c r="AO197" s="846" t="e">
        <f>J$13</f>
        <v>#N/A</v>
      </c>
      <c r="AP197" s="824">
        <f t="shared" si="166"/>
        <v>-4500000</v>
      </c>
      <c r="AQ197" s="705" t="e">
        <f t="shared" si="146"/>
        <v>#N/A</v>
      </c>
      <c r="AR197" s="825" t="e">
        <f t="shared" si="167"/>
        <v>#N/A</v>
      </c>
      <c r="AS197" s="829" t="e">
        <f t="shared" si="168"/>
        <v>#N/A</v>
      </c>
      <c r="AT197" s="1173" t="e">
        <f>AT$13</f>
        <v>#N/A</v>
      </c>
      <c r="AU197" s="705" t="e">
        <f t="shared" si="169"/>
        <v>#N/A</v>
      </c>
      <c r="AV197" s="1173" t="e">
        <f>CE$13</f>
        <v>#N/A</v>
      </c>
      <c r="AW197" s="705" t="e">
        <f t="shared" si="170"/>
        <v>#N/A</v>
      </c>
      <c r="AX197" s="825" t="e">
        <f t="shared" si="171"/>
        <v>#N/A</v>
      </c>
      <c r="AY197" s="825" t="e">
        <f t="shared" si="172"/>
        <v>#N/A</v>
      </c>
      <c r="AZ197" s="847" t="e">
        <f t="shared" si="173"/>
        <v>#N/A</v>
      </c>
      <c r="BA197" s="684">
        <f t="shared" si="174"/>
        <v>2504637</v>
      </c>
      <c r="BB197" s="684">
        <f t="shared" si="175"/>
        <v>2629869</v>
      </c>
      <c r="BC197" s="824">
        <f t="shared" si="147"/>
        <v>2500000</v>
      </c>
      <c r="BD197" s="684">
        <f t="shared" si="148"/>
        <v>2782930</v>
      </c>
      <c r="BF197" s="824">
        <v>0</v>
      </c>
      <c r="BG197" s="824" t="e">
        <f t="shared" si="149"/>
        <v>#N/A</v>
      </c>
      <c r="BH197" s="824" t="e">
        <f t="shared" si="150"/>
        <v>#N/A</v>
      </c>
      <c r="BS197" s="824">
        <v>3</v>
      </c>
      <c r="BT197" s="705">
        <f>-DAT!$AY$16</f>
        <v>-236594</v>
      </c>
      <c r="BU197" s="705">
        <f>-DAT!$AY$16</f>
        <v>-236594</v>
      </c>
      <c r="BV197" s="705">
        <f>-DAT!$AY$16</f>
        <v>-236594</v>
      </c>
      <c r="BW197" s="705">
        <f>-DAT!$AY$16</f>
        <v>-236594</v>
      </c>
      <c r="BX197" s="705">
        <f>-DAT!$AY$16</f>
        <v>-236594</v>
      </c>
      <c r="BY197" s="705">
        <f>-DAT!$AY$16</f>
        <v>-236594</v>
      </c>
      <c r="BZ197" s="705">
        <f>-DAT!$AY$16</f>
        <v>-236594</v>
      </c>
      <c r="CA197" s="705">
        <f>-DAT!$AY$16</f>
        <v>-236594</v>
      </c>
      <c r="CB197" s="705">
        <f>-DAT!$AY$16</f>
        <v>-236594</v>
      </c>
      <c r="CC197" s="705">
        <f>-DAT!$AY$16</f>
        <v>-236594</v>
      </c>
      <c r="CD197" s="705">
        <f>-DAT!$AY$16</f>
        <v>-236594</v>
      </c>
      <c r="CE197" s="705">
        <f>-DAT!$AY$16</f>
        <v>-236594</v>
      </c>
      <c r="CF197" s="705">
        <f>-DAT!$AY$16</f>
        <v>-236594</v>
      </c>
      <c r="CJ197" s="848" t="e">
        <f>CJ194+CJ195+CJ196</f>
        <v>#N/A</v>
      </c>
      <c r="CL197" s="824">
        <v>3</v>
      </c>
      <c r="CM197" s="705">
        <f>-DAT!$AY$18</f>
        <v>-295848</v>
      </c>
      <c r="CN197" s="705">
        <f>-DAT!$AY$18</f>
        <v>-295848</v>
      </c>
      <c r="CO197" s="705">
        <f>-DAT!$AY$18</f>
        <v>-295848</v>
      </c>
      <c r="CP197" s="705">
        <f>-DAT!$AY$18</f>
        <v>-295848</v>
      </c>
      <c r="CQ197" s="705">
        <f>-DAT!$AY$18</f>
        <v>-295848</v>
      </c>
      <c r="CR197" s="705">
        <f>-DAT!$AY$18</f>
        <v>-295848</v>
      </c>
      <c r="CS197" s="705">
        <f>-DAT!$AY$18</f>
        <v>-295848</v>
      </c>
      <c r="CT197" s="705">
        <f>-DAT!$AY$18</f>
        <v>-295848</v>
      </c>
      <c r="CU197" s="705">
        <f>-DAT!$AY$18</f>
        <v>-295848</v>
      </c>
      <c r="CV197" s="705">
        <f>-DAT!$AY$18</f>
        <v>-295848</v>
      </c>
      <c r="CW197" s="705">
        <f>-DAT!$AY$18</f>
        <v>-295848</v>
      </c>
      <c r="CX197" s="705">
        <f>-DAT!$AY$18</f>
        <v>-295848</v>
      </c>
      <c r="CY197" s="705">
        <f>-DAT!$AY$18</f>
        <v>-295848</v>
      </c>
    </row>
    <row r="198" spans="3:103">
      <c r="I198" s="824">
        <v>10</v>
      </c>
      <c r="J198" s="846">
        <f>K$14</f>
        <v>32.92</v>
      </c>
      <c r="K198" s="705">
        <f t="shared" si="151"/>
        <v>1000000</v>
      </c>
      <c r="L198" s="705">
        <f t="shared" si="152"/>
        <v>1250000</v>
      </c>
      <c r="M198" s="825">
        <f t="shared" si="153"/>
        <v>2250000</v>
      </c>
      <c r="N198" s="829">
        <f t="shared" si="154"/>
        <v>740700</v>
      </c>
      <c r="O198" s="1173">
        <f>AU$14</f>
        <v>0.55289999999999995</v>
      </c>
      <c r="P198" s="705">
        <f t="shared" si="155"/>
        <v>607057</v>
      </c>
      <c r="Q198" s="1173">
        <f>CF$14</f>
        <v>0.17030000000000001</v>
      </c>
      <c r="R198" s="705">
        <f t="shared" si="156"/>
        <v>212875</v>
      </c>
      <c r="S198" s="825">
        <f t="shared" si="157"/>
        <v>819932</v>
      </c>
      <c r="T198" s="825">
        <f t="shared" si="158"/>
        <v>819932</v>
      </c>
      <c r="U198" s="847">
        <f t="shared" si="159"/>
        <v>655900</v>
      </c>
      <c r="V198" s="684">
        <f t="shared" si="160"/>
        <v>1097950</v>
      </c>
      <c r="W198" s="684">
        <f t="shared" si="161"/>
        <v>1152848</v>
      </c>
      <c r="X198" s="824">
        <f t="shared" si="162"/>
        <v>2500000</v>
      </c>
      <c r="Y198" s="684">
        <f t="shared" si="163"/>
        <v>2500000</v>
      </c>
      <c r="AA198" s="843">
        <v>0</v>
      </c>
      <c r="AB198" s="684">
        <f t="shared" si="164"/>
        <v>3750000</v>
      </c>
      <c r="AC198" s="685">
        <f t="shared" si="165"/>
        <v>3750000</v>
      </c>
      <c r="AD198" s="705">
        <f>IF(Main!$L$10="YES",Main!$N$10+AC198,AC198)</f>
        <v>3750000</v>
      </c>
      <c r="AE198" s="705">
        <f>IF(AND((Main!$E$9&gt;=18),(Main!$J$10="YES")),$Y$188+AD198,AD198)</f>
        <v>6250000</v>
      </c>
      <c r="AH198" s="705">
        <v>3</v>
      </c>
      <c r="AI198" s="705">
        <f>AI196*50%</f>
        <v>1250000</v>
      </c>
      <c r="AJ198" s="705">
        <f>AI196*10%</f>
        <v>250000</v>
      </c>
      <c r="AN198" s="848">
        <v>10</v>
      </c>
      <c r="AO198" s="846" t="e">
        <f>K$13</f>
        <v>#N/A</v>
      </c>
      <c r="AP198" s="824">
        <f t="shared" si="166"/>
        <v>-5000000</v>
      </c>
      <c r="AQ198" s="705" t="e">
        <f t="shared" si="146"/>
        <v>#N/A</v>
      </c>
      <c r="AR198" s="825" t="e">
        <f t="shared" si="167"/>
        <v>#N/A</v>
      </c>
      <c r="AS198" s="829" t="e">
        <f t="shared" si="168"/>
        <v>#N/A</v>
      </c>
      <c r="AT198" s="1173" t="e">
        <f>AU$13</f>
        <v>#N/A</v>
      </c>
      <c r="AU198" s="705" t="e">
        <f t="shared" si="169"/>
        <v>#N/A</v>
      </c>
      <c r="AV198" s="1173" t="e">
        <f>CF$13</f>
        <v>#N/A</v>
      </c>
      <c r="AW198" s="705" t="e">
        <f t="shared" si="170"/>
        <v>#N/A</v>
      </c>
      <c r="AX198" s="825" t="e">
        <f t="shared" si="171"/>
        <v>#N/A</v>
      </c>
      <c r="AY198" s="825" t="e">
        <f t="shared" si="172"/>
        <v>#N/A</v>
      </c>
      <c r="AZ198" s="847" t="e">
        <f t="shared" si="173"/>
        <v>#N/A</v>
      </c>
      <c r="BA198" s="684">
        <f t="shared" si="174"/>
        <v>2782930</v>
      </c>
      <c r="BB198" s="684">
        <f t="shared" si="175"/>
        <v>2922077</v>
      </c>
      <c r="BC198" s="824">
        <f t="shared" si="147"/>
        <v>2500000</v>
      </c>
      <c r="BD198" s="684">
        <f t="shared" si="148"/>
        <v>2782930</v>
      </c>
      <c r="BF198" s="824">
        <v>0</v>
      </c>
      <c r="BG198" s="824" t="e">
        <f t="shared" si="149"/>
        <v>#N/A</v>
      </c>
      <c r="BH198" s="824" t="e">
        <f t="shared" si="150"/>
        <v>#N/A</v>
      </c>
      <c r="BS198" s="824">
        <v>4</v>
      </c>
      <c r="BT198" s="705">
        <f>-DAT!$AY$16</f>
        <v>-236594</v>
      </c>
      <c r="BU198" s="705">
        <f>-DAT!$AY$16</f>
        <v>-236594</v>
      </c>
      <c r="BV198" s="705">
        <f>-DAT!$AY$16</f>
        <v>-236594</v>
      </c>
      <c r="BW198" s="705">
        <f>-DAT!$AY$16</f>
        <v>-236594</v>
      </c>
      <c r="BX198" s="705">
        <f>-DAT!$AY$16</f>
        <v>-236594</v>
      </c>
      <c r="BY198" s="705">
        <f>-DAT!$AY$16</f>
        <v>-236594</v>
      </c>
      <c r="BZ198" s="705">
        <f>-DAT!$AY$16</f>
        <v>-236594</v>
      </c>
      <c r="CA198" s="705">
        <f>-DAT!$AY$16</f>
        <v>-236594</v>
      </c>
      <c r="CB198" s="705">
        <f>-DAT!$AY$16</f>
        <v>-236594</v>
      </c>
      <c r="CC198" s="705">
        <f>-DAT!$AY$16</f>
        <v>-236594</v>
      </c>
      <c r="CD198" s="705">
        <f>-DAT!$AY$16</f>
        <v>-236594</v>
      </c>
      <c r="CE198" s="705">
        <f>-DAT!$AY$16</f>
        <v>-236594</v>
      </c>
      <c r="CF198" s="705">
        <f>-DAT!$AY$16</f>
        <v>-236594</v>
      </c>
      <c r="CL198" s="824">
        <v>4</v>
      </c>
      <c r="CM198" s="705">
        <f>-DAT!$AY$18</f>
        <v>-295848</v>
      </c>
      <c r="CN198" s="705">
        <f>-DAT!$AY$18</f>
        <v>-295848</v>
      </c>
      <c r="CO198" s="705">
        <f>-DAT!$AY$18</f>
        <v>-295848</v>
      </c>
      <c r="CP198" s="705">
        <f>-DAT!$AY$18</f>
        <v>-295848</v>
      </c>
      <c r="CQ198" s="705">
        <f>-DAT!$AY$18</f>
        <v>-295848</v>
      </c>
      <c r="CR198" s="705">
        <f>-DAT!$AY$18</f>
        <v>-295848</v>
      </c>
      <c r="CS198" s="705">
        <f>-DAT!$AY$18</f>
        <v>-295848</v>
      </c>
      <c r="CT198" s="705">
        <f>-DAT!$AY$18</f>
        <v>-295848</v>
      </c>
      <c r="CU198" s="705">
        <f>-DAT!$AY$18</f>
        <v>-295848</v>
      </c>
      <c r="CV198" s="705">
        <f>-DAT!$AY$18</f>
        <v>-295848</v>
      </c>
      <c r="CW198" s="705">
        <f>-DAT!$AY$18</f>
        <v>-295848</v>
      </c>
      <c r="CX198" s="705">
        <f>-DAT!$AY$18</f>
        <v>-295848</v>
      </c>
      <c r="CY198" s="705">
        <f>-DAT!$AY$18</f>
        <v>-295848</v>
      </c>
    </row>
    <row r="199" spans="3:103">
      <c r="I199" s="824">
        <v>11</v>
      </c>
      <c r="J199" s="846">
        <f>L$14</f>
        <v>35.42</v>
      </c>
      <c r="K199" s="705">
        <f t="shared" si="151"/>
        <v>1100000</v>
      </c>
      <c r="L199" s="705">
        <f t="shared" si="152"/>
        <v>1375000</v>
      </c>
      <c r="M199" s="825">
        <f t="shared" si="153"/>
        <v>2475000</v>
      </c>
      <c r="N199" s="829">
        <f t="shared" si="154"/>
        <v>876645</v>
      </c>
      <c r="O199" s="1173">
        <f>AV$14</f>
        <v>0.5706</v>
      </c>
      <c r="P199" s="705">
        <f t="shared" si="155"/>
        <v>689139</v>
      </c>
      <c r="Q199" s="1173">
        <f>CG$14</f>
        <v>0.17580000000000001</v>
      </c>
      <c r="R199" s="705">
        <f t="shared" si="156"/>
        <v>241725</v>
      </c>
      <c r="S199" s="825">
        <f t="shared" si="157"/>
        <v>930864</v>
      </c>
      <c r="T199" s="825">
        <f t="shared" si="158"/>
        <v>930864</v>
      </c>
      <c r="U199" s="847">
        <f t="shared" si="159"/>
        <v>744700</v>
      </c>
      <c r="V199" s="684">
        <f t="shared" si="160"/>
        <v>1207745</v>
      </c>
      <c r="W199" s="684">
        <f t="shared" si="161"/>
        <v>1268132</v>
      </c>
      <c r="X199" s="824">
        <f t="shared" si="162"/>
        <v>2500000</v>
      </c>
      <c r="Y199" s="684">
        <f t="shared" si="163"/>
        <v>2500000</v>
      </c>
      <c r="AA199" s="843">
        <v>0</v>
      </c>
      <c r="AB199" s="684">
        <f t="shared" si="164"/>
        <v>3875000</v>
      </c>
      <c r="AC199" s="685">
        <f t="shared" si="165"/>
        <v>3875000</v>
      </c>
      <c r="AD199" s="705">
        <f>IF(Main!$L$10="YES",Main!$N$10+AC199,AC199)</f>
        <v>3875000</v>
      </c>
      <c r="AE199" s="705">
        <f>IF(AND((Main!$E$9&gt;=18),(Main!$J$10="YES")),$Y$188+AD199,AD199)</f>
        <v>6375000</v>
      </c>
      <c r="AH199" s="705">
        <v>4</v>
      </c>
      <c r="AI199" s="705">
        <f>AI196*25%</f>
        <v>625000</v>
      </c>
      <c r="AJ199" s="705">
        <f>AI196*15%</f>
        <v>375000</v>
      </c>
      <c r="AN199" s="848">
        <v>11</v>
      </c>
      <c r="AO199" s="846" t="e">
        <f>L$13</f>
        <v>#N/A</v>
      </c>
      <c r="AP199" s="824">
        <f t="shared" si="166"/>
        <v>-5500000</v>
      </c>
      <c r="AQ199" s="705" t="e">
        <f t="shared" si="146"/>
        <v>#N/A</v>
      </c>
      <c r="AR199" s="825" t="e">
        <f t="shared" si="167"/>
        <v>#N/A</v>
      </c>
      <c r="AS199" s="829" t="e">
        <f t="shared" si="168"/>
        <v>#N/A</v>
      </c>
      <c r="AT199" s="1173" t="e">
        <f>AV$13</f>
        <v>#N/A</v>
      </c>
      <c r="AU199" s="705" t="e">
        <f t="shared" si="169"/>
        <v>#N/A</v>
      </c>
      <c r="AV199" s="1173" t="e">
        <f>CG$13</f>
        <v>#N/A</v>
      </c>
      <c r="AW199" s="705" t="e">
        <f t="shared" si="170"/>
        <v>#N/A</v>
      </c>
      <c r="AX199" s="825" t="e">
        <f t="shared" si="171"/>
        <v>#N/A</v>
      </c>
      <c r="AY199" s="825" t="e">
        <f t="shared" si="172"/>
        <v>#N/A</v>
      </c>
      <c r="AZ199" s="847" t="e">
        <f t="shared" si="173"/>
        <v>#N/A</v>
      </c>
      <c r="BA199" s="684">
        <f t="shared" si="174"/>
        <v>3061223</v>
      </c>
      <c r="BB199" s="684">
        <f t="shared" si="175"/>
        <v>3214284</v>
      </c>
      <c r="BC199" s="824">
        <f t="shared" si="147"/>
        <v>2500000</v>
      </c>
      <c r="BD199" s="684">
        <f t="shared" si="148"/>
        <v>2782930</v>
      </c>
      <c r="BF199" s="824">
        <v>0</v>
      </c>
      <c r="BG199" s="824" t="e">
        <f t="shared" si="149"/>
        <v>#N/A</v>
      </c>
      <c r="BH199" s="824" t="e">
        <f t="shared" si="150"/>
        <v>#N/A</v>
      </c>
      <c r="BO199" s="705">
        <f>Main!E10*20%</f>
        <v>500000</v>
      </c>
      <c r="BS199" s="824">
        <v>5</v>
      </c>
      <c r="BT199" s="705">
        <f>-DAT!$AY$16</f>
        <v>-236594</v>
      </c>
      <c r="BU199" s="705">
        <f>-DAT!$AY$16</f>
        <v>-236594</v>
      </c>
      <c r="BV199" s="705">
        <f>-DAT!$AY$16</f>
        <v>-236594</v>
      </c>
      <c r="BW199" s="705">
        <f>-DAT!$AY$16</f>
        <v>-236594</v>
      </c>
      <c r="BX199" s="705">
        <f>-DAT!$AY$16</f>
        <v>-236594</v>
      </c>
      <c r="BY199" s="705">
        <f>-DAT!$AY$16</f>
        <v>-236594</v>
      </c>
      <c r="BZ199" s="705">
        <f>-DAT!$AY$16</f>
        <v>-236594</v>
      </c>
      <c r="CA199" s="705">
        <f>-DAT!$AY$16</f>
        <v>-236594</v>
      </c>
      <c r="CB199" s="705">
        <f>-DAT!$AY$16</f>
        <v>-236594</v>
      </c>
      <c r="CC199" s="705">
        <f>-DAT!$AY$16</f>
        <v>-236594</v>
      </c>
      <c r="CD199" s="705">
        <f>-DAT!$AY$16</f>
        <v>-236594</v>
      </c>
      <c r="CE199" s="705">
        <f>-DAT!$AY$16</f>
        <v>-236594</v>
      </c>
      <c r="CF199" s="705">
        <f>-DAT!$AY$16</f>
        <v>-236594</v>
      </c>
      <c r="CL199" s="824">
        <v>5</v>
      </c>
      <c r="CM199" s="705">
        <f>-DAT!$AY$18</f>
        <v>-295848</v>
      </c>
      <c r="CN199" s="705">
        <f>-DAT!$AY$18</f>
        <v>-295848</v>
      </c>
      <c r="CO199" s="705">
        <f>-DAT!$AY$18</f>
        <v>-295848</v>
      </c>
      <c r="CP199" s="705">
        <f>-DAT!$AY$18</f>
        <v>-295848</v>
      </c>
      <c r="CQ199" s="705">
        <f>-DAT!$AY$18</f>
        <v>-295848</v>
      </c>
      <c r="CR199" s="705">
        <f>-DAT!$AY$18</f>
        <v>-295848</v>
      </c>
      <c r="CS199" s="705">
        <f>-DAT!$AY$18</f>
        <v>-295848</v>
      </c>
      <c r="CT199" s="705">
        <f>-DAT!$AY$18</f>
        <v>-295848</v>
      </c>
      <c r="CU199" s="705">
        <f>-DAT!$AY$18</f>
        <v>-295848</v>
      </c>
      <c r="CV199" s="705">
        <f>-DAT!$AY$18</f>
        <v>-295848</v>
      </c>
      <c r="CW199" s="705">
        <f>-DAT!$AY$18</f>
        <v>-295848</v>
      </c>
      <c r="CX199" s="705">
        <f>-DAT!$AY$18</f>
        <v>-295848</v>
      </c>
      <c r="CY199" s="705">
        <f>-DAT!$AY$18</f>
        <v>-295848</v>
      </c>
    </row>
    <row r="200" spans="3:103">
      <c r="I200" s="843">
        <v>12</v>
      </c>
      <c r="J200" s="846">
        <f>M$14</f>
        <v>38.1</v>
      </c>
      <c r="K200" s="705">
        <f t="shared" si="151"/>
        <v>1200000</v>
      </c>
      <c r="L200" s="705">
        <f t="shared" si="152"/>
        <v>1500000</v>
      </c>
      <c r="M200" s="825">
        <f t="shared" si="153"/>
        <v>2700000</v>
      </c>
      <c r="N200" s="829">
        <f t="shared" si="154"/>
        <v>1028700</v>
      </c>
      <c r="O200" s="1173">
        <f>AW$14</f>
        <v>0.58819999999999995</v>
      </c>
      <c r="P200" s="705">
        <f t="shared" si="155"/>
        <v>774977</v>
      </c>
      <c r="Q200" s="1173">
        <f>CH$14</f>
        <v>0.17580000000000001</v>
      </c>
      <c r="R200" s="705">
        <f t="shared" si="156"/>
        <v>263700</v>
      </c>
      <c r="S200" s="825">
        <f t="shared" si="157"/>
        <v>1038677</v>
      </c>
      <c r="T200" s="825">
        <f t="shared" si="158"/>
        <v>1038677</v>
      </c>
      <c r="U200" s="847">
        <f t="shared" si="159"/>
        <v>830900</v>
      </c>
      <c r="V200" s="684">
        <f t="shared" si="160"/>
        <v>1317540</v>
      </c>
      <c r="W200" s="684">
        <f t="shared" si="161"/>
        <v>1383417</v>
      </c>
      <c r="X200" s="824">
        <f t="shared" si="162"/>
        <v>2500000</v>
      </c>
      <c r="Y200" s="684">
        <f t="shared" si="163"/>
        <v>2500000</v>
      </c>
      <c r="AA200" s="843">
        <v>0</v>
      </c>
      <c r="AB200" s="684">
        <f t="shared" si="164"/>
        <v>4000000</v>
      </c>
      <c r="AC200" s="685">
        <f t="shared" si="165"/>
        <v>4000000</v>
      </c>
      <c r="AD200" s="705">
        <f>IF(Main!$L$10="YES",Main!$N$10+AC200,AC200)</f>
        <v>4000000</v>
      </c>
      <c r="AE200" s="705">
        <f>IF(AND((Main!$E$9&gt;=18),(Main!$J$10="YES")),$Y$188+AD200,AD200)</f>
        <v>6500000</v>
      </c>
      <c r="AH200" s="1180"/>
      <c r="AN200" s="848">
        <v>12</v>
      </c>
      <c r="AO200" s="846" t="e">
        <f>M$13</f>
        <v>#N/A</v>
      </c>
      <c r="AP200" s="824">
        <f t="shared" si="166"/>
        <v>-6000000</v>
      </c>
      <c r="AQ200" s="705" t="e">
        <f t="shared" si="146"/>
        <v>#N/A</v>
      </c>
      <c r="AR200" s="825" t="e">
        <f t="shared" si="167"/>
        <v>#N/A</v>
      </c>
      <c r="AS200" s="829" t="e">
        <f t="shared" si="168"/>
        <v>#N/A</v>
      </c>
      <c r="AT200" s="1173" t="e">
        <f>AW$13</f>
        <v>#N/A</v>
      </c>
      <c r="AU200" s="705" t="e">
        <f t="shared" si="169"/>
        <v>#N/A</v>
      </c>
      <c r="AV200" s="1173" t="e">
        <f>CH$13</f>
        <v>#N/A</v>
      </c>
      <c r="AW200" s="705" t="e">
        <f t="shared" si="170"/>
        <v>#N/A</v>
      </c>
      <c r="AX200" s="825" t="e">
        <f t="shared" si="171"/>
        <v>#N/A</v>
      </c>
      <c r="AY200" s="825" t="e">
        <f t="shared" si="172"/>
        <v>#N/A</v>
      </c>
      <c r="AZ200" s="847" t="e">
        <f t="shared" si="173"/>
        <v>#N/A</v>
      </c>
      <c r="BA200" s="684">
        <f t="shared" si="174"/>
        <v>3339516</v>
      </c>
      <c r="BB200" s="684">
        <f t="shared" si="175"/>
        <v>3506492</v>
      </c>
      <c r="BC200" s="824">
        <f t="shared" si="147"/>
        <v>2500000</v>
      </c>
      <c r="BD200" s="684">
        <f t="shared" si="148"/>
        <v>2782930</v>
      </c>
      <c r="BF200" s="824">
        <v>0</v>
      </c>
      <c r="BG200" s="824" t="e">
        <f t="shared" si="149"/>
        <v>#N/A</v>
      </c>
      <c r="BH200" s="824" t="e">
        <f t="shared" si="150"/>
        <v>#N/A</v>
      </c>
      <c r="BO200" s="705">
        <f>DAT!$AY$16</f>
        <v>236594</v>
      </c>
      <c r="BS200" s="824">
        <v>6</v>
      </c>
      <c r="BT200" s="705">
        <f>-DAT!$AY$16</f>
        <v>-236594</v>
      </c>
      <c r="BU200" s="705">
        <f>-DAT!$AY$16</f>
        <v>-236594</v>
      </c>
      <c r="BV200" s="705">
        <f>-DAT!$AY$16</f>
        <v>-236594</v>
      </c>
      <c r="BW200" s="705">
        <f>-DAT!$AY$16</f>
        <v>-236594</v>
      </c>
      <c r="BX200" s="705">
        <f>-DAT!$AY$16</f>
        <v>-236594</v>
      </c>
      <c r="BY200" s="705">
        <f>-DAT!$AY$16</f>
        <v>-236594</v>
      </c>
      <c r="BZ200" s="705">
        <f>-DAT!$AY$16</f>
        <v>-236594</v>
      </c>
      <c r="CA200" s="705">
        <f>-DAT!$AY$16</f>
        <v>-236594</v>
      </c>
      <c r="CB200" s="705">
        <f>-DAT!$AY$16</f>
        <v>-236594</v>
      </c>
      <c r="CC200" s="705">
        <f>-DAT!$AY$16</f>
        <v>-236594</v>
      </c>
      <c r="CD200" s="705">
        <f>-DAT!$AY$16</f>
        <v>-236594</v>
      </c>
      <c r="CE200" s="705">
        <f>-DAT!$AY$16</f>
        <v>-236594</v>
      </c>
      <c r="CF200" s="705">
        <f>-DAT!$AY$16</f>
        <v>-236594</v>
      </c>
      <c r="CL200" s="824">
        <v>6</v>
      </c>
      <c r="CM200" s="705">
        <f>-DAT!$AY$18</f>
        <v>-295848</v>
      </c>
      <c r="CN200" s="705">
        <f>-DAT!$AY$18</f>
        <v>-295848</v>
      </c>
      <c r="CO200" s="705">
        <f>-DAT!$AY$18</f>
        <v>-295848</v>
      </c>
      <c r="CP200" s="705">
        <f>-DAT!$AY$18</f>
        <v>-295848</v>
      </c>
      <c r="CQ200" s="705">
        <f>-DAT!$AY$18</f>
        <v>-295848</v>
      </c>
      <c r="CR200" s="705">
        <f>-DAT!$AY$18</f>
        <v>-295848</v>
      </c>
      <c r="CS200" s="705">
        <f>-DAT!$AY$18</f>
        <v>-295848</v>
      </c>
      <c r="CT200" s="705">
        <f>-DAT!$AY$18</f>
        <v>-295848</v>
      </c>
      <c r="CU200" s="705">
        <f>-DAT!$AY$18</f>
        <v>-295848</v>
      </c>
      <c r="CV200" s="705">
        <f>-DAT!$AY$18</f>
        <v>-295848</v>
      </c>
      <c r="CW200" s="705">
        <f>-DAT!$AY$18</f>
        <v>-295848</v>
      </c>
      <c r="CX200" s="705">
        <f>-DAT!$AY$18</f>
        <v>-295848</v>
      </c>
      <c r="CY200" s="705">
        <f>-DAT!$AY$18</f>
        <v>-295848</v>
      </c>
    </row>
    <row r="201" spans="3:103">
      <c r="I201" s="843">
        <v>13</v>
      </c>
      <c r="J201" s="846">
        <f>N$14</f>
        <v>40.98</v>
      </c>
      <c r="K201" s="705">
        <f t="shared" si="151"/>
        <v>1300000</v>
      </c>
      <c r="L201" s="705">
        <f t="shared" si="152"/>
        <v>1625000</v>
      </c>
      <c r="M201" s="825">
        <f t="shared" si="153"/>
        <v>2925000</v>
      </c>
      <c r="N201" s="829">
        <f t="shared" si="154"/>
        <v>1198665</v>
      </c>
      <c r="O201" s="1173">
        <f>AX$14</f>
        <v>0.60589999999999999</v>
      </c>
      <c r="P201" s="705">
        <f t="shared" si="155"/>
        <v>864822</v>
      </c>
      <c r="Q201" s="1173">
        <f>CI$14</f>
        <v>0.17660000000000001</v>
      </c>
      <c r="R201" s="705">
        <f t="shared" si="156"/>
        <v>286975</v>
      </c>
      <c r="S201" s="825">
        <f t="shared" si="157"/>
        <v>1151797</v>
      </c>
      <c r="T201" s="825">
        <f t="shared" si="158"/>
        <v>1198665</v>
      </c>
      <c r="U201" s="847">
        <f t="shared" si="159"/>
        <v>958900</v>
      </c>
      <c r="V201" s="684">
        <f t="shared" si="160"/>
        <v>1427335</v>
      </c>
      <c r="W201" s="684">
        <f t="shared" si="161"/>
        <v>1498702</v>
      </c>
      <c r="X201" s="824">
        <f t="shared" si="162"/>
        <v>2500000</v>
      </c>
      <c r="Y201" s="684">
        <f t="shared" si="163"/>
        <v>2500000</v>
      </c>
      <c r="AA201" s="843">
        <v>0</v>
      </c>
      <c r="AB201" s="684">
        <f t="shared" si="164"/>
        <v>4125000</v>
      </c>
      <c r="AC201" s="685">
        <f t="shared" si="165"/>
        <v>4125000</v>
      </c>
      <c r="AD201" s="705">
        <f>IF(Main!$L$10="YES",Main!$N$10+AC201,AC201)</f>
        <v>4125000</v>
      </c>
      <c r="AE201" s="705">
        <f>IF(AND((Main!$E$9&gt;=18),(Main!$J$10="YES")),$Y$188+AD201,AD201)</f>
        <v>6625000</v>
      </c>
      <c r="AN201" s="848">
        <v>13</v>
      </c>
      <c r="AO201" s="846" t="e">
        <f>N$13</f>
        <v>#N/A</v>
      </c>
      <c r="AP201" s="824">
        <f t="shared" si="166"/>
        <v>-6500000</v>
      </c>
      <c r="AQ201" s="705" t="e">
        <f t="shared" si="146"/>
        <v>#N/A</v>
      </c>
      <c r="AR201" s="825" t="e">
        <f t="shared" si="167"/>
        <v>#N/A</v>
      </c>
      <c r="AS201" s="829" t="e">
        <f t="shared" si="168"/>
        <v>#N/A</v>
      </c>
      <c r="AT201" s="1173" t="e">
        <f>AX$13</f>
        <v>#N/A</v>
      </c>
      <c r="AU201" s="705" t="e">
        <f t="shared" si="169"/>
        <v>#N/A</v>
      </c>
      <c r="AV201" s="1173" t="e">
        <f>CI$13</f>
        <v>#N/A</v>
      </c>
      <c r="AW201" s="705" t="e">
        <f t="shared" si="170"/>
        <v>#N/A</v>
      </c>
      <c r="AX201" s="825" t="e">
        <f t="shared" si="171"/>
        <v>#N/A</v>
      </c>
      <c r="AY201" s="825" t="e">
        <f t="shared" si="172"/>
        <v>#N/A</v>
      </c>
      <c r="AZ201" s="847" t="e">
        <f t="shared" si="173"/>
        <v>#N/A</v>
      </c>
      <c r="BA201" s="684">
        <f t="shared" si="174"/>
        <v>3617809</v>
      </c>
      <c r="BB201" s="684">
        <f t="shared" si="175"/>
        <v>3798699</v>
      </c>
      <c r="BC201" s="824">
        <f t="shared" si="147"/>
        <v>2500000</v>
      </c>
      <c r="BD201" s="684">
        <f t="shared" si="148"/>
        <v>2782930</v>
      </c>
      <c r="BF201" s="824">
        <v>0</v>
      </c>
      <c r="BG201" s="824" t="e">
        <f t="shared" si="149"/>
        <v>#N/A</v>
      </c>
      <c r="BH201" s="824" t="e">
        <f t="shared" si="150"/>
        <v>#N/A</v>
      </c>
      <c r="BO201" s="705">
        <f>BO199-BO200</f>
        <v>263406</v>
      </c>
      <c r="BS201" s="824">
        <v>7</v>
      </c>
      <c r="BT201" s="705">
        <f>$BO$201</f>
        <v>263406</v>
      </c>
      <c r="BU201" s="705">
        <f>-DAT!$AY$16</f>
        <v>-236594</v>
      </c>
      <c r="BV201" s="705">
        <f>-DAT!$AY$16</f>
        <v>-236594</v>
      </c>
      <c r="BW201" s="705">
        <f>-DAT!$AY$16</f>
        <v>-236594</v>
      </c>
      <c r="BX201" s="705">
        <f>-DAT!$AY$16</f>
        <v>-236594</v>
      </c>
      <c r="BY201" s="705">
        <f>-DAT!$AY$16</f>
        <v>-236594</v>
      </c>
      <c r="BZ201" s="705">
        <f>-DAT!$AY$16</f>
        <v>-236594</v>
      </c>
      <c r="CA201" s="705">
        <f>-DAT!$AY$16</f>
        <v>-236594</v>
      </c>
      <c r="CB201" s="705">
        <f>-DAT!$AY$16</f>
        <v>-236594</v>
      </c>
      <c r="CC201" s="705">
        <f>-DAT!$AY$16</f>
        <v>-236594</v>
      </c>
      <c r="CD201" s="705">
        <f>-DAT!$AY$16</f>
        <v>-236594</v>
      </c>
      <c r="CE201" s="705">
        <f>-DAT!$AY$16</f>
        <v>-236594</v>
      </c>
      <c r="CF201" s="705">
        <f>-DAT!$AY$16</f>
        <v>-236594</v>
      </c>
      <c r="CL201" s="824">
        <v>7</v>
      </c>
      <c r="CM201" s="705">
        <f>-DAT!$AY$18</f>
        <v>-295848</v>
      </c>
      <c r="CN201" s="705">
        <f>-DAT!$AY$18</f>
        <v>-295848</v>
      </c>
      <c r="CO201" s="705">
        <f>-DAT!$AY$18</f>
        <v>-295848</v>
      </c>
      <c r="CP201" s="705">
        <f>-DAT!$AY$18</f>
        <v>-295848</v>
      </c>
      <c r="CQ201" s="705">
        <f>-DAT!$AY$18</f>
        <v>-295848</v>
      </c>
      <c r="CR201" s="705">
        <f>-DAT!$AY$18</f>
        <v>-295848</v>
      </c>
      <c r="CS201" s="705">
        <f>-DAT!$AY$18</f>
        <v>-295848</v>
      </c>
      <c r="CT201" s="705">
        <f>-DAT!$AY$18</f>
        <v>-295848</v>
      </c>
      <c r="CU201" s="705">
        <f>-DAT!$AY$18</f>
        <v>-295848</v>
      </c>
      <c r="CV201" s="705">
        <f>-DAT!$AY$18</f>
        <v>-295848</v>
      </c>
      <c r="CW201" s="705">
        <f>-DAT!$AY$18</f>
        <v>-295848</v>
      </c>
      <c r="CX201" s="705">
        <f>-DAT!$AY$18</f>
        <v>-295848</v>
      </c>
      <c r="CY201" s="705">
        <f>-DAT!$AY$18</f>
        <v>-295848</v>
      </c>
    </row>
    <row r="202" spans="3:103">
      <c r="I202" s="843">
        <v>14</v>
      </c>
      <c r="J202" s="846">
        <f>O$14</f>
        <v>44.09</v>
      </c>
      <c r="K202" s="705">
        <f t="shared" si="151"/>
        <v>1400000</v>
      </c>
      <c r="L202" s="705">
        <f t="shared" si="152"/>
        <v>1750000</v>
      </c>
      <c r="M202" s="825">
        <f t="shared" si="153"/>
        <v>3150000</v>
      </c>
      <c r="N202" s="829">
        <f t="shared" si="154"/>
        <v>1388835</v>
      </c>
      <c r="O202" s="1173">
        <f>AY$14</f>
        <v>0.62350000000000005</v>
      </c>
      <c r="P202" s="705">
        <f t="shared" si="155"/>
        <v>958401</v>
      </c>
      <c r="Q202" s="1173">
        <f>CJ$14</f>
        <v>0.17849999999999999</v>
      </c>
      <c r="R202" s="705">
        <f t="shared" si="156"/>
        <v>312375</v>
      </c>
      <c r="S202" s="825">
        <f t="shared" si="157"/>
        <v>1270776</v>
      </c>
      <c r="T202" s="825">
        <f t="shared" si="158"/>
        <v>1388835</v>
      </c>
      <c r="U202" s="847">
        <f t="shared" si="159"/>
        <v>1111100</v>
      </c>
      <c r="V202" s="684">
        <f t="shared" si="160"/>
        <v>1537130</v>
      </c>
      <c r="W202" s="684">
        <f t="shared" si="161"/>
        <v>1613987</v>
      </c>
      <c r="X202" s="824">
        <f t="shared" si="162"/>
        <v>2500000</v>
      </c>
      <c r="Y202" s="684">
        <f t="shared" si="163"/>
        <v>2500000</v>
      </c>
      <c r="AA202" s="843">
        <v>0</v>
      </c>
      <c r="AB202" s="684">
        <f t="shared" si="164"/>
        <v>4250000</v>
      </c>
      <c r="AC202" s="685">
        <f t="shared" si="165"/>
        <v>4250000</v>
      </c>
      <c r="AD202" s="705">
        <f>IF(Main!$L$10="YES",Main!$N$10+AC202,AC202)</f>
        <v>4250000</v>
      </c>
      <c r="AE202" s="705">
        <f>IF(AND((Main!$E$9&gt;=18),(Main!$J$10="YES")),$Y$188+AD202,AD202)</f>
        <v>6750000</v>
      </c>
      <c r="AN202" s="848">
        <v>14</v>
      </c>
      <c r="AO202" s="846" t="e">
        <f>O$13</f>
        <v>#N/A</v>
      </c>
      <c r="AP202" s="824">
        <f t="shared" si="166"/>
        <v>-7000000</v>
      </c>
      <c r="AQ202" s="705" t="e">
        <f t="shared" si="146"/>
        <v>#N/A</v>
      </c>
      <c r="AR202" s="825" t="e">
        <f t="shared" si="167"/>
        <v>#N/A</v>
      </c>
      <c r="AS202" s="829" t="e">
        <f t="shared" si="168"/>
        <v>#N/A</v>
      </c>
      <c r="AT202" s="1173" t="e">
        <f>AY$13</f>
        <v>#N/A</v>
      </c>
      <c r="AU202" s="705" t="e">
        <f t="shared" si="169"/>
        <v>#N/A</v>
      </c>
      <c r="AV202" s="1173" t="e">
        <f>CJ$13</f>
        <v>#N/A</v>
      </c>
      <c r="AW202" s="705" t="e">
        <f t="shared" si="170"/>
        <v>#N/A</v>
      </c>
      <c r="AX202" s="825" t="e">
        <f t="shared" si="171"/>
        <v>#N/A</v>
      </c>
      <c r="AY202" s="825" t="e">
        <f t="shared" si="172"/>
        <v>#N/A</v>
      </c>
      <c r="AZ202" s="847" t="e">
        <f t="shared" si="173"/>
        <v>#N/A</v>
      </c>
      <c r="BA202" s="684">
        <f t="shared" si="174"/>
        <v>3896102</v>
      </c>
      <c r="BB202" s="684">
        <f t="shared" si="175"/>
        <v>4090907</v>
      </c>
      <c r="BC202" s="824">
        <f t="shared" si="147"/>
        <v>2500000</v>
      </c>
      <c r="BD202" s="684">
        <f t="shared" si="148"/>
        <v>2782930</v>
      </c>
      <c r="BF202" s="824">
        <v>0</v>
      </c>
      <c r="BG202" s="824" t="e">
        <f t="shared" si="149"/>
        <v>#N/A</v>
      </c>
      <c r="BH202" s="824" t="e">
        <f t="shared" si="150"/>
        <v>#N/A</v>
      </c>
      <c r="BS202" s="824">
        <v>8</v>
      </c>
      <c r="BT202" s="705">
        <f>-DAT!$AY$16</f>
        <v>-236594</v>
      </c>
      <c r="BU202" s="705">
        <f>$BO$201</f>
        <v>263406</v>
      </c>
      <c r="BV202" s="705">
        <f>-DAT!$AY$16</f>
        <v>-236594</v>
      </c>
      <c r="BW202" s="705">
        <f>-DAT!$AY$16</f>
        <v>-236594</v>
      </c>
      <c r="BX202" s="705">
        <f>-DAT!$AY$16</f>
        <v>-236594</v>
      </c>
      <c r="BY202" s="705">
        <f>-DAT!$AY$16</f>
        <v>-236594</v>
      </c>
      <c r="BZ202" s="705">
        <f>-DAT!$AY$16</f>
        <v>-236594</v>
      </c>
      <c r="CA202" s="705">
        <f>-DAT!$AY$16</f>
        <v>-236594</v>
      </c>
      <c r="CB202" s="705">
        <f>-DAT!$AY$16</f>
        <v>-236594</v>
      </c>
      <c r="CC202" s="705">
        <f>-DAT!$AY$16</f>
        <v>-236594</v>
      </c>
      <c r="CD202" s="705">
        <f>-DAT!$AY$16</f>
        <v>-236594</v>
      </c>
      <c r="CE202" s="705">
        <f>-DAT!$AY$16</f>
        <v>-236594</v>
      </c>
      <c r="CF202" s="705">
        <f>-DAT!$AY$16</f>
        <v>-236594</v>
      </c>
      <c r="CL202" s="824">
        <v>8</v>
      </c>
      <c r="CM202" s="705">
        <f>-DAT!$AY$18</f>
        <v>-295848</v>
      </c>
      <c r="CN202" s="705">
        <f>-DAT!$AY$18</f>
        <v>-295848</v>
      </c>
      <c r="CO202" s="705">
        <f>-DAT!$AY$18</f>
        <v>-295848</v>
      </c>
      <c r="CP202" s="705">
        <f>-DAT!$AY$18</f>
        <v>-295848</v>
      </c>
      <c r="CQ202" s="705">
        <f>-DAT!$AY$18</f>
        <v>-295848</v>
      </c>
      <c r="CR202" s="705">
        <f>-DAT!$AY$18</f>
        <v>-295848</v>
      </c>
      <c r="CS202" s="705">
        <f>-DAT!$AY$18</f>
        <v>-295848</v>
      </c>
      <c r="CT202" s="705">
        <f>-DAT!$AY$18</f>
        <v>-295848</v>
      </c>
      <c r="CU202" s="705">
        <f>-DAT!$AY$18</f>
        <v>-295848</v>
      </c>
      <c r="CV202" s="705">
        <f>-DAT!$AY$18</f>
        <v>-295848</v>
      </c>
      <c r="CW202" s="705">
        <f>-DAT!$AY$18</f>
        <v>-295848</v>
      </c>
      <c r="CX202" s="705">
        <f>-DAT!$AY$18</f>
        <v>-295848</v>
      </c>
      <c r="CY202" s="705">
        <f>-DAT!$AY$18</f>
        <v>-295848</v>
      </c>
    </row>
    <row r="203" spans="3:103">
      <c r="I203" s="843">
        <v>15</v>
      </c>
      <c r="J203" s="846">
        <f>P$14</f>
        <v>47.43</v>
      </c>
      <c r="K203" s="705">
        <f t="shared" si="151"/>
        <v>1500000</v>
      </c>
      <c r="L203" s="705">
        <f t="shared" si="152"/>
        <v>1875000</v>
      </c>
      <c r="M203" s="825">
        <f t="shared" si="153"/>
        <v>3375000</v>
      </c>
      <c r="N203" s="829">
        <f t="shared" si="154"/>
        <v>1600763</v>
      </c>
      <c r="O203" s="1173">
        <f>AZ$14</f>
        <v>0.64119999999999999</v>
      </c>
      <c r="P203" s="705">
        <f t="shared" si="155"/>
        <v>1056008</v>
      </c>
      <c r="Q203" s="1173">
        <f>CK$14</f>
        <v>0.18160000000000001</v>
      </c>
      <c r="R203" s="705">
        <f t="shared" si="156"/>
        <v>340500</v>
      </c>
      <c r="S203" s="825">
        <f t="shared" si="157"/>
        <v>1396508</v>
      </c>
      <c r="T203" s="825">
        <f t="shared" si="158"/>
        <v>1600763</v>
      </c>
      <c r="U203" s="847">
        <f t="shared" si="159"/>
        <v>1280600</v>
      </c>
      <c r="V203" s="684">
        <f t="shared" si="160"/>
        <v>1646925</v>
      </c>
      <c r="W203" s="684">
        <f t="shared" si="161"/>
        <v>1729271</v>
      </c>
      <c r="X203" s="824">
        <f t="shared" si="162"/>
        <v>2500000</v>
      </c>
      <c r="Y203" s="684">
        <f t="shared" si="163"/>
        <v>2500000</v>
      </c>
      <c r="AA203" s="705">
        <f>C$43*X203/1000</f>
        <v>50000</v>
      </c>
      <c r="AB203" s="684">
        <f t="shared" si="164"/>
        <v>4425000</v>
      </c>
      <c r="AC203" s="685">
        <f t="shared" si="165"/>
        <v>4425000</v>
      </c>
      <c r="AD203" s="705">
        <f>IF(Main!$L$10="YES",Main!$N$10+AC203,AC203)</f>
        <v>4425000</v>
      </c>
      <c r="AE203" s="705">
        <f>IF(AND((Main!$E$9&gt;=18),(Main!$J$10="YES")),$Y$188+AD203,AD203)</f>
        <v>6925000</v>
      </c>
      <c r="AN203" s="848">
        <v>15</v>
      </c>
      <c r="AO203" s="846" t="e">
        <f>P$13</f>
        <v>#N/A</v>
      </c>
      <c r="AP203" s="824">
        <f t="shared" si="166"/>
        <v>-7500000</v>
      </c>
      <c r="AQ203" s="705" t="e">
        <f t="shared" si="146"/>
        <v>#N/A</v>
      </c>
      <c r="AR203" s="825" t="e">
        <f t="shared" si="167"/>
        <v>#N/A</v>
      </c>
      <c r="AS203" s="829" t="e">
        <f t="shared" si="168"/>
        <v>#N/A</v>
      </c>
      <c r="AT203" s="1173" t="e">
        <f>AZ$13</f>
        <v>#N/A</v>
      </c>
      <c r="AU203" s="705" t="e">
        <f t="shared" si="169"/>
        <v>#N/A</v>
      </c>
      <c r="AV203" s="1173" t="e">
        <f>CK$13</f>
        <v>#N/A</v>
      </c>
      <c r="AW203" s="705" t="e">
        <f t="shared" si="170"/>
        <v>#N/A</v>
      </c>
      <c r="AX203" s="825" t="e">
        <f t="shared" si="171"/>
        <v>#N/A</v>
      </c>
      <c r="AY203" s="825" t="e">
        <f t="shared" si="172"/>
        <v>#N/A</v>
      </c>
      <c r="AZ203" s="847" t="e">
        <f t="shared" si="173"/>
        <v>#N/A</v>
      </c>
      <c r="BA203" s="684">
        <f t="shared" si="174"/>
        <v>4174395</v>
      </c>
      <c r="BB203" s="684">
        <f t="shared" si="175"/>
        <v>4383115</v>
      </c>
      <c r="BC203" s="824">
        <f t="shared" si="147"/>
        <v>2500000</v>
      </c>
      <c r="BD203" s="684">
        <f t="shared" si="148"/>
        <v>2782930</v>
      </c>
      <c r="BF203" s="705">
        <f>C$43*BC203/1000</f>
        <v>50000</v>
      </c>
      <c r="BG203" s="824" t="e">
        <f t="shared" si="149"/>
        <v>#N/A</v>
      </c>
      <c r="BH203" s="824" t="e">
        <f t="shared" si="150"/>
        <v>#N/A</v>
      </c>
      <c r="BS203" s="824">
        <v>9</v>
      </c>
      <c r="BT203" s="705">
        <f>$BO$201</f>
        <v>263406</v>
      </c>
      <c r="BU203" s="705">
        <f>-DAT!$AY$16</f>
        <v>-236594</v>
      </c>
      <c r="BV203" s="705">
        <f>$BO$201</f>
        <v>263406</v>
      </c>
      <c r="BW203" s="705">
        <f>-DAT!$AY$16</f>
        <v>-236594</v>
      </c>
      <c r="BX203" s="705">
        <f>-DAT!$AY$16</f>
        <v>-236594</v>
      </c>
      <c r="BY203" s="705">
        <f>-DAT!$AY$16</f>
        <v>-236594</v>
      </c>
      <c r="BZ203" s="705">
        <f>-DAT!$AY$16</f>
        <v>-236594</v>
      </c>
      <c r="CA203" s="705">
        <f>-DAT!$AY$16</f>
        <v>-236594</v>
      </c>
      <c r="CB203" s="705">
        <f>-DAT!$AY$16</f>
        <v>-236594</v>
      </c>
      <c r="CC203" s="705">
        <f>-DAT!$AY$16</f>
        <v>-236594</v>
      </c>
      <c r="CD203" s="705">
        <f>-DAT!$AY$16</f>
        <v>-236594</v>
      </c>
      <c r="CE203" s="705">
        <f>-DAT!$AY$16</f>
        <v>-236594</v>
      </c>
      <c r="CF203" s="705">
        <f>-DAT!$AY$16</f>
        <v>-236594</v>
      </c>
      <c r="CL203" s="824">
        <v>9</v>
      </c>
      <c r="CM203" s="848">
        <f>$CK$194</f>
        <v>125000</v>
      </c>
      <c r="CN203" s="705">
        <f>-DAT!$AY$18</f>
        <v>-295848</v>
      </c>
      <c r="CO203" s="705">
        <f>-DAT!$AY$18</f>
        <v>-295848</v>
      </c>
      <c r="CP203" s="705">
        <f>-DAT!$AY$18</f>
        <v>-295848</v>
      </c>
      <c r="CQ203" s="705">
        <f>-DAT!$AY$18</f>
        <v>-295848</v>
      </c>
      <c r="CR203" s="705">
        <f>-DAT!$AY$18</f>
        <v>-295848</v>
      </c>
      <c r="CS203" s="705">
        <f>-DAT!$AY$18</f>
        <v>-295848</v>
      </c>
      <c r="CT203" s="705">
        <f>-DAT!$AY$18</f>
        <v>-295848</v>
      </c>
      <c r="CU203" s="705">
        <f>-DAT!$AY$18</f>
        <v>-295848</v>
      </c>
      <c r="CV203" s="705">
        <f>-DAT!$AY$18</f>
        <v>-295848</v>
      </c>
      <c r="CW203" s="705">
        <f>-DAT!$AY$18</f>
        <v>-295848</v>
      </c>
      <c r="CX203" s="705">
        <f>-DAT!$AY$18</f>
        <v>-295848</v>
      </c>
      <c r="CY203" s="705">
        <f>-DAT!$AY$18</f>
        <v>-295848</v>
      </c>
    </row>
    <row r="204" spans="3:103">
      <c r="I204" s="843">
        <v>16</v>
      </c>
      <c r="J204" s="846">
        <f>Q$14</f>
        <v>50.25</v>
      </c>
      <c r="K204" s="705">
        <f t="shared" si="151"/>
        <v>1600000</v>
      </c>
      <c r="L204" s="705">
        <f t="shared" si="152"/>
        <v>2000000</v>
      </c>
      <c r="M204" s="825">
        <f t="shared" si="153"/>
        <v>3600000</v>
      </c>
      <c r="N204" s="829">
        <f t="shared" si="154"/>
        <v>1809000</v>
      </c>
      <c r="O204" s="1173">
        <f>BA$14</f>
        <v>0.65880000000000005</v>
      </c>
      <c r="P204" s="705">
        <f t="shared" si="155"/>
        <v>1157327</v>
      </c>
      <c r="Q204" s="1173">
        <f>CL$14</f>
        <v>0.186</v>
      </c>
      <c r="R204" s="705">
        <f t="shared" si="156"/>
        <v>372000</v>
      </c>
      <c r="S204" s="825">
        <f t="shared" si="157"/>
        <v>1529327</v>
      </c>
      <c r="T204" s="825">
        <f t="shared" si="158"/>
        <v>1809000</v>
      </c>
      <c r="U204" s="847">
        <f t="shared" si="159"/>
        <v>1447200</v>
      </c>
      <c r="V204" s="684">
        <f t="shared" si="160"/>
        <v>1756720</v>
      </c>
      <c r="W204" s="684">
        <f t="shared" si="161"/>
        <v>1844556</v>
      </c>
      <c r="X204" s="824">
        <f t="shared" si="162"/>
        <v>2500000</v>
      </c>
      <c r="Y204" s="684">
        <f t="shared" si="163"/>
        <v>2500000</v>
      </c>
      <c r="AA204" s="705">
        <f>D$43*X204/1000</f>
        <v>62500</v>
      </c>
      <c r="AB204" s="684">
        <f t="shared" si="164"/>
        <v>4562500</v>
      </c>
      <c r="AC204" s="685">
        <f t="shared" si="165"/>
        <v>4562500</v>
      </c>
      <c r="AD204" s="705">
        <f>IF(Main!$L$10="YES",Main!$N$10+AC204,AC204)</f>
        <v>4562500</v>
      </c>
      <c r="AE204" s="705">
        <f>IF(AND((Main!$E$9&gt;=18),(Main!$J$10="YES")),$Y$188+AD204,AD204)</f>
        <v>7062500</v>
      </c>
      <c r="AN204" s="848">
        <v>16</v>
      </c>
      <c r="AO204" s="846" t="e">
        <f>Q$13</f>
        <v>#N/A</v>
      </c>
      <c r="AP204" s="824">
        <f t="shared" si="166"/>
        <v>-8000000</v>
      </c>
      <c r="AQ204" s="705" t="e">
        <f t="shared" si="146"/>
        <v>#N/A</v>
      </c>
      <c r="AR204" s="825" t="e">
        <f t="shared" si="167"/>
        <v>#N/A</v>
      </c>
      <c r="AS204" s="829" t="e">
        <f t="shared" si="168"/>
        <v>#N/A</v>
      </c>
      <c r="AT204" s="1173" t="e">
        <f>BA$13</f>
        <v>#N/A</v>
      </c>
      <c r="AU204" s="705" t="e">
        <f t="shared" si="169"/>
        <v>#N/A</v>
      </c>
      <c r="AV204" s="1173" t="e">
        <f>CL$13</f>
        <v>#N/A</v>
      </c>
      <c r="AW204" s="705" t="e">
        <f t="shared" si="170"/>
        <v>#N/A</v>
      </c>
      <c r="AX204" s="825" t="e">
        <f t="shared" si="171"/>
        <v>#N/A</v>
      </c>
      <c r="AY204" s="825" t="e">
        <f t="shared" si="172"/>
        <v>#N/A</v>
      </c>
      <c r="AZ204" s="847" t="e">
        <f t="shared" si="173"/>
        <v>#N/A</v>
      </c>
      <c r="BA204" s="684">
        <f t="shared" si="174"/>
        <v>4452688</v>
      </c>
      <c r="BB204" s="684">
        <f t="shared" si="175"/>
        <v>4675322</v>
      </c>
      <c r="BC204" s="824">
        <f t="shared" si="147"/>
        <v>2500000</v>
      </c>
      <c r="BD204" s="684">
        <f t="shared" si="148"/>
        <v>2782930</v>
      </c>
      <c r="BF204" s="705">
        <f>D$43*BC204/1000</f>
        <v>62500</v>
      </c>
      <c r="BG204" s="824" t="e">
        <f t="shared" si="149"/>
        <v>#N/A</v>
      </c>
      <c r="BH204" s="824" t="e">
        <f t="shared" si="150"/>
        <v>#N/A</v>
      </c>
      <c r="BS204" s="824">
        <v>10</v>
      </c>
      <c r="BT204" s="705">
        <f>-DAT!$AY$16</f>
        <v>-236594</v>
      </c>
      <c r="BU204" s="705">
        <f>$BO$201</f>
        <v>263406</v>
      </c>
      <c r="BV204" s="705">
        <f>-DAT!$AY$16</f>
        <v>-236594</v>
      </c>
      <c r="BW204" s="705">
        <f>$BO$201</f>
        <v>263406</v>
      </c>
      <c r="BX204" s="705">
        <f>-DAT!$AY$16</f>
        <v>-236594</v>
      </c>
      <c r="BY204" s="705">
        <f>-DAT!$AY$16</f>
        <v>-236594</v>
      </c>
      <c r="BZ204" s="705">
        <f>-DAT!$AY$16</f>
        <v>-236594</v>
      </c>
      <c r="CA204" s="705">
        <f>-DAT!$AY$16</f>
        <v>-236594</v>
      </c>
      <c r="CB204" s="705">
        <f>-DAT!$AY$16</f>
        <v>-236594</v>
      </c>
      <c r="CC204" s="705">
        <f>-DAT!$AY$16</f>
        <v>-236594</v>
      </c>
      <c r="CD204" s="705">
        <f>-DAT!$AY$16</f>
        <v>-236594</v>
      </c>
      <c r="CE204" s="705">
        <f>-DAT!$AY$16</f>
        <v>-236594</v>
      </c>
      <c r="CF204" s="705">
        <f>-DAT!$AY$16</f>
        <v>-236594</v>
      </c>
      <c r="CL204" s="824">
        <v>10</v>
      </c>
      <c r="CM204" s="848">
        <f>$CK$194</f>
        <v>125000</v>
      </c>
      <c r="CN204" s="848">
        <f>$CK$194</f>
        <v>125000</v>
      </c>
      <c r="CO204" s="705">
        <f>-DAT!$AY$18</f>
        <v>-295848</v>
      </c>
      <c r="CP204" s="705">
        <f>-DAT!$AY$18</f>
        <v>-295848</v>
      </c>
      <c r="CQ204" s="705">
        <f>-DAT!$AY$18</f>
        <v>-295848</v>
      </c>
      <c r="CR204" s="705">
        <f>-DAT!$AY$18</f>
        <v>-295848</v>
      </c>
      <c r="CS204" s="705">
        <f>-DAT!$AY$18</f>
        <v>-295848</v>
      </c>
      <c r="CT204" s="705">
        <f>-DAT!$AY$18</f>
        <v>-295848</v>
      </c>
      <c r="CU204" s="705">
        <f>-DAT!$AY$18</f>
        <v>-295848</v>
      </c>
      <c r="CV204" s="705">
        <f>-DAT!$AY$18</f>
        <v>-295848</v>
      </c>
      <c r="CW204" s="705">
        <f>-DAT!$AY$18</f>
        <v>-295848</v>
      </c>
      <c r="CX204" s="705">
        <f>-DAT!$AY$18</f>
        <v>-295848</v>
      </c>
      <c r="CY204" s="705">
        <f>-DAT!$AY$18</f>
        <v>-295848</v>
      </c>
    </row>
    <row r="205" spans="3:103">
      <c r="I205" s="843">
        <v>17</v>
      </c>
      <c r="J205" s="846">
        <f>R$14</f>
        <v>53.4</v>
      </c>
      <c r="K205" s="705">
        <f t="shared" si="151"/>
        <v>1700000</v>
      </c>
      <c r="L205" s="705">
        <f t="shared" si="152"/>
        <v>2125000</v>
      </c>
      <c r="M205" s="825">
        <f t="shared" si="153"/>
        <v>3825000</v>
      </c>
      <c r="N205" s="829">
        <f t="shared" si="154"/>
        <v>2042550</v>
      </c>
      <c r="O205" s="1173">
        <f>BB$14</f>
        <v>0.67649999999999999</v>
      </c>
      <c r="P205" s="705">
        <f t="shared" si="155"/>
        <v>1262697</v>
      </c>
      <c r="Q205" s="1173">
        <f>CM$14</f>
        <v>0.1918</v>
      </c>
      <c r="R205" s="705">
        <f t="shared" si="156"/>
        <v>407575</v>
      </c>
      <c r="S205" s="825">
        <f t="shared" si="157"/>
        <v>1670272</v>
      </c>
      <c r="T205" s="825">
        <f t="shared" si="158"/>
        <v>2042550</v>
      </c>
      <c r="U205" s="847">
        <f t="shared" si="159"/>
        <v>1634000</v>
      </c>
      <c r="V205" s="684">
        <f t="shared" si="160"/>
        <v>1866515</v>
      </c>
      <c r="W205" s="684">
        <f t="shared" si="161"/>
        <v>1959841</v>
      </c>
      <c r="X205" s="824">
        <f t="shared" si="162"/>
        <v>2500000</v>
      </c>
      <c r="Y205" s="684">
        <f t="shared" si="163"/>
        <v>2500000</v>
      </c>
      <c r="AA205" s="705">
        <f>E$43*X205/1000</f>
        <v>75000</v>
      </c>
      <c r="AB205" s="684">
        <f t="shared" si="164"/>
        <v>4700000</v>
      </c>
      <c r="AC205" s="685">
        <f t="shared" si="165"/>
        <v>4700000</v>
      </c>
      <c r="AD205" s="705">
        <f>IF(Main!$L$10="YES",Main!$N$10+AC205,AC205)</f>
        <v>4700000</v>
      </c>
      <c r="AE205" s="705">
        <f>IF(AND((Main!$E$9&gt;=18),(Main!$J$10="YES")),$Y$188+AD205,AD205)</f>
        <v>7200000</v>
      </c>
      <c r="AN205" s="848">
        <v>17</v>
      </c>
      <c r="AO205" s="846" t="e">
        <f>R$13</f>
        <v>#N/A</v>
      </c>
      <c r="AP205" s="824">
        <f t="shared" si="166"/>
        <v>-8500000</v>
      </c>
      <c r="AQ205" s="705" t="e">
        <f t="shared" si="146"/>
        <v>#N/A</v>
      </c>
      <c r="AR205" s="825" t="e">
        <f t="shared" si="167"/>
        <v>#N/A</v>
      </c>
      <c r="AS205" s="829" t="e">
        <f t="shared" si="168"/>
        <v>#N/A</v>
      </c>
      <c r="AT205" s="1173" t="e">
        <f>BB$13</f>
        <v>#N/A</v>
      </c>
      <c r="AU205" s="705" t="e">
        <f t="shared" si="169"/>
        <v>#N/A</v>
      </c>
      <c r="AV205" s="1173" t="e">
        <f>CM$13</f>
        <v>#N/A</v>
      </c>
      <c r="AW205" s="705" t="e">
        <f t="shared" si="170"/>
        <v>#N/A</v>
      </c>
      <c r="AX205" s="825" t="e">
        <f t="shared" si="171"/>
        <v>#N/A</v>
      </c>
      <c r="AY205" s="825" t="e">
        <f t="shared" si="172"/>
        <v>#N/A</v>
      </c>
      <c r="AZ205" s="847" t="e">
        <f t="shared" si="173"/>
        <v>#N/A</v>
      </c>
      <c r="BA205" s="684">
        <f t="shared" si="174"/>
        <v>4730981</v>
      </c>
      <c r="BB205" s="684">
        <f t="shared" si="175"/>
        <v>4967530</v>
      </c>
      <c r="BC205" s="824">
        <f t="shared" si="147"/>
        <v>2500000</v>
      </c>
      <c r="BD205" s="684">
        <f t="shared" si="148"/>
        <v>2782930</v>
      </c>
      <c r="BF205" s="705">
        <f>E$43*BC205/1000</f>
        <v>75000</v>
      </c>
      <c r="BG205" s="824" t="e">
        <f t="shared" si="149"/>
        <v>#N/A</v>
      </c>
      <c r="BH205" s="824" t="e">
        <f t="shared" si="150"/>
        <v>#N/A</v>
      </c>
      <c r="BS205" s="824">
        <v>11</v>
      </c>
      <c r="BT205" s="705">
        <f>$BO$201</f>
        <v>263406</v>
      </c>
      <c r="BU205" s="705">
        <f>-DAT!$AY$16</f>
        <v>-236594</v>
      </c>
      <c r="BV205" s="705">
        <f>$BO$201</f>
        <v>263406</v>
      </c>
      <c r="BW205" s="705">
        <f>-DAT!$AY$16</f>
        <v>-236594</v>
      </c>
      <c r="BX205" s="705">
        <f>$BO$201</f>
        <v>263406</v>
      </c>
      <c r="BY205" s="705">
        <f>-DAT!$AY$16</f>
        <v>-236594</v>
      </c>
      <c r="BZ205" s="705">
        <f>-DAT!$AY$16</f>
        <v>-236594</v>
      </c>
      <c r="CA205" s="705">
        <f>-DAT!$AY$16</f>
        <v>-236594</v>
      </c>
      <c r="CB205" s="705">
        <f>-DAT!$AY$16</f>
        <v>-236594</v>
      </c>
      <c r="CC205" s="705">
        <f>-DAT!$AY$16</f>
        <v>-236594</v>
      </c>
      <c r="CD205" s="705">
        <f>-DAT!$AY$16</f>
        <v>-236594</v>
      </c>
      <c r="CE205" s="705">
        <f>-DAT!$AY$16</f>
        <v>-236594</v>
      </c>
      <c r="CF205" s="705">
        <f>-DAT!$AY$16</f>
        <v>-236594</v>
      </c>
      <c r="CL205" s="824">
        <v>11</v>
      </c>
      <c r="CM205" s="848">
        <f>$CK$194</f>
        <v>125000</v>
      </c>
      <c r="CN205" s="848">
        <f>$CK$194</f>
        <v>125000</v>
      </c>
      <c r="CO205" s="848">
        <f>$CK$194</f>
        <v>125000</v>
      </c>
      <c r="CP205" s="705">
        <f>-DAT!$AY$18</f>
        <v>-295848</v>
      </c>
      <c r="CQ205" s="705">
        <f>-DAT!$AY$18</f>
        <v>-295848</v>
      </c>
      <c r="CR205" s="705">
        <f>-DAT!$AY$18</f>
        <v>-295848</v>
      </c>
      <c r="CS205" s="705">
        <f>-DAT!$AY$18</f>
        <v>-295848</v>
      </c>
      <c r="CT205" s="705">
        <f>-DAT!$AY$18</f>
        <v>-295848</v>
      </c>
      <c r="CU205" s="705">
        <f>-DAT!$AY$18</f>
        <v>-295848</v>
      </c>
      <c r="CV205" s="705">
        <f>-DAT!$AY$18</f>
        <v>-295848</v>
      </c>
      <c r="CW205" s="705">
        <f>-DAT!$AY$18</f>
        <v>-295848</v>
      </c>
      <c r="CX205" s="705">
        <f>-DAT!$AY$18</f>
        <v>-295848</v>
      </c>
      <c r="CY205" s="705">
        <f>-DAT!$AY$18</f>
        <v>-295848</v>
      </c>
    </row>
    <row r="206" spans="3:103">
      <c r="I206" s="843">
        <v>18</v>
      </c>
      <c r="J206" s="846">
        <f>S$14</f>
        <v>56.95</v>
      </c>
      <c r="K206" s="705">
        <f t="shared" si="151"/>
        <v>1800000</v>
      </c>
      <c r="L206" s="705">
        <f t="shared" si="152"/>
        <v>2250000</v>
      </c>
      <c r="M206" s="825">
        <f t="shared" si="153"/>
        <v>4050000</v>
      </c>
      <c r="N206" s="829">
        <f t="shared" si="154"/>
        <v>2306475</v>
      </c>
      <c r="O206" s="1173">
        <f>BC$14</f>
        <v>0.69410000000000005</v>
      </c>
      <c r="P206" s="705">
        <f t="shared" si="155"/>
        <v>1371757</v>
      </c>
      <c r="Q206" s="1173">
        <f>CN$14</f>
        <v>0.1993</v>
      </c>
      <c r="R206" s="705">
        <f t="shared" si="156"/>
        <v>448425</v>
      </c>
      <c r="S206" s="825">
        <f t="shared" si="157"/>
        <v>1820182</v>
      </c>
      <c r="T206" s="825">
        <f t="shared" si="158"/>
        <v>2306475</v>
      </c>
      <c r="U206" s="847">
        <f t="shared" si="159"/>
        <v>1845200</v>
      </c>
      <c r="V206" s="684">
        <f t="shared" si="160"/>
        <v>1976310</v>
      </c>
      <c r="W206" s="684">
        <f t="shared" si="161"/>
        <v>2075126</v>
      </c>
      <c r="X206" s="824">
        <f t="shared" si="162"/>
        <v>2500000</v>
      </c>
      <c r="Y206" s="684">
        <f t="shared" si="163"/>
        <v>2500000</v>
      </c>
      <c r="AA206" s="705">
        <f>F$43*X206/1000</f>
        <v>87500</v>
      </c>
      <c r="AB206" s="684">
        <f t="shared" si="164"/>
        <v>4837500</v>
      </c>
      <c r="AC206" s="685">
        <f t="shared" si="165"/>
        <v>4837500</v>
      </c>
      <c r="AD206" s="705">
        <f>IF(Main!$L$10="YES",Main!$N$10+AC206,AC206)</f>
        <v>4837500</v>
      </c>
      <c r="AE206" s="705">
        <f>IF(AND((Main!$E$9&gt;=18),(Main!$J$10="YES")),$Y$188+AD206,AD206)</f>
        <v>7337500</v>
      </c>
      <c r="AN206" s="848">
        <v>18</v>
      </c>
      <c r="AO206" s="846" t="e">
        <f>S$13</f>
        <v>#N/A</v>
      </c>
      <c r="AP206" s="824">
        <f t="shared" si="166"/>
        <v>-9000000</v>
      </c>
      <c r="AQ206" s="705" t="e">
        <f t="shared" si="146"/>
        <v>#N/A</v>
      </c>
      <c r="AR206" s="825" t="e">
        <f t="shared" si="167"/>
        <v>#N/A</v>
      </c>
      <c r="AS206" s="829" t="e">
        <f t="shared" si="168"/>
        <v>#N/A</v>
      </c>
      <c r="AT206" s="1173" t="e">
        <f>BC$13</f>
        <v>#N/A</v>
      </c>
      <c r="AU206" s="705" t="e">
        <f t="shared" si="169"/>
        <v>#N/A</v>
      </c>
      <c r="AV206" s="1173" t="e">
        <f>CN$13</f>
        <v>#N/A</v>
      </c>
      <c r="AW206" s="705" t="e">
        <f t="shared" si="170"/>
        <v>#N/A</v>
      </c>
      <c r="AX206" s="825" t="e">
        <f t="shared" si="171"/>
        <v>#N/A</v>
      </c>
      <c r="AY206" s="825" t="e">
        <f t="shared" si="172"/>
        <v>#N/A</v>
      </c>
      <c r="AZ206" s="847" t="e">
        <f t="shared" si="173"/>
        <v>#N/A</v>
      </c>
      <c r="BA206" s="684">
        <f t="shared" si="174"/>
        <v>5009274</v>
      </c>
      <c r="BB206" s="684">
        <f t="shared" si="175"/>
        <v>5259738</v>
      </c>
      <c r="BC206" s="824">
        <f t="shared" si="147"/>
        <v>2500000</v>
      </c>
      <c r="BD206" s="684">
        <f t="shared" si="148"/>
        <v>2782930</v>
      </c>
      <c r="BF206" s="705">
        <f>F$43*BC206/1000</f>
        <v>87500</v>
      </c>
      <c r="BG206" s="824" t="e">
        <f t="shared" si="149"/>
        <v>#N/A</v>
      </c>
      <c r="BH206" s="824" t="e">
        <f t="shared" si="150"/>
        <v>#N/A</v>
      </c>
      <c r="BS206" s="843">
        <v>12</v>
      </c>
      <c r="BT206" s="705">
        <f>-DAT!$AY$16</f>
        <v>-236594</v>
      </c>
      <c r="BU206" s="705">
        <f>$BO$201</f>
        <v>263406</v>
      </c>
      <c r="BV206" s="705">
        <f>-DAT!$AY$16</f>
        <v>-236594</v>
      </c>
      <c r="BW206" s="705">
        <f>$BO$201</f>
        <v>263406</v>
      </c>
      <c r="BX206" s="705">
        <f>-DAT!$AY$16</f>
        <v>-236594</v>
      </c>
      <c r="BY206" s="705">
        <f>$BO$201</f>
        <v>263406</v>
      </c>
      <c r="BZ206" s="705">
        <f>-DAT!$AY$16</f>
        <v>-236594</v>
      </c>
      <c r="CA206" s="705">
        <f>-DAT!$AY$16</f>
        <v>-236594</v>
      </c>
      <c r="CB206" s="705">
        <f>-DAT!$AY$16</f>
        <v>-236594</v>
      </c>
      <c r="CC206" s="705">
        <f>-DAT!$AY$16</f>
        <v>-236594</v>
      </c>
      <c r="CD206" s="705">
        <f>-DAT!$AY$16</f>
        <v>-236594</v>
      </c>
      <c r="CE206" s="705">
        <f>-DAT!$AY$16</f>
        <v>-236594</v>
      </c>
      <c r="CF206" s="705">
        <f>-DAT!$AY$16</f>
        <v>-236594</v>
      </c>
      <c r="CL206" s="843">
        <v>12</v>
      </c>
      <c r="CM206" s="848">
        <f>$CK$194</f>
        <v>125000</v>
      </c>
      <c r="CN206" s="848">
        <f>$CK$194</f>
        <v>125000</v>
      </c>
      <c r="CO206" s="848">
        <f>$CK$194</f>
        <v>125000</v>
      </c>
      <c r="CP206" s="848">
        <f>$CK$194</f>
        <v>125000</v>
      </c>
      <c r="CQ206" s="705">
        <f>-DAT!$AY$18</f>
        <v>-295848</v>
      </c>
      <c r="CR206" s="705">
        <f>-DAT!$AY$18</f>
        <v>-295848</v>
      </c>
      <c r="CS206" s="705">
        <f>-DAT!$AY$18</f>
        <v>-295848</v>
      </c>
      <c r="CT206" s="705">
        <f>-DAT!$AY$18</f>
        <v>-295848</v>
      </c>
      <c r="CU206" s="705">
        <f>-DAT!$AY$18</f>
        <v>-295848</v>
      </c>
      <c r="CV206" s="705">
        <f>-DAT!$AY$18</f>
        <v>-295848</v>
      </c>
      <c r="CW206" s="705">
        <f>-DAT!$AY$18</f>
        <v>-295848</v>
      </c>
      <c r="CX206" s="705">
        <f>-DAT!$AY$18</f>
        <v>-295848</v>
      </c>
      <c r="CY206" s="705">
        <f>-DAT!$AY$18</f>
        <v>-295848</v>
      </c>
    </row>
    <row r="207" spans="3:103">
      <c r="I207" s="843">
        <v>19</v>
      </c>
      <c r="J207" s="846">
        <f>T$14</f>
        <v>60.95</v>
      </c>
      <c r="K207" s="705">
        <f t="shared" si="151"/>
        <v>1900000</v>
      </c>
      <c r="L207" s="705">
        <f t="shared" si="152"/>
        <v>2375000</v>
      </c>
      <c r="M207" s="825">
        <f t="shared" si="153"/>
        <v>4275000</v>
      </c>
      <c r="N207" s="829">
        <f t="shared" si="154"/>
        <v>2605613</v>
      </c>
      <c r="O207" s="1173">
        <f>BD$14</f>
        <v>0.71179999999999999</v>
      </c>
      <c r="P207" s="705">
        <f t="shared" si="155"/>
        <v>1484890</v>
      </c>
      <c r="Q207" s="1173">
        <f>CO$14</f>
        <v>0.20849999999999999</v>
      </c>
      <c r="R207" s="705">
        <f t="shared" si="156"/>
        <v>495188</v>
      </c>
      <c r="S207" s="825">
        <f t="shared" si="157"/>
        <v>1980078</v>
      </c>
      <c r="T207" s="825">
        <f t="shared" si="158"/>
        <v>2605613</v>
      </c>
      <c r="U207" s="847">
        <f t="shared" si="159"/>
        <v>2084500</v>
      </c>
      <c r="V207" s="684">
        <f t="shared" si="160"/>
        <v>2086105</v>
      </c>
      <c r="W207" s="684">
        <f t="shared" si="161"/>
        <v>2190410</v>
      </c>
      <c r="X207" s="824">
        <f t="shared" si="162"/>
        <v>2500000</v>
      </c>
      <c r="Y207" s="684">
        <f t="shared" si="163"/>
        <v>2500000</v>
      </c>
      <c r="AA207" s="705">
        <f>G$43*X207/1000</f>
        <v>125000</v>
      </c>
      <c r="AB207" s="684">
        <f t="shared" si="164"/>
        <v>5000000</v>
      </c>
      <c r="AC207" s="685">
        <f t="shared" si="165"/>
        <v>5000000</v>
      </c>
      <c r="AD207" s="705">
        <f>IF(Main!$L$10="YES",Main!$N$10+AC207,AC207)</f>
        <v>5000000</v>
      </c>
      <c r="AE207" s="705">
        <f>IF(AND((Main!$E$9&gt;=18),(Main!$J$10="YES")),$Y$188+AD207,AD207)</f>
        <v>7500000</v>
      </c>
      <c r="AN207" s="848">
        <v>19</v>
      </c>
      <c r="AO207" s="846" t="e">
        <f>T$13</f>
        <v>#N/A</v>
      </c>
      <c r="AP207" s="824">
        <f t="shared" si="166"/>
        <v>-9500000</v>
      </c>
      <c r="AQ207" s="705" t="e">
        <f t="shared" si="146"/>
        <v>#N/A</v>
      </c>
      <c r="AR207" s="825" t="e">
        <f t="shared" si="167"/>
        <v>#N/A</v>
      </c>
      <c r="AS207" s="829" t="e">
        <f t="shared" si="168"/>
        <v>#N/A</v>
      </c>
      <c r="AT207" s="1173" t="e">
        <f>BD$13</f>
        <v>#N/A</v>
      </c>
      <c r="AU207" s="705" t="e">
        <f t="shared" si="169"/>
        <v>#N/A</v>
      </c>
      <c r="AV207" s="1173" t="e">
        <f>CO$13</f>
        <v>#N/A</v>
      </c>
      <c r="AW207" s="705" t="e">
        <f t="shared" si="170"/>
        <v>#N/A</v>
      </c>
      <c r="AX207" s="825" t="e">
        <f t="shared" si="171"/>
        <v>#N/A</v>
      </c>
      <c r="AY207" s="825" t="e">
        <f t="shared" si="172"/>
        <v>#N/A</v>
      </c>
      <c r="AZ207" s="847" t="e">
        <f t="shared" si="173"/>
        <v>#N/A</v>
      </c>
      <c r="BA207" s="684">
        <f t="shared" si="174"/>
        <v>5287567</v>
      </c>
      <c r="BB207" s="684">
        <f t="shared" si="175"/>
        <v>5551945</v>
      </c>
      <c r="BC207" s="824">
        <f t="shared" si="147"/>
        <v>2500000</v>
      </c>
      <c r="BD207" s="684">
        <f t="shared" si="148"/>
        <v>2782930</v>
      </c>
      <c r="BF207" s="705">
        <f>G$43*BC207/1000</f>
        <v>125000</v>
      </c>
      <c r="BG207" s="824" t="e">
        <f t="shared" si="149"/>
        <v>#N/A</v>
      </c>
      <c r="BH207" s="824" t="e">
        <f t="shared" si="150"/>
        <v>#N/A</v>
      </c>
      <c r="BS207" s="843">
        <v>13</v>
      </c>
      <c r="BT207" s="705">
        <f>-DAT!$AY$16</f>
        <v>-236594</v>
      </c>
      <c r="BU207" s="705">
        <f>-DAT!$AY$16</f>
        <v>-236594</v>
      </c>
      <c r="BV207" s="705">
        <f>$BO$201</f>
        <v>263406</v>
      </c>
      <c r="BW207" s="705">
        <f>-DAT!$AY$16</f>
        <v>-236594</v>
      </c>
      <c r="BX207" s="705">
        <f>$BO$201</f>
        <v>263406</v>
      </c>
      <c r="BY207" s="705">
        <f>-DAT!$AY$16</f>
        <v>-236594</v>
      </c>
      <c r="BZ207" s="705">
        <f>$BO$201</f>
        <v>263406</v>
      </c>
      <c r="CA207" s="705">
        <f>-DAT!$AY$16</f>
        <v>-236594</v>
      </c>
      <c r="CB207" s="705">
        <f>-DAT!$AY$16</f>
        <v>-236594</v>
      </c>
      <c r="CC207" s="705">
        <f>-DAT!$AY$16</f>
        <v>-236594</v>
      </c>
      <c r="CD207" s="705">
        <f>-DAT!$AY$16</f>
        <v>-236594</v>
      </c>
      <c r="CE207" s="705">
        <f>-DAT!$AY$16</f>
        <v>-236594</v>
      </c>
      <c r="CF207" s="705">
        <f>-DAT!$AY$16</f>
        <v>-236594</v>
      </c>
      <c r="CL207" s="843">
        <v>13</v>
      </c>
      <c r="CM207" s="848">
        <f>$CK$194</f>
        <v>125000</v>
      </c>
      <c r="CN207" s="848">
        <f>$CK$194</f>
        <v>125000</v>
      </c>
      <c r="CO207" s="848">
        <f>$CK$194</f>
        <v>125000</v>
      </c>
      <c r="CP207" s="848">
        <f>$CK$194</f>
        <v>125000</v>
      </c>
      <c r="CQ207" s="848">
        <f>$CK$194</f>
        <v>125000</v>
      </c>
      <c r="CR207" s="705">
        <f>-DAT!$AY$18</f>
        <v>-295848</v>
      </c>
      <c r="CS207" s="705">
        <f>-DAT!$AY$18</f>
        <v>-295848</v>
      </c>
      <c r="CT207" s="705">
        <f>-DAT!$AY$18</f>
        <v>-295848</v>
      </c>
      <c r="CU207" s="705">
        <f>-DAT!$AY$18</f>
        <v>-295848</v>
      </c>
      <c r="CV207" s="705">
        <f>-DAT!$AY$18</f>
        <v>-295848</v>
      </c>
      <c r="CW207" s="705">
        <f>-DAT!$AY$18</f>
        <v>-295848</v>
      </c>
      <c r="CX207" s="705">
        <f>-DAT!$AY$18</f>
        <v>-295848</v>
      </c>
      <c r="CY207" s="705">
        <f>-DAT!$AY$18</f>
        <v>-295848</v>
      </c>
    </row>
    <row r="208" spans="3:103">
      <c r="I208" s="843">
        <v>20</v>
      </c>
      <c r="J208" s="846">
        <f>U$14</f>
        <v>65.489999999999995</v>
      </c>
      <c r="K208" s="705">
        <f t="shared" si="151"/>
        <v>2000000</v>
      </c>
      <c r="L208" s="705">
        <f t="shared" si="152"/>
        <v>2500000</v>
      </c>
      <c r="M208" s="825">
        <f t="shared" si="153"/>
        <v>4500000</v>
      </c>
      <c r="N208" s="829">
        <f t="shared" si="154"/>
        <v>2947050</v>
      </c>
      <c r="O208" s="1173">
        <f>BE$14</f>
        <v>0.72940000000000005</v>
      </c>
      <c r="P208" s="705">
        <f t="shared" si="155"/>
        <v>1601689</v>
      </c>
      <c r="Q208" s="1173">
        <f>CP$14</f>
        <v>0.21990000000000001</v>
      </c>
      <c r="R208" s="705">
        <f t="shared" si="156"/>
        <v>549750</v>
      </c>
      <c r="S208" s="825">
        <f t="shared" si="157"/>
        <v>2151439</v>
      </c>
      <c r="T208" s="825">
        <f t="shared" si="158"/>
        <v>2947050</v>
      </c>
      <c r="U208" s="847">
        <f t="shared" si="159"/>
        <v>2357600</v>
      </c>
      <c r="V208" s="684">
        <f t="shared" si="160"/>
        <v>2195900</v>
      </c>
      <c r="W208" s="684">
        <f t="shared" si="161"/>
        <v>2305695</v>
      </c>
      <c r="X208" s="824">
        <f t="shared" si="162"/>
        <v>2500000</v>
      </c>
      <c r="Y208" s="684">
        <f t="shared" si="163"/>
        <v>2500000</v>
      </c>
      <c r="AA208" s="705">
        <f>H$43*X208/1000</f>
        <v>175000</v>
      </c>
      <c r="AB208" s="684">
        <f t="shared" si="164"/>
        <v>5175000</v>
      </c>
      <c r="AC208" s="685">
        <f t="shared" si="165"/>
        <v>5175000</v>
      </c>
      <c r="AD208" s="705">
        <f>IF(Main!$L$10="YES",Main!$N$10+AC208,AC208)</f>
        <v>5175000</v>
      </c>
      <c r="AE208" s="705">
        <f>IF(AND((Main!$E$9&gt;=18),(Main!$J$10="YES")),$Y$188+AD208,AD208)</f>
        <v>7675000</v>
      </c>
      <c r="AN208" s="848">
        <v>20</v>
      </c>
      <c r="AO208" s="846" t="e">
        <f>U$13</f>
        <v>#N/A</v>
      </c>
      <c r="AP208" s="824">
        <f t="shared" si="166"/>
        <v>-10000000</v>
      </c>
      <c r="AQ208" s="705" t="e">
        <f t="shared" si="146"/>
        <v>#N/A</v>
      </c>
      <c r="AR208" s="825" t="e">
        <f t="shared" si="167"/>
        <v>#N/A</v>
      </c>
      <c r="AS208" s="829" t="e">
        <f t="shared" si="168"/>
        <v>#N/A</v>
      </c>
      <c r="AT208" s="1173" t="e">
        <f>BE$13</f>
        <v>#N/A</v>
      </c>
      <c r="AU208" s="705" t="e">
        <f t="shared" si="169"/>
        <v>#N/A</v>
      </c>
      <c r="AV208" s="1173" t="e">
        <f>CP$13</f>
        <v>#N/A</v>
      </c>
      <c r="AW208" s="705" t="e">
        <f t="shared" si="170"/>
        <v>#N/A</v>
      </c>
      <c r="AX208" s="825" t="e">
        <f t="shared" si="171"/>
        <v>#N/A</v>
      </c>
      <c r="AY208" s="825" t="e">
        <f t="shared" si="172"/>
        <v>#N/A</v>
      </c>
      <c r="AZ208" s="847" t="e">
        <f t="shared" si="173"/>
        <v>#N/A</v>
      </c>
      <c r="BA208" s="684">
        <f t="shared" si="174"/>
        <v>5565860</v>
      </c>
      <c r="BB208" s="684">
        <f t="shared" si="175"/>
        <v>5844153</v>
      </c>
      <c r="BC208" s="824">
        <f t="shared" si="147"/>
        <v>2500000</v>
      </c>
      <c r="BD208" s="684">
        <f t="shared" si="148"/>
        <v>2782930</v>
      </c>
      <c r="BF208" s="705">
        <f>H$43*BC208/1000</f>
        <v>175000</v>
      </c>
      <c r="BG208" s="824" t="e">
        <f t="shared" si="149"/>
        <v>#N/A</v>
      </c>
      <c r="BH208" s="824" t="e">
        <f t="shared" si="150"/>
        <v>#N/A</v>
      </c>
      <c r="BS208" s="843">
        <v>14</v>
      </c>
      <c r="BT208" s="848" t="e">
        <f>$AK$166</f>
        <v>#N/A</v>
      </c>
      <c r="BU208" s="705">
        <f>-DAT!$AY$16</f>
        <v>-236594</v>
      </c>
      <c r="BV208" s="705">
        <f>-DAT!$AY$16</f>
        <v>-236594</v>
      </c>
      <c r="BW208" s="705">
        <f>$BO$201</f>
        <v>263406</v>
      </c>
      <c r="BX208" s="705">
        <f>-DAT!$AY$16</f>
        <v>-236594</v>
      </c>
      <c r="BY208" s="705">
        <f>$BO$201</f>
        <v>263406</v>
      </c>
      <c r="BZ208" s="705">
        <f>-DAT!$AY$16</f>
        <v>-236594</v>
      </c>
      <c r="CA208" s="705">
        <f>$BO$201</f>
        <v>263406</v>
      </c>
      <c r="CB208" s="705">
        <f>-DAT!$AY$16</f>
        <v>-236594</v>
      </c>
      <c r="CC208" s="705">
        <f>-DAT!$AY$16</f>
        <v>-236594</v>
      </c>
      <c r="CD208" s="705">
        <f>-DAT!$AY$16</f>
        <v>-236594</v>
      </c>
      <c r="CE208" s="705">
        <f>-DAT!$AY$16</f>
        <v>-236594</v>
      </c>
      <c r="CF208" s="705">
        <f>-DAT!$AY$16</f>
        <v>-236594</v>
      </c>
      <c r="CL208" s="843">
        <v>14</v>
      </c>
      <c r="CM208" s="848" t="e">
        <f>$CJ$197</f>
        <v>#N/A</v>
      </c>
      <c r="CN208" s="848">
        <f>$CK$194</f>
        <v>125000</v>
      </c>
      <c r="CO208" s="848">
        <f>$CK$194</f>
        <v>125000</v>
      </c>
      <c r="CP208" s="848">
        <f>$CK$194</f>
        <v>125000</v>
      </c>
      <c r="CQ208" s="848">
        <f>$CK$194</f>
        <v>125000</v>
      </c>
      <c r="CR208" s="848">
        <f>$CK$194</f>
        <v>125000</v>
      </c>
      <c r="CS208" s="705">
        <f>-DAT!$AY$18</f>
        <v>-295848</v>
      </c>
      <c r="CT208" s="705">
        <f>-DAT!$AY$18</f>
        <v>-295848</v>
      </c>
      <c r="CU208" s="705">
        <f>-DAT!$AY$18</f>
        <v>-295848</v>
      </c>
      <c r="CV208" s="705">
        <f>-DAT!$AY$18</f>
        <v>-295848</v>
      </c>
      <c r="CW208" s="705">
        <f>-DAT!$AY$18</f>
        <v>-295848</v>
      </c>
      <c r="CX208" s="705">
        <f>-DAT!$AY$18</f>
        <v>-295848</v>
      </c>
      <c r="CY208" s="705">
        <f>-DAT!$AY$18</f>
        <v>-295848</v>
      </c>
    </row>
    <row r="209" spans="3:103">
      <c r="I209" s="843">
        <v>21</v>
      </c>
      <c r="J209" s="846">
        <f>V$14</f>
        <v>71.19</v>
      </c>
      <c r="K209" s="705">
        <f t="shared" si="151"/>
        <v>2100000</v>
      </c>
      <c r="L209" s="705">
        <f t="shared" si="152"/>
        <v>2625000</v>
      </c>
      <c r="M209" s="825">
        <f t="shared" si="153"/>
        <v>4725000</v>
      </c>
      <c r="N209" s="829">
        <f t="shared" si="154"/>
        <v>3363728</v>
      </c>
      <c r="O209" s="1173">
        <f>BF$14</f>
        <v>0.74709999999999999</v>
      </c>
      <c r="P209" s="705">
        <f t="shared" si="155"/>
        <v>1722585</v>
      </c>
      <c r="Q209" s="1173">
        <f>CQ$14</f>
        <v>0.23380000000000001</v>
      </c>
      <c r="R209" s="705">
        <f t="shared" si="156"/>
        <v>613725</v>
      </c>
      <c r="S209" s="825">
        <f t="shared" si="157"/>
        <v>2336310</v>
      </c>
      <c r="T209" s="825">
        <f t="shared" si="158"/>
        <v>3363728</v>
      </c>
      <c r="U209" s="847">
        <f t="shared" si="159"/>
        <v>2691000</v>
      </c>
      <c r="V209" s="684">
        <f t="shared" si="160"/>
        <v>2305695</v>
      </c>
      <c r="W209" s="684">
        <f t="shared" si="161"/>
        <v>2420980</v>
      </c>
      <c r="X209" s="824">
        <f t="shared" si="162"/>
        <v>2500000</v>
      </c>
      <c r="Y209" s="684">
        <f t="shared" si="163"/>
        <v>2500000</v>
      </c>
      <c r="AA209" s="705">
        <f>I$43*X209/1000</f>
        <v>250000</v>
      </c>
      <c r="AB209" s="684">
        <f t="shared" si="164"/>
        <v>5375000</v>
      </c>
      <c r="AC209" s="685">
        <f t="shared" si="165"/>
        <v>5375000</v>
      </c>
      <c r="AD209" s="705">
        <f>IF(Main!$L$10="YES",Main!$N$10+AC209,AC209)</f>
        <v>5375000</v>
      </c>
      <c r="AE209" s="705">
        <f>IF(AND((Main!$E$9&gt;=18),(Main!$J$10="YES")),$Y$188+AD209,AD209)</f>
        <v>7875000</v>
      </c>
      <c r="AN209" s="848">
        <v>21</v>
      </c>
      <c r="AO209" s="846" t="e">
        <f>V$13</f>
        <v>#N/A</v>
      </c>
      <c r="AP209" s="824">
        <f t="shared" si="166"/>
        <v>-10500000</v>
      </c>
      <c r="AQ209" s="705" t="e">
        <f t="shared" si="146"/>
        <v>#N/A</v>
      </c>
      <c r="AR209" s="825" t="e">
        <f t="shared" si="167"/>
        <v>#N/A</v>
      </c>
      <c r="AS209" s="829" t="e">
        <f t="shared" si="168"/>
        <v>#N/A</v>
      </c>
      <c r="AT209" s="1173" t="e">
        <f>BF$13</f>
        <v>#N/A</v>
      </c>
      <c r="AU209" s="705" t="e">
        <f t="shared" si="169"/>
        <v>#N/A</v>
      </c>
      <c r="AV209" s="1173" t="e">
        <f>CQ$13</f>
        <v>#N/A</v>
      </c>
      <c r="AW209" s="705" t="e">
        <f t="shared" si="170"/>
        <v>#N/A</v>
      </c>
      <c r="AX209" s="825" t="e">
        <f t="shared" si="171"/>
        <v>#N/A</v>
      </c>
      <c r="AY209" s="825" t="e">
        <f t="shared" si="172"/>
        <v>#N/A</v>
      </c>
      <c r="AZ209" s="847" t="e">
        <f t="shared" si="173"/>
        <v>#N/A</v>
      </c>
      <c r="BA209" s="684">
        <f t="shared" si="174"/>
        <v>5844153</v>
      </c>
      <c r="BB209" s="684">
        <f t="shared" si="175"/>
        <v>6136361</v>
      </c>
      <c r="BC209" s="824">
        <f t="shared" si="147"/>
        <v>2500000</v>
      </c>
      <c r="BD209" s="684">
        <f t="shared" si="148"/>
        <v>2782930</v>
      </c>
      <c r="BF209" s="705">
        <f>I$43*BC209/1000</f>
        <v>250000</v>
      </c>
      <c r="BG209" s="824" t="e">
        <f t="shared" si="149"/>
        <v>#N/A</v>
      </c>
      <c r="BH209" s="824" t="e">
        <f t="shared" si="150"/>
        <v>#N/A</v>
      </c>
      <c r="BS209" s="843">
        <v>15</v>
      </c>
      <c r="BU209" s="848" t="e">
        <f>$AK$166</f>
        <v>#N/A</v>
      </c>
      <c r="BV209" s="705">
        <f>-DAT!$AY$16</f>
        <v>-236594</v>
      </c>
      <c r="BW209" s="705">
        <f>-DAT!$AY$16</f>
        <v>-236594</v>
      </c>
      <c r="BX209" s="705">
        <f>$BO$201</f>
        <v>263406</v>
      </c>
      <c r="BY209" s="705">
        <f>-DAT!$AY$16</f>
        <v>-236594</v>
      </c>
      <c r="BZ209" s="705">
        <f>$BO$201</f>
        <v>263406</v>
      </c>
      <c r="CA209" s="705">
        <f>-DAT!$AY$16</f>
        <v>-236594</v>
      </c>
      <c r="CB209" s="705">
        <f>$BO$201</f>
        <v>263406</v>
      </c>
      <c r="CC209" s="705">
        <f>-DAT!$AY$16</f>
        <v>-236594</v>
      </c>
      <c r="CD209" s="705">
        <f>-DAT!$AY$16</f>
        <v>-236594</v>
      </c>
      <c r="CE209" s="705">
        <f>-DAT!$AY$16</f>
        <v>-236594</v>
      </c>
      <c r="CF209" s="705">
        <f>-DAT!$AY$16</f>
        <v>-236594</v>
      </c>
      <c r="CL209" s="843">
        <v>15</v>
      </c>
      <c r="CN209" s="848" t="e">
        <f>$CJ$197</f>
        <v>#N/A</v>
      </c>
      <c r="CO209" s="848">
        <f>$CK$194</f>
        <v>125000</v>
      </c>
      <c r="CP209" s="848">
        <f>$CK$194</f>
        <v>125000</v>
      </c>
      <c r="CQ209" s="848">
        <f>$CK$194</f>
        <v>125000</v>
      </c>
      <c r="CR209" s="848">
        <f>$CK$194</f>
        <v>125000</v>
      </c>
      <c r="CS209" s="848">
        <f>$CK$194</f>
        <v>125000</v>
      </c>
      <c r="CT209" s="705">
        <f>-DAT!$AY$18</f>
        <v>-295848</v>
      </c>
      <c r="CU209" s="705">
        <f>-DAT!$AY$18</f>
        <v>-295848</v>
      </c>
      <c r="CV209" s="705">
        <f>-DAT!$AY$18</f>
        <v>-295848</v>
      </c>
      <c r="CW209" s="705">
        <f>-DAT!$AY$18</f>
        <v>-295848</v>
      </c>
      <c r="CX209" s="705">
        <f>-DAT!$AY$18</f>
        <v>-295848</v>
      </c>
      <c r="CY209" s="705">
        <f>-DAT!$AY$18</f>
        <v>-295848</v>
      </c>
    </row>
    <row r="210" spans="3:103">
      <c r="I210" s="843">
        <v>22</v>
      </c>
      <c r="J210" s="846">
        <f>W$14</f>
        <v>77.41</v>
      </c>
      <c r="K210" s="705">
        <f t="shared" si="151"/>
        <v>2200000</v>
      </c>
      <c r="L210" s="705">
        <f t="shared" si="152"/>
        <v>2750000</v>
      </c>
      <c r="M210" s="825">
        <f t="shared" si="153"/>
        <v>4950000</v>
      </c>
      <c r="N210" s="829">
        <f t="shared" si="154"/>
        <v>3831795</v>
      </c>
      <c r="O210" s="1173">
        <f>BG$14</f>
        <v>0.76470000000000005</v>
      </c>
      <c r="P210" s="705">
        <f t="shared" si="155"/>
        <v>1847125</v>
      </c>
      <c r="Q210" s="1173">
        <f>CR$14</f>
        <v>0.2505</v>
      </c>
      <c r="R210" s="705">
        <f t="shared" si="156"/>
        <v>688875</v>
      </c>
      <c r="S210" s="825">
        <f t="shared" si="157"/>
        <v>2536000</v>
      </c>
      <c r="T210" s="825">
        <f t="shared" si="158"/>
        <v>3831795</v>
      </c>
      <c r="U210" s="847">
        <f t="shared" si="159"/>
        <v>3065400</v>
      </c>
      <c r="V210" s="684">
        <f t="shared" si="160"/>
        <v>2415490</v>
      </c>
      <c r="W210" s="684">
        <f t="shared" si="161"/>
        <v>2536265</v>
      </c>
      <c r="X210" s="824">
        <f t="shared" si="162"/>
        <v>2500000</v>
      </c>
      <c r="Y210" s="684">
        <f t="shared" si="163"/>
        <v>2500000</v>
      </c>
      <c r="AA210" s="705">
        <f>J$43*X210/1000</f>
        <v>375000</v>
      </c>
      <c r="AB210" s="684">
        <f t="shared" si="164"/>
        <v>5625000</v>
      </c>
      <c r="AC210" s="685">
        <f t="shared" si="165"/>
        <v>5625000</v>
      </c>
      <c r="AD210" s="705">
        <f>IF(Main!$L$10="YES",Main!$N$10+AC210,AC210)</f>
        <v>5625000</v>
      </c>
      <c r="AE210" s="705">
        <f>IF(AND((Main!$E$9&gt;=18),(Main!$J$10="YES")),$Y$188+AD210,AD210)</f>
        <v>8125000</v>
      </c>
      <c r="AN210" s="848">
        <v>22</v>
      </c>
      <c r="AO210" s="846" t="e">
        <f>W$13</f>
        <v>#N/A</v>
      </c>
      <c r="AP210" s="824">
        <f t="shared" si="166"/>
        <v>-11000000</v>
      </c>
      <c r="AQ210" s="705" t="e">
        <f t="shared" si="146"/>
        <v>#N/A</v>
      </c>
      <c r="AR210" s="825" t="e">
        <f t="shared" si="167"/>
        <v>#N/A</v>
      </c>
      <c r="AS210" s="829" t="e">
        <f t="shared" si="168"/>
        <v>#N/A</v>
      </c>
      <c r="AT210" s="1173" t="e">
        <f>BG$13</f>
        <v>#N/A</v>
      </c>
      <c r="AU210" s="705" t="e">
        <f t="shared" si="169"/>
        <v>#N/A</v>
      </c>
      <c r="AV210" s="1173" t="e">
        <f>CR$13</f>
        <v>#N/A</v>
      </c>
      <c r="AW210" s="705" t="e">
        <f t="shared" si="170"/>
        <v>#N/A</v>
      </c>
      <c r="AX210" s="825" t="e">
        <f t="shared" si="171"/>
        <v>#N/A</v>
      </c>
      <c r="AY210" s="825" t="e">
        <f t="shared" si="172"/>
        <v>#N/A</v>
      </c>
      <c r="AZ210" s="847" t="e">
        <f t="shared" si="173"/>
        <v>#N/A</v>
      </c>
      <c r="BA210" s="684">
        <f t="shared" si="174"/>
        <v>6122446</v>
      </c>
      <c r="BB210" s="684">
        <f t="shared" si="175"/>
        <v>6428568</v>
      </c>
      <c r="BC210" s="824">
        <f t="shared" si="147"/>
        <v>2500000</v>
      </c>
      <c r="BD210" s="684">
        <f t="shared" si="148"/>
        <v>2782930</v>
      </c>
      <c r="BF210" s="705">
        <f>J$43*BC210/1000</f>
        <v>375000</v>
      </c>
      <c r="BG210" s="824" t="e">
        <f t="shared" si="149"/>
        <v>#N/A</v>
      </c>
      <c r="BH210" s="824" t="e">
        <f t="shared" si="150"/>
        <v>#N/A</v>
      </c>
      <c r="BS210" s="843">
        <v>16</v>
      </c>
      <c r="BV210" s="848" t="e">
        <f>$AK$166</f>
        <v>#N/A</v>
      </c>
      <c r="BW210" s="705">
        <f>-DAT!$AY$16</f>
        <v>-236594</v>
      </c>
      <c r="BX210" s="705">
        <f>-DAT!$AY$16</f>
        <v>-236594</v>
      </c>
      <c r="BY210" s="705">
        <f>$BO$201</f>
        <v>263406</v>
      </c>
      <c r="BZ210" s="705">
        <f>-DAT!$AY$16</f>
        <v>-236594</v>
      </c>
      <c r="CA210" s="705">
        <f>$BO$201</f>
        <v>263406</v>
      </c>
      <c r="CB210" s="705">
        <f>-DAT!$AY$16</f>
        <v>-236594</v>
      </c>
      <c r="CC210" s="705">
        <f>$BO$201</f>
        <v>263406</v>
      </c>
      <c r="CD210" s="705">
        <f>-DAT!$AY$16</f>
        <v>-236594</v>
      </c>
      <c r="CE210" s="705">
        <f>-DAT!$AY$16</f>
        <v>-236594</v>
      </c>
      <c r="CF210" s="705">
        <f>-DAT!$AY$16</f>
        <v>-236594</v>
      </c>
      <c r="CL210" s="843">
        <v>16</v>
      </c>
      <c r="CO210" s="848" t="e">
        <f>$CJ$197</f>
        <v>#N/A</v>
      </c>
      <c r="CP210" s="848">
        <f>$CK$194</f>
        <v>125000</v>
      </c>
      <c r="CQ210" s="848">
        <f>$CK$194</f>
        <v>125000</v>
      </c>
      <c r="CR210" s="848">
        <f>$CK$194</f>
        <v>125000</v>
      </c>
      <c r="CS210" s="848">
        <f>$CK$194</f>
        <v>125000</v>
      </c>
      <c r="CT210" s="848">
        <f>$CK$194</f>
        <v>125000</v>
      </c>
      <c r="CU210" s="705">
        <f>-DAT!$AY$18</f>
        <v>-295848</v>
      </c>
      <c r="CV210" s="705">
        <f>-DAT!$AY$18</f>
        <v>-295848</v>
      </c>
      <c r="CW210" s="705">
        <f>-DAT!$AY$18</f>
        <v>-295848</v>
      </c>
      <c r="CX210" s="705">
        <f>-DAT!$AY$18</f>
        <v>-295848</v>
      </c>
      <c r="CY210" s="705">
        <f>-DAT!$AY$18</f>
        <v>-295848</v>
      </c>
    </row>
    <row r="211" spans="3:103">
      <c r="I211" s="843">
        <v>23</v>
      </c>
      <c r="J211" s="846">
        <f>X$14</f>
        <v>84.24</v>
      </c>
      <c r="K211" s="705">
        <f t="shared" si="151"/>
        <v>2300000</v>
      </c>
      <c r="L211" s="705">
        <f t="shared" si="152"/>
        <v>2875000</v>
      </c>
      <c r="M211" s="825">
        <f t="shared" si="153"/>
        <v>5175000</v>
      </c>
      <c r="N211" s="829">
        <f t="shared" si="154"/>
        <v>4359420</v>
      </c>
      <c r="O211" s="1173">
        <f>BH$14</f>
        <v>0.78239999999999998</v>
      </c>
      <c r="P211" s="705">
        <f t="shared" si="155"/>
        <v>1975783</v>
      </c>
      <c r="Q211" s="1173">
        <f>CS$14</f>
        <v>0.27060000000000001</v>
      </c>
      <c r="R211" s="705">
        <f t="shared" si="156"/>
        <v>777975</v>
      </c>
      <c r="S211" s="825">
        <f t="shared" si="157"/>
        <v>2753758</v>
      </c>
      <c r="T211" s="825">
        <f t="shared" si="158"/>
        <v>4359420</v>
      </c>
      <c r="U211" s="847">
        <f t="shared" si="159"/>
        <v>3487500</v>
      </c>
      <c r="V211" s="684">
        <f t="shared" si="160"/>
        <v>2525285</v>
      </c>
      <c r="W211" s="684">
        <f t="shared" si="161"/>
        <v>2651549</v>
      </c>
      <c r="X211" s="824">
        <f t="shared" si="162"/>
        <v>2500000</v>
      </c>
      <c r="Y211" s="684">
        <f t="shared" si="163"/>
        <v>2500000</v>
      </c>
      <c r="AA211" s="705">
        <f>K$43*X211/1000</f>
        <v>625000</v>
      </c>
      <c r="AB211" s="684">
        <f t="shared" si="164"/>
        <v>6000000</v>
      </c>
      <c r="AC211" s="685">
        <f t="shared" si="165"/>
        <v>6000000</v>
      </c>
      <c r="AD211" s="705">
        <f>IF(Main!$L$10="YES",Main!$N$10+AC211,AC211)</f>
        <v>6000000</v>
      </c>
      <c r="AE211" s="705">
        <f>IF(AND((Main!$E$9&gt;=18),(Main!$J$10="YES")),$Y$188+AD211,AD211)</f>
        <v>8500000</v>
      </c>
      <c r="AN211" s="848">
        <v>23</v>
      </c>
      <c r="AO211" s="846" t="e">
        <f>X$13</f>
        <v>#N/A</v>
      </c>
      <c r="AP211" s="824">
        <f t="shared" si="166"/>
        <v>-11500000</v>
      </c>
      <c r="AQ211" s="705" t="e">
        <f t="shared" si="146"/>
        <v>#N/A</v>
      </c>
      <c r="AR211" s="825" t="e">
        <f t="shared" si="167"/>
        <v>#N/A</v>
      </c>
      <c r="AS211" s="829" t="e">
        <f t="shared" si="168"/>
        <v>#N/A</v>
      </c>
      <c r="AT211" s="1173" t="e">
        <f>BH$13</f>
        <v>#N/A</v>
      </c>
      <c r="AU211" s="705" t="e">
        <f t="shared" si="169"/>
        <v>#N/A</v>
      </c>
      <c r="AV211" s="1173" t="e">
        <f>CS$13</f>
        <v>#N/A</v>
      </c>
      <c r="AW211" s="705" t="e">
        <f t="shared" si="170"/>
        <v>#N/A</v>
      </c>
      <c r="AX211" s="825" t="e">
        <f t="shared" si="171"/>
        <v>#N/A</v>
      </c>
      <c r="AY211" s="825" t="e">
        <f t="shared" si="172"/>
        <v>#N/A</v>
      </c>
      <c r="AZ211" s="847" t="e">
        <f t="shared" si="173"/>
        <v>#N/A</v>
      </c>
      <c r="BA211" s="684">
        <f t="shared" si="174"/>
        <v>6400739</v>
      </c>
      <c r="BB211" s="684">
        <f t="shared" si="175"/>
        <v>6720776</v>
      </c>
      <c r="BC211" s="824">
        <f t="shared" si="147"/>
        <v>2500000</v>
      </c>
      <c r="BD211" s="684">
        <f t="shared" si="148"/>
        <v>2782930</v>
      </c>
      <c r="BF211" s="705">
        <f>K$43*BC211/1000</f>
        <v>625000</v>
      </c>
      <c r="BG211" s="824" t="e">
        <f t="shared" si="149"/>
        <v>#N/A</v>
      </c>
      <c r="BH211" s="824" t="e">
        <f t="shared" si="150"/>
        <v>#N/A</v>
      </c>
      <c r="BS211" s="843">
        <v>17</v>
      </c>
      <c r="BW211" s="848" t="e">
        <f>$AK$166</f>
        <v>#N/A</v>
      </c>
      <c r="BX211" s="705">
        <f>-DAT!$AY$16</f>
        <v>-236594</v>
      </c>
      <c r="BY211" s="705">
        <f>-DAT!$AY$16</f>
        <v>-236594</v>
      </c>
      <c r="BZ211" s="705">
        <f>$BO$201</f>
        <v>263406</v>
      </c>
      <c r="CA211" s="705">
        <f>-DAT!$AY$16</f>
        <v>-236594</v>
      </c>
      <c r="CB211" s="705">
        <f>$BO$201</f>
        <v>263406</v>
      </c>
      <c r="CC211" s="705">
        <f>-DAT!$AY$16</f>
        <v>-236594</v>
      </c>
      <c r="CD211" s="705">
        <f>$BO$201</f>
        <v>263406</v>
      </c>
      <c r="CE211" s="705">
        <f>-DAT!$AY$16</f>
        <v>-236594</v>
      </c>
      <c r="CF211" s="705">
        <f>-DAT!$AY$16</f>
        <v>-236594</v>
      </c>
      <c r="CL211" s="843">
        <v>17</v>
      </c>
      <c r="CP211" s="848" t="e">
        <f>$CJ$197</f>
        <v>#N/A</v>
      </c>
      <c r="CQ211" s="848">
        <f>$CK$194</f>
        <v>125000</v>
      </c>
      <c r="CR211" s="848">
        <f>$CK$194</f>
        <v>125000</v>
      </c>
      <c r="CS211" s="848">
        <f>$CK$194</f>
        <v>125000</v>
      </c>
      <c r="CT211" s="848">
        <f>$CK$194</f>
        <v>125000</v>
      </c>
      <c r="CU211" s="848">
        <f>$CK$194</f>
        <v>125000</v>
      </c>
      <c r="CV211" s="705">
        <f>-DAT!$AY$18</f>
        <v>-295848</v>
      </c>
      <c r="CW211" s="705">
        <f>-DAT!$AY$18</f>
        <v>-295848</v>
      </c>
      <c r="CX211" s="705">
        <f>-DAT!$AY$18</f>
        <v>-295848</v>
      </c>
      <c r="CY211" s="705">
        <f>-DAT!$AY$18</f>
        <v>-295848</v>
      </c>
    </row>
    <row r="212" spans="3:103">
      <c r="I212" s="843">
        <v>24</v>
      </c>
      <c r="J212" s="846">
        <f>Y$14</f>
        <v>91.74</v>
      </c>
      <c r="K212" s="705">
        <f t="shared" si="151"/>
        <v>2400000</v>
      </c>
      <c r="L212" s="705">
        <f t="shared" si="152"/>
        <v>3000000</v>
      </c>
      <c r="M212" s="825">
        <f t="shared" si="153"/>
        <v>5400000</v>
      </c>
      <c r="N212" s="829">
        <f t="shared" si="154"/>
        <v>4953960</v>
      </c>
      <c r="O212" s="1173">
        <f>BI$14</f>
        <v>0.8</v>
      </c>
      <c r="P212" s="705">
        <f t="shared" si="155"/>
        <v>2108064</v>
      </c>
      <c r="Q212" s="1173">
        <f>CT$14</f>
        <v>0.3</v>
      </c>
      <c r="R212" s="705">
        <f t="shared" si="156"/>
        <v>900000</v>
      </c>
      <c r="S212" s="825">
        <f t="shared" si="157"/>
        <v>3008064</v>
      </c>
      <c r="T212" s="825">
        <f t="shared" si="158"/>
        <v>4953960</v>
      </c>
      <c r="U212" s="847">
        <f t="shared" si="159"/>
        <v>3963200</v>
      </c>
      <c r="V212" s="684">
        <f t="shared" si="160"/>
        <v>2635080</v>
      </c>
      <c r="W212" s="684">
        <f t="shared" si="161"/>
        <v>2766834</v>
      </c>
      <c r="X212" s="824">
        <f t="shared" si="162"/>
        <v>2500000</v>
      </c>
      <c r="Y212" s="684">
        <f t="shared" si="163"/>
        <v>2500000</v>
      </c>
      <c r="AA212" s="705">
        <f>L$43*X212/1000</f>
        <v>875000</v>
      </c>
      <c r="AB212" s="684">
        <f t="shared" si="164"/>
        <v>6375000</v>
      </c>
      <c r="AC212" s="685">
        <f t="shared" si="165"/>
        <v>6375000</v>
      </c>
      <c r="AD212" s="705">
        <f>IF(Main!$L$10="YES",Main!$N$10+AC212,AC212)</f>
        <v>6375000</v>
      </c>
      <c r="AE212" s="705">
        <f>IF(AND((Main!$E$9&gt;=18),(Main!$J$10="YES")),$Y$188+AD212,AD212)</f>
        <v>8875000</v>
      </c>
      <c r="AN212" s="848">
        <v>24</v>
      </c>
      <c r="AO212" s="846" t="e">
        <f>Y$13</f>
        <v>#N/A</v>
      </c>
      <c r="AP212" s="824">
        <f t="shared" si="166"/>
        <v>-12000000</v>
      </c>
      <c r="AQ212" s="705" t="e">
        <f t="shared" si="146"/>
        <v>#N/A</v>
      </c>
      <c r="AR212" s="825" t="e">
        <f t="shared" si="167"/>
        <v>#N/A</v>
      </c>
      <c r="AS212" s="829" t="e">
        <f t="shared" si="168"/>
        <v>#N/A</v>
      </c>
      <c r="AT212" s="1173" t="e">
        <f>BI$13</f>
        <v>#N/A</v>
      </c>
      <c r="AU212" s="705" t="e">
        <f t="shared" si="169"/>
        <v>#N/A</v>
      </c>
      <c r="AV212" s="1173" t="e">
        <f>CT$13</f>
        <v>#N/A</v>
      </c>
      <c r="AW212" s="705" t="e">
        <f t="shared" si="170"/>
        <v>#N/A</v>
      </c>
      <c r="AX212" s="825" t="e">
        <f t="shared" si="171"/>
        <v>#N/A</v>
      </c>
      <c r="AY212" s="825" t="e">
        <f t="shared" si="172"/>
        <v>#N/A</v>
      </c>
      <c r="AZ212" s="847" t="e">
        <f t="shared" si="173"/>
        <v>#N/A</v>
      </c>
      <c r="BA212" s="684">
        <f t="shared" si="174"/>
        <v>6679032</v>
      </c>
      <c r="BB212" s="684">
        <f t="shared" si="175"/>
        <v>7012984</v>
      </c>
      <c r="BC212" s="824">
        <f t="shared" si="147"/>
        <v>2500000</v>
      </c>
      <c r="BD212" s="684">
        <f t="shared" si="148"/>
        <v>2782930</v>
      </c>
      <c r="BF212" s="705">
        <f>L$43*BC212/1000</f>
        <v>875000</v>
      </c>
      <c r="BG212" s="824" t="e">
        <f t="shared" si="149"/>
        <v>#N/A</v>
      </c>
      <c r="BH212" s="824" t="e">
        <f t="shared" si="150"/>
        <v>#N/A</v>
      </c>
      <c r="BS212" s="843">
        <v>18</v>
      </c>
      <c r="BX212" s="848" t="e">
        <f>$AK$166</f>
        <v>#N/A</v>
      </c>
      <c r="BY212" s="705">
        <f>-DAT!$AY$16</f>
        <v>-236594</v>
      </c>
      <c r="BZ212" s="705">
        <f>-DAT!$AY$16</f>
        <v>-236594</v>
      </c>
      <c r="CA212" s="705">
        <f>$BO$201</f>
        <v>263406</v>
      </c>
      <c r="CB212" s="705">
        <f>-DAT!$AY$16</f>
        <v>-236594</v>
      </c>
      <c r="CC212" s="705">
        <f>$BO$201</f>
        <v>263406</v>
      </c>
      <c r="CD212" s="705">
        <f>-DAT!$AY$16</f>
        <v>-236594</v>
      </c>
      <c r="CE212" s="705">
        <f>$BO$201</f>
        <v>263406</v>
      </c>
      <c r="CF212" s="705">
        <f>-DAT!$AY$16</f>
        <v>-236594</v>
      </c>
      <c r="CL212" s="843">
        <v>18</v>
      </c>
      <c r="CQ212" s="848" t="e">
        <f>$CJ$197</f>
        <v>#N/A</v>
      </c>
      <c r="CR212" s="848">
        <f>$CK$194</f>
        <v>125000</v>
      </c>
      <c r="CS212" s="848">
        <f>$CK$194</f>
        <v>125000</v>
      </c>
      <c r="CT212" s="848">
        <f>$CK$194</f>
        <v>125000</v>
      </c>
      <c r="CU212" s="848">
        <f>$CK$194</f>
        <v>125000</v>
      </c>
      <c r="CV212" s="848">
        <f>$CK$194</f>
        <v>125000</v>
      </c>
      <c r="CW212" s="705">
        <f>-DAT!$AY$18</f>
        <v>-295848</v>
      </c>
      <c r="CX212" s="705">
        <f>-DAT!$AY$18</f>
        <v>-295848</v>
      </c>
      <c r="CY212" s="705">
        <f>-DAT!$AY$18</f>
        <v>-295848</v>
      </c>
    </row>
    <row r="213" spans="3:103">
      <c r="I213" s="843">
        <v>25</v>
      </c>
      <c r="J213" s="846">
        <f>Z$14</f>
        <v>0</v>
      </c>
      <c r="K213" s="705">
        <f t="shared" si="151"/>
        <v>2500000</v>
      </c>
      <c r="L213" s="705">
        <f t="shared" si="152"/>
        <v>3125000</v>
      </c>
      <c r="M213" s="825">
        <f t="shared" si="153"/>
        <v>5625000</v>
      </c>
      <c r="N213" s="829">
        <f t="shared" si="154"/>
        <v>0</v>
      </c>
      <c r="O213" s="1173">
        <f>BJ$14</f>
        <v>0.8</v>
      </c>
      <c r="P213" s="705">
        <f t="shared" si="155"/>
        <v>2195900</v>
      </c>
      <c r="Q213" s="1173">
        <f>CU$14</f>
        <v>0.35</v>
      </c>
      <c r="R213" s="705">
        <f t="shared" si="156"/>
        <v>1093750</v>
      </c>
      <c r="S213" s="825">
        <f t="shared" si="157"/>
        <v>3289650</v>
      </c>
      <c r="T213" s="825">
        <f t="shared" si="158"/>
        <v>3289650</v>
      </c>
      <c r="U213" s="847">
        <f t="shared" si="159"/>
        <v>2631700</v>
      </c>
      <c r="V213" s="684">
        <f t="shared" si="160"/>
        <v>2744875</v>
      </c>
      <c r="W213" s="684">
        <f t="shared" si="161"/>
        <v>2882119</v>
      </c>
      <c r="X213" s="824">
        <f t="shared" si="162"/>
        <v>2500000</v>
      </c>
      <c r="Y213" s="684">
        <f t="shared" si="163"/>
        <v>2500000</v>
      </c>
      <c r="AA213" s="705">
        <f>M$43*X213/1000</f>
        <v>1125000</v>
      </c>
      <c r="AB213" s="684">
        <f t="shared" si="164"/>
        <v>6750000</v>
      </c>
      <c r="AC213" s="685">
        <f t="shared" si="165"/>
        <v>6750000</v>
      </c>
      <c r="AD213" s="705">
        <f>IF(Main!$L$10="YES",Main!$N$10+AC213,AC213)</f>
        <v>6750000</v>
      </c>
      <c r="AE213" s="705">
        <f>IF(AND((Main!$E$9&gt;=18),(Main!$J$10="YES")),$Y$188+AD213,AD213)</f>
        <v>9250000</v>
      </c>
      <c r="AN213" s="848">
        <v>25</v>
      </c>
      <c r="AO213" s="846" t="e">
        <f>Z$13</f>
        <v>#N/A</v>
      </c>
      <c r="AP213" s="824">
        <f t="shared" si="166"/>
        <v>-12500000</v>
      </c>
      <c r="AQ213" s="705" t="e">
        <f t="shared" si="146"/>
        <v>#N/A</v>
      </c>
      <c r="AR213" s="825" t="e">
        <f t="shared" si="167"/>
        <v>#N/A</v>
      </c>
      <c r="AS213" s="829" t="e">
        <f t="shared" si="168"/>
        <v>#N/A</v>
      </c>
      <c r="AT213" s="1173" t="e">
        <f>BJ$13</f>
        <v>#N/A</v>
      </c>
      <c r="AU213" s="705" t="e">
        <f t="shared" si="169"/>
        <v>#N/A</v>
      </c>
      <c r="AV213" s="1173" t="e">
        <f>CU$13</f>
        <v>#N/A</v>
      </c>
      <c r="AW213" s="705" t="e">
        <f t="shared" si="170"/>
        <v>#N/A</v>
      </c>
      <c r="AX213" s="825" t="e">
        <f t="shared" si="171"/>
        <v>#N/A</v>
      </c>
      <c r="AY213" s="825" t="e">
        <f t="shared" si="172"/>
        <v>#N/A</v>
      </c>
      <c r="AZ213" s="847" t="e">
        <f t="shared" si="173"/>
        <v>#N/A</v>
      </c>
      <c r="BA213" s="684">
        <f t="shared" si="174"/>
        <v>6957325</v>
      </c>
      <c r="BB213" s="684">
        <f t="shared" si="175"/>
        <v>7305191</v>
      </c>
      <c r="BC213" s="824">
        <f t="shared" si="147"/>
        <v>2500000</v>
      </c>
      <c r="BD213" s="684">
        <f t="shared" si="148"/>
        <v>2782930</v>
      </c>
      <c r="BF213" s="705">
        <f>M$43*BC213/1000</f>
        <v>1125000</v>
      </c>
      <c r="BG213" s="824" t="e">
        <f t="shared" si="149"/>
        <v>#N/A</v>
      </c>
      <c r="BH213" s="824" t="e">
        <f t="shared" si="150"/>
        <v>#N/A</v>
      </c>
      <c r="BS213" s="843">
        <v>19</v>
      </c>
      <c r="BY213" s="848" t="e">
        <f>$AK$166</f>
        <v>#N/A</v>
      </c>
      <c r="BZ213" s="705">
        <f>-DAT!$AY$16</f>
        <v>-236594</v>
      </c>
      <c r="CA213" s="705">
        <f>-DAT!$AY$16</f>
        <v>-236594</v>
      </c>
      <c r="CB213" s="705">
        <f>$BO$201</f>
        <v>263406</v>
      </c>
      <c r="CC213" s="705">
        <f>-DAT!$AY$16</f>
        <v>-236594</v>
      </c>
      <c r="CD213" s="705">
        <f>$BO$201</f>
        <v>263406</v>
      </c>
      <c r="CE213" s="705">
        <f>-DAT!$AY$16</f>
        <v>-236594</v>
      </c>
      <c r="CF213" s="705">
        <f>$BO$201</f>
        <v>263406</v>
      </c>
      <c r="CL213" s="843">
        <v>19</v>
      </c>
      <c r="CR213" s="848" t="e">
        <f>$CJ$197</f>
        <v>#N/A</v>
      </c>
      <c r="CS213" s="848">
        <f>$CK$194</f>
        <v>125000</v>
      </c>
      <c r="CT213" s="848">
        <f>$CK$194</f>
        <v>125000</v>
      </c>
      <c r="CU213" s="848">
        <f>$CK$194</f>
        <v>125000</v>
      </c>
      <c r="CV213" s="848">
        <f>$CK$194</f>
        <v>125000</v>
      </c>
      <c r="CW213" s="848">
        <f>$CK$194</f>
        <v>125000</v>
      </c>
      <c r="CX213" s="705">
        <f>-DAT!$AY$18</f>
        <v>-295848</v>
      </c>
      <c r="CY213" s="705">
        <f>-DAT!$AY$18</f>
        <v>-295848</v>
      </c>
    </row>
    <row r="214" spans="3:103">
      <c r="BS214" s="843">
        <v>20</v>
      </c>
      <c r="BZ214" s="848" t="e">
        <f>$AK$166</f>
        <v>#N/A</v>
      </c>
      <c r="CA214" s="705">
        <f>-DAT!$AY$16</f>
        <v>-236594</v>
      </c>
      <c r="CB214" s="705">
        <f>-DAT!$AY$16</f>
        <v>-236594</v>
      </c>
      <c r="CC214" s="705">
        <f>$BO$201</f>
        <v>263406</v>
      </c>
      <c r="CD214" s="705">
        <f>-DAT!$AY$16</f>
        <v>-236594</v>
      </c>
      <c r="CE214" s="705">
        <f>$BO$201</f>
        <v>263406</v>
      </c>
      <c r="CF214" s="705">
        <f>-DAT!$AY$16</f>
        <v>-236594</v>
      </c>
      <c r="CL214" s="843">
        <v>20</v>
      </c>
      <c r="CS214" s="848" t="e">
        <f>$CJ$197</f>
        <v>#N/A</v>
      </c>
      <c r="CT214" s="848">
        <f>$CK$194</f>
        <v>125000</v>
      </c>
      <c r="CU214" s="848">
        <f>$CK$194</f>
        <v>125000</v>
      </c>
      <c r="CV214" s="848">
        <f>$CK$194</f>
        <v>125000</v>
      </c>
      <c r="CW214" s="848">
        <f>$CK$194</f>
        <v>125000</v>
      </c>
      <c r="CX214" s="848">
        <f>$CK$194</f>
        <v>125000</v>
      </c>
      <c r="CY214" s="705">
        <f>-DAT!$AY$18</f>
        <v>-295848</v>
      </c>
    </row>
    <row r="215" spans="3:103">
      <c r="AY215" s="705" t="s">
        <v>138</v>
      </c>
      <c r="AZ215" s="705">
        <f>Main!E9</f>
        <v>30</v>
      </c>
      <c r="BA215" s="705" t="s">
        <v>180</v>
      </c>
      <c r="BB215" s="705">
        <f>Main!E11</f>
        <v>25</v>
      </c>
      <c r="BS215" s="843">
        <v>21</v>
      </c>
      <c r="CA215" s="848" t="e">
        <f>$AK$166</f>
        <v>#N/A</v>
      </c>
      <c r="CB215" s="705">
        <f>-DAT!$AY$16</f>
        <v>-236594</v>
      </c>
      <c r="CC215" s="705">
        <f>-DAT!$AY$16</f>
        <v>-236594</v>
      </c>
      <c r="CD215" s="705">
        <f>$BO$201</f>
        <v>263406</v>
      </c>
      <c r="CE215" s="705">
        <f>-DAT!$AY$16</f>
        <v>-236594</v>
      </c>
      <c r="CF215" s="705">
        <f>$BO$201</f>
        <v>263406</v>
      </c>
      <c r="CL215" s="843">
        <v>21</v>
      </c>
      <c r="CT215" s="848" t="e">
        <f>$CJ$197</f>
        <v>#N/A</v>
      </c>
      <c r="CU215" s="848">
        <f>$CK$194</f>
        <v>125000</v>
      </c>
      <c r="CV215" s="848">
        <f>$CK$194</f>
        <v>125000</v>
      </c>
      <c r="CW215" s="848">
        <f>$CK$194</f>
        <v>125000</v>
      </c>
      <c r="CX215" s="848">
        <f>$CK$194</f>
        <v>125000</v>
      </c>
      <c r="CY215" s="848">
        <f>$CK$194</f>
        <v>125000</v>
      </c>
    </row>
    <row r="216" spans="3:103">
      <c r="BA216" s="705" t="s">
        <v>44</v>
      </c>
      <c r="BS216" s="843">
        <v>22</v>
      </c>
      <c r="CB216" s="848" t="e">
        <f>$AK$166</f>
        <v>#N/A</v>
      </c>
      <c r="CC216" s="705">
        <f>-DAT!$AY$16</f>
        <v>-236594</v>
      </c>
      <c r="CD216" s="705">
        <f>-DAT!$AY$16</f>
        <v>-236594</v>
      </c>
      <c r="CE216" s="705">
        <f>$BO$201</f>
        <v>263406</v>
      </c>
      <c r="CF216" s="705">
        <f>-DAT!$AY$16</f>
        <v>-236594</v>
      </c>
      <c r="CL216" s="843">
        <v>22</v>
      </c>
      <c r="CU216" s="848" t="e">
        <f>$CJ$197</f>
        <v>#N/A</v>
      </c>
      <c r="CV216" s="848">
        <f>$CK$194</f>
        <v>125000</v>
      </c>
      <c r="CW216" s="848">
        <f>$CK$194</f>
        <v>125000</v>
      </c>
      <c r="CX216" s="848">
        <f>$CK$194</f>
        <v>125000</v>
      </c>
      <c r="CY216" s="848">
        <f>$CK$194</f>
        <v>125000</v>
      </c>
    </row>
    <row r="217" spans="3:103">
      <c r="AY217" s="705" t="s">
        <v>179</v>
      </c>
      <c r="AZ217" s="705">
        <f>Main!E10</f>
        <v>2500000</v>
      </c>
      <c r="BA217" s="705">
        <f>IF(AND((BA219="YES"),(AZ215&gt;=20)),AZ217,0)</f>
        <v>2500000</v>
      </c>
      <c r="BB217" s="705">
        <f>IF((BA217&gt;=5000000),5000000,BA217)</f>
        <v>2500000</v>
      </c>
      <c r="BS217" s="843">
        <v>23</v>
      </c>
      <c r="CC217" s="848" t="e">
        <f>$AK$166</f>
        <v>#N/A</v>
      </c>
      <c r="CD217" s="705">
        <f>-DAT!$AY$16</f>
        <v>-236594</v>
      </c>
      <c r="CE217" s="705">
        <f>-DAT!$AY$16</f>
        <v>-236594</v>
      </c>
      <c r="CF217" s="705">
        <f>$BO$201</f>
        <v>263406</v>
      </c>
      <c r="CL217" s="843">
        <v>23</v>
      </c>
      <c r="CV217" s="848" t="e">
        <f>$CJ$197</f>
        <v>#N/A</v>
      </c>
      <c r="CW217" s="848">
        <f>$CK$194</f>
        <v>125000</v>
      </c>
      <c r="CX217" s="848">
        <f>$CK$194</f>
        <v>125000</v>
      </c>
      <c r="CY217" s="848">
        <f>$CK$194</f>
        <v>125000</v>
      </c>
    </row>
    <row r="218" spans="3:103">
      <c r="AM218" s="705" t="s">
        <v>178</v>
      </c>
      <c r="AY218" s="705" t="s">
        <v>177</v>
      </c>
      <c r="AZ218" s="848">
        <f>Main!E12</f>
        <v>22</v>
      </c>
      <c r="BS218" s="843">
        <v>24</v>
      </c>
      <c r="CD218" s="848" t="e">
        <f>$AK$166</f>
        <v>#N/A</v>
      </c>
      <c r="CE218" s="705">
        <f>-DAT!$AY$16</f>
        <v>-236594</v>
      </c>
      <c r="CF218" s="705">
        <f>-DAT!$AY$16</f>
        <v>-236594</v>
      </c>
      <c r="CL218" s="843">
        <v>24</v>
      </c>
      <c r="CW218" s="848" t="e">
        <f>$CJ$197</f>
        <v>#N/A</v>
      </c>
      <c r="CX218" s="848">
        <f>$CK$194</f>
        <v>125000</v>
      </c>
      <c r="CY218" s="848">
        <f>$CK$194</f>
        <v>125000</v>
      </c>
    </row>
    <row r="219" spans="3:103">
      <c r="D219" s="1172">
        <f>LOOKUP($C$52,$C220:$C228,D220:D228)</f>
        <v>41</v>
      </c>
      <c r="I219" s="705">
        <v>838</v>
      </c>
      <c r="Z219" s="705">
        <f>IF(Main!J10="YES",B52,0)</f>
        <v>2500000</v>
      </c>
      <c r="AK219" s="848">
        <f>AK220+AM219+AO219</f>
        <v>6812500</v>
      </c>
      <c r="AM219" s="1172">
        <f>LOOKUP($C$52,$AN220:$AN244,AM220:AM244)</f>
        <v>1125000</v>
      </c>
      <c r="AN219" s="705">
        <v>817</v>
      </c>
      <c r="AO219" s="1172">
        <f>LOOKUP($C$52,$AN220:$AN244,AO220:AO244)</f>
        <v>3187500</v>
      </c>
      <c r="AW219" s="705">
        <v>818</v>
      </c>
      <c r="AZ219" s="1172">
        <f>LOOKUP($AZ$218,$AW220:$AW254,AZ220:AZ254)</f>
        <v>48</v>
      </c>
      <c r="BA219" s="705" t="str">
        <f>Main!J10</f>
        <v>YES</v>
      </c>
      <c r="BB219" s="1172">
        <f>LOOKUP($AZ$218,$AW220:$AW254,BB220:BB254)</f>
        <v>375000</v>
      </c>
      <c r="BS219" s="843">
        <v>25</v>
      </c>
      <c r="CE219" s="848" t="e">
        <f>$AK$166</f>
        <v>#N/A</v>
      </c>
      <c r="CF219" s="705">
        <f>-DAT!$AY$16</f>
        <v>-236594</v>
      </c>
      <c r="CL219" s="843">
        <v>25</v>
      </c>
      <c r="CX219" s="848" t="e">
        <f>$CJ$197</f>
        <v>#N/A</v>
      </c>
      <c r="CY219" s="848">
        <f>$CK$194</f>
        <v>125000</v>
      </c>
    </row>
    <row r="220" spans="3:103">
      <c r="C220" s="705">
        <v>12</v>
      </c>
      <c r="D220" s="705">
        <v>37</v>
      </c>
      <c r="L220" s="1172">
        <f>LOOKUP($C$52,$I221:$I239,L221:L239)</f>
        <v>2050000</v>
      </c>
      <c r="P220" s="848">
        <f>X221+L220+AA220</f>
        <v>4900000</v>
      </c>
      <c r="Z220" s="705">
        <f>IF(($Z$219&gt;10000000),10000000,$Z$219)</f>
        <v>2500000</v>
      </c>
      <c r="AA220" s="1172">
        <f>LOOKUP($C$52,$I221:$I239,AA221:AA239)</f>
        <v>350000</v>
      </c>
      <c r="AB220" s="705">
        <f>($C$55)*($B$52/1000)</f>
        <v>120000</v>
      </c>
      <c r="AC220" s="825">
        <f>AB220+X221</f>
        <v>2620000</v>
      </c>
      <c r="AD220" s="848">
        <f t="shared" ref="AD220:AD239" si="176">AC220</f>
        <v>2620000</v>
      </c>
      <c r="AE220" s="705">
        <f>IF(AND((Main!$E$9&gt;=18),(Main!$J$10="YES")),$Z$220+AD220,AD220)</f>
        <v>5120000</v>
      </c>
      <c r="AK220" s="848">
        <f>DAT!L8</f>
        <v>2500000</v>
      </c>
      <c r="AM220" s="705">
        <v>0</v>
      </c>
      <c r="AN220" s="705">
        <v>1</v>
      </c>
      <c r="AO220" s="705">
        <f>ROUND(AL222*AK220/1000,0)</f>
        <v>127500</v>
      </c>
      <c r="AP220" s="848">
        <f t="shared" ref="AP220:AP244" si="177">$AK$220</f>
        <v>2500000</v>
      </c>
      <c r="AQ220" s="848">
        <f t="shared" ref="AQ220:AQ233" si="178">AP220+AO220</f>
        <v>2627500</v>
      </c>
      <c r="AS220" s="705">
        <f>ROUND(AK221*70%,0)</f>
        <v>771575</v>
      </c>
      <c r="AT220" s="705">
        <f>ROUND((AS220*(30/100)),-2)</f>
        <v>231500</v>
      </c>
      <c r="AW220" s="843">
        <v>1</v>
      </c>
      <c r="AX220" s="705">
        <f t="shared" ref="AX220:AX254" si="179">IF((AW220&lt;=$AZ$218),$AZ$217,0)</f>
        <v>2500000</v>
      </c>
      <c r="AY220" s="705">
        <f t="shared" ref="AY220:AY254" si="180">IF((AX220&gt;0),$BB$217,0)</f>
        <v>2500000</v>
      </c>
      <c r="AZ220" s="843">
        <v>50</v>
      </c>
      <c r="BA220" s="705">
        <f t="shared" ref="BA220:BA254" si="181">(AZ220*AW220)*(AX220/1000)</f>
        <v>125000</v>
      </c>
      <c r="BB220" s="843">
        <v>0</v>
      </c>
      <c r="BC220" s="705">
        <f t="shared" ref="BC220:BC254" si="182">AX220+BA220+BB220</f>
        <v>2625000</v>
      </c>
      <c r="BD220" s="705">
        <f t="shared" ref="BD220:BD254" si="183">BC220+AY220</f>
        <v>5125000</v>
      </c>
      <c r="CF220" s="848" t="e">
        <f>$AK$166</f>
        <v>#N/A</v>
      </c>
      <c r="CY220" s="848" t="e">
        <f>$CJ$197</f>
        <v>#N/A</v>
      </c>
    </row>
    <row r="221" spans="3:103">
      <c r="C221" s="705">
        <v>13</v>
      </c>
      <c r="D221" s="705">
        <v>37</v>
      </c>
      <c r="I221" s="824">
        <v>2</v>
      </c>
      <c r="J221" s="846">
        <f>C$14</f>
        <v>18.45</v>
      </c>
      <c r="K221" s="705">
        <f t="shared" ref="K221:K239" si="184">$B$52*I221/$C$52</f>
        <v>200000</v>
      </c>
      <c r="L221" s="705">
        <f t="shared" ref="L221:L239" si="185">(I221*$D$219)*($B$52/1000)</f>
        <v>205000</v>
      </c>
      <c r="M221" s="825">
        <f t="shared" ref="M221:M239" si="186">K221+L221</f>
        <v>405000</v>
      </c>
      <c r="N221" s="829">
        <f t="shared" ref="N221:N239" si="187">ROUND((M221*J221/100),0)</f>
        <v>74723</v>
      </c>
      <c r="O221" s="1173">
        <f>AM$14</f>
        <v>0</v>
      </c>
      <c r="P221" s="705" t="e">
        <f t="shared" ref="P221:P239" si="188">ROUND(($G$223*I221)*O221,0)</f>
        <v>#N/A</v>
      </c>
      <c r="Q221" s="1173">
        <f>BX$14</f>
        <v>0</v>
      </c>
      <c r="R221" s="705">
        <f t="shared" ref="R221:R239" si="189">ROUND(L221*Q221,0)</f>
        <v>0</v>
      </c>
      <c r="S221" s="825" t="e">
        <f t="shared" ref="S221:S239" si="190">P221+R221</f>
        <v>#N/A</v>
      </c>
      <c r="T221" s="825" t="e">
        <f t="shared" ref="T221:T239" si="191">IF(S221&gt;N221,S221,N221)</f>
        <v>#N/A</v>
      </c>
      <c r="U221" s="847" t="e">
        <f t="shared" ref="U221:U239" si="192">ROUND((T221*($D$55/100)),-2)</f>
        <v>#N/A</v>
      </c>
      <c r="V221" s="684" t="e">
        <f t="shared" ref="V221:V239" si="193">ROUND($G$223*I221,0)</f>
        <v>#N/A</v>
      </c>
      <c r="W221" s="684" t="e">
        <f t="shared" ref="W221:W239" si="194">ROUND(V221*105/100,0)</f>
        <v>#N/A</v>
      </c>
      <c r="X221" s="824">
        <f>$B$52</f>
        <v>2500000</v>
      </c>
      <c r="Y221" s="684" t="e">
        <f t="shared" ref="Y221:Y239" si="195">IF((X221&gt;$Z$221),X221,$Z$221)</f>
        <v>#N/A</v>
      </c>
      <c r="Z221" s="824" t="e">
        <f>G223*10</f>
        <v>#N/A</v>
      </c>
      <c r="AA221" s="843">
        <v>0</v>
      </c>
      <c r="AB221" s="825" t="e">
        <f t="shared" ref="AB221:AB239" si="196">Y221+L221+AA221</f>
        <v>#N/A</v>
      </c>
      <c r="AC221" s="825" t="e">
        <f t="shared" ref="AC221:AC239" si="197">IF((W221&gt;AB221),W221,AB221)</f>
        <v>#N/A</v>
      </c>
      <c r="AD221" s="848" t="e">
        <f t="shared" si="176"/>
        <v>#N/A</v>
      </c>
      <c r="AE221" s="705" t="e">
        <f>IF(AND((Main!$E$9&gt;=18),(Main!$J$10="YES")),$Z$220+AD221,AD221)</f>
        <v>#N/A</v>
      </c>
      <c r="AK221" s="848">
        <f>DAT!AB8</f>
        <v>1102250</v>
      </c>
      <c r="AM221" s="705">
        <v>0</v>
      </c>
      <c r="AN221" s="848">
        <v>2</v>
      </c>
      <c r="AO221" s="705">
        <f t="shared" ref="AO221:AO244" si="198">$AO$220*AN221</f>
        <v>255000</v>
      </c>
      <c r="AP221" s="848">
        <f t="shared" si="177"/>
        <v>2500000</v>
      </c>
      <c r="AQ221" s="848">
        <f t="shared" si="178"/>
        <v>2755000</v>
      </c>
      <c r="AS221" s="705">
        <f>ROUND($AK$221*90%,0)</f>
        <v>992025</v>
      </c>
      <c r="AT221" s="705">
        <f>ROUND(AS221*(30/100),-2)</f>
        <v>297600</v>
      </c>
      <c r="AW221" s="843">
        <v>2</v>
      </c>
      <c r="AX221" s="705">
        <f t="shared" si="179"/>
        <v>2500000</v>
      </c>
      <c r="AY221" s="705">
        <f t="shared" si="180"/>
        <v>2500000</v>
      </c>
      <c r="AZ221" s="843">
        <v>50</v>
      </c>
      <c r="BA221" s="705">
        <f t="shared" si="181"/>
        <v>250000</v>
      </c>
      <c r="BB221" s="843">
        <v>0</v>
      </c>
      <c r="BC221" s="705">
        <f t="shared" si="182"/>
        <v>2750000</v>
      </c>
      <c r="BD221" s="705">
        <f t="shared" si="183"/>
        <v>5250000</v>
      </c>
    </row>
    <row r="222" spans="3:103">
      <c r="C222" s="705">
        <v>14</v>
      </c>
      <c r="D222" s="705">
        <v>37</v>
      </c>
      <c r="I222" s="824">
        <v>3</v>
      </c>
      <c r="J222" s="846">
        <f>D$14</f>
        <v>19.829999999999998</v>
      </c>
      <c r="K222" s="705">
        <f t="shared" si="184"/>
        <v>300000</v>
      </c>
      <c r="L222" s="705">
        <f t="shared" si="185"/>
        <v>307500</v>
      </c>
      <c r="M222" s="825">
        <f t="shared" si="186"/>
        <v>607500</v>
      </c>
      <c r="N222" s="829">
        <f t="shared" si="187"/>
        <v>120467</v>
      </c>
      <c r="O222" s="1173">
        <f>AN$14</f>
        <v>0.3</v>
      </c>
      <c r="P222" s="705" t="e">
        <f t="shared" si="188"/>
        <v>#N/A</v>
      </c>
      <c r="Q222" s="1173">
        <f>BY$14</f>
        <v>0.15279999999999999</v>
      </c>
      <c r="R222" s="705">
        <f t="shared" si="189"/>
        <v>46986</v>
      </c>
      <c r="S222" s="825" t="e">
        <f t="shared" si="190"/>
        <v>#N/A</v>
      </c>
      <c r="T222" s="825" t="e">
        <f t="shared" si="191"/>
        <v>#N/A</v>
      </c>
      <c r="U222" s="847" t="e">
        <f t="shared" si="192"/>
        <v>#N/A</v>
      </c>
      <c r="V222" s="684" t="e">
        <f t="shared" si="193"/>
        <v>#N/A</v>
      </c>
      <c r="W222" s="684" t="e">
        <f t="shared" si="194"/>
        <v>#N/A</v>
      </c>
      <c r="X222" s="824">
        <f>$B$52</f>
        <v>2500000</v>
      </c>
      <c r="Y222" s="684" t="e">
        <f t="shared" si="195"/>
        <v>#N/A</v>
      </c>
      <c r="AA222" s="843">
        <v>0</v>
      </c>
      <c r="AB222" s="825" t="e">
        <f t="shared" si="196"/>
        <v>#N/A</v>
      </c>
      <c r="AC222" s="825" t="e">
        <f t="shared" si="197"/>
        <v>#N/A</v>
      </c>
      <c r="AD222" s="848" t="e">
        <f t="shared" si="176"/>
        <v>#N/A</v>
      </c>
      <c r="AE222" s="705" t="e">
        <f>IF(AND((Main!$E$9&gt;=18),(Main!$J$10="YES")),$Z$220+AD222,AD222)</f>
        <v>#N/A</v>
      </c>
      <c r="AL222" s="1172">
        <f>LOOKUP($C$52,$AK223:$AK238,AL223:AL238)</f>
        <v>51</v>
      </c>
      <c r="AM222" s="705">
        <v>0</v>
      </c>
      <c r="AN222" s="848">
        <v>3</v>
      </c>
      <c r="AO222" s="705">
        <f t="shared" si="198"/>
        <v>382500</v>
      </c>
      <c r="AP222" s="848">
        <f t="shared" si="177"/>
        <v>2500000</v>
      </c>
      <c r="AQ222" s="848">
        <f t="shared" si="178"/>
        <v>2882500</v>
      </c>
      <c r="AR222" s="705">
        <f>AO222*30%</f>
        <v>114750</v>
      </c>
      <c r="AS222" s="705">
        <f t="shared" ref="AS222:AS244" si="199">$AS$221+AR222</f>
        <v>1106775</v>
      </c>
      <c r="AT222" s="705">
        <f>ROUND(AS222*(35/100),-2)</f>
        <v>387400</v>
      </c>
      <c r="AW222" s="843">
        <v>3</v>
      </c>
      <c r="AX222" s="705">
        <f t="shared" si="179"/>
        <v>2500000</v>
      </c>
      <c r="AY222" s="705">
        <f t="shared" si="180"/>
        <v>2500000</v>
      </c>
      <c r="AZ222" s="843">
        <v>50</v>
      </c>
      <c r="BA222" s="705">
        <f t="shared" si="181"/>
        <v>375000</v>
      </c>
      <c r="BB222" s="843">
        <v>0</v>
      </c>
      <c r="BC222" s="705">
        <f t="shared" si="182"/>
        <v>2875000</v>
      </c>
      <c r="BD222" s="705">
        <f t="shared" si="183"/>
        <v>5375000</v>
      </c>
    </row>
    <row r="223" spans="3:103">
      <c r="C223" s="843">
        <v>15</v>
      </c>
      <c r="D223" s="705">
        <v>37</v>
      </c>
      <c r="F223" s="846" t="e">
        <f>((DAT!E20*(100-DAT!F20)/100)-DAT!AA20)</f>
        <v>#N/A</v>
      </c>
      <c r="G223" s="705" t="e">
        <f>ROUND(F223*B52/1000,0)</f>
        <v>#N/A</v>
      </c>
      <c r="I223" s="824">
        <v>4</v>
      </c>
      <c r="J223" s="846">
        <f>E$14</f>
        <v>21.31</v>
      </c>
      <c r="K223" s="705">
        <f t="shared" si="184"/>
        <v>400000</v>
      </c>
      <c r="L223" s="705">
        <f t="shared" si="185"/>
        <v>410000</v>
      </c>
      <c r="M223" s="825">
        <f t="shared" si="186"/>
        <v>810000</v>
      </c>
      <c r="N223" s="829">
        <f t="shared" si="187"/>
        <v>172611</v>
      </c>
      <c r="O223" s="1173">
        <f>AO$14</f>
        <v>0.5</v>
      </c>
      <c r="P223" s="705" t="e">
        <f t="shared" si="188"/>
        <v>#N/A</v>
      </c>
      <c r="Q223" s="1173">
        <f>BZ$14</f>
        <v>0.1542</v>
      </c>
      <c r="R223" s="705">
        <f t="shared" si="189"/>
        <v>63222</v>
      </c>
      <c r="S223" s="825" t="e">
        <f t="shared" si="190"/>
        <v>#N/A</v>
      </c>
      <c r="T223" s="825" t="e">
        <f t="shared" si="191"/>
        <v>#N/A</v>
      </c>
      <c r="U223" s="847" t="e">
        <f t="shared" si="192"/>
        <v>#N/A</v>
      </c>
      <c r="V223" s="684" t="e">
        <f t="shared" si="193"/>
        <v>#N/A</v>
      </c>
      <c r="W223" s="684" t="e">
        <f t="shared" si="194"/>
        <v>#N/A</v>
      </c>
      <c r="X223" s="824">
        <f>$B$52</f>
        <v>2500000</v>
      </c>
      <c r="Y223" s="684" t="e">
        <f t="shared" si="195"/>
        <v>#N/A</v>
      </c>
      <c r="AA223" s="843">
        <v>0</v>
      </c>
      <c r="AB223" s="825" t="e">
        <f t="shared" si="196"/>
        <v>#N/A</v>
      </c>
      <c r="AC223" s="825" t="e">
        <f t="shared" si="197"/>
        <v>#N/A</v>
      </c>
      <c r="AD223" s="848" t="e">
        <f t="shared" si="176"/>
        <v>#N/A</v>
      </c>
      <c r="AE223" s="705" t="e">
        <f>IF(AND((Main!$E$9&gt;=18),(Main!$J$10="YES")),$Z$220+AD223,AD223)</f>
        <v>#N/A</v>
      </c>
      <c r="AK223" s="705">
        <v>10</v>
      </c>
      <c r="AL223" s="705">
        <v>41</v>
      </c>
      <c r="AM223" s="705">
        <v>0</v>
      </c>
      <c r="AN223" s="848">
        <v>4</v>
      </c>
      <c r="AO223" s="705">
        <f t="shared" si="198"/>
        <v>510000</v>
      </c>
      <c r="AP223" s="848">
        <f t="shared" si="177"/>
        <v>2500000</v>
      </c>
      <c r="AQ223" s="848">
        <f t="shared" si="178"/>
        <v>3010000</v>
      </c>
      <c r="AR223" s="705">
        <f>AO223*30%</f>
        <v>153000</v>
      </c>
      <c r="AS223" s="705">
        <f t="shared" si="199"/>
        <v>1145025</v>
      </c>
      <c r="AT223" s="705">
        <f>ROUND(AS223*(40/100),-2)</f>
        <v>458000</v>
      </c>
      <c r="AW223" s="843">
        <v>4</v>
      </c>
      <c r="AX223" s="705">
        <f t="shared" si="179"/>
        <v>2500000</v>
      </c>
      <c r="AY223" s="705">
        <f t="shared" si="180"/>
        <v>2500000</v>
      </c>
      <c r="AZ223" s="843">
        <v>50</v>
      </c>
      <c r="BA223" s="705">
        <f t="shared" si="181"/>
        <v>500000</v>
      </c>
      <c r="BB223" s="843">
        <v>0</v>
      </c>
      <c r="BC223" s="705">
        <f t="shared" si="182"/>
        <v>3000000</v>
      </c>
      <c r="BD223" s="705">
        <f t="shared" si="183"/>
        <v>5500000</v>
      </c>
    </row>
    <row r="224" spans="3:103">
      <c r="C224" s="843">
        <v>16</v>
      </c>
      <c r="D224" s="705">
        <v>41</v>
      </c>
      <c r="I224" s="824">
        <v>5</v>
      </c>
      <c r="J224" s="846">
        <f>F$14</f>
        <v>22.91</v>
      </c>
      <c r="K224" s="705">
        <f t="shared" si="184"/>
        <v>500000</v>
      </c>
      <c r="L224" s="705">
        <f t="shared" si="185"/>
        <v>512500</v>
      </c>
      <c r="M224" s="825">
        <f t="shared" si="186"/>
        <v>1012500</v>
      </c>
      <c r="N224" s="829">
        <f t="shared" si="187"/>
        <v>231964</v>
      </c>
      <c r="O224" s="1173">
        <f>AP$14</f>
        <v>0.5</v>
      </c>
      <c r="P224" s="705" t="e">
        <f t="shared" si="188"/>
        <v>#N/A</v>
      </c>
      <c r="Q224" s="1173">
        <f>CA$14</f>
        <v>0.1555</v>
      </c>
      <c r="R224" s="705">
        <f t="shared" si="189"/>
        <v>79694</v>
      </c>
      <c r="S224" s="825" t="e">
        <f t="shared" si="190"/>
        <v>#N/A</v>
      </c>
      <c r="T224" s="825" t="e">
        <f t="shared" si="191"/>
        <v>#N/A</v>
      </c>
      <c r="U224" s="847" t="e">
        <f t="shared" si="192"/>
        <v>#N/A</v>
      </c>
      <c r="V224" s="684" t="e">
        <f t="shared" si="193"/>
        <v>#N/A</v>
      </c>
      <c r="W224" s="684" t="e">
        <f t="shared" si="194"/>
        <v>#N/A</v>
      </c>
      <c r="X224" s="824">
        <f>$B$52</f>
        <v>2500000</v>
      </c>
      <c r="Y224" s="684" t="e">
        <f t="shared" si="195"/>
        <v>#N/A</v>
      </c>
      <c r="AA224" s="843">
        <v>0</v>
      </c>
      <c r="AB224" s="825" t="e">
        <f t="shared" si="196"/>
        <v>#N/A</v>
      </c>
      <c r="AC224" s="825" t="e">
        <f t="shared" si="197"/>
        <v>#N/A</v>
      </c>
      <c r="AD224" s="848" t="e">
        <f t="shared" si="176"/>
        <v>#N/A</v>
      </c>
      <c r="AE224" s="705" t="e">
        <f>IF(AND((Main!$E$9&gt;=18),(Main!$J$10="YES")),$Z$220+AD224,AD224)</f>
        <v>#N/A</v>
      </c>
      <c r="AK224" s="705">
        <v>11</v>
      </c>
      <c r="AL224" s="705">
        <v>41</v>
      </c>
      <c r="AM224" s="705">
        <v>0</v>
      </c>
      <c r="AN224" s="848">
        <v>5</v>
      </c>
      <c r="AO224" s="705">
        <f t="shared" si="198"/>
        <v>637500</v>
      </c>
      <c r="AP224" s="848">
        <f t="shared" si="177"/>
        <v>2500000</v>
      </c>
      <c r="AQ224" s="848">
        <f t="shared" si="178"/>
        <v>3137500</v>
      </c>
      <c r="AR224" s="705">
        <f>AO224*30%</f>
        <v>191250</v>
      </c>
      <c r="AS224" s="705">
        <f t="shared" si="199"/>
        <v>1183275</v>
      </c>
      <c r="AT224" s="705">
        <f>ROUND(AS224*(45/100),-2)</f>
        <v>532500</v>
      </c>
      <c r="AW224" s="843">
        <v>5</v>
      </c>
      <c r="AX224" s="705">
        <f t="shared" si="179"/>
        <v>2500000</v>
      </c>
      <c r="AY224" s="705">
        <f t="shared" si="180"/>
        <v>2500000</v>
      </c>
      <c r="AZ224" s="843">
        <v>50</v>
      </c>
      <c r="BA224" s="705">
        <f t="shared" si="181"/>
        <v>625000</v>
      </c>
      <c r="BB224" s="843">
        <v>0</v>
      </c>
      <c r="BC224" s="705">
        <f t="shared" si="182"/>
        <v>3125000</v>
      </c>
      <c r="BD224" s="705">
        <f t="shared" si="183"/>
        <v>5625000</v>
      </c>
    </row>
    <row r="225" spans="3:82">
      <c r="C225" s="843">
        <v>17</v>
      </c>
      <c r="D225" s="705">
        <v>41</v>
      </c>
      <c r="I225" s="824">
        <v>6</v>
      </c>
      <c r="J225" s="846">
        <f>G$14</f>
        <v>24.63</v>
      </c>
      <c r="K225" s="705">
        <f t="shared" si="184"/>
        <v>600000</v>
      </c>
      <c r="L225" s="705">
        <f t="shared" si="185"/>
        <v>615000</v>
      </c>
      <c r="M225" s="825">
        <f t="shared" si="186"/>
        <v>1215000</v>
      </c>
      <c r="N225" s="829">
        <f t="shared" si="187"/>
        <v>299255</v>
      </c>
      <c r="O225" s="1173">
        <f>AQ$14</f>
        <v>0.5</v>
      </c>
      <c r="P225" s="705" t="e">
        <f t="shared" si="188"/>
        <v>#N/A</v>
      </c>
      <c r="Q225" s="1173">
        <f>CB$14</f>
        <v>0.15720000000000001</v>
      </c>
      <c r="R225" s="705">
        <f t="shared" si="189"/>
        <v>96678</v>
      </c>
      <c r="S225" s="825" t="e">
        <f t="shared" si="190"/>
        <v>#N/A</v>
      </c>
      <c r="T225" s="825" t="e">
        <f t="shared" si="191"/>
        <v>#N/A</v>
      </c>
      <c r="U225" s="847" t="e">
        <f t="shared" si="192"/>
        <v>#N/A</v>
      </c>
      <c r="V225" s="684" t="e">
        <f t="shared" si="193"/>
        <v>#N/A</v>
      </c>
      <c r="W225" s="684" t="e">
        <f t="shared" si="194"/>
        <v>#N/A</v>
      </c>
      <c r="X225" s="824">
        <f>$B$52*125%</f>
        <v>3125000</v>
      </c>
      <c r="Y225" s="684" t="e">
        <f t="shared" si="195"/>
        <v>#N/A</v>
      </c>
      <c r="AA225" s="843">
        <v>0</v>
      </c>
      <c r="AB225" s="825" t="e">
        <f t="shared" si="196"/>
        <v>#N/A</v>
      </c>
      <c r="AC225" s="825" t="e">
        <f t="shared" si="197"/>
        <v>#N/A</v>
      </c>
      <c r="AD225" s="848" t="e">
        <f t="shared" si="176"/>
        <v>#N/A</v>
      </c>
      <c r="AE225" s="705" t="e">
        <f>IF(AND((Main!$E$9&gt;=18),(Main!$J$10="YES")),$Z$220+AD225,AD225)</f>
        <v>#N/A</v>
      </c>
      <c r="AK225" s="705">
        <v>12</v>
      </c>
      <c r="AL225" s="705">
        <v>41</v>
      </c>
      <c r="AM225" s="705">
        <v>0</v>
      </c>
      <c r="AN225" s="848">
        <v>6</v>
      </c>
      <c r="AO225" s="705">
        <f t="shared" si="198"/>
        <v>765000</v>
      </c>
      <c r="AP225" s="848">
        <f t="shared" si="177"/>
        <v>2500000</v>
      </c>
      <c r="AQ225" s="848">
        <f t="shared" si="178"/>
        <v>3265000</v>
      </c>
      <c r="AR225" s="705">
        <f>AO225*35%</f>
        <v>267750</v>
      </c>
      <c r="AS225" s="705">
        <f t="shared" si="199"/>
        <v>1259775</v>
      </c>
      <c r="AT225" s="705">
        <f>ROUND(AS225*(50/100),-2)</f>
        <v>629900</v>
      </c>
      <c r="AW225" s="843">
        <v>6</v>
      </c>
      <c r="AX225" s="705">
        <f t="shared" si="179"/>
        <v>2500000</v>
      </c>
      <c r="AY225" s="705">
        <f t="shared" si="180"/>
        <v>2500000</v>
      </c>
      <c r="AZ225" s="843">
        <v>42</v>
      </c>
      <c r="BA225" s="705">
        <f t="shared" si="181"/>
        <v>630000</v>
      </c>
      <c r="BB225" s="843">
        <v>0</v>
      </c>
      <c r="BC225" s="705">
        <f t="shared" si="182"/>
        <v>3130000</v>
      </c>
      <c r="BD225" s="705">
        <f t="shared" si="183"/>
        <v>5630000</v>
      </c>
    </row>
    <row r="226" spans="3:82">
      <c r="C226" s="843">
        <v>18</v>
      </c>
      <c r="D226" s="705">
        <v>41</v>
      </c>
      <c r="I226" s="824">
        <v>7</v>
      </c>
      <c r="J226" s="846">
        <f>H$14</f>
        <v>26.48</v>
      </c>
      <c r="K226" s="705">
        <f t="shared" si="184"/>
        <v>700000</v>
      </c>
      <c r="L226" s="705">
        <f t="shared" si="185"/>
        <v>717500</v>
      </c>
      <c r="M226" s="825">
        <f t="shared" si="186"/>
        <v>1417500</v>
      </c>
      <c r="N226" s="829">
        <f t="shared" si="187"/>
        <v>375354</v>
      </c>
      <c r="O226" s="1173">
        <f>AR$14</f>
        <v>0.5</v>
      </c>
      <c r="P226" s="705" t="e">
        <f t="shared" si="188"/>
        <v>#N/A</v>
      </c>
      <c r="Q226" s="1173">
        <f>CC$14</f>
        <v>0.1593</v>
      </c>
      <c r="R226" s="705">
        <f t="shared" si="189"/>
        <v>114298</v>
      </c>
      <c r="S226" s="825" t="e">
        <f t="shared" si="190"/>
        <v>#N/A</v>
      </c>
      <c r="T226" s="825" t="e">
        <f t="shared" si="191"/>
        <v>#N/A</v>
      </c>
      <c r="U226" s="847" t="e">
        <f t="shared" si="192"/>
        <v>#N/A</v>
      </c>
      <c r="V226" s="684" t="e">
        <f t="shared" si="193"/>
        <v>#N/A</v>
      </c>
      <c r="W226" s="684" t="e">
        <f t="shared" si="194"/>
        <v>#N/A</v>
      </c>
      <c r="X226" s="824">
        <f>$B$52*125%</f>
        <v>3125000</v>
      </c>
      <c r="Y226" s="684" t="e">
        <f t="shared" si="195"/>
        <v>#N/A</v>
      </c>
      <c r="AA226" s="843">
        <v>0</v>
      </c>
      <c r="AB226" s="825" t="e">
        <f t="shared" si="196"/>
        <v>#N/A</v>
      </c>
      <c r="AC226" s="825" t="e">
        <f t="shared" si="197"/>
        <v>#N/A</v>
      </c>
      <c r="AD226" s="848" t="e">
        <f t="shared" si="176"/>
        <v>#N/A</v>
      </c>
      <c r="AE226" s="705" t="e">
        <f>IF(AND((Main!$E$9&gt;=18),(Main!$J$10="YES")),$Z$220+AD226,AD226)</f>
        <v>#N/A</v>
      </c>
      <c r="AK226" s="705">
        <v>13</v>
      </c>
      <c r="AL226" s="705">
        <v>41</v>
      </c>
      <c r="AM226" s="705">
        <v>0</v>
      </c>
      <c r="AN226" s="848">
        <v>7</v>
      </c>
      <c r="AO226" s="705">
        <f t="shared" si="198"/>
        <v>892500</v>
      </c>
      <c r="AP226" s="848">
        <f t="shared" si="177"/>
        <v>2500000</v>
      </c>
      <c r="AQ226" s="848">
        <f t="shared" si="178"/>
        <v>3392500</v>
      </c>
      <c r="AR226" s="705">
        <f>AO226*35%</f>
        <v>312375</v>
      </c>
      <c r="AS226" s="705">
        <f t="shared" si="199"/>
        <v>1304400</v>
      </c>
      <c r="AT226" s="705">
        <f>ROUND(AS226*(55/100),-2)</f>
        <v>717400</v>
      </c>
      <c r="AW226" s="843">
        <v>7</v>
      </c>
      <c r="AX226" s="705">
        <f t="shared" si="179"/>
        <v>2500000</v>
      </c>
      <c r="AY226" s="705">
        <f t="shared" si="180"/>
        <v>2500000</v>
      </c>
      <c r="AZ226" s="843">
        <v>42</v>
      </c>
      <c r="BA226" s="705">
        <f t="shared" si="181"/>
        <v>735000</v>
      </c>
      <c r="BB226" s="843">
        <v>0</v>
      </c>
      <c r="BC226" s="705">
        <f t="shared" si="182"/>
        <v>3235000</v>
      </c>
      <c r="BD226" s="705">
        <f t="shared" si="183"/>
        <v>5735000</v>
      </c>
      <c r="BT226" s="1170" t="e">
        <f>LOOKUP($C$52,BT228:CD228,BT227:CD227)</f>
        <v>#VALUE!</v>
      </c>
      <c r="BW226" s="705">
        <v>843</v>
      </c>
    </row>
    <row r="227" spans="3:82">
      <c r="C227" s="843">
        <v>19</v>
      </c>
      <c r="D227" s="705">
        <v>41</v>
      </c>
      <c r="I227" s="824">
        <v>8</v>
      </c>
      <c r="J227" s="846">
        <f>I$14</f>
        <v>28.47</v>
      </c>
      <c r="K227" s="705">
        <f t="shared" si="184"/>
        <v>800000</v>
      </c>
      <c r="L227" s="705">
        <f t="shared" si="185"/>
        <v>820000</v>
      </c>
      <c r="M227" s="825">
        <f t="shared" si="186"/>
        <v>1620000</v>
      </c>
      <c r="N227" s="829">
        <f t="shared" si="187"/>
        <v>461214</v>
      </c>
      <c r="O227" s="1173">
        <f>AS$14</f>
        <v>0.51759999999999995</v>
      </c>
      <c r="P227" s="705" t="e">
        <f t="shared" si="188"/>
        <v>#N/A</v>
      </c>
      <c r="Q227" s="1173">
        <f>CD$14</f>
        <v>0.16220000000000001</v>
      </c>
      <c r="R227" s="705">
        <f t="shared" si="189"/>
        <v>133004</v>
      </c>
      <c r="S227" s="825" t="e">
        <f t="shared" si="190"/>
        <v>#N/A</v>
      </c>
      <c r="T227" s="825" t="e">
        <f t="shared" si="191"/>
        <v>#N/A</v>
      </c>
      <c r="U227" s="847" t="e">
        <f t="shared" si="192"/>
        <v>#N/A</v>
      </c>
      <c r="V227" s="684" t="e">
        <f t="shared" si="193"/>
        <v>#N/A</v>
      </c>
      <c r="W227" s="684" t="e">
        <f t="shared" si="194"/>
        <v>#N/A</v>
      </c>
      <c r="X227" s="824">
        <f>$B$52*125%</f>
        <v>3125000</v>
      </c>
      <c r="Y227" s="684" t="e">
        <f t="shared" si="195"/>
        <v>#N/A</v>
      </c>
      <c r="AA227" s="843">
        <v>0</v>
      </c>
      <c r="AB227" s="825" t="e">
        <f t="shared" si="196"/>
        <v>#N/A</v>
      </c>
      <c r="AC227" s="825" t="e">
        <f t="shared" si="197"/>
        <v>#N/A</v>
      </c>
      <c r="AD227" s="848" t="e">
        <f t="shared" si="176"/>
        <v>#N/A</v>
      </c>
      <c r="AE227" s="705" t="e">
        <f>IF(AND((Main!$E$9&gt;=18),(Main!$J$10="YES")),$Z$220+AD227,AD227)</f>
        <v>#N/A</v>
      </c>
      <c r="AK227" s="705">
        <v>14</v>
      </c>
      <c r="AL227" s="705">
        <v>41</v>
      </c>
      <c r="AM227" s="705">
        <v>0</v>
      </c>
      <c r="AN227" s="848">
        <v>8</v>
      </c>
      <c r="AO227" s="705">
        <f t="shared" si="198"/>
        <v>1020000</v>
      </c>
      <c r="AP227" s="848">
        <f t="shared" si="177"/>
        <v>2500000</v>
      </c>
      <c r="AQ227" s="848">
        <f t="shared" si="178"/>
        <v>3520000</v>
      </c>
      <c r="AR227" s="705">
        <f>AO227*40%</f>
        <v>408000</v>
      </c>
      <c r="AS227" s="705">
        <f t="shared" si="199"/>
        <v>1400025</v>
      </c>
      <c r="AT227" s="705">
        <f>ROUND(AS227*(60/100),-2)</f>
        <v>840000</v>
      </c>
      <c r="AW227" s="843">
        <v>8</v>
      </c>
      <c r="AX227" s="705">
        <f t="shared" si="179"/>
        <v>2500000</v>
      </c>
      <c r="AY227" s="705">
        <f t="shared" si="180"/>
        <v>2500000</v>
      </c>
      <c r="AZ227" s="843">
        <v>42</v>
      </c>
      <c r="BA227" s="705">
        <f t="shared" si="181"/>
        <v>840000</v>
      </c>
      <c r="BB227" s="843">
        <v>0</v>
      </c>
      <c r="BC227" s="705">
        <f t="shared" si="182"/>
        <v>3340000</v>
      </c>
      <c r="BD227" s="705">
        <f t="shared" si="183"/>
        <v>5840000</v>
      </c>
      <c r="BT227" s="845" t="e">
        <f>IRR(BT229:BT239)</f>
        <v>#VALUE!</v>
      </c>
      <c r="BU227" s="845" t="e">
        <f>IRR(BU229:BU240)</f>
        <v>#VALUE!</v>
      </c>
      <c r="BV227" s="845" t="e">
        <f>IRR(BV229:BV241)</f>
        <v>#VALUE!</v>
      </c>
      <c r="BW227" s="845" t="e">
        <f>IRR(BW229:BW242)</f>
        <v>#VALUE!</v>
      </c>
      <c r="BX227" s="845" t="e">
        <f>IRR(BX229:BX243)</f>
        <v>#VALUE!</v>
      </c>
      <c r="BY227" s="845" t="e">
        <f>IRR(BY229:BY244)</f>
        <v>#VALUE!</v>
      </c>
      <c r="BZ227" s="845" t="e">
        <f>IRR(BZ229:BZ245)</f>
        <v>#VALUE!</v>
      </c>
      <c r="CA227" s="845" t="e">
        <f>IRR(CA229:CA246)</f>
        <v>#VALUE!</v>
      </c>
      <c r="CB227" s="845" t="e">
        <f>IRR(CB229:CB247)</f>
        <v>#VALUE!</v>
      </c>
      <c r="CC227" s="845" t="e">
        <f>IRR(CC229:CC248)</f>
        <v>#VALUE!</v>
      </c>
      <c r="CD227" s="845" t="e">
        <f>IRR(CD229:CD249)</f>
        <v>#VALUE!</v>
      </c>
    </row>
    <row r="228" spans="3:82">
      <c r="C228" s="843">
        <v>20</v>
      </c>
      <c r="D228" s="705">
        <v>41</v>
      </c>
      <c r="I228" s="824">
        <v>9</v>
      </c>
      <c r="J228" s="846">
        <f>J$14</f>
        <v>30.61</v>
      </c>
      <c r="K228" s="705">
        <f t="shared" si="184"/>
        <v>900000</v>
      </c>
      <c r="L228" s="705">
        <f t="shared" si="185"/>
        <v>922500</v>
      </c>
      <c r="M228" s="825">
        <f t="shared" si="186"/>
        <v>1822500</v>
      </c>
      <c r="N228" s="829">
        <f t="shared" si="187"/>
        <v>557867</v>
      </c>
      <c r="O228" s="1173">
        <f>AT$14</f>
        <v>0.5353</v>
      </c>
      <c r="P228" s="705" t="e">
        <f t="shared" si="188"/>
        <v>#N/A</v>
      </c>
      <c r="Q228" s="1173">
        <f>CE$14</f>
        <v>0.1658</v>
      </c>
      <c r="R228" s="705">
        <f t="shared" si="189"/>
        <v>152951</v>
      </c>
      <c r="S228" s="825" t="e">
        <f t="shared" si="190"/>
        <v>#N/A</v>
      </c>
      <c r="T228" s="825" t="e">
        <f t="shared" si="191"/>
        <v>#N/A</v>
      </c>
      <c r="U228" s="847" t="e">
        <f t="shared" si="192"/>
        <v>#N/A</v>
      </c>
      <c r="V228" s="684" t="e">
        <f t="shared" si="193"/>
        <v>#N/A</v>
      </c>
      <c r="W228" s="684" t="e">
        <f t="shared" si="194"/>
        <v>#N/A</v>
      </c>
      <c r="X228" s="824">
        <f>$B$52*125%</f>
        <v>3125000</v>
      </c>
      <c r="Y228" s="684" t="e">
        <f t="shared" si="195"/>
        <v>#N/A</v>
      </c>
      <c r="AA228" s="843">
        <v>0</v>
      </c>
      <c r="AB228" s="825" t="e">
        <f t="shared" si="196"/>
        <v>#N/A</v>
      </c>
      <c r="AC228" s="825" t="e">
        <f t="shared" si="197"/>
        <v>#N/A</v>
      </c>
      <c r="AD228" s="848" t="e">
        <f t="shared" si="176"/>
        <v>#N/A</v>
      </c>
      <c r="AE228" s="705" t="e">
        <f>IF(AND((Main!$E$9&gt;=18),(Main!$J$10="YES")),$Z$220+AD228,AD228)</f>
        <v>#N/A</v>
      </c>
      <c r="AK228" s="705">
        <v>15</v>
      </c>
      <c r="AL228" s="705">
        <v>41</v>
      </c>
      <c r="AM228" s="705">
        <v>0</v>
      </c>
      <c r="AN228" s="848">
        <v>9</v>
      </c>
      <c r="AO228" s="705">
        <f t="shared" si="198"/>
        <v>1147500</v>
      </c>
      <c r="AP228" s="848">
        <f t="shared" si="177"/>
        <v>2500000</v>
      </c>
      <c r="AQ228" s="848">
        <f t="shared" si="178"/>
        <v>3647500</v>
      </c>
      <c r="AR228" s="705">
        <f>AO228*40%</f>
        <v>459000</v>
      </c>
      <c r="AS228" s="705">
        <f t="shared" si="199"/>
        <v>1451025</v>
      </c>
      <c r="AT228" s="705">
        <f>ROUND(AS228*(65/100),-2)</f>
        <v>943200</v>
      </c>
      <c r="AW228" s="843">
        <v>9</v>
      </c>
      <c r="AX228" s="705">
        <f t="shared" si="179"/>
        <v>2500000</v>
      </c>
      <c r="AY228" s="705">
        <f t="shared" si="180"/>
        <v>2500000</v>
      </c>
      <c r="AZ228" s="843">
        <v>42</v>
      </c>
      <c r="BA228" s="705">
        <f t="shared" si="181"/>
        <v>945000</v>
      </c>
      <c r="BB228" s="843">
        <v>0</v>
      </c>
      <c r="BC228" s="705">
        <f t="shared" si="182"/>
        <v>3445000</v>
      </c>
      <c r="BD228" s="705">
        <f t="shared" si="183"/>
        <v>5945000</v>
      </c>
      <c r="BT228" s="705">
        <v>10</v>
      </c>
      <c r="BU228" s="705">
        <v>11</v>
      </c>
      <c r="BV228" s="843">
        <v>12</v>
      </c>
      <c r="BW228" s="843">
        <v>13</v>
      </c>
      <c r="BX228" s="843">
        <v>14</v>
      </c>
      <c r="BY228" s="843">
        <v>15</v>
      </c>
      <c r="BZ228" s="843">
        <v>16</v>
      </c>
      <c r="CA228" s="843">
        <v>17</v>
      </c>
      <c r="CB228" s="843">
        <v>18</v>
      </c>
      <c r="CC228" s="843">
        <v>19</v>
      </c>
      <c r="CD228" s="843">
        <v>20</v>
      </c>
    </row>
    <row r="229" spans="3:82">
      <c r="I229" s="824">
        <v>10</v>
      </c>
      <c r="J229" s="846">
        <f>K$14</f>
        <v>32.92</v>
      </c>
      <c r="K229" s="705">
        <f t="shared" si="184"/>
        <v>1000000</v>
      </c>
      <c r="L229" s="705">
        <f t="shared" si="185"/>
        <v>1025000</v>
      </c>
      <c r="M229" s="825">
        <f t="shared" si="186"/>
        <v>2025000</v>
      </c>
      <c r="N229" s="829">
        <f t="shared" si="187"/>
        <v>666630</v>
      </c>
      <c r="O229" s="1173">
        <f>AU$14</f>
        <v>0.55289999999999995</v>
      </c>
      <c r="P229" s="705" t="e">
        <f t="shared" si="188"/>
        <v>#N/A</v>
      </c>
      <c r="Q229" s="1173">
        <f>CF$14</f>
        <v>0.17030000000000001</v>
      </c>
      <c r="R229" s="705">
        <f t="shared" si="189"/>
        <v>174558</v>
      </c>
      <c r="S229" s="825" t="e">
        <f t="shared" si="190"/>
        <v>#N/A</v>
      </c>
      <c r="T229" s="825" t="e">
        <f t="shared" si="191"/>
        <v>#N/A</v>
      </c>
      <c r="U229" s="847" t="e">
        <f t="shared" si="192"/>
        <v>#N/A</v>
      </c>
      <c r="V229" s="684" t="e">
        <f t="shared" si="193"/>
        <v>#N/A</v>
      </c>
      <c r="W229" s="684" t="e">
        <f t="shared" si="194"/>
        <v>#N/A</v>
      </c>
      <c r="X229" s="824">
        <f>$B$52*125%</f>
        <v>3125000</v>
      </c>
      <c r="Y229" s="684" t="e">
        <f t="shared" si="195"/>
        <v>#N/A</v>
      </c>
      <c r="AA229" s="843">
        <v>0</v>
      </c>
      <c r="AB229" s="825" t="e">
        <f t="shared" si="196"/>
        <v>#N/A</v>
      </c>
      <c r="AC229" s="825" t="e">
        <f t="shared" si="197"/>
        <v>#N/A</v>
      </c>
      <c r="AD229" s="848" t="e">
        <f t="shared" si="176"/>
        <v>#N/A</v>
      </c>
      <c r="AE229" s="705" t="e">
        <f>IF(AND((Main!$E$9&gt;=18),(Main!$J$10="YES")),$Z$220+AD229,AD229)</f>
        <v>#N/A</v>
      </c>
      <c r="AK229" s="705">
        <v>16</v>
      </c>
      <c r="AL229" s="705">
        <v>46</v>
      </c>
      <c r="AM229" s="705">
        <v>0</v>
      </c>
      <c r="AN229" s="848">
        <v>10</v>
      </c>
      <c r="AO229" s="705">
        <f t="shared" si="198"/>
        <v>1275000</v>
      </c>
      <c r="AP229" s="848">
        <f t="shared" si="177"/>
        <v>2500000</v>
      </c>
      <c r="AQ229" s="848">
        <f t="shared" si="178"/>
        <v>3775000</v>
      </c>
      <c r="AR229" s="705">
        <f>AO229*40%</f>
        <v>510000</v>
      </c>
      <c r="AS229" s="705">
        <f t="shared" si="199"/>
        <v>1502025</v>
      </c>
      <c r="AT229" s="705">
        <f>ROUND(AS229*(65/100),-2)</f>
        <v>976300</v>
      </c>
      <c r="AW229" s="843">
        <v>10</v>
      </c>
      <c r="AX229" s="705">
        <f t="shared" si="179"/>
        <v>2500000</v>
      </c>
      <c r="AY229" s="705">
        <f t="shared" si="180"/>
        <v>2500000</v>
      </c>
      <c r="AZ229" s="843">
        <v>42</v>
      </c>
      <c r="BA229" s="705">
        <f t="shared" si="181"/>
        <v>1050000</v>
      </c>
      <c r="BB229" s="843">
        <v>0</v>
      </c>
      <c r="BC229" s="705">
        <f t="shared" si="182"/>
        <v>3550000</v>
      </c>
      <c r="BD229" s="705">
        <f t="shared" si="183"/>
        <v>6050000</v>
      </c>
      <c r="BT229" s="705" t="e">
        <f>-DAT!$AT$21</f>
        <v>#N/A</v>
      </c>
      <c r="BU229" s="705" t="e">
        <f>-DAT!$AT$21</f>
        <v>#N/A</v>
      </c>
      <c r="BV229" s="705" t="e">
        <f>-DAT!$AT$21</f>
        <v>#N/A</v>
      </c>
      <c r="BW229" s="705" t="e">
        <f>-DAT!$AT$21</f>
        <v>#N/A</v>
      </c>
      <c r="BX229" s="705" t="e">
        <f>-DAT!$AT$21</f>
        <v>#N/A</v>
      </c>
      <c r="BY229" s="705" t="e">
        <f>-DAT!$AT$21</f>
        <v>#N/A</v>
      </c>
      <c r="BZ229" s="705" t="e">
        <f>-DAT!$AT$21</f>
        <v>#N/A</v>
      </c>
      <c r="CA229" s="705" t="e">
        <f>-DAT!$AT$21</f>
        <v>#N/A</v>
      </c>
      <c r="CB229" s="705" t="e">
        <f>-DAT!$AT$21</f>
        <v>#N/A</v>
      </c>
      <c r="CC229" s="705" t="e">
        <f>-DAT!$AT$21</f>
        <v>#N/A</v>
      </c>
      <c r="CD229" s="705" t="e">
        <f>-DAT!$AT$21</f>
        <v>#N/A</v>
      </c>
    </row>
    <row r="230" spans="3:82">
      <c r="I230" s="824">
        <v>11</v>
      </c>
      <c r="J230" s="846">
        <f>L$14</f>
        <v>35.42</v>
      </c>
      <c r="K230" s="705">
        <f t="shared" si="184"/>
        <v>1100000</v>
      </c>
      <c r="L230" s="705">
        <f t="shared" si="185"/>
        <v>1127500</v>
      </c>
      <c r="M230" s="825">
        <f t="shared" si="186"/>
        <v>2227500</v>
      </c>
      <c r="N230" s="829">
        <f t="shared" si="187"/>
        <v>788981</v>
      </c>
      <c r="O230" s="1173">
        <f>AV$14</f>
        <v>0.5706</v>
      </c>
      <c r="P230" s="705" t="e">
        <f t="shared" si="188"/>
        <v>#N/A</v>
      </c>
      <c r="Q230" s="1173">
        <f>CG$14</f>
        <v>0.17580000000000001</v>
      </c>
      <c r="R230" s="705">
        <f t="shared" si="189"/>
        <v>198215</v>
      </c>
      <c r="S230" s="825" t="e">
        <f t="shared" si="190"/>
        <v>#N/A</v>
      </c>
      <c r="T230" s="825" t="e">
        <f t="shared" si="191"/>
        <v>#N/A</v>
      </c>
      <c r="U230" s="847" t="e">
        <f t="shared" si="192"/>
        <v>#N/A</v>
      </c>
      <c r="V230" s="684" t="e">
        <f t="shared" si="193"/>
        <v>#N/A</v>
      </c>
      <c r="W230" s="684" t="e">
        <f t="shared" si="194"/>
        <v>#N/A</v>
      </c>
      <c r="X230" s="824">
        <f>$B$52*150%</f>
        <v>3750000</v>
      </c>
      <c r="Y230" s="684" t="e">
        <f t="shared" si="195"/>
        <v>#N/A</v>
      </c>
      <c r="AA230" s="843">
        <v>0</v>
      </c>
      <c r="AB230" s="825" t="e">
        <f t="shared" si="196"/>
        <v>#N/A</v>
      </c>
      <c r="AC230" s="825" t="e">
        <f t="shared" si="197"/>
        <v>#N/A</v>
      </c>
      <c r="AD230" s="848" t="e">
        <f t="shared" si="176"/>
        <v>#N/A</v>
      </c>
      <c r="AE230" s="705" t="e">
        <f>IF(AND((Main!$E$9&gt;=18),(Main!$J$10="YES")),$Z$220+AD230,AD230)</f>
        <v>#N/A</v>
      </c>
      <c r="AK230" s="705">
        <v>17</v>
      </c>
      <c r="AL230" s="705">
        <v>46</v>
      </c>
      <c r="AM230" s="705">
        <v>0</v>
      </c>
      <c r="AN230" s="848">
        <v>11</v>
      </c>
      <c r="AO230" s="705">
        <f t="shared" si="198"/>
        <v>1402500</v>
      </c>
      <c r="AP230" s="848">
        <f t="shared" si="177"/>
        <v>2500000</v>
      </c>
      <c r="AQ230" s="848">
        <f t="shared" si="178"/>
        <v>3902500</v>
      </c>
      <c r="AR230" s="705">
        <f>AO230*40%</f>
        <v>561000</v>
      </c>
      <c r="AS230" s="705">
        <f t="shared" si="199"/>
        <v>1553025</v>
      </c>
      <c r="AT230" s="705">
        <f>ROUND(AS230*(80/100),-2)</f>
        <v>1242400</v>
      </c>
      <c r="AW230" s="843">
        <v>11</v>
      </c>
      <c r="AX230" s="705">
        <f t="shared" si="179"/>
        <v>2500000</v>
      </c>
      <c r="AY230" s="705">
        <f t="shared" si="180"/>
        <v>2500000</v>
      </c>
      <c r="AZ230" s="843">
        <v>44</v>
      </c>
      <c r="BA230" s="705">
        <f t="shared" si="181"/>
        <v>1210000</v>
      </c>
      <c r="BB230" s="843">
        <v>0</v>
      </c>
      <c r="BC230" s="705">
        <f t="shared" si="182"/>
        <v>3710000</v>
      </c>
      <c r="BD230" s="705">
        <f t="shared" si="183"/>
        <v>6210000</v>
      </c>
      <c r="BT230" s="705" t="e">
        <f>-DAT!$AY$21</f>
        <v>#N/A</v>
      </c>
      <c r="BU230" s="705" t="e">
        <f>-DAT!$AY$21</f>
        <v>#N/A</v>
      </c>
      <c r="BV230" s="705" t="e">
        <f>-DAT!$AY$21</f>
        <v>#N/A</v>
      </c>
      <c r="BW230" s="705" t="e">
        <f>-DAT!$AY$21</f>
        <v>#N/A</v>
      </c>
      <c r="BX230" s="705" t="e">
        <f>-DAT!$AY$21</f>
        <v>#N/A</v>
      </c>
      <c r="BY230" s="705" t="e">
        <f>-DAT!$AY$21</f>
        <v>#N/A</v>
      </c>
      <c r="BZ230" s="705" t="e">
        <f>-DAT!$AY$21</f>
        <v>#N/A</v>
      </c>
      <c r="CA230" s="705" t="e">
        <f>-DAT!$AY$21</f>
        <v>#N/A</v>
      </c>
      <c r="CB230" s="705" t="e">
        <f>-DAT!$AY$21</f>
        <v>#N/A</v>
      </c>
      <c r="CC230" s="705" t="e">
        <f>-DAT!$AY$21</f>
        <v>#N/A</v>
      </c>
      <c r="CD230" s="705" t="e">
        <f>-DAT!$AY$21</f>
        <v>#N/A</v>
      </c>
    </row>
    <row r="231" spans="3:82">
      <c r="I231" s="843">
        <v>12</v>
      </c>
      <c r="J231" s="846">
        <f>M$14</f>
        <v>38.1</v>
      </c>
      <c r="K231" s="705">
        <f t="shared" si="184"/>
        <v>1200000</v>
      </c>
      <c r="L231" s="705">
        <f t="shared" si="185"/>
        <v>1230000</v>
      </c>
      <c r="M231" s="825">
        <f t="shared" si="186"/>
        <v>2430000</v>
      </c>
      <c r="N231" s="829">
        <f t="shared" si="187"/>
        <v>925830</v>
      </c>
      <c r="O231" s="1173">
        <f>AW$14</f>
        <v>0.58819999999999995</v>
      </c>
      <c r="P231" s="705" t="e">
        <f t="shared" si="188"/>
        <v>#N/A</v>
      </c>
      <c r="Q231" s="1173">
        <f>CH$14</f>
        <v>0.17580000000000001</v>
      </c>
      <c r="R231" s="705">
        <f t="shared" si="189"/>
        <v>216234</v>
      </c>
      <c r="S231" s="825" t="e">
        <f t="shared" si="190"/>
        <v>#N/A</v>
      </c>
      <c r="T231" s="825" t="e">
        <f t="shared" si="191"/>
        <v>#N/A</v>
      </c>
      <c r="U231" s="847" t="e">
        <f t="shared" si="192"/>
        <v>#N/A</v>
      </c>
      <c r="V231" s="684" t="e">
        <f t="shared" si="193"/>
        <v>#N/A</v>
      </c>
      <c r="W231" s="684" t="e">
        <f t="shared" si="194"/>
        <v>#N/A</v>
      </c>
      <c r="X231" s="824">
        <f>$B$52*150%</f>
        <v>3750000</v>
      </c>
      <c r="Y231" s="684" t="e">
        <f t="shared" si="195"/>
        <v>#N/A</v>
      </c>
      <c r="AA231" s="843">
        <v>0</v>
      </c>
      <c r="AB231" s="825" t="e">
        <f t="shared" si="196"/>
        <v>#N/A</v>
      </c>
      <c r="AC231" s="825" t="e">
        <f t="shared" si="197"/>
        <v>#N/A</v>
      </c>
      <c r="AD231" s="848" t="e">
        <f t="shared" si="176"/>
        <v>#N/A</v>
      </c>
      <c r="AE231" s="705" t="e">
        <f>IF(AND((Main!$E$9&gt;=18),(Main!$J$10="YES")),$Z$220+AD231,AD231)</f>
        <v>#N/A</v>
      </c>
      <c r="AK231" s="705">
        <v>18</v>
      </c>
      <c r="AL231" s="705">
        <v>46</v>
      </c>
      <c r="AM231" s="705">
        <v>0</v>
      </c>
      <c r="AN231" s="848">
        <v>12</v>
      </c>
      <c r="AO231" s="705">
        <f t="shared" si="198"/>
        <v>1530000</v>
      </c>
      <c r="AP231" s="848">
        <f t="shared" si="177"/>
        <v>2500000</v>
      </c>
      <c r="AQ231" s="848">
        <f t="shared" si="178"/>
        <v>4030000</v>
      </c>
      <c r="AR231" s="705">
        <f t="shared" ref="AR231:AR240" si="200">AO231*45%</f>
        <v>688500</v>
      </c>
      <c r="AS231" s="705">
        <f t="shared" si="199"/>
        <v>1680525</v>
      </c>
      <c r="AT231" s="705">
        <f t="shared" ref="AT231:AT244" si="201">ROUND(AS231*(90/100),-2)</f>
        <v>1512500</v>
      </c>
      <c r="AW231" s="843">
        <v>12</v>
      </c>
      <c r="AX231" s="705">
        <f t="shared" si="179"/>
        <v>2500000</v>
      </c>
      <c r="AY231" s="705">
        <f t="shared" si="180"/>
        <v>2500000</v>
      </c>
      <c r="AZ231" s="843">
        <v>44</v>
      </c>
      <c r="BA231" s="705">
        <f t="shared" si="181"/>
        <v>1320000</v>
      </c>
      <c r="BB231" s="843">
        <v>0</v>
      </c>
      <c r="BC231" s="705">
        <f t="shared" si="182"/>
        <v>3820000</v>
      </c>
      <c r="BD231" s="705">
        <f t="shared" si="183"/>
        <v>6320000</v>
      </c>
      <c r="BT231" s="705" t="e">
        <f>-DAT!$AY$21</f>
        <v>#N/A</v>
      </c>
      <c r="BU231" s="705" t="e">
        <f>-DAT!$AY$21</f>
        <v>#N/A</v>
      </c>
      <c r="BV231" s="705" t="e">
        <f>-DAT!$AY$21</f>
        <v>#N/A</v>
      </c>
      <c r="BW231" s="705" t="e">
        <f>-DAT!$AY$21</f>
        <v>#N/A</v>
      </c>
      <c r="BX231" s="705" t="e">
        <f>-DAT!$AY$21</f>
        <v>#N/A</v>
      </c>
      <c r="BY231" s="705" t="e">
        <f>-DAT!$AY$21</f>
        <v>#N/A</v>
      </c>
      <c r="BZ231" s="705" t="e">
        <f>-DAT!$AY$21</f>
        <v>#N/A</v>
      </c>
      <c r="CA231" s="705" t="e">
        <f>-DAT!$AY$21</f>
        <v>#N/A</v>
      </c>
      <c r="CB231" s="705" t="e">
        <f>-DAT!$AY$21</f>
        <v>#N/A</v>
      </c>
      <c r="CC231" s="705" t="e">
        <f>-DAT!$AY$21</f>
        <v>#N/A</v>
      </c>
      <c r="CD231" s="705" t="e">
        <f>-DAT!$AY$21</f>
        <v>#N/A</v>
      </c>
    </row>
    <row r="232" spans="3:82">
      <c r="I232" s="843">
        <v>13</v>
      </c>
      <c r="J232" s="846">
        <f>N$14</f>
        <v>40.98</v>
      </c>
      <c r="K232" s="705">
        <f t="shared" si="184"/>
        <v>1300000</v>
      </c>
      <c r="L232" s="705">
        <f t="shared" si="185"/>
        <v>1332500</v>
      </c>
      <c r="M232" s="825">
        <f t="shared" si="186"/>
        <v>2632500</v>
      </c>
      <c r="N232" s="829">
        <f t="shared" si="187"/>
        <v>1078799</v>
      </c>
      <c r="O232" s="1173">
        <f>AX$14</f>
        <v>0.60589999999999999</v>
      </c>
      <c r="P232" s="705" t="e">
        <f t="shared" si="188"/>
        <v>#N/A</v>
      </c>
      <c r="Q232" s="1173">
        <f>CI$14</f>
        <v>0.17660000000000001</v>
      </c>
      <c r="R232" s="705">
        <f t="shared" si="189"/>
        <v>235320</v>
      </c>
      <c r="S232" s="825" t="e">
        <f t="shared" si="190"/>
        <v>#N/A</v>
      </c>
      <c r="T232" s="825" t="e">
        <f t="shared" si="191"/>
        <v>#N/A</v>
      </c>
      <c r="U232" s="847" t="e">
        <f t="shared" si="192"/>
        <v>#N/A</v>
      </c>
      <c r="V232" s="684" t="e">
        <f t="shared" si="193"/>
        <v>#N/A</v>
      </c>
      <c r="W232" s="684" t="e">
        <f t="shared" si="194"/>
        <v>#N/A</v>
      </c>
      <c r="X232" s="824">
        <f>$B$52*150%</f>
        <v>3750000</v>
      </c>
      <c r="Y232" s="684" t="e">
        <f t="shared" si="195"/>
        <v>#N/A</v>
      </c>
      <c r="AA232" s="843">
        <v>0</v>
      </c>
      <c r="AB232" s="825" t="e">
        <f t="shared" si="196"/>
        <v>#N/A</v>
      </c>
      <c r="AC232" s="825" t="e">
        <f t="shared" si="197"/>
        <v>#N/A</v>
      </c>
      <c r="AD232" s="848" t="e">
        <f t="shared" si="176"/>
        <v>#N/A</v>
      </c>
      <c r="AE232" s="705" t="e">
        <f>IF(AND((Main!$E$9&gt;=18),(Main!$J$10="YES")),$Z$220+AD232,AD232)</f>
        <v>#N/A</v>
      </c>
      <c r="AK232" s="705">
        <v>19</v>
      </c>
      <c r="AL232" s="705">
        <v>46</v>
      </c>
      <c r="AM232" s="705">
        <v>0</v>
      </c>
      <c r="AN232" s="848">
        <v>13</v>
      </c>
      <c r="AO232" s="705">
        <f t="shared" si="198"/>
        <v>1657500</v>
      </c>
      <c r="AP232" s="848">
        <f t="shared" si="177"/>
        <v>2500000</v>
      </c>
      <c r="AQ232" s="848">
        <f t="shared" si="178"/>
        <v>4157500</v>
      </c>
      <c r="AR232" s="705">
        <f t="shared" si="200"/>
        <v>745875</v>
      </c>
      <c r="AS232" s="705">
        <f t="shared" si="199"/>
        <v>1737900</v>
      </c>
      <c r="AT232" s="705">
        <f t="shared" si="201"/>
        <v>1564100</v>
      </c>
      <c r="AW232" s="843">
        <v>13</v>
      </c>
      <c r="AX232" s="705">
        <f t="shared" si="179"/>
        <v>2500000</v>
      </c>
      <c r="AY232" s="705">
        <f t="shared" si="180"/>
        <v>2500000</v>
      </c>
      <c r="AZ232" s="843">
        <v>44</v>
      </c>
      <c r="BA232" s="705">
        <f t="shared" si="181"/>
        <v>1430000</v>
      </c>
      <c r="BB232" s="843">
        <v>0</v>
      </c>
      <c r="BC232" s="705">
        <f t="shared" si="182"/>
        <v>3930000</v>
      </c>
      <c r="BD232" s="705">
        <f t="shared" si="183"/>
        <v>6430000</v>
      </c>
      <c r="BT232" s="705" t="e">
        <f>-DAT!$AY$21</f>
        <v>#N/A</v>
      </c>
      <c r="BU232" s="705" t="e">
        <f>-DAT!$AY$21</f>
        <v>#N/A</v>
      </c>
      <c r="BV232" s="705" t="e">
        <f>-DAT!$AY$21</f>
        <v>#N/A</v>
      </c>
      <c r="BW232" s="705" t="e">
        <f>-DAT!$AY$21</f>
        <v>#N/A</v>
      </c>
      <c r="BX232" s="705" t="e">
        <f>-DAT!$AY$21</f>
        <v>#N/A</v>
      </c>
      <c r="BY232" s="705" t="e">
        <f>-DAT!$AY$21</f>
        <v>#N/A</v>
      </c>
      <c r="BZ232" s="705" t="e">
        <f>-DAT!$AY$21</f>
        <v>#N/A</v>
      </c>
      <c r="CA232" s="705" t="e">
        <f>-DAT!$AY$21</f>
        <v>#N/A</v>
      </c>
      <c r="CB232" s="705" t="e">
        <f>-DAT!$AY$21</f>
        <v>#N/A</v>
      </c>
      <c r="CC232" s="705" t="e">
        <f>-DAT!$AY$21</f>
        <v>#N/A</v>
      </c>
      <c r="CD232" s="705" t="e">
        <f>-DAT!$AY$21</f>
        <v>#N/A</v>
      </c>
    </row>
    <row r="233" spans="3:82">
      <c r="I233" s="843">
        <v>14</v>
      </c>
      <c r="J233" s="846">
        <f>O$14</f>
        <v>44.09</v>
      </c>
      <c r="K233" s="705">
        <f t="shared" si="184"/>
        <v>1400000</v>
      </c>
      <c r="L233" s="705">
        <f t="shared" si="185"/>
        <v>1435000</v>
      </c>
      <c r="M233" s="825">
        <f t="shared" si="186"/>
        <v>2835000</v>
      </c>
      <c r="N233" s="829">
        <f t="shared" si="187"/>
        <v>1249952</v>
      </c>
      <c r="O233" s="1173">
        <f>AY$14</f>
        <v>0.62350000000000005</v>
      </c>
      <c r="P233" s="705" t="e">
        <f t="shared" si="188"/>
        <v>#N/A</v>
      </c>
      <c r="Q233" s="1173">
        <f>CJ$14</f>
        <v>0.17849999999999999</v>
      </c>
      <c r="R233" s="705">
        <f t="shared" si="189"/>
        <v>256148</v>
      </c>
      <c r="S233" s="825" t="e">
        <f t="shared" si="190"/>
        <v>#N/A</v>
      </c>
      <c r="T233" s="825" t="e">
        <f t="shared" si="191"/>
        <v>#N/A</v>
      </c>
      <c r="U233" s="847" t="e">
        <f t="shared" si="192"/>
        <v>#N/A</v>
      </c>
      <c r="V233" s="684" t="e">
        <f t="shared" si="193"/>
        <v>#N/A</v>
      </c>
      <c r="W233" s="684" t="e">
        <f t="shared" si="194"/>
        <v>#N/A</v>
      </c>
      <c r="X233" s="824">
        <f>$B$52*150%</f>
        <v>3750000</v>
      </c>
      <c r="Y233" s="684" t="e">
        <f t="shared" si="195"/>
        <v>#N/A</v>
      </c>
      <c r="AA233" s="843">
        <v>0</v>
      </c>
      <c r="AB233" s="825" t="e">
        <f t="shared" si="196"/>
        <v>#N/A</v>
      </c>
      <c r="AC233" s="825" t="e">
        <f t="shared" si="197"/>
        <v>#N/A</v>
      </c>
      <c r="AD233" s="848" t="e">
        <f t="shared" si="176"/>
        <v>#N/A</v>
      </c>
      <c r="AE233" s="705" t="e">
        <f>IF(AND((Main!$E$9&gt;=18),(Main!$J$10="YES")),$Z$220+AD233,AD233)</f>
        <v>#N/A</v>
      </c>
      <c r="AK233" s="705">
        <v>20</v>
      </c>
      <c r="AL233" s="705">
        <v>46</v>
      </c>
      <c r="AM233" s="705">
        <v>0</v>
      </c>
      <c r="AN233" s="848">
        <v>14</v>
      </c>
      <c r="AO233" s="705">
        <f t="shared" si="198"/>
        <v>1785000</v>
      </c>
      <c r="AP233" s="848">
        <f t="shared" si="177"/>
        <v>2500000</v>
      </c>
      <c r="AQ233" s="848">
        <f t="shared" si="178"/>
        <v>4285000</v>
      </c>
      <c r="AR233" s="705">
        <f t="shared" si="200"/>
        <v>803250</v>
      </c>
      <c r="AS233" s="705">
        <f t="shared" si="199"/>
        <v>1795275</v>
      </c>
      <c r="AT233" s="705">
        <f t="shared" si="201"/>
        <v>1615700</v>
      </c>
      <c r="AW233" s="843">
        <v>14</v>
      </c>
      <c r="AX233" s="705">
        <f t="shared" si="179"/>
        <v>2500000</v>
      </c>
      <c r="AY233" s="705">
        <f t="shared" si="180"/>
        <v>2500000</v>
      </c>
      <c r="AZ233" s="843">
        <v>44</v>
      </c>
      <c r="BA233" s="705">
        <f t="shared" si="181"/>
        <v>1540000</v>
      </c>
      <c r="BB233" s="843">
        <v>0</v>
      </c>
      <c r="BC233" s="705">
        <f t="shared" si="182"/>
        <v>4040000</v>
      </c>
      <c r="BD233" s="705">
        <f t="shared" si="183"/>
        <v>6540000</v>
      </c>
      <c r="BT233" s="705" t="e">
        <f>-DAT!$AY$21</f>
        <v>#N/A</v>
      </c>
      <c r="BU233" s="705" t="e">
        <f>-DAT!$AY$21</f>
        <v>#N/A</v>
      </c>
      <c r="BV233" s="705" t="e">
        <f>-DAT!$AY$21</f>
        <v>#N/A</v>
      </c>
      <c r="BW233" s="705" t="e">
        <f>-DAT!$AY$21</f>
        <v>#N/A</v>
      </c>
      <c r="BX233" s="705" t="e">
        <f>-DAT!$AY$21</f>
        <v>#N/A</v>
      </c>
      <c r="BY233" s="705" t="e">
        <f>-DAT!$AY$21</f>
        <v>#N/A</v>
      </c>
      <c r="BZ233" s="705" t="e">
        <f>-DAT!$AY$21</f>
        <v>#N/A</v>
      </c>
      <c r="CA233" s="705" t="e">
        <f>-DAT!$AY$21</f>
        <v>#N/A</v>
      </c>
      <c r="CB233" s="705" t="e">
        <f>-DAT!$AY$21</f>
        <v>#N/A</v>
      </c>
      <c r="CC233" s="705" t="e">
        <f>-DAT!$AY$21</f>
        <v>#N/A</v>
      </c>
      <c r="CD233" s="705" t="e">
        <f>-DAT!$AY$21</f>
        <v>#N/A</v>
      </c>
    </row>
    <row r="234" spans="3:82">
      <c r="I234" s="843">
        <v>15</v>
      </c>
      <c r="J234" s="846">
        <f>P$14</f>
        <v>47.43</v>
      </c>
      <c r="K234" s="705">
        <f t="shared" si="184"/>
        <v>1500000</v>
      </c>
      <c r="L234" s="705">
        <f t="shared" si="185"/>
        <v>1537500</v>
      </c>
      <c r="M234" s="825">
        <f t="shared" si="186"/>
        <v>3037500</v>
      </c>
      <c r="N234" s="829">
        <f t="shared" si="187"/>
        <v>1440686</v>
      </c>
      <c r="O234" s="1173">
        <f>AZ$14</f>
        <v>0.64119999999999999</v>
      </c>
      <c r="P234" s="705" t="e">
        <f t="shared" si="188"/>
        <v>#N/A</v>
      </c>
      <c r="Q234" s="1173">
        <f>CK$14</f>
        <v>0.18160000000000001</v>
      </c>
      <c r="R234" s="705">
        <f t="shared" si="189"/>
        <v>279210</v>
      </c>
      <c r="S234" s="825" t="e">
        <f t="shared" si="190"/>
        <v>#N/A</v>
      </c>
      <c r="T234" s="825" t="e">
        <f t="shared" si="191"/>
        <v>#N/A</v>
      </c>
      <c r="U234" s="847" t="e">
        <f t="shared" si="192"/>
        <v>#N/A</v>
      </c>
      <c r="V234" s="684" t="e">
        <f t="shared" si="193"/>
        <v>#N/A</v>
      </c>
      <c r="W234" s="684" t="e">
        <f t="shared" si="194"/>
        <v>#N/A</v>
      </c>
      <c r="X234" s="824">
        <f>$B$52*150%</f>
        <v>3750000</v>
      </c>
      <c r="Y234" s="684" t="e">
        <f t="shared" si="195"/>
        <v>#N/A</v>
      </c>
      <c r="AA234" s="705">
        <f>C$43*X234/1000</f>
        <v>75000</v>
      </c>
      <c r="AB234" s="825" t="e">
        <f t="shared" si="196"/>
        <v>#N/A</v>
      </c>
      <c r="AC234" s="825" t="e">
        <f t="shared" si="197"/>
        <v>#N/A</v>
      </c>
      <c r="AD234" s="848" t="e">
        <f t="shared" si="176"/>
        <v>#N/A</v>
      </c>
      <c r="AE234" s="705" t="e">
        <f>IF(AND((Main!$E$9&gt;=18),(Main!$J$10="YES")),$Z$220+AD234,AD234)</f>
        <v>#N/A</v>
      </c>
      <c r="AK234" s="705">
        <v>21</v>
      </c>
      <c r="AL234" s="705">
        <v>51</v>
      </c>
      <c r="AM234" s="705">
        <f>C$43*AP234/1000</f>
        <v>50000</v>
      </c>
      <c r="AN234" s="848">
        <v>15</v>
      </c>
      <c r="AO234" s="705">
        <f t="shared" si="198"/>
        <v>1912500</v>
      </c>
      <c r="AP234" s="848">
        <f t="shared" si="177"/>
        <v>2500000</v>
      </c>
      <c r="AQ234" s="848">
        <f t="shared" ref="AQ234:AQ244" si="202">AP234+AO234+AM234</f>
        <v>4462500</v>
      </c>
      <c r="AR234" s="705">
        <f t="shared" si="200"/>
        <v>860625</v>
      </c>
      <c r="AS234" s="705">
        <f t="shared" si="199"/>
        <v>1852650</v>
      </c>
      <c r="AT234" s="705">
        <f t="shared" si="201"/>
        <v>1667400</v>
      </c>
      <c r="AW234" s="843">
        <v>15</v>
      </c>
      <c r="AX234" s="705">
        <f t="shared" si="179"/>
        <v>2500000</v>
      </c>
      <c r="AY234" s="705">
        <f t="shared" si="180"/>
        <v>2500000</v>
      </c>
      <c r="AZ234" s="843">
        <v>44</v>
      </c>
      <c r="BA234" s="705">
        <f t="shared" si="181"/>
        <v>1650000</v>
      </c>
      <c r="BB234" s="705">
        <f>C$43*AX234/1000</f>
        <v>50000</v>
      </c>
      <c r="BC234" s="705">
        <f t="shared" si="182"/>
        <v>4200000</v>
      </c>
      <c r="BD234" s="705">
        <f t="shared" si="183"/>
        <v>6700000</v>
      </c>
      <c r="BT234" s="705" t="e">
        <f>-DAT!$AY$21</f>
        <v>#N/A</v>
      </c>
      <c r="BU234" s="705" t="e">
        <f>-DAT!$AY$21</f>
        <v>#N/A</v>
      </c>
      <c r="BV234" s="705" t="e">
        <f>-DAT!$AY$21</f>
        <v>#N/A</v>
      </c>
      <c r="BW234" s="705" t="e">
        <f>-DAT!$AY$21</f>
        <v>#N/A</v>
      </c>
      <c r="BX234" s="705" t="e">
        <f>-DAT!$AY$21</f>
        <v>#N/A</v>
      </c>
      <c r="BY234" s="705" t="e">
        <f>-DAT!$AY$21</f>
        <v>#N/A</v>
      </c>
      <c r="BZ234" s="705" t="e">
        <f>-DAT!$AY$21</f>
        <v>#N/A</v>
      </c>
      <c r="CA234" s="705" t="e">
        <f>-DAT!$AY$21</f>
        <v>#N/A</v>
      </c>
      <c r="CB234" s="705" t="e">
        <f>-DAT!$AY$21</f>
        <v>#N/A</v>
      </c>
      <c r="CC234" s="705" t="e">
        <f>-DAT!$AY$21</f>
        <v>#N/A</v>
      </c>
      <c r="CD234" s="705" t="e">
        <f>-DAT!$AY$21</f>
        <v>#N/A</v>
      </c>
    </row>
    <row r="235" spans="3:82">
      <c r="I235" s="843">
        <v>16</v>
      </c>
      <c r="J235" s="846">
        <f>Q$14</f>
        <v>50.25</v>
      </c>
      <c r="K235" s="705">
        <f t="shared" si="184"/>
        <v>1600000</v>
      </c>
      <c r="L235" s="705">
        <f t="shared" si="185"/>
        <v>1640000</v>
      </c>
      <c r="M235" s="825">
        <f t="shared" si="186"/>
        <v>3240000</v>
      </c>
      <c r="N235" s="829">
        <f t="shared" si="187"/>
        <v>1628100</v>
      </c>
      <c r="O235" s="1173">
        <f>BA$14</f>
        <v>0.65880000000000005</v>
      </c>
      <c r="P235" s="705" t="e">
        <f t="shared" si="188"/>
        <v>#N/A</v>
      </c>
      <c r="Q235" s="1173">
        <f>CL$14</f>
        <v>0.186</v>
      </c>
      <c r="R235" s="705">
        <f t="shared" si="189"/>
        <v>305040</v>
      </c>
      <c r="S235" s="825" t="e">
        <f t="shared" si="190"/>
        <v>#N/A</v>
      </c>
      <c r="T235" s="825" t="e">
        <f t="shared" si="191"/>
        <v>#N/A</v>
      </c>
      <c r="U235" s="847" t="e">
        <f t="shared" si="192"/>
        <v>#N/A</v>
      </c>
      <c r="V235" s="684" t="e">
        <f t="shared" si="193"/>
        <v>#N/A</v>
      </c>
      <c r="W235" s="684" t="e">
        <f t="shared" si="194"/>
        <v>#N/A</v>
      </c>
      <c r="X235" s="824">
        <f>$B$52*200%</f>
        <v>5000000</v>
      </c>
      <c r="Y235" s="684" t="e">
        <f t="shared" si="195"/>
        <v>#N/A</v>
      </c>
      <c r="AA235" s="705">
        <f>D$43*X235/1000</f>
        <v>125000</v>
      </c>
      <c r="AB235" s="825" t="e">
        <f t="shared" si="196"/>
        <v>#N/A</v>
      </c>
      <c r="AC235" s="825" t="e">
        <f t="shared" si="197"/>
        <v>#N/A</v>
      </c>
      <c r="AD235" s="848" t="e">
        <f t="shared" si="176"/>
        <v>#N/A</v>
      </c>
      <c r="AE235" s="705" t="e">
        <f>IF(AND((Main!$E$9&gt;=18),(Main!$J$10="YES")),$Z$220+AD235,AD235)</f>
        <v>#N/A</v>
      </c>
      <c r="AK235" s="705">
        <v>22</v>
      </c>
      <c r="AL235" s="705">
        <v>51</v>
      </c>
      <c r="AM235" s="705">
        <f>D$43*AP235/1000</f>
        <v>62500</v>
      </c>
      <c r="AN235" s="848">
        <v>16</v>
      </c>
      <c r="AO235" s="705">
        <f t="shared" si="198"/>
        <v>2040000</v>
      </c>
      <c r="AP235" s="848">
        <f t="shared" si="177"/>
        <v>2500000</v>
      </c>
      <c r="AQ235" s="848">
        <f t="shared" si="202"/>
        <v>4602500</v>
      </c>
      <c r="AR235" s="705">
        <f t="shared" si="200"/>
        <v>918000</v>
      </c>
      <c r="AS235" s="705">
        <f t="shared" si="199"/>
        <v>1910025</v>
      </c>
      <c r="AT235" s="705">
        <f t="shared" si="201"/>
        <v>1719000</v>
      </c>
      <c r="AW235" s="843">
        <v>16</v>
      </c>
      <c r="AX235" s="705">
        <f t="shared" si="179"/>
        <v>2500000</v>
      </c>
      <c r="AY235" s="705">
        <f t="shared" si="180"/>
        <v>2500000</v>
      </c>
      <c r="AZ235" s="843">
        <v>46</v>
      </c>
      <c r="BA235" s="705">
        <f t="shared" si="181"/>
        <v>1840000</v>
      </c>
      <c r="BB235" s="705">
        <f>D$43*AX235/1000</f>
        <v>62500</v>
      </c>
      <c r="BC235" s="705">
        <f t="shared" si="182"/>
        <v>4402500</v>
      </c>
      <c r="BD235" s="705">
        <f t="shared" si="183"/>
        <v>6902500</v>
      </c>
      <c r="BT235" s="705" t="e">
        <f>-DAT!$AY$21</f>
        <v>#N/A</v>
      </c>
      <c r="BU235" s="705" t="e">
        <f>-DAT!$AY$21</f>
        <v>#N/A</v>
      </c>
      <c r="BV235" s="705" t="e">
        <f>-DAT!$AY$21</f>
        <v>#N/A</v>
      </c>
      <c r="BW235" s="705" t="e">
        <f>-DAT!$AY$21</f>
        <v>#N/A</v>
      </c>
      <c r="BX235" s="705" t="e">
        <f>-DAT!$AY$21</f>
        <v>#N/A</v>
      </c>
      <c r="BY235" s="705" t="e">
        <f>-DAT!$AY$21</f>
        <v>#N/A</v>
      </c>
      <c r="BZ235" s="705" t="e">
        <f>-DAT!$AY$21</f>
        <v>#N/A</v>
      </c>
      <c r="CA235" s="705" t="e">
        <f>-DAT!$AY$21</f>
        <v>#N/A</v>
      </c>
      <c r="CB235" s="705" t="e">
        <f>-DAT!$AY$21</f>
        <v>#N/A</v>
      </c>
      <c r="CC235" s="705" t="e">
        <f>-DAT!$AY$21</f>
        <v>#N/A</v>
      </c>
      <c r="CD235" s="705" t="e">
        <f>-DAT!$AY$21</f>
        <v>#N/A</v>
      </c>
    </row>
    <row r="236" spans="3:82">
      <c r="I236" s="843">
        <v>17</v>
      </c>
      <c r="J236" s="846">
        <f>R$14</f>
        <v>53.4</v>
      </c>
      <c r="K236" s="705">
        <f t="shared" si="184"/>
        <v>1700000</v>
      </c>
      <c r="L236" s="705">
        <f t="shared" si="185"/>
        <v>1742500</v>
      </c>
      <c r="M236" s="825">
        <f t="shared" si="186"/>
        <v>3442500</v>
      </c>
      <c r="N236" s="829">
        <f t="shared" si="187"/>
        <v>1838295</v>
      </c>
      <c r="O236" s="1173">
        <f>BB$14</f>
        <v>0.67649999999999999</v>
      </c>
      <c r="P236" s="705" t="e">
        <f t="shared" si="188"/>
        <v>#N/A</v>
      </c>
      <c r="Q236" s="1173">
        <f>CM$14</f>
        <v>0.1918</v>
      </c>
      <c r="R236" s="705">
        <f t="shared" si="189"/>
        <v>334212</v>
      </c>
      <c r="S236" s="825" t="e">
        <f t="shared" si="190"/>
        <v>#N/A</v>
      </c>
      <c r="T236" s="825" t="e">
        <f t="shared" si="191"/>
        <v>#N/A</v>
      </c>
      <c r="U236" s="847" t="e">
        <f t="shared" si="192"/>
        <v>#N/A</v>
      </c>
      <c r="V236" s="684" t="e">
        <f t="shared" si="193"/>
        <v>#N/A</v>
      </c>
      <c r="W236" s="684" t="e">
        <f t="shared" si="194"/>
        <v>#N/A</v>
      </c>
      <c r="X236" s="824">
        <f>$B$52*200%</f>
        <v>5000000</v>
      </c>
      <c r="Y236" s="684" t="e">
        <f t="shared" si="195"/>
        <v>#N/A</v>
      </c>
      <c r="AA236" s="705">
        <f>E$43*X236/1000</f>
        <v>150000</v>
      </c>
      <c r="AB236" s="825" t="e">
        <f t="shared" si="196"/>
        <v>#N/A</v>
      </c>
      <c r="AC236" s="825" t="e">
        <f t="shared" si="197"/>
        <v>#N/A</v>
      </c>
      <c r="AD236" s="848" t="e">
        <f t="shared" si="176"/>
        <v>#N/A</v>
      </c>
      <c r="AE236" s="705" t="e">
        <f>IF(AND((Main!$E$9&gt;=18),(Main!$J$10="YES")),$Z$220+AD236,AD236)</f>
        <v>#N/A</v>
      </c>
      <c r="AK236" s="705">
        <v>23</v>
      </c>
      <c r="AL236" s="705">
        <v>51</v>
      </c>
      <c r="AM236" s="705">
        <f>E$43*AP236/1000</f>
        <v>75000</v>
      </c>
      <c r="AN236" s="848">
        <v>17</v>
      </c>
      <c r="AO236" s="705">
        <f t="shared" si="198"/>
        <v>2167500</v>
      </c>
      <c r="AP236" s="848">
        <f t="shared" si="177"/>
        <v>2500000</v>
      </c>
      <c r="AQ236" s="848">
        <f t="shared" si="202"/>
        <v>4742500</v>
      </c>
      <c r="AR236" s="705">
        <f t="shared" si="200"/>
        <v>975375</v>
      </c>
      <c r="AS236" s="705">
        <f t="shared" si="199"/>
        <v>1967400</v>
      </c>
      <c r="AT236" s="705">
        <f t="shared" si="201"/>
        <v>1770700</v>
      </c>
      <c r="AW236" s="843">
        <v>17</v>
      </c>
      <c r="AX236" s="705">
        <f t="shared" si="179"/>
        <v>2500000</v>
      </c>
      <c r="AY236" s="705">
        <f t="shared" si="180"/>
        <v>2500000</v>
      </c>
      <c r="AZ236" s="843">
        <v>46</v>
      </c>
      <c r="BA236" s="705">
        <f t="shared" si="181"/>
        <v>1955000</v>
      </c>
      <c r="BB236" s="705">
        <f>E$43*AX236/1000</f>
        <v>75000</v>
      </c>
      <c r="BC236" s="705">
        <f t="shared" si="182"/>
        <v>4530000</v>
      </c>
      <c r="BD236" s="705">
        <f t="shared" si="183"/>
        <v>7030000</v>
      </c>
      <c r="BT236" s="705" t="e">
        <f>-DAT!$AY$21</f>
        <v>#N/A</v>
      </c>
      <c r="BU236" s="705" t="e">
        <f>-DAT!$AY$21</f>
        <v>#N/A</v>
      </c>
      <c r="BV236" s="705" t="e">
        <f>-DAT!$AY$21</f>
        <v>#N/A</v>
      </c>
      <c r="BW236" s="705" t="e">
        <f>-DAT!$AY$21</f>
        <v>#N/A</v>
      </c>
      <c r="BX236" s="705" t="e">
        <f>-DAT!$AY$21</f>
        <v>#N/A</v>
      </c>
      <c r="BY236" s="705" t="e">
        <f>-DAT!$AY$21</f>
        <v>#N/A</v>
      </c>
      <c r="BZ236" s="705" t="e">
        <f>-DAT!$AY$21</f>
        <v>#N/A</v>
      </c>
      <c r="CA236" s="705" t="e">
        <f>-DAT!$AY$21</f>
        <v>#N/A</v>
      </c>
      <c r="CB236" s="705" t="e">
        <f>-DAT!$AY$21</f>
        <v>#N/A</v>
      </c>
      <c r="CC236" s="705" t="e">
        <f>-DAT!$AY$21</f>
        <v>#N/A</v>
      </c>
      <c r="CD236" s="705" t="e">
        <f>-DAT!$AY$21</f>
        <v>#N/A</v>
      </c>
    </row>
    <row r="237" spans="3:82">
      <c r="I237" s="843">
        <v>18</v>
      </c>
      <c r="J237" s="846">
        <f>S$14</f>
        <v>56.95</v>
      </c>
      <c r="K237" s="705">
        <f t="shared" si="184"/>
        <v>1800000</v>
      </c>
      <c r="L237" s="705">
        <f t="shared" si="185"/>
        <v>1845000</v>
      </c>
      <c r="M237" s="825">
        <f t="shared" si="186"/>
        <v>3645000</v>
      </c>
      <c r="N237" s="829">
        <f t="shared" si="187"/>
        <v>2075828</v>
      </c>
      <c r="O237" s="1173">
        <f>BC$14</f>
        <v>0.69410000000000005</v>
      </c>
      <c r="P237" s="705" t="e">
        <f t="shared" si="188"/>
        <v>#N/A</v>
      </c>
      <c r="Q237" s="1173">
        <f>CN$14</f>
        <v>0.1993</v>
      </c>
      <c r="R237" s="705">
        <f t="shared" si="189"/>
        <v>367709</v>
      </c>
      <c r="S237" s="825" t="e">
        <f t="shared" si="190"/>
        <v>#N/A</v>
      </c>
      <c r="T237" s="825" t="e">
        <f t="shared" si="191"/>
        <v>#N/A</v>
      </c>
      <c r="U237" s="847" t="e">
        <f t="shared" si="192"/>
        <v>#N/A</v>
      </c>
      <c r="V237" s="684" t="e">
        <f t="shared" si="193"/>
        <v>#N/A</v>
      </c>
      <c r="W237" s="684" t="e">
        <f t="shared" si="194"/>
        <v>#N/A</v>
      </c>
      <c r="X237" s="824">
        <f>$B$52*200%</f>
        <v>5000000</v>
      </c>
      <c r="Y237" s="684" t="e">
        <f t="shared" si="195"/>
        <v>#N/A</v>
      </c>
      <c r="AA237" s="705">
        <f>F$43*X237/1000</f>
        <v>175000</v>
      </c>
      <c r="AB237" s="825" t="e">
        <f t="shared" si="196"/>
        <v>#N/A</v>
      </c>
      <c r="AC237" s="825" t="e">
        <f t="shared" si="197"/>
        <v>#N/A</v>
      </c>
      <c r="AD237" s="848" t="e">
        <f t="shared" si="176"/>
        <v>#N/A</v>
      </c>
      <c r="AE237" s="705" t="e">
        <f>IF(AND((Main!$E$9&gt;=18),(Main!$J$10="YES")),$Z$220+AD237,AD237)</f>
        <v>#N/A</v>
      </c>
      <c r="AK237" s="705">
        <v>24</v>
      </c>
      <c r="AL237" s="705">
        <v>51</v>
      </c>
      <c r="AM237" s="705">
        <f>F$43*AP237/1000</f>
        <v>87500</v>
      </c>
      <c r="AN237" s="848">
        <v>18</v>
      </c>
      <c r="AO237" s="705">
        <f t="shared" si="198"/>
        <v>2295000</v>
      </c>
      <c r="AP237" s="848">
        <f t="shared" si="177"/>
        <v>2500000</v>
      </c>
      <c r="AQ237" s="848">
        <f t="shared" si="202"/>
        <v>4882500</v>
      </c>
      <c r="AR237" s="705">
        <f t="shared" si="200"/>
        <v>1032750</v>
      </c>
      <c r="AS237" s="705">
        <f t="shared" si="199"/>
        <v>2024775</v>
      </c>
      <c r="AT237" s="705">
        <f t="shared" si="201"/>
        <v>1822300</v>
      </c>
      <c r="AW237" s="843">
        <v>18</v>
      </c>
      <c r="AX237" s="705">
        <f t="shared" si="179"/>
        <v>2500000</v>
      </c>
      <c r="AY237" s="705">
        <f t="shared" si="180"/>
        <v>2500000</v>
      </c>
      <c r="AZ237" s="843">
        <v>46</v>
      </c>
      <c r="BA237" s="705">
        <f t="shared" si="181"/>
        <v>2070000</v>
      </c>
      <c r="BB237" s="705">
        <f>F$43*AX237/1000</f>
        <v>87500</v>
      </c>
      <c r="BC237" s="705">
        <f t="shared" si="182"/>
        <v>4657500</v>
      </c>
      <c r="BD237" s="705">
        <f t="shared" si="183"/>
        <v>7157500</v>
      </c>
      <c r="BT237" s="705" t="e">
        <f>-DAT!$AY$21</f>
        <v>#N/A</v>
      </c>
      <c r="BU237" s="705" t="e">
        <f>-DAT!$AY$21</f>
        <v>#N/A</v>
      </c>
      <c r="BV237" s="705" t="e">
        <f>-DAT!$AY$21</f>
        <v>#N/A</v>
      </c>
      <c r="BW237" s="705" t="e">
        <f>-DAT!$AY$21</f>
        <v>#N/A</v>
      </c>
      <c r="BX237" s="705" t="e">
        <f>-DAT!$AY$21</f>
        <v>#N/A</v>
      </c>
      <c r="BY237" s="705" t="e">
        <f>-DAT!$AY$21</f>
        <v>#N/A</v>
      </c>
      <c r="BZ237" s="705" t="e">
        <f>-DAT!$AY$21</f>
        <v>#N/A</v>
      </c>
      <c r="CA237" s="705" t="e">
        <f>-DAT!$AY$21</f>
        <v>#N/A</v>
      </c>
      <c r="CB237" s="705" t="e">
        <f>-DAT!$AY$21</f>
        <v>#N/A</v>
      </c>
      <c r="CC237" s="705" t="e">
        <f>-DAT!$AY$21</f>
        <v>#N/A</v>
      </c>
      <c r="CD237" s="705" t="e">
        <f>-DAT!$AY$21</f>
        <v>#N/A</v>
      </c>
    </row>
    <row r="238" spans="3:82">
      <c r="I238" s="843">
        <v>19</v>
      </c>
      <c r="J238" s="846">
        <f>T$14</f>
        <v>60.95</v>
      </c>
      <c r="K238" s="705">
        <f t="shared" si="184"/>
        <v>1900000</v>
      </c>
      <c r="L238" s="705">
        <f t="shared" si="185"/>
        <v>1947500</v>
      </c>
      <c r="M238" s="825">
        <f t="shared" si="186"/>
        <v>3847500</v>
      </c>
      <c r="N238" s="829">
        <f t="shared" si="187"/>
        <v>2345051</v>
      </c>
      <c r="O238" s="1173">
        <f>BD$14</f>
        <v>0.71179999999999999</v>
      </c>
      <c r="P238" s="705" t="e">
        <f t="shared" si="188"/>
        <v>#N/A</v>
      </c>
      <c r="Q238" s="1173">
        <f>CO$14</f>
        <v>0.20849999999999999</v>
      </c>
      <c r="R238" s="705">
        <f t="shared" si="189"/>
        <v>406054</v>
      </c>
      <c r="S238" s="825" t="e">
        <f t="shared" si="190"/>
        <v>#N/A</v>
      </c>
      <c r="T238" s="825" t="e">
        <f t="shared" si="191"/>
        <v>#N/A</v>
      </c>
      <c r="U238" s="847" t="e">
        <f t="shared" si="192"/>
        <v>#N/A</v>
      </c>
      <c r="V238" s="684" t="e">
        <f t="shared" si="193"/>
        <v>#N/A</v>
      </c>
      <c r="W238" s="684" t="e">
        <f t="shared" si="194"/>
        <v>#N/A</v>
      </c>
      <c r="X238" s="824">
        <f>$B$52*200%</f>
        <v>5000000</v>
      </c>
      <c r="Y238" s="684" t="e">
        <f t="shared" si="195"/>
        <v>#N/A</v>
      </c>
      <c r="AA238" s="705">
        <f>G$43*X238/1000</f>
        <v>250000</v>
      </c>
      <c r="AB238" s="825" t="e">
        <f t="shared" si="196"/>
        <v>#N/A</v>
      </c>
      <c r="AC238" s="825" t="e">
        <f t="shared" si="197"/>
        <v>#N/A</v>
      </c>
      <c r="AD238" s="848" t="e">
        <f t="shared" si="176"/>
        <v>#N/A</v>
      </c>
      <c r="AE238" s="705" t="e">
        <f>IF(AND((Main!$E$9&gt;=18),(Main!$J$10="YES")),$Z$220+AD238,AD238)</f>
        <v>#N/A</v>
      </c>
      <c r="AK238" s="705">
        <v>25</v>
      </c>
      <c r="AL238" s="705">
        <v>51</v>
      </c>
      <c r="AM238" s="705">
        <f>G$43*AP238/1000</f>
        <v>125000</v>
      </c>
      <c r="AN238" s="848">
        <v>19</v>
      </c>
      <c r="AO238" s="705">
        <f t="shared" si="198"/>
        <v>2422500</v>
      </c>
      <c r="AP238" s="848">
        <f t="shared" si="177"/>
        <v>2500000</v>
      </c>
      <c r="AQ238" s="848">
        <f t="shared" si="202"/>
        <v>5047500</v>
      </c>
      <c r="AR238" s="705">
        <f t="shared" si="200"/>
        <v>1090125</v>
      </c>
      <c r="AS238" s="705">
        <f t="shared" si="199"/>
        <v>2082150</v>
      </c>
      <c r="AT238" s="705">
        <f t="shared" si="201"/>
        <v>1873900</v>
      </c>
      <c r="AW238" s="843">
        <v>19</v>
      </c>
      <c r="AX238" s="705">
        <f t="shared" si="179"/>
        <v>2500000</v>
      </c>
      <c r="AY238" s="705">
        <f t="shared" si="180"/>
        <v>2500000</v>
      </c>
      <c r="AZ238" s="843">
        <v>46</v>
      </c>
      <c r="BA238" s="705">
        <f t="shared" si="181"/>
        <v>2185000</v>
      </c>
      <c r="BB238" s="705">
        <f>G$43*AX238/1000</f>
        <v>125000</v>
      </c>
      <c r="BC238" s="705">
        <f t="shared" si="182"/>
        <v>4810000</v>
      </c>
      <c r="BD238" s="705">
        <f t="shared" si="183"/>
        <v>7310000</v>
      </c>
      <c r="BT238" s="705" t="e">
        <f>-DAT!$AY$21</f>
        <v>#N/A</v>
      </c>
      <c r="BU238" s="705" t="e">
        <f>-DAT!$AY$21</f>
        <v>#N/A</v>
      </c>
      <c r="BV238" s="705" t="e">
        <f>-DAT!$AY$21</f>
        <v>#N/A</v>
      </c>
      <c r="BW238" s="705" t="e">
        <f>-DAT!$AY$21</f>
        <v>#N/A</v>
      </c>
      <c r="BX238" s="705" t="e">
        <f>-DAT!$AY$21</f>
        <v>#N/A</v>
      </c>
      <c r="BY238" s="705" t="e">
        <f>-DAT!$AY$21</f>
        <v>#N/A</v>
      </c>
      <c r="BZ238" s="705" t="e">
        <f>-DAT!$AY$21</f>
        <v>#N/A</v>
      </c>
      <c r="CA238" s="705" t="e">
        <f>-DAT!$AY$21</f>
        <v>#N/A</v>
      </c>
      <c r="CB238" s="705" t="e">
        <f>-DAT!$AY$21</f>
        <v>#N/A</v>
      </c>
      <c r="CC238" s="705" t="e">
        <f>-DAT!$AY$21</f>
        <v>#N/A</v>
      </c>
      <c r="CD238" s="705" t="e">
        <f>-DAT!$AY$21</f>
        <v>#N/A</v>
      </c>
    </row>
    <row r="239" spans="3:82">
      <c r="I239" s="843">
        <v>20</v>
      </c>
      <c r="J239" s="846">
        <f>U$14</f>
        <v>65.489999999999995</v>
      </c>
      <c r="K239" s="705">
        <f t="shared" si="184"/>
        <v>2000000</v>
      </c>
      <c r="L239" s="705">
        <f t="shared" si="185"/>
        <v>2050000</v>
      </c>
      <c r="M239" s="825">
        <f t="shared" si="186"/>
        <v>4050000</v>
      </c>
      <c r="N239" s="829">
        <f t="shared" si="187"/>
        <v>2652345</v>
      </c>
      <c r="O239" s="1173">
        <f>BE$14</f>
        <v>0.72940000000000005</v>
      </c>
      <c r="P239" s="705" t="e">
        <f t="shared" si="188"/>
        <v>#N/A</v>
      </c>
      <c r="Q239" s="1173">
        <f>CP$14</f>
        <v>0.21990000000000001</v>
      </c>
      <c r="R239" s="705">
        <f t="shared" si="189"/>
        <v>450795</v>
      </c>
      <c r="S239" s="825" t="e">
        <f t="shared" si="190"/>
        <v>#N/A</v>
      </c>
      <c r="T239" s="825" t="e">
        <f t="shared" si="191"/>
        <v>#N/A</v>
      </c>
      <c r="U239" s="847" t="e">
        <f t="shared" si="192"/>
        <v>#N/A</v>
      </c>
      <c r="V239" s="684" t="e">
        <f t="shared" si="193"/>
        <v>#N/A</v>
      </c>
      <c r="W239" s="684" t="e">
        <f t="shared" si="194"/>
        <v>#N/A</v>
      </c>
      <c r="X239" s="824">
        <f>$B$52*200%</f>
        <v>5000000</v>
      </c>
      <c r="Y239" s="684" t="e">
        <f t="shared" si="195"/>
        <v>#N/A</v>
      </c>
      <c r="AA239" s="705">
        <f>H$43*X239/1000</f>
        <v>350000</v>
      </c>
      <c r="AB239" s="825" t="e">
        <f t="shared" si="196"/>
        <v>#N/A</v>
      </c>
      <c r="AC239" s="825" t="e">
        <f t="shared" si="197"/>
        <v>#N/A</v>
      </c>
      <c r="AD239" s="848" t="e">
        <f t="shared" si="176"/>
        <v>#N/A</v>
      </c>
      <c r="AE239" s="705" t="e">
        <f>IF(AND((Main!$E$9&gt;=18),(Main!$J$10="YES")),$Z$220+AD239,AD239)</f>
        <v>#N/A</v>
      </c>
      <c r="AM239" s="705">
        <f>H$43*AP239/1000</f>
        <v>175000</v>
      </c>
      <c r="AN239" s="848">
        <v>20</v>
      </c>
      <c r="AO239" s="705">
        <f t="shared" si="198"/>
        <v>2550000</v>
      </c>
      <c r="AP239" s="848">
        <f t="shared" si="177"/>
        <v>2500000</v>
      </c>
      <c r="AQ239" s="848">
        <f t="shared" si="202"/>
        <v>5225000</v>
      </c>
      <c r="AR239" s="705">
        <f t="shared" si="200"/>
        <v>1147500</v>
      </c>
      <c r="AS239" s="705">
        <f t="shared" si="199"/>
        <v>2139525</v>
      </c>
      <c r="AT239" s="705">
        <f t="shared" si="201"/>
        <v>1925600</v>
      </c>
      <c r="AW239" s="843">
        <v>20</v>
      </c>
      <c r="AX239" s="705">
        <f t="shared" si="179"/>
        <v>2500000</v>
      </c>
      <c r="AY239" s="705">
        <f t="shared" si="180"/>
        <v>2500000</v>
      </c>
      <c r="AZ239" s="843">
        <v>46</v>
      </c>
      <c r="BA239" s="705">
        <f t="shared" si="181"/>
        <v>2300000</v>
      </c>
      <c r="BB239" s="705">
        <f>H$43*AX239/1000</f>
        <v>175000</v>
      </c>
      <c r="BC239" s="705">
        <f t="shared" si="182"/>
        <v>4975000</v>
      </c>
      <c r="BD239" s="705">
        <f t="shared" si="183"/>
        <v>7475000</v>
      </c>
      <c r="BT239" s="705" t="e">
        <f>X$317</f>
        <v>#N/A</v>
      </c>
      <c r="BU239" s="705" t="e">
        <f>-DAT!$AY$21</f>
        <v>#N/A</v>
      </c>
      <c r="BV239" s="705" t="e">
        <f>-DAT!$AY$21</f>
        <v>#N/A</v>
      </c>
      <c r="BW239" s="705" t="e">
        <f>-DAT!$AY$21</f>
        <v>#N/A</v>
      </c>
      <c r="BX239" s="705" t="e">
        <f>-DAT!$AY$21</f>
        <v>#N/A</v>
      </c>
      <c r="BY239" s="705" t="e">
        <f>-DAT!$AY$21</f>
        <v>#N/A</v>
      </c>
      <c r="BZ239" s="705" t="e">
        <f>-DAT!$AY$21</f>
        <v>#N/A</v>
      </c>
      <c r="CA239" s="705" t="e">
        <f>-DAT!$AY$21</f>
        <v>#N/A</v>
      </c>
      <c r="CB239" s="705" t="e">
        <f>-DAT!$AY$21</f>
        <v>#N/A</v>
      </c>
      <c r="CC239" s="705" t="e">
        <f>-DAT!$AY$21</f>
        <v>#N/A</v>
      </c>
      <c r="CD239" s="705" t="e">
        <f>-DAT!$AY$21</f>
        <v>#N/A</v>
      </c>
    </row>
    <row r="240" spans="3:82">
      <c r="AM240" s="705">
        <f>I$43*AP240/1000</f>
        <v>250000</v>
      </c>
      <c r="AN240" s="848">
        <v>21</v>
      </c>
      <c r="AO240" s="705">
        <f t="shared" si="198"/>
        <v>2677500</v>
      </c>
      <c r="AP240" s="848">
        <f t="shared" si="177"/>
        <v>2500000</v>
      </c>
      <c r="AQ240" s="848">
        <f t="shared" si="202"/>
        <v>5427500</v>
      </c>
      <c r="AR240" s="705">
        <f t="shared" si="200"/>
        <v>1204875</v>
      </c>
      <c r="AS240" s="705">
        <f t="shared" si="199"/>
        <v>2196900</v>
      </c>
      <c r="AT240" s="705">
        <f t="shared" si="201"/>
        <v>1977200</v>
      </c>
      <c r="AW240" s="843">
        <v>21</v>
      </c>
      <c r="AX240" s="705">
        <f t="shared" si="179"/>
        <v>2500000</v>
      </c>
      <c r="AY240" s="705">
        <f t="shared" si="180"/>
        <v>2500000</v>
      </c>
      <c r="AZ240" s="843">
        <v>48</v>
      </c>
      <c r="BA240" s="705">
        <f t="shared" si="181"/>
        <v>2520000</v>
      </c>
      <c r="BB240" s="705">
        <f>I$43*AX240/1000</f>
        <v>250000</v>
      </c>
      <c r="BC240" s="705">
        <f t="shared" si="182"/>
        <v>5270000</v>
      </c>
      <c r="BD240" s="705">
        <f t="shared" si="183"/>
        <v>7770000</v>
      </c>
      <c r="BU240" s="705" t="e">
        <f>X$318</f>
        <v>#N/A</v>
      </c>
      <c r="BV240" s="705" t="e">
        <f>-DAT!$AY$21</f>
        <v>#N/A</v>
      </c>
      <c r="BW240" s="705" t="e">
        <f>-DAT!$AY$21</f>
        <v>#N/A</v>
      </c>
      <c r="BX240" s="705" t="e">
        <f>-DAT!$AY$21</f>
        <v>#N/A</v>
      </c>
      <c r="BY240" s="705" t="e">
        <f>-DAT!$AY$21</f>
        <v>#N/A</v>
      </c>
      <c r="BZ240" s="705" t="e">
        <f>-DAT!$AY$21</f>
        <v>#N/A</v>
      </c>
      <c r="CA240" s="705" t="e">
        <f>-DAT!$AY$21</f>
        <v>#N/A</v>
      </c>
      <c r="CB240" s="705" t="e">
        <f>-DAT!$AY$21</f>
        <v>#N/A</v>
      </c>
      <c r="CC240" s="705" t="e">
        <f>-DAT!$AY$21</f>
        <v>#N/A</v>
      </c>
      <c r="CD240" s="705" t="e">
        <f>-DAT!$AY$21</f>
        <v>#N/A</v>
      </c>
    </row>
    <row r="241" spans="26:82">
      <c r="AM241" s="705">
        <f>J$43*AP241/1000</f>
        <v>375000</v>
      </c>
      <c r="AN241" s="848">
        <v>22</v>
      </c>
      <c r="AO241" s="705">
        <f t="shared" si="198"/>
        <v>2805000</v>
      </c>
      <c r="AP241" s="848">
        <f t="shared" si="177"/>
        <v>2500000</v>
      </c>
      <c r="AQ241" s="848">
        <f t="shared" si="202"/>
        <v>5680000</v>
      </c>
      <c r="AR241" s="705">
        <f>AO241*60%</f>
        <v>1683000</v>
      </c>
      <c r="AS241" s="705">
        <f t="shared" si="199"/>
        <v>2675025</v>
      </c>
      <c r="AT241" s="705">
        <f t="shared" si="201"/>
        <v>2407500</v>
      </c>
      <c r="AW241" s="843">
        <v>22</v>
      </c>
      <c r="AX241" s="705">
        <f t="shared" si="179"/>
        <v>2500000</v>
      </c>
      <c r="AY241" s="705">
        <f t="shared" si="180"/>
        <v>2500000</v>
      </c>
      <c r="AZ241" s="843">
        <v>48</v>
      </c>
      <c r="BA241" s="705">
        <f t="shared" si="181"/>
        <v>2640000</v>
      </c>
      <c r="BB241" s="705">
        <f>J$43*AX241/1000</f>
        <v>375000</v>
      </c>
      <c r="BC241" s="705">
        <f t="shared" si="182"/>
        <v>5515000</v>
      </c>
      <c r="BD241" s="705">
        <f t="shared" si="183"/>
        <v>8015000</v>
      </c>
      <c r="BV241" s="705" t="e">
        <f>X$319</f>
        <v>#N/A</v>
      </c>
      <c r="BW241" s="705" t="e">
        <f>-DAT!$AY$21</f>
        <v>#N/A</v>
      </c>
      <c r="BX241" s="705" t="e">
        <f>-DAT!$AY$21</f>
        <v>#N/A</v>
      </c>
      <c r="BY241" s="705" t="e">
        <f>-DAT!$AY$21</f>
        <v>#N/A</v>
      </c>
      <c r="BZ241" s="705" t="e">
        <f>-DAT!$AY$21</f>
        <v>#N/A</v>
      </c>
      <c r="CA241" s="705" t="e">
        <f>-DAT!$AY$21</f>
        <v>#N/A</v>
      </c>
      <c r="CB241" s="705" t="e">
        <f>-DAT!$AY$21</f>
        <v>#N/A</v>
      </c>
      <c r="CC241" s="705" t="e">
        <f>-DAT!$AY$21</f>
        <v>#N/A</v>
      </c>
      <c r="CD241" s="705" t="e">
        <f>-DAT!$AY$21</f>
        <v>#N/A</v>
      </c>
    </row>
    <row r="242" spans="26:82">
      <c r="AM242" s="705">
        <f>K$43*AP242/1000</f>
        <v>625000</v>
      </c>
      <c r="AN242" s="848">
        <v>23</v>
      </c>
      <c r="AO242" s="705">
        <f t="shared" si="198"/>
        <v>2932500</v>
      </c>
      <c r="AP242" s="848">
        <f t="shared" si="177"/>
        <v>2500000</v>
      </c>
      <c r="AQ242" s="848">
        <f t="shared" si="202"/>
        <v>6057500</v>
      </c>
      <c r="AR242" s="705">
        <f>AO242*60%</f>
        <v>1759500</v>
      </c>
      <c r="AS242" s="705">
        <f t="shared" si="199"/>
        <v>2751525</v>
      </c>
      <c r="AT242" s="705">
        <f t="shared" si="201"/>
        <v>2476400</v>
      </c>
      <c r="AW242" s="843">
        <v>23</v>
      </c>
      <c r="AX242" s="705">
        <f t="shared" si="179"/>
        <v>0</v>
      </c>
      <c r="AY242" s="705">
        <f t="shared" si="180"/>
        <v>0</v>
      </c>
      <c r="AZ242" s="843">
        <v>48</v>
      </c>
      <c r="BA242" s="705">
        <f t="shared" si="181"/>
        <v>0</v>
      </c>
      <c r="BB242" s="705">
        <f>K$43*AX242/1000</f>
        <v>0</v>
      </c>
      <c r="BC242" s="705">
        <f t="shared" si="182"/>
        <v>0</v>
      </c>
      <c r="BD242" s="705">
        <f t="shared" si="183"/>
        <v>0</v>
      </c>
      <c r="BW242" s="705" t="e">
        <f>X$320</f>
        <v>#N/A</v>
      </c>
      <c r="BX242" s="705" t="e">
        <f>-DAT!$AY$21</f>
        <v>#N/A</v>
      </c>
      <c r="BY242" s="705" t="e">
        <f>-DAT!$AY$21</f>
        <v>#N/A</v>
      </c>
      <c r="BZ242" s="705" t="e">
        <f>-DAT!$AY$21</f>
        <v>#N/A</v>
      </c>
      <c r="CA242" s="705" t="e">
        <f>-DAT!$AY$21</f>
        <v>#N/A</v>
      </c>
      <c r="CB242" s="705" t="e">
        <f>-DAT!$AY$21</f>
        <v>#N/A</v>
      </c>
      <c r="CC242" s="705" t="e">
        <f>-DAT!$AY$21</f>
        <v>#N/A</v>
      </c>
      <c r="CD242" s="705" t="e">
        <f>-DAT!$AY$21</f>
        <v>#N/A</v>
      </c>
    </row>
    <row r="243" spans="26:82">
      <c r="AM243" s="705">
        <f>L$43*AP243/1000</f>
        <v>875000</v>
      </c>
      <c r="AN243" s="848">
        <v>24</v>
      </c>
      <c r="AO243" s="705">
        <f t="shared" si="198"/>
        <v>3060000</v>
      </c>
      <c r="AP243" s="848">
        <f t="shared" si="177"/>
        <v>2500000</v>
      </c>
      <c r="AQ243" s="848">
        <f t="shared" si="202"/>
        <v>6435000</v>
      </c>
      <c r="AR243" s="705">
        <f>AO243*70%</f>
        <v>2142000</v>
      </c>
      <c r="AS243" s="705">
        <f t="shared" si="199"/>
        <v>3134025</v>
      </c>
      <c r="AT243" s="705">
        <f t="shared" si="201"/>
        <v>2820600</v>
      </c>
      <c r="AW243" s="843">
        <v>24</v>
      </c>
      <c r="AX243" s="705">
        <f t="shared" si="179"/>
        <v>0</v>
      </c>
      <c r="AY243" s="705">
        <f t="shared" si="180"/>
        <v>0</v>
      </c>
      <c r="AZ243" s="843">
        <v>48</v>
      </c>
      <c r="BA243" s="705">
        <f t="shared" si="181"/>
        <v>0</v>
      </c>
      <c r="BB243" s="705">
        <f>L$43*AX243/1000</f>
        <v>0</v>
      </c>
      <c r="BC243" s="705">
        <f t="shared" si="182"/>
        <v>0</v>
      </c>
      <c r="BD243" s="705">
        <f t="shared" si="183"/>
        <v>0</v>
      </c>
      <c r="BX243" s="705" t="e">
        <f>X$321</f>
        <v>#N/A</v>
      </c>
      <c r="BY243" s="705" t="e">
        <f>-DAT!$AY$21</f>
        <v>#N/A</v>
      </c>
      <c r="BZ243" s="705" t="e">
        <f>-DAT!$AY$21</f>
        <v>#N/A</v>
      </c>
      <c r="CA243" s="705" t="e">
        <f>-DAT!$AY$21</f>
        <v>#N/A</v>
      </c>
      <c r="CB243" s="705" t="e">
        <f>-DAT!$AY$21</f>
        <v>#N/A</v>
      </c>
      <c r="CC243" s="705" t="e">
        <f>-DAT!$AY$21</f>
        <v>#N/A</v>
      </c>
      <c r="CD243" s="705" t="e">
        <f>-DAT!$AY$21</f>
        <v>#N/A</v>
      </c>
    </row>
    <row r="244" spans="26:82">
      <c r="AM244" s="705">
        <f>M$43*AP244/1000</f>
        <v>1125000</v>
      </c>
      <c r="AN244" s="848">
        <v>25</v>
      </c>
      <c r="AO244" s="705">
        <f t="shared" si="198"/>
        <v>3187500</v>
      </c>
      <c r="AP244" s="848">
        <f t="shared" si="177"/>
        <v>2500000</v>
      </c>
      <c r="AQ244" s="848">
        <f t="shared" si="202"/>
        <v>6812500</v>
      </c>
      <c r="AR244" s="705">
        <f>AO244*70%</f>
        <v>2231250</v>
      </c>
      <c r="AS244" s="705">
        <f t="shared" si="199"/>
        <v>3223275</v>
      </c>
      <c r="AT244" s="705">
        <f t="shared" si="201"/>
        <v>2900900</v>
      </c>
      <c r="AW244" s="843">
        <v>25</v>
      </c>
      <c r="AX244" s="705">
        <f t="shared" si="179"/>
        <v>0</v>
      </c>
      <c r="AY244" s="705">
        <f t="shared" si="180"/>
        <v>0</v>
      </c>
      <c r="AZ244" s="843">
        <v>48</v>
      </c>
      <c r="BA244" s="705">
        <f t="shared" si="181"/>
        <v>0</v>
      </c>
      <c r="BB244" s="705">
        <f>M$43*AX244/1000</f>
        <v>0</v>
      </c>
      <c r="BC244" s="705">
        <f t="shared" si="182"/>
        <v>0</v>
      </c>
      <c r="BD244" s="705">
        <f t="shared" si="183"/>
        <v>0</v>
      </c>
      <c r="BY244" s="705" t="e">
        <f>X$322</f>
        <v>#N/A</v>
      </c>
      <c r="BZ244" s="705" t="e">
        <f>-DAT!$AY$21</f>
        <v>#N/A</v>
      </c>
      <c r="CA244" s="705" t="e">
        <f>-DAT!$AY$21</f>
        <v>#N/A</v>
      </c>
      <c r="CB244" s="705" t="e">
        <f>-DAT!$AY$21</f>
        <v>#N/A</v>
      </c>
      <c r="CC244" s="705" t="e">
        <f>-DAT!$AY$21</f>
        <v>#N/A</v>
      </c>
      <c r="CD244" s="705" t="e">
        <f>-DAT!$AY$21</f>
        <v>#N/A</v>
      </c>
    </row>
    <row r="245" spans="26:82">
      <c r="AW245" s="843">
        <v>26</v>
      </c>
      <c r="AX245" s="705">
        <f t="shared" si="179"/>
        <v>0</v>
      </c>
      <c r="AY245" s="705">
        <f t="shared" si="180"/>
        <v>0</v>
      </c>
      <c r="AZ245" s="843">
        <v>48</v>
      </c>
      <c r="BA245" s="705">
        <f t="shared" si="181"/>
        <v>0</v>
      </c>
      <c r="BB245" s="705">
        <f>N$43*AX245/1000</f>
        <v>0</v>
      </c>
      <c r="BC245" s="705">
        <f t="shared" si="182"/>
        <v>0</v>
      </c>
      <c r="BD245" s="705">
        <f t="shared" si="183"/>
        <v>0</v>
      </c>
      <c r="BZ245" s="705" t="e">
        <f>X$323</f>
        <v>#N/A</v>
      </c>
      <c r="CA245" s="705" t="e">
        <f>-DAT!$AY$21</f>
        <v>#N/A</v>
      </c>
      <c r="CB245" s="705" t="e">
        <f>-DAT!$AY$21</f>
        <v>#N/A</v>
      </c>
      <c r="CC245" s="705" t="e">
        <f>-DAT!$AY$21</f>
        <v>#N/A</v>
      </c>
      <c r="CD245" s="705" t="e">
        <f>-DAT!$AY$21</f>
        <v>#N/A</v>
      </c>
    </row>
    <row r="246" spans="26:82">
      <c r="AW246" s="843">
        <v>27</v>
      </c>
      <c r="AX246" s="705">
        <f t="shared" si="179"/>
        <v>0</v>
      </c>
      <c r="AY246" s="705">
        <f t="shared" si="180"/>
        <v>0</v>
      </c>
      <c r="AZ246" s="843">
        <v>48</v>
      </c>
      <c r="BA246" s="705">
        <f t="shared" si="181"/>
        <v>0</v>
      </c>
      <c r="BB246" s="705">
        <f>O$43*AX246/1000</f>
        <v>0</v>
      </c>
      <c r="BC246" s="705">
        <f t="shared" si="182"/>
        <v>0</v>
      </c>
      <c r="BD246" s="705">
        <f t="shared" si="183"/>
        <v>0</v>
      </c>
      <c r="CA246" s="705" t="e">
        <f>X$324</f>
        <v>#N/A</v>
      </c>
      <c r="CB246" s="705" t="e">
        <f>-DAT!$AY$21</f>
        <v>#N/A</v>
      </c>
      <c r="CC246" s="705" t="e">
        <f>-DAT!$AY$21</f>
        <v>#N/A</v>
      </c>
      <c r="CD246" s="705" t="e">
        <f>-DAT!$AY$21</f>
        <v>#N/A</v>
      </c>
    </row>
    <row r="247" spans="26:82">
      <c r="AW247" s="843">
        <v>28</v>
      </c>
      <c r="AX247" s="705">
        <f t="shared" si="179"/>
        <v>0</v>
      </c>
      <c r="AY247" s="705">
        <f t="shared" si="180"/>
        <v>0</v>
      </c>
      <c r="AZ247" s="843">
        <v>48</v>
      </c>
      <c r="BA247" s="705">
        <f t="shared" si="181"/>
        <v>0</v>
      </c>
      <c r="BB247" s="705">
        <f>P$43*AX247/1000</f>
        <v>0</v>
      </c>
      <c r="BC247" s="705">
        <f t="shared" si="182"/>
        <v>0</v>
      </c>
      <c r="BD247" s="705">
        <f t="shared" si="183"/>
        <v>0</v>
      </c>
      <c r="CB247" s="705" t="e">
        <f>X$325</f>
        <v>#N/A</v>
      </c>
      <c r="CC247" s="705" t="e">
        <f>-DAT!$AY$21</f>
        <v>#N/A</v>
      </c>
      <c r="CD247" s="705" t="e">
        <f>-DAT!$AY$21</f>
        <v>#N/A</v>
      </c>
    </row>
    <row r="248" spans="26:82">
      <c r="AW248" s="843">
        <v>29</v>
      </c>
      <c r="AX248" s="705">
        <f t="shared" si="179"/>
        <v>0</v>
      </c>
      <c r="AY248" s="705">
        <f t="shared" si="180"/>
        <v>0</v>
      </c>
      <c r="AZ248" s="843">
        <v>48</v>
      </c>
      <c r="BA248" s="705">
        <f t="shared" si="181"/>
        <v>0</v>
      </c>
      <c r="BB248" s="705">
        <f>Q$43*AX248/1000</f>
        <v>0</v>
      </c>
      <c r="BC248" s="705">
        <f t="shared" si="182"/>
        <v>0</v>
      </c>
      <c r="BD248" s="705">
        <f t="shared" si="183"/>
        <v>0</v>
      </c>
      <c r="CC248" s="705" t="e">
        <f>X$326</f>
        <v>#N/A</v>
      </c>
      <c r="CD248" s="705" t="e">
        <f>-DAT!$AY$21</f>
        <v>#N/A</v>
      </c>
    </row>
    <row r="249" spans="26:82">
      <c r="AW249" s="843">
        <v>30</v>
      </c>
      <c r="AX249" s="705">
        <f t="shared" si="179"/>
        <v>0</v>
      </c>
      <c r="AY249" s="705">
        <f t="shared" si="180"/>
        <v>0</v>
      </c>
      <c r="AZ249" s="843">
        <v>48</v>
      </c>
      <c r="BA249" s="705">
        <f t="shared" si="181"/>
        <v>0</v>
      </c>
      <c r="BB249" s="705">
        <f>R$43*AX249/1000</f>
        <v>0</v>
      </c>
      <c r="BC249" s="705">
        <f t="shared" si="182"/>
        <v>0</v>
      </c>
      <c r="BD249" s="705">
        <f t="shared" si="183"/>
        <v>0</v>
      </c>
      <c r="CD249" s="705" t="e">
        <f>X$327</f>
        <v>#N/A</v>
      </c>
    </row>
    <row r="250" spans="26:82">
      <c r="AW250" s="843">
        <v>31</v>
      </c>
      <c r="AX250" s="705">
        <f t="shared" si="179"/>
        <v>0</v>
      </c>
      <c r="AY250" s="705">
        <f t="shared" si="180"/>
        <v>0</v>
      </c>
      <c r="AZ250" s="843">
        <v>48</v>
      </c>
      <c r="BA250" s="705">
        <f t="shared" si="181"/>
        <v>0</v>
      </c>
      <c r="BB250" s="705">
        <f>S$43*AX250/1000</f>
        <v>0</v>
      </c>
      <c r="BC250" s="705">
        <f t="shared" si="182"/>
        <v>0</v>
      </c>
      <c r="BD250" s="705">
        <f t="shared" si="183"/>
        <v>0</v>
      </c>
    </row>
    <row r="251" spans="26:82">
      <c r="AW251" s="843">
        <v>32</v>
      </c>
      <c r="AX251" s="705">
        <f t="shared" si="179"/>
        <v>0</v>
      </c>
      <c r="AY251" s="705">
        <f t="shared" si="180"/>
        <v>0</v>
      </c>
      <c r="AZ251" s="843">
        <v>48</v>
      </c>
      <c r="BA251" s="705">
        <f t="shared" si="181"/>
        <v>0</v>
      </c>
      <c r="BB251" s="705">
        <f>T$43*AX251/1000</f>
        <v>0</v>
      </c>
      <c r="BC251" s="705">
        <f t="shared" si="182"/>
        <v>0</v>
      </c>
      <c r="BD251" s="705">
        <f t="shared" si="183"/>
        <v>0</v>
      </c>
    </row>
    <row r="252" spans="26:82">
      <c r="AW252" s="843">
        <v>33</v>
      </c>
      <c r="AX252" s="705">
        <f t="shared" si="179"/>
        <v>0</v>
      </c>
      <c r="AY252" s="705">
        <f t="shared" si="180"/>
        <v>0</v>
      </c>
      <c r="AZ252" s="843">
        <v>48</v>
      </c>
      <c r="BA252" s="705">
        <f t="shared" si="181"/>
        <v>0</v>
      </c>
      <c r="BB252" s="705">
        <f>U$43*AX252/1000</f>
        <v>0</v>
      </c>
      <c r="BC252" s="705">
        <f t="shared" si="182"/>
        <v>0</v>
      </c>
      <c r="BD252" s="705">
        <f t="shared" si="183"/>
        <v>0</v>
      </c>
      <c r="BT252" s="1170" t="e">
        <f>LOOKUP($C$52,BT254:CD254,BT253:CD253)</f>
        <v>#VALUE!</v>
      </c>
      <c r="BW252" s="705">
        <v>844</v>
      </c>
    </row>
    <row r="253" spans="26:82">
      <c r="AW253" s="843">
        <v>34</v>
      </c>
      <c r="AX253" s="705">
        <f t="shared" si="179"/>
        <v>0</v>
      </c>
      <c r="AY253" s="705">
        <f t="shared" si="180"/>
        <v>0</v>
      </c>
      <c r="AZ253" s="843">
        <v>48</v>
      </c>
      <c r="BA253" s="705">
        <f t="shared" si="181"/>
        <v>0</v>
      </c>
      <c r="BB253" s="705">
        <f>V$43*AX253/1000</f>
        <v>0</v>
      </c>
      <c r="BC253" s="705">
        <f t="shared" si="182"/>
        <v>0</v>
      </c>
      <c r="BD253" s="705">
        <f t="shared" si="183"/>
        <v>0</v>
      </c>
      <c r="BT253" s="845" t="e">
        <f>IRR(BT255:BT265)</f>
        <v>#VALUE!</v>
      </c>
      <c r="BU253" s="845" t="e">
        <f>IRR(BU255:BU266)</f>
        <v>#VALUE!</v>
      </c>
      <c r="BV253" s="845" t="e">
        <f>IRR(BV255:BV267)</f>
        <v>#VALUE!</v>
      </c>
      <c r="BW253" s="845" t="e">
        <f>IRR(BW255:BW268)</f>
        <v>#VALUE!</v>
      </c>
      <c r="BX253" s="845" t="e">
        <f>IRR(BX255:BX269)</f>
        <v>#VALUE!</v>
      </c>
      <c r="BY253" s="845" t="e">
        <f>IRR(BY255:BY270)</f>
        <v>#VALUE!</v>
      </c>
      <c r="BZ253" s="845" t="e">
        <f>IRR(BZ255:BZ271)</f>
        <v>#VALUE!</v>
      </c>
      <c r="CA253" s="845" t="e">
        <f>IRR(CA255:CA272)</f>
        <v>#VALUE!</v>
      </c>
      <c r="CB253" s="845" t="e">
        <f>IRR(CB255:CB273)</f>
        <v>#VALUE!</v>
      </c>
      <c r="CC253" s="845" t="e">
        <f>IRR(CC255:CC274)</f>
        <v>#VALUE!</v>
      </c>
      <c r="CD253" s="845" t="e">
        <f>IRR(CD255:CD275)</f>
        <v>#VALUE!</v>
      </c>
    </row>
    <row r="254" spans="26:82">
      <c r="AW254" s="843">
        <v>35</v>
      </c>
      <c r="AX254" s="705">
        <f t="shared" si="179"/>
        <v>0</v>
      </c>
      <c r="AY254" s="705">
        <f t="shared" si="180"/>
        <v>0</v>
      </c>
      <c r="AZ254" s="843">
        <v>48</v>
      </c>
      <c r="BA254" s="705">
        <f t="shared" si="181"/>
        <v>0</v>
      </c>
      <c r="BB254" s="705">
        <f>W$43*AX254/1000</f>
        <v>0</v>
      </c>
      <c r="BC254" s="705">
        <f t="shared" si="182"/>
        <v>0</v>
      </c>
      <c r="BD254" s="705">
        <f t="shared" si="183"/>
        <v>0</v>
      </c>
      <c r="BT254" s="705">
        <v>10</v>
      </c>
      <c r="BU254" s="705">
        <v>11</v>
      </c>
      <c r="BV254" s="843">
        <v>12</v>
      </c>
      <c r="BW254" s="843">
        <v>13</v>
      </c>
      <c r="BX254" s="843">
        <v>14</v>
      </c>
      <c r="BY254" s="843">
        <v>15</v>
      </c>
      <c r="BZ254" s="843">
        <v>16</v>
      </c>
      <c r="CA254" s="843">
        <v>17</v>
      </c>
      <c r="CB254" s="843">
        <v>18</v>
      </c>
      <c r="CC254" s="843">
        <v>19</v>
      </c>
      <c r="CD254" s="843">
        <v>20</v>
      </c>
    </row>
    <row r="255" spans="26:82">
      <c r="BT255" s="705" t="e">
        <f>-DAT!$AT$22</f>
        <v>#N/A</v>
      </c>
      <c r="BU255" s="705" t="e">
        <f>-DAT!$AT$22</f>
        <v>#N/A</v>
      </c>
      <c r="BV255" s="705" t="e">
        <f>-DAT!$AT$22</f>
        <v>#N/A</v>
      </c>
      <c r="BW255" s="705" t="e">
        <f>-DAT!$AT$22</f>
        <v>#N/A</v>
      </c>
      <c r="BX255" s="705" t="e">
        <f>-DAT!$AT$22</f>
        <v>#N/A</v>
      </c>
      <c r="BY255" s="705" t="e">
        <f>-DAT!$AT$22</f>
        <v>#N/A</v>
      </c>
      <c r="BZ255" s="705" t="e">
        <f>-DAT!$AT$22</f>
        <v>#N/A</v>
      </c>
      <c r="CA255" s="705" t="e">
        <f>-DAT!$AT$22</f>
        <v>#N/A</v>
      </c>
      <c r="CB255" s="705" t="e">
        <f>-DAT!$AT$22</f>
        <v>#N/A</v>
      </c>
      <c r="CC255" s="705" t="e">
        <f>-DAT!$AT$22</f>
        <v>#N/A</v>
      </c>
      <c r="CD255" s="705" t="e">
        <f>-DAT!$AT$22</f>
        <v>#N/A</v>
      </c>
    </row>
    <row r="256" spans="26:82">
      <c r="Z256" s="1181"/>
      <c r="AC256" s="836"/>
      <c r="AD256" s="838"/>
      <c r="AG256" s="848"/>
      <c r="AH256" s="837"/>
      <c r="AI256" s="848"/>
      <c r="AJ256" s="848"/>
      <c r="AK256" s="848"/>
      <c r="AM256" s="848"/>
      <c r="BT256" s="705" t="e">
        <f>-DAT!$AY$22</f>
        <v>#N/A</v>
      </c>
      <c r="BU256" s="705" t="e">
        <f>-DAT!$AY$22</f>
        <v>#N/A</v>
      </c>
      <c r="BV256" s="705" t="e">
        <f>-DAT!$AY$22</f>
        <v>#N/A</v>
      </c>
      <c r="BW256" s="705" t="e">
        <f>-DAT!$AY$22</f>
        <v>#N/A</v>
      </c>
      <c r="BX256" s="705" t="e">
        <f>-DAT!$AY$22</f>
        <v>#N/A</v>
      </c>
      <c r="BY256" s="705" t="e">
        <f>-DAT!$AY$22</f>
        <v>#N/A</v>
      </c>
      <c r="BZ256" s="705" t="e">
        <f>-DAT!$AY$22</f>
        <v>#N/A</v>
      </c>
      <c r="CA256" s="705" t="e">
        <f>-DAT!$AY$22</f>
        <v>#N/A</v>
      </c>
      <c r="CB256" s="705" t="e">
        <f>-DAT!$AY$22</f>
        <v>#N/A</v>
      </c>
      <c r="CC256" s="705" t="e">
        <f>-DAT!$AY$22</f>
        <v>#N/A</v>
      </c>
      <c r="CD256" s="705" t="e">
        <f>-DAT!$AY$22</f>
        <v>#N/A</v>
      </c>
    </row>
    <row r="257" spans="11:82">
      <c r="Z257" s="1181"/>
      <c r="BT257" s="705" t="e">
        <f>-DAT!$AY$22</f>
        <v>#N/A</v>
      </c>
      <c r="BU257" s="705" t="e">
        <f>-DAT!$AY$22</f>
        <v>#N/A</v>
      </c>
      <c r="BV257" s="705" t="e">
        <f>-DAT!$AY$22</f>
        <v>#N/A</v>
      </c>
      <c r="BW257" s="705" t="e">
        <f>-DAT!$AY$22</f>
        <v>#N/A</v>
      </c>
      <c r="BX257" s="705" t="e">
        <f>-DAT!$AY$22</f>
        <v>#N/A</v>
      </c>
      <c r="BY257" s="705" t="e">
        <f>-DAT!$AY$22</f>
        <v>#N/A</v>
      </c>
      <c r="BZ257" s="705" t="e">
        <f>-DAT!$AY$22</f>
        <v>#N/A</v>
      </c>
      <c r="CA257" s="705" t="e">
        <f>-DAT!$AY$22</f>
        <v>#N/A</v>
      </c>
      <c r="CB257" s="705" t="e">
        <f>-DAT!$AY$22</f>
        <v>#N/A</v>
      </c>
      <c r="CC257" s="705" t="e">
        <f>-DAT!$AY$22</f>
        <v>#N/A</v>
      </c>
      <c r="CD257" s="705" t="e">
        <f>-DAT!$AY$22</f>
        <v>#N/A</v>
      </c>
    </row>
    <row r="258" spans="11:82">
      <c r="Z258" s="1181"/>
      <c r="AC258" s="836"/>
      <c r="AD258" s="838"/>
      <c r="AG258" s="848"/>
      <c r="AH258" s="837"/>
      <c r="AI258" s="848"/>
      <c r="AJ258" s="848"/>
      <c r="AK258" s="848"/>
      <c r="AM258" s="848"/>
      <c r="BT258" s="705" t="e">
        <f>-DAT!$AY$22</f>
        <v>#N/A</v>
      </c>
      <c r="BU258" s="705" t="e">
        <f>-DAT!$AY$22</f>
        <v>#N/A</v>
      </c>
      <c r="BV258" s="705" t="e">
        <f>-DAT!$AY$22</f>
        <v>#N/A</v>
      </c>
      <c r="BW258" s="705" t="e">
        <f>-DAT!$AY$22</f>
        <v>#N/A</v>
      </c>
      <c r="BX258" s="705" t="e">
        <f>-DAT!$AY$22</f>
        <v>#N/A</v>
      </c>
      <c r="BY258" s="705" t="e">
        <f>-DAT!$AY$22</f>
        <v>#N/A</v>
      </c>
      <c r="BZ258" s="705" t="e">
        <f>-DAT!$AY$22</f>
        <v>#N/A</v>
      </c>
      <c r="CA258" s="705" t="e">
        <f>-DAT!$AY$22</f>
        <v>#N/A</v>
      </c>
      <c r="CB258" s="705" t="e">
        <f>-DAT!$AY$22</f>
        <v>#N/A</v>
      </c>
      <c r="CC258" s="705" t="e">
        <f>-DAT!$AY$22</f>
        <v>#N/A</v>
      </c>
      <c r="CD258" s="705" t="e">
        <f>-DAT!$AY$22</f>
        <v>#N/A</v>
      </c>
    </row>
    <row r="259" spans="11:82">
      <c r="Z259" s="1181"/>
      <c r="BT259" s="705" t="e">
        <f>-DAT!$AY$22</f>
        <v>#N/A</v>
      </c>
      <c r="BU259" s="705" t="e">
        <f>-DAT!$AY$22</f>
        <v>#N/A</v>
      </c>
      <c r="BV259" s="705" t="e">
        <f>-DAT!$AY$22</f>
        <v>#N/A</v>
      </c>
      <c r="BW259" s="705" t="e">
        <f>-DAT!$AY$22</f>
        <v>#N/A</v>
      </c>
      <c r="BX259" s="705" t="e">
        <f>-DAT!$AY$22</f>
        <v>#N/A</v>
      </c>
      <c r="BY259" s="705" t="e">
        <f>-DAT!$AY$22</f>
        <v>#N/A</v>
      </c>
      <c r="BZ259" s="705" t="e">
        <f>-DAT!$AY$22</f>
        <v>#N/A</v>
      </c>
      <c r="CA259" s="705" t="e">
        <f>-DAT!$AY$22</f>
        <v>#N/A</v>
      </c>
      <c r="CB259" s="705" t="e">
        <f>-DAT!$AY$22</f>
        <v>#N/A</v>
      </c>
      <c r="CC259" s="705" t="e">
        <f>-DAT!$AY$22</f>
        <v>#N/A</v>
      </c>
      <c r="CD259" s="705" t="e">
        <f>-DAT!$AY$22</f>
        <v>#N/A</v>
      </c>
    </row>
    <row r="260" spans="11:82">
      <c r="Z260" s="1181"/>
      <c r="AC260" s="836"/>
      <c r="AD260" s="838"/>
      <c r="AG260" s="848"/>
      <c r="AH260" s="837"/>
      <c r="AI260" s="848"/>
      <c r="AJ260" s="848"/>
      <c r="AK260" s="848"/>
      <c r="AM260" s="848"/>
      <c r="BT260" s="705" t="e">
        <f>-DAT!$AY$22</f>
        <v>#N/A</v>
      </c>
      <c r="BU260" s="705" t="e">
        <f>-DAT!$AY$22</f>
        <v>#N/A</v>
      </c>
      <c r="BV260" s="705" t="e">
        <f>-DAT!$AY$22</f>
        <v>#N/A</v>
      </c>
      <c r="BW260" s="705" t="e">
        <f>-DAT!$AY$22</f>
        <v>#N/A</v>
      </c>
      <c r="BX260" s="705" t="e">
        <f>-DAT!$AY$22</f>
        <v>#N/A</v>
      </c>
      <c r="BY260" s="705" t="e">
        <f>-DAT!$AY$22</f>
        <v>#N/A</v>
      </c>
      <c r="BZ260" s="705" t="e">
        <f>-DAT!$AY$22</f>
        <v>#N/A</v>
      </c>
      <c r="CA260" s="705" t="e">
        <f>-DAT!$AY$22</f>
        <v>#N/A</v>
      </c>
      <c r="CB260" s="705" t="e">
        <f>-DAT!$AY$22</f>
        <v>#N/A</v>
      </c>
      <c r="CC260" s="705" t="e">
        <f>-DAT!$AY$22</f>
        <v>#N/A</v>
      </c>
      <c r="CD260" s="705" t="e">
        <f>-DAT!$AY$22</f>
        <v>#N/A</v>
      </c>
    </row>
    <row r="261" spans="11:82">
      <c r="Z261" s="1181"/>
      <c r="BT261" s="705" t="e">
        <f>-DAT!$AY$22</f>
        <v>#N/A</v>
      </c>
      <c r="BU261" s="705" t="e">
        <f>-DAT!$AY$22</f>
        <v>#N/A</v>
      </c>
      <c r="BV261" s="705" t="e">
        <f>-DAT!$AY$22</f>
        <v>#N/A</v>
      </c>
      <c r="BW261" s="705" t="e">
        <f>-DAT!$AY$22</f>
        <v>#N/A</v>
      </c>
      <c r="BX261" s="705" t="e">
        <f>-DAT!$AY$22</f>
        <v>#N/A</v>
      </c>
      <c r="BY261" s="705" t="e">
        <f>-DAT!$AY$22</f>
        <v>#N/A</v>
      </c>
      <c r="BZ261" s="705" t="e">
        <f>-DAT!$AY$22</f>
        <v>#N/A</v>
      </c>
      <c r="CA261" s="705" t="e">
        <f>-DAT!$AY$22</f>
        <v>#N/A</v>
      </c>
      <c r="CB261" s="705" t="e">
        <f>-DAT!$AY$22</f>
        <v>#N/A</v>
      </c>
      <c r="CC261" s="705" t="e">
        <f>-DAT!$AY$22</f>
        <v>#N/A</v>
      </c>
      <c r="CD261" s="705" t="e">
        <f>-DAT!$AY$22</f>
        <v>#N/A</v>
      </c>
    </row>
    <row r="262" spans="11:82">
      <c r="Z262" s="1181"/>
      <c r="AC262" s="836"/>
      <c r="AD262" s="838"/>
      <c r="AG262" s="848"/>
      <c r="AH262" s="837"/>
      <c r="AI262" s="848"/>
      <c r="AJ262" s="848"/>
      <c r="AK262" s="848"/>
      <c r="AM262" s="848"/>
      <c r="BT262" s="705" t="e">
        <f>-DAT!$AY$22</f>
        <v>#N/A</v>
      </c>
      <c r="BU262" s="705" t="e">
        <f>-DAT!$AY$22</f>
        <v>#N/A</v>
      </c>
      <c r="BV262" s="705" t="e">
        <f>-DAT!$AY$22</f>
        <v>#N/A</v>
      </c>
      <c r="BW262" s="705" t="e">
        <f>-DAT!$AY$22</f>
        <v>#N/A</v>
      </c>
      <c r="BX262" s="705" t="e">
        <f>-DAT!$AY$22</f>
        <v>#N/A</v>
      </c>
      <c r="BY262" s="705" t="e">
        <f>-DAT!$AY$22</f>
        <v>#N/A</v>
      </c>
      <c r="BZ262" s="705" t="e">
        <f>-DAT!$AY$22</f>
        <v>#N/A</v>
      </c>
      <c r="CA262" s="705" t="e">
        <f>-DAT!$AY$22</f>
        <v>#N/A</v>
      </c>
      <c r="CB262" s="705" t="e">
        <f>-DAT!$AY$22</f>
        <v>#N/A</v>
      </c>
      <c r="CC262" s="705" t="e">
        <f>-DAT!$AY$22</f>
        <v>#N/A</v>
      </c>
      <c r="CD262" s="705" t="e">
        <f>-DAT!$AY$22</f>
        <v>#N/A</v>
      </c>
    </row>
    <row r="263" spans="11:82">
      <c r="Z263" s="1181"/>
      <c r="BT263" s="705" t="e">
        <f>-DAT!$AY$22</f>
        <v>#N/A</v>
      </c>
      <c r="BU263" s="705" t="e">
        <f>-DAT!$AY$22</f>
        <v>#N/A</v>
      </c>
      <c r="BV263" s="705" t="e">
        <f>-DAT!$AY$22</f>
        <v>#N/A</v>
      </c>
      <c r="BW263" s="705" t="e">
        <f>-DAT!$AY$22</f>
        <v>#N/A</v>
      </c>
      <c r="BX263" s="705" t="e">
        <f>-DAT!$AY$22</f>
        <v>#N/A</v>
      </c>
      <c r="BY263" s="705" t="e">
        <f>-DAT!$AY$22</f>
        <v>#N/A</v>
      </c>
      <c r="BZ263" s="705" t="e">
        <f>-DAT!$AY$22</f>
        <v>#N/A</v>
      </c>
      <c r="CA263" s="705" t="e">
        <f>-DAT!$AY$22</f>
        <v>#N/A</v>
      </c>
      <c r="CB263" s="705" t="e">
        <f>-DAT!$AY$22</f>
        <v>#N/A</v>
      </c>
      <c r="CC263" s="705" t="e">
        <f>-DAT!$AY$22</f>
        <v>#N/A</v>
      </c>
      <c r="CD263" s="705" t="e">
        <f>-DAT!$AY$22</f>
        <v>#N/A</v>
      </c>
    </row>
    <row r="264" spans="11:82">
      <c r="L264" s="845"/>
      <c r="Z264" s="1181"/>
      <c r="AC264" s="836"/>
      <c r="AD264" s="838"/>
      <c r="AG264" s="848"/>
      <c r="AH264" s="837"/>
      <c r="AI264" s="848"/>
      <c r="AJ264" s="848"/>
      <c r="AK264" s="848"/>
      <c r="AM264" s="848"/>
      <c r="BT264" s="705" t="e">
        <f>-DAT!$AY$22</f>
        <v>#N/A</v>
      </c>
      <c r="BU264" s="705" t="e">
        <f>-DAT!$AY$22</f>
        <v>#N/A</v>
      </c>
      <c r="BV264" s="705" t="e">
        <f>-DAT!$AY$22</f>
        <v>#N/A</v>
      </c>
      <c r="BW264" s="705" t="e">
        <f>-DAT!$AY$22</f>
        <v>#N/A</v>
      </c>
      <c r="BX264" s="705" t="e">
        <f>-DAT!$AY$22</f>
        <v>#N/A</v>
      </c>
      <c r="BY264" s="705" t="e">
        <f>-DAT!$AY$22</f>
        <v>#N/A</v>
      </c>
      <c r="BZ264" s="705" t="e">
        <f>-DAT!$AY$22</f>
        <v>#N/A</v>
      </c>
      <c r="CA264" s="705" t="e">
        <f>-DAT!$AY$22</f>
        <v>#N/A</v>
      </c>
      <c r="CB264" s="705" t="e">
        <f>-DAT!$AY$22</f>
        <v>#N/A</v>
      </c>
      <c r="CC264" s="705" t="e">
        <f>-DAT!$AY$22</f>
        <v>#N/A</v>
      </c>
      <c r="CD264" s="705" t="e">
        <f>-DAT!$AY$22</f>
        <v>#N/A</v>
      </c>
    </row>
    <row r="265" spans="11:82">
      <c r="Z265" s="1181"/>
      <c r="BT265" s="705" t="e">
        <f>X$317</f>
        <v>#N/A</v>
      </c>
      <c r="BU265" s="705" t="e">
        <f>-DAT!$AY$22</f>
        <v>#N/A</v>
      </c>
      <c r="BV265" s="705" t="e">
        <f>-DAT!$AY$22</f>
        <v>#N/A</v>
      </c>
      <c r="BW265" s="705" t="e">
        <f>-DAT!$AY$22</f>
        <v>#N/A</v>
      </c>
      <c r="BX265" s="705" t="e">
        <f>-DAT!$AY$22</f>
        <v>#N/A</v>
      </c>
      <c r="BY265" s="705" t="e">
        <f>-DAT!$AY$22</f>
        <v>#N/A</v>
      </c>
      <c r="BZ265" s="705" t="e">
        <f>-DAT!$AY$22</f>
        <v>#N/A</v>
      </c>
      <c r="CA265" s="705" t="e">
        <f>-DAT!$AY$22</f>
        <v>#N/A</v>
      </c>
      <c r="CB265" s="705" t="e">
        <f>-DAT!$AY$22</f>
        <v>#N/A</v>
      </c>
      <c r="CC265" s="705" t="e">
        <f>-DAT!$AY$22</f>
        <v>#N/A</v>
      </c>
      <c r="CD265" s="705" t="e">
        <f>-DAT!$AY$22</f>
        <v>#N/A</v>
      </c>
    </row>
    <row r="266" spans="11:82">
      <c r="Z266" s="1181"/>
      <c r="AC266" s="836"/>
      <c r="AD266" s="838"/>
      <c r="AG266" s="848"/>
      <c r="AH266" s="837"/>
      <c r="AI266" s="848"/>
      <c r="AJ266" s="848"/>
      <c r="AK266" s="848"/>
      <c r="AM266" s="848"/>
      <c r="BU266" s="705" t="e">
        <f>X$318</f>
        <v>#N/A</v>
      </c>
      <c r="BV266" s="705" t="e">
        <f>-DAT!$AY$22</f>
        <v>#N/A</v>
      </c>
      <c r="BW266" s="705" t="e">
        <f>-DAT!$AY$22</f>
        <v>#N/A</v>
      </c>
      <c r="BX266" s="705" t="e">
        <f>-DAT!$AY$22</f>
        <v>#N/A</v>
      </c>
      <c r="BY266" s="705" t="e">
        <f>-DAT!$AY$22</f>
        <v>#N/A</v>
      </c>
      <c r="BZ266" s="705" t="e">
        <f>-DAT!$AY$22</f>
        <v>#N/A</v>
      </c>
      <c r="CA266" s="705" t="e">
        <f>-DAT!$AY$22</f>
        <v>#N/A</v>
      </c>
      <c r="CB266" s="705" t="e">
        <f>-DAT!$AY$22</f>
        <v>#N/A</v>
      </c>
      <c r="CC266" s="705" t="e">
        <f>-DAT!$AY$22</f>
        <v>#N/A</v>
      </c>
      <c r="CD266" s="705" t="e">
        <f>-DAT!$AY$22</f>
        <v>#N/A</v>
      </c>
    </row>
    <row r="267" spans="11:82">
      <c r="Z267" s="1181"/>
      <c r="BV267" s="705" t="e">
        <f>X$319</f>
        <v>#N/A</v>
      </c>
      <c r="BW267" s="705" t="e">
        <f>-DAT!$AY$22</f>
        <v>#N/A</v>
      </c>
      <c r="BX267" s="705" t="e">
        <f>-DAT!$AY$22</f>
        <v>#N/A</v>
      </c>
      <c r="BY267" s="705" t="e">
        <f>-DAT!$AY$22</f>
        <v>#N/A</v>
      </c>
      <c r="BZ267" s="705" t="e">
        <f>-DAT!$AY$22</f>
        <v>#N/A</v>
      </c>
      <c r="CA267" s="705" t="e">
        <f>-DAT!$AY$22</f>
        <v>#N/A</v>
      </c>
      <c r="CB267" s="705" t="e">
        <f>-DAT!$AY$22</f>
        <v>#N/A</v>
      </c>
      <c r="CC267" s="705" t="e">
        <f>-DAT!$AY$22</f>
        <v>#N/A</v>
      </c>
      <c r="CD267" s="705" t="e">
        <f>-DAT!$AY$22</f>
        <v>#N/A</v>
      </c>
    </row>
    <row r="268" spans="11:82">
      <c r="Z268" s="1181"/>
      <c r="AC268" s="836"/>
      <c r="AD268" s="838"/>
      <c r="AG268" s="848"/>
      <c r="AH268" s="837"/>
      <c r="AI268" s="848"/>
      <c r="AJ268" s="848"/>
      <c r="AK268" s="848"/>
      <c r="AM268" s="848"/>
      <c r="BW268" s="705" t="e">
        <f>X$320</f>
        <v>#N/A</v>
      </c>
      <c r="BX268" s="705" t="e">
        <f>-DAT!$AY$22</f>
        <v>#N/A</v>
      </c>
      <c r="BY268" s="705" t="e">
        <f>-DAT!$AY$22</f>
        <v>#N/A</v>
      </c>
      <c r="BZ268" s="705" t="e">
        <f>-DAT!$AY$22</f>
        <v>#N/A</v>
      </c>
      <c r="CA268" s="705" t="e">
        <f>-DAT!$AY$22</f>
        <v>#N/A</v>
      </c>
      <c r="CB268" s="705" t="e">
        <f>-DAT!$AY$22</f>
        <v>#N/A</v>
      </c>
      <c r="CC268" s="705" t="e">
        <f>-DAT!$AY$22</f>
        <v>#N/A</v>
      </c>
      <c r="CD268" s="705" t="e">
        <f>-DAT!$AY$22</f>
        <v>#N/A</v>
      </c>
    </row>
    <row r="269" spans="11:82">
      <c r="Z269" s="1181"/>
      <c r="BX269" s="705" t="e">
        <f>X$321</f>
        <v>#N/A</v>
      </c>
      <c r="BY269" s="705" t="e">
        <f>-DAT!$AY$22</f>
        <v>#N/A</v>
      </c>
      <c r="BZ269" s="705" t="e">
        <f>-DAT!$AY$22</f>
        <v>#N/A</v>
      </c>
      <c r="CA269" s="705" t="e">
        <f>-DAT!$AY$22</f>
        <v>#N/A</v>
      </c>
      <c r="CB269" s="705" t="e">
        <f>-DAT!$AY$22</f>
        <v>#N/A</v>
      </c>
      <c r="CC269" s="705" t="e">
        <f>-DAT!$AY$22</f>
        <v>#N/A</v>
      </c>
      <c r="CD269" s="705" t="e">
        <f>-DAT!$AY$22</f>
        <v>#N/A</v>
      </c>
    </row>
    <row r="270" spans="11:82">
      <c r="Z270" s="1181"/>
      <c r="AC270" s="836"/>
      <c r="AD270" s="838"/>
      <c r="AG270" s="848"/>
      <c r="AH270" s="837"/>
      <c r="AI270" s="848"/>
      <c r="AJ270" s="848"/>
      <c r="AK270" s="848"/>
      <c r="AM270" s="848"/>
      <c r="BY270" s="705" t="e">
        <f>X$322</f>
        <v>#N/A</v>
      </c>
      <c r="BZ270" s="705" t="e">
        <f>-DAT!$AY$22</f>
        <v>#N/A</v>
      </c>
      <c r="CA270" s="705" t="e">
        <f>-DAT!$AY$22</f>
        <v>#N/A</v>
      </c>
      <c r="CB270" s="705" t="e">
        <f>-DAT!$AY$22</f>
        <v>#N/A</v>
      </c>
      <c r="CC270" s="705" t="e">
        <f>-DAT!$AY$22</f>
        <v>#N/A</v>
      </c>
      <c r="CD270" s="705" t="e">
        <f>-DAT!$AY$22</f>
        <v>#N/A</v>
      </c>
    </row>
    <row r="271" spans="11:82">
      <c r="K271" s="836"/>
      <c r="Z271" s="1181"/>
      <c r="BZ271" s="705" t="e">
        <f>X$323</f>
        <v>#N/A</v>
      </c>
      <c r="CA271" s="705" t="e">
        <f>-DAT!$AY$22</f>
        <v>#N/A</v>
      </c>
      <c r="CB271" s="705" t="e">
        <f>-DAT!$AY$22</f>
        <v>#N/A</v>
      </c>
      <c r="CC271" s="705" t="e">
        <f>-DAT!$AY$22</f>
        <v>#N/A</v>
      </c>
      <c r="CD271" s="705" t="e">
        <f>-DAT!$AY$22</f>
        <v>#N/A</v>
      </c>
    </row>
    <row r="272" spans="11:82">
      <c r="K272" s="836"/>
      <c r="Z272" s="1181"/>
      <c r="AC272" s="836"/>
      <c r="AD272" s="838"/>
      <c r="AG272" s="848"/>
      <c r="AH272" s="837"/>
      <c r="AI272" s="848"/>
      <c r="AJ272" s="848"/>
      <c r="AK272" s="848"/>
      <c r="AM272" s="848"/>
      <c r="CA272" s="705" t="e">
        <f>X$324</f>
        <v>#N/A</v>
      </c>
      <c r="CB272" s="705" t="e">
        <f>-DAT!$AY$22</f>
        <v>#N/A</v>
      </c>
      <c r="CC272" s="705" t="e">
        <f>-DAT!$AY$22</f>
        <v>#N/A</v>
      </c>
      <c r="CD272" s="705" t="e">
        <f>-DAT!$AY$22</f>
        <v>#N/A</v>
      </c>
    </row>
    <row r="273" spans="11:82">
      <c r="K273" s="836"/>
      <c r="Z273" s="1181"/>
      <c r="CB273" s="705" t="e">
        <f>X$325</f>
        <v>#N/A</v>
      </c>
      <c r="CC273" s="705" t="e">
        <f>-DAT!$AY$22</f>
        <v>#N/A</v>
      </c>
      <c r="CD273" s="705" t="e">
        <f>-DAT!$AY$22</f>
        <v>#N/A</v>
      </c>
    </row>
    <row r="274" spans="11:82">
      <c r="K274" s="836"/>
      <c r="Z274" s="1181"/>
      <c r="AC274" s="836"/>
      <c r="AD274" s="838"/>
      <c r="AG274" s="848"/>
      <c r="AH274" s="837"/>
      <c r="AI274" s="848"/>
      <c r="AJ274" s="848"/>
      <c r="AK274" s="848"/>
      <c r="AM274" s="848"/>
      <c r="CC274" s="705" t="e">
        <f>X$326</f>
        <v>#N/A</v>
      </c>
      <c r="CD274" s="705" t="e">
        <f>-DAT!$AY$22</f>
        <v>#N/A</v>
      </c>
    </row>
    <row r="275" spans="11:82">
      <c r="K275" s="836"/>
      <c r="Z275" s="1181"/>
      <c r="CD275" s="705" t="e">
        <f>X$327</f>
        <v>#N/A</v>
      </c>
    </row>
    <row r="276" spans="11:82">
      <c r="K276" s="836"/>
      <c r="Z276" s="1181"/>
      <c r="AC276" s="836"/>
      <c r="AD276" s="838"/>
      <c r="AG276" s="848"/>
      <c r="AH276" s="837"/>
      <c r="AI276" s="848"/>
      <c r="AJ276" s="848"/>
      <c r="AK276" s="848"/>
      <c r="AM276" s="848"/>
    </row>
    <row r="277" spans="11:82">
      <c r="K277" s="836"/>
      <c r="Z277" s="1181"/>
    </row>
    <row r="278" spans="11:82">
      <c r="K278" s="836"/>
      <c r="Z278" s="1181"/>
      <c r="AC278" s="836"/>
      <c r="AD278" s="838"/>
      <c r="AG278" s="848"/>
      <c r="AH278" s="837"/>
      <c r="AI278" s="848"/>
      <c r="AJ278" s="848"/>
      <c r="AK278" s="848"/>
      <c r="AM278" s="848"/>
    </row>
    <row r="279" spans="11:82">
      <c r="K279" s="836"/>
      <c r="Z279" s="1181"/>
    </row>
    <row r="280" spans="11:82">
      <c r="K280" s="836"/>
      <c r="Z280" s="1181"/>
      <c r="AC280" s="836"/>
      <c r="AD280" s="838"/>
      <c r="AG280" s="848"/>
      <c r="AH280" s="837"/>
      <c r="AI280" s="848"/>
      <c r="AJ280" s="848"/>
      <c r="AK280" s="848"/>
      <c r="AM280" s="848"/>
    </row>
    <row r="281" spans="11:82">
      <c r="K281" s="836"/>
      <c r="Z281" s="1181"/>
    </row>
    <row r="282" spans="11:82">
      <c r="K282" s="836"/>
      <c r="Z282" s="1181"/>
      <c r="AC282" s="836"/>
      <c r="AD282" s="838"/>
      <c r="AG282" s="848"/>
      <c r="AH282" s="837"/>
      <c r="AI282" s="848"/>
      <c r="AJ282" s="848"/>
      <c r="AK282" s="848"/>
      <c r="AM282" s="848"/>
    </row>
    <row r="283" spans="11:82">
      <c r="K283" s="836"/>
      <c r="Z283" s="1181"/>
    </row>
    <row r="284" spans="11:82">
      <c r="K284" s="836"/>
      <c r="Z284" s="1181"/>
      <c r="AC284" s="836"/>
      <c r="AD284" s="838"/>
      <c r="AG284" s="848"/>
      <c r="AH284" s="837"/>
      <c r="AI284" s="848"/>
      <c r="AJ284" s="848"/>
      <c r="AK284" s="848"/>
      <c r="AM284" s="848"/>
    </row>
    <row r="285" spans="11:82">
      <c r="K285" s="836"/>
      <c r="Z285" s="1181"/>
    </row>
    <row r="286" spans="11:82">
      <c r="K286" s="836"/>
      <c r="Z286" s="1181"/>
      <c r="AC286" s="836"/>
      <c r="AD286" s="838"/>
      <c r="AG286" s="848"/>
      <c r="AH286" s="837"/>
      <c r="AI286" s="848"/>
      <c r="AJ286" s="848"/>
      <c r="AK286" s="848"/>
      <c r="AM286" s="848"/>
    </row>
    <row r="287" spans="11:82">
      <c r="K287" s="836"/>
      <c r="V287" s="836"/>
      <c r="Z287" s="1181"/>
    </row>
    <row r="288" spans="11:82">
      <c r="K288" s="836"/>
      <c r="V288" s="836"/>
      <c r="AC288" s="836"/>
      <c r="AD288" s="838"/>
      <c r="AG288" s="848"/>
      <c r="AH288" s="837"/>
      <c r="AI288" s="848"/>
      <c r="AJ288" s="848"/>
      <c r="AK288" s="848"/>
      <c r="AM288" s="848"/>
    </row>
    <row r="289" spans="7:39">
      <c r="K289" s="836"/>
      <c r="V289" s="836"/>
    </row>
    <row r="290" spans="7:39">
      <c r="K290" s="836"/>
      <c r="V290" s="836"/>
      <c r="AC290" s="836"/>
      <c r="AD290" s="838"/>
      <c r="AG290" s="848"/>
      <c r="AH290" s="837"/>
      <c r="AI290" s="848"/>
      <c r="AJ290" s="848"/>
      <c r="AK290" s="848"/>
      <c r="AM290" s="848"/>
    </row>
    <row r="291" spans="7:39">
      <c r="K291" s="836"/>
      <c r="V291" s="836"/>
    </row>
    <row r="292" spans="7:39">
      <c r="K292" s="836"/>
      <c r="V292" s="836"/>
      <c r="AC292" s="836"/>
      <c r="AD292" s="838"/>
      <c r="AG292" s="848"/>
      <c r="AH292" s="837"/>
      <c r="AI292" s="848"/>
      <c r="AJ292" s="848"/>
      <c r="AK292" s="848"/>
      <c r="AM292" s="848"/>
    </row>
    <row r="293" spans="7:39">
      <c r="K293" s="836"/>
      <c r="V293" s="836"/>
    </row>
    <row r="294" spans="7:39">
      <c r="K294" s="836"/>
      <c r="V294" s="836"/>
      <c r="AC294" s="836"/>
      <c r="AD294" s="836"/>
    </row>
    <row r="295" spans="7:39">
      <c r="G295" s="836"/>
      <c r="K295" s="836"/>
      <c r="V295" s="836"/>
      <c r="AC295" s="836"/>
      <c r="AD295" s="836"/>
    </row>
    <row r="296" spans="7:39">
      <c r="V296" s="836"/>
      <c r="AC296" s="836"/>
      <c r="AD296" s="836"/>
    </row>
    <row r="297" spans="7:39"/>
    <row r="298" spans="7:39"/>
    <row r="299" spans="7:39"/>
    <row r="300" spans="7:39"/>
    <row r="301" spans="7:39"/>
    <row r="302" spans="7:39">
      <c r="V302" s="836"/>
      <c r="AC302" s="836"/>
      <c r="AD302" s="836"/>
    </row>
    <row r="303" spans="7:39"/>
    <row r="304" spans="7:39"/>
    <row r="305" spans="2:25"/>
    <row r="306" spans="2:25"/>
    <row r="307" spans="2:25">
      <c r="I307" s="705">
        <v>843</v>
      </c>
      <c r="R307" s="1172" t="e">
        <f>LOOKUP($C$309,$I308:$I327,R308:R327)</f>
        <v>#N/A</v>
      </c>
    </row>
    <row r="308" spans="2:25">
      <c r="I308" s="848">
        <v>1</v>
      </c>
      <c r="J308" s="846">
        <v>0</v>
      </c>
      <c r="K308" s="848">
        <f>($B$309*I308)*J308</f>
        <v>0</v>
      </c>
      <c r="L308" s="829">
        <f>ROUND((K308*J308/100),0)</f>
        <v>0</v>
      </c>
      <c r="M308" s="1173">
        <f>AM$14</f>
        <v>0</v>
      </c>
      <c r="N308" s="848" t="e">
        <f>($C$310*I308)*M308</f>
        <v>#N/A</v>
      </c>
      <c r="O308" s="825" t="e">
        <f>IF(N308&gt;L308,N308,L308)</f>
        <v>#N/A</v>
      </c>
      <c r="P308" s="705" t="e">
        <f>ROUND((O308*(90%)),-2)</f>
        <v>#N/A</v>
      </c>
      <c r="S308" s="705" t="e">
        <f>ROUND($C$310*I308,0)</f>
        <v>#N/A</v>
      </c>
      <c r="T308" s="705" t="e">
        <f t="shared" ref="T308:T327" si="203">ROUND(S308*(105/100),0)</f>
        <v>#N/A</v>
      </c>
      <c r="U308" s="705">
        <f>$B$309</f>
        <v>0</v>
      </c>
      <c r="V308" s="836" t="e">
        <f>C310*10</f>
        <v>#N/A</v>
      </c>
      <c r="W308" s="836" t="e">
        <f>IF((U308&gt;$V$308),U308,$V$308)</f>
        <v>#N/A</v>
      </c>
      <c r="X308" s="836" t="e">
        <f t="shared" ref="X308:X327" si="204">R308+W308</f>
        <v>#N/A</v>
      </c>
      <c r="Y308" s="836" t="e">
        <f>IF(AND((Main!$E$9&gt;=18),(Main!$J$10="YES")),U308+X308,X308)</f>
        <v>#N/A</v>
      </c>
    </row>
    <row r="309" spans="2:25">
      <c r="B309" s="705">
        <f>DAT!L21</f>
        <v>0</v>
      </c>
      <c r="C309" s="705">
        <f>DAT!M21</f>
        <v>0</v>
      </c>
      <c r="I309" s="824">
        <v>2</v>
      </c>
      <c r="J309" s="846">
        <f>IF(C$309=10,C$16,IF(C$309=11,C$16,C$14))</f>
        <v>18.45</v>
      </c>
      <c r="K309" s="705" t="e">
        <f>$B$309*I309/$C$309</f>
        <v>#DIV/0!</v>
      </c>
      <c r="L309" s="829" t="e">
        <f>ROUND((K309*J309/100),0)</f>
        <v>#DIV/0!</v>
      </c>
      <c r="M309" s="1173">
        <f>AM$14</f>
        <v>0</v>
      </c>
      <c r="N309" s="848" t="e">
        <f>($C$310*I309)*M309</f>
        <v>#N/A</v>
      </c>
      <c r="O309" s="825" t="e">
        <f>IF(N309&gt;L309,N309,L309)</f>
        <v>#N/A</v>
      </c>
      <c r="P309" s="705" t="e">
        <f t="shared" ref="P309:P327" si="205">ROUND((O309*(90%)),-2)</f>
        <v>#N/A</v>
      </c>
      <c r="S309" s="705" t="e">
        <f t="shared" ref="S309:S327" si="206">ROUND($C$310*I309,0)</f>
        <v>#N/A</v>
      </c>
      <c r="T309" s="705" t="e">
        <f t="shared" si="203"/>
        <v>#N/A</v>
      </c>
      <c r="U309" s="705">
        <f t="shared" ref="U309:U327" si="207">$B$309</f>
        <v>0</v>
      </c>
      <c r="V309" s="836"/>
      <c r="W309" s="836" t="e">
        <f t="shared" ref="W309:W327" si="208">IF((U309&gt;$V$308),U309,$V$308)</f>
        <v>#N/A</v>
      </c>
      <c r="X309" s="836" t="e">
        <f t="shared" si="204"/>
        <v>#N/A</v>
      </c>
      <c r="Y309" s="836" t="e">
        <f>IF(AND((Main!$E$9&gt;=18),(Main!$J$10="YES")),U309+X309,X309)</f>
        <v>#N/A</v>
      </c>
    </row>
    <row r="310" spans="2:25">
      <c r="B310" s="705" t="e">
        <f>((DAT!E21*(100-DAT!F21)/100)-DAT!AA21)</f>
        <v>#N/A</v>
      </c>
      <c r="C310" s="705" t="e">
        <f>ROUND(B310*B309/1000,0)</f>
        <v>#N/A</v>
      </c>
      <c r="I310" s="824">
        <v>3</v>
      </c>
      <c r="J310" s="846">
        <f>IF(C$309=10,D$16,IF(C$309=11,D$16,D$14))</f>
        <v>19.829999999999998</v>
      </c>
      <c r="K310" s="705" t="e">
        <f t="shared" ref="K310:K327" si="209">$B$309*I310/$C$309</f>
        <v>#DIV/0!</v>
      </c>
      <c r="L310" s="829" t="e">
        <f t="shared" ref="L310:L327" si="210">ROUND((K310*J310/100),0)</f>
        <v>#DIV/0!</v>
      </c>
      <c r="M310" s="1173">
        <f>AN$14</f>
        <v>0.3</v>
      </c>
      <c r="N310" s="848" t="e">
        <f t="shared" ref="N310:N327" si="211">($C$310*I310)*M310</f>
        <v>#N/A</v>
      </c>
      <c r="O310" s="825" t="e">
        <f t="shared" ref="O310:O327" si="212">IF(N310&gt;L310,N310,L310)</f>
        <v>#N/A</v>
      </c>
      <c r="P310" s="705" t="e">
        <f t="shared" si="205"/>
        <v>#N/A</v>
      </c>
      <c r="S310" s="705" t="e">
        <f t="shared" si="206"/>
        <v>#N/A</v>
      </c>
      <c r="T310" s="705" t="e">
        <f t="shared" si="203"/>
        <v>#N/A</v>
      </c>
      <c r="U310" s="705">
        <f t="shared" si="207"/>
        <v>0</v>
      </c>
      <c r="V310" s="836"/>
      <c r="W310" s="836" t="e">
        <f t="shared" si="208"/>
        <v>#N/A</v>
      </c>
      <c r="X310" s="836" t="e">
        <f t="shared" si="204"/>
        <v>#N/A</v>
      </c>
      <c r="Y310" s="836" t="e">
        <f>IF(AND((Main!$E$9&gt;=18),(Main!$J$10="YES")),U310+X310,X310)</f>
        <v>#N/A</v>
      </c>
    </row>
    <row r="311" spans="2:25">
      <c r="I311" s="824">
        <v>4</v>
      </c>
      <c r="J311" s="846">
        <f>IF(C$309=10,E$16,IF(C$309=11,E$16,E$14))</f>
        <v>21.31</v>
      </c>
      <c r="K311" s="705" t="e">
        <f t="shared" si="209"/>
        <v>#DIV/0!</v>
      </c>
      <c r="L311" s="829" t="e">
        <f t="shared" si="210"/>
        <v>#DIV/0!</v>
      </c>
      <c r="M311" s="1173">
        <f>AO$14</f>
        <v>0.5</v>
      </c>
      <c r="N311" s="848" t="e">
        <f t="shared" si="211"/>
        <v>#N/A</v>
      </c>
      <c r="O311" s="825" t="e">
        <f t="shared" si="212"/>
        <v>#N/A</v>
      </c>
      <c r="P311" s="705" t="e">
        <f t="shared" si="205"/>
        <v>#N/A</v>
      </c>
      <c r="S311" s="705" t="e">
        <f t="shared" si="206"/>
        <v>#N/A</v>
      </c>
      <c r="T311" s="705" t="e">
        <f t="shared" si="203"/>
        <v>#N/A</v>
      </c>
      <c r="U311" s="705">
        <f t="shared" si="207"/>
        <v>0</v>
      </c>
      <c r="V311" s="836"/>
      <c r="W311" s="836" t="e">
        <f t="shared" si="208"/>
        <v>#N/A</v>
      </c>
      <c r="X311" s="836" t="e">
        <f t="shared" si="204"/>
        <v>#N/A</v>
      </c>
      <c r="Y311" s="836" t="e">
        <f>IF(AND((Main!$E$9&gt;=18),(Main!$J$10="YES")),U311+X311,X311)</f>
        <v>#N/A</v>
      </c>
    </row>
    <row r="312" spans="2:25">
      <c r="C312" s="848" t="e">
        <f>B309+R307</f>
        <v>#N/A</v>
      </c>
      <c r="I312" s="824">
        <v>5</v>
      </c>
      <c r="J312" s="846">
        <f>IF(C$309=10,F$16,IF(C$309=11,F$16,F$14))</f>
        <v>22.91</v>
      </c>
      <c r="K312" s="705" t="e">
        <f t="shared" si="209"/>
        <v>#DIV/0!</v>
      </c>
      <c r="L312" s="829" t="e">
        <f t="shared" si="210"/>
        <v>#DIV/0!</v>
      </c>
      <c r="M312" s="1173">
        <f>AP$14</f>
        <v>0.5</v>
      </c>
      <c r="N312" s="848" t="e">
        <f t="shared" si="211"/>
        <v>#N/A</v>
      </c>
      <c r="O312" s="825" t="e">
        <f t="shared" si="212"/>
        <v>#N/A</v>
      </c>
      <c r="P312" s="705" t="e">
        <f t="shared" si="205"/>
        <v>#N/A</v>
      </c>
      <c r="S312" s="705" t="e">
        <f t="shared" si="206"/>
        <v>#N/A</v>
      </c>
      <c r="T312" s="705" t="e">
        <f t="shared" si="203"/>
        <v>#N/A</v>
      </c>
      <c r="U312" s="705">
        <f t="shared" si="207"/>
        <v>0</v>
      </c>
      <c r="V312" s="836"/>
      <c r="W312" s="836" t="e">
        <f t="shared" si="208"/>
        <v>#N/A</v>
      </c>
      <c r="X312" s="836" t="e">
        <f t="shared" si="204"/>
        <v>#N/A</v>
      </c>
      <c r="Y312" s="836" t="e">
        <f>IF(AND((Main!$E$9&gt;=18),(Main!$J$10="YES")),U312+X312,X312)</f>
        <v>#N/A</v>
      </c>
    </row>
    <row r="313" spans="2:25">
      <c r="I313" s="824">
        <v>6</v>
      </c>
      <c r="J313" s="846">
        <f>IF(C$309=10,G$16,IF(C$309=11,G$16,G$14))</f>
        <v>24.63</v>
      </c>
      <c r="K313" s="705" t="e">
        <f t="shared" si="209"/>
        <v>#DIV/0!</v>
      </c>
      <c r="L313" s="829" t="e">
        <f t="shared" si="210"/>
        <v>#DIV/0!</v>
      </c>
      <c r="M313" s="1173">
        <f>AQ$14</f>
        <v>0.5</v>
      </c>
      <c r="N313" s="848" t="e">
        <f t="shared" si="211"/>
        <v>#N/A</v>
      </c>
      <c r="O313" s="825" t="e">
        <f t="shared" si="212"/>
        <v>#N/A</v>
      </c>
      <c r="P313" s="705" t="e">
        <f t="shared" si="205"/>
        <v>#N/A</v>
      </c>
      <c r="Q313" s="705">
        <v>100</v>
      </c>
      <c r="R313" s="705">
        <f t="shared" ref="R313:R327" si="213">($B$309/1000)*Q313</f>
        <v>0</v>
      </c>
      <c r="S313" s="705" t="e">
        <f t="shared" si="206"/>
        <v>#N/A</v>
      </c>
      <c r="T313" s="705" t="e">
        <f t="shared" si="203"/>
        <v>#N/A</v>
      </c>
      <c r="U313" s="705">
        <f t="shared" si="207"/>
        <v>0</v>
      </c>
      <c r="V313" s="836"/>
      <c r="W313" s="836" t="e">
        <f t="shared" si="208"/>
        <v>#N/A</v>
      </c>
      <c r="X313" s="836" t="e">
        <f t="shared" si="204"/>
        <v>#N/A</v>
      </c>
      <c r="Y313" s="836" t="e">
        <f>IF(AND((Main!$E$9&gt;=18),(Main!$J$10="YES")),U313+X313,X313)</f>
        <v>#N/A</v>
      </c>
    </row>
    <row r="314" spans="2:25">
      <c r="I314" s="824">
        <v>7</v>
      </c>
      <c r="J314" s="846">
        <f>IF(C$309=10,H$16,IF(C$309=11,H$16,H$14))</f>
        <v>26.48</v>
      </c>
      <c r="K314" s="705" t="e">
        <f t="shared" si="209"/>
        <v>#DIV/0!</v>
      </c>
      <c r="L314" s="829" t="e">
        <f t="shared" si="210"/>
        <v>#DIV/0!</v>
      </c>
      <c r="M314" s="1173">
        <f>AR$14</f>
        <v>0.5</v>
      </c>
      <c r="N314" s="848" t="e">
        <f t="shared" si="211"/>
        <v>#N/A</v>
      </c>
      <c r="O314" s="825" t="e">
        <f t="shared" si="212"/>
        <v>#N/A</v>
      </c>
      <c r="P314" s="705" t="e">
        <f t="shared" si="205"/>
        <v>#N/A</v>
      </c>
      <c r="Q314" s="705">
        <v>114</v>
      </c>
      <c r="R314" s="705">
        <f t="shared" si="213"/>
        <v>0</v>
      </c>
      <c r="S314" s="705" t="e">
        <f t="shared" si="206"/>
        <v>#N/A</v>
      </c>
      <c r="T314" s="705" t="e">
        <f t="shared" si="203"/>
        <v>#N/A</v>
      </c>
      <c r="U314" s="705">
        <f t="shared" si="207"/>
        <v>0</v>
      </c>
      <c r="V314" s="836"/>
      <c r="W314" s="836" t="e">
        <f t="shared" si="208"/>
        <v>#N/A</v>
      </c>
      <c r="X314" s="836" t="e">
        <f t="shared" si="204"/>
        <v>#N/A</v>
      </c>
      <c r="Y314" s="836" t="e">
        <f>IF(AND((Main!$E$9&gt;=18),(Main!$J$10="YES")),U314+X314,X314)</f>
        <v>#N/A</v>
      </c>
    </row>
    <row r="315" spans="2:25">
      <c r="I315" s="824">
        <v>8</v>
      </c>
      <c r="J315" s="846">
        <f>IF(C$309=10,I$16,IF(C$309=11,I$16,I$14))</f>
        <v>28.47</v>
      </c>
      <c r="K315" s="705" t="e">
        <f t="shared" si="209"/>
        <v>#DIV/0!</v>
      </c>
      <c r="L315" s="829" t="e">
        <f t="shared" si="210"/>
        <v>#DIV/0!</v>
      </c>
      <c r="M315" s="1173">
        <f>AS$14</f>
        <v>0.51759999999999995</v>
      </c>
      <c r="N315" s="848" t="e">
        <f t="shared" si="211"/>
        <v>#N/A</v>
      </c>
      <c r="O315" s="825" t="e">
        <f t="shared" si="212"/>
        <v>#N/A</v>
      </c>
      <c r="P315" s="705" t="e">
        <f t="shared" si="205"/>
        <v>#N/A</v>
      </c>
      <c r="Q315" s="705">
        <v>143</v>
      </c>
      <c r="R315" s="705">
        <f t="shared" si="213"/>
        <v>0</v>
      </c>
      <c r="S315" s="705" t="e">
        <f t="shared" si="206"/>
        <v>#N/A</v>
      </c>
      <c r="T315" s="705" t="e">
        <f t="shared" si="203"/>
        <v>#N/A</v>
      </c>
      <c r="U315" s="705">
        <f t="shared" si="207"/>
        <v>0</v>
      </c>
      <c r="V315" s="836"/>
      <c r="W315" s="836" t="e">
        <f t="shared" si="208"/>
        <v>#N/A</v>
      </c>
      <c r="X315" s="836" t="e">
        <f t="shared" si="204"/>
        <v>#N/A</v>
      </c>
      <c r="Y315" s="836" t="e">
        <f>IF(AND((Main!$E$9&gt;=18),(Main!$J$10="YES")),U315+X315,X315)</f>
        <v>#N/A</v>
      </c>
    </row>
    <row r="316" spans="2:25">
      <c r="I316" s="824">
        <v>9</v>
      </c>
      <c r="J316" s="846">
        <f>IF(C$309=10,J$16,IF(C$309=11,J$16,J$14))</f>
        <v>30.61</v>
      </c>
      <c r="K316" s="705" t="e">
        <f t="shared" si="209"/>
        <v>#DIV/0!</v>
      </c>
      <c r="L316" s="829" t="e">
        <f t="shared" si="210"/>
        <v>#DIV/0!</v>
      </c>
      <c r="M316" s="1173">
        <f>AT$14</f>
        <v>0.5353</v>
      </c>
      <c r="N316" s="848" t="e">
        <f t="shared" si="211"/>
        <v>#N/A</v>
      </c>
      <c r="O316" s="825" t="e">
        <f t="shared" si="212"/>
        <v>#N/A</v>
      </c>
      <c r="P316" s="705" t="e">
        <f t="shared" si="205"/>
        <v>#N/A</v>
      </c>
      <c r="Q316" s="705">
        <v>168</v>
      </c>
      <c r="R316" s="705">
        <f t="shared" si="213"/>
        <v>0</v>
      </c>
      <c r="S316" s="705" t="e">
        <f t="shared" si="206"/>
        <v>#N/A</v>
      </c>
      <c r="T316" s="705" t="e">
        <f t="shared" si="203"/>
        <v>#N/A</v>
      </c>
      <c r="U316" s="705">
        <f t="shared" si="207"/>
        <v>0</v>
      </c>
      <c r="V316" s="836"/>
      <c r="W316" s="836" t="e">
        <f t="shared" si="208"/>
        <v>#N/A</v>
      </c>
      <c r="X316" s="836" t="e">
        <f t="shared" si="204"/>
        <v>#N/A</v>
      </c>
      <c r="Y316" s="836" t="e">
        <f>IF(AND((Main!$E$9&gt;=18),(Main!$J$10="YES")),U316+X316,X316)</f>
        <v>#N/A</v>
      </c>
    </row>
    <row r="317" spans="2:25">
      <c r="I317" s="824">
        <v>10</v>
      </c>
      <c r="J317" s="846">
        <f>IF(C$309=10,K$16,IF(C$309=11,K$16,K$14))</f>
        <v>32.92</v>
      </c>
      <c r="K317" s="705" t="e">
        <f t="shared" si="209"/>
        <v>#DIV/0!</v>
      </c>
      <c r="L317" s="829" t="e">
        <f t="shared" si="210"/>
        <v>#DIV/0!</v>
      </c>
      <c r="M317" s="1173">
        <f>AU$14</f>
        <v>0.55289999999999995</v>
      </c>
      <c r="N317" s="848" t="e">
        <f t="shared" si="211"/>
        <v>#N/A</v>
      </c>
      <c r="O317" s="825" t="e">
        <f t="shared" si="212"/>
        <v>#N/A</v>
      </c>
      <c r="P317" s="705" t="e">
        <f t="shared" si="205"/>
        <v>#N/A</v>
      </c>
      <c r="Q317" s="705">
        <v>187</v>
      </c>
      <c r="R317" s="705">
        <f t="shared" si="213"/>
        <v>0</v>
      </c>
      <c r="S317" s="705" t="e">
        <f t="shared" si="206"/>
        <v>#N/A</v>
      </c>
      <c r="T317" s="705" t="e">
        <f t="shared" si="203"/>
        <v>#N/A</v>
      </c>
      <c r="U317" s="705">
        <f t="shared" si="207"/>
        <v>0</v>
      </c>
      <c r="V317" s="836"/>
      <c r="W317" s="836" t="e">
        <f t="shared" si="208"/>
        <v>#N/A</v>
      </c>
      <c r="X317" s="836" t="e">
        <f t="shared" si="204"/>
        <v>#N/A</v>
      </c>
      <c r="Y317" s="836" t="e">
        <f>IF(AND((Main!$E$9&gt;=18),(Main!$J$10="YES")),U317+X317,X317)</f>
        <v>#N/A</v>
      </c>
    </row>
    <row r="318" spans="2:25">
      <c r="I318" s="824">
        <v>11</v>
      </c>
      <c r="J318" s="846">
        <f>IF(C$309=10,L$16,IF(C$309=11,L$16,L$14))</f>
        <v>35.42</v>
      </c>
      <c r="K318" s="705" t="e">
        <f t="shared" si="209"/>
        <v>#DIV/0!</v>
      </c>
      <c r="L318" s="829" t="e">
        <f t="shared" si="210"/>
        <v>#DIV/0!</v>
      </c>
      <c r="M318" s="1173">
        <f>AV$14</f>
        <v>0.5706</v>
      </c>
      <c r="N318" s="848" t="e">
        <f t="shared" si="211"/>
        <v>#N/A</v>
      </c>
      <c r="O318" s="825" t="e">
        <f t="shared" si="212"/>
        <v>#N/A</v>
      </c>
      <c r="P318" s="705" t="e">
        <f t="shared" si="205"/>
        <v>#N/A</v>
      </c>
      <c r="Q318" s="705">
        <v>213</v>
      </c>
      <c r="R318" s="705">
        <f t="shared" si="213"/>
        <v>0</v>
      </c>
      <c r="S318" s="705" t="e">
        <f t="shared" si="206"/>
        <v>#N/A</v>
      </c>
      <c r="T318" s="705" t="e">
        <f t="shared" si="203"/>
        <v>#N/A</v>
      </c>
      <c r="U318" s="705">
        <f t="shared" si="207"/>
        <v>0</v>
      </c>
      <c r="V318" s="836"/>
      <c r="W318" s="836" t="e">
        <f t="shared" si="208"/>
        <v>#N/A</v>
      </c>
      <c r="X318" s="836" t="e">
        <f t="shared" si="204"/>
        <v>#N/A</v>
      </c>
      <c r="Y318" s="836" t="e">
        <f>IF(AND((Main!$E$9&gt;=18),(Main!$J$10="YES")),U318+X318,X318)</f>
        <v>#N/A</v>
      </c>
    </row>
    <row r="319" spans="2:25">
      <c r="I319" s="843">
        <v>12</v>
      </c>
      <c r="J319" s="846">
        <f>M$14</f>
        <v>38.1</v>
      </c>
      <c r="K319" s="705" t="e">
        <f t="shared" si="209"/>
        <v>#DIV/0!</v>
      </c>
      <c r="L319" s="829" t="e">
        <f t="shared" si="210"/>
        <v>#DIV/0!</v>
      </c>
      <c r="M319" s="1173">
        <f>AW$14</f>
        <v>0.58819999999999995</v>
      </c>
      <c r="N319" s="848" t="e">
        <f t="shared" si="211"/>
        <v>#N/A</v>
      </c>
      <c r="O319" s="825" t="e">
        <f t="shared" si="212"/>
        <v>#N/A</v>
      </c>
      <c r="P319" s="705" t="e">
        <f t="shared" si="205"/>
        <v>#N/A</v>
      </c>
      <c r="Q319" s="705">
        <v>237</v>
      </c>
      <c r="R319" s="705">
        <f t="shared" si="213"/>
        <v>0</v>
      </c>
      <c r="S319" s="705" t="e">
        <f t="shared" si="206"/>
        <v>#N/A</v>
      </c>
      <c r="T319" s="705" t="e">
        <f t="shared" si="203"/>
        <v>#N/A</v>
      </c>
      <c r="U319" s="705">
        <f t="shared" si="207"/>
        <v>0</v>
      </c>
      <c r="V319" s="836"/>
      <c r="W319" s="836" t="e">
        <f t="shared" si="208"/>
        <v>#N/A</v>
      </c>
      <c r="X319" s="836" t="e">
        <f t="shared" si="204"/>
        <v>#N/A</v>
      </c>
      <c r="Y319" s="836" t="e">
        <f>IF(AND((Main!$E$9&gt;=18),(Main!$J$10="YES")),U319+X319,X319)</f>
        <v>#N/A</v>
      </c>
    </row>
    <row r="320" spans="2:25">
      <c r="I320" s="843">
        <v>13</v>
      </c>
      <c r="J320" s="846">
        <f>N$14</f>
        <v>40.98</v>
      </c>
      <c r="K320" s="705" t="e">
        <f t="shared" si="209"/>
        <v>#DIV/0!</v>
      </c>
      <c r="L320" s="829" t="e">
        <f t="shared" si="210"/>
        <v>#DIV/0!</v>
      </c>
      <c r="M320" s="1173">
        <f>AX$14</f>
        <v>0.60589999999999999</v>
      </c>
      <c r="N320" s="848" t="e">
        <f t="shared" si="211"/>
        <v>#N/A</v>
      </c>
      <c r="O320" s="825" t="e">
        <f t="shared" si="212"/>
        <v>#N/A</v>
      </c>
      <c r="P320" s="705" t="e">
        <f t="shared" si="205"/>
        <v>#N/A</v>
      </c>
      <c r="Q320" s="705">
        <v>269</v>
      </c>
      <c r="R320" s="705">
        <f t="shared" si="213"/>
        <v>0</v>
      </c>
      <c r="S320" s="705" t="e">
        <f t="shared" si="206"/>
        <v>#N/A</v>
      </c>
      <c r="T320" s="705" t="e">
        <f t="shared" si="203"/>
        <v>#N/A</v>
      </c>
      <c r="U320" s="705">
        <f t="shared" si="207"/>
        <v>0</v>
      </c>
      <c r="V320" s="836"/>
      <c r="W320" s="836" t="e">
        <f t="shared" si="208"/>
        <v>#N/A</v>
      </c>
      <c r="X320" s="836" t="e">
        <f t="shared" si="204"/>
        <v>#N/A</v>
      </c>
      <c r="Y320" s="836" t="e">
        <f>IF(AND((Main!$E$9&gt;=18),(Main!$J$10="YES")),U320+X320,X320)</f>
        <v>#N/A</v>
      </c>
    </row>
    <row r="321" spans="2:25">
      <c r="I321" s="843">
        <v>14</v>
      </c>
      <c r="J321" s="846">
        <f>O$14</f>
        <v>44.09</v>
      </c>
      <c r="K321" s="705" t="e">
        <f t="shared" si="209"/>
        <v>#DIV/0!</v>
      </c>
      <c r="L321" s="829" t="e">
        <f t="shared" si="210"/>
        <v>#DIV/0!</v>
      </c>
      <c r="M321" s="1173">
        <f>AY$14</f>
        <v>0.62350000000000005</v>
      </c>
      <c r="N321" s="848" t="e">
        <f t="shared" si="211"/>
        <v>#N/A</v>
      </c>
      <c r="O321" s="825" t="e">
        <f t="shared" si="212"/>
        <v>#N/A</v>
      </c>
      <c r="P321" s="705" t="e">
        <f t="shared" si="205"/>
        <v>#N/A</v>
      </c>
      <c r="Q321" s="705">
        <v>298</v>
      </c>
      <c r="R321" s="705">
        <f t="shared" si="213"/>
        <v>0</v>
      </c>
      <c r="S321" s="705" t="e">
        <f t="shared" si="206"/>
        <v>#N/A</v>
      </c>
      <c r="T321" s="705" t="e">
        <f t="shared" si="203"/>
        <v>#N/A</v>
      </c>
      <c r="U321" s="705">
        <f t="shared" si="207"/>
        <v>0</v>
      </c>
      <c r="V321" s="836"/>
      <c r="W321" s="836" t="e">
        <f t="shared" si="208"/>
        <v>#N/A</v>
      </c>
      <c r="X321" s="836" t="e">
        <f t="shared" si="204"/>
        <v>#N/A</v>
      </c>
      <c r="Y321" s="836" t="e">
        <f>IF(AND((Main!$E$9&gt;=18),(Main!$J$10="YES")),U321+X321,X321)</f>
        <v>#N/A</v>
      </c>
    </row>
    <row r="322" spans="2:25">
      <c r="I322" s="843">
        <v>15</v>
      </c>
      <c r="J322" s="846">
        <f>P$14</f>
        <v>47.43</v>
      </c>
      <c r="K322" s="705" t="e">
        <f t="shared" si="209"/>
        <v>#DIV/0!</v>
      </c>
      <c r="L322" s="829" t="e">
        <f t="shared" si="210"/>
        <v>#DIV/0!</v>
      </c>
      <c r="M322" s="1173">
        <f>AZ$14</f>
        <v>0.64119999999999999</v>
      </c>
      <c r="N322" s="848" t="e">
        <f t="shared" si="211"/>
        <v>#N/A</v>
      </c>
      <c r="O322" s="825" t="e">
        <f t="shared" si="212"/>
        <v>#N/A</v>
      </c>
      <c r="P322" s="705" t="e">
        <f t="shared" si="205"/>
        <v>#N/A</v>
      </c>
      <c r="Q322" s="705">
        <v>325</v>
      </c>
      <c r="R322" s="705">
        <f t="shared" si="213"/>
        <v>0</v>
      </c>
      <c r="S322" s="705" t="e">
        <f t="shared" si="206"/>
        <v>#N/A</v>
      </c>
      <c r="T322" s="705" t="e">
        <f t="shared" si="203"/>
        <v>#N/A</v>
      </c>
      <c r="U322" s="705">
        <f t="shared" si="207"/>
        <v>0</v>
      </c>
      <c r="V322" s="836"/>
      <c r="W322" s="836" t="e">
        <f t="shared" si="208"/>
        <v>#N/A</v>
      </c>
      <c r="X322" s="836" t="e">
        <f t="shared" si="204"/>
        <v>#N/A</v>
      </c>
      <c r="Y322" s="836" t="e">
        <f>IF(AND((Main!$E$9&gt;=18),(Main!$J$10="YES")),U322+X322,X322)</f>
        <v>#N/A</v>
      </c>
    </row>
    <row r="323" spans="2:25">
      <c r="I323" s="843">
        <v>16</v>
      </c>
      <c r="J323" s="846">
        <f>Q$14</f>
        <v>50.25</v>
      </c>
      <c r="K323" s="705" t="e">
        <f t="shared" si="209"/>
        <v>#DIV/0!</v>
      </c>
      <c r="L323" s="829" t="e">
        <f t="shared" si="210"/>
        <v>#DIV/0!</v>
      </c>
      <c r="M323" s="1173">
        <f>BA$14</f>
        <v>0.65880000000000005</v>
      </c>
      <c r="N323" s="848" t="e">
        <f t="shared" si="211"/>
        <v>#N/A</v>
      </c>
      <c r="O323" s="825" t="e">
        <f t="shared" si="212"/>
        <v>#N/A</v>
      </c>
      <c r="P323" s="705" t="e">
        <f t="shared" si="205"/>
        <v>#N/A</v>
      </c>
      <c r="Q323" s="705">
        <v>356</v>
      </c>
      <c r="R323" s="705">
        <f t="shared" si="213"/>
        <v>0</v>
      </c>
      <c r="S323" s="705" t="e">
        <f t="shared" si="206"/>
        <v>#N/A</v>
      </c>
      <c r="T323" s="705" t="e">
        <f t="shared" si="203"/>
        <v>#N/A</v>
      </c>
      <c r="U323" s="705">
        <f t="shared" si="207"/>
        <v>0</v>
      </c>
      <c r="V323" s="836"/>
      <c r="W323" s="836" t="e">
        <f t="shared" si="208"/>
        <v>#N/A</v>
      </c>
      <c r="X323" s="836" t="e">
        <f t="shared" si="204"/>
        <v>#N/A</v>
      </c>
      <c r="Y323" s="836" t="e">
        <f>IF(AND((Main!$E$9&gt;=18),(Main!$J$10="YES")),U323+X323,X323)</f>
        <v>#N/A</v>
      </c>
    </row>
    <row r="324" spans="2:25">
      <c r="I324" s="843">
        <v>17</v>
      </c>
      <c r="J324" s="846">
        <f>R$14</f>
        <v>53.4</v>
      </c>
      <c r="K324" s="705" t="e">
        <f t="shared" si="209"/>
        <v>#DIV/0!</v>
      </c>
      <c r="L324" s="829" t="e">
        <f t="shared" si="210"/>
        <v>#DIV/0!</v>
      </c>
      <c r="M324" s="1173">
        <f>BB$14</f>
        <v>0.67649999999999999</v>
      </c>
      <c r="N324" s="848" t="e">
        <f t="shared" si="211"/>
        <v>#N/A</v>
      </c>
      <c r="O324" s="825" t="e">
        <f t="shared" si="212"/>
        <v>#N/A</v>
      </c>
      <c r="P324" s="705" t="e">
        <f t="shared" si="205"/>
        <v>#N/A</v>
      </c>
      <c r="Q324" s="705">
        <v>388</v>
      </c>
      <c r="R324" s="705">
        <f t="shared" si="213"/>
        <v>0</v>
      </c>
      <c r="S324" s="705" t="e">
        <f t="shared" si="206"/>
        <v>#N/A</v>
      </c>
      <c r="T324" s="705" t="e">
        <f t="shared" si="203"/>
        <v>#N/A</v>
      </c>
      <c r="U324" s="705">
        <f t="shared" si="207"/>
        <v>0</v>
      </c>
      <c r="V324" s="836"/>
      <c r="W324" s="836" t="e">
        <f t="shared" si="208"/>
        <v>#N/A</v>
      </c>
      <c r="X324" s="836" t="e">
        <f t="shared" si="204"/>
        <v>#N/A</v>
      </c>
      <c r="Y324" s="836" t="e">
        <f>IF(AND((Main!$E$9&gt;=18),(Main!$J$10="YES")),U324+X324,X324)</f>
        <v>#N/A</v>
      </c>
    </row>
    <row r="325" spans="2:25">
      <c r="I325" s="843">
        <v>18</v>
      </c>
      <c r="J325" s="846">
        <f>S$14</f>
        <v>56.95</v>
      </c>
      <c r="K325" s="705" t="e">
        <f t="shared" si="209"/>
        <v>#DIV/0!</v>
      </c>
      <c r="L325" s="829" t="e">
        <f t="shared" si="210"/>
        <v>#DIV/0!</v>
      </c>
      <c r="M325" s="1173">
        <f>BC$14</f>
        <v>0.69410000000000005</v>
      </c>
      <c r="N325" s="848" t="e">
        <f t="shared" si="211"/>
        <v>#N/A</v>
      </c>
      <c r="O325" s="825" t="e">
        <f t="shared" si="212"/>
        <v>#N/A</v>
      </c>
      <c r="P325" s="705" t="e">
        <f t="shared" si="205"/>
        <v>#N/A</v>
      </c>
      <c r="Q325" s="705">
        <v>417</v>
      </c>
      <c r="R325" s="705">
        <f t="shared" si="213"/>
        <v>0</v>
      </c>
      <c r="S325" s="705" t="e">
        <f t="shared" si="206"/>
        <v>#N/A</v>
      </c>
      <c r="T325" s="705" t="e">
        <f t="shared" si="203"/>
        <v>#N/A</v>
      </c>
      <c r="U325" s="705">
        <f t="shared" si="207"/>
        <v>0</v>
      </c>
      <c r="V325" s="836"/>
      <c r="W325" s="836" t="e">
        <f t="shared" si="208"/>
        <v>#N/A</v>
      </c>
      <c r="X325" s="836" t="e">
        <f t="shared" si="204"/>
        <v>#N/A</v>
      </c>
      <c r="Y325" s="836" t="e">
        <f>IF(AND((Main!$E$9&gt;=18),(Main!$J$10="YES")),U325+X325,X325)</f>
        <v>#N/A</v>
      </c>
    </row>
    <row r="326" spans="2:25">
      <c r="I326" s="843">
        <v>19</v>
      </c>
      <c r="J326" s="846">
        <f>T$14</f>
        <v>60.95</v>
      </c>
      <c r="K326" s="705" t="e">
        <f t="shared" si="209"/>
        <v>#DIV/0!</v>
      </c>
      <c r="L326" s="829" t="e">
        <f t="shared" si="210"/>
        <v>#DIV/0!</v>
      </c>
      <c r="M326" s="1173">
        <f>BD$14</f>
        <v>0.71179999999999999</v>
      </c>
      <c r="N326" s="848" t="e">
        <f t="shared" si="211"/>
        <v>#N/A</v>
      </c>
      <c r="O326" s="825" t="e">
        <f t="shared" si="212"/>
        <v>#N/A</v>
      </c>
      <c r="P326" s="705" t="e">
        <f t="shared" si="205"/>
        <v>#N/A</v>
      </c>
      <c r="Q326" s="705">
        <v>454</v>
      </c>
      <c r="R326" s="705">
        <f t="shared" si="213"/>
        <v>0</v>
      </c>
      <c r="S326" s="705" t="e">
        <f t="shared" si="206"/>
        <v>#N/A</v>
      </c>
      <c r="T326" s="705" t="e">
        <f t="shared" si="203"/>
        <v>#N/A</v>
      </c>
      <c r="U326" s="705">
        <f t="shared" si="207"/>
        <v>0</v>
      </c>
      <c r="V326" s="836"/>
      <c r="W326" s="836" t="e">
        <f t="shared" si="208"/>
        <v>#N/A</v>
      </c>
      <c r="X326" s="836" t="e">
        <f t="shared" si="204"/>
        <v>#N/A</v>
      </c>
      <c r="Y326" s="836" t="e">
        <f>IF(AND((Main!$E$9&gt;=18),(Main!$J$10="YES")),U326+X326,X326)</f>
        <v>#N/A</v>
      </c>
    </row>
    <row r="327" spans="2:25">
      <c r="I327" s="843">
        <v>20</v>
      </c>
      <c r="J327" s="846">
        <f>U$14</f>
        <v>65.489999999999995</v>
      </c>
      <c r="K327" s="705" t="e">
        <f t="shared" si="209"/>
        <v>#DIV/0!</v>
      </c>
      <c r="L327" s="829" t="e">
        <f t="shared" si="210"/>
        <v>#DIV/0!</v>
      </c>
      <c r="M327" s="1173">
        <f>BE$14</f>
        <v>0.72940000000000005</v>
      </c>
      <c r="N327" s="848" t="e">
        <f t="shared" si="211"/>
        <v>#N/A</v>
      </c>
      <c r="O327" s="825" t="e">
        <f t="shared" si="212"/>
        <v>#N/A</v>
      </c>
      <c r="P327" s="705" t="e">
        <f t="shared" si="205"/>
        <v>#N/A</v>
      </c>
      <c r="Q327" s="705">
        <v>525</v>
      </c>
      <c r="R327" s="705">
        <f t="shared" si="213"/>
        <v>0</v>
      </c>
      <c r="S327" s="705" t="e">
        <f t="shared" si="206"/>
        <v>#N/A</v>
      </c>
      <c r="T327" s="705" t="e">
        <f t="shared" si="203"/>
        <v>#N/A</v>
      </c>
      <c r="U327" s="705">
        <f t="shared" si="207"/>
        <v>0</v>
      </c>
      <c r="V327" s="836"/>
      <c r="W327" s="836" t="e">
        <f t="shared" si="208"/>
        <v>#N/A</v>
      </c>
      <c r="X327" s="836" t="e">
        <f t="shared" si="204"/>
        <v>#N/A</v>
      </c>
      <c r="Y327" s="836" t="e">
        <f>IF(AND((Main!$E$9&gt;=18),(Main!$J$10="YES")),U327+X327,X327)</f>
        <v>#N/A</v>
      </c>
    </row>
    <row r="328" spans="2:25"/>
    <row r="329" spans="2:25"/>
    <row r="330" spans="2:25"/>
    <row r="331" spans="2:25">
      <c r="I331" s="705">
        <v>844</v>
      </c>
      <c r="R331" s="1172" t="e">
        <f>LOOKUP($C$309,$I332:$I351,R332:R351)</f>
        <v>#N/A</v>
      </c>
    </row>
    <row r="332" spans="2:25">
      <c r="B332" s="705" t="e">
        <f>((DAT!E22*(100-DAT!F22)/100)-DAT!AA22)</f>
        <v>#N/A</v>
      </c>
      <c r="C332" s="705" t="e">
        <f>ROUND(B332*B309/1000,0)</f>
        <v>#N/A</v>
      </c>
      <c r="I332" s="848">
        <v>1</v>
      </c>
      <c r="J332" s="846">
        <v>0</v>
      </c>
      <c r="K332" s="848">
        <f>($B$309*I332)*J332</f>
        <v>0</v>
      </c>
      <c r="L332" s="829">
        <f>ROUND((K332*J332/100),0)</f>
        <v>0</v>
      </c>
      <c r="M332" s="1173">
        <f>AM$14</f>
        <v>0</v>
      </c>
      <c r="N332" s="848" t="e">
        <f>($C$310*I332)*M332</f>
        <v>#N/A</v>
      </c>
      <c r="O332" s="825" t="e">
        <f>IF(N332&gt;L332,N332,L332)</f>
        <v>#N/A</v>
      </c>
      <c r="P332" s="705" t="e">
        <f>ROUND((O332*(90%)),-2)</f>
        <v>#N/A</v>
      </c>
      <c r="S332" s="705" t="e">
        <f>ROUND($C$332*I332,0)</f>
        <v>#N/A</v>
      </c>
      <c r="T332" s="705" t="e">
        <f t="shared" ref="T332:T351" si="214">ROUND(S332*(105/100),0)</f>
        <v>#N/A</v>
      </c>
      <c r="U332" s="705">
        <f>$B$309*110%</f>
        <v>0</v>
      </c>
      <c r="V332" s="836" t="e">
        <f>C332*10</f>
        <v>#N/A</v>
      </c>
      <c r="W332" s="836" t="e">
        <f>IF((U332&gt;$V$332),U332,$V$332)</f>
        <v>#N/A</v>
      </c>
      <c r="X332" s="836" t="e">
        <f t="shared" ref="X332:X351" si="215">R332+W332</f>
        <v>#N/A</v>
      </c>
      <c r="Y332" s="836" t="e">
        <f>IF(AND((Main!$E$9&gt;=18),(Main!$J$10="YES")),$B$309+X332,X332)</f>
        <v>#N/A</v>
      </c>
    </row>
    <row r="333" spans="2:25">
      <c r="I333" s="824">
        <v>2</v>
      </c>
      <c r="J333" s="846">
        <f>IF(C$309=10,C$16,IF(C$309=11,C$16,C$14))</f>
        <v>18.45</v>
      </c>
      <c r="K333" s="705" t="e">
        <f>$B$309*I333/$C$309</f>
        <v>#DIV/0!</v>
      </c>
      <c r="L333" s="829" t="e">
        <f>ROUND((K333*J333/100),0)</f>
        <v>#DIV/0!</v>
      </c>
      <c r="M333" s="1173">
        <f>AM$14</f>
        <v>0</v>
      </c>
      <c r="N333" s="848" t="e">
        <f>($C$310*I333)*M333</f>
        <v>#N/A</v>
      </c>
      <c r="O333" s="825" t="e">
        <f>IF(N333&gt;L333,N333,L333)</f>
        <v>#N/A</v>
      </c>
      <c r="P333" s="705" t="e">
        <f t="shared" ref="P333:P351" si="216">ROUND((O333*(90%)),-2)</f>
        <v>#N/A</v>
      </c>
      <c r="S333" s="705" t="e">
        <f t="shared" ref="S333:S351" si="217">ROUND($C$332*I333,0)</f>
        <v>#N/A</v>
      </c>
      <c r="T333" s="705" t="e">
        <f t="shared" si="214"/>
        <v>#N/A</v>
      </c>
      <c r="U333" s="705">
        <f t="shared" ref="U333:U351" si="218">$B$309*110%</f>
        <v>0</v>
      </c>
      <c r="V333" s="836"/>
      <c r="W333" s="836" t="e">
        <f t="shared" ref="W333:W351" si="219">IF((U333&gt;$V$332),U333,$V$332)</f>
        <v>#N/A</v>
      </c>
      <c r="X333" s="836" t="e">
        <f t="shared" si="215"/>
        <v>#N/A</v>
      </c>
      <c r="Y333" s="836" t="e">
        <f>IF(AND((Main!$E$9&gt;=18),(Main!$J$10="YES")),$B$309+X333,X333)</f>
        <v>#N/A</v>
      </c>
    </row>
    <row r="334" spans="2:25">
      <c r="I334" s="824">
        <v>3</v>
      </c>
      <c r="J334" s="846">
        <f>IF(C$309=10,D$16,IF(C$309=11,D$16,D$14))</f>
        <v>19.829999999999998</v>
      </c>
      <c r="K334" s="705" t="e">
        <f t="shared" ref="K334:K351" si="220">$B$309*I334/$C$309</f>
        <v>#DIV/0!</v>
      </c>
      <c r="L334" s="829" t="e">
        <f t="shared" ref="L334:L351" si="221">ROUND((K334*J334/100),0)</f>
        <v>#DIV/0!</v>
      </c>
      <c r="M334" s="1173">
        <f>AN$14</f>
        <v>0.3</v>
      </c>
      <c r="N334" s="848" t="e">
        <f t="shared" ref="N334:N351" si="222">($C$310*I334)*M334</f>
        <v>#N/A</v>
      </c>
      <c r="O334" s="825" t="e">
        <f t="shared" ref="O334:O351" si="223">IF(N334&gt;L334,N334,L334)</f>
        <v>#N/A</v>
      </c>
      <c r="P334" s="705" t="e">
        <f t="shared" si="216"/>
        <v>#N/A</v>
      </c>
      <c r="S334" s="705" t="e">
        <f t="shared" si="217"/>
        <v>#N/A</v>
      </c>
      <c r="T334" s="705" t="e">
        <f t="shared" si="214"/>
        <v>#N/A</v>
      </c>
      <c r="U334" s="705">
        <f t="shared" si="218"/>
        <v>0</v>
      </c>
      <c r="V334" s="836"/>
      <c r="W334" s="836" t="e">
        <f t="shared" si="219"/>
        <v>#N/A</v>
      </c>
      <c r="X334" s="836" t="e">
        <f t="shared" si="215"/>
        <v>#N/A</v>
      </c>
      <c r="Y334" s="836" t="e">
        <f>IF(AND((Main!$E$9&gt;=18),(Main!$J$10="YES")),$B$309+X334,X334)</f>
        <v>#N/A</v>
      </c>
    </row>
    <row r="335" spans="2:25">
      <c r="C335" s="848" t="e">
        <f>B309+R331</f>
        <v>#N/A</v>
      </c>
      <c r="I335" s="824">
        <v>4</v>
      </c>
      <c r="J335" s="846">
        <f>IF(C$309=10,E$16,IF(C$309=11,E$16,E$14))</f>
        <v>21.31</v>
      </c>
      <c r="K335" s="705" t="e">
        <f t="shared" si="220"/>
        <v>#DIV/0!</v>
      </c>
      <c r="L335" s="829" t="e">
        <f t="shared" si="221"/>
        <v>#DIV/0!</v>
      </c>
      <c r="M335" s="1173">
        <f>AO$14</f>
        <v>0.5</v>
      </c>
      <c r="N335" s="848" t="e">
        <f t="shared" si="222"/>
        <v>#N/A</v>
      </c>
      <c r="O335" s="825" t="e">
        <f t="shared" si="223"/>
        <v>#N/A</v>
      </c>
      <c r="P335" s="705" t="e">
        <f t="shared" si="216"/>
        <v>#N/A</v>
      </c>
      <c r="S335" s="705" t="e">
        <f t="shared" si="217"/>
        <v>#N/A</v>
      </c>
      <c r="T335" s="705" t="e">
        <f t="shared" si="214"/>
        <v>#N/A</v>
      </c>
      <c r="U335" s="705">
        <f t="shared" si="218"/>
        <v>0</v>
      </c>
      <c r="V335" s="836"/>
      <c r="W335" s="836" t="e">
        <f t="shared" si="219"/>
        <v>#N/A</v>
      </c>
      <c r="X335" s="836" t="e">
        <f t="shared" si="215"/>
        <v>#N/A</v>
      </c>
      <c r="Y335" s="836" t="e">
        <f>IF(AND((Main!$E$9&gt;=18),(Main!$J$10="YES")),$B$309+X335,X335)</f>
        <v>#N/A</v>
      </c>
    </row>
    <row r="336" spans="2:25">
      <c r="I336" s="824">
        <v>5</v>
      </c>
      <c r="J336" s="846">
        <f>IF(C$309=10,F$16,IF(C$309=11,F$16,F$14))</f>
        <v>22.91</v>
      </c>
      <c r="K336" s="705" t="e">
        <f t="shared" si="220"/>
        <v>#DIV/0!</v>
      </c>
      <c r="L336" s="829" t="e">
        <f t="shared" si="221"/>
        <v>#DIV/0!</v>
      </c>
      <c r="M336" s="1173">
        <f>AP$14</f>
        <v>0.5</v>
      </c>
      <c r="N336" s="848" t="e">
        <f t="shared" si="222"/>
        <v>#N/A</v>
      </c>
      <c r="O336" s="825" t="e">
        <f t="shared" si="223"/>
        <v>#N/A</v>
      </c>
      <c r="P336" s="705" t="e">
        <f t="shared" si="216"/>
        <v>#N/A</v>
      </c>
      <c r="S336" s="705" t="e">
        <f t="shared" si="217"/>
        <v>#N/A</v>
      </c>
      <c r="T336" s="705" t="e">
        <f t="shared" si="214"/>
        <v>#N/A</v>
      </c>
      <c r="U336" s="705">
        <f t="shared" si="218"/>
        <v>0</v>
      </c>
      <c r="V336" s="836"/>
      <c r="W336" s="836" t="e">
        <f t="shared" si="219"/>
        <v>#N/A</v>
      </c>
      <c r="X336" s="836" t="e">
        <f t="shared" si="215"/>
        <v>#N/A</v>
      </c>
      <c r="Y336" s="836" t="e">
        <f>IF(AND((Main!$E$9&gt;=18),(Main!$J$10="YES")),$B$309+X336,X336)</f>
        <v>#N/A</v>
      </c>
    </row>
    <row r="337" spans="9:25">
      <c r="I337" s="824">
        <v>6</v>
      </c>
      <c r="J337" s="846">
        <f>IF(C$309=10,G$16,IF(C$309=11,G$16,G$14))</f>
        <v>24.63</v>
      </c>
      <c r="K337" s="705" t="e">
        <f t="shared" si="220"/>
        <v>#DIV/0!</v>
      </c>
      <c r="L337" s="829" t="e">
        <f t="shared" si="221"/>
        <v>#DIV/0!</v>
      </c>
      <c r="M337" s="1173">
        <f>AQ$14</f>
        <v>0.5</v>
      </c>
      <c r="N337" s="848" t="e">
        <f t="shared" si="222"/>
        <v>#N/A</v>
      </c>
      <c r="O337" s="825" t="e">
        <f t="shared" si="223"/>
        <v>#N/A</v>
      </c>
      <c r="P337" s="705" t="e">
        <f t="shared" si="216"/>
        <v>#N/A</v>
      </c>
      <c r="Q337" s="705">
        <v>100</v>
      </c>
      <c r="R337" s="705">
        <f t="shared" ref="R337:R351" si="224">($B$309/1000)*Q337</f>
        <v>0</v>
      </c>
      <c r="S337" s="705" t="e">
        <f t="shared" si="217"/>
        <v>#N/A</v>
      </c>
      <c r="T337" s="705" t="e">
        <f t="shared" si="214"/>
        <v>#N/A</v>
      </c>
      <c r="U337" s="705">
        <f t="shared" si="218"/>
        <v>0</v>
      </c>
      <c r="V337" s="836"/>
      <c r="W337" s="836" t="e">
        <f t="shared" si="219"/>
        <v>#N/A</v>
      </c>
      <c r="X337" s="836" t="e">
        <f t="shared" si="215"/>
        <v>#N/A</v>
      </c>
      <c r="Y337" s="836" t="e">
        <f>IF(AND((Main!$E$9&gt;=18),(Main!$J$10="YES")),$B$309+X337,X337)</f>
        <v>#N/A</v>
      </c>
    </row>
    <row r="338" spans="9:25">
      <c r="I338" s="824">
        <v>7</v>
      </c>
      <c r="J338" s="846">
        <f>IF(C$309=10,H$16,IF(C$309=11,H$16,H$14))</f>
        <v>26.48</v>
      </c>
      <c r="K338" s="705" t="e">
        <f t="shared" si="220"/>
        <v>#DIV/0!</v>
      </c>
      <c r="L338" s="829" t="e">
        <f t="shared" si="221"/>
        <v>#DIV/0!</v>
      </c>
      <c r="M338" s="1173">
        <f>AR$14</f>
        <v>0.5</v>
      </c>
      <c r="N338" s="848" t="e">
        <f t="shared" si="222"/>
        <v>#N/A</v>
      </c>
      <c r="O338" s="825" t="e">
        <f t="shared" si="223"/>
        <v>#N/A</v>
      </c>
      <c r="P338" s="705" t="e">
        <f t="shared" si="216"/>
        <v>#N/A</v>
      </c>
      <c r="Q338" s="705">
        <v>114</v>
      </c>
      <c r="R338" s="705">
        <f t="shared" si="224"/>
        <v>0</v>
      </c>
      <c r="S338" s="705" t="e">
        <f t="shared" si="217"/>
        <v>#N/A</v>
      </c>
      <c r="T338" s="705" t="e">
        <f t="shared" si="214"/>
        <v>#N/A</v>
      </c>
      <c r="U338" s="705">
        <f t="shared" si="218"/>
        <v>0</v>
      </c>
      <c r="V338" s="836"/>
      <c r="W338" s="836" t="e">
        <f t="shared" si="219"/>
        <v>#N/A</v>
      </c>
      <c r="X338" s="836" t="e">
        <f t="shared" si="215"/>
        <v>#N/A</v>
      </c>
      <c r="Y338" s="836" t="e">
        <f>IF(AND((Main!$E$9&gt;=18),(Main!$J$10="YES")),$B$309+X338,X338)</f>
        <v>#N/A</v>
      </c>
    </row>
    <row r="339" spans="9:25">
      <c r="I339" s="824">
        <v>8</v>
      </c>
      <c r="J339" s="846">
        <f>IF(C$309=10,I$16,IF(C$309=11,I$16,I$14))</f>
        <v>28.47</v>
      </c>
      <c r="K339" s="705" t="e">
        <f t="shared" si="220"/>
        <v>#DIV/0!</v>
      </c>
      <c r="L339" s="829" t="e">
        <f t="shared" si="221"/>
        <v>#DIV/0!</v>
      </c>
      <c r="M339" s="1173">
        <f>AS$14</f>
        <v>0.51759999999999995</v>
      </c>
      <c r="N339" s="848" t="e">
        <f t="shared" si="222"/>
        <v>#N/A</v>
      </c>
      <c r="O339" s="825" t="e">
        <f t="shared" si="223"/>
        <v>#N/A</v>
      </c>
      <c r="P339" s="705" t="e">
        <f t="shared" si="216"/>
        <v>#N/A</v>
      </c>
      <c r="Q339" s="705">
        <v>143</v>
      </c>
      <c r="R339" s="705">
        <f t="shared" si="224"/>
        <v>0</v>
      </c>
      <c r="S339" s="705" t="e">
        <f t="shared" si="217"/>
        <v>#N/A</v>
      </c>
      <c r="T339" s="705" t="e">
        <f t="shared" si="214"/>
        <v>#N/A</v>
      </c>
      <c r="U339" s="705">
        <f t="shared" si="218"/>
        <v>0</v>
      </c>
      <c r="V339" s="836"/>
      <c r="W339" s="836" t="e">
        <f t="shared" si="219"/>
        <v>#N/A</v>
      </c>
      <c r="X339" s="836" t="e">
        <f t="shared" si="215"/>
        <v>#N/A</v>
      </c>
      <c r="Y339" s="836" t="e">
        <f>IF(AND((Main!$E$9&gt;=18),(Main!$J$10="YES")),$B$309+X339,X339)</f>
        <v>#N/A</v>
      </c>
    </row>
    <row r="340" spans="9:25">
      <c r="I340" s="824">
        <v>9</v>
      </c>
      <c r="J340" s="846">
        <f>IF(C$309=10,J$16,IF(C$309=11,J$16,J$14))</f>
        <v>30.61</v>
      </c>
      <c r="K340" s="705" t="e">
        <f t="shared" si="220"/>
        <v>#DIV/0!</v>
      </c>
      <c r="L340" s="829" t="e">
        <f t="shared" si="221"/>
        <v>#DIV/0!</v>
      </c>
      <c r="M340" s="1173">
        <f>AT$14</f>
        <v>0.5353</v>
      </c>
      <c r="N340" s="848" t="e">
        <f t="shared" si="222"/>
        <v>#N/A</v>
      </c>
      <c r="O340" s="825" t="e">
        <f t="shared" si="223"/>
        <v>#N/A</v>
      </c>
      <c r="P340" s="705" t="e">
        <f t="shared" si="216"/>
        <v>#N/A</v>
      </c>
      <c r="Q340" s="705">
        <v>168</v>
      </c>
      <c r="R340" s="705">
        <f t="shared" si="224"/>
        <v>0</v>
      </c>
      <c r="S340" s="705" t="e">
        <f t="shared" si="217"/>
        <v>#N/A</v>
      </c>
      <c r="T340" s="705" t="e">
        <f t="shared" si="214"/>
        <v>#N/A</v>
      </c>
      <c r="U340" s="705">
        <f t="shared" si="218"/>
        <v>0</v>
      </c>
      <c r="V340" s="836"/>
      <c r="W340" s="836" t="e">
        <f t="shared" si="219"/>
        <v>#N/A</v>
      </c>
      <c r="X340" s="836" t="e">
        <f t="shared" si="215"/>
        <v>#N/A</v>
      </c>
      <c r="Y340" s="836" t="e">
        <f>IF(AND((Main!$E$9&gt;=18),(Main!$J$10="YES")),$B$309+X340,X340)</f>
        <v>#N/A</v>
      </c>
    </row>
    <row r="341" spans="9:25">
      <c r="I341" s="824">
        <v>10</v>
      </c>
      <c r="J341" s="846">
        <f>IF(C$309=10,K$16,IF(C$309=11,K$16,K$14))</f>
        <v>32.92</v>
      </c>
      <c r="K341" s="705" t="e">
        <f t="shared" si="220"/>
        <v>#DIV/0!</v>
      </c>
      <c r="L341" s="829" t="e">
        <f t="shared" si="221"/>
        <v>#DIV/0!</v>
      </c>
      <c r="M341" s="1173">
        <f>AU$14</f>
        <v>0.55289999999999995</v>
      </c>
      <c r="N341" s="848" t="e">
        <f t="shared" si="222"/>
        <v>#N/A</v>
      </c>
      <c r="O341" s="825" t="e">
        <f t="shared" si="223"/>
        <v>#N/A</v>
      </c>
      <c r="P341" s="705" t="e">
        <f t="shared" si="216"/>
        <v>#N/A</v>
      </c>
      <c r="Q341" s="705">
        <v>187</v>
      </c>
      <c r="R341" s="705">
        <f t="shared" si="224"/>
        <v>0</v>
      </c>
      <c r="S341" s="705" t="e">
        <f t="shared" si="217"/>
        <v>#N/A</v>
      </c>
      <c r="T341" s="705" t="e">
        <f t="shared" si="214"/>
        <v>#N/A</v>
      </c>
      <c r="U341" s="705">
        <f t="shared" si="218"/>
        <v>0</v>
      </c>
      <c r="V341" s="836"/>
      <c r="W341" s="836" t="e">
        <f t="shared" si="219"/>
        <v>#N/A</v>
      </c>
      <c r="X341" s="836" t="e">
        <f t="shared" si="215"/>
        <v>#N/A</v>
      </c>
      <c r="Y341" s="836" t="e">
        <f>IF(AND((Main!$E$9&gt;=18),(Main!$J$10="YES")),$B$309+X341,X341)</f>
        <v>#N/A</v>
      </c>
    </row>
    <row r="342" spans="9:25">
      <c r="I342" s="824">
        <v>11</v>
      </c>
      <c r="J342" s="846">
        <f>IF(C$309=10,L$16,IF(C$309=11,L$16,L$14))</f>
        <v>35.42</v>
      </c>
      <c r="K342" s="705" t="e">
        <f t="shared" si="220"/>
        <v>#DIV/0!</v>
      </c>
      <c r="L342" s="829" t="e">
        <f t="shared" si="221"/>
        <v>#DIV/0!</v>
      </c>
      <c r="M342" s="1173">
        <f>AV$14</f>
        <v>0.5706</v>
      </c>
      <c r="N342" s="848" t="e">
        <f t="shared" si="222"/>
        <v>#N/A</v>
      </c>
      <c r="O342" s="825" t="e">
        <f t="shared" si="223"/>
        <v>#N/A</v>
      </c>
      <c r="P342" s="705" t="e">
        <f t="shared" si="216"/>
        <v>#N/A</v>
      </c>
      <c r="Q342" s="705">
        <v>213</v>
      </c>
      <c r="R342" s="705">
        <f t="shared" si="224"/>
        <v>0</v>
      </c>
      <c r="S342" s="705" t="e">
        <f t="shared" si="217"/>
        <v>#N/A</v>
      </c>
      <c r="T342" s="705" t="e">
        <f t="shared" si="214"/>
        <v>#N/A</v>
      </c>
      <c r="U342" s="705">
        <f t="shared" si="218"/>
        <v>0</v>
      </c>
      <c r="V342" s="836"/>
      <c r="W342" s="836" t="e">
        <f t="shared" si="219"/>
        <v>#N/A</v>
      </c>
      <c r="X342" s="836" t="e">
        <f t="shared" si="215"/>
        <v>#N/A</v>
      </c>
      <c r="Y342" s="836" t="e">
        <f>IF(AND((Main!$E$9&gt;=18),(Main!$J$10="YES")),$B$309+X342,X342)</f>
        <v>#N/A</v>
      </c>
    </row>
    <row r="343" spans="9:25">
      <c r="I343" s="843">
        <v>12</v>
      </c>
      <c r="J343" s="846">
        <f>M$14</f>
        <v>38.1</v>
      </c>
      <c r="K343" s="705" t="e">
        <f t="shared" si="220"/>
        <v>#DIV/0!</v>
      </c>
      <c r="L343" s="829" t="e">
        <f t="shared" si="221"/>
        <v>#DIV/0!</v>
      </c>
      <c r="M343" s="1173">
        <f>AW$14</f>
        <v>0.58819999999999995</v>
      </c>
      <c r="N343" s="848" t="e">
        <f t="shared" si="222"/>
        <v>#N/A</v>
      </c>
      <c r="O343" s="825" t="e">
        <f t="shared" si="223"/>
        <v>#N/A</v>
      </c>
      <c r="P343" s="705" t="e">
        <f t="shared" si="216"/>
        <v>#N/A</v>
      </c>
      <c r="Q343" s="705">
        <v>237</v>
      </c>
      <c r="R343" s="705">
        <f t="shared" si="224"/>
        <v>0</v>
      </c>
      <c r="S343" s="705" t="e">
        <f t="shared" si="217"/>
        <v>#N/A</v>
      </c>
      <c r="T343" s="705" t="e">
        <f t="shared" si="214"/>
        <v>#N/A</v>
      </c>
      <c r="U343" s="705">
        <f t="shared" si="218"/>
        <v>0</v>
      </c>
      <c r="V343" s="836"/>
      <c r="W343" s="836" t="e">
        <f t="shared" si="219"/>
        <v>#N/A</v>
      </c>
      <c r="X343" s="836" t="e">
        <f t="shared" si="215"/>
        <v>#N/A</v>
      </c>
      <c r="Y343" s="836" t="e">
        <f>IF(AND((Main!$E$9&gt;=18),(Main!$J$10="YES")),$B$309+X343,X343)</f>
        <v>#N/A</v>
      </c>
    </row>
    <row r="344" spans="9:25">
      <c r="I344" s="843">
        <v>13</v>
      </c>
      <c r="J344" s="846">
        <f>N$14</f>
        <v>40.98</v>
      </c>
      <c r="K344" s="705" t="e">
        <f t="shared" si="220"/>
        <v>#DIV/0!</v>
      </c>
      <c r="L344" s="829" t="e">
        <f t="shared" si="221"/>
        <v>#DIV/0!</v>
      </c>
      <c r="M344" s="1173">
        <f>AX$14</f>
        <v>0.60589999999999999</v>
      </c>
      <c r="N344" s="848" t="e">
        <f t="shared" si="222"/>
        <v>#N/A</v>
      </c>
      <c r="O344" s="825" t="e">
        <f t="shared" si="223"/>
        <v>#N/A</v>
      </c>
      <c r="P344" s="705" t="e">
        <f t="shared" si="216"/>
        <v>#N/A</v>
      </c>
      <c r="Q344" s="705">
        <v>269</v>
      </c>
      <c r="R344" s="705">
        <f t="shared" si="224"/>
        <v>0</v>
      </c>
      <c r="S344" s="705" t="e">
        <f t="shared" si="217"/>
        <v>#N/A</v>
      </c>
      <c r="T344" s="705" t="e">
        <f t="shared" si="214"/>
        <v>#N/A</v>
      </c>
      <c r="U344" s="705">
        <f t="shared" si="218"/>
        <v>0</v>
      </c>
      <c r="V344" s="836"/>
      <c r="W344" s="836" t="e">
        <f t="shared" si="219"/>
        <v>#N/A</v>
      </c>
      <c r="X344" s="836" t="e">
        <f t="shared" si="215"/>
        <v>#N/A</v>
      </c>
      <c r="Y344" s="836" t="e">
        <f>IF(AND((Main!$E$9&gt;=18),(Main!$J$10="YES")),$B$309+X344,X344)</f>
        <v>#N/A</v>
      </c>
    </row>
    <row r="345" spans="9:25">
      <c r="I345" s="843">
        <v>14</v>
      </c>
      <c r="J345" s="846">
        <f>O$14</f>
        <v>44.09</v>
      </c>
      <c r="K345" s="705" t="e">
        <f t="shared" si="220"/>
        <v>#DIV/0!</v>
      </c>
      <c r="L345" s="829" t="e">
        <f t="shared" si="221"/>
        <v>#DIV/0!</v>
      </c>
      <c r="M345" s="1173">
        <f>AY$14</f>
        <v>0.62350000000000005</v>
      </c>
      <c r="N345" s="848" t="e">
        <f t="shared" si="222"/>
        <v>#N/A</v>
      </c>
      <c r="O345" s="825" t="e">
        <f t="shared" si="223"/>
        <v>#N/A</v>
      </c>
      <c r="P345" s="705" t="e">
        <f t="shared" si="216"/>
        <v>#N/A</v>
      </c>
      <c r="Q345" s="705">
        <v>298</v>
      </c>
      <c r="R345" s="705">
        <f t="shared" si="224"/>
        <v>0</v>
      </c>
      <c r="S345" s="705" t="e">
        <f t="shared" si="217"/>
        <v>#N/A</v>
      </c>
      <c r="T345" s="705" t="e">
        <f t="shared" si="214"/>
        <v>#N/A</v>
      </c>
      <c r="U345" s="705">
        <f t="shared" si="218"/>
        <v>0</v>
      </c>
      <c r="V345" s="836"/>
      <c r="W345" s="836" t="e">
        <f t="shared" si="219"/>
        <v>#N/A</v>
      </c>
      <c r="X345" s="836" t="e">
        <f t="shared" si="215"/>
        <v>#N/A</v>
      </c>
      <c r="Y345" s="836" t="e">
        <f>IF(AND((Main!$E$9&gt;=18),(Main!$J$10="YES")),$B$309+X345,X345)</f>
        <v>#N/A</v>
      </c>
    </row>
    <row r="346" spans="9:25">
      <c r="I346" s="843">
        <v>15</v>
      </c>
      <c r="J346" s="846">
        <f>P$14</f>
        <v>47.43</v>
      </c>
      <c r="K346" s="705" t="e">
        <f t="shared" si="220"/>
        <v>#DIV/0!</v>
      </c>
      <c r="L346" s="829" t="e">
        <f t="shared" si="221"/>
        <v>#DIV/0!</v>
      </c>
      <c r="M346" s="1173">
        <f>AZ$14</f>
        <v>0.64119999999999999</v>
      </c>
      <c r="N346" s="848" t="e">
        <f t="shared" si="222"/>
        <v>#N/A</v>
      </c>
      <c r="O346" s="825" t="e">
        <f t="shared" si="223"/>
        <v>#N/A</v>
      </c>
      <c r="P346" s="705" t="e">
        <f t="shared" si="216"/>
        <v>#N/A</v>
      </c>
      <c r="Q346" s="705">
        <v>325</v>
      </c>
      <c r="R346" s="705">
        <f t="shared" si="224"/>
        <v>0</v>
      </c>
      <c r="S346" s="705" t="e">
        <f t="shared" si="217"/>
        <v>#N/A</v>
      </c>
      <c r="T346" s="705" t="e">
        <f t="shared" si="214"/>
        <v>#N/A</v>
      </c>
      <c r="U346" s="705">
        <f t="shared" si="218"/>
        <v>0</v>
      </c>
      <c r="V346" s="836"/>
      <c r="W346" s="836" t="e">
        <f t="shared" si="219"/>
        <v>#N/A</v>
      </c>
      <c r="X346" s="836" t="e">
        <f t="shared" si="215"/>
        <v>#N/A</v>
      </c>
      <c r="Y346" s="836" t="e">
        <f>IF(AND((Main!$E$9&gt;=18),(Main!$J$10="YES")),$B$309+X346,X346)</f>
        <v>#N/A</v>
      </c>
    </row>
    <row r="347" spans="9:25">
      <c r="I347" s="843">
        <v>16</v>
      </c>
      <c r="J347" s="846">
        <f>Q$14</f>
        <v>50.25</v>
      </c>
      <c r="K347" s="705" t="e">
        <f t="shared" si="220"/>
        <v>#DIV/0!</v>
      </c>
      <c r="L347" s="829" t="e">
        <f t="shared" si="221"/>
        <v>#DIV/0!</v>
      </c>
      <c r="M347" s="1173">
        <f>BA$14</f>
        <v>0.65880000000000005</v>
      </c>
      <c r="N347" s="848" t="e">
        <f t="shared" si="222"/>
        <v>#N/A</v>
      </c>
      <c r="O347" s="825" t="e">
        <f t="shared" si="223"/>
        <v>#N/A</v>
      </c>
      <c r="P347" s="705" t="e">
        <f t="shared" si="216"/>
        <v>#N/A</v>
      </c>
      <c r="Q347" s="705">
        <v>356</v>
      </c>
      <c r="R347" s="705">
        <f t="shared" si="224"/>
        <v>0</v>
      </c>
      <c r="S347" s="705" t="e">
        <f t="shared" si="217"/>
        <v>#N/A</v>
      </c>
      <c r="T347" s="705" t="e">
        <f t="shared" si="214"/>
        <v>#N/A</v>
      </c>
      <c r="U347" s="705">
        <f t="shared" si="218"/>
        <v>0</v>
      </c>
      <c r="V347" s="836"/>
      <c r="W347" s="836" t="e">
        <f t="shared" si="219"/>
        <v>#N/A</v>
      </c>
      <c r="X347" s="836" t="e">
        <f t="shared" si="215"/>
        <v>#N/A</v>
      </c>
      <c r="Y347" s="836" t="e">
        <f>IF(AND((Main!$E$9&gt;=18),(Main!$J$10="YES")),$B$309+X347,X347)</f>
        <v>#N/A</v>
      </c>
    </row>
    <row r="348" spans="9:25">
      <c r="I348" s="843">
        <v>17</v>
      </c>
      <c r="J348" s="846">
        <f>R$14</f>
        <v>53.4</v>
      </c>
      <c r="K348" s="705" t="e">
        <f t="shared" si="220"/>
        <v>#DIV/0!</v>
      </c>
      <c r="L348" s="829" t="e">
        <f t="shared" si="221"/>
        <v>#DIV/0!</v>
      </c>
      <c r="M348" s="1173">
        <f>BB$14</f>
        <v>0.67649999999999999</v>
      </c>
      <c r="N348" s="848" t="e">
        <f t="shared" si="222"/>
        <v>#N/A</v>
      </c>
      <c r="O348" s="825" t="e">
        <f t="shared" si="223"/>
        <v>#N/A</v>
      </c>
      <c r="P348" s="705" t="e">
        <f t="shared" si="216"/>
        <v>#N/A</v>
      </c>
      <c r="Q348" s="705">
        <v>388</v>
      </c>
      <c r="R348" s="705">
        <f t="shared" si="224"/>
        <v>0</v>
      </c>
      <c r="S348" s="705" t="e">
        <f t="shared" si="217"/>
        <v>#N/A</v>
      </c>
      <c r="T348" s="705" t="e">
        <f t="shared" si="214"/>
        <v>#N/A</v>
      </c>
      <c r="U348" s="705">
        <f t="shared" si="218"/>
        <v>0</v>
      </c>
      <c r="V348" s="836"/>
      <c r="W348" s="836" t="e">
        <f t="shared" si="219"/>
        <v>#N/A</v>
      </c>
      <c r="X348" s="836" t="e">
        <f t="shared" si="215"/>
        <v>#N/A</v>
      </c>
      <c r="Y348" s="836" t="e">
        <f>IF(AND((Main!$E$9&gt;=18),(Main!$J$10="YES")),$B$309+X348,X348)</f>
        <v>#N/A</v>
      </c>
    </row>
    <row r="349" spans="9:25">
      <c r="I349" s="843">
        <v>18</v>
      </c>
      <c r="J349" s="846">
        <f>S$14</f>
        <v>56.95</v>
      </c>
      <c r="K349" s="705" t="e">
        <f t="shared" si="220"/>
        <v>#DIV/0!</v>
      </c>
      <c r="L349" s="829" t="e">
        <f t="shared" si="221"/>
        <v>#DIV/0!</v>
      </c>
      <c r="M349" s="1173">
        <f>BC$14</f>
        <v>0.69410000000000005</v>
      </c>
      <c r="N349" s="848" t="e">
        <f t="shared" si="222"/>
        <v>#N/A</v>
      </c>
      <c r="O349" s="825" t="e">
        <f t="shared" si="223"/>
        <v>#N/A</v>
      </c>
      <c r="P349" s="705" t="e">
        <f t="shared" si="216"/>
        <v>#N/A</v>
      </c>
      <c r="Q349" s="705">
        <v>417</v>
      </c>
      <c r="R349" s="705">
        <f t="shared" si="224"/>
        <v>0</v>
      </c>
      <c r="S349" s="705" t="e">
        <f t="shared" si="217"/>
        <v>#N/A</v>
      </c>
      <c r="T349" s="705" t="e">
        <f t="shared" si="214"/>
        <v>#N/A</v>
      </c>
      <c r="U349" s="705">
        <f t="shared" si="218"/>
        <v>0</v>
      </c>
      <c r="V349" s="836"/>
      <c r="W349" s="836" t="e">
        <f t="shared" si="219"/>
        <v>#N/A</v>
      </c>
      <c r="X349" s="836" t="e">
        <f t="shared" si="215"/>
        <v>#N/A</v>
      </c>
      <c r="Y349" s="836" t="e">
        <f>IF(AND((Main!$E$9&gt;=18),(Main!$J$10="YES")),$B$309+X349,X349)</f>
        <v>#N/A</v>
      </c>
    </row>
    <row r="350" spans="9:25">
      <c r="I350" s="843">
        <v>19</v>
      </c>
      <c r="J350" s="846">
        <f>T$14</f>
        <v>60.95</v>
      </c>
      <c r="K350" s="705" t="e">
        <f t="shared" si="220"/>
        <v>#DIV/0!</v>
      </c>
      <c r="L350" s="829" t="e">
        <f t="shared" si="221"/>
        <v>#DIV/0!</v>
      </c>
      <c r="M350" s="1173">
        <f>BD$14</f>
        <v>0.71179999999999999</v>
      </c>
      <c r="N350" s="848" t="e">
        <f t="shared" si="222"/>
        <v>#N/A</v>
      </c>
      <c r="O350" s="825" t="e">
        <f t="shared" si="223"/>
        <v>#N/A</v>
      </c>
      <c r="P350" s="705" t="e">
        <f t="shared" si="216"/>
        <v>#N/A</v>
      </c>
      <c r="Q350" s="705">
        <v>454</v>
      </c>
      <c r="R350" s="705">
        <f t="shared" si="224"/>
        <v>0</v>
      </c>
      <c r="S350" s="705" t="e">
        <f t="shared" si="217"/>
        <v>#N/A</v>
      </c>
      <c r="T350" s="705" t="e">
        <f t="shared" si="214"/>
        <v>#N/A</v>
      </c>
      <c r="U350" s="705">
        <f t="shared" si="218"/>
        <v>0</v>
      </c>
      <c r="V350" s="836"/>
      <c r="W350" s="836" t="e">
        <f t="shared" si="219"/>
        <v>#N/A</v>
      </c>
      <c r="X350" s="836" t="e">
        <f t="shared" si="215"/>
        <v>#N/A</v>
      </c>
      <c r="Y350" s="836" t="e">
        <f>IF(AND((Main!$E$9&gt;=18),(Main!$J$10="YES")),$B$309+X350,X350)</f>
        <v>#N/A</v>
      </c>
    </row>
    <row r="351" spans="9:25">
      <c r="I351" s="843">
        <v>20</v>
      </c>
      <c r="J351" s="846">
        <f>U$14</f>
        <v>65.489999999999995</v>
      </c>
      <c r="K351" s="705" t="e">
        <f t="shared" si="220"/>
        <v>#DIV/0!</v>
      </c>
      <c r="L351" s="829" t="e">
        <f t="shared" si="221"/>
        <v>#DIV/0!</v>
      </c>
      <c r="M351" s="1173">
        <f>BE$14</f>
        <v>0.72940000000000005</v>
      </c>
      <c r="N351" s="848" t="e">
        <f t="shared" si="222"/>
        <v>#N/A</v>
      </c>
      <c r="O351" s="825" t="e">
        <f t="shared" si="223"/>
        <v>#N/A</v>
      </c>
      <c r="P351" s="705" t="e">
        <f t="shared" si="216"/>
        <v>#N/A</v>
      </c>
      <c r="Q351" s="705">
        <v>525</v>
      </c>
      <c r="R351" s="705">
        <f t="shared" si="224"/>
        <v>0</v>
      </c>
      <c r="S351" s="705" t="e">
        <f t="shared" si="217"/>
        <v>#N/A</v>
      </c>
      <c r="T351" s="705" t="e">
        <f t="shared" si="214"/>
        <v>#N/A</v>
      </c>
      <c r="U351" s="705">
        <f t="shared" si="218"/>
        <v>0</v>
      </c>
      <c r="V351" s="836"/>
      <c r="W351" s="836" t="e">
        <f t="shared" si="219"/>
        <v>#N/A</v>
      </c>
      <c r="X351" s="836" t="e">
        <f t="shared" si="215"/>
        <v>#N/A</v>
      </c>
      <c r="Y351" s="836" t="e">
        <f>IF(AND((Main!$E$9&gt;=18),(Main!$J$10="YES")),$B$309+X351,X351)</f>
        <v>#N/A</v>
      </c>
    </row>
    <row r="352" spans="9:25"/>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sheetData>
  <dataValidations count="6">
    <dataValidation type="list" showErrorMessage="1" sqref="AU17">
      <formula1>"5.0,6.0,7.0,8.0,9.0,10.0,11.0,12.0,13.0,14.0,15.0,16.0,17.0,18.0,19.0,20.0,21.0,22.0,23.0,24.0,25.0,26.0,27.0,28.0,29.0,30.0,31.0,32.0,33.0,34.0,35.0"</formula1>
    </dataValidation>
    <dataValidation type="list" showErrorMessage="1" sqref="AT17">
      <formula1>"5.0,6.0,7.0,8.0,9.0,10.0,11.0,12.0,13.0,14.0,15.0,16.0,17.0,18.0,19.0,20.0"</formula1>
    </dataValidation>
    <dataValidation type="list" showErrorMessage="1" sqref="AP17">
      <formula1>"10.0,11.0,12.0,13.0,14.0,15.0,16.0,17.0,18.0,19.0,20.0,21.0,22.0,23.0,24.0,25.0"</formula1>
    </dataValidation>
    <dataValidation type="list" showErrorMessage="1" sqref="AO17">
      <formula1>"9.0,12.0,15.0"</formula1>
    </dataValidation>
    <dataValidation type="list" showErrorMessage="1" sqref="AN17">
      <formula1>"15.0,16.0,17.0,18.0,19.0,20.0,21.0,22.0,23.0,24.0,25.0,26.0,27.0,28.0,29.0,30.0,31.0,32.0,33.0,34.0,35.0"</formula1>
    </dataValidation>
    <dataValidation type="list" showErrorMessage="1" sqref="AM17">
      <formula1>"12.0,13.0,14.0,15.0,16.0,17.0,18.0,19.0,20.0,21.0,22.0,23.0,24.0,25.0,26.0,27.0,28.0,29.0,30.0,31.0,32.0,33.0,34.0,35.0"</formula1>
    </dataValidation>
  </dataValidations>
  <pageMargins left="0.7" right="0.7" top="0.75" bottom="0.75" header="0.3" footer="0.3"/>
  <pageSetup orientation="portrait" horizontalDpi="4294967293" verticalDpi="4294967293" r:id="rId1"/>
</worksheet>
</file>

<file path=xl/worksheets/sheet27.xml><?xml version="1.0" encoding="utf-8"?>
<worksheet xmlns="http://schemas.openxmlformats.org/spreadsheetml/2006/main" xmlns:r="http://schemas.openxmlformats.org/officeDocument/2006/relationships">
  <sheetPr codeName="Sheet521"/>
  <dimension ref="A1:BZ101"/>
  <sheetViews>
    <sheetView showGridLines="0" workbookViewId="0"/>
  </sheetViews>
  <sheetFormatPr defaultColWidth="0" defaultRowHeight="11.25" zeroHeight="1"/>
  <cols>
    <col min="1" max="1" width="8.125" style="836" customWidth="1"/>
    <col min="2" max="2" width="5" style="836" customWidth="1"/>
    <col min="3" max="5" width="6.625" style="836" customWidth="1"/>
    <col min="6" max="10" width="4.625" style="836" customWidth="1"/>
    <col min="11" max="11" width="8.125" style="836" customWidth="1"/>
    <col min="12" max="12" width="12.5" style="836" customWidth="1"/>
    <col min="13" max="13" width="4.625" style="836" customWidth="1"/>
    <col min="14" max="14" width="4.5" style="836" customWidth="1"/>
    <col min="15" max="15" width="5.5" style="836" customWidth="1"/>
    <col min="16" max="16" width="3.125" style="836" customWidth="1"/>
    <col min="17" max="17" width="6.625" style="836" customWidth="1"/>
    <col min="18" max="18" width="3.5" style="836" customWidth="1"/>
    <col min="19" max="19" width="3.375" style="836" customWidth="1"/>
    <col min="20" max="20" width="4.5" style="837" customWidth="1"/>
    <col min="21" max="21" width="8.625" style="836" customWidth="1"/>
    <col min="22" max="22" width="8.125" style="836" customWidth="1"/>
    <col min="23" max="23" width="8" style="836" customWidth="1"/>
    <col min="24" max="24" width="5.125" style="836" customWidth="1"/>
    <col min="25" max="26" width="4.375" style="836" customWidth="1"/>
    <col min="27" max="27" width="6.875" style="836" customWidth="1"/>
    <col min="28" max="28" width="8.625" style="838" customWidth="1"/>
    <col min="29" max="29" width="8.125" style="836" customWidth="1"/>
    <col min="30" max="30" width="8.5" style="836" customWidth="1"/>
    <col min="31" max="31" width="7.625" style="836" customWidth="1"/>
    <col min="32" max="32" width="7.5" style="836" customWidth="1"/>
    <col min="33" max="34" width="5.5" style="836" customWidth="1"/>
    <col min="35" max="35" width="8.625" style="836" customWidth="1"/>
    <col min="36" max="40" width="6.625" style="836" customWidth="1"/>
    <col min="41" max="41" width="8.625" style="836" bestFit="1" customWidth="1"/>
    <col min="42" max="42" width="8.5" style="836" bestFit="1" customWidth="1"/>
    <col min="43" max="43" width="6.625" style="836" customWidth="1"/>
    <col min="44" max="44" width="7.5" style="1182" customWidth="1"/>
    <col min="45" max="45" width="9.375" style="705" customWidth="1"/>
    <col min="46" max="46" width="10.375" style="705" customWidth="1"/>
    <col min="47" max="47" width="8" style="705" customWidth="1"/>
    <col min="48" max="49" width="6.625" style="705" customWidth="1"/>
    <col min="50" max="50" width="12.5" style="705" customWidth="1"/>
    <col min="51" max="56" width="6.625" style="705" customWidth="1"/>
    <col min="57" max="57" width="9" style="705" bestFit="1" customWidth="1"/>
    <col min="58" max="58" width="6.625" style="705" customWidth="1"/>
    <col min="59" max="59" width="8.125" style="705" customWidth="1"/>
    <col min="60" max="78" width="6.625" style="705" customWidth="1"/>
    <col min="79" max="16384" width="6.625" style="705" hidden="1"/>
  </cols>
  <sheetData>
    <row r="1" spans="1:61" ht="27" customHeight="1">
      <c r="D1" s="836">
        <f>Main!E7</f>
        <v>833</v>
      </c>
    </row>
    <row r="2" spans="1:61" ht="26.25" customHeight="1">
      <c r="A2" s="1183" t="str">
        <f t="shared" ref="A2:AF2" si="0">LOOKUP($D$1,$D$5:$D$22,A$5:A$22)</f>
        <v>JEEVAN LAKSHYA</v>
      </c>
      <c r="B2" s="1183" t="str">
        <f t="shared" si="0"/>
        <v>TERM</v>
      </c>
      <c r="C2" s="1183">
        <f t="shared" si="0"/>
        <v>13</v>
      </c>
      <c r="D2" s="1183">
        <f t="shared" si="0"/>
        <v>833</v>
      </c>
      <c r="E2" s="1183">
        <f t="shared" si="0"/>
        <v>44.55</v>
      </c>
      <c r="F2" s="1183">
        <f t="shared" si="0"/>
        <v>2</v>
      </c>
      <c r="G2" s="1183">
        <f t="shared" si="0"/>
        <v>1</v>
      </c>
      <c r="H2" s="1183">
        <f t="shared" si="0"/>
        <v>0</v>
      </c>
      <c r="I2" s="1183">
        <f t="shared" si="0"/>
        <v>0</v>
      </c>
      <c r="J2" s="1183">
        <f t="shared" si="0"/>
        <v>13</v>
      </c>
      <c r="K2" s="1183">
        <f t="shared" si="0"/>
        <v>25</v>
      </c>
      <c r="L2" s="1183">
        <f t="shared" si="0"/>
        <v>2500000</v>
      </c>
      <c r="M2" s="1183">
        <f t="shared" si="0"/>
        <v>25</v>
      </c>
      <c r="N2" s="1183">
        <f t="shared" si="0"/>
        <v>22</v>
      </c>
      <c r="O2" s="1183">
        <f t="shared" si="0"/>
        <v>30</v>
      </c>
      <c r="P2" s="1183">
        <f t="shared" si="0"/>
        <v>1</v>
      </c>
      <c r="Q2" s="1183">
        <f t="shared" si="0"/>
        <v>10000</v>
      </c>
      <c r="R2" s="1183" t="str">
        <f t="shared" si="0"/>
        <v>YES</v>
      </c>
      <c r="S2" s="1183" t="str">
        <f t="shared" si="0"/>
        <v>NO</v>
      </c>
      <c r="T2" s="1183">
        <f t="shared" si="0"/>
        <v>1.1000000000000001</v>
      </c>
      <c r="U2" s="1183">
        <f t="shared" si="0"/>
        <v>200000</v>
      </c>
      <c r="V2" s="1183">
        <f t="shared" si="0"/>
        <v>500000</v>
      </c>
      <c r="W2" s="1183">
        <f t="shared" si="0"/>
        <v>0</v>
      </c>
      <c r="X2" s="1183">
        <f t="shared" si="0"/>
        <v>2</v>
      </c>
      <c r="Y2" s="1183">
        <f t="shared" si="0"/>
        <v>3</v>
      </c>
      <c r="Z2" s="1183">
        <f t="shared" si="0"/>
        <v>0</v>
      </c>
      <c r="AA2" s="1183">
        <f t="shared" si="0"/>
        <v>3</v>
      </c>
      <c r="AB2" s="1183">
        <f t="shared" si="0"/>
        <v>0</v>
      </c>
      <c r="AC2" s="1183">
        <f t="shared" si="0"/>
        <v>104398</v>
      </c>
      <c r="AD2" s="1183">
        <f t="shared" si="0"/>
        <v>52756</v>
      </c>
      <c r="AE2" s="1183">
        <f t="shared" si="0"/>
        <v>26656</v>
      </c>
      <c r="AF2" s="1183">
        <f t="shared" si="0"/>
        <v>8885</v>
      </c>
      <c r="AG2" s="1183" t="str">
        <f t="shared" ref="AG2:BI2" si="1">LOOKUP($D$1,$D$5:$D$22,AG$5:AG$22)</f>
        <v>YES</v>
      </c>
      <c r="AH2" s="1183">
        <f t="shared" si="1"/>
        <v>3.13</v>
      </c>
      <c r="AI2" s="1183">
        <f t="shared" si="1"/>
        <v>0</v>
      </c>
      <c r="AJ2" s="1183">
        <f t="shared" si="1"/>
        <v>0</v>
      </c>
      <c r="AK2" s="1183">
        <f t="shared" si="1"/>
        <v>0</v>
      </c>
      <c r="AL2" s="1183">
        <f t="shared" si="1"/>
        <v>0</v>
      </c>
      <c r="AM2" s="1183">
        <f t="shared" si="1"/>
        <v>0</v>
      </c>
      <c r="AN2" s="1183">
        <f t="shared" si="1"/>
        <v>104398</v>
      </c>
      <c r="AO2" s="1183">
        <f t="shared" si="1"/>
        <v>52756</v>
      </c>
      <c r="AP2" s="1183">
        <f t="shared" si="1"/>
        <v>26656</v>
      </c>
      <c r="AQ2" s="1183">
        <f t="shared" si="1"/>
        <v>8885</v>
      </c>
      <c r="AR2" s="1183">
        <f t="shared" si="1"/>
        <v>4.4999999999999998E-2</v>
      </c>
      <c r="AS2" s="1183">
        <f t="shared" si="1"/>
        <v>0</v>
      </c>
      <c r="AT2" s="1183">
        <f t="shared" si="1"/>
        <v>109096</v>
      </c>
      <c r="AU2" s="1183">
        <f t="shared" si="1"/>
        <v>55130</v>
      </c>
      <c r="AV2" s="1183">
        <f t="shared" si="1"/>
        <v>27856</v>
      </c>
      <c r="AW2" s="1183">
        <f t="shared" si="1"/>
        <v>9285</v>
      </c>
      <c r="AX2" s="1183">
        <f t="shared" si="1"/>
        <v>2.2499999999999999E-2</v>
      </c>
      <c r="AY2" s="1183">
        <f t="shared" si="1"/>
        <v>106747</v>
      </c>
      <c r="AZ2" s="1183">
        <f t="shared" si="1"/>
        <v>299</v>
      </c>
      <c r="BA2" s="1183">
        <f t="shared" si="1"/>
        <v>18</v>
      </c>
      <c r="BB2" s="1183" t="str">
        <f t="shared" si="1"/>
        <v xml:space="preserve"> yrs LBD</v>
      </c>
      <c r="BC2" s="1183">
        <f t="shared" si="1"/>
        <v>50</v>
      </c>
      <c r="BD2" s="1183" t="str">
        <f t="shared" si="1"/>
        <v xml:space="preserve"> yrs NBD</v>
      </c>
      <c r="BE2" s="1183">
        <f t="shared" si="1"/>
        <v>100000</v>
      </c>
      <c r="BF2" s="1183" t="str">
        <f t="shared" si="1"/>
        <v>&amp; Multiples of 10000</v>
      </c>
      <c r="BG2" s="1183" t="str">
        <f t="shared" si="1"/>
        <v>NO LIMIT</v>
      </c>
      <c r="BH2" s="1183" t="str">
        <f t="shared" si="1"/>
        <v xml:space="preserve"> ALLOWED</v>
      </c>
      <c r="BI2" s="1183">
        <f t="shared" si="1"/>
        <v>65</v>
      </c>
    </row>
    <row r="3" spans="1:61" ht="21" customHeight="1">
      <c r="E3" s="839">
        <f>LOOKUP(N9,PM!C253:AG253,PM!C252:AG252)</f>
        <v>0</v>
      </c>
      <c r="L3" s="1184">
        <f>IF(Main!E$10&lt;150000,0,Main!E10)</f>
        <v>2500000</v>
      </c>
      <c r="N3" s="1185">
        <f>PM!AD180</f>
        <v>54</v>
      </c>
      <c r="O3" s="1185">
        <f>PM!BW155</f>
        <v>60</v>
      </c>
      <c r="P3" s="1185">
        <f>PM!BW158</f>
        <v>50</v>
      </c>
      <c r="Q3" s="1185" t="e">
        <f>PM!BW161</f>
        <v>#N/A</v>
      </c>
      <c r="X3" s="836">
        <v>0</v>
      </c>
      <c r="Y3" s="836">
        <v>0</v>
      </c>
      <c r="Z3" s="836">
        <v>5</v>
      </c>
      <c r="AA3" s="1186">
        <f>IF(L9&gt;=U9,IF(L9&gt;=V9,IF(L9&gt;=W9,Z3,Y3),X3),0)</f>
        <v>5</v>
      </c>
      <c r="AB3" s="840">
        <f>ROUND((($E3*(100-F8)/100)-$AA3)*$L3/1000+$L3*$T8/1000,0)</f>
        <v>-12500</v>
      </c>
      <c r="AS3" s="2352" t="s">
        <v>151</v>
      </c>
      <c r="AT3" s="2352"/>
      <c r="AU3" s="2352"/>
      <c r="AV3" s="2352"/>
      <c r="AW3" s="2352"/>
    </row>
    <row r="4" spans="1:61" ht="45" customHeight="1">
      <c r="A4" s="841"/>
      <c r="B4" s="841"/>
      <c r="C4" s="841" t="s">
        <v>150</v>
      </c>
      <c r="D4" s="841" t="s">
        <v>149</v>
      </c>
      <c r="E4" s="841" t="s">
        <v>148</v>
      </c>
      <c r="F4" s="841" t="s">
        <v>147</v>
      </c>
      <c r="G4" s="841" t="s">
        <v>146</v>
      </c>
      <c r="H4" s="841" t="s">
        <v>145</v>
      </c>
      <c r="I4" s="841" t="s">
        <v>144</v>
      </c>
      <c r="J4" s="841" t="s">
        <v>143</v>
      </c>
      <c r="K4" s="841" t="s">
        <v>142</v>
      </c>
      <c r="L4" s="1187" t="s">
        <v>141</v>
      </c>
      <c r="M4" s="1184" t="s">
        <v>140</v>
      </c>
      <c r="N4" s="1184" t="s">
        <v>139</v>
      </c>
      <c r="O4" s="1184" t="s">
        <v>138</v>
      </c>
      <c r="P4" s="841" t="s">
        <v>137</v>
      </c>
      <c r="Q4" s="841" t="s">
        <v>136</v>
      </c>
      <c r="R4" s="841" t="s">
        <v>47</v>
      </c>
      <c r="S4" s="841" t="s">
        <v>46</v>
      </c>
      <c r="T4" s="1188" t="s">
        <v>135</v>
      </c>
      <c r="U4" s="841" t="s">
        <v>134</v>
      </c>
      <c r="V4" s="841" t="s">
        <v>133</v>
      </c>
      <c r="W4" s="841" t="s">
        <v>132</v>
      </c>
      <c r="X4" s="841" t="s">
        <v>131</v>
      </c>
      <c r="Y4" s="841" t="s">
        <v>130</v>
      </c>
      <c r="Z4" s="841" t="s">
        <v>129</v>
      </c>
      <c r="AA4" s="1189" t="s">
        <v>128</v>
      </c>
      <c r="AB4" s="1190" t="s">
        <v>124</v>
      </c>
      <c r="AC4" s="1191" t="s">
        <v>11</v>
      </c>
      <c r="AD4" s="1191" t="s">
        <v>10</v>
      </c>
      <c r="AE4" s="1191" t="s">
        <v>9</v>
      </c>
      <c r="AF4" s="1191" t="s">
        <v>123</v>
      </c>
      <c r="AG4" s="1191" t="s">
        <v>127</v>
      </c>
      <c r="AI4" s="1187" t="s">
        <v>126</v>
      </c>
      <c r="AJ4" s="1191" t="s">
        <v>11</v>
      </c>
      <c r="AK4" s="1191" t="s">
        <v>10</v>
      </c>
      <c r="AL4" s="1191" t="s">
        <v>9</v>
      </c>
      <c r="AM4" s="1191" t="s">
        <v>123</v>
      </c>
      <c r="AN4" s="1191" t="s">
        <v>11</v>
      </c>
      <c r="AO4" s="1191" t="s">
        <v>10</v>
      </c>
      <c r="AP4" s="1191" t="s">
        <v>9</v>
      </c>
      <c r="AQ4" s="1191" t="s">
        <v>123</v>
      </c>
      <c r="AR4" s="1192" t="s">
        <v>125</v>
      </c>
      <c r="AS4" s="1190" t="s">
        <v>124</v>
      </c>
      <c r="AT4" s="1191" t="s">
        <v>11</v>
      </c>
      <c r="AU4" s="1191" t="s">
        <v>10</v>
      </c>
      <c r="AV4" s="1191" t="s">
        <v>9</v>
      </c>
      <c r="AW4" s="1191" t="s">
        <v>123</v>
      </c>
      <c r="AX4" s="1192" t="s">
        <v>122</v>
      </c>
      <c r="BA4" s="841" t="s">
        <v>121</v>
      </c>
      <c r="BB4" s="841"/>
      <c r="BC4" s="841" t="s">
        <v>120</v>
      </c>
      <c r="BD4" s="841"/>
      <c r="BE4" s="841" t="s">
        <v>119</v>
      </c>
      <c r="BF4" s="841"/>
      <c r="BG4" s="841" t="s">
        <v>118</v>
      </c>
      <c r="BH4" s="841" t="s">
        <v>117</v>
      </c>
      <c r="BI4" s="1193" t="s">
        <v>116</v>
      </c>
    </row>
    <row r="5" spans="1:61">
      <c r="A5" s="1194" t="s">
        <v>115</v>
      </c>
      <c r="B5" s="685" t="s">
        <v>67</v>
      </c>
      <c r="C5" s="841">
        <v>1</v>
      </c>
      <c r="D5" s="841">
        <v>814</v>
      </c>
      <c r="E5" s="839">
        <f>LOOKUP(M5,PM!C15:Z15,PM!C14:Z14)</f>
        <v>40.75</v>
      </c>
      <c r="F5" s="836">
        <v>2</v>
      </c>
      <c r="G5" s="836">
        <v>1</v>
      </c>
      <c r="H5" s="836">
        <v>0</v>
      </c>
      <c r="I5" s="836">
        <v>0</v>
      </c>
      <c r="J5" s="836">
        <v>12</v>
      </c>
      <c r="K5" s="836">
        <v>35</v>
      </c>
      <c r="L5" s="1184">
        <f>IF(Main!E$10&lt;100000,0,Main!E10)</f>
        <v>2500000</v>
      </c>
      <c r="M5" s="1184">
        <f>IF(OR((Main!$E$11&lt;J5),(Main!$E$11&gt;K5)),0,Main!$E$11)</f>
        <v>25</v>
      </c>
      <c r="N5" s="1195">
        <f>Main!E$12</f>
        <v>22</v>
      </c>
      <c r="O5" s="1184">
        <f>IF(OR((Main!$E$9&lt;BA5),(Main!$E$9&gt;BC5)),0,Main!$E$9)</f>
        <v>30</v>
      </c>
      <c r="P5" s="836">
        <f>IF(O5&gt;=18,1,0)</f>
        <v>1</v>
      </c>
      <c r="Q5" s="836">
        <v>5000</v>
      </c>
      <c r="R5" s="836" t="str">
        <f>IF(O5&lt;18,"NO",Main!$J$10)</f>
        <v>YES</v>
      </c>
      <c r="S5" s="836" t="str">
        <f>Main!$J$11</f>
        <v>NO</v>
      </c>
      <c r="T5" s="1188">
        <f>IF(P5=1,IF(R5="YES",IF(S5="YES",1.5,1),0),0)</f>
        <v>1</v>
      </c>
      <c r="U5" s="836">
        <v>200000</v>
      </c>
      <c r="V5" s="836">
        <v>500000</v>
      </c>
      <c r="X5" s="836">
        <v>2</v>
      </c>
      <c r="Y5" s="836">
        <v>3</v>
      </c>
      <c r="AA5" s="1186">
        <f>IF(L5&gt;=U5,IF(L5&gt;=V5,Y5,X5),0)</f>
        <v>3</v>
      </c>
      <c r="AB5" s="838">
        <v>0</v>
      </c>
      <c r="AC5" s="841">
        <f>ROUND((($E5*(100-F5)/100)-$AA5)*$L5/1000+$L5*$T5/1000,0)</f>
        <v>94838</v>
      </c>
      <c r="AD5" s="841">
        <f>ROUND((($E5*(100-G5)/100)-$AA5)*$L5/2000+$L5*$T5/2000,0)</f>
        <v>47928</v>
      </c>
      <c r="AE5" s="841">
        <f>ROUND((($E5*(100-H5)/100)-$AA5)*$L5/4000+$L5*$T5/4000,0)</f>
        <v>24219</v>
      </c>
      <c r="AF5" s="841">
        <f>ROUND((($E5*(100-I5)/100)-$AA5)*$L5/12000+$L5*$T5/12000,0)</f>
        <v>8073</v>
      </c>
      <c r="AG5" s="841" t="str">
        <f>Main!$L$10</f>
        <v>YES</v>
      </c>
      <c r="AH5" s="839">
        <f>IF(AG5="YES",PM!AZ$13,0)</f>
        <v>2.94</v>
      </c>
      <c r="AI5" s="1195">
        <f>IF(AG5="YES",Main!N$10,0)</f>
        <v>0</v>
      </c>
      <c r="AJ5" s="841">
        <f>ROUND((($AH5*(100-F5)/100))*$AI5/1000,0)</f>
        <v>0</v>
      </c>
      <c r="AK5" s="841">
        <f>ROUND((($AH5*(100-G5)/100))*$AI5/2000,0)</f>
        <v>0</v>
      </c>
      <c r="AL5" s="841">
        <f>ROUND((($AH5*(100-H5)/100))*$AI5/4000,0)</f>
        <v>0</v>
      </c>
      <c r="AM5" s="841">
        <f>ROUND((($AH5*(100-I5)/100))*$AI5/12000,0)</f>
        <v>0</v>
      </c>
      <c r="AN5" s="836">
        <f t="shared" ref="AN5:AQ6" si="2">AC5+AJ5+AF63</f>
        <v>94838</v>
      </c>
      <c r="AO5" s="836">
        <f t="shared" si="2"/>
        <v>47928</v>
      </c>
      <c r="AP5" s="836">
        <f t="shared" si="2"/>
        <v>24219</v>
      </c>
      <c r="AQ5" s="836">
        <f t="shared" si="2"/>
        <v>8073</v>
      </c>
      <c r="AR5" s="1196">
        <f>Main!$E$13</f>
        <v>4.4999999999999998E-2</v>
      </c>
      <c r="AS5" s="1197">
        <v>0</v>
      </c>
      <c r="AT5" s="1198">
        <f>ROUND(($AN5*$AR5)+$AN5,0)</f>
        <v>99106</v>
      </c>
      <c r="AU5" s="1198">
        <f t="shared" ref="AU5:AU22" si="3">ROUND(($AO5*$AR5)+$AO5,0)</f>
        <v>50085</v>
      </c>
      <c r="AV5" s="1198">
        <f t="shared" ref="AV5:AV22" si="4">ROUND(($AP5*$AR5)+$AP5,0)</f>
        <v>25309</v>
      </c>
      <c r="AW5" s="1198">
        <f t="shared" ref="AW5:AW22" si="5">ROUND(($AQ5*$AR5)+$AQ5,0)</f>
        <v>8436</v>
      </c>
      <c r="AX5" s="1196">
        <f>AR5/2</f>
        <v>2.2499999999999999E-2</v>
      </c>
      <c r="AY5" s="1199">
        <f t="shared" ref="AY5:AY22" si="6">ROUND(($AN5*$AX5)+$AN5,0)</f>
        <v>96972</v>
      </c>
      <c r="AZ5" s="705">
        <f>ROUND(AT5/365,0)</f>
        <v>272</v>
      </c>
      <c r="BA5" s="1194">
        <v>8</v>
      </c>
      <c r="BB5" s="1194" t="s">
        <v>114</v>
      </c>
      <c r="BC5" s="1194">
        <v>55</v>
      </c>
      <c r="BD5" s="1194" t="s">
        <v>65</v>
      </c>
      <c r="BE5" s="1194">
        <v>100000</v>
      </c>
      <c r="BF5" s="1194" t="s">
        <v>104</v>
      </c>
      <c r="BG5" s="705" t="s">
        <v>69</v>
      </c>
      <c r="BH5" s="1200" t="s">
        <v>73</v>
      </c>
      <c r="BI5" s="685">
        <v>75</v>
      </c>
    </row>
    <row r="6" spans="1:61">
      <c r="A6" s="1194" t="s">
        <v>113</v>
      </c>
      <c r="B6" s="685" t="s">
        <v>67</v>
      </c>
      <c r="C6" s="841">
        <v>2</v>
      </c>
      <c r="D6" s="841">
        <v>815</v>
      </c>
      <c r="E6" s="839">
        <f>LOOKUP(M6,PM!AB15:AW15,PM!AB14:AW14)</f>
        <v>46.75</v>
      </c>
      <c r="F6" s="836">
        <v>2</v>
      </c>
      <c r="G6" s="836">
        <v>1</v>
      </c>
      <c r="H6" s="836">
        <v>0</v>
      </c>
      <c r="I6" s="836">
        <v>0</v>
      </c>
      <c r="J6" s="836">
        <v>15</v>
      </c>
      <c r="K6" s="836">
        <v>35</v>
      </c>
      <c r="L6" s="1184">
        <f>IF(Main!E$10&lt;100000,0,Main!E10)</f>
        <v>2500000</v>
      </c>
      <c r="M6" s="1184">
        <f>IF(OR((Main!$E$11&lt;J6),(Main!$E$11&gt;K6)),0,Main!$E$11)</f>
        <v>25</v>
      </c>
      <c r="N6" s="1195">
        <f>Main!E$12</f>
        <v>22</v>
      </c>
      <c r="O6" s="1184">
        <f>IF(OR((Main!$E$9&lt;BA6),(Main!$E$9&gt;BC6)),0,Main!$E$9)</f>
        <v>30</v>
      </c>
      <c r="P6" s="836">
        <v>1</v>
      </c>
      <c r="Q6" s="836">
        <v>5000</v>
      </c>
      <c r="R6" s="836" t="str">
        <f>IF(O6&lt;18,"NO",Main!$J$10)</f>
        <v>YES</v>
      </c>
      <c r="S6" s="836" t="str">
        <f>Main!$J$11</f>
        <v>NO</v>
      </c>
      <c r="T6" s="1188">
        <f>IF(P6=1,IF(R6="YES",IF(S6="YES",1.5,1),0),0)</f>
        <v>1</v>
      </c>
      <c r="U6" s="836">
        <v>200000</v>
      </c>
      <c r="V6" s="836">
        <v>500000</v>
      </c>
      <c r="W6" s="836">
        <v>1000000</v>
      </c>
      <c r="X6" s="836">
        <v>1.5</v>
      </c>
      <c r="Y6" s="836">
        <v>2.5</v>
      </c>
      <c r="Z6" s="836">
        <v>3</v>
      </c>
      <c r="AA6" s="1186">
        <f>IF(L6&gt;=U6,IF(L6&gt;=V6,IF(L6&gt;=W6,Z6,Y6),X6),0)</f>
        <v>3</v>
      </c>
      <c r="AB6" s="838">
        <v>0</v>
      </c>
      <c r="AC6" s="841">
        <f>ROUND((($E6*(100-F6)/100)-$AA6)*$L6/1000+$L6*$T6/1000,0)</f>
        <v>109538</v>
      </c>
      <c r="AD6" s="841">
        <f>ROUND((($E6*(100-G6)/100)-$AA6)*$L6/2000+$L6*$T6/2000,0)</f>
        <v>55353</v>
      </c>
      <c r="AE6" s="841">
        <f>ROUND((($E6*(100-H6)/100)-$AA6)*$L6/4000+$L6*$T6/4000,0)</f>
        <v>27969</v>
      </c>
      <c r="AF6" s="841">
        <f>ROUND((($E6*(100-I6)/100)-$AA6)*$L6/12000+$L6*$T6/12000,0)</f>
        <v>9323</v>
      </c>
      <c r="AG6" s="841" t="str">
        <f>Main!$L$10</f>
        <v>YES</v>
      </c>
      <c r="AH6" s="839">
        <f>IF(AG6="YES",PM!BA$13,0)</f>
        <v>2.94</v>
      </c>
      <c r="AI6" s="1195">
        <f>IF(AG6="YES",Main!N$10,0)</f>
        <v>0</v>
      </c>
      <c r="AJ6" s="841">
        <f>ROUND((($AH6*(100-F6)/100))*$AI6/1000,0)</f>
        <v>0</v>
      </c>
      <c r="AK6" s="841">
        <f>ROUND((($AH6*(100-G6)/100))*$AI6/2000,0)</f>
        <v>0</v>
      </c>
      <c r="AL6" s="841">
        <f>ROUND((($AH6*(100-H6)/100))*$AI6/4000,0)</f>
        <v>0</v>
      </c>
      <c r="AM6" s="841">
        <f>ROUND((($AH6*(100-I6)/100))*$AI6/12000,0)</f>
        <v>0</v>
      </c>
      <c r="AN6" s="836">
        <f t="shared" si="2"/>
        <v>109538</v>
      </c>
      <c r="AO6" s="836">
        <f t="shared" si="2"/>
        <v>55353</v>
      </c>
      <c r="AP6" s="836">
        <f t="shared" si="2"/>
        <v>27969</v>
      </c>
      <c r="AQ6" s="836">
        <f t="shared" si="2"/>
        <v>9323</v>
      </c>
      <c r="AR6" s="1196">
        <f>Main!$E$13</f>
        <v>4.4999999999999998E-2</v>
      </c>
      <c r="AS6" s="1197">
        <v>0</v>
      </c>
      <c r="AT6" s="1198">
        <f>ROUND(($AN6*$AR6)+$AN6,0)</f>
        <v>114467</v>
      </c>
      <c r="AU6" s="1198">
        <f t="shared" si="3"/>
        <v>57844</v>
      </c>
      <c r="AV6" s="1198">
        <f t="shared" si="4"/>
        <v>29228</v>
      </c>
      <c r="AW6" s="1198">
        <f t="shared" si="5"/>
        <v>9743</v>
      </c>
      <c r="AX6" s="1196">
        <f>AR6/2</f>
        <v>2.2499999999999999E-2</v>
      </c>
      <c r="AY6" s="1199">
        <f t="shared" si="6"/>
        <v>112003</v>
      </c>
      <c r="AZ6" s="705">
        <f>ROUND(AT6/365,0)</f>
        <v>314</v>
      </c>
      <c r="BA6" s="1194">
        <v>18</v>
      </c>
      <c r="BB6" s="1194" t="s">
        <v>109</v>
      </c>
      <c r="BC6" s="1194">
        <v>50</v>
      </c>
      <c r="BD6" s="1194" t="s">
        <v>65</v>
      </c>
      <c r="BE6" s="1194">
        <v>100000</v>
      </c>
      <c r="BF6" s="1194" t="s">
        <v>104</v>
      </c>
      <c r="BG6" s="705" t="s">
        <v>69</v>
      </c>
      <c r="BH6" s="1200" t="s">
        <v>98</v>
      </c>
      <c r="BI6" s="685">
        <v>75</v>
      </c>
    </row>
    <row r="7" spans="1:61">
      <c r="A7" s="1194" t="s">
        <v>112</v>
      </c>
      <c r="B7" s="685" t="s">
        <v>67</v>
      </c>
      <c r="C7" s="841">
        <v>3</v>
      </c>
      <c r="D7" s="841">
        <v>816</v>
      </c>
      <c r="E7" s="839">
        <f>PM!BK153</f>
        <v>774</v>
      </c>
      <c r="F7" s="836">
        <v>0</v>
      </c>
      <c r="G7" s="836">
        <v>0</v>
      </c>
      <c r="H7" s="836">
        <v>0</v>
      </c>
      <c r="I7" s="836">
        <v>0</v>
      </c>
      <c r="J7" s="1194" t="s">
        <v>111</v>
      </c>
      <c r="K7" s="1194" t="s">
        <v>110</v>
      </c>
      <c r="L7" s="1184">
        <f>PM!BQ167</f>
        <v>2500000</v>
      </c>
      <c r="M7" s="1184">
        <f>IF(OR((Main!E11=9),(Main!E11=12),(Main!E11=15)),Main!E11,0)</f>
        <v>0</v>
      </c>
      <c r="N7" s="1195">
        <f>Main!E$12</f>
        <v>22</v>
      </c>
      <c r="O7" s="1184">
        <f>IF(OR((Main!$E$9&lt;BA7),(Main!$E$9&gt;BC7)),0,Main!$E$9)</f>
        <v>30</v>
      </c>
      <c r="P7" s="836">
        <v>0</v>
      </c>
      <c r="Q7" s="836">
        <v>5000</v>
      </c>
      <c r="R7" s="836" t="s">
        <v>80</v>
      </c>
      <c r="S7" s="836" t="str">
        <f>Main!$J$11</f>
        <v>NO</v>
      </c>
      <c r="T7" s="1188">
        <v>0</v>
      </c>
      <c r="AA7" s="837">
        <f>PM!BQ155</f>
        <v>3</v>
      </c>
      <c r="AB7" s="840">
        <f>AE65+AF65</f>
        <v>1876950</v>
      </c>
      <c r="AC7" s="842">
        <v>0</v>
      </c>
      <c r="AD7" s="842">
        <v>0</v>
      </c>
      <c r="AE7" s="842">
        <v>0</v>
      </c>
      <c r="AF7" s="842">
        <v>0</v>
      </c>
      <c r="AG7" s="841" t="s">
        <v>71</v>
      </c>
      <c r="AH7" s="841" t="s">
        <v>71</v>
      </c>
      <c r="AI7" s="841" t="s">
        <v>71</v>
      </c>
      <c r="AJ7" s="841">
        <v>0</v>
      </c>
      <c r="AK7" s="841">
        <v>0</v>
      </c>
      <c r="AL7" s="841">
        <v>0</v>
      </c>
      <c r="AM7" s="841">
        <v>0</v>
      </c>
      <c r="AN7" s="842">
        <v>0</v>
      </c>
      <c r="AO7" s="842">
        <v>0</v>
      </c>
      <c r="AP7" s="842">
        <v>0</v>
      </c>
      <c r="AQ7" s="842">
        <v>0</v>
      </c>
      <c r="AR7" s="1196">
        <f>Main!$E$13</f>
        <v>4.4999999999999998E-2</v>
      </c>
      <c r="AS7" s="1198">
        <f>ROUND(($AB7*$AR7)+$AB7,0)</f>
        <v>1961413</v>
      </c>
      <c r="AT7" s="1197">
        <v>0</v>
      </c>
      <c r="AU7" s="1198">
        <f t="shared" si="3"/>
        <v>0</v>
      </c>
      <c r="AV7" s="1198">
        <f t="shared" si="4"/>
        <v>0</v>
      </c>
      <c r="AW7" s="1198">
        <f t="shared" si="5"/>
        <v>0</v>
      </c>
      <c r="AX7" s="842">
        <v>0</v>
      </c>
      <c r="AY7" s="1199">
        <f t="shared" si="6"/>
        <v>0</v>
      </c>
      <c r="AZ7" s="705">
        <v>0</v>
      </c>
      <c r="BA7" s="1194">
        <v>15</v>
      </c>
      <c r="BB7" s="1194" t="s">
        <v>109</v>
      </c>
      <c r="BC7" s="1194" t="s">
        <v>108</v>
      </c>
      <c r="BD7" s="1194" t="s">
        <v>65</v>
      </c>
      <c r="BE7" s="1194" t="s">
        <v>107</v>
      </c>
      <c r="BF7" s="1194"/>
      <c r="BG7" s="705" t="s">
        <v>69</v>
      </c>
      <c r="BH7" s="1200" t="s">
        <v>68</v>
      </c>
      <c r="BI7" s="685">
        <v>75</v>
      </c>
    </row>
    <row r="8" spans="1:61">
      <c r="A8" s="1194" t="s">
        <v>106</v>
      </c>
      <c r="B8" s="685" t="s">
        <v>67</v>
      </c>
      <c r="C8" s="836">
        <v>4</v>
      </c>
      <c r="D8" s="836">
        <v>817</v>
      </c>
      <c r="E8" s="839">
        <f>LOOKUP(M8,PM!C75:R75,PM!C74:R74)</f>
        <v>470.9</v>
      </c>
      <c r="F8" s="836">
        <v>0</v>
      </c>
      <c r="G8" s="836">
        <v>0</v>
      </c>
      <c r="H8" s="836">
        <v>0</v>
      </c>
      <c r="I8" s="836">
        <v>0</v>
      </c>
      <c r="J8" s="836">
        <v>10</v>
      </c>
      <c r="K8" s="836">
        <v>25</v>
      </c>
      <c r="L8" s="1184">
        <f>IF(Main!E$10&lt;50000,0,Main!E10)</f>
        <v>2500000</v>
      </c>
      <c r="M8" s="1184">
        <f>IF(OR((Main!$E$11&lt;J8),(Main!$E$11&gt;K8)),0,Main!$E$11)</f>
        <v>25</v>
      </c>
      <c r="N8" s="1195">
        <f>Main!E$12</f>
        <v>22</v>
      </c>
      <c r="O8" s="1184">
        <f>Main!$E$9</f>
        <v>30</v>
      </c>
      <c r="P8" s="836">
        <v>0</v>
      </c>
      <c r="Q8" s="836">
        <v>5000</v>
      </c>
      <c r="R8" s="836" t="s">
        <v>80</v>
      </c>
      <c r="S8" s="836" t="str">
        <f>Main!$J$11</f>
        <v>NO</v>
      </c>
      <c r="T8" s="1188">
        <v>0</v>
      </c>
      <c r="U8" s="836">
        <v>100000</v>
      </c>
      <c r="V8" s="836">
        <v>200000</v>
      </c>
      <c r="W8" s="836">
        <v>300000</v>
      </c>
      <c r="X8" s="836">
        <v>18</v>
      </c>
      <c r="Y8" s="836">
        <v>25</v>
      </c>
      <c r="Z8" s="836">
        <v>30</v>
      </c>
      <c r="AA8" s="1186">
        <f>IF(L8&gt;=U8,IF(L8&gt;=V8,IF(L8&gt;=W8,Z8,Y8),X8),0)</f>
        <v>30</v>
      </c>
      <c r="AB8" s="840">
        <f>AE66+AF66</f>
        <v>1102250</v>
      </c>
      <c r="AC8" s="842">
        <v>0</v>
      </c>
      <c r="AD8" s="842">
        <v>0</v>
      </c>
      <c r="AE8" s="842">
        <v>0</v>
      </c>
      <c r="AF8" s="842">
        <v>0</v>
      </c>
      <c r="AG8" s="841" t="s">
        <v>71</v>
      </c>
      <c r="AH8" s="841" t="s">
        <v>71</v>
      </c>
      <c r="AI8" s="841" t="s">
        <v>71</v>
      </c>
      <c r="AJ8" s="841">
        <v>0</v>
      </c>
      <c r="AK8" s="841">
        <v>0</v>
      </c>
      <c r="AL8" s="841">
        <v>0</v>
      </c>
      <c r="AM8" s="841">
        <v>0</v>
      </c>
      <c r="AN8" s="842">
        <v>0</v>
      </c>
      <c r="AO8" s="842">
        <v>0</v>
      </c>
      <c r="AP8" s="842">
        <v>0</v>
      </c>
      <c r="AQ8" s="842">
        <v>0</v>
      </c>
      <c r="AR8" s="1196">
        <f>Main!$E$13</f>
        <v>4.4999999999999998E-2</v>
      </c>
      <c r="AS8" s="1198">
        <f>ROUND(($AB8*$AR8)+$AB8,0)</f>
        <v>1151851</v>
      </c>
      <c r="AT8" s="1197">
        <v>0</v>
      </c>
      <c r="AU8" s="1198">
        <f t="shared" si="3"/>
        <v>0</v>
      </c>
      <c r="AV8" s="1198">
        <f t="shared" si="4"/>
        <v>0</v>
      </c>
      <c r="AW8" s="1198">
        <f t="shared" si="5"/>
        <v>0</v>
      </c>
      <c r="AX8" s="842">
        <v>0</v>
      </c>
      <c r="AY8" s="1199">
        <f t="shared" si="6"/>
        <v>0</v>
      </c>
      <c r="AZ8" s="705">
        <v>0</v>
      </c>
      <c r="BA8" s="1194">
        <v>90</v>
      </c>
      <c r="BB8" s="1194" t="s">
        <v>105</v>
      </c>
      <c r="BC8" s="1194">
        <v>65</v>
      </c>
      <c r="BD8" s="1194" t="s">
        <v>65</v>
      </c>
      <c r="BE8" s="1194">
        <v>50000</v>
      </c>
      <c r="BF8" s="1194" t="s">
        <v>104</v>
      </c>
      <c r="BG8" s="705" t="s">
        <v>69</v>
      </c>
      <c r="BH8" s="1200" t="s">
        <v>68</v>
      </c>
      <c r="BI8" s="685">
        <v>75</v>
      </c>
    </row>
    <row r="9" spans="1:61">
      <c r="A9" s="1194" t="s">
        <v>103</v>
      </c>
      <c r="B9" s="685" t="s">
        <v>102</v>
      </c>
      <c r="C9" s="841">
        <v>5</v>
      </c>
      <c r="D9" s="841">
        <v>818</v>
      </c>
      <c r="E9" s="839">
        <f>LOOKUP(N9,PM!C207:AG207,PM!C206:AG206)</f>
        <v>0</v>
      </c>
      <c r="F9" s="836">
        <v>2</v>
      </c>
      <c r="G9" s="836">
        <v>1</v>
      </c>
      <c r="H9" s="836">
        <v>0</v>
      </c>
      <c r="I9" s="836">
        <v>0</v>
      </c>
      <c r="J9" s="1194">
        <v>55</v>
      </c>
      <c r="K9" s="1194">
        <v>65</v>
      </c>
      <c r="L9" s="1184">
        <f>IF(Main!E$10&lt;100000,0,Main!E10)</f>
        <v>2500000</v>
      </c>
      <c r="M9" s="1184">
        <f>IF(OR((Main!$E$11&lt;J9),(Main!$E$11&gt;K9)),0,Main!$E$11)</f>
        <v>0</v>
      </c>
      <c r="N9" s="1195">
        <f>Main!E$12</f>
        <v>22</v>
      </c>
      <c r="O9" s="1184">
        <f>IF(OR((Main!$E$9&lt;BA9),(Main!$E$9&gt;BC9)),0,Main!$E$9)</f>
        <v>30</v>
      </c>
      <c r="P9" s="836">
        <v>1</v>
      </c>
      <c r="Q9" s="836">
        <v>5000</v>
      </c>
      <c r="R9" s="836" t="str">
        <f>IF(O9&lt;18,"NO",Main!$J$10)</f>
        <v>YES</v>
      </c>
      <c r="S9" s="836" t="str">
        <f>Main!$J$11</f>
        <v>NO</v>
      </c>
      <c r="T9" s="1188">
        <f>IF(P9=1,IF(R9="YES",IF(S9="YES",1.5,1),0),0)</f>
        <v>1</v>
      </c>
      <c r="U9" s="836">
        <v>100000</v>
      </c>
      <c r="V9" s="836">
        <v>200000</v>
      </c>
      <c r="W9" s="836">
        <v>300000</v>
      </c>
      <c r="X9" s="836">
        <v>0</v>
      </c>
      <c r="Y9" s="836">
        <v>0</v>
      </c>
      <c r="Z9" s="836">
        <v>2</v>
      </c>
      <c r="AA9" s="1186">
        <f>IF(L9&gt;=U9,IF(L9&gt;=V9,IF(L9&gt;=W9,Z9,Y9),X9),0)</f>
        <v>2</v>
      </c>
      <c r="AB9" s="838" t="e">
        <f>AB3+AF79</f>
        <v>#VALUE!</v>
      </c>
      <c r="AC9" s="841">
        <f t="shared" ref="AC9:AC20" si="7">ROUND((($E9*(100-F9)/100)-$AA9)*$L9/1000+$L9*$T9/1000,0)</f>
        <v>-2500</v>
      </c>
      <c r="AD9" s="841">
        <f>ROUND((($E9*(100-G9)/100)-$AA9)*$L9/2000+$L9*$T9/2000,0)</f>
        <v>-1250</v>
      </c>
      <c r="AE9" s="841">
        <f>ROUND((($E9*(100-H9)/100)-$AA9)*$L9/4000+$L9*$T9/4000,0)</f>
        <v>-625</v>
      </c>
      <c r="AF9" s="841">
        <f>ROUND((($E9*(100-I9)/100)-$AA9)*$L9/12000+$L9*$T9/12000,0)</f>
        <v>-208</v>
      </c>
      <c r="AG9" s="841" t="s">
        <v>71</v>
      </c>
      <c r="AH9" s="841" t="s">
        <v>71</v>
      </c>
      <c r="AI9" s="841" t="s">
        <v>71</v>
      </c>
      <c r="AJ9" s="841">
        <v>0</v>
      </c>
      <c r="AK9" s="841">
        <v>0</v>
      </c>
      <c r="AL9" s="841">
        <v>0</v>
      </c>
      <c r="AM9" s="841">
        <v>0</v>
      </c>
      <c r="AN9" s="836" t="e">
        <f t="shared" ref="AN9:AQ15" si="8">AC9+AJ9+AF67</f>
        <v>#VALUE!</v>
      </c>
      <c r="AO9" s="836" t="e">
        <f t="shared" si="8"/>
        <v>#VALUE!</v>
      </c>
      <c r="AP9" s="836" t="e">
        <f t="shared" si="8"/>
        <v>#VALUE!</v>
      </c>
      <c r="AQ9" s="836" t="e">
        <f t="shared" si="8"/>
        <v>#VALUE!</v>
      </c>
      <c r="AR9" s="1196">
        <f>Main!$E$13</f>
        <v>4.4999999999999998E-2</v>
      </c>
      <c r="AS9" s="1198" t="e">
        <f>ROUND(($AB9*$AR9)+$AB9,0)</f>
        <v>#VALUE!</v>
      </c>
      <c r="AT9" s="1198" t="e">
        <f t="shared" ref="AT9:AT22" si="9">ROUND(($AN9*$AR9)+$AN9,0)</f>
        <v>#VALUE!</v>
      </c>
      <c r="AU9" s="1198" t="e">
        <f t="shared" si="3"/>
        <v>#VALUE!</v>
      </c>
      <c r="AV9" s="1198" t="e">
        <f t="shared" si="4"/>
        <v>#VALUE!</v>
      </c>
      <c r="AW9" s="1198" t="e">
        <f t="shared" si="5"/>
        <v>#VALUE!</v>
      </c>
      <c r="AX9" s="1196">
        <f>AR9/2</f>
        <v>2.2499999999999999E-2</v>
      </c>
      <c r="AY9" s="1199" t="e">
        <f t="shared" si="6"/>
        <v>#VALUE!</v>
      </c>
      <c r="AZ9" s="705" t="e">
        <f t="shared" ref="AZ9:AZ20" si="10">ROUND(AT9/365,0)</f>
        <v>#VALUE!</v>
      </c>
      <c r="BA9" s="1194">
        <v>20</v>
      </c>
      <c r="BB9" s="1194" t="s">
        <v>66</v>
      </c>
      <c r="BC9" s="1194">
        <v>60</v>
      </c>
      <c r="BD9" s="1194" t="s">
        <v>65</v>
      </c>
      <c r="BE9" s="1194" t="s">
        <v>101</v>
      </c>
      <c r="BF9" s="1194" t="s">
        <v>99</v>
      </c>
      <c r="BG9" s="705" t="s">
        <v>69</v>
      </c>
      <c r="BH9" s="1200" t="s">
        <v>68</v>
      </c>
      <c r="BI9" s="685">
        <v>35</v>
      </c>
    </row>
    <row r="10" spans="1:61">
      <c r="A10" s="1194" t="s">
        <v>100</v>
      </c>
      <c r="B10" s="685" t="s">
        <v>67</v>
      </c>
      <c r="C10" s="841">
        <v>6</v>
      </c>
      <c r="D10" s="841">
        <v>820</v>
      </c>
      <c r="E10" s="839">
        <f>PM!V74</f>
        <v>79.099999999999994</v>
      </c>
      <c r="F10" s="836">
        <v>2</v>
      </c>
      <c r="G10" s="836">
        <v>1</v>
      </c>
      <c r="H10" s="836">
        <v>0</v>
      </c>
      <c r="I10" s="836">
        <v>0</v>
      </c>
      <c r="J10" s="836">
        <v>20</v>
      </c>
      <c r="K10" s="836">
        <v>20</v>
      </c>
      <c r="L10" s="1184">
        <f>IF(Main!E$10&lt;100000,0,Main!E10)</f>
        <v>2500000</v>
      </c>
      <c r="M10" s="1184">
        <f>IF(OR((Main!$E$11&lt;J10),(Main!$E$11&gt;K10)),0,Main!$E$11)</f>
        <v>0</v>
      </c>
      <c r="N10" s="1195">
        <f>Main!E$12</f>
        <v>22</v>
      </c>
      <c r="O10" s="1184">
        <f>IF(OR((Main!$E$9&lt;BA10),(Main!$E$9&gt;BC10)),0,Main!$E$9)</f>
        <v>30</v>
      </c>
      <c r="P10" s="836">
        <f>IF(O10&gt;=18,1,0)</f>
        <v>1</v>
      </c>
      <c r="Q10" s="836">
        <v>5000</v>
      </c>
      <c r="R10" s="836" t="str">
        <f>IF(O10&lt;18,"NO",Main!$J$10)</f>
        <v>YES</v>
      </c>
      <c r="S10" s="836" t="str">
        <f>Main!$J$11</f>
        <v>NO</v>
      </c>
      <c r="T10" s="1188">
        <f>IF(P10=1,IF(R10="YES",IF(S10="YES",1.8,1.2),0),0)</f>
        <v>1.2</v>
      </c>
      <c r="U10" s="836">
        <v>200000</v>
      </c>
      <c r="V10" s="836">
        <v>500000</v>
      </c>
      <c r="X10" s="836">
        <v>2</v>
      </c>
      <c r="Y10" s="836">
        <v>3</v>
      </c>
      <c r="AA10" s="1186">
        <f>IF(L10&gt;=U10,IF(L10&gt;=V10,Y10,X10),0)</f>
        <v>3</v>
      </c>
      <c r="AB10" s="838">
        <v>0</v>
      </c>
      <c r="AC10" s="841">
        <f t="shared" si="7"/>
        <v>189295</v>
      </c>
      <c r="AD10" s="841">
        <f>ROUND((($E10*(100-G10)/100)-$AA10)*$L10/2000+$L10*$T10/2000,0)</f>
        <v>95636</v>
      </c>
      <c r="AE10" s="841">
        <f>ROUND((($E10*(100-H10)/100)-$AA10)*$L10/4000+$L10*$T10/4000,0)</f>
        <v>48313</v>
      </c>
      <c r="AF10" s="841">
        <f>ROUND((($E10*(100-I10)/100)-$AA10)*$L10/12000+$L10*$T10/12000,0)</f>
        <v>16104</v>
      </c>
      <c r="AG10" s="841" t="str">
        <f>Main!$L$10</f>
        <v>YES</v>
      </c>
      <c r="AH10" s="836">
        <f>IF(O10&lt;18,0,PM!AR70)</f>
        <v>2.92</v>
      </c>
      <c r="AI10" s="1195">
        <f>IF(AG10="YES",Main!N$10,0)</f>
        <v>0</v>
      </c>
      <c r="AJ10" s="841">
        <f>ROUND((($AH10*(100-F10)/100))*$AI10/1000,0)</f>
        <v>0</v>
      </c>
      <c r="AK10" s="841">
        <f>ROUND((($AH10*(100-G10)/100))*$AI10/2000,0)</f>
        <v>0</v>
      </c>
      <c r="AL10" s="841">
        <f>ROUND((($AH10*(100-H10)/100))*$AI10/4000,0)</f>
        <v>0</v>
      </c>
      <c r="AM10" s="841">
        <f>ROUND((($AH10*(100-I10)/100))*$AI10/12000,0)</f>
        <v>0</v>
      </c>
      <c r="AN10" s="836">
        <f t="shared" si="8"/>
        <v>189295</v>
      </c>
      <c r="AO10" s="836">
        <f t="shared" si="8"/>
        <v>95636</v>
      </c>
      <c r="AP10" s="836">
        <f t="shared" si="8"/>
        <v>48313</v>
      </c>
      <c r="AQ10" s="836">
        <f t="shared" si="8"/>
        <v>16104</v>
      </c>
      <c r="AR10" s="1196">
        <f>Main!$E$13</f>
        <v>4.4999999999999998E-2</v>
      </c>
      <c r="AS10" s="1197">
        <v>0</v>
      </c>
      <c r="AT10" s="1198">
        <f t="shared" si="9"/>
        <v>197813</v>
      </c>
      <c r="AU10" s="1198">
        <f t="shared" si="3"/>
        <v>99940</v>
      </c>
      <c r="AV10" s="1198">
        <f t="shared" si="4"/>
        <v>50487</v>
      </c>
      <c r="AW10" s="1198">
        <f t="shared" si="5"/>
        <v>16829</v>
      </c>
      <c r="AX10" s="1196">
        <f>AR10/2</f>
        <v>2.2499999999999999E-2</v>
      </c>
      <c r="AY10" s="1199">
        <f t="shared" si="6"/>
        <v>193554</v>
      </c>
      <c r="AZ10" s="705">
        <f t="shared" si="10"/>
        <v>542</v>
      </c>
      <c r="BA10" s="1194">
        <v>13</v>
      </c>
      <c r="BB10" s="1194" t="s">
        <v>66</v>
      </c>
      <c r="BC10" s="1194">
        <v>50</v>
      </c>
      <c r="BD10" s="1194" t="s">
        <v>65</v>
      </c>
      <c r="BE10" s="1194">
        <v>100000</v>
      </c>
      <c r="BF10" s="1194" t="s">
        <v>99</v>
      </c>
      <c r="BG10" s="705" t="s">
        <v>69</v>
      </c>
      <c r="BH10" s="1200" t="s">
        <v>98</v>
      </c>
      <c r="BI10" s="685">
        <v>70</v>
      </c>
    </row>
    <row r="11" spans="1:61">
      <c r="A11" s="1194" t="s">
        <v>97</v>
      </c>
      <c r="B11" s="685" t="s">
        <v>67</v>
      </c>
      <c r="C11" s="841">
        <v>7</v>
      </c>
      <c r="D11" s="841">
        <v>821</v>
      </c>
      <c r="E11" s="839">
        <f>PM!Y74</f>
        <v>61.45</v>
      </c>
      <c r="F11" s="836">
        <v>2</v>
      </c>
      <c r="G11" s="836">
        <v>1</v>
      </c>
      <c r="H11" s="836">
        <v>0</v>
      </c>
      <c r="I11" s="836">
        <v>0</v>
      </c>
      <c r="J11" s="836">
        <v>25</v>
      </c>
      <c r="K11" s="836">
        <v>25</v>
      </c>
      <c r="L11" s="1184">
        <f>IF(Main!E$10&lt;100000,0,Main!E10)</f>
        <v>2500000</v>
      </c>
      <c r="M11" s="1184">
        <f>IF(OR((Main!$E$11&lt;J11),(Main!$E$11&gt;K11)),0,Main!$E$11)</f>
        <v>25</v>
      </c>
      <c r="N11" s="1195">
        <f>Main!E$12</f>
        <v>22</v>
      </c>
      <c r="O11" s="1184">
        <f>IF(OR((Main!$E$9&lt;BA11),(Main!$E$9&gt;BC11)),0,Main!$E$9)</f>
        <v>30</v>
      </c>
      <c r="P11" s="836">
        <f>IF(O11&gt;=18,1,0)</f>
        <v>1</v>
      </c>
      <c r="Q11" s="836">
        <v>5000</v>
      </c>
      <c r="R11" s="836" t="str">
        <f>IF(O11&lt;18,"NO",Main!$J$10)</f>
        <v>YES</v>
      </c>
      <c r="S11" s="836" t="str">
        <f>Main!$J$11</f>
        <v>NO</v>
      </c>
      <c r="T11" s="1188">
        <f>IF(P11=1,IF(R11="YES",IF(S11="YES",1.5,1.15),0),0)</f>
        <v>1.1499999999999999</v>
      </c>
      <c r="U11" s="836">
        <v>200000</v>
      </c>
      <c r="V11" s="836">
        <v>500000</v>
      </c>
      <c r="X11" s="836">
        <v>2</v>
      </c>
      <c r="Y11" s="836">
        <v>3</v>
      </c>
      <c r="AA11" s="1186">
        <f>IF(L11&gt;=U11,IF(L11&gt;=V11,Y11,X11),0)</f>
        <v>3</v>
      </c>
      <c r="AB11" s="838">
        <v>0</v>
      </c>
      <c r="AC11" s="841">
        <f t="shared" si="7"/>
        <v>145928</v>
      </c>
      <c r="AD11" s="841">
        <f>ROUND((($E11*(100-G11)/100)-$AA11)*$L11/2000+$L11*$T11/2000,0)</f>
        <v>73732</v>
      </c>
      <c r="AE11" s="841">
        <f>ROUND((($E11*(100-H11)/100)-$AA11)*$L11/4000+$L11*$T11/4000,0)</f>
        <v>37250</v>
      </c>
      <c r="AF11" s="841">
        <f>ROUND((($E11*(100-I11)/100)-$AA11)*$L11/12000+$L11*$T11/12000,0)</f>
        <v>12417</v>
      </c>
      <c r="AG11" s="841" t="str">
        <f>Main!$L$10</f>
        <v>YES</v>
      </c>
      <c r="AH11" s="836">
        <f>IF(O11&lt;18,0,PM!AT70)</f>
        <v>3.3</v>
      </c>
      <c r="AI11" s="1195">
        <f>IF(AG11="YES",Main!N$10,0)</f>
        <v>0</v>
      </c>
      <c r="AJ11" s="841">
        <f>ROUND((($AH11*(100-F11)/100))*$AI11/1000,0)</f>
        <v>0</v>
      </c>
      <c r="AK11" s="841">
        <f>ROUND((($AH11*(100-G11)/100))*$AI11/2000,0)</f>
        <v>0</v>
      </c>
      <c r="AL11" s="841">
        <f>ROUND((($AH11*(100-H11)/100))*$AI11/4000,0)</f>
        <v>0</v>
      </c>
      <c r="AM11" s="841">
        <f>ROUND((($AH11*(100-I11)/100))*$AI11/12000,0)</f>
        <v>0</v>
      </c>
      <c r="AN11" s="836">
        <f t="shared" si="8"/>
        <v>145928</v>
      </c>
      <c r="AO11" s="836">
        <f t="shared" si="8"/>
        <v>73732</v>
      </c>
      <c r="AP11" s="836">
        <f t="shared" si="8"/>
        <v>37250</v>
      </c>
      <c r="AQ11" s="836">
        <f t="shared" si="8"/>
        <v>12417</v>
      </c>
      <c r="AR11" s="1196">
        <f>Main!$E$13</f>
        <v>4.4999999999999998E-2</v>
      </c>
      <c r="AS11" s="1197">
        <v>0</v>
      </c>
      <c r="AT11" s="1198">
        <f t="shared" si="9"/>
        <v>152495</v>
      </c>
      <c r="AU11" s="1198">
        <f t="shared" si="3"/>
        <v>77050</v>
      </c>
      <c r="AV11" s="1198">
        <f t="shared" si="4"/>
        <v>38926</v>
      </c>
      <c r="AW11" s="1198">
        <f t="shared" si="5"/>
        <v>12976</v>
      </c>
      <c r="AX11" s="1196">
        <f>AR11/2</f>
        <v>2.2499999999999999E-2</v>
      </c>
      <c r="AY11" s="1199">
        <f t="shared" si="6"/>
        <v>149211</v>
      </c>
      <c r="AZ11" s="705">
        <f t="shared" si="10"/>
        <v>418</v>
      </c>
      <c r="BA11" s="1194">
        <v>13</v>
      </c>
      <c r="BB11" s="1194" t="s">
        <v>66</v>
      </c>
      <c r="BC11" s="1194">
        <v>45</v>
      </c>
      <c r="BD11" s="1194" t="s">
        <v>65</v>
      </c>
      <c r="BE11" s="1194">
        <v>100000</v>
      </c>
      <c r="BF11" s="1194" t="s">
        <v>96</v>
      </c>
      <c r="BG11" s="705" t="s">
        <v>69</v>
      </c>
      <c r="BH11" s="1200" t="s">
        <v>95</v>
      </c>
      <c r="BI11" s="685">
        <v>70</v>
      </c>
    </row>
    <row r="12" spans="1:61">
      <c r="A12" s="1194" t="s">
        <v>94</v>
      </c>
      <c r="B12" s="685" t="s">
        <v>67</v>
      </c>
      <c r="C12" s="841">
        <v>8</v>
      </c>
      <c r="D12" s="841">
        <v>822</v>
      </c>
      <c r="E12" s="839">
        <f>LOOKUP(M12,PM!C309:W309,PM!C308:W308)</f>
        <v>3.54</v>
      </c>
      <c r="F12" s="836">
        <v>0</v>
      </c>
      <c r="G12" s="836">
        <v>2</v>
      </c>
      <c r="H12" s="836">
        <v>0</v>
      </c>
      <c r="I12" s="836">
        <v>0</v>
      </c>
      <c r="J12" s="1194">
        <v>5</v>
      </c>
      <c r="K12" s="1194">
        <v>25</v>
      </c>
      <c r="L12" s="1184">
        <f>IF(OR((Main!E10&lt;600000),(Main!E10&gt;2400000)),0,Main!E10)</f>
        <v>0</v>
      </c>
      <c r="M12" s="1184">
        <f>IF(OR((Main!$E$11&lt;J12),(Main!$E$11&gt;K12)),0,Main!$E$11)</f>
        <v>25</v>
      </c>
      <c r="N12" s="1195">
        <f>Main!E$12</f>
        <v>22</v>
      </c>
      <c r="O12" s="1184">
        <f>IF(OR((Main!$E$9&lt;BA12),(Main!$E$9&gt;BC12)),0,Main!$E$9)</f>
        <v>30</v>
      </c>
      <c r="P12" s="836">
        <v>0</v>
      </c>
      <c r="Q12" s="836">
        <v>10000</v>
      </c>
      <c r="R12" s="836" t="s">
        <v>80</v>
      </c>
      <c r="S12" s="836" t="str">
        <f>Main!$J$11</f>
        <v>NO</v>
      </c>
      <c r="T12" s="1188">
        <v>0</v>
      </c>
      <c r="AA12" s="1186">
        <v>0</v>
      </c>
      <c r="AB12" s="838">
        <v>0</v>
      </c>
      <c r="AC12" s="841">
        <f t="shared" si="7"/>
        <v>0</v>
      </c>
      <c r="AD12" s="841">
        <f>ROUND((($E12*(100+G12)/100)-$AA12)*$L12/2000+$L12*$T12/2000,0)</f>
        <v>0</v>
      </c>
      <c r="AE12" s="838">
        <v>0</v>
      </c>
      <c r="AF12" s="838">
        <v>0</v>
      </c>
      <c r="AG12" s="841" t="s">
        <v>71</v>
      </c>
      <c r="AH12" s="841" t="s">
        <v>71</v>
      </c>
      <c r="AI12" s="841" t="s">
        <v>71</v>
      </c>
      <c r="AJ12" s="841">
        <v>0</v>
      </c>
      <c r="AK12" s="841">
        <v>0</v>
      </c>
      <c r="AL12" s="841">
        <v>0</v>
      </c>
      <c r="AM12" s="841">
        <v>0</v>
      </c>
      <c r="AN12" s="836">
        <f t="shared" si="8"/>
        <v>0</v>
      </c>
      <c r="AO12" s="836">
        <f t="shared" si="8"/>
        <v>0</v>
      </c>
      <c r="AP12" s="836">
        <f t="shared" si="8"/>
        <v>0</v>
      </c>
      <c r="AQ12" s="836">
        <f t="shared" si="8"/>
        <v>0</v>
      </c>
      <c r="AR12" s="1201">
        <f>Main!$G$13</f>
        <v>0.18</v>
      </c>
      <c r="AS12" s="1197">
        <v>0</v>
      </c>
      <c r="AT12" s="1198">
        <f t="shared" si="9"/>
        <v>0</v>
      </c>
      <c r="AU12" s="1198">
        <f t="shared" si="3"/>
        <v>0</v>
      </c>
      <c r="AV12" s="1198">
        <f t="shared" si="4"/>
        <v>0</v>
      </c>
      <c r="AW12" s="1198">
        <f t="shared" si="5"/>
        <v>0</v>
      </c>
      <c r="AX12" s="1201">
        <f>Main!$F$13</f>
        <v>0</v>
      </c>
      <c r="AY12" s="1199">
        <f t="shared" si="6"/>
        <v>0</v>
      </c>
      <c r="AZ12" s="705">
        <f t="shared" si="10"/>
        <v>0</v>
      </c>
      <c r="BA12" s="1194">
        <v>18</v>
      </c>
      <c r="BB12" s="1194" t="s">
        <v>66</v>
      </c>
      <c r="BC12" s="1194">
        <v>55</v>
      </c>
      <c r="BD12" s="1194" t="s">
        <v>65</v>
      </c>
      <c r="BE12" s="1194">
        <v>600000</v>
      </c>
      <c r="BF12" s="1194" t="s">
        <v>93</v>
      </c>
      <c r="BG12" s="836">
        <v>2400000</v>
      </c>
      <c r="BH12" s="1200" t="s">
        <v>68</v>
      </c>
      <c r="BI12" s="685">
        <v>65</v>
      </c>
    </row>
    <row r="13" spans="1:61">
      <c r="A13" s="1194" t="s">
        <v>92</v>
      </c>
      <c r="B13" s="685" t="s">
        <v>67</v>
      </c>
      <c r="C13" s="841">
        <v>9</v>
      </c>
      <c r="D13" s="841">
        <v>823</v>
      </c>
      <c r="E13" s="839">
        <f>LOOKUP(M13,PM!Z309:BD309,PM!Z308:BD308)</f>
        <v>1.96</v>
      </c>
      <c r="F13" s="836">
        <v>0</v>
      </c>
      <c r="G13" s="836">
        <v>2</v>
      </c>
      <c r="H13" s="836">
        <v>0</v>
      </c>
      <c r="I13" s="836">
        <v>0</v>
      </c>
      <c r="J13" s="1194">
        <v>5</v>
      </c>
      <c r="K13" s="1194">
        <v>35</v>
      </c>
      <c r="L13" s="1184">
        <f>IF(Main!E$10&lt;2500000,0,Main!E10)</f>
        <v>2500000</v>
      </c>
      <c r="M13" s="1184">
        <f>IF(OR((Main!$E$11&lt;J13),(Main!$E$11&gt;K13)),0,Main!$E$11)</f>
        <v>25</v>
      </c>
      <c r="N13" s="1195">
        <f>Main!E$12</f>
        <v>22</v>
      </c>
      <c r="O13" s="1184">
        <f>IF(OR((Main!$E$9&lt;BA13),(Main!$E$9&gt;BC13)),0,Main!$E$9)</f>
        <v>30</v>
      </c>
      <c r="P13" s="836">
        <v>0</v>
      </c>
      <c r="Q13" s="836">
        <v>10000</v>
      </c>
      <c r="R13" s="836" t="s">
        <v>80</v>
      </c>
      <c r="S13" s="836" t="str">
        <f>Main!$J$11</f>
        <v>NO</v>
      </c>
      <c r="T13" s="1188">
        <v>0</v>
      </c>
      <c r="AA13" s="1186">
        <v>0</v>
      </c>
      <c r="AB13" s="838">
        <v>0</v>
      </c>
      <c r="AC13" s="841">
        <f t="shared" si="7"/>
        <v>4900</v>
      </c>
      <c r="AD13" s="841">
        <f>ROUND((($E13*(100+G13)/100)-$AA13)*$L13/2000+$L13*$T13/2000,0)</f>
        <v>2499</v>
      </c>
      <c r="AE13" s="838">
        <v>0</v>
      </c>
      <c r="AF13" s="838">
        <v>0</v>
      </c>
      <c r="AG13" s="841" t="s">
        <v>71</v>
      </c>
      <c r="AH13" s="841" t="s">
        <v>71</v>
      </c>
      <c r="AI13" s="841" t="s">
        <v>71</v>
      </c>
      <c r="AJ13" s="841">
        <v>0</v>
      </c>
      <c r="AK13" s="841">
        <v>0</v>
      </c>
      <c r="AL13" s="841">
        <v>0</v>
      </c>
      <c r="AM13" s="841">
        <v>0</v>
      </c>
      <c r="AN13" s="836">
        <f t="shared" si="8"/>
        <v>4900</v>
      </c>
      <c r="AO13" s="836">
        <f t="shared" si="8"/>
        <v>2499</v>
      </c>
      <c r="AP13" s="836">
        <f t="shared" si="8"/>
        <v>0</v>
      </c>
      <c r="AQ13" s="836">
        <f t="shared" si="8"/>
        <v>0</v>
      </c>
      <c r="AR13" s="1201">
        <f>Main!$G$13</f>
        <v>0.18</v>
      </c>
      <c r="AS13" s="1197">
        <v>0</v>
      </c>
      <c r="AT13" s="1198">
        <f t="shared" si="9"/>
        <v>5782</v>
      </c>
      <c r="AU13" s="1198">
        <f t="shared" si="3"/>
        <v>2949</v>
      </c>
      <c r="AV13" s="1198">
        <f t="shared" si="4"/>
        <v>0</v>
      </c>
      <c r="AW13" s="1198">
        <f t="shared" si="5"/>
        <v>0</v>
      </c>
      <c r="AX13" s="1201">
        <f>Main!$F$13</f>
        <v>0</v>
      </c>
      <c r="AY13" s="1199">
        <f t="shared" si="6"/>
        <v>4900</v>
      </c>
      <c r="AZ13" s="705">
        <f t="shared" si="10"/>
        <v>16</v>
      </c>
      <c r="BA13" s="1194">
        <v>18</v>
      </c>
      <c r="BB13" s="1194" t="s">
        <v>66</v>
      </c>
      <c r="BC13" s="1194">
        <v>60</v>
      </c>
      <c r="BD13" s="1194" t="s">
        <v>65</v>
      </c>
      <c r="BE13" s="1194">
        <v>2500000</v>
      </c>
      <c r="BF13" s="1194" t="s">
        <v>91</v>
      </c>
      <c r="BG13" s="705" t="s">
        <v>69</v>
      </c>
      <c r="BH13" s="1200" t="s">
        <v>68</v>
      </c>
      <c r="BI13" s="685">
        <v>70</v>
      </c>
    </row>
    <row r="14" spans="1:61">
      <c r="A14" s="1194" t="s">
        <v>90</v>
      </c>
      <c r="B14" s="685" t="s">
        <v>67</v>
      </c>
      <c r="C14" s="841">
        <v>10</v>
      </c>
      <c r="D14" s="841">
        <v>827</v>
      </c>
      <c r="E14" s="839" t="e">
        <f>LOOKUP(M14,PM!AC75:AM75,PM!AC74:AM74)</f>
        <v>#N/A</v>
      </c>
      <c r="F14" s="836">
        <v>2</v>
      </c>
      <c r="G14" s="836">
        <v>1</v>
      </c>
      <c r="H14" s="836">
        <v>0</v>
      </c>
      <c r="I14" s="836">
        <v>0</v>
      </c>
      <c r="J14" s="836">
        <v>10</v>
      </c>
      <c r="K14" s="836">
        <v>20</v>
      </c>
      <c r="L14" s="1184">
        <f>IF(OR((Main!$E$10&lt;75000),(Main!$E$10&gt;200000)),0,Main!$E$10)</f>
        <v>0</v>
      </c>
      <c r="M14" s="1184">
        <f>IF(OR((Main!$E$11&lt;J14),(Main!$E$11&gt;K14)),0,Main!$E$11)</f>
        <v>0</v>
      </c>
      <c r="N14" s="1195">
        <f>Main!E$12</f>
        <v>22</v>
      </c>
      <c r="O14" s="1184">
        <f>IF(OR((Main!$E$9&lt;BA14),(Main!$E$9&gt;BC14)),0,Main!$E$9)</f>
        <v>30</v>
      </c>
      <c r="P14" s="836">
        <f>IF(O14&gt;=18,1,0)</f>
        <v>1</v>
      </c>
      <c r="Q14" s="836">
        <v>5000</v>
      </c>
      <c r="R14" s="836" t="str">
        <f>IF(O14&lt;18,"NO",Main!$J$10)</f>
        <v>YES</v>
      </c>
      <c r="S14" s="836" t="str">
        <f>Main!$J$11</f>
        <v>NO</v>
      </c>
      <c r="T14" s="1188">
        <f>IF(P14=1,IF(R14="YES",IF(S14="YES",1,0.5),0),0)</f>
        <v>0.5</v>
      </c>
      <c r="U14" s="836">
        <v>150000</v>
      </c>
      <c r="V14" s="836">
        <v>200000</v>
      </c>
      <c r="X14" s="836">
        <v>1.5</v>
      </c>
      <c r="Y14" s="836">
        <v>1.5</v>
      </c>
      <c r="AA14" s="1186">
        <f>IF(L14&gt;=U14,IF(L14&gt;=V14,Y14,X14),0)</f>
        <v>0</v>
      </c>
      <c r="AB14" s="838">
        <v>0</v>
      </c>
      <c r="AC14" s="841" t="e">
        <f t="shared" si="7"/>
        <v>#N/A</v>
      </c>
      <c r="AD14" s="841" t="e">
        <f t="shared" ref="AD14:AD20" si="11">ROUND((($E14*(100-G14)/100)-$AA14)*$L14/2000+$L14*$T14/2000,0)</f>
        <v>#N/A</v>
      </c>
      <c r="AE14" s="841" t="e">
        <f t="shared" ref="AE14:AE20" si="12">ROUND((($E14*(100-H14)/100)-$AA14)*$L14/4000+$L14*$T14/4000,0)</f>
        <v>#N/A</v>
      </c>
      <c r="AF14" s="841" t="e">
        <f t="shared" ref="AF14:AF20" si="13">ROUND((($E14*(100-I14)/100)-$AA14)*$L14/12000+$L14*$T14/12000,0)</f>
        <v>#N/A</v>
      </c>
      <c r="AG14" s="841" t="s">
        <v>71</v>
      </c>
      <c r="AH14" s="841" t="s">
        <v>71</v>
      </c>
      <c r="AI14" s="841" t="s">
        <v>71</v>
      </c>
      <c r="AJ14" s="841">
        <v>0</v>
      </c>
      <c r="AK14" s="841">
        <v>0</v>
      </c>
      <c r="AL14" s="841">
        <v>0</v>
      </c>
      <c r="AM14" s="841">
        <v>0</v>
      </c>
      <c r="AN14" s="836" t="e">
        <f t="shared" si="8"/>
        <v>#N/A</v>
      </c>
      <c r="AO14" s="836" t="e">
        <f t="shared" si="8"/>
        <v>#N/A</v>
      </c>
      <c r="AP14" s="836" t="e">
        <f t="shared" si="8"/>
        <v>#N/A</v>
      </c>
      <c r="AQ14" s="836" t="e">
        <f t="shared" si="8"/>
        <v>#N/A</v>
      </c>
      <c r="AR14" s="1196">
        <f>Main!$E$13</f>
        <v>4.4999999999999998E-2</v>
      </c>
      <c r="AS14" s="1197">
        <v>0</v>
      </c>
      <c r="AT14" s="1198" t="e">
        <f t="shared" si="9"/>
        <v>#N/A</v>
      </c>
      <c r="AU14" s="1198" t="e">
        <f t="shared" si="3"/>
        <v>#N/A</v>
      </c>
      <c r="AV14" s="1198" t="e">
        <f t="shared" si="4"/>
        <v>#N/A</v>
      </c>
      <c r="AW14" s="1198" t="e">
        <f t="shared" si="5"/>
        <v>#N/A</v>
      </c>
      <c r="AX14" s="1196">
        <f t="shared" ref="AX14:AX20" si="14">AR14/2</f>
        <v>2.2499999999999999E-2</v>
      </c>
      <c r="AY14" s="1199" t="e">
        <f t="shared" si="6"/>
        <v>#N/A</v>
      </c>
      <c r="AZ14" s="705" t="e">
        <f t="shared" si="10"/>
        <v>#N/A</v>
      </c>
      <c r="BA14" s="1194">
        <v>8</v>
      </c>
      <c r="BB14" s="1194" t="s">
        <v>66</v>
      </c>
      <c r="BC14" s="1194">
        <v>55</v>
      </c>
      <c r="BD14" s="1194" t="s">
        <v>65</v>
      </c>
      <c r="BE14" s="1194">
        <v>75000</v>
      </c>
      <c r="BF14" s="1194" t="s">
        <v>89</v>
      </c>
      <c r="BG14" s="836">
        <v>200000</v>
      </c>
      <c r="BH14" s="1200" t="s">
        <v>68</v>
      </c>
      <c r="BI14" s="685">
        <v>70</v>
      </c>
    </row>
    <row r="15" spans="1:61">
      <c r="A15" s="1194" t="s">
        <v>88</v>
      </c>
      <c r="B15" s="685" t="s">
        <v>67</v>
      </c>
      <c r="C15" s="841">
        <v>11</v>
      </c>
      <c r="D15" s="841">
        <v>830</v>
      </c>
      <c r="E15" s="839">
        <f>PM!V153</f>
        <v>79.55</v>
      </c>
      <c r="F15" s="836">
        <v>2</v>
      </c>
      <c r="G15" s="836">
        <v>1</v>
      </c>
      <c r="H15" s="836">
        <v>0</v>
      </c>
      <c r="I15" s="836">
        <v>0</v>
      </c>
      <c r="J15" s="1194" t="s">
        <v>87</v>
      </c>
      <c r="K15" s="1194" t="s">
        <v>87</v>
      </c>
      <c r="L15" s="1184">
        <f>IF(Main!E$10&lt;300000,0,Main!E10)</f>
        <v>2500000</v>
      </c>
      <c r="M15" s="1184">
        <f>IF(OR((Main!E11=12),(Main!E11=16),(Main!E11=21)),Main!E11,0)</f>
        <v>0</v>
      </c>
      <c r="N15" s="1184">
        <f>Main!G$12</f>
        <v>8</v>
      </c>
      <c r="O15" s="1184">
        <f>IF(OR((Main!$E$9&lt;BA15),(Main!$E$9&gt;BC15)),0,Main!$E$9)</f>
        <v>30</v>
      </c>
      <c r="P15" s="836">
        <v>1</v>
      </c>
      <c r="Q15" s="836">
        <v>10000</v>
      </c>
      <c r="R15" s="836" t="str">
        <f>IF(O15&lt;18,"NO",Main!$J$10)</f>
        <v>YES</v>
      </c>
      <c r="S15" s="836" t="str">
        <f>Main!$J$11</f>
        <v>NO</v>
      </c>
      <c r="T15" s="1188">
        <f>IF(P15=1,IF(R15="YES",IF(S15="YES",PM!AD164,PM!AD156),0),0)</f>
        <v>1.95</v>
      </c>
      <c r="U15" s="836">
        <v>500000</v>
      </c>
      <c r="V15" s="836">
        <v>1000000</v>
      </c>
      <c r="X15" s="836">
        <v>0.5</v>
      </c>
      <c r="Y15" s="836">
        <v>0.75</v>
      </c>
      <c r="AA15" s="1186">
        <f>IF(L15&gt;=U15,IF(L15&gt;=V15,Y15,X15),0)</f>
        <v>0.75</v>
      </c>
      <c r="AB15" s="838">
        <v>0</v>
      </c>
      <c r="AC15" s="841">
        <f t="shared" si="7"/>
        <v>197898</v>
      </c>
      <c r="AD15" s="841">
        <f t="shared" si="11"/>
        <v>99943</v>
      </c>
      <c r="AE15" s="841">
        <f t="shared" si="12"/>
        <v>50469</v>
      </c>
      <c r="AF15" s="841">
        <f t="shared" si="13"/>
        <v>16823</v>
      </c>
      <c r="AG15" s="841" t="str">
        <f>Main!$L$10</f>
        <v>YES</v>
      </c>
      <c r="AH15" s="837">
        <f>IF(AG15="YES",PM!BC153,0)</f>
        <v>4.74</v>
      </c>
      <c r="AI15" s="1195">
        <f>IF(AG15="YES",Main!N$10,0)</f>
        <v>0</v>
      </c>
      <c r="AJ15" s="841">
        <f>ROUND((($AH15*(100-F15)/100))*$AI15/1000,0)</f>
        <v>0</v>
      </c>
      <c r="AK15" s="841">
        <f>ROUND((($AH15*(100-G15)/100))*$AI15/2000,0)</f>
        <v>0</v>
      </c>
      <c r="AL15" s="841">
        <f>ROUND((($AH15*(100-H15)/100))*$AI15/4000,0)</f>
        <v>0</v>
      </c>
      <c r="AM15" s="841">
        <f>ROUND((($AH15*(100-I15)/100))*$AI15/12000,0)</f>
        <v>0</v>
      </c>
      <c r="AN15" s="836">
        <f t="shared" si="8"/>
        <v>197898</v>
      </c>
      <c r="AO15" s="836">
        <f t="shared" si="8"/>
        <v>99943</v>
      </c>
      <c r="AP15" s="836">
        <f t="shared" si="8"/>
        <v>50469</v>
      </c>
      <c r="AQ15" s="836">
        <f t="shared" si="8"/>
        <v>16823</v>
      </c>
      <c r="AR15" s="1196">
        <f>Main!$E$13</f>
        <v>4.4999999999999998E-2</v>
      </c>
      <c r="AS15" s="1197">
        <v>0</v>
      </c>
      <c r="AT15" s="1198">
        <f t="shared" si="9"/>
        <v>206803</v>
      </c>
      <c r="AU15" s="1198">
        <f t="shared" si="3"/>
        <v>104440</v>
      </c>
      <c r="AV15" s="1198">
        <f t="shared" si="4"/>
        <v>52740</v>
      </c>
      <c r="AW15" s="1198">
        <f t="shared" si="5"/>
        <v>17580</v>
      </c>
      <c r="AX15" s="1196">
        <f t="shared" si="14"/>
        <v>2.2499999999999999E-2</v>
      </c>
      <c r="AY15" s="1199">
        <f t="shared" si="6"/>
        <v>202351</v>
      </c>
      <c r="AZ15" s="705">
        <f t="shared" si="10"/>
        <v>567</v>
      </c>
      <c r="BA15" s="1194">
        <v>18</v>
      </c>
      <c r="BB15" s="1194" t="s">
        <v>66</v>
      </c>
      <c r="BC15" s="1194" t="s">
        <v>86</v>
      </c>
      <c r="BD15" s="1194" t="s">
        <v>65</v>
      </c>
      <c r="BE15" s="1194">
        <v>300000</v>
      </c>
      <c r="BF15" s="1194" t="s">
        <v>83</v>
      </c>
      <c r="BG15" s="705" t="s">
        <v>69</v>
      </c>
      <c r="BH15" s="1200" t="s">
        <v>64</v>
      </c>
      <c r="BI15" s="685">
        <v>75</v>
      </c>
    </row>
    <row r="16" spans="1:61">
      <c r="A16" s="1194" t="s">
        <v>85</v>
      </c>
      <c r="B16" s="685" t="s">
        <v>81</v>
      </c>
      <c r="C16" s="841">
        <v>12</v>
      </c>
      <c r="D16" s="841">
        <v>832</v>
      </c>
      <c r="E16" s="839">
        <f>PM!V128</f>
        <v>93.9</v>
      </c>
      <c r="F16" s="836">
        <v>2</v>
      </c>
      <c r="G16" s="836">
        <v>1</v>
      </c>
      <c r="H16" s="836">
        <v>0</v>
      </c>
      <c r="I16" s="836">
        <v>0</v>
      </c>
      <c r="J16" s="836">
        <v>13</v>
      </c>
      <c r="K16" s="836">
        <v>25</v>
      </c>
      <c r="L16" s="1184">
        <f>IF(Main!E$10&lt;100000,0,Main!E10)</f>
        <v>2500000</v>
      </c>
      <c r="M16" s="1184">
        <v>25</v>
      </c>
      <c r="N16" s="1195">
        <f>Main!E$12</f>
        <v>22</v>
      </c>
      <c r="O16" s="1184">
        <f>IF(OR((Main!$E$9&lt;BA16),(Main!$E$9&gt;BC16)),100,Main!$E$9)</f>
        <v>100</v>
      </c>
      <c r="P16" s="836">
        <v>0</v>
      </c>
      <c r="Q16" s="836">
        <v>10000</v>
      </c>
      <c r="R16" s="836" t="str">
        <f>IF(O16&lt;18,"NO",Main!$J$10)</f>
        <v>YES</v>
      </c>
      <c r="S16" s="836" t="str">
        <f>Main!$J$11</f>
        <v>NO</v>
      </c>
      <c r="T16" s="1188">
        <v>0</v>
      </c>
      <c r="U16" s="836">
        <v>200000</v>
      </c>
      <c r="V16" s="836">
        <v>500000</v>
      </c>
      <c r="X16" s="836">
        <v>2</v>
      </c>
      <c r="Y16" s="836">
        <v>3</v>
      </c>
      <c r="AA16" s="1186">
        <f>IF(L16&gt;=U16,IF(L16&gt;=V16,Y16,X16),0)</f>
        <v>3</v>
      </c>
      <c r="AB16" s="838">
        <v>0</v>
      </c>
      <c r="AC16" s="841">
        <f t="shared" si="7"/>
        <v>222555</v>
      </c>
      <c r="AD16" s="841">
        <f t="shared" si="11"/>
        <v>112451</v>
      </c>
      <c r="AE16" s="841">
        <f t="shared" si="12"/>
        <v>56813</v>
      </c>
      <c r="AF16" s="841">
        <f t="shared" si="13"/>
        <v>18938</v>
      </c>
      <c r="AG16" s="841" t="str">
        <f>Main!J12</f>
        <v>YES</v>
      </c>
      <c r="AH16" s="837">
        <f>IF(AG16="YES",PM!BO73,0)</f>
        <v>4.05</v>
      </c>
      <c r="AI16" s="1195">
        <f>IF(AG16="YES",Main!E$10,0)</f>
        <v>2500000</v>
      </c>
      <c r="AJ16" s="841">
        <f>AN16-AC16</f>
        <v>8833</v>
      </c>
      <c r="AK16" s="841">
        <f>AO16-AD16</f>
        <v>4509</v>
      </c>
      <c r="AL16" s="841">
        <f>AP16-AE16</f>
        <v>2301</v>
      </c>
      <c r="AM16" s="841">
        <f>AQ16-AF16</f>
        <v>767</v>
      </c>
      <c r="AN16" s="836">
        <f>ROUND((ROUND(((((E16*0.98)-($AA$16)-$AB$16)*($L$16/1000))/100)*(AH16*0.98)+(((((E16*0.98)-$AA$16)*($L$16/1000)))),0)),0)</f>
        <v>231388</v>
      </c>
      <c r="AO16" s="836">
        <f>ROUND((ROUND(((((E16*0.99)-($AA$16)-$AB$16)*($L$16/1000))/100)*(AH16*0.99)+(((((E16*0.99)-$AA$16)*($L$16/1000)))),0))/2,0)</f>
        <v>116960</v>
      </c>
      <c r="AP16" s="836">
        <f>ROUND((ROUND(((((E16*1)-($AA$16)-$AB$16)*($L$16/1000))/100)*(AH16*1)+(((((E16*1)-$AA$16)*($L$16/1000)))),0))/4,0)</f>
        <v>59114</v>
      </c>
      <c r="AQ16" s="836">
        <f>ROUND((ROUND(((((E16*1)-($AA$16)-$AB$16)*($L$16/1000))/100)*(AH16*1)+(((((E16*1)-$AA$16)*($L$16/1000)))),0))/12,0)</f>
        <v>19705</v>
      </c>
      <c r="AR16" s="1196">
        <f>Main!$E$13</f>
        <v>4.4999999999999998E-2</v>
      </c>
      <c r="AS16" s="1197">
        <v>0</v>
      </c>
      <c r="AT16" s="1198">
        <f t="shared" si="9"/>
        <v>241800</v>
      </c>
      <c r="AU16" s="1198">
        <f t="shared" si="3"/>
        <v>122223</v>
      </c>
      <c r="AV16" s="1198">
        <f t="shared" si="4"/>
        <v>61774</v>
      </c>
      <c r="AW16" s="1198">
        <f t="shared" si="5"/>
        <v>20592</v>
      </c>
      <c r="AX16" s="1196">
        <f t="shared" si="14"/>
        <v>2.2499999999999999E-2</v>
      </c>
      <c r="AY16" s="1199">
        <f t="shared" si="6"/>
        <v>236594</v>
      </c>
      <c r="AZ16" s="705">
        <f t="shared" si="10"/>
        <v>662</v>
      </c>
      <c r="BA16" s="1194">
        <v>0</v>
      </c>
      <c r="BB16" s="1194" t="s">
        <v>79</v>
      </c>
      <c r="BC16" s="1194">
        <v>12</v>
      </c>
      <c r="BD16" s="1194" t="s">
        <v>65</v>
      </c>
      <c r="BE16" s="1194">
        <v>100000</v>
      </c>
      <c r="BF16" s="1194" t="s">
        <v>83</v>
      </c>
      <c r="BG16" s="705" t="s">
        <v>69</v>
      </c>
      <c r="BH16" s="1200" t="s">
        <v>68</v>
      </c>
      <c r="BI16" s="685">
        <v>25</v>
      </c>
    </row>
    <row r="17" spans="1:61">
      <c r="A17" s="1194" t="s">
        <v>84</v>
      </c>
      <c r="B17" s="685" t="s">
        <v>67</v>
      </c>
      <c r="C17" s="841">
        <v>13</v>
      </c>
      <c r="D17" s="841">
        <v>833</v>
      </c>
      <c r="E17" s="839">
        <f>LOOKUP(M17,PM!C155:O155,PM!C154:O154)</f>
        <v>44.55</v>
      </c>
      <c r="F17" s="836">
        <v>2</v>
      </c>
      <c r="G17" s="836">
        <v>1</v>
      </c>
      <c r="H17" s="836">
        <v>0</v>
      </c>
      <c r="I17" s="836">
        <v>0</v>
      </c>
      <c r="J17" s="836">
        <v>13</v>
      </c>
      <c r="K17" s="836">
        <v>25</v>
      </c>
      <c r="L17" s="1184">
        <f>IF(Main!E$10&lt;100000,0,Main!E10)</f>
        <v>2500000</v>
      </c>
      <c r="M17" s="1184">
        <f>IF(OR((Main!$E$11&lt;J17),(Main!$E$11&gt;K17)),0,Main!$E$11)</f>
        <v>25</v>
      </c>
      <c r="N17" s="1184">
        <f>M17-3</f>
        <v>22</v>
      </c>
      <c r="O17" s="1184">
        <f>IF(OR((Main!$E$9&lt;BA17),(Main!$E$9&gt;BC17)),0,Main!$E$9)</f>
        <v>30</v>
      </c>
      <c r="P17" s="836">
        <v>1</v>
      </c>
      <c r="Q17" s="836">
        <v>10000</v>
      </c>
      <c r="R17" s="836" t="str">
        <f>IF(O17&lt;18,"NO",Main!$J$10)</f>
        <v>YES</v>
      </c>
      <c r="S17" s="836" t="str">
        <f>Main!$J$11</f>
        <v>NO</v>
      </c>
      <c r="T17" s="1188">
        <f>IF(P17=1,IF(R17="YES",IF(S17="YES",1.5,PM!AH154),0),0)</f>
        <v>1.1000000000000001</v>
      </c>
      <c r="U17" s="836">
        <v>200000</v>
      </c>
      <c r="V17" s="836">
        <v>500000</v>
      </c>
      <c r="X17" s="836">
        <v>2</v>
      </c>
      <c r="Y17" s="836">
        <v>3</v>
      </c>
      <c r="AA17" s="1186">
        <f>IF(L17&gt;=U17,IF(L17&gt;=V17,Y17,X17),0)</f>
        <v>3</v>
      </c>
      <c r="AB17" s="838">
        <v>0</v>
      </c>
      <c r="AC17" s="841">
        <f t="shared" si="7"/>
        <v>104398</v>
      </c>
      <c r="AD17" s="841">
        <f t="shared" si="11"/>
        <v>52756</v>
      </c>
      <c r="AE17" s="841">
        <f t="shared" si="12"/>
        <v>26656</v>
      </c>
      <c r="AF17" s="841">
        <f t="shared" si="13"/>
        <v>8885</v>
      </c>
      <c r="AG17" s="841" t="str">
        <f>Main!$L$10</f>
        <v>YES</v>
      </c>
      <c r="AH17" s="839">
        <f>LOOKUP(M17,PM!AZ75:BL75,PM!AZ74:BL74)</f>
        <v>3.13</v>
      </c>
      <c r="AI17" s="1195">
        <f>IF(AG17="YES",Main!N$10,0)</f>
        <v>0</v>
      </c>
      <c r="AJ17" s="841">
        <f>ROUND((($AH17*(100-F17)/100))*$AI17/1000,0)</f>
        <v>0</v>
      </c>
      <c r="AK17" s="841">
        <f>ROUND((($AH17*(100-G17)/100))*$AI17/2000,0)</f>
        <v>0</v>
      </c>
      <c r="AL17" s="841">
        <f>ROUND((($AH17*(100-H17)/100))*$AI17/4000,0)</f>
        <v>0</v>
      </c>
      <c r="AM17" s="841">
        <f>ROUND((($AH17*(100-I17)/100))*$AI17/12000,0)</f>
        <v>0</v>
      </c>
      <c r="AN17" s="836">
        <f>AC17+AJ17+AF75</f>
        <v>104398</v>
      </c>
      <c r="AO17" s="836">
        <f>AD17+AK17+AG75</f>
        <v>52756</v>
      </c>
      <c r="AP17" s="836">
        <f>AE17+AL17+AH75</f>
        <v>26656</v>
      </c>
      <c r="AQ17" s="836">
        <f>AF17+AM17+AI75</f>
        <v>8885</v>
      </c>
      <c r="AR17" s="1196">
        <f>Main!$E$13</f>
        <v>4.4999999999999998E-2</v>
      </c>
      <c r="AS17" s="1197">
        <v>0</v>
      </c>
      <c r="AT17" s="1198">
        <f t="shared" si="9"/>
        <v>109096</v>
      </c>
      <c r="AU17" s="1198">
        <f t="shared" si="3"/>
        <v>55130</v>
      </c>
      <c r="AV17" s="1198">
        <f t="shared" si="4"/>
        <v>27856</v>
      </c>
      <c r="AW17" s="1198">
        <f t="shared" si="5"/>
        <v>9285</v>
      </c>
      <c r="AX17" s="1196">
        <f t="shared" si="14"/>
        <v>2.2499999999999999E-2</v>
      </c>
      <c r="AY17" s="1199">
        <f t="shared" si="6"/>
        <v>106747</v>
      </c>
      <c r="AZ17" s="705">
        <f t="shared" si="10"/>
        <v>299</v>
      </c>
      <c r="BA17" s="1194">
        <v>18</v>
      </c>
      <c r="BB17" s="1194" t="s">
        <v>66</v>
      </c>
      <c r="BC17" s="1194">
        <v>50</v>
      </c>
      <c r="BD17" s="1194" t="s">
        <v>65</v>
      </c>
      <c r="BE17" s="1194">
        <v>100000</v>
      </c>
      <c r="BF17" s="1194" t="s">
        <v>83</v>
      </c>
      <c r="BG17" s="705" t="s">
        <v>69</v>
      </c>
      <c r="BH17" s="1200" t="s">
        <v>64</v>
      </c>
      <c r="BI17" s="685">
        <v>65</v>
      </c>
    </row>
    <row r="18" spans="1:61">
      <c r="A18" s="1194" t="s">
        <v>82</v>
      </c>
      <c r="B18" s="685" t="s">
        <v>81</v>
      </c>
      <c r="C18" s="841">
        <v>14</v>
      </c>
      <c r="D18" s="841">
        <v>834</v>
      </c>
      <c r="E18" s="839">
        <f>PM!AC126</f>
        <v>116.65</v>
      </c>
      <c r="F18" s="836">
        <v>2</v>
      </c>
      <c r="G18" s="836">
        <v>1</v>
      </c>
      <c r="H18" s="836">
        <v>0</v>
      </c>
      <c r="I18" s="836">
        <v>0</v>
      </c>
      <c r="J18" s="836">
        <v>13</v>
      </c>
      <c r="K18" s="836">
        <v>25</v>
      </c>
      <c r="L18" s="1184">
        <f>IF(Main!E$10&lt;75000,0,Main!E10)</f>
        <v>2500000</v>
      </c>
      <c r="M18" s="1184">
        <v>25</v>
      </c>
      <c r="N18" s="1195">
        <f>Main!E$12</f>
        <v>22</v>
      </c>
      <c r="O18" s="1184">
        <f>IF(OR((Main!$E$9&lt;BA18),(Main!$E$9&gt;BC18)),100,Main!$E$9)</f>
        <v>100</v>
      </c>
      <c r="P18" s="836">
        <v>0</v>
      </c>
      <c r="Q18" s="836">
        <v>5000</v>
      </c>
      <c r="R18" s="836" t="str">
        <f>IF(O18&lt;18,"NO",Main!$J$10)</f>
        <v>YES</v>
      </c>
      <c r="S18" s="836" t="str">
        <f>Main!$J$11</f>
        <v>NO</v>
      </c>
      <c r="T18" s="1188">
        <v>0</v>
      </c>
      <c r="U18" s="836">
        <v>200000</v>
      </c>
      <c r="V18" s="836">
        <v>500000</v>
      </c>
      <c r="X18" s="836">
        <v>2</v>
      </c>
      <c r="Y18" s="836">
        <v>3</v>
      </c>
      <c r="AA18" s="1186">
        <f>IF(L18&gt;=U18,IF(L18&gt;=V18,Y18,X18),0)</f>
        <v>3</v>
      </c>
      <c r="AB18" s="838">
        <v>0</v>
      </c>
      <c r="AC18" s="841">
        <f t="shared" si="7"/>
        <v>278293</v>
      </c>
      <c r="AD18" s="841">
        <f t="shared" si="11"/>
        <v>140604</v>
      </c>
      <c r="AE18" s="841">
        <f t="shared" si="12"/>
        <v>71031</v>
      </c>
      <c r="AF18" s="841">
        <f t="shared" si="13"/>
        <v>23677</v>
      </c>
      <c r="AG18" s="841" t="str">
        <f>Main!$J$12</f>
        <v>YES</v>
      </c>
      <c r="AH18" s="837">
        <f>IF(AG18="YES",PM!BO73,0)</f>
        <v>4.05</v>
      </c>
      <c r="AI18" s="1195">
        <f>IF(AG18="YES",Main!E$10,0)</f>
        <v>2500000</v>
      </c>
      <c r="AJ18" s="841">
        <f>AN18-AC18</f>
        <v>11045</v>
      </c>
      <c r="AK18" s="841">
        <f>AO18-AD18</f>
        <v>5638</v>
      </c>
      <c r="AL18" s="841">
        <f>AP18-AE18</f>
        <v>2877</v>
      </c>
      <c r="AM18" s="841">
        <f>AQ18-AF18</f>
        <v>959</v>
      </c>
      <c r="AN18" s="836">
        <f>ROUND((ROUND(((((E18*0.98)-($AA$18)-$AB$18)*($L$18/1000))/100)*(AH18*0.98)+(((((E18*0.98)-$AA$18)*($L$18/1000)))),0)),0)</f>
        <v>289338</v>
      </c>
      <c r="AO18" s="836">
        <f>ROUND((ROUND(((((E18*0.99)-($AA$18)-$AB$18)*($L$18/1000))/100)*(AH18*0.99)+(((((E18*0.99)-$AA$18)*($L$18/1000)))),0))/2,0)</f>
        <v>146242</v>
      </c>
      <c r="AP18" s="836">
        <f>ROUND((ROUND(((((E18*1)-($AA$18)-$AB$18)*($L$18/1000))/100)*(AH18*1)+(((((E18*1)-$AA$18)*($L$18/1000)))),0))/4,0)</f>
        <v>73908</v>
      </c>
      <c r="AQ18" s="836">
        <f>ROUND((ROUND(((((E18*1)-($AA$18)-$AB$18)*($L$18/1000))/100)*(AH18*1)+(((((E18*1)-$AA$18)*($L$18/1000)))),0))/12,0)</f>
        <v>24636</v>
      </c>
      <c r="AR18" s="1196">
        <f>Main!$E$13</f>
        <v>4.4999999999999998E-2</v>
      </c>
      <c r="AS18" s="1197">
        <v>0</v>
      </c>
      <c r="AT18" s="1198">
        <f t="shared" si="9"/>
        <v>302358</v>
      </c>
      <c r="AU18" s="1198">
        <f t="shared" si="3"/>
        <v>152823</v>
      </c>
      <c r="AV18" s="1198">
        <f t="shared" si="4"/>
        <v>77234</v>
      </c>
      <c r="AW18" s="1198">
        <f t="shared" si="5"/>
        <v>25745</v>
      </c>
      <c r="AX18" s="1196">
        <f t="shared" si="14"/>
        <v>2.2499999999999999E-2</v>
      </c>
      <c r="AY18" s="1199">
        <f t="shared" si="6"/>
        <v>295848</v>
      </c>
      <c r="AZ18" s="705">
        <f t="shared" si="10"/>
        <v>828</v>
      </c>
      <c r="BA18" s="1194">
        <v>0</v>
      </c>
      <c r="BB18" s="1194" t="s">
        <v>79</v>
      </c>
      <c r="BC18" s="1194">
        <v>12</v>
      </c>
      <c r="BD18" s="1194" t="s">
        <v>65</v>
      </c>
      <c r="BE18" s="1194">
        <v>75000</v>
      </c>
      <c r="BF18" s="1194" t="s">
        <v>78</v>
      </c>
      <c r="BG18" s="705" t="s">
        <v>69</v>
      </c>
      <c r="BH18" s="1200" t="s">
        <v>68</v>
      </c>
      <c r="BI18" s="685">
        <v>25</v>
      </c>
    </row>
    <row r="19" spans="1:61">
      <c r="A19" s="1194" t="s">
        <v>77</v>
      </c>
      <c r="B19" s="685" t="s">
        <v>67</v>
      </c>
      <c r="C19" s="841">
        <v>15</v>
      </c>
      <c r="D19" s="841">
        <v>836</v>
      </c>
      <c r="E19" s="839">
        <f>PM!AL153</f>
        <v>46.6</v>
      </c>
      <c r="F19" s="836">
        <v>2</v>
      </c>
      <c r="G19" s="836">
        <v>1</v>
      </c>
      <c r="H19" s="836">
        <v>0</v>
      </c>
      <c r="I19" s="836">
        <v>0</v>
      </c>
      <c r="J19" s="1194" t="s">
        <v>76</v>
      </c>
      <c r="K19" s="1194" t="s">
        <v>76</v>
      </c>
      <c r="L19" s="1184">
        <f>IF(Main!E$10&lt;200000,0,Main!E10)</f>
        <v>2500000</v>
      </c>
      <c r="M19" s="1184">
        <f>IF(OR((Main!E11=16),(Main!E11=21),(Main!E11=25)),Main!E11,0)</f>
        <v>25</v>
      </c>
      <c r="N19" s="1195">
        <f>Main!E$12</f>
        <v>22</v>
      </c>
      <c r="O19" s="1184">
        <f>IF(OR((Main!$E$9&lt;BA19),(Main!$E$9&gt;BC19)),0,Main!$E$9)</f>
        <v>30</v>
      </c>
      <c r="P19" s="836">
        <f>IF(O19&gt;=18,1,0)</f>
        <v>1</v>
      </c>
      <c r="Q19" s="836">
        <v>10000</v>
      </c>
      <c r="R19" s="836" t="str">
        <f>IF(O19&lt;18,"NO",Main!$J$10)</f>
        <v>YES</v>
      </c>
      <c r="S19" s="836" t="str">
        <f>Main!$J$11</f>
        <v>NO</v>
      </c>
      <c r="T19" s="1188">
        <f>IF(P19=1,IF(R19="YES",IF(S19="YES",PM!AF174,PM!AE174),0),0)</f>
        <v>1.3</v>
      </c>
      <c r="U19" s="836">
        <v>500000</v>
      </c>
      <c r="V19" s="836">
        <v>1000000</v>
      </c>
      <c r="W19" s="836">
        <v>1500000</v>
      </c>
      <c r="X19" s="836">
        <v>1.25</v>
      </c>
      <c r="Y19" s="836">
        <v>1.5</v>
      </c>
      <c r="Z19" s="836">
        <v>1.75</v>
      </c>
      <c r="AA19" s="1186">
        <f>IF(L19&gt;=U19,IF(L19&gt;=V19,IF(L19&gt;=W19,Z19,Y19),X19),0)</f>
        <v>1.75</v>
      </c>
      <c r="AB19" s="838">
        <v>0</v>
      </c>
      <c r="AC19" s="841">
        <f t="shared" si="7"/>
        <v>113045</v>
      </c>
      <c r="AD19" s="841">
        <f t="shared" si="11"/>
        <v>57105</v>
      </c>
      <c r="AE19" s="841">
        <f t="shared" si="12"/>
        <v>28844</v>
      </c>
      <c r="AF19" s="841">
        <f t="shared" si="13"/>
        <v>9615</v>
      </c>
      <c r="AG19" s="841" t="str">
        <f>Main!$L$10</f>
        <v>YES</v>
      </c>
      <c r="AH19" s="837">
        <f>IF(O19&lt;18,0,PM!AQ153)</f>
        <v>3.78</v>
      </c>
      <c r="AI19" s="1195">
        <f>IF(AG19="YES",Main!N$10,0)</f>
        <v>0</v>
      </c>
      <c r="AJ19" s="841">
        <f>ROUND((($AH19*(100-F19)/100))*$AI19/1000,0)</f>
        <v>0</v>
      </c>
      <c r="AK19" s="841">
        <f>ROUND((($AH19*(100-G19)/100))*$AI19/2000,0)</f>
        <v>0</v>
      </c>
      <c r="AL19" s="841">
        <f>ROUND((($AH19*(100-H19)/100))*$AI19/4000,0)</f>
        <v>0</v>
      </c>
      <c r="AM19" s="841">
        <f>ROUND((($AH19*(100-I19)/100))*$AI19/12000,0)</f>
        <v>0</v>
      </c>
      <c r="AN19" s="836">
        <f t="shared" ref="AN19:AQ20" si="15">AC19+AJ19+AF77</f>
        <v>113045</v>
      </c>
      <c r="AO19" s="836">
        <f t="shared" si="15"/>
        <v>57105</v>
      </c>
      <c r="AP19" s="836">
        <f t="shared" si="15"/>
        <v>28844</v>
      </c>
      <c r="AQ19" s="836">
        <f t="shared" si="15"/>
        <v>9615</v>
      </c>
      <c r="AR19" s="1196">
        <f>Main!$E$13</f>
        <v>4.4999999999999998E-2</v>
      </c>
      <c r="AS19" s="1197">
        <v>0</v>
      </c>
      <c r="AT19" s="1198">
        <f t="shared" si="9"/>
        <v>118132</v>
      </c>
      <c r="AU19" s="1198">
        <f t="shared" si="3"/>
        <v>59675</v>
      </c>
      <c r="AV19" s="1198">
        <f t="shared" si="4"/>
        <v>30142</v>
      </c>
      <c r="AW19" s="1198">
        <f t="shared" si="5"/>
        <v>10048</v>
      </c>
      <c r="AX19" s="1196">
        <f t="shared" si="14"/>
        <v>2.2499999999999999E-2</v>
      </c>
      <c r="AY19" s="1199">
        <f t="shared" si="6"/>
        <v>115589</v>
      </c>
      <c r="AZ19" s="705">
        <f t="shared" si="10"/>
        <v>324</v>
      </c>
      <c r="BA19" s="1194">
        <v>8</v>
      </c>
      <c r="BB19" s="1194" t="s">
        <v>66</v>
      </c>
      <c r="BC19" s="1194" t="s">
        <v>75</v>
      </c>
      <c r="BD19" s="1194" t="s">
        <v>65</v>
      </c>
      <c r="BE19" s="1194">
        <v>200000</v>
      </c>
      <c r="BF19" s="1194" t="s">
        <v>74</v>
      </c>
      <c r="BG19" s="705" t="s">
        <v>69</v>
      </c>
      <c r="BH19" s="1200" t="s">
        <v>73</v>
      </c>
      <c r="BI19" s="685">
        <v>75</v>
      </c>
    </row>
    <row r="20" spans="1:61">
      <c r="A20" s="1194" t="s">
        <v>72</v>
      </c>
      <c r="B20" s="685" t="s">
        <v>67</v>
      </c>
      <c r="C20" s="841">
        <v>16</v>
      </c>
      <c r="D20" s="836">
        <v>838</v>
      </c>
      <c r="E20" s="839" t="e">
        <f>LOOKUP(M20,PM!AM224:AZ224,PM!AM223:AZ223)</f>
        <v>#N/A</v>
      </c>
      <c r="F20" s="836">
        <v>2</v>
      </c>
      <c r="G20" s="836">
        <v>1</v>
      </c>
      <c r="H20" s="836">
        <v>0</v>
      </c>
      <c r="I20" s="836">
        <v>0</v>
      </c>
      <c r="J20" s="836">
        <v>12</v>
      </c>
      <c r="K20" s="836">
        <v>20</v>
      </c>
      <c r="L20" s="1184">
        <f>IF(Main!E$10&lt;150000,0,Main!E10)</f>
        <v>2500000</v>
      </c>
      <c r="M20" s="1184">
        <f>IF(OR((Main!$E$11&lt;J20),(Main!$E$11&gt;K20)),0,Main!$E$11)</f>
        <v>0</v>
      </c>
      <c r="N20" s="1195">
        <f>Main!E$12</f>
        <v>22</v>
      </c>
      <c r="O20" s="1184">
        <f>IF(OR((Main!$E$9&lt;BA20),(Main!$E$9&gt;BC20)),0,Main!$E$9)</f>
        <v>30</v>
      </c>
      <c r="P20" s="836">
        <f t="shared" ref="P20" si="16">IF(O20&gt;=18,1,0)</f>
        <v>1</v>
      </c>
      <c r="Q20" s="836">
        <v>10000</v>
      </c>
      <c r="R20" s="836" t="str">
        <f>IF(O20&lt;18,"NO",Main!$J$10)</f>
        <v>YES</v>
      </c>
      <c r="S20" s="836" t="str">
        <f>Main!$J$11</f>
        <v>NO</v>
      </c>
      <c r="T20" s="1188">
        <f>IF(P20=1,IF(R20="YES",IF(S20="YES",1.5,1),0),0)</f>
        <v>1</v>
      </c>
      <c r="U20" s="836">
        <v>300000</v>
      </c>
      <c r="V20" s="836">
        <v>500000</v>
      </c>
      <c r="W20" s="836">
        <v>1000000</v>
      </c>
      <c r="X20" s="837">
        <v>1.5</v>
      </c>
      <c r="Y20" s="837">
        <v>2</v>
      </c>
      <c r="Z20" s="837">
        <v>2.25</v>
      </c>
      <c r="AA20" s="1186">
        <f>IF(L20&gt;=U20,IF(L20&gt;=V20,IF(L20&gt;=W20,Z20,Y20),X20),0)</f>
        <v>2.25</v>
      </c>
      <c r="AB20" s="838">
        <v>0</v>
      </c>
      <c r="AC20" s="841" t="e">
        <f t="shared" si="7"/>
        <v>#N/A</v>
      </c>
      <c r="AD20" s="841" t="e">
        <f t="shared" si="11"/>
        <v>#N/A</v>
      </c>
      <c r="AE20" s="841" t="e">
        <f t="shared" si="12"/>
        <v>#N/A</v>
      </c>
      <c r="AF20" s="841" t="e">
        <f t="shared" si="13"/>
        <v>#N/A</v>
      </c>
      <c r="AG20" s="841" t="s">
        <v>71</v>
      </c>
      <c r="AH20" s="841" t="s">
        <v>71</v>
      </c>
      <c r="AI20" s="841" t="s">
        <v>71</v>
      </c>
      <c r="AJ20" s="841">
        <v>0</v>
      </c>
      <c r="AK20" s="841">
        <v>0</v>
      </c>
      <c r="AL20" s="841">
        <v>0</v>
      </c>
      <c r="AM20" s="841">
        <v>0</v>
      </c>
      <c r="AN20" s="836" t="e">
        <f t="shared" si="15"/>
        <v>#N/A</v>
      </c>
      <c r="AO20" s="836" t="e">
        <f t="shared" si="15"/>
        <v>#N/A</v>
      </c>
      <c r="AP20" s="836" t="e">
        <f t="shared" si="15"/>
        <v>#N/A</v>
      </c>
      <c r="AQ20" s="836" t="e">
        <f t="shared" si="15"/>
        <v>#N/A</v>
      </c>
      <c r="AR20" s="1196">
        <f>Main!$E$13</f>
        <v>4.4999999999999998E-2</v>
      </c>
      <c r="AS20" s="1197">
        <v>0</v>
      </c>
      <c r="AT20" s="1198" t="e">
        <f t="shared" si="9"/>
        <v>#N/A</v>
      </c>
      <c r="AU20" s="1198" t="e">
        <f t="shared" si="3"/>
        <v>#N/A</v>
      </c>
      <c r="AV20" s="1198" t="e">
        <f t="shared" si="4"/>
        <v>#N/A</v>
      </c>
      <c r="AW20" s="1198" t="e">
        <f t="shared" si="5"/>
        <v>#N/A</v>
      </c>
      <c r="AX20" s="1196">
        <f t="shared" si="14"/>
        <v>2.2499999999999999E-2</v>
      </c>
      <c r="AY20" s="1199" t="e">
        <f t="shared" si="6"/>
        <v>#N/A</v>
      </c>
      <c r="AZ20" s="705" t="e">
        <f t="shared" si="10"/>
        <v>#N/A</v>
      </c>
      <c r="BA20" s="1194">
        <v>12</v>
      </c>
      <c r="BB20" s="1194" t="s">
        <v>66</v>
      </c>
      <c r="BC20" s="1194">
        <v>45</v>
      </c>
      <c r="BD20" s="1194" t="s">
        <v>65</v>
      </c>
      <c r="BE20" s="1194">
        <v>150000</v>
      </c>
      <c r="BF20" s="1194" t="s">
        <v>70</v>
      </c>
      <c r="BG20" s="705" t="s">
        <v>69</v>
      </c>
      <c r="BH20" s="1200" t="s">
        <v>68</v>
      </c>
      <c r="BI20" s="685">
        <v>65</v>
      </c>
    </row>
    <row r="21" spans="1:61">
      <c r="A21" s="836" t="s">
        <v>867</v>
      </c>
      <c r="B21" s="685" t="s">
        <v>67</v>
      </c>
      <c r="C21" s="841">
        <v>17</v>
      </c>
      <c r="D21" s="836">
        <v>843</v>
      </c>
      <c r="E21" s="839" t="e">
        <f>LOOKUP(M21,PM!AX224:BH224,PM!AX223:BH223)</f>
        <v>#N/A</v>
      </c>
      <c r="F21" s="836">
        <v>2</v>
      </c>
      <c r="G21" s="836">
        <v>1</v>
      </c>
      <c r="H21" s="836">
        <v>0</v>
      </c>
      <c r="I21" s="836">
        <v>0</v>
      </c>
      <c r="J21" s="836">
        <v>10</v>
      </c>
      <c r="K21" s="836">
        <v>20</v>
      </c>
      <c r="L21" s="1184">
        <f>IF(OR((Main!$E$10&lt;75000),(Main!$E$10&gt;300000)),0,Main!$E$10)</f>
        <v>0</v>
      </c>
      <c r="M21" s="1184">
        <f>IF(OR((Main!$E$11&lt;J21),(Main!$E$11&gt;K21)),0,Main!$E$11)</f>
        <v>0</v>
      </c>
      <c r="N21" s="1195">
        <f>Main!E$12</f>
        <v>22</v>
      </c>
      <c r="O21" s="1184">
        <f>IF(OR((Main!$E$9&lt;BA21),(Main!$E$9&gt;BC21)),0,Main!$E$9)</f>
        <v>30</v>
      </c>
      <c r="P21" s="836">
        <f>IF(O21&gt;=18,1,0)</f>
        <v>1</v>
      </c>
      <c r="Q21" s="836">
        <v>5000</v>
      </c>
      <c r="R21" s="836" t="str">
        <f>IF(O21&lt;18,"NO",Main!$J$10)</f>
        <v>YES</v>
      </c>
      <c r="S21" s="836" t="str">
        <f>Main!$J$11</f>
        <v>NO</v>
      </c>
      <c r="T21" s="1188">
        <f>IF(P21=1,IF(R21="YES",IF(S21="YES",1,0.5),0),0)</f>
        <v>0.5</v>
      </c>
      <c r="U21" s="836">
        <v>200000</v>
      </c>
      <c r="V21" s="836">
        <v>300000</v>
      </c>
      <c r="X21" s="836">
        <v>1.5</v>
      </c>
      <c r="Y21" s="836">
        <v>2</v>
      </c>
      <c r="AA21" s="1186">
        <f>IF(L21&gt;=U21,IF(L21&gt;=V21,Y21,X21),0)</f>
        <v>0</v>
      </c>
      <c r="AB21" s="838">
        <v>0</v>
      </c>
      <c r="AC21" s="841" t="e">
        <f t="shared" ref="AC21" si="17">ROUND((($E21*(100-F21)/100)-$AA21)*$L21/1000+$L21*$T21/1000,0)</f>
        <v>#N/A</v>
      </c>
      <c r="AD21" s="841" t="e">
        <f t="shared" ref="AD21" si="18">ROUND((($E21*(100-G21)/100)-$AA21)*$L21/2000+$L21*$T21/2000,0)</f>
        <v>#N/A</v>
      </c>
      <c r="AE21" s="841" t="e">
        <f t="shared" ref="AE21" si="19">ROUND((($E21*(100-H21)/100)-$AA21)*$L21/4000+$L21*$T21/4000,0)</f>
        <v>#N/A</v>
      </c>
      <c r="AF21" s="841" t="e">
        <f t="shared" ref="AF21" si="20">ROUND((($E21*(100-I21)/100)-$AA21)*$L21/12000+$L21*$T21/12000,0)</f>
        <v>#N/A</v>
      </c>
      <c r="AG21" s="841" t="s">
        <v>71</v>
      </c>
      <c r="AH21" s="841" t="s">
        <v>71</v>
      </c>
      <c r="AI21" s="841" t="s">
        <v>71</v>
      </c>
      <c r="AJ21" s="841">
        <v>0</v>
      </c>
      <c r="AK21" s="841">
        <v>0</v>
      </c>
      <c r="AL21" s="841">
        <v>0</v>
      </c>
      <c r="AM21" s="841">
        <v>0</v>
      </c>
      <c r="AN21" s="836" t="e">
        <f>AC21+AJ21+AF80</f>
        <v>#N/A</v>
      </c>
      <c r="AO21" s="836" t="e">
        <f t="shared" ref="AO21:AQ22" si="21">AD21+AK21+AG79</f>
        <v>#N/A</v>
      </c>
      <c r="AP21" s="836" t="e">
        <f t="shared" si="21"/>
        <v>#N/A</v>
      </c>
      <c r="AQ21" s="836" t="e">
        <f t="shared" si="21"/>
        <v>#N/A</v>
      </c>
      <c r="AR21" s="1196">
        <f>Main!$E$13</f>
        <v>4.4999999999999998E-2</v>
      </c>
      <c r="AS21" s="1197">
        <v>0</v>
      </c>
      <c r="AT21" s="1198" t="e">
        <f t="shared" si="9"/>
        <v>#N/A</v>
      </c>
      <c r="AU21" s="1198" t="e">
        <f t="shared" si="3"/>
        <v>#N/A</v>
      </c>
      <c r="AV21" s="1198" t="e">
        <f t="shared" si="4"/>
        <v>#N/A</v>
      </c>
      <c r="AW21" s="1198" t="e">
        <f t="shared" si="5"/>
        <v>#N/A</v>
      </c>
      <c r="AX21" s="1196">
        <f t="shared" ref="AX21" si="22">AR21/2</f>
        <v>2.2499999999999999E-2</v>
      </c>
      <c r="AY21" s="1199" t="e">
        <f t="shared" si="6"/>
        <v>#N/A</v>
      </c>
      <c r="AZ21" s="705" t="e">
        <f t="shared" ref="AZ21" si="23">ROUND(AT21/365,0)</f>
        <v>#N/A</v>
      </c>
      <c r="BA21" s="1194">
        <v>8</v>
      </c>
      <c r="BB21" s="1194" t="s">
        <v>66</v>
      </c>
      <c r="BC21" s="1194">
        <v>55</v>
      </c>
      <c r="BD21" s="1194" t="s">
        <v>65</v>
      </c>
      <c r="BE21" s="1194">
        <v>75000</v>
      </c>
      <c r="BF21" s="1194" t="s">
        <v>872</v>
      </c>
      <c r="BG21" s="836">
        <v>300000</v>
      </c>
      <c r="BH21" s="1200" t="s">
        <v>68</v>
      </c>
      <c r="BI21" s="685">
        <v>70</v>
      </c>
    </row>
    <row r="22" spans="1:61">
      <c r="A22" s="836" t="s">
        <v>868</v>
      </c>
      <c r="B22" s="685" t="s">
        <v>67</v>
      </c>
      <c r="C22" s="841">
        <v>18</v>
      </c>
      <c r="D22" s="836">
        <v>844</v>
      </c>
      <c r="E22" s="839" t="e">
        <f>LOOKUP(M22,PM!BL224:BV224,PM!BL223:BV223)</f>
        <v>#N/A</v>
      </c>
      <c r="F22" s="836">
        <v>2</v>
      </c>
      <c r="G22" s="836">
        <v>1</v>
      </c>
      <c r="H22" s="836">
        <v>0</v>
      </c>
      <c r="I22" s="836">
        <v>0</v>
      </c>
      <c r="J22" s="836">
        <v>10</v>
      </c>
      <c r="K22" s="836">
        <v>20</v>
      </c>
      <c r="L22" s="1184">
        <f>IF(OR((Main!$E$10&lt;75000),(Main!$E$10&gt;300000)),0,Main!$E$10)</f>
        <v>0</v>
      </c>
      <c r="M22" s="1184">
        <f>IF(OR((Main!$E$11&lt;J22),(Main!$E$11&gt;K22)),0,Main!$E$11)</f>
        <v>0</v>
      </c>
      <c r="N22" s="1195">
        <f>Main!E$12</f>
        <v>22</v>
      </c>
      <c r="O22" s="1184">
        <f>IF(OR((Main!$E$9&lt;BA22),(Main!$E$9&gt;BC22)),0,Main!$E$9)</f>
        <v>30</v>
      </c>
      <c r="P22" s="836">
        <f>IF(O22&gt;=18,1,0)</f>
        <v>1</v>
      </c>
      <c r="Q22" s="836">
        <v>5000</v>
      </c>
      <c r="R22" s="836" t="str">
        <f>IF(O22&lt;18,"NO",Main!$J$10)</f>
        <v>YES</v>
      </c>
      <c r="S22" s="836" t="str">
        <f>Main!$J$11</f>
        <v>NO</v>
      </c>
      <c r="T22" s="1188">
        <f>IF(P22=1,IF(R22="YES",IF(S22="YES",1,0.5),0),0)</f>
        <v>0.5</v>
      </c>
      <c r="U22" s="836">
        <v>200000</v>
      </c>
      <c r="V22" s="836">
        <v>300000</v>
      </c>
      <c r="X22" s="836">
        <v>1.5</v>
      </c>
      <c r="Y22" s="836">
        <v>2</v>
      </c>
      <c r="AA22" s="1186">
        <f>IF(L22&gt;=U22,IF(L22&gt;=V22,Y22,X22),0)</f>
        <v>0</v>
      </c>
      <c r="AB22" s="838">
        <v>0</v>
      </c>
      <c r="AC22" s="841" t="e">
        <f t="shared" ref="AC22" si="24">ROUND((($E22*(100-F22)/100)-$AA22)*$L22/1000+$L22*$T22/1000,0)</f>
        <v>#N/A</v>
      </c>
      <c r="AD22" s="841" t="e">
        <f t="shared" ref="AD22" si="25">ROUND((($E22*(100-G22)/100)-$AA22)*$L22/2000+$L22*$T22/2000,0)</f>
        <v>#N/A</v>
      </c>
      <c r="AE22" s="841" t="e">
        <f t="shared" ref="AE22" si="26">ROUND((($E22*(100-H22)/100)-$AA22)*$L22/4000+$L22*$T22/4000,0)</f>
        <v>#N/A</v>
      </c>
      <c r="AF22" s="841" t="e">
        <f t="shared" ref="AF22" si="27">ROUND((($E22*(100-I22)/100)-$AA22)*$L22/12000+$L22*$T22/12000,0)</f>
        <v>#N/A</v>
      </c>
      <c r="AG22" s="841" t="s">
        <v>71</v>
      </c>
      <c r="AH22" s="841" t="s">
        <v>71</v>
      </c>
      <c r="AI22" s="841" t="s">
        <v>71</v>
      </c>
      <c r="AJ22" s="841">
        <v>0</v>
      </c>
      <c r="AK22" s="841">
        <v>0</v>
      </c>
      <c r="AL22" s="841">
        <v>0</v>
      </c>
      <c r="AM22" s="841">
        <v>0</v>
      </c>
      <c r="AN22" s="836" t="e">
        <f>AC22+AJ22+AF81</f>
        <v>#N/A</v>
      </c>
      <c r="AO22" s="836" t="e">
        <f t="shared" si="21"/>
        <v>#N/A</v>
      </c>
      <c r="AP22" s="836" t="e">
        <f t="shared" si="21"/>
        <v>#N/A</v>
      </c>
      <c r="AQ22" s="836" t="e">
        <f t="shared" si="21"/>
        <v>#N/A</v>
      </c>
      <c r="AR22" s="1196">
        <f>Main!$E$13</f>
        <v>4.4999999999999998E-2</v>
      </c>
      <c r="AS22" s="1197">
        <v>0</v>
      </c>
      <c r="AT22" s="1198" t="e">
        <f t="shared" si="9"/>
        <v>#N/A</v>
      </c>
      <c r="AU22" s="1198" t="e">
        <f t="shared" si="3"/>
        <v>#N/A</v>
      </c>
      <c r="AV22" s="1198" t="e">
        <f t="shared" si="4"/>
        <v>#N/A</v>
      </c>
      <c r="AW22" s="1198" t="e">
        <f t="shared" si="5"/>
        <v>#N/A</v>
      </c>
      <c r="AX22" s="1196">
        <f t="shared" ref="AX22" si="28">AR22/2</f>
        <v>2.2499999999999999E-2</v>
      </c>
      <c r="AY22" s="1199" t="e">
        <f t="shared" si="6"/>
        <v>#N/A</v>
      </c>
      <c r="AZ22" s="705" t="e">
        <f t="shared" ref="AZ22" si="29">ROUND(AT22/365,0)</f>
        <v>#N/A</v>
      </c>
      <c r="BA22" s="1194">
        <v>8</v>
      </c>
      <c r="BB22" s="1194" t="s">
        <v>66</v>
      </c>
      <c r="BC22" s="1194">
        <v>55</v>
      </c>
      <c r="BD22" s="1194" t="s">
        <v>65</v>
      </c>
      <c r="BE22" s="1194">
        <v>75000</v>
      </c>
      <c r="BF22" s="1194" t="s">
        <v>872</v>
      </c>
      <c r="BG22" s="836">
        <v>300000</v>
      </c>
      <c r="BH22" s="1200" t="s">
        <v>68</v>
      </c>
      <c r="BI22" s="685">
        <v>70</v>
      </c>
    </row>
    <row r="23" spans="1:61">
      <c r="L23" s="1186"/>
    </row>
    <row r="24" spans="1:61"/>
    <row r="25" spans="1:61"/>
    <row r="26" spans="1:61"/>
    <row r="27" spans="1:61"/>
    <row r="28" spans="1:61"/>
    <row r="29" spans="1:61"/>
    <row r="30" spans="1:61"/>
    <row r="31" spans="1:61"/>
    <row r="32" spans="1:61"/>
    <row r="33"/>
    <row r="34"/>
    <row r="35"/>
    <row r="36"/>
    <row r="37"/>
    <row r="38"/>
    <row r="39"/>
    <row r="40"/>
    <row r="41"/>
    <row r="42"/>
    <row r="43"/>
    <row r="44"/>
    <row r="45"/>
    <row r="46"/>
    <row r="47"/>
    <row r="48"/>
    <row r="49" spans="4:35"/>
    <row r="50" spans="4:35"/>
    <row r="51" spans="4:35"/>
    <row r="52" spans="4:35"/>
    <row r="53" spans="4:35"/>
    <row r="54" spans="4:35"/>
    <row r="55" spans="4:35"/>
    <row r="56" spans="4:35"/>
    <row r="57" spans="4:35"/>
    <row r="58" spans="4:35"/>
    <row r="59" spans="4:35"/>
    <row r="60" spans="4:35"/>
    <row r="61" spans="4:35">
      <c r="W61" s="836">
        <f>IF(W62="CLASS - 1",2,IF(W62="CLASS - 2",3,IF(W62="CLASS - 3",4,IF(W62="CLASS - 4",5,IF(W62="CLASS - 5",6,IF(W62="CLASS - 6",7,IF(W62="CLASS - 7",8,IF(W62="CLASS - 8",9,IF(W62="CLASS - 9",10,IF(W62="CLASS - 10",11,12))))))))))</f>
        <v>12</v>
      </c>
    </row>
    <row r="62" spans="4:35">
      <c r="E62" s="836" t="s">
        <v>849</v>
      </c>
      <c r="F62" s="836" t="s">
        <v>850</v>
      </c>
      <c r="J62" s="836" t="s">
        <v>852</v>
      </c>
      <c r="V62" s="1202">
        <f>LOOKUP($W$61,$U63:$U73,V63:V73)</f>
        <v>0</v>
      </c>
      <c r="W62" s="836" t="str">
        <f>Main!L9</f>
        <v xml:space="preserve">NIL </v>
      </c>
      <c r="X62" s="968"/>
    </row>
    <row r="63" spans="4:35">
      <c r="D63" s="841">
        <v>814</v>
      </c>
      <c r="E63" s="839">
        <f>LOOKUP(M5,PM!CR77:DO77,PM!CR76:DO76)</f>
        <v>0.45</v>
      </c>
      <c r="F63" s="1203" t="str">
        <f>Main!$I$9</f>
        <v>Standard</v>
      </c>
      <c r="G63" s="836">
        <f>IF(F63="Standard",1,2)</f>
        <v>1</v>
      </c>
      <c r="H63" s="837">
        <f>IF(G63=2,0,E63)</f>
        <v>0.45</v>
      </c>
      <c r="J63" s="837">
        <f>IF(H63&lt;=1.5,1.5,H63)</f>
        <v>1.5</v>
      </c>
      <c r="K63" s="836">
        <f t="shared" ref="K63:K78" si="30">L5</f>
        <v>2500000</v>
      </c>
      <c r="L63" s="1204">
        <f>ROUND((J63*K63/1000),0)</f>
        <v>3750</v>
      </c>
      <c r="M63" s="836">
        <f>ROUND((J63*K63/2000),0)</f>
        <v>1875</v>
      </c>
      <c r="N63" s="836">
        <f>ROUND((J63*K63/4000),0)</f>
        <v>938</v>
      </c>
      <c r="O63" s="836">
        <f>ROUND((J63*K63/12000),0)</f>
        <v>313</v>
      </c>
      <c r="Q63" s="836">
        <f>IF(G63=2,L63,0)</f>
        <v>0</v>
      </c>
      <c r="R63" s="836">
        <f>IF(G63=2,M63,0)</f>
        <v>0</v>
      </c>
      <c r="S63" s="836">
        <f>IF(G63=2,N63,0)</f>
        <v>0</v>
      </c>
      <c r="T63" s="842">
        <f>IF(G63=2,O63,0)</f>
        <v>0</v>
      </c>
      <c r="U63" s="836">
        <v>2</v>
      </c>
      <c r="V63" s="836">
        <v>1</v>
      </c>
      <c r="W63" s="836" t="s">
        <v>863</v>
      </c>
      <c r="X63" s="836">
        <v>0</v>
      </c>
      <c r="AA63" s="1204">
        <f t="shared" ref="AA63:AA78" si="31">ROUND((E63*K63/1000*V$62),0)</f>
        <v>0</v>
      </c>
      <c r="AB63" s="838">
        <f>ROUND((E63*K63/2000*V$62),0)</f>
        <v>0</v>
      </c>
      <c r="AC63" s="836">
        <f>ROUND((E63*K63/4000*V$62),0)</f>
        <v>0</v>
      </c>
      <c r="AD63" s="836">
        <f>ROUND((E63*K63/12000*V$62),0)</f>
        <v>0</v>
      </c>
      <c r="AF63" s="836">
        <f>Q63+AA63</f>
        <v>0</v>
      </c>
      <c r="AG63" s="836">
        <f>R63+AB63</f>
        <v>0</v>
      </c>
      <c r="AH63" s="836">
        <f>S63+AC63</f>
        <v>0</v>
      </c>
      <c r="AI63" s="836">
        <f>T63+AD63</f>
        <v>0</v>
      </c>
    </row>
    <row r="64" spans="4:35">
      <c r="D64" s="841">
        <v>815</v>
      </c>
      <c r="E64" s="839">
        <f>LOOKUP(M6,PM!DU130:EO130,PM!DU129:EO129)</f>
        <v>0.9</v>
      </c>
      <c r="F64" s="1203" t="str">
        <f>Main!$I$9</f>
        <v>Standard</v>
      </c>
      <c r="G64" s="836">
        <f t="shared" ref="G64:G81" si="32">IF(F64="Standard",1,2)</f>
        <v>1</v>
      </c>
      <c r="H64" s="837">
        <f t="shared" ref="H64:H81" si="33">IF(G64=2,0,E64)</f>
        <v>0.9</v>
      </c>
      <c r="J64" s="837">
        <f t="shared" ref="J64:J81" si="34">IF(H64&lt;=1.5,1.5,H64)</f>
        <v>1.5</v>
      </c>
      <c r="K64" s="836">
        <f t="shared" si="30"/>
        <v>2500000</v>
      </c>
      <c r="L64" s="1204">
        <f t="shared" ref="L64:L81" si="35">ROUND((J64*K64/1000),0)</f>
        <v>3750</v>
      </c>
      <c r="M64" s="836">
        <f t="shared" ref="M64:M81" si="36">ROUND((J64*K64/2000),0)</f>
        <v>1875</v>
      </c>
      <c r="N64" s="836">
        <f t="shared" ref="N64:N81" si="37">ROUND((J64*K64/4000),0)</f>
        <v>938</v>
      </c>
      <c r="O64" s="836">
        <f t="shared" ref="O64:O81" si="38">ROUND((J64*K64/12000),0)</f>
        <v>313</v>
      </c>
      <c r="Q64" s="836">
        <f t="shared" ref="Q64:Q78" si="39">IF(G64=2,L64,0)</f>
        <v>0</v>
      </c>
      <c r="R64" s="836">
        <f t="shared" ref="R64:R78" si="40">IF(G64=2,M64,0)</f>
        <v>0</v>
      </c>
      <c r="S64" s="836">
        <f t="shared" ref="S64:S78" si="41">IF(G64=2,N64,0)</f>
        <v>0</v>
      </c>
      <c r="T64" s="842">
        <f t="shared" ref="T64:T78" si="42">IF(G64=2,O64,0)</f>
        <v>0</v>
      </c>
      <c r="U64" s="836">
        <v>3</v>
      </c>
      <c r="V64" s="836">
        <v>2</v>
      </c>
      <c r="W64" s="836" t="s">
        <v>853</v>
      </c>
      <c r="X64" s="836">
        <v>1</v>
      </c>
      <c r="AA64" s="1204">
        <f t="shared" si="31"/>
        <v>0</v>
      </c>
      <c r="AB64" s="838">
        <f>ROUND((E64*K64/2000*V$62),0)</f>
        <v>0</v>
      </c>
      <c r="AC64" s="836">
        <f>ROUND((E64*K64/4000*V$62),0)</f>
        <v>0</v>
      </c>
      <c r="AD64" s="836">
        <f>ROUND((E64*K64/12000*V$62),0)</f>
        <v>0</v>
      </c>
      <c r="AF64" s="836">
        <f t="shared" ref="AF64:AF79" si="43">Q64+AA64</f>
        <v>0</v>
      </c>
      <c r="AG64" s="836">
        <f t="shared" ref="AG64:AG78" si="44">R64+AB64</f>
        <v>0</v>
      </c>
      <c r="AH64" s="836">
        <f t="shared" ref="AH64:AH78" si="45">S64+AC64</f>
        <v>0</v>
      </c>
      <c r="AI64" s="836">
        <f t="shared" ref="AI64:AI78" si="46">T64+AD64</f>
        <v>0</v>
      </c>
    </row>
    <row r="65" spans="1:35">
      <c r="D65" s="841">
        <v>816</v>
      </c>
      <c r="E65" s="839">
        <f>PM!CY14</f>
        <v>1.5</v>
      </c>
      <c r="F65" s="1203" t="str">
        <f>Main!$I$9</f>
        <v>Standard</v>
      </c>
      <c r="G65" s="836">
        <f t="shared" si="32"/>
        <v>1</v>
      </c>
      <c r="H65" s="837">
        <f t="shared" si="33"/>
        <v>1.5</v>
      </c>
      <c r="J65" s="837">
        <f t="shared" si="34"/>
        <v>1.5</v>
      </c>
      <c r="K65" s="836">
        <f t="shared" si="30"/>
        <v>2500000</v>
      </c>
      <c r="L65" s="1204">
        <f t="shared" si="35"/>
        <v>3750</v>
      </c>
      <c r="Q65" s="836">
        <f t="shared" si="39"/>
        <v>0</v>
      </c>
      <c r="T65" s="842"/>
      <c r="U65" s="836">
        <v>4</v>
      </c>
      <c r="V65" s="836">
        <v>3</v>
      </c>
      <c r="W65" s="836" t="s">
        <v>854</v>
      </c>
      <c r="X65" s="836">
        <v>2</v>
      </c>
      <c r="AA65" s="1204">
        <f t="shared" si="31"/>
        <v>0</v>
      </c>
      <c r="AE65" s="836">
        <f>ROUND((($E7*(100-AA7)/100)-$F7)*$L7/1000+$L7*$T7/1000,0)</f>
        <v>1876950</v>
      </c>
      <c r="AF65" s="836">
        <f t="shared" si="43"/>
        <v>0</v>
      </c>
    </row>
    <row r="66" spans="1:35">
      <c r="D66" s="836">
        <v>817</v>
      </c>
      <c r="E66" s="839">
        <f>LOOKUP(M8,PM!CP167:DE167,PM!CP166:DE166)</f>
        <v>3.15</v>
      </c>
      <c r="F66" s="1203" t="str">
        <f>Main!$I$9</f>
        <v>Standard</v>
      </c>
      <c r="G66" s="836">
        <f t="shared" si="32"/>
        <v>1</v>
      </c>
      <c r="H66" s="837">
        <f t="shared" si="33"/>
        <v>3.15</v>
      </c>
      <c r="J66" s="837">
        <f t="shared" si="34"/>
        <v>3.15</v>
      </c>
      <c r="K66" s="836">
        <f t="shared" si="30"/>
        <v>2500000</v>
      </c>
      <c r="L66" s="1204">
        <f t="shared" si="35"/>
        <v>7875</v>
      </c>
      <c r="Q66" s="836">
        <f t="shared" si="39"/>
        <v>0</v>
      </c>
      <c r="T66" s="842"/>
      <c r="U66" s="836">
        <v>5</v>
      </c>
      <c r="V66" s="836">
        <v>4</v>
      </c>
      <c r="W66" s="836" t="s">
        <v>855</v>
      </c>
      <c r="X66" s="836">
        <v>3</v>
      </c>
      <c r="AA66" s="1204">
        <f t="shared" si="31"/>
        <v>0</v>
      </c>
      <c r="AE66" s="836">
        <f>ROUND((($E8*(100-F8)/100)-$AA8)*$L8/1000+$L8*$T8/1000,0)</f>
        <v>1102250</v>
      </c>
      <c r="AF66" s="836">
        <f t="shared" si="43"/>
        <v>0</v>
      </c>
    </row>
    <row r="67" spans="1:35">
      <c r="C67" s="837" t="str">
        <f>LOOKUP(N9,PM!CP239:DT239,PM!CP238:DT238)</f>
        <v>-</v>
      </c>
      <c r="D67" s="841">
        <v>818</v>
      </c>
      <c r="E67" s="839" t="str">
        <f>LOOKUP(N9,PM!DH182:EJ182,PM!DH181:EJ181)</f>
        <v>-</v>
      </c>
      <c r="F67" s="1203" t="str">
        <f>Main!$I$9</f>
        <v>Standard</v>
      </c>
      <c r="G67" s="836">
        <f t="shared" si="32"/>
        <v>1</v>
      </c>
      <c r="H67" s="837" t="str">
        <f>IF(G67=2,0,E67)</f>
        <v>-</v>
      </c>
      <c r="I67" s="837" t="str">
        <f>IF(G67=2,0,C67)</f>
        <v>-</v>
      </c>
      <c r="J67" s="837" t="str">
        <f t="shared" si="34"/>
        <v>-</v>
      </c>
      <c r="K67" s="836">
        <f t="shared" si="30"/>
        <v>2500000</v>
      </c>
      <c r="L67" s="1204" t="e">
        <f t="shared" si="35"/>
        <v>#VALUE!</v>
      </c>
      <c r="M67" s="836" t="e">
        <f t="shared" si="36"/>
        <v>#VALUE!</v>
      </c>
      <c r="N67" s="836" t="e">
        <f t="shared" si="37"/>
        <v>#VALUE!</v>
      </c>
      <c r="O67" s="836" t="e">
        <f t="shared" si="38"/>
        <v>#VALUE!</v>
      </c>
      <c r="Q67" s="836">
        <f t="shared" si="39"/>
        <v>0</v>
      </c>
      <c r="R67" s="836">
        <f t="shared" si="40"/>
        <v>0</v>
      </c>
      <c r="S67" s="836">
        <f t="shared" si="41"/>
        <v>0</v>
      </c>
      <c r="T67" s="842">
        <f t="shared" si="42"/>
        <v>0</v>
      </c>
      <c r="U67" s="836">
        <v>6</v>
      </c>
      <c r="V67" s="836">
        <v>6</v>
      </c>
      <c r="W67" s="836" t="s">
        <v>856</v>
      </c>
      <c r="X67" s="836">
        <v>4</v>
      </c>
      <c r="AA67" s="1204" t="e">
        <f t="shared" si="31"/>
        <v>#VALUE!</v>
      </c>
      <c r="AB67" s="838" t="e">
        <f t="shared" ref="AB67:AB78" si="47">ROUND((E67*K67/2000*V$62),0)</f>
        <v>#VALUE!</v>
      </c>
      <c r="AC67" s="836" t="e">
        <f t="shared" ref="AC67:AC78" si="48">ROUND((E67*K67/4000*V$62),0)</f>
        <v>#VALUE!</v>
      </c>
      <c r="AD67" s="836" t="e">
        <f t="shared" ref="AD67:AD78" si="49">ROUND((E67*K67/12000*V$62),0)</f>
        <v>#VALUE!</v>
      </c>
      <c r="AF67" s="836" t="e">
        <f t="shared" si="43"/>
        <v>#VALUE!</v>
      </c>
      <c r="AG67" s="836" t="e">
        <f t="shared" si="44"/>
        <v>#VALUE!</v>
      </c>
      <c r="AH67" s="836" t="e">
        <f t="shared" si="45"/>
        <v>#VALUE!</v>
      </c>
      <c r="AI67" s="836" t="e">
        <f t="shared" si="46"/>
        <v>#VALUE!</v>
      </c>
    </row>
    <row r="68" spans="1:35">
      <c r="D68" s="841">
        <v>820</v>
      </c>
      <c r="E68" s="839">
        <f>PM!CR16</f>
        <v>0.85</v>
      </c>
      <c r="F68" s="1203" t="str">
        <f>Main!$I$9</f>
        <v>Standard</v>
      </c>
      <c r="G68" s="836">
        <f t="shared" si="32"/>
        <v>1</v>
      </c>
      <c r="H68" s="837">
        <f t="shared" si="33"/>
        <v>0.85</v>
      </c>
      <c r="J68" s="837">
        <f t="shared" si="34"/>
        <v>1.5</v>
      </c>
      <c r="K68" s="836">
        <f t="shared" si="30"/>
        <v>2500000</v>
      </c>
      <c r="L68" s="1204">
        <f t="shared" si="35"/>
        <v>3750</v>
      </c>
      <c r="M68" s="836">
        <f t="shared" si="36"/>
        <v>1875</v>
      </c>
      <c r="N68" s="836">
        <f t="shared" si="37"/>
        <v>938</v>
      </c>
      <c r="O68" s="836">
        <f t="shared" si="38"/>
        <v>313</v>
      </c>
      <c r="Q68" s="836">
        <f t="shared" si="39"/>
        <v>0</v>
      </c>
      <c r="R68" s="836">
        <f t="shared" si="40"/>
        <v>0</v>
      </c>
      <c r="S68" s="836">
        <f t="shared" si="41"/>
        <v>0</v>
      </c>
      <c r="T68" s="842">
        <f t="shared" si="42"/>
        <v>0</v>
      </c>
      <c r="U68" s="836">
        <v>7</v>
      </c>
      <c r="V68" s="836">
        <v>8</v>
      </c>
      <c r="W68" s="836" t="s">
        <v>857</v>
      </c>
      <c r="X68" s="836">
        <v>6</v>
      </c>
      <c r="AA68" s="1204">
        <f t="shared" si="31"/>
        <v>0</v>
      </c>
      <c r="AB68" s="838">
        <f t="shared" si="47"/>
        <v>0</v>
      </c>
      <c r="AC68" s="836">
        <f t="shared" si="48"/>
        <v>0</v>
      </c>
      <c r="AD68" s="836">
        <f t="shared" si="49"/>
        <v>0</v>
      </c>
      <c r="AF68" s="836">
        <f t="shared" si="43"/>
        <v>0</v>
      </c>
      <c r="AG68" s="836">
        <f t="shared" si="44"/>
        <v>0</v>
      </c>
      <c r="AH68" s="836">
        <f t="shared" si="45"/>
        <v>0</v>
      </c>
      <c r="AI68" s="836">
        <f t="shared" si="46"/>
        <v>0</v>
      </c>
    </row>
    <row r="69" spans="1:35">
      <c r="D69" s="841">
        <v>821</v>
      </c>
      <c r="E69" s="839">
        <f>PM!CU16</f>
        <v>0.85</v>
      </c>
      <c r="F69" s="1203" t="str">
        <f>Main!$I$9</f>
        <v>Standard</v>
      </c>
      <c r="G69" s="836">
        <f t="shared" si="32"/>
        <v>1</v>
      </c>
      <c r="H69" s="837">
        <f t="shared" si="33"/>
        <v>0.85</v>
      </c>
      <c r="J69" s="837">
        <f t="shared" si="34"/>
        <v>1.5</v>
      </c>
      <c r="K69" s="836">
        <f t="shared" si="30"/>
        <v>2500000</v>
      </c>
      <c r="L69" s="1204">
        <f t="shared" si="35"/>
        <v>3750</v>
      </c>
      <c r="M69" s="836">
        <f t="shared" si="36"/>
        <v>1875</v>
      </c>
      <c r="N69" s="836">
        <f t="shared" si="37"/>
        <v>938</v>
      </c>
      <c r="O69" s="836">
        <f t="shared" si="38"/>
        <v>313</v>
      </c>
      <c r="Q69" s="836">
        <f t="shared" si="39"/>
        <v>0</v>
      </c>
      <c r="R69" s="836">
        <f t="shared" si="40"/>
        <v>0</v>
      </c>
      <c r="S69" s="836">
        <f t="shared" si="41"/>
        <v>0</v>
      </c>
      <c r="T69" s="842">
        <f t="shared" si="42"/>
        <v>0</v>
      </c>
      <c r="U69" s="836">
        <v>8</v>
      </c>
      <c r="V69" s="836">
        <v>10</v>
      </c>
      <c r="W69" s="836" t="s">
        <v>858</v>
      </c>
      <c r="X69" s="836">
        <v>8</v>
      </c>
      <c r="AA69" s="1204">
        <f t="shared" si="31"/>
        <v>0</v>
      </c>
      <c r="AB69" s="838">
        <f t="shared" si="47"/>
        <v>0</v>
      </c>
      <c r="AC69" s="836">
        <f t="shared" si="48"/>
        <v>0</v>
      </c>
      <c r="AD69" s="836">
        <f t="shared" si="49"/>
        <v>0</v>
      </c>
      <c r="AF69" s="836">
        <f t="shared" si="43"/>
        <v>0</v>
      </c>
      <c r="AG69" s="836">
        <f t="shared" si="44"/>
        <v>0</v>
      </c>
      <c r="AH69" s="836">
        <f t="shared" si="45"/>
        <v>0</v>
      </c>
      <c r="AI69" s="836">
        <f t="shared" si="46"/>
        <v>0</v>
      </c>
    </row>
    <row r="70" spans="1:35">
      <c r="D70" s="841">
        <v>822</v>
      </c>
      <c r="E70" s="839">
        <f>LOOKUP(M12,PM!DR77:EL77,PM!DR76:EL76)</f>
        <v>0.64</v>
      </c>
      <c r="F70" s="1203" t="str">
        <f>Main!$I$9</f>
        <v>Standard</v>
      </c>
      <c r="G70" s="836">
        <v>1</v>
      </c>
      <c r="H70" s="837">
        <f t="shared" si="33"/>
        <v>0.64</v>
      </c>
      <c r="J70" s="837">
        <f t="shared" si="34"/>
        <v>1.5</v>
      </c>
      <c r="K70" s="836">
        <f t="shared" si="30"/>
        <v>0</v>
      </c>
      <c r="L70" s="1204">
        <f t="shared" si="35"/>
        <v>0</v>
      </c>
      <c r="M70" s="836">
        <f t="shared" si="36"/>
        <v>0</v>
      </c>
      <c r="N70" s="836">
        <f t="shared" si="37"/>
        <v>0</v>
      </c>
      <c r="O70" s="836">
        <f t="shared" si="38"/>
        <v>0</v>
      </c>
      <c r="Q70" s="836">
        <f t="shared" si="39"/>
        <v>0</v>
      </c>
      <c r="R70" s="836">
        <f t="shared" si="40"/>
        <v>0</v>
      </c>
      <c r="S70" s="836">
        <f t="shared" si="41"/>
        <v>0</v>
      </c>
      <c r="T70" s="842">
        <f t="shared" si="42"/>
        <v>0</v>
      </c>
      <c r="U70" s="836">
        <v>9</v>
      </c>
      <c r="V70" s="836">
        <v>12</v>
      </c>
      <c r="W70" s="836" t="s">
        <v>859</v>
      </c>
      <c r="X70" s="836">
        <v>10</v>
      </c>
      <c r="AA70" s="1204">
        <f t="shared" si="31"/>
        <v>0</v>
      </c>
      <c r="AB70" s="838">
        <f t="shared" si="47"/>
        <v>0</v>
      </c>
      <c r="AC70" s="836">
        <f t="shared" si="48"/>
        <v>0</v>
      </c>
      <c r="AD70" s="836">
        <f t="shared" si="49"/>
        <v>0</v>
      </c>
      <c r="AF70" s="836">
        <f t="shared" si="43"/>
        <v>0</v>
      </c>
      <c r="AG70" s="836">
        <f t="shared" si="44"/>
        <v>0</v>
      </c>
      <c r="AH70" s="836">
        <f t="shared" si="45"/>
        <v>0</v>
      </c>
      <c r="AI70" s="836">
        <f t="shared" si="46"/>
        <v>0</v>
      </c>
    </row>
    <row r="71" spans="1:35">
      <c r="D71" s="841">
        <v>823</v>
      </c>
      <c r="E71" s="839">
        <f>LOOKUP(M13,PM!CQ287:DU287,PM!CQ286:DU286)</f>
        <v>0.41</v>
      </c>
      <c r="F71" s="1203" t="str">
        <f>Main!$I$9</f>
        <v>Standard</v>
      </c>
      <c r="G71" s="836">
        <v>1</v>
      </c>
      <c r="H71" s="837">
        <f t="shared" si="33"/>
        <v>0.41</v>
      </c>
      <c r="J71" s="837">
        <f t="shared" si="34"/>
        <v>1.5</v>
      </c>
      <c r="K71" s="836">
        <f t="shared" si="30"/>
        <v>2500000</v>
      </c>
      <c r="L71" s="1204">
        <f t="shared" si="35"/>
        <v>3750</v>
      </c>
      <c r="M71" s="836">
        <f t="shared" si="36"/>
        <v>1875</v>
      </c>
      <c r="N71" s="836">
        <f t="shared" si="37"/>
        <v>938</v>
      </c>
      <c r="O71" s="836">
        <f t="shared" si="38"/>
        <v>313</v>
      </c>
      <c r="Q71" s="836">
        <f t="shared" si="39"/>
        <v>0</v>
      </c>
      <c r="R71" s="836">
        <f t="shared" si="40"/>
        <v>0</v>
      </c>
      <c r="S71" s="836">
        <f t="shared" si="41"/>
        <v>0</v>
      </c>
      <c r="T71" s="842">
        <f t="shared" si="42"/>
        <v>0</v>
      </c>
      <c r="U71" s="836">
        <v>10</v>
      </c>
      <c r="V71" s="836">
        <v>16</v>
      </c>
      <c r="W71" s="836" t="s">
        <v>860</v>
      </c>
      <c r="X71" s="836">
        <v>12</v>
      </c>
      <c r="AA71" s="1204">
        <f t="shared" si="31"/>
        <v>0</v>
      </c>
      <c r="AB71" s="838">
        <f t="shared" si="47"/>
        <v>0</v>
      </c>
      <c r="AC71" s="836">
        <f t="shared" si="48"/>
        <v>0</v>
      </c>
      <c r="AD71" s="836">
        <f t="shared" si="49"/>
        <v>0</v>
      </c>
      <c r="AF71" s="836">
        <f t="shared" si="43"/>
        <v>0</v>
      </c>
      <c r="AG71" s="836">
        <f t="shared" si="44"/>
        <v>0</v>
      </c>
      <c r="AH71" s="836">
        <f t="shared" si="45"/>
        <v>0</v>
      </c>
      <c r="AI71" s="836">
        <f t="shared" si="46"/>
        <v>0</v>
      </c>
    </row>
    <row r="72" spans="1:35">
      <c r="D72" s="841">
        <v>827</v>
      </c>
      <c r="E72" s="839" t="e">
        <f>LOOKUP(M14,PM!DH130:DR130,PM!DH129:DR129)</f>
        <v>#N/A</v>
      </c>
      <c r="F72" s="1203" t="str">
        <f>Main!$I$9</f>
        <v>Standard</v>
      </c>
      <c r="G72" s="836">
        <f t="shared" si="32"/>
        <v>1</v>
      </c>
      <c r="H72" s="837" t="e">
        <f t="shared" si="33"/>
        <v>#N/A</v>
      </c>
      <c r="J72" s="837" t="e">
        <f t="shared" si="34"/>
        <v>#N/A</v>
      </c>
      <c r="K72" s="836">
        <f t="shared" si="30"/>
        <v>0</v>
      </c>
      <c r="L72" s="1204" t="e">
        <f t="shared" si="35"/>
        <v>#N/A</v>
      </c>
      <c r="M72" s="836" t="e">
        <f t="shared" si="36"/>
        <v>#N/A</v>
      </c>
      <c r="N72" s="836" t="e">
        <f t="shared" si="37"/>
        <v>#N/A</v>
      </c>
      <c r="O72" s="836" t="e">
        <f t="shared" si="38"/>
        <v>#N/A</v>
      </c>
      <c r="Q72" s="836">
        <f t="shared" si="39"/>
        <v>0</v>
      </c>
      <c r="R72" s="836">
        <f t="shared" si="40"/>
        <v>0</v>
      </c>
      <c r="S72" s="836">
        <f t="shared" si="41"/>
        <v>0</v>
      </c>
      <c r="T72" s="842">
        <f t="shared" si="42"/>
        <v>0</v>
      </c>
      <c r="U72" s="836">
        <v>11</v>
      </c>
      <c r="V72" s="836">
        <v>20</v>
      </c>
      <c r="W72" s="836" t="s">
        <v>861</v>
      </c>
      <c r="X72" s="836">
        <v>16</v>
      </c>
      <c r="AA72" s="1204" t="e">
        <f t="shared" si="31"/>
        <v>#N/A</v>
      </c>
      <c r="AB72" s="838" t="e">
        <f t="shared" si="47"/>
        <v>#N/A</v>
      </c>
      <c r="AC72" s="836" t="e">
        <f t="shared" si="48"/>
        <v>#N/A</v>
      </c>
      <c r="AD72" s="836" t="e">
        <f t="shared" si="49"/>
        <v>#N/A</v>
      </c>
      <c r="AF72" s="836" t="e">
        <f t="shared" si="43"/>
        <v>#N/A</v>
      </c>
      <c r="AG72" s="836" t="e">
        <f t="shared" si="44"/>
        <v>#N/A</v>
      </c>
      <c r="AH72" s="836" t="e">
        <f t="shared" si="45"/>
        <v>#N/A</v>
      </c>
      <c r="AI72" s="836" t="e">
        <f t="shared" si="46"/>
        <v>#N/A</v>
      </c>
    </row>
    <row r="73" spans="1:35">
      <c r="D73" s="841">
        <v>830</v>
      </c>
      <c r="E73" s="839">
        <f>PM!DX14</f>
        <v>0.7</v>
      </c>
      <c r="F73" s="1203" t="str">
        <f>Main!$I$9</f>
        <v>Standard</v>
      </c>
      <c r="G73" s="836">
        <v>1</v>
      </c>
      <c r="H73" s="837">
        <f t="shared" si="33"/>
        <v>0.7</v>
      </c>
      <c r="J73" s="837">
        <f t="shared" si="34"/>
        <v>1.5</v>
      </c>
      <c r="K73" s="836">
        <f t="shared" si="30"/>
        <v>2500000</v>
      </c>
      <c r="L73" s="1204">
        <f t="shared" si="35"/>
        <v>3750</v>
      </c>
      <c r="M73" s="836">
        <f t="shared" si="36"/>
        <v>1875</v>
      </c>
      <c r="N73" s="836">
        <f t="shared" si="37"/>
        <v>938</v>
      </c>
      <c r="O73" s="836">
        <f t="shared" si="38"/>
        <v>313</v>
      </c>
      <c r="Q73" s="836">
        <f t="shared" si="39"/>
        <v>0</v>
      </c>
      <c r="R73" s="836">
        <f t="shared" si="40"/>
        <v>0</v>
      </c>
      <c r="S73" s="836">
        <f t="shared" si="41"/>
        <v>0</v>
      </c>
      <c r="T73" s="842">
        <f t="shared" si="42"/>
        <v>0</v>
      </c>
      <c r="U73" s="836">
        <v>12</v>
      </c>
      <c r="V73" s="836">
        <v>0</v>
      </c>
      <c r="W73" s="836" t="s">
        <v>862</v>
      </c>
      <c r="X73" s="836">
        <v>20</v>
      </c>
      <c r="AA73" s="1204">
        <f t="shared" si="31"/>
        <v>0</v>
      </c>
      <c r="AB73" s="838">
        <f t="shared" si="47"/>
        <v>0</v>
      </c>
      <c r="AC73" s="836">
        <f t="shared" si="48"/>
        <v>0</v>
      </c>
      <c r="AD73" s="836">
        <f t="shared" si="49"/>
        <v>0</v>
      </c>
      <c r="AF73" s="836">
        <f t="shared" si="43"/>
        <v>0</v>
      </c>
      <c r="AG73" s="836">
        <f t="shared" si="44"/>
        <v>0</v>
      </c>
      <c r="AH73" s="836">
        <f t="shared" si="45"/>
        <v>0</v>
      </c>
      <c r="AI73" s="836">
        <f t="shared" si="46"/>
        <v>0</v>
      </c>
    </row>
    <row r="74" spans="1:35">
      <c r="D74" s="841">
        <v>832</v>
      </c>
      <c r="E74" s="839">
        <f>PM!DD16</f>
        <v>1.1000000000000001</v>
      </c>
      <c r="F74" s="1203" t="str">
        <f>Main!$I$9</f>
        <v>Standard</v>
      </c>
      <c r="G74" s="836">
        <v>1</v>
      </c>
      <c r="H74" s="837">
        <f t="shared" si="33"/>
        <v>1.1000000000000001</v>
      </c>
      <c r="J74" s="837">
        <f t="shared" si="34"/>
        <v>1.5</v>
      </c>
      <c r="K74" s="836">
        <f t="shared" si="30"/>
        <v>2500000</v>
      </c>
      <c r="L74" s="1204">
        <f t="shared" si="35"/>
        <v>3750</v>
      </c>
      <c r="M74" s="836">
        <f t="shared" si="36"/>
        <v>1875</v>
      </c>
      <c r="N74" s="836">
        <f t="shared" si="37"/>
        <v>938</v>
      </c>
      <c r="O74" s="836">
        <f t="shared" si="38"/>
        <v>313</v>
      </c>
      <c r="Q74" s="836">
        <f t="shared" si="39"/>
        <v>0</v>
      </c>
      <c r="R74" s="836">
        <f t="shared" si="40"/>
        <v>0</v>
      </c>
      <c r="S74" s="836">
        <f t="shared" si="41"/>
        <v>0</v>
      </c>
      <c r="T74" s="842">
        <f t="shared" si="42"/>
        <v>0</v>
      </c>
      <c r="AA74" s="1204">
        <f t="shared" si="31"/>
        <v>0</v>
      </c>
      <c r="AB74" s="838">
        <f t="shared" si="47"/>
        <v>0</v>
      </c>
      <c r="AC74" s="836">
        <f t="shared" si="48"/>
        <v>0</v>
      </c>
      <c r="AD74" s="836">
        <f t="shared" si="49"/>
        <v>0</v>
      </c>
      <c r="AF74" s="836">
        <f t="shared" si="43"/>
        <v>0</v>
      </c>
      <c r="AG74" s="836">
        <f t="shared" si="44"/>
        <v>0</v>
      </c>
      <c r="AH74" s="836">
        <f t="shared" si="45"/>
        <v>0</v>
      </c>
      <c r="AI74" s="836">
        <f t="shared" si="46"/>
        <v>0</v>
      </c>
    </row>
    <row r="75" spans="1:35">
      <c r="D75" s="841">
        <v>833</v>
      </c>
      <c r="E75" s="839">
        <f>LOOKUP(M17,PM!CR130:DD130,PM!CR129:DD129)</f>
        <v>1.2</v>
      </c>
      <c r="F75" s="1203" t="str">
        <f>Main!$I$9</f>
        <v>Standard</v>
      </c>
      <c r="G75" s="836">
        <f t="shared" si="32"/>
        <v>1</v>
      </c>
      <c r="H75" s="837">
        <f t="shared" si="33"/>
        <v>1.2</v>
      </c>
      <c r="J75" s="837">
        <f t="shared" si="34"/>
        <v>1.5</v>
      </c>
      <c r="K75" s="836">
        <f t="shared" si="30"/>
        <v>2500000</v>
      </c>
      <c r="L75" s="1204">
        <f t="shared" si="35"/>
        <v>3750</v>
      </c>
      <c r="M75" s="836">
        <f t="shared" si="36"/>
        <v>1875</v>
      </c>
      <c r="N75" s="836">
        <f t="shared" si="37"/>
        <v>938</v>
      </c>
      <c r="O75" s="836">
        <f t="shared" si="38"/>
        <v>313</v>
      </c>
      <c r="Q75" s="836">
        <f t="shared" si="39"/>
        <v>0</v>
      </c>
      <c r="R75" s="836">
        <f t="shared" si="40"/>
        <v>0</v>
      </c>
      <c r="S75" s="836">
        <f t="shared" si="41"/>
        <v>0</v>
      </c>
      <c r="T75" s="842">
        <f t="shared" si="42"/>
        <v>0</v>
      </c>
      <c r="AA75" s="1204">
        <f t="shared" si="31"/>
        <v>0</v>
      </c>
      <c r="AB75" s="838">
        <f t="shared" si="47"/>
        <v>0</v>
      </c>
      <c r="AC75" s="836">
        <f t="shared" si="48"/>
        <v>0</v>
      </c>
      <c r="AD75" s="836">
        <f t="shared" si="49"/>
        <v>0</v>
      </c>
      <c r="AF75" s="836">
        <f t="shared" si="43"/>
        <v>0</v>
      </c>
      <c r="AG75" s="836">
        <f t="shared" si="44"/>
        <v>0</v>
      </c>
      <c r="AH75" s="836">
        <f t="shared" si="45"/>
        <v>0</v>
      </c>
      <c r="AI75" s="836">
        <f t="shared" si="46"/>
        <v>0</v>
      </c>
    </row>
    <row r="76" spans="1:35">
      <c r="D76" s="841">
        <v>834</v>
      </c>
      <c r="E76" s="839">
        <f>PM!DG16</f>
        <v>1</v>
      </c>
      <c r="F76" s="1203" t="str">
        <f>Main!$I$9</f>
        <v>Standard</v>
      </c>
      <c r="G76" s="836">
        <v>1</v>
      </c>
      <c r="H76" s="837">
        <f t="shared" si="33"/>
        <v>1</v>
      </c>
      <c r="J76" s="837">
        <f t="shared" si="34"/>
        <v>1.5</v>
      </c>
      <c r="K76" s="836">
        <f t="shared" si="30"/>
        <v>2500000</v>
      </c>
      <c r="L76" s="1204">
        <f t="shared" si="35"/>
        <v>3750</v>
      </c>
      <c r="M76" s="836">
        <f t="shared" si="36"/>
        <v>1875</v>
      </c>
      <c r="N76" s="836">
        <f t="shared" si="37"/>
        <v>938</v>
      </c>
      <c r="O76" s="836">
        <f t="shared" si="38"/>
        <v>313</v>
      </c>
      <c r="Q76" s="836">
        <f t="shared" si="39"/>
        <v>0</v>
      </c>
      <c r="R76" s="836">
        <f t="shared" si="40"/>
        <v>0</v>
      </c>
      <c r="S76" s="836">
        <f t="shared" si="41"/>
        <v>0</v>
      </c>
      <c r="T76" s="842">
        <f t="shared" si="42"/>
        <v>0</v>
      </c>
      <c r="AA76" s="1204">
        <f t="shared" si="31"/>
        <v>0</v>
      </c>
      <c r="AB76" s="838">
        <f t="shared" si="47"/>
        <v>0</v>
      </c>
      <c r="AC76" s="836">
        <f t="shared" si="48"/>
        <v>0</v>
      </c>
      <c r="AD76" s="836">
        <f t="shared" si="49"/>
        <v>0</v>
      </c>
      <c r="AF76" s="836">
        <f t="shared" si="43"/>
        <v>0</v>
      </c>
      <c r="AG76" s="836">
        <f t="shared" si="44"/>
        <v>0</v>
      </c>
      <c r="AH76" s="836">
        <f t="shared" si="45"/>
        <v>0</v>
      </c>
      <c r="AI76" s="836">
        <f t="shared" si="46"/>
        <v>0</v>
      </c>
    </row>
    <row r="77" spans="1:35">
      <c r="D77" s="841">
        <v>836</v>
      </c>
      <c r="E77" s="839">
        <f>PM!DI14</f>
        <v>0.45</v>
      </c>
      <c r="F77" s="1203" t="str">
        <f>Main!$I$9</f>
        <v>Standard</v>
      </c>
      <c r="G77" s="836">
        <f t="shared" si="32"/>
        <v>1</v>
      </c>
      <c r="H77" s="837">
        <f t="shared" si="33"/>
        <v>0.45</v>
      </c>
      <c r="J77" s="837">
        <f t="shared" si="34"/>
        <v>1.5</v>
      </c>
      <c r="K77" s="836">
        <f t="shared" si="30"/>
        <v>2500000</v>
      </c>
      <c r="L77" s="1204">
        <f t="shared" si="35"/>
        <v>3750</v>
      </c>
      <c r="M77" s="836">
        <f t="shared" si="36"/>
        <v>1875</v>
      </c>
      <c r="N77" s="836">
        <f t="shared" si="37"/>
        <v>938</v>
      </c>
      <c r="O77" s="836">
        <f t="shared" si="38"/>
        <v>313</v>
      </c>
      <c r="Q77" s="836">
        <f t="shared" si="39"/>
        <v>0</v>
      </c>
      <c r="R77" s="836">
        <f t="shared" si="40"/>
        <v>0</v>
      </c>
      <c r="S77" s="836">
        <f t="shared" si="41"/>
        <v>0</v>
      </c>
      <c r="T77" s="842">
        <f t="shared" si="42"/>
        <v>0</v>
      </c>
      <c r="AA77" s="1204">
        <f t="shared" si="31"/>
        <v>0</v>
      </c>
      <c r="AB77" s="838">
        <f t="shared" si="47"/>
        <v>0</v>
      </c>
      <c r="AC77" s="836">
        <f t="shared" si="48"/>
        <v>0</v>
      </c>
      <c r="AD77" s="836">
        <f t="shared" si="49"/>
        <v>0</v>
      </c>
      <c r="AF77" s="836">
        <f t="shared" si="43"/>
        <v>0</v>
      </c>
      <c r="AG77" s="836">
        <f t="shared" si="44"/>
        <v>0</v>
      </c>
      <c r="AH77" s="836">
        <f t="shared" si="45"/>
        <v>0</v>
      </c>
      <c r="AI77" s="836">
        <f t="shared" si="46"/>
        <v>0</v>
      </c>
    </row>
    <row r="78" spans="1:35">
      <c r="D78" s="836">
        <v>838</v>
      </c>
      <c r="E78" s="839" t="e">
        <f>LOOKUP(M20,PM!DZ239:EI239,PM!DZ238:EI238)</f>
        <v>#N/A</v>
      </c>
      <c r="F78" s="1203" t="str">
        <f>Main!$I$9</f>
        <v>Standard</v>
      </c>
      <c r="G78" s="836">
        <f t="shared" si="32"/>
        <v>1</v>
      </c>
      <c r="H78" s="837" t="e">
        <f t="shared" si="33"/>
        <v>#N/A</v>
      </c>
      <c r="J78" s="837" t="e">
        <f t="shared" si="34"/>
        <v>#N/A</v>
      </c>
      <c r="K78" s="836">
        <f t="shared" si="30"/>
        <v>2500000</v>
      </c>
      <c r="L78" s="1204" t="e">
        <f t="shared" si="35"/>
        <v>#N/A</v>
      </c>
      <c r="M78" s="836" t="e">
        <f t="shared" si="36"/>
        <v>#N/A</v>
      </c>
      <c r="N78" s="836" t="e">
        <f t="shared" si="37"/>
        <v>#N/A</v>
      </c>
      <c r="O78" s="836" t="e">
        <f t="shared" si="38"/>
        <v>#N/A</v>
      </c>
      <c r="Q78" s="836">
        <f t="shared" si="39"/>
        <v>0</v>
      </c>
      <c r="R78" s="836">
        <f t="shared" si="40"/>
        <v>0</v>
      </c>
      <c r="S78" s="836">
        <f t="shared" si="41"/>
        <v>0</v>
      </c>
      <c r="T78" s="842">
        <f t="shared" si="42"/>
        <v>0</v>
      </c>
      <c r="AA78" s="1204" t="e">
        <f t="shared" si="31"/>
        <v>#N/A</v>
      </c>
      <c r="AB78" s="838" t="e">
        <f t="shared" si="47"/>
        <v>#N/A</v>
      </c>
      <c r="AC78" s="836" t="e">
        <f t="shared" si="48"/>
        <v>#N/A</v>
      </c>
      <c r="AD78" s="836" t="e">
        <f t="shared" si="49"/>
        <v>#N/A</v>
      </c>
      <c r="AF78" s="836" t="e">
        <f t="shared" si="43"/>
        <v>#N/A</v>
      </c>
      <c r="AG78" s="836" t="e">
        <f t="shared" si="44"/>
        <v>#N/A</v>
      </c>
      <c r="AH78" s="836" t="e">
        <f t="shared" si="45"/>
        <v>#N/A</v>
      </c>
      <c r="AI78" s="836" t="e">
        <f t="shared" si="46"/>
        <v>#N/A</v>
      </c>
    </row>
    <row r="79" spans="1:35">
      <c r="A79" s="1203" t="s">
        <v>851</v>
      </c>
      <c r="F79" s="1203"/>
      <c r="H79" s="837"/>
      <c r="J79" s="837" t="str">
        <f>IF(I67&lt;=1.5,1.5,I67)</f>
        <v>-</v>
      </c>
      <c r="K79" s="836">
        <f>L9</f>
        <v>2500000</v>
      </c>
      <c r="L79" s="1204" t="e">
        <f t="shared" si="35"/>
        <v>#VALUE!</v>
      </c>
      <c r="M79" s="836" t="e">
        <f t="shared" si="36"/>
        <v>#VALUE!</v>
      </c>
      <c r="N79" s="836" t="e">
        <f t="shared" si="37"/>
        <v>#VALUE!</v>
      </c>
      <c r="O79" s="836" t="e">
        <f t="shared" si="38"/>
        <v>#VALUE!</v>
      </c>
      <c r="Q79" s="836">
        <f>IF(G67=2,L79,0)</f>
        <v>0</v>
      </c>
      <c r="R79" s="836">
        <f>IF(G67=2,M79,0)</f>
        <v>0</v>
      </c>
      <c r="S79" s="836">
        <f>IF(G67=2,N79,0)</f>
        <v>0</v>
      </c>
      <c r="T79" s="842">
        <f>IF(G67=2,O79,0)</f>
        <v>0</v>
      </c>
      <c r="AA79" s="1204" t="e">
        <f>ROUND((C67*K79/1000*V$62),0)</f>
        <v>#VALUE!</v>
      </c>
      <c r="AF79" s="836" t="e">
        <f t="shared" si="43"/>
        <v>#VALUE!</v>
      </c>
    </row>
    <row r="80" spans="1:35">
      <c r="D80" s="836">
        <v>843</v>
      </c>
      <c r="E80" s="837" t="e">
        <f>LOOKUP(M21,PM!DH130:DR130,PM!DH129:DR129)</f>
        <v>#N/A</v>
      </c>
      <c r="F80" s="1203" t="str">
        <f>Main!$I$9</f>
        <v>Standard</v>
      </c>
      <c r="G80" s="836">
        <f t="shared" si="32"/>
        <v>1</v>
      </c>
      <c r="H80" s="837" t="e">
        <f t="shared" si="33"/>
        <v>#N/A</v>
      </c>
      <c r="J80" s="837" t="e">
        <f t="shared" si="34"/>
        <v>#N/A</v>
      </c>
      <c r="K80" s="836">
        <f>L21</f>
        <v>0</v>
      </c>
      <c r="L80" s="1204" t="e">
        <f t="shared" si="35"/>
        <v>#N/A</v>
      </c>
      <c r="M80" s="836" t="e">
        <f t="shared" si="36"/>
        <v>#N/A</v>
      </c>
      <c r="N80" s="836" t="e">
        <f t="shared" si="37"/>
        <v>#N/A</v>
      </c>
      <c r="O80" s="836" t="e">
        <f t="shared" si="38"/>
        <v>#N/A</v>
      </c>
      <c r="Q80" s="836">
        <f t="shared" ref="Q80:Q81" si="50">IF(G80=2,L80,0)</f>
        <v>0</v>
      </c>
      <c r="R80" s="836">
        <f t="shared" ref="R80:R81" si="51">IF(G80=2,M80,0)</f>
        <v>0</v>
      </c>
      <c r="S80" s="836">
        <f t="shared" ref="S80:S81" si="52">IF(G80=2,N80,0)</f>
        <v>0</v>
      </c>
      <c r="T80" s="842">
        <f t="shared" ref="T80:T81" si="53">IF(G80=2,O80,0)</f>
        <v>0</v>
      </c>
      <c r="AA80" s="1204" t="e">
        <f t="shared" ref="AA80:AA81" si="54">ROUND((E80*K80/1000*V$62),0)</f>
        <v>#N/A</v>
      </c>
      <c r="AB80" s="838" t="e">
        <f t="shared" ref="AB80:AB81" si="55">ROUND((E80*K80/2000*V$62),0)</f>
        <v>#N/A</v>
      </c>
      <c r="AC80" s="836" t="e">
        <f t="shared" ref="AC80:AC81" si="56">ROUND((E80*K80/4000*V$62),0)</f>
        <v>#N/A</v>
      </c>
      <c r="AD80" s="836" t="e">
        <f t="shared" ref="AD80:AD81" si="57">ROUND((E80*K80/12000*V$62),0)</f>
        <v>#N/A</v>
      </c>
      <c r="AF80" s="836" t="e">
        <f t="shared" ref="AF80:AF81" si="58">Q80+AA80</f>
        <v>#N/A</v>
      </c>
      <c r="AG80" s="836" t="e">
        <f t="shared" ref="AG80:AG81" si="59">R80+AB80</f>
        <v>#N/A</v>
      </c>
      <c r="AH80" s="836" t="e">
        <f t="shared" ref="AH80:AH81" si="60">S80+AC80</f>
        <v>#N/A</v>
      </c>
      <c r="AI80" s="836" t="e">
        <f t="shared" ref="AI80:AI81" si="61">T80+AD80</f>
        <v>#N/A</v>
      </c>
    </row>
    <row r="81" spans="4:35">
      <c r="D81" s="836">
        <v>844</v>
      </c>
      <c r="E81" s="837" t="e">
        <f>LOOKUP(M22,PM!DH130:DR130,PM!DH129:DR129)</f>
        <v>#N/A</v>
      </c>
      <c r="F81" s="1203" t="str">
        <f>Main!$I$9</f>
        <v>Standard</v>
      </c>
      <c r="G81" s="836">
        <f t="shared" si="32"/>
        <v>1</v>
      </c>
      <c r="H81" s="837" t="e">
        <f t="shared" si="33"/>
        <v>#N/A</v>
      </c>
      <c r="J81" s="837" t="e">
        <f t="shared" si="34"/>
        <v>#N/A</v>
      </c>
      <c r="K81" s="836">
        <f>L22</f>
        <v>0</v>
      </c>
      <c r="L81" s="1204" t="e">
        <f t="shared" si="35"/>
        <v>#N/A</v>
      </c>
      <c r="M81" s="836" t="e">
        <f t="shared" si="36"/>
        <v>#N/A</v>
      </c>
      <c r="N81" s="836" t="e">
        <f t="shared" si="37"/>
        <v>#N/A</v>
      </c>
      <c r="O81" s="836" t="e">
        <f t="shared" si="38"/>
        <v>#N/A</v>
      </c>
      <c r="Q81" s="836">
        <f t="shared" si="50"/>
        <v>0</v>
      </c>
      <c r="R81" s="836">
        <f t="shared" si="51"/>
        <v>0</v>
      </c>
      <c r="S81" s="836">
        <f t="shared" si="52"/>
        <v>0</v>
      </c>
      <c r="T81" s="842">
        <f t="shared" si="53"/>
        <v>0</v>
      </c>
      <c r="AA81" s="1204" t="e">
        <f t="shared" si="54"/>
        <v>#N/A</v>
      </c>
      <c r="AB81" s="838" t="e">
        <f t="shared" si="55"/>
        <v>#N/A</v>
      </c>
      <c r="AC81" s="836" t="e">
        <f t="shared" si="56"/>
        <v>#N/A</v>
      </c>
      <c r="AD81" s="836" t="e">
        <f t="shared" si="57"/>
        <v>#N/A</v>
      </c>
      <c r="AF81" s="836" t="e">
        <f t="shared" si="58"/>
        <v>#N/A</v>
      </c>
      <c r="AG81" s="836" t="e">
        <f t="shared" si="59"/>
        <v>#N/A</v>
      </c>
      <c r="AH81" s="836" t="e">
        <f t="shared" si="60"/>
        <v>#N/A</v>
      </c>
      <c r="AI81" s="836" t="e">
        <f t="shared" si="61"/>
        <v>#N/A</v>
      </c>
    </row>
    <row r="82" spans="4:35"/>
    <row r="83" spans="4:35"/>
    <row r="84" spans="4:35">
      <c r="D84" s="829">
        <v>814</v>
      </c>
      <c r="E84" s="836">
        <f>IF(Main!L11="YES",PM!AW486,0)</f>
        <v>0</v>
      </c>
      <c r="F84" s="836">
        <f>IF(Main!L11="YES",PM!AW487,0)</f>
        <v>0</v>
      </c>
      <c r="G84" s="836">
        <f>IF(Main!L11="YES",PM!AW488,0)</f>
        <v>0</v>
      </c>
      <c r="H84" s="836">
        <f>IF(Main!L11="YES",PM!AW489,0)</f>
        <v>0</v>
      </c>
    </row>
    <row r="85" spans="4:35">
      <c r="D85" s="829">
        <v>815</v>
      </c>
      <c r="E85" s="836">
        <f>IF(Main!L11="YES",PM!AX486,0)</f>
        <v>0</v>
      </c>
      <c r="F85" s="836">
        <f>IF(Main!L11="YES",PM!AX487,0)</f>
        <v>0</v>
      </c>
      <c r="G85" s="836">
        <f>IF(Main!L11="YES",PM!AX488,0)</f>
        <v>0</v>
      </c>
      <c r="H85" s="836">
        <f>IF(Main!L11="YES",PM!AX489,0)</f>
        <v>0</v>
      </c>
    </row>
    <row r="86" spans="4:35">
      <c r="D86" s="829">
        <v>820</v>
      </c>
      <c r="E86" s="836">
        <f>IF(Main!L11="YES",PM!AY486,0)</f>
        <v>0</v>
      </c>
      <c r="F86" s="836">
        <f>IF(Main!L11="YES",PM!AY487,0)</f>
        <v>0</v>
      </c>
      <c r="G86" s="836">
        <f>IF(Main!L11="YES",PM!AY488,0)</f>
        <v>0</v>
      </c>
      <c r="H86" s="836">
        <f>IF(Main!L11="YES",PM!AY489,0)</f>
        <v>0</v>
      </c>
    </row>
    <row r="87" spans="4:35">
      <c r="D87" s="829">
        <v>821</v>
      </c>
      <c r="E87" s="836">
        <f>IF(Main!L11="YES",PM!AZ486,0)</f>
        <v>0</v>
      </c>
      <c r="F87" s="836">
        <f>IF(Main!L11="YES",PM!AZ487,0)</f>
        <v>0</v>
      </c>
      <c r="G87" s="836">
        <f>IF(Main!L11="YES",PM!AZ488,0)</f>
        <v>0</v>
      </c>
      <c r="H87" s="836">
        <f>IF(Main!L11="YES",PM!AZ489,0)</f>
        <v>0</v>
      </c>
    </row>
    <row r="88" spans="4:35">
      <c r="D88" s="829">
        <v>830</v>
      </c>
      <c r="E88" s="836">
        <f>IF(Main!L11="YES",PM!BA486,0)</f>
        <v>0</v>
      </c>
      <c r="F88" s="836">
        <f>IF(Main!L11="YES",PM!BA487,0)</f>
        <v>0</v>
      </c>
      <c r="G88" s="836">
        <f>IF(Main!L11="YES",PM!BA488,0)</f>
        <v>0</v>
      </c>
      <c r="H88" s="836">
        <f>IF(Main!L11="YES",PM!BA489,0)</f>
        <v>0</v>
      </c>
    </row>
    <row r="89" spans="4:35">
      <c r="D89" s="829">
        <v>836</v>
      </c>
      <c r="E89" s="836">
        <f>IF(Main!L11="YES",PM!BB486,0)</f>
        <v>0</v>
      </c>
      <c r="F89" s="836">
        <f>IF(Main!L11="YES",PM!BB487,0)</f>
        <v>0</v>
      </c>
      <c r="G89" s="836">
        <f>IF(Main!L11="YES",PM!BB488,0)</f>
        <v>0</v>
      </c>
      <c r="H89" s="836">
        <f>IF(Main!L11="YES",PM!BB489,0)</f>
        <v>0</v>
      </c>
    </row>
    <row r="90" spans="4:35">
      <c r="D90" s="829">
        <v>838</v>
      </c>
      <c r="E90" s="836">
        <f>IF(Main!L11="YES",PM!BC486,0)</f>
        <v>0</v>
      </c>
      <c r="F90" s="836">
        <f>IF(Main!L11="YES",PM!BC487,0)</f>
        <v>0</v>
      </c>
      <c r="G90" s="836">
        <f>IF(Main!L11="YES",PM!BC488,0)</f>
        <v>0</v>
      </c>
      <c r="H90" s="836">
        <f>IF(Main!L11="YES",PM!BC489,0)</f>
        <v>0</v>
      </c>
    </row>
    <row r="91" spans="4:35"/>
    <row r="92" spans="4:35"/>
    <row r="93" spans="4:35"/>
    <row r="94" spans="4:35"/>
    <row r="95" spans="4:35"/>
    <row r="96" spans="4:35"/>
    <row r="97"/>
    <row r="98"/>
    <row r="99"/>
    <row r="100"/>
    <row r="101"/>
  </sheetData>
  <mergeCells count="1">
    <mergeCell ref="AS3:AW3"/>
  </mergeCells>
  <pageMargins left="0.7" right="0.7" top="0.75" bottom="0.75" header="0.3" footer="0.3"/>
  <pageSetup orientation="portrait" horizontalDpi="4294967293" verticalDpi="4294967293" r:id="rId1"/>
</worksheet>
</file>

<file path=xl/worksheets/sheet28.xml><?xml version="1.0" encoding="utf-8"?>
<worksheet xmlns="http://schemas.openxmlformats.org/spreadsheetml/2006/main" xmlns:r="http://schemas.openxmlformats.org/officeDocument/2006/relationships">
  <sheetPr codeName="Sheet531"/>
  <dimension ref="A1:FI575"/>
  <sheetViews>
    <sheetView showGridLines="0" topLeftCell="A162" workbookViewId="0">
      <selection activeCell="A162" sqref="A162"/>
    </sheetView>
  </sheetViews>
  <sheetFormatPr defaultColWidth="8.125" defaultRowHeight="0" customHeight="1" zeroHeight="1"/>
  <cols>
    <col min="1" max="1" width="8.125" style="824"/>
    <col min="2" max="2" width="8.375" style="824" bestFit="1" customWidth="1"/>
    <col min="3" max="36" width="6.125" style="824" customWidth="1"/>
    <col min="37" max="37" width="4.625" style="824" customWidth="1"/>
    <col min="38" max="38" width="7.125" style="824" customWidth="1"/>
    <col min="39" max="39" width="7.375" style="824" customWidth="1"/>
    <col min="40" max="49" width="6.125" style="824" customWidth="1"/>
    <col min="50" max="52" width="4.875" style="824" customWidth="1"/>
    <col min="53" max="53" width="5.375" style="824" customWidth="1"/>
    <col min="54" max="54" width="5.5" style="824" customWidth="1"/>
    <col min="55" max="55" width="4.625" style="824" customWidth="1"/>
    <col min="56" max="56" width="5.5" style="824" customWidth="1"/>
    <col min="57" max="57" width="5.375" style="824" customWidth="1"/>
    <col min="58" max="58" width="5.125" style="824" customWidth="1"/>
    <col min="59" max="59" width="5.375" style="824" customWidth="1"/>
    <col min="60" max="60" width="5" style="824" customWidth="1"/>
    <col min="61" max="62" width="4.125" style="824" customWidth="1"/>
    <col min="63" max="63" width="7.875" style="824" customWidth="1"/>
    <col min="64" max="74" width="5.125" style="824" customWidth="1"/>
    <col min="75" max="82" width="4.125" style="824" customWidth="1"/>
    <col min="83" max="146" width="6.125" style="824" customWidth="1"/>
    <col min="147" max="16384" width="8.125" style="824"/>
  </cols>
  <sheetData>
    <row r="1" spans="1:165" ht="15" customHeight="1">
      <c r="B1" s="824">
        <f>Main!E9</f>
        <v>30</v>
      </c>
    </row>
    <row r="2" spans="1:165" ht="15" customHeight="1"/>
    <row r="3" spans="1:165" ht="15" customHeight="1"/>
    <row r="4" spans="1:165" ht="15" customHeight="1"/>
    <row r="5" spans="1:165" ht="15" customHeight="1"/>
    <row r="6" spans="1:165" ht="15" customHeight="1"/>
    <row r="7" spans="1:165" ht="15" customHeight="1"/>
    <row r="8" spans="1:165" ht="15" customHeight="1"/>
    <row r="9" spans="1:165" ht="15" customHeight="1"/>
    <row r="10" spans="1:165" ht="15" customHeight="1"/>
    <row r="11" spans="1:165" ht="15" customHeight="1"/>
    <row r="12" spans="1:165" ht="15" customHeight="1"/>
    <row r="13" spans="1:165" ht="15" customHeight="1">
      <c r="A13" s="824" t="s">
        <v>38</v>
      </c>
      <c r="B13" s="825" t="e">
        <f>#REF!</f>
        <v>#REF!</v>
      </c>
      <c r="C13" s="1205" t="e">
        <f t="shared" ref="C13:Z13" si="0">LOOKUP($B$13,$B16:$B63,C16:C63)</f>
        <v>#REF!</v>
      </c>
      <c r="D13" s="1205" t="e">
        <f t="shared" si="0"/>
        <v>#REF!</v>
      </c>
      <c r="E13" s="1205" t="e">
        <f t="shared" si="0"/>
        <v>#REF!</v>
      </c>
      <c r="F13" s="1205" t="e">
        <f t="shared" si="0"/>
        <v>#REF!</v>
      </c>
      <c r="G13" s="1205" t="e">
        <f t="shared" si="0"/>
        <v>#REF!</v>
      </c>
      <c r="H13" s="1205" t="e">
        <f t="shared" si="0"/>
        <v>#REF!</v>
      </c>
      <c r="I13" s="1205" t="e">
        <f t="shared" si="0"/>
        <v>#REF!</v>
      </c>
      <c r="J13" s="1205" t="e">
        <f t="shared" si="0"/>
        <v>#REF!</v>
      </c>
      <c r="K13" s="1205" t="e">
        <f t="shared" si="0"/>
        <v>#REF!</v>
      </c>
      <c r="L13" s="1205" t="e">
        <f t="shared" si="0"/>
        <v>#REF!</v>
      </c>
      <c r="M13" s="1205" t="e">
        <f t="shared" si="0"/>
        <v>#REF!</v>
      </c>
      <c r="N13" s="1205" t="e">
        <f t="shared" si="0"/>
        <v>#REF!</v>
      </c>
      <c r="O13" s="1205" t="e">
        <f t="shared" si="0"/>
        <v>#REF!</v>
      </c>
      <c r="P13" s="1205" t="e">
        <f t="shared" si="0"/>
        <v>#REF!</v>
      </c>
      <c r="Q13" s="1205" t="e">
        <f t="shared" si="0"/>
        <v>#REF!</v>
      </c>
      <c r="R13" s="1205" t="e">
        <f t="shared" si="0"/>
        <v>#REF!</v>
      </c>
      <c r="S13" s="1205" t="e">
        <f t="shared" si="0"/>
        <v>#REF!</v>
      </c>
      <c r="T13" s="1205" t="e">
        <f t="shared" si="0"/>
        <v>#REF!</v>
      </c>
      <c r="U13" s="1205" t="e">
        <f t="shared" si="0"/>
        <v>#REF!</v>
      </c>
      <c r="V13" s="1205" t="e">
        <f t="shared" si="0"/>
        <v>#REF!</v>
      </c>
      <c r="W13" s="1205" t="e">
        <f t="shared" si="0"/>
        <v>#REF!</v>
      </c>
      <c r="X13" s="1205" t="e">
        <f t="shared" si="0"/>
        <v>#REF!</v>
      </c>
      <c r="Y13" s="1205" t="e">
        <f t="shared" si="0"/>
        <v>#REF!</v>
      </c>
      <c r="Z13" s="1205" t="e">
        <f t="shared" si="0"/>
        <v>#REF!</v>
      </c>
      <c r="AB13" s="824" t="s">
        <v>38</v>
      </c>
      <c r="AC13" s="968" t="e">
        <f t="shared" ref="AC13:AW13" si="1">LOOKUP($B$13,$AB16:$AB48,AC16:AC48)</f>
        <v>#REF!</v>
      </c>
      <c r="AD13" s="968" t="e">
        <f t="shared" si="1"/>
        <v>#REF!</v>
      </c>
      <c r="AE13" s="968" t="e">
        <f t="shared" si="1"/>
        <v>#REF!</v>
      </c>
      <c r="AF13" s="968" t="e">
        <f t="shared" si="1"/>
        <v>#REF!</v>
      </c>
      <c r="AG13" s="968" t="e">
        <f t="shared" si="1"/>
        <v>#REF!</v>
      </c>
      <c r="AH13" s="968" t="e">
        <f t="shared" si="1"/>
        <v>#REF!</v>
      </c>
      <c r="AI13" s="968" t="e">
        <f t="shared" si="1"/>
        <v>#REF!</v>
      </c>
      <c r="AJ13" s="968" t="e">
        <f t="shared" si="1"/>
        <v>#REF!</v>
      </c>
      <c r="AK13" s="968" t="e">
        <f t="shared" si="1"/>
        <v>#REF!</v>
      </c>
      <c r="AL13" s="968" t="e">
        <f t="shared" si="1"/>
        <v>#REF!</v>
      </c>
      <c r="AM13" s="968" t="e">
        <f t="shared" si="1"/>
        <v>#REF!</v>
      </c>
      <c r="AN13" s="968" t="e">
        <f t="shared" si="1"/>
        <v>#REF!</v>
      </c>
      <c r="AO13" s="968" t="e">
        <f t="shared" si="1"/>
        <v>#REF!</v>
      </c>
      <c r="AP13" s="968" t="e">
        <f t="shared" si="1"/>
        <v>#REF!</v>
      </c>
      <c r="AQ13" s="968" t="e">
        <f t="shared" si="1"/>
        <v>#REF!</v>
      </c>
      <c r="AR13" s="968" t="e">
        <f t="shared" si="1"/>
        <v>#REF!</v>
      </c>
      <c r="AS13" s="968" t="e">
        <f t="shared" si="1"/>
        <v>#REF!</v>
      </c>
      <c r="AT13" s="968" t="e">
        <f t="shared" si="1"/>
        <v>#REF!</v>
      </c>
      <c r="AU13" s="968" t="e">
        <f t="shared" si="1"/>
        <v>#REF!</v>
      </c>
      <c r="AV13" s="968" t="e">
        <f t="shared" si="1"/>
        <v>#REF!</v>
      </c>
      <c r="AW13" s="968" t="e">
        <f t="shared" si="1"/>
        <v>#REF!</v>
      </c>
      <c r="AZ13" s="1206">
        <f>LOOKUP(DAT!M5,AZ15:CD15,AZ14:CD14)</f>
        <v>2.94</v>
      </c>
      <c r="BA13" s="1206">
        <f>LOOKUP(DAT!M6,AZ15:CD15,AZ14:CD14)</f>
        <v>2.94</v>
      </c>
      <c r="BB13" s="1206"/>
    </row>
    <row r="14" spans="1:165" ht="15" customHeight="1">
      <c r="C14" s="1205">
        <f t="shared" ref="C14:Z14" si="2">LOOKUP($B$1,$B16:$B63,C16:C63)</f>
        <v>90.05</v>
      </c>
      <c r="D14" s="1205">
        <f t="shared" si="2"/>
        <v>82.45</v>
      </c>
      <c r="E14" s="1205">
        <f t="shared" si="2"/>
        <v>76</v>
      </c>
      <c r="F14" s="1205">
        <f t="shared" si="2"/>
        <v>71.5</v>
      </c>
      <c r="G14" s="1205">
        <f t="shared" si="2"/>
        <v>66.5</v>
      </c>
      <c r="H14" s="1205">
        <f t="shared" si="2"/>
        <v>62.1</v>
      </c>
      <c r="I14" s="1205">
        <f t="shared" si="2"/>
        <v>58.2</v>
      </c>
      <c r="J14" s="1205">
        <f t="shared" si="2"/>
        <v>54.75</v>
      </c>
      <c r="K14" s="1205">
        <f t="shared" si="2"/>
        <v>51.65</v>
      </c>
      <c r="L14" s="1205">
        <f t="shared" si="2"/>
        <v>49.05</v>
      </c>
      <c r="M14" s="1205">
        <f t="shared" si="2"/>
        <v>46.7</v>
      </c>
      <c r="N14" s="1205">
        <f t="shared" si="2"/>
        <v>44.55</v>
      </c>
      <c r="O14" s="1205">
        <f t="shared" si="2"/>
        <v>42.55</v>
      </c>
      <c r="P14" s="1205">
        <f t="shared" si="2"/>
        <v>40.75</v>
      </c>
      <c r="Q14" s="1205">
        <f t="shared" si="2"/>
        <v>39.1</v>
      </c>
      <c r="R14" s="1205">
        <f t="shared" si="2"/>
        <v>37.6</v>
      </c>
      <c r="S14" s="1205">
        <f t="shared" si="2"/>
        <v>36.200000000000003</v>
      </c>
      <c r="T14" s="1205">
        <f t="shared" si="2"/>
        <v>34.950000000000003</v>
      </c>
      <c r="U14" s="1205">
        <f t="shared" si="2"/>
        <v>33.75</v>
      </c>
      <c r="V14" s="1205">
        <f t="shared" si="2"/>
        <v>32.75</v>
      </c>
      <c r="W14" s="1205">
        <f t="shared" si="2"/>
        <v>31.8</v>
      </c>
      <c r="X14" s="1205">
        <f t="shared" si="2"/>
        <v>30.95</v>
      </c>
      <c r="Y14" s="1205">
        <f t="shared" si="2"/>
        <v>30.15</v>
      </c>
      <c r="Z14" s="1205">
        <f t="shared" si="2"/>
        <v>29.4</v>
      </c>
      <c r="AC14" s="968">
        <f t="shared" ref="AC14:AW14" si="3">LOOKUP($B$1,$AB16:$AB48,AC16:AC48)</f>
        <v>82.45</v>
      </c>
      <c r="AD14" s="968">
        <f t="shared" si="3"/>
        <v>76.849999999999994</v>
      </c>
      <c r="AE14" s="968">
        <f t="shared" si="3"/>
        <v>71.849999999999994</v>
      </c>
      <c r="AF14" s="968">
        <f t="shared" si="3"/>
        <v>67.5</v>
      </c>
      <c r="AG14" s="968">
        <f t="shared" si="3"/>
        <v>63.55</v>
      </c>
      <c r="AH14" s="968">
        <f t="shared" si="3"/>
        <v>60.05</v>
      </c>
      <c r="AI14" s="968">
        <f t="shared" si="3"/>
        <v>56.85</v>
      </c>
      <c r="AJ14" s="968">
        <f t="shared" si="3"/>
        <v>53.95</v>
      </c>
      <c r="AK14" s="968">
        <f t="shared" si="3"/>
        <v>51.35</v>
      </c>
      <c r="AL14" s="968">
        <f t="shared" si="3"/>
        <v>48.95</v>
      </c>
      <c r="AM14" s="968">
        <f t="shared" si="3"/>
        <v>46.75</v>
      </c>
      <c r="AN14" s="968">
        <f t="shared" si="3"/>
        <v>44.75</v>
      </c>
      <c r="AO14" s="968">
        <f t="shared" si="3"/>
        <v>42.9</v>
      </c>
      <c r="AP14" s="968">
        <f t="shared" si="3"/>
        <v>41.2</v>
      </c>
      <c r="AQ14" s="968">
        <f t="shared" si="3"/>
        <v>39.6</v>
      </c>
      <c r="AR14" s="968">
        <f t="shared" si="3"/>
        <v>38.15</v>
      </c>
      <c r="AS14" s="968">
        <f t="shared" si="3"/>
        <v>36.799999999999997</v>
      </c>
      <c r="AT14" s="968">
        <f t="shared" si="3"/>
        <v>35.549999999999997</v>
      </c>
      <c r="AU14" s="968">
        <f t="shared" si="3"/>
        <v>34.4</v>
      </c>
      <c r="AV14" s="968">
        <f t="shared" si="3"/>
        <v>33.299999999999997</v>
      </c>
      <c r="AW14" s="968">
        <f t="shared" si="3"/>
        <v>32.299999999999997</v>
      </c>
      <c r="AZ14" s="1205">
        <f t="shared" ref="AZ14:CD14" si="4">LOOKUP($B$1,$AY16:$AY58,AZ16:AZ58)</f>
        <v>1.84</v>
      </c>
      <c r="BA14" s="1205">
        <f t="shared" si="4"/>
        <v>1.84</v>
      </c>
      <c r="BB14" s="1205">
        <f t="shared" si="4"/>
        <v>1.84</v>
      </c>
      <c r="BC14" s="1205">
        <f t="shared" si="4"/>
        <v>1.84</v>
      </c>
      <c r="BD14" s="1205">
        <f t="shared" si="4"/>
        <v>1.84</v>
      </c>
      <c r="BE14" s="1205">
        <f t="shared" si="4"/>
        <v>1.88</v>
      </c>
      <c r="BF14" s="1205">
        <f t="shared" si="4"/>
        <v>1.9</v>
      </c>
      <c r="BG14" s="1205">
        <f t="shared" si="4"/>
        <v>1.93</v>
      </c>
      <c r="BH14" s="1205">
        <f t="shared" si="4"/>
        <v>1.96</v>
      </c>
      <c r="BI14" s="1205">
        <f t="shared" si="4"/>
        <v>2.0099999999999998</v>
      </c>
      <c r="BJ14" s="1205">
        <f t="shared" si="4"/>
        <v>2.09</v>
      </c>
      <c r="BK14" s="1205">
        <f t="shared" si="4"/>
        <v>2.14</v>
      </c>
      <c r="BL14" s="1205">
        <f t="shared" si="4"/>
        <v>2.21</v>
      </c>
      <c r="BM14" s="1205">
        <f t="shared" si="4"/>
        <v>2.2799999999999998</v>
      </c>
      <c r="BN14" s="1205">
        <f t="shared" si="4"/>
        <v>2.35</v>
      </c>
      <c r="BO14" s="1205">
        <f t="shared" si="4"/>
        <v>2.44</v>
      </c>
      <c r="BP14" s="1205">
        <f t="shared" si="4"/>
        <v>2.5299999999999998</v>
      </c>
      <c r="BQ14" s="1205">
        <f t="shared" si="4"/>
        <v>2.62</v>
      </c>
      <c r="BR14" s="1205">
        <f t="shared" si="4"/>
        <v>2.72</v>
      </c>
      <c r="BS14" s="1205">
        <f t="shared" si="4"/>
        <v>2.83</v>
      </c>
      <c r="BT14" s="1205">
        <f t="shared" si="4"/>
        <v>2.94</v>
      </c>
      <c r="BU14" s="1205">
        <f t="shared" si="4"/>
        <v>3.05</v>
      </c>
      <c r="BV14" s="1205">
        <f t="shared" si="4"/>
        <v>3.16</v>
      </c>
      <c r="BW14" s="1205">
        <f t="shared" si="4"/>
        <v>3.28</v>
      </c>
      <c r="BX14" s="1205">
        <f t="shared" si="4"/>
        <v>3.39</v>
      </c>
      <c r="BY14" s="1205">
        <f t="shared" si="4"/>
        <v>3.51</v>
      </c>
      <c r="BZ14" s="1205">
        <f t="shared" si="4"/>
        <v>3.63</v>
      </c>
      <c r="CA14" s="1205">
        <f t="shared" si="4"/>
        <v>3.75</v>
      </c>
      <c r="CB14" s="1205">
        <f t="shared" si="4"/>
        <v>3.87</v>
      </c>
      <c r="CC14" s="1205">
        <f t="shared" si="4"/>
        <v>3.99</v>
      </c>
      <c r="CD14" s="1205">
        <f t="shared" si="4"/>
        <v>4.1100000000000003</v>
      </c>
      <c r="CX14" s="824">
        <f>Main!E$11</f>
        <v>25</v>
      </c>
      <c r="CY14" s="1205">
        <f>LOOKUP(CX14,PM!CY16:DB16,PM!CY15:DB15)</f>
        <v>1.5</v>
      </c>
      <c r="DI14" s="1205">
        <f>LOOKUP(DI15,PM!DJ16:DL16,PM!DJ15:DL15)</f>
        <v>0.45</v>
      </c>
      <c r="DU14" s="1205">
        <f>LOOKUP(BD154,DU16:DX16,DU15:DX15)</f>
        <v>0.7</v>
      </c>
      <c r="DX14" s="1206">
        <f>IF(Main!G12=8,DU14,DZ14)</f>
        <v>0.7</v>
      </c>
      <c r="DZ14" s="1205">
        <f>LOOKUP(BD154,DZ16:EC16,DZ15:EC15)</f>
        <v>0.65</v>
      </c>
      <c r="EF14" s="1205">
        <f>LOOKUP($B$1,$EE16:$EE71,EF16:EF71)</f>
        <v>80.3</v>
      </c>
      <c r="EG14" s="1205">
        <f t="shared" ref="EG14:EI14" si="5">LOOKUP($B$1,$EE16:$EE71,EG16:EG71)</f>
        <v>54.55</v>
      </c>
      <c r="EH14" s="1205">
        <f t="shared" si="5"/>
        <v>40.200000000000003</v>
      </c>
      <c r="EI14" s="1205">
        <f t="shared" si="5"/>
        <v>32.049999999999997</v>
      </c>
    </row>
    <row r="15" spans="1:165" ht="15" customHeight="1">
      <c r="A15" s="1207"/>
      <c r="B15" s="1207">
        <v>814</v>
      </c>
      <c r="C15" s="1207">
        <v>12</v>
      </c>
      <c r="D15" s="1207">
        <v>13</v>
      </c>
      <c r="E15" s="1207">
        <v>14</v>
      </c>
      <c r="F15" s="1207">
        <v>15</v>
      </c>
      <c r="G15" s="1207">
        <v>16</v>
      </c>
      <c r="H15" s="1207">
        <v>17</v>
      </c>
      <c r="I15" s="1207">
        <v>18</v>
      </c>
      <c r="J15" s="1207">
        <v>19</v>
      </c>
      <c r="K15" s="1207">
        <v>20</v>
      </c>
      <c r="L15" s="1207">
        <v>21</v>
      </c>
      <c r="M15" s="1207">
        <v>22</v>
      </c>
      <c r="N15" s="1207">
        <v>23</v>
      </c>
      <c r="O15" s="1207">
        <v>24</v>
      </c>
      <c r="P15" s="1207">
        <v>25</v>
      </c>
      <c r="Q15" s="1207">
        <v>26</v>
      </c>
      <c r="R15" s="1207">
        <v>27</v>
      </c>
      <c r="S15" s="1207">
        <v>28</v>
      </c>
      <c r="T15" s="1207">
        <v>29</v>
      </c>
      <c r="U15" s="1207">
        <v>30</v>
      </c>
      <c r="V15" s="1207">
        <v>31</v>
      </c>
      <c r="W15" s="1207">
        <v>32</v>
      </c>
      <c r="X15" s="1207">
        <v>33</v>
      </c>
      <c r="Y15" s="1207">
        <v>34</v>
      </c>
      <c r="Z15" s="824">
        <v>35</v>
      </c>
      <c r="AB15" s="1207">
        <v>815</v>
      </c>
      <c r="AC15" s="1208">
        <v>15</v>
      </c>
      <c r="AD15" s="1208">
        <v>16</v>
      </c>
      <c r="AE15" s="1208">
        <v>17</v>
      </c>
      <c r="AF15" s="1208">
        <v>18</v>
      </c>
      <c r="AG15" s="1208">
        <v>19</v>
      </c>
      <c r="AH15" s="1208">
        <v>20</v>
      </c>
      <c r="AI15" s="1208">
        <v>21</v>
      </c>
      <c r="AJ15" s="1208">
        <v>22</v>
      </c>
      <c r="AK15" s="1208">
        <v>23</v>
      </c>
      <c r="AL15" s="1208">
        <v>24</v>
      </c>
      <c r="AM15" s="1208">
        <v>25</v>
      </c>
      <c r="AN15" s="1208">
        <v>26</v>
      </c>
      <c r="AO15" s="1208">
        <v>27</v>
      </c>
      <c r="AP15" s="1208">
        <v>28</v>
      </c>
      <c r="AQ15" s="1208">
        <v>29</v>
      </c>
      <c r="AR15" s="1208">
        <v>30</v>
      </c>
      <c r="AS15" s="1208">
        <v>31</v>
      </c>
      <c r="AT15" s="1208">
        <v>32</v>
      </c>
      <c r="AU15" s="1208">
        <v>33</v>
      </c>
      <c r="AV15" s="1208">
        <v>34</v>
      </c>
      <c r="AW15" s="1208">
        <v>35</v>
      </c>
      <c r="AY15" s="826" t="s">
        <v>63</v>
      </c>
      <c r="AZ15" s="1209">
        <v>5</v>
      </c>
      <c r="BA15" s="1209">
        <v>6</v>
      </c>
      <c r="BB15" s="1209">
        <v>7</v>
      </c>
      <c r="BC15" s="1209">
        <v>8</v>
      </c>
      <c r="BD15" s="1209">
        <v>9</v>
      </c>
      <c r="BE15" s="1209">
        <v>10</v>
      </c>
      <c r="BF15" s="1209">
        <v>11</v>
      </c>
      <c r="BG15" s="1209">
        <v>12</v>
      </c>
      <c r="BH15" s="1209">
        <v>13</v>
      </c>
      <c r="BI15" s="1209">
        <v>14</v>
      </c>
      <c r="BJ15" s="1209">
        <v>15</v>
      </c>
      <c r="BK15" s="1209">
        <v>16</v>
      </c>
      <c r="BL15" s="1209">
        <v>17</v>
      </c>
      <c r="BM15" s="1209">
        <v>18</v>
      </c>
      <c r="BN15" s="1209">
        <v>19</v>
      </c>
      <c r="BO15" s="1209">
        <v>20</v>
      </c>
      <c r="BP15" s="1209">
        <v>21</v>
      </c>
      <c r="BQ15" s="1209">
        <v>22</v>
      </c>
      <c r="BR15" s="1209">
        <v>23</v>
      </c>
      <c r="BS15" s="1209">
        <v>24</v>
      </c>
      <c r="BT15" s="1209">
        <v>25</v>
      </c>
      <c r="BU15" s="1209">
        <v>26</v>
      </c>
      <c r="BV15" s="1209">
        <v>27</v>
      </c>
      <c r="BW15" s="1209">
        <v>28</v>
      </c>
      <c r="BX15" s="1209">
        <v>29</v>
      </c>
      <c r="BY15" s="1209">
        <v>30</v>
      </c>
      <c r="BZ15" s="1209">
        <v>31</v>
      </c>
      <c r="CA15" s="1209">
        <v>32</v>
      </c>
      <c r="CB15" s="1209">
        <v>33</v>
      </c>
      <c r="CC15" s="1209">
        <v>34</v>
      </c>
      <c r="CD15" s="1209">
        <v>35</v>
      </c>
      <c r="CY15" s="1205">
        <f>LOOKUP($B$1,$CX17:$CX68,CY17:CY68)</f>
        <v>1.45</v>
      </c>
      <c r="CZ15" s="1205">
        <f t="shared" ref="CZ15:DA15" si="6">LOOKUP($B$1,$CX17:$CX68,CZ17:CZ68)</f>
        <v>1.4</v>
      </c>
      <c r="DA15" s="1205">
        <f t="shared" si="6"/>
        <v>1.5</v>
      </c>
      <c r="DI15" s="824">
        <f>AL154</f>
        <v>25</v>
      </c>
      <c r="DJ15" s="1205">
        <f>LOOKUP($B$1,$DI18:$DI69,DJ18:DJ69)</f>
        <v>0.3</v>
      </c>
      <c r="DK15" s="1205">
        <f t="shared" ref="DK15:DL15" si="7">LOOKUP($B$1,$DI18:$DI69,DK18:DK69)</f>
        <v>0.4</v>
      </c>
      <c r="DL15" s="1205">
        <f t="shared" si="7"/>
        <v>0.45</v>
      </c>
      <c r="DU15" s="1205">
        <f>LOOKUP($B$1,$DT17:$DT59,DU17:DU59)</f>
        <v>0.4</v>
      </c>
      <c r="DV15" s="1205">
        <f t="shared" ref="DV15:DW15" si="8">LOOKUP($B$1,$DT17:$DT59,DV17:DV59)</f>
        <v>0.5</v>
      </c>
      <c r="DW15" s="1205">
        <f t="shared" si="8"/>
        <v>0.7</v>
      </c>
      <c r="DZ15" s="1205">
        <f>LOOKUP($B$1,$DY17:$DY58,DZ17:DZ58)</f>
        <v>0.35</v>
      </c>
      <c r="EA15" s="1205">
        <f t="shared" ref="EA15:EB15" si="9">LOOKUP($B$1,$DY17:$DY58,EA17:EA58)</f>
        <v>0.45</v>
      </c>
      <c r="EB15" s="1205">
        <f t="shared" si="9"/>
        <v>0.65</v>
      </c>
      <c r="EE15" s="1210"/>
      <c r="EF15" s="1211">
        <v>15</v>
      </c>
      <c r="EG15" s="1212">
        <v>20</v>
      </c>
      <c r="EH15" s="1212">
        <v>25</v>
      </c>
      <c r="EI15" s="1212">
        <v>30</v>
      </c>
      <c r="EK15" s="1213" t="s">
        <v>63</v>
      </c>
      <c r="EL15" s="1213">
        <v>15</v>
      </c>
      <c r="EM15" s="1213">
        <v>20</v>
      </c>
      <c r="EN15" s="1213">
        <v>25</v>
      </c>
      <c r="EO15" s="1213">
        <v>30</v>
      </c>
      <c r="EP15" s="1214" t="s">
        <v>891</v>
      </c>
      <c r="EQ15" s="1215">
        <v>15</v>
      </c>
      <c r="ER15" s="1215">
        <v>20</v>
      </c>
      <c r="ES15" s="1215">
        <v>25</v>
      </c>
      <c r="ET15" s="1216">
        <v>30</v>
      </c>
      <c r="EU15" s="1214" t="s">
        <v>893</v>
      </c>
      <c r="EV15" s="1215">
        <v>15</v>
      </c>
      <c r="EW15" s="1215">
        <v>20</v>
      </c>
      <c r="EX15" s="1215">
        <v>25</v>
      </c>
      <c r="EY15" s="1216">
        <v>30</v>
      </c>
      <c r="EZ15" s="824" t="s">
        <v>894</v>
      </c>
      <c r="FA15" s="1217">
        <v>15</v>
      </c>
      <c r="FB15" s="1217">
        <v>20</v>
      </c>
      <c r="FC15" s="1217">
        <v>25</v>
      </c>
      <c r="FD15" s="1217">
        <v>30</v>
      </c>
      <c r="FE15" s="824" t="s">
        <v>900</v>
      </c>
      <c r="FF15" s="1218">
        <v>15</v>
      </c>
      <c r="FG15" s="1218">
        <v>20</v>
      </c>
      <c r="FH15" s="1219">
        <v>25</v>
      </c>
      <c r="FI15" s="1217">
        <v>30</v>
      </c>
    </row>
    <row r="16" spans="1:165" ht="15" customHeight="1">
      <c r="B16" s="1207">
        <v>8</v>
      </c>
      <c r="C16" s="1220">
        <v>89.45</v>
      </c>
      <c r="D16" s="1220">
        <v>81.849999999999994</v>
      </c>
      <c r="E16" s="1220">
        <v>75.349999999999994</v>
      </c>
      <c r="F16" s="1220">
        <v>70.8</v>
      </c>
      <c r="G16" s="1220">
        <v>65.8</v>
      </c>
      <c r="H16" s="1220">
        <v>61.35</v>
      </c>
      <c r="I16" s="1220">
        <v>57.45</v>
      </c>
      <c r="J16" s="1220">
        <v>53.95</v>
      </c>
      <c r="K16" s="1220">
        <v>50.8</v>
      </c>
      <c r="L16" s="1220">
        <v>48.15</v>
      </c>
      <c r="M16" s="1220">
        <v>45.75</v>
      </c>
      <c r="N16" s="1220">
        <v>43.55</v>
      </c>
      <c r="O16" s="1220">
        <v>41.5</v>
      </c>
      <c r="P16" s="1220">
        <v>39.65</v>
      </c>
      <c r="Q16" s="1220">
        <v>37.950000000000003</v>
      </c>
      <c r="R16" s="1220">
        <v>36.35</v>
      </c>
      <c r="S16" s="1220">
        <v>34.9</v>
      </c>
      <c r="T16" s="1220">
        <v>33.5</v>
      </c>
      <c r="U16" s="1220">
        <v>32.25</v>
      </c>
      <c r="V16" s="1220">
        <v>31.15</v>
      </c>
      <c r="W16" s="1220">
        <v>30.15</v>
      </c>
      <c r="X16" s="1220">
        <v>29.2</v>
      </c>
      <c r="Y16" s="1220">
        <v>28.3</v>
      </c>
      <c r="Z16" s="1206">
        <v>27.45</v>
      </c>
      <c r="AB16" s="1207">
        <v>18</v>
      </c>
      <c r="AC16" s="1208">
        <v>78.55</v>
      </c>
      <c r="AD16" s="1208">
        <v>73.099999999999994</v>
      </c>
      <c r="AE16" s="1208">
        <v>68.3</v>
      </c>
      <c r="AF16" s="1208">
        <v>64.05</v>
      </c>
      <c r="AG16" s="1208">
        <v>60.25</v>
      </c>
      <c r="AH16" s="1208">
        <v>56.8</v>
      </c>
      <c r="AI16" s="1208">
        <v>53.75</v>
      </c>
      <c r="AJ16" s="1208">
        <v>50.95</v>
      </c>
      <c r="AK16" s="1208">
        <v>48.4</v>
      </c>
      <c r="AL16" s="1208">
        <v>46.05</v>
      </c>
      <c r="AM16" s="1208">
        <v>43.95</v>
      </c>
      <c r="AN16" s="1208">
        <v>41.95</v>
      </c>
      <c r="AO16" s="1208">
        <v>40.15</v>
      </c>
      <c r="AP16" s="1208">
        <v>38.5</v>
      </c>
      <c r="AQ16" s="1208">
        <v>36.950000000000003</v>
      </c>
      <c r="AR16" s="1208">
        <v>35.5</v>
      </c>
      <c r="AS16" s="1208">
        <v>34.15</v>
      </c>
      <c r="AT16" s="1208">
        <v>32.9</v>
      </c>
      <c r="AU16" s="1208">
        <v>31.75</v>
      </c>
      <c r="AV16" s="1208">
        <v>30.65</v>
      </c>
      <c r="AW16" s="1208">
        <v>29.65</v>
      </c>
      <c r="AY16" s="827">
        <v>18</v>
      </c>
      <c r="AZ16" s="828">
        <v>1.54</v>
      </c>
      <c r="BA16" s="828">
        <v>1.54</v>
      </c>
      <c r="BB16" s="828">
        <v>1.54</v>
      </c>
      <c r="BC16" s="828">
        <v>1.54</v>
      </c>
      <c r="BD16" s="828">
        <v>1.54</v>
      </c>
      <c r="BE16" s="828">
        <v>1.54</v>
      </c>
      <c r="BF16" s="828">
        <v>1.54</v>
      </c>
      <c r="BG16" s="828">
        <v>1.54</v>
      </c>
      <c r="BH16" s="828">
        <v>1.54</v>
      </c>
      <c r="BI16" s="828">
        <v>1.54</v>
      </c>
      <c r="BJ16" s="828">
        <v>1.54</v>
      </c>
      <c r="BK16" s="828">
        <v>1.54</v>
      </c>
      <c r="BL16" s="828">
        <v>1.54</v>
      </c>
      <c r="BM16" s="828">
        <v>1.54</v>
      </c>
      <c r="BN16" s="828">
        <v>1.54</v>
      </c>
      <c r="BO16" s="828">
        <v>1.54</v>
      </c>
      <c r="BP16" s="828">
        <v>1.54</v>
      </c>
      <c r="BQ16" s="828">
        <v>1.54</v>
      </c>
      <c r="BR16" s="828">
        <v>1.54</v>
      </c>
      <c r="BS16" s="828">
        <v>1.55</v>
      </c>
      <c r="BT16" s="828">
        <v>1.57</v>
      </c>
      <c r="BU16" s="828">
        <v>1.6</v>
      </c>
      <c r="BV16" s="828">
        <v>1.62</v>
      </c>
      <c r="BW16" s="828">
        <v>1.65</v>
      </c>
      <c r="BX16" s="828">
        <v>1.69</v>
      </c>
      <c r="BY16" s="828">
        <v>1.72</v>
      </c>
      <c r="BZ16" s="828">
        <v>1.76</v>
      </c>
      <c r="CA16" s="828">
        <v>1.8</v>
      </c>
      <c r="CB16" s="828">
        <v>1.85</v>
      </c>
      <c r="CC16" s="828">
        <v>1.9</v>
      </c>
      <c r="CD16" s="828">
        <v>1.95</v>
      </c>
      <c r="CQ16" s="1221">
        <v>820</v>
      </c>
      <c r="CR16" s="1205">
        <f>LOOKUP($B$1,$CQ17:$CQ54,CR17:CR54)</f>
        <v>0.85</v>
      </c>
      <c r="CS16" s="1222"/>
      <c r="CT16" s="1223">
        <v>821</v>
      </c>
      <c r="CU16" s="1205">
        <f>LOOKUP($B$1,$CT17:$CT49,CU17:CU49)</f>
        <v>0.85</v>
      </c>
      <c r="CX16" s="1222">
        <v>816</v>
      </c>
      <c r="CY16" s="1204">
        <v>9</v>
      </c>
      <c r="CZ16" s="1204">
        <v>12</v>
      </c>
      <c r="DA16" s="1204">
        <v>15</v>
      </c>
      <c r="DC16" s="1223">
        <v>832</v>
      </c>
      <c r="DD16" s="1205">
        <f>LOOKUP($B$1,$DC17:$DC41,DD17:DD41)</f>
        <v>1.1000000000000001</v>
      </c>
      <c r="DE16" s="1223"/>
      <c r="DF16" s="1223">
        <v>834</v>
      </c>
      <c r="DG16" s="1205">
        <f>LOOKUP($B$1,$DF17:$DF41,DG17:DG41)</f>
        <v>1</v>
      </c>
      <c r="DI16" s="1223">
        <v>836</v>
      </c>
      <c r="DJ16" s="1204">
        <v>16</v>
      </c>
      <c r="DK16" s="1204">
        <v>21</v>
      </c>
      <c r="DL16" s="1204">
        <v>25</v>
      </c>
      <c r="DM16" s="1223"/>
      <c r="DT16" s="1224" t="s">
        <v>49</v>
      </c>
      <c r="DU16" s="1204">
        <v>12</v>
      </c>
      <c r="DV16" s="1204">
        <v>16</v>
      </c>
      <c r="DW16" s="1204">
        <v>21</v>
      </c>
      <c r="DX16" s="1222"/>
      <c r="DY16" s="1222" t="s">
        <v>48</v>
      </c>
      <c r="DZ16" s="1204">
        <v>12</v>
      </c>
      <c r="EA16" s="1204">
        <v>16</v>
      </c>
      <c r="EB16" s="1204">
        <v>21</v>
      </c>
      <c r="EE16" s="1225">
        <v>0</v>
      </c>
      <c r="EF16" s="1226">
        <v>0</v>
      </c>
      <c r="EG16" s="1226">
        <v>0</v>
      </c>
      <c r="EH16" s="1226">
        <v>0</v>
      </c>
      <c r="EI16" s="1227">
        <v>31.15</v>
      </c>
      <c r="EK16" s="1228">
        <v>18</v>
      </c>
      <c r="EL16" s="1229">
        <v>3.02</v>
      </c>
      <c r="EM16" s="1229">
        <v>2.52</v>
      </c>
      <c r="EN16" s="1229">
        <v>2.2400000000000002</v>
      </c>
      <c r="EO16" s="1229">
        <v>2.06</v>
      </c>
      <c r="EP16" s="1216">
        <v>18</v>
      </c>
      <c r="EQ16" s="1230">
        <v>2.81</v>
      </c>
      <c r="ER16" s="1230">
        <v>2.34</v>
      </c>
      <c r="ES16" s="1230">
        <v>2.08</v>
      </c>
      <c r="ET16" s="1214">
        <v>1.92</v>
      </c>
      <c r="EU16" s="1231">
        <v>18</v>
      </c>
      <c r="EV16" s="1232">
        <v>2.89</v>
      </c>
      <c r="EW16" s="1232">
        <v>2.41</v>
      </c>
      <c r="EX16" s="1232">
        <v>2.14</v>
      </c>
      <c r="EY16" s="1229">
        <v>1.98</v>
      </c>
      <c r="EZ16" s="1233">
        <v>5</v>
      </c>
      <c r="FA16" s="1234">
        <v>0</v>
      </c>
      <c r="FB16" s="1234">
        <v>0</v>
      </c>
      <c r="FC16" s="1234">
        <v>0</v>
      </c>
      <c r="FD16" s="1234">
        <v>0</v>
      </c>
      <c r="FF16" s="1234">
        <v>0</v>
      </c>
      <c r="FG16" s="1234">
        <v>0</v>
      </c>
      <c r="FH16" s="1234">
        <v>0</v>
      </c>
      <c r="FI16" s="1234">
        <v>0</v>
      </c>
    </row>
    <row r="17" spans="2:165" ht="15" customHeight="1">
      <c r="B17" s="1207">
        <v>9</v>
      </c>
      <c r="C17" s="1220">
        <v>89.45</v>
      </c>
      <c r="D17" s="1220">
        <v>81.849999999999994</v>
      </c>
      <c r="E17" s="1220">
        <v>75.349999999999994</v>
      </c>
      <c r="F17" s="1220">
        <v>70.849999999999994</v>
      </c>
      <c r="G17" s="1220">
        <v>65.8</v>
      </c>
      <c r="H17" s="1220">
        <v>61.4</v>
      </c>
      <c r="I17" s="1220">
        <v>57.45</v>
      </c>
      <c r="J17" s="1220">
        <v>53.95</v>
      </c>
      <c r="K17" s="1220">
        <v>50.8</v>
      </c>
      <c r="L17" s="1220">
        <v>48.15</v>
      </c>
      <c r="M17" s="1220">
        <v>45.75</v>
      </c>
      <c r="N17" s="1220">
        <v>43.55</v>
      </c>
      <c r="O17" s="1220">
        <v>41.55</v>
      </c>
      <c r="P17" s="1220">
        <v>39.700000000000003</v>
      </c>
      <c r="Q17" s="1220">
        <v>37.950000000000003</v>
      </c>
      <c r="R17" s="1220">
        <v>36.35</v>
      </c>
      <c r="S17" s="1220">
        <v>34.9</v>
      </c>
      <c r="T17" s="1220">
        <v>33.549999999999997</v>
      </c>
      <c r="U17" s="1220">
        <v>32.25</v>
      </c>
      <c r="V17" s="1220">
        <v>31.2</v>
      </c>
      <c r="W17" s="1220">
        <v>30.15</v>
      </c>
      <c r="X17" s="1220">
        <v>29.2</v>
      </c>
      <c r="Y17" s="1220">
        <v>28.3</v>
      </c>
      <c r="Z17" s="1206">
        <v>27.5</v>
      </c>
      <c r="AB17" s="1207">
        <v>19</v>
      </c>
      <c r="AC17" s="1208">
        <v>78.8</v>
      </c>
      <c r="AD17" s="1208">
        <v>73.349999999999994</v>
      </c>
      <c r="AE17" s="1208">
        <v>68.5</v>
      </c>
      <c r="AF17" s="1208">
        <v>64.25</v>
      </c>
      <c r="AG17" s="1208">
        <v>60.45</v>
      </c>
      <c r="AH17" s="1208">
        <v>57</v>
      </c>
      <c r="AI17" s="1208">
        <v>53.95</v>
      </c>
      <c r="AJ17" s="1208">
        <v>51.15</v>
      </c>
      <c r="AK17" s="1208">
        <v>48.6</v>
      </c>
      <c r="AL17" s="1208">
        <v>46.25</v>
      </c>
      <c r="AM17" s="1208">
        <v>44.1</v>
      </c>
      <c r="AN17" s="1208">
        <v>42.15</v>
      </c>
      <c r="AO17" s="1208">
        <v>40.35</v>
      </c>
      <c r="AP17" s="1208">
        <v>38.65</v>
      </c>
      <c r="AQ17" s="1208">
        <v>37.1</v>
      </c>
      <c r="AR17" s="1208">
        <v>35.65</v>
      </c>
      <c r="AS17" s="1208">
        <v>34.299999999999997</v>
      </c>
      <c r="AT17" s="1208">
        <v>33.049999999999997</v>
      </c>
      <c r="AU17" s="1208">
        <v>31.9</v>
      </c>
      <c r="AV17" s="1208">
        <v>30.8</v>
      </c>
      <c r="AW17" s="1208">
        <v>29.8</v>
      </c>
      <c r="AY17" s="827">
        <v>19</v>
      </c>
      <c r="AZ17" s="828">
        <v>1.58</v>
      </c>
      <c r="BA17" s="828">
        <v>1.58</v>
      </c>
      <c r="BB17" s="828">
        <v>1.58</v>
      </c>
      <c r="BC17" s="828">
        <v>1.58</v>
      </c>
      <c r="BD17" s="828">
        <v>1.58</v>
      </c>
      <c r="BE17" s="828">
        <v>1.58</v>
      </c>
      <c r="BF17" s="828">
        <v>1.58</v>
      </c>
      <c r="BG17" s="828">
        <v>1.58</v>
      </c>
      <c r="BH17" s="828">
        <v>1.58</v>
      </c>
      <c r="BI17" s="828">
        <v>1.58</v>
      </c>
      <c r="BJ17" s="828">
        <v>1.58</v>
      </c>
      <c r="BK17" s="828">
        <v>1.58</v>
      </c>
      <c r="BL17" s="828">
        <v>1.58</v>
      </c>
      <c r="BM17" s="828">
        <v>1.58</v>
      </c>
      <c r="BN17" s="828">
        <v>1.58</v>
      </c>
      <c r="BO17" s="828">
        <v>1.58</v>
      </c>
      <c r="BP17" s="828">
        <v>1.58</v>
      </c>
      <c r="BQ17" s="828">
        <v>1.58</v>
      </c>
      <c r="BR17" s="828">
        <v>1.58</v>
      </c>
      <c r="BS17" s="828">
        <v>1.6</v>
      </c>
      <c r="BT17" s="828">
        <v>1.63</v>
      </c>
      <c r="BU17" s="828">
        <v>1.65</v>
      </c>
      <c r="BV17" s="828">
        <v>1.69</v>
      </c>
      <c r="BW17" s="828">
        <v>1.72</v>
      </c>
      <c r="BX17" s="828">
        <v>1.76</v>
      </c>
      <c r="BY17" s="828">
        <v>1.8</v>
      </c>
      <c r="BZ17" s="828">
        <v>1.85</v>
      </c>
      <c r="CA17" s="828">
        <v>1.89</v>
      </c>
      <c r="CB17" s="828">
        <v>1.95</v>
      </c>
      <c r="CC17" s="828">
        <v>2</v>
      </c>
      <c r="CD17" s="828">
        <v>2.06</v>
      </c>
      <c r="CQ17" s="1204">
        <v>13</v>
      </c>
      <c r="CR17" s="1235">
        <v>0.45</v>
      </c>
      <c r="CS17" s="1204"/>
      <c r="CT17" s="1236">
        <v>13</v>
      </c>
      <c r="CU17" s="1235">
        <v>0.35</v>
      </c>
      <c r="CX17" s="1237">
        <v>15</v>
      </c>
      <c r="CY17" s="1235">
        <v>0.9</v>
      </c>
      <c r="CZ17" s="1235">
        <v>0.85</v>
      </c>
      <c r="DA17" s="1235">
        <v>0.85</v>
      </c>
      <c r="DC17" s="1238">
        <v>0</v>
      </c>
      <c r="DD17" s="1239">
        <v>0.5</v>
      </c>
      <c r="DE17" s="1223"/>
      <c r="DF17" s="1238">
        <v>0</v>
      </c>
      <c r="DG17" s="1239">
        <v>0.4</v>
      </c>
      <c r="DI17" s="1223"/>
      <c r="DJ17" s="1240">
        <v>10</v>
      </c>
      <c r="DK17" s="1204">
        <v>15</v>
      </c>
      <c r="DL17" s="1240">
        <v>16</v>
      </c>
      <c r="DM17" s="1223"/>
      <c r="DT17" s="1204">
        <v>18</v>
      </c>
      <c r="DU17" s="1241">
        <v>0.3</v>
      </c>
      <c r="DV17" s="1241">
        <v>0.35</v>
      </c>
      <c r="DW17" s="1241">
        <v>0.45</v>
      </c>
      <c r="DX17" s="1222"/>
      <c r="DY17" s="1204">
        <v>18</v>
      </c>
      <c r="DZ17" s="1241">
        <v>0.25</v>
      </c>
      <c r="EA17" s="1241">
        <v>0.35</v>
      </c>
      <c r="EB17" s="1241">
        <v>0.4</v>
      </c>
      <c r="EE17" s="1225">
        <v>1</v>
      </c>
      <c r="EF17" s="1226">
        <v>0</v>
      </c>
      <c r="EG17" s="1226">
        <v>0</v>
      </c>
      <c r="EH17" s="1226">
        <v>0</v>
      </c>
      <c r="EI17" s="1227">
        <v>31.15</v>
      </c>
      <c r="EK17" s="1228">
        <v>19</v>
      </c>
      <c r="EL17" s="1229">
        <v>3.19</v>
      </c>
      <c r="EM17" s="1229">
        <v>2.66</v>
      </c>
      <c r="EN17" s="1229">
        <v>2.36</v>
      </c>
      <c r="EO17" s="1229">
        <v>2.1800000000000002</v>
      </c>
      <c r="EP17" s="1216">
        <v>19</v>
      </c>
      <c r="EQ17" s="1230">
        <v>3.03</v>
      </c>
      <c r="ER17" s="1230">
        <v>2.5299999999999998</v>
      </c>
      <c r="ES17" s="1230">
        <v>2.25</v>
      </c>
      <c r="ET17" s="1214">
        <v>2.0699999999999998</v>
      </c>
      <c r="EU17" s="1231">
        <v>19</v>
      </c>
      <c r="EV17" s="1232">
        <v>3.09</v>
      </c>
      <c r="EW17" s="1232">
        <v>2.58</v>
      </c>
      <c r="EX17" s="1232">
        <v>2.29</v>
      </c>
      <c r="EY17" s="1229">
        <v>2.11</v>
      </c>
      <c r="EZ17" s="1233">
        <v>6</v>
      </c>
      <c r="FA17" s="1234">
        <v>0</v>
      </c>
      <c r="FB17" s="1234">
        <v>0</v>
      </c>
      <c r="FC17" s="1234">
        <v>0</v>
      </c>
      <c r="FD17" s="1234">
        <v>0</v>
      </c>
      <c r="FF17" s="1234">
        <v>0</v>
      </c>
      <c r="FG17" s="1234">
        <v>0</v>
      </c>
      <c r="FH17" s="1234">
        <v>0</v>
      </c>
      <c r="FI17" s="1234">
        <v>0</v>
      </c>
    </row>
    <row r="18" spans="2:165" ht="15" customHeight="1">
      <c r="B18" s="1207">
        <v>10</v>
      </c>
      <c r="C18" s="1220">
        <v>89.5</v>
      </c>
      <c r="D18" s="1220">
        <v>81.900000000000006</v>
      </c>
      <c r="E18" s="1220">
        <v>75.400000000000006</v>
      </c>
      <c r="F18" s="1220">
        <v>70.849999999999994</v>
      </c>
      <c r="G18" s="1220">
        <v>65.849999999999994</v>
      </c>
      <c r="H18" s="1220">
        <v>61.4</v>
      </c>
      <c r="I18" s="1220">
        <v>57.5</v>
      </c>
      <c r="J18" s="1220">
        <v>54</v>
      </c>
      <c r="K18" s="1220">
        <v>50.85</v>
      </c>
      <c r="L18" s="1220">
        <v>48.2</v>
      </c>
      <c r="M18" s="1220">
        <v>45.8</v>
      </c>
      <c r="N18" s="1220">
        <v>43.6</v>
      </c>
      <c r="O18" s="1220">
        <v>41.55</v>
      </c>
      <c r="P18" s="1220">
        <v>39.700000000000003</v>
      </c>
      <c r="Q18" s="1220">
        <v>38</v>
      </c>
      <c r="R18" s="1220">
        <v>36.4</v>
      </c>
      <c r="S18" s="1220">
        <v>34.950000000000003</v>
      </c>
      <c r="T18" s="1220">
        <v>33.549999999999997</v>
      </c>
      <c r="U18" s="1220">
        <v>32.299999999999997</v>
      </c>
      <c r="V18" s="1220">
        <v>31.2</v>
      </c>
      <c r="W18" s="1220">
        <v>30.2</v>
      </c>
      <c r="X18" s="1220">
        <v>29.25</v>
      </c>
      <c r="Y18" s="1220">
        <v>28.35</v>
      </c>
      <c r="Z18" s="1206">
        <v>27.5</v>
      </c>
      <c r="AB18" s="1207">
        <v>20</v>
      </c>
      <c r="AC18" s="1208">
        <v>79.05</v>
      </c>
      <c r="AD18" s="1208">
        <v>73.599999999999994</v>
      </c>
      <c r="AE18" s="1208">
        <v>68.75</v>
      </c>
      <c r="AF18" s="1208">
        <v>64.5</v>
      </c>
      <c r="AG18" s="1208">
        <v>60.65</v>
      </c>
      <c r="AH18" s="1208">
        <v>57.25</v>
      </c>
      <c r="AI18" s="1208">
        <v>54.15</v>
      </c>
      <c r="AJ18" s="1208">
        <v>51.35</v>
      </c>
      <c r="AK18" s="1208">
        <v>48.8</v>
      </c>
      <c r="AL18" s="1208">
        <v>46.45</v>
      </c>
      <c r="AM18" s="1208">
        <v>44.3</v>
      </c>
      <c r="AN18" s="1208">
        <v>42.35</v>
      </c>
      <c r="AO18" s="1208">
        <v>40.5</v>
      </c>
      <c r="AP18" s="1208">
        <v>38.85</v>
      </c>
      <c r="AQ18" s="1208">
        <v>37.25</v>
      </c>
      <c r="AR18" s="1208">
        <v>35.85</v>
      </c>
      <c r="AS18" s="1208">
        <v>34.5</v>
      </c>
      <c r="AT18" s="1208">
        <v>33.25</v>
      </c>
      <c r="AU18" s="1208">
        <v>32.049999999999997</v>
      </c>
      <c r="AV18" s="1208">
        <v>30.95</v>
      </c>
      <c r="AW18" s="1208">
        <v>29.95</v>
      </c>
      <c r="AY18" s="827">
        <v>20</v>
      </c>
      <c r="AZ18" s="828">
        <v>1.61</v>
      </c>
      <c r="BA18" s="828">
        <v>1.61</v>
      </c>
      <c r="BB18" s="828">
        <v>1.61</v>
      </c>
      <c r="BC18" s="828">
        <v>1.61</v>
      </c>
      <c r="BD18" s="828">
        <v>1.61</v>
      </c>
      <c r="BE18" s="828">
        <v>1.61</v>
      </c>
      <c r="BF18" s="828">
        <v>1.61</v>
      </c>
      <c r="BG18" s="828">
        <v>1.61</v>
      </c>
      <c r="BH18" s="828">
        <v>1.61</v>
      </c>
      <c r="BI18" s="828">
        <v>1.61</v>
      </c>
      <c r="BJ18" s="828">
        <v>1.61</v>
      </c>
      <c r="BK18" s="828">
        <v>1.61</v>
      </c>
      <c r="BL18" s="828">
        <v>1.61</v>
      </c>
      <c r="BM18" s="828">
        <v>1.61</v>
      </c>
      <c r="BN18" s="828">
        <v>1.61</v>
      </c>
      <c r="BO18" s="828">
        <v>1.61</v>
      </c>
      <c r="BP18" s="828">
        <v>1.61</v>
      </c>
      <c r="BQ18" s="828">
        <v>1.61</v>
      </c>
      <c r="BR18" s="828">
        <v>1.63</v>
      </c>
      <c r="BS18" s="828">
        <v>1.66</v>
      </c>
      <c r="BT18" s="828">
        <v>1.68</v>
      </c>
      <c r="BU18" s="828">
        <v>1.72</v>
      </c>
      <c r="BV18" s="828">
        <v>1.75</v>
      </c>
      <c r="BW18" s="828">
        <v>1.79</v>
      </c>
      <c r="BX18" s="828">
        <v>1.84</v>
      </c>
      <c r="BY18" s="828">
        <v>1.89</v>
      </c>
      <c r="BZ18" s="828">
        <v>1.94</v>
      </c>
      <c r="CA18" s="828">
        <v>1.99</v>
      </c>
      <c r="CB18" s="828">
        <v>2.0499999999999998</v>
      </c>
      <c r="CC18" s="828">
        <v>2.11</v>
      </c>
      <c r="CD18" s="828">
        <v>2.17</v>
      </c>
      <c r="CQ18" s="1204">
        <v>14</v>
      </c>
      <c r="CR18" s="1235">
        <v>0.5</v>
      </c>
      <c r="CS18" s="1204"/>
      <c r="CT18" s="1236">
        <v>14</v>
      </c>
      <c r="CU18" s="1235">
        <v>0.4</v>
      </c>
      <c r="CX18" s="1242">
        <v>16</v>
      </c>
      <c r="CY18" s="1235">
        <v>0.9</v>
      </c>
      <c r="CZ18" s="1235">
        <v>0.9</v>
      </c>
      <c r="DA18" s="1235">
        <v>0.85</v>
      </c>
      <c r="DC18" s="1238">
        <v>1</v>
      </c>
      <c r="DD18" s="1239">
        <v>0.4</v>
      </c>
      <c r="DE18" s="1223"/>
      <c r="DF18" s="1238">
        <v>1</v>
      </c>
      <c r="DG18" s="1239">
        <v>0.3</v>
      </c>
      <c r="DI18" s="1240">
        <v>8</v>
      </c>
      <c r="DJ18" s="1243">
        <v>0.15</v>
      </c>
      <c r="DK18" s="1243">
        <v>0.15</v>
      </c>
      <c r="DL18" s="1243">
        <v>0.2</v>
      </c>
      <c r="DM18" s="1223"/>
      <c r="DT18" s="1204">
        <v>19</v>
      </c>
      <c r="DU18" s="1241">
        <v>0.3</v>
      </c>
      <c r="DV18" s="1241">
        <v>0.35</v>
      </c>
      <c r="DW18" s="1241">
        <v>0.45</v>
      </c>
      <c r="DX18" s="1222"/>
      <c r="DY18" s="1204">
        <v>19</v>
      </c>
      <c r="DZ18" s="1241">
        <v>0.3</v>
      </c>
      <c r="EA18" s="1241">
        <v>0.35</v>
      </c>
      <c r="EB18" s="1241">
        <v>0.45</v>
      </c>
      <c r="EE18" s="1225">
        <v>2</v>
      </c>
      <c r="EF18" s="1226">
        <v>0</v>
      </c>
      <c r="EG18" s="1226">
        <v>0</v>
      </c>
      <c r="EH18" s="1226">
        <v>0</v>
      </c>
      <c r="EI18" s="1227">
        <v>31.15</v>
      </c>
      <c r="EK18" s="1228">
        <v>20</v>
      </c>
      <c r="EL18" s="1229">
        <v>3.36</v>
      </c>
      <c r="EM18" s="1229">
        <v>2.8</v>
      </c>
      <c r="EN18" s="1229">
        <v>2.4900000000000002</v>
      </c>
      <c r="EO18" s="1229">
        <v>2.2999999999999998</v>
      </c>
      <c r="EP18" s="1216">
        <v>20</v>
      </c>
      <c r="EQ18" s="1230">
        <v>3.28</v>
      </c>
      <c r="ER18" s="1230">
        <v>2.73</v>
      </c>
      <c r="ES18" s="1230">
        <v>2.4300000000000002</v>
      </c>
      <c r="ET18" s="1214">
        <v>2.2400000000000002</v>
      </c>
      <c r="EU18" s="1231">
        <v>20</v>
      </c>
      <c r="EV18" s="1232">
        <v>3.31</v>
      </c>
      <c r="EW18" s="1232">
        <v>2.76</v>
      </c>
      <c r="EX18" s="1232">
        <v>2.4500000000000002</v>
      </c>
      <c r="EY18" s="1229">
        <v>2.2599999999999998</v>
      </c>
      <c r="EZ18" s="1233">
        <v>7</v>
      </c>
      <c r="FA18" s="1234">
        <v>0</v>
      </c>
      <c r="FB18" s="1234">
        <v>0</v>
      </c>
      <c r="FC18" s="1234">
        <v>0</v>
      </c>
      <c r="FD18" s="1234">
        <v>0</v>
      </c>
      <c r="FF18" s="1234">
        <v>0</v>
      </c>
      <c r="FG18" s="1234">
        <v>0</v>
      </c>
      <c r="FH18" s="1234">
        <v>0</v>
      </c>
      <c r="FI18" s="1234">
        <v>0</v>
      </c>
    </row>
    <row r="19" spans="2:165" ht="15" customHeight="1">
      <c r="B19" s="1207">
        <v>11</v>
      </c>
      <c r="C19" s="1220">
        <v>89.5</v>
      </c>
      <c r="D19" s="1220">
        <v>81.900000000000006</v>
      </c>
      <c r="E19" s="1220">
        <v>75.45</v>
      </c>
      <c r="F19" s="1220">
        <v>70.900000000000006</v>
      </c>
      <c r="G19" s="1220">
        <v>65.849999999999994</v>
      </c>
      <c r="H19" s="1220">
        <v>61.45</v>
      </c>
      <c r="I19" s="1220">
        <v>57.5</v>
      </c>
      <c r="J19" s="1220">
        <v>54</v>
      </c>
      <c r="K19" s="1220">
        <v>50.9</v>
      </c>
      <c r="L19" s="1220">
        <v>48.25</v>
      </c>
      <c r="M19" s="1220">
        <v>45.8</v>
      </c>
      <c r="N19" s="1220">
        <v>43.6</v>
      </c>
      <c r="O19" s="1220">
        <v>41.6</v>
      </c>
      <c r="P19" s="1220">
        <v>39.75</v>
      </c>
      <c r="Q19" s="1220">
        <v>38.049999999999997</v>
      </c>
      <c r="R19" s="1220">
        <v>36.450000000000003</v>
      </c>
      <c r="S19" s="1220">
        <v>34.950000000000003</v>
      </c>
      <c r="T19" s="1220">
        <v>33.6</v>
      </c>
      <c r="U19" s="1220">
        <v>32.35</v>
      </c>
      <c r="V19" s="1220">
        <v>31.25</v>
      </c>
      <c r="W19" s="1220">
        <v>30.25</v>
      </c>
      <c r="X19" s="1220">
        <v>29.3</v>
      </c>
      <c r="Y19" s="1220">
        <v>28.4</v>
      </c>
      <c r="Z19" s="1206">
        <v>27.55</v>
      </c>
      <c r="AB19" s="1207">
        <v>21</v>
      </c>
      <c r="AC19" s="1208">
        <v>79.3</v>
      </c>
      <c r="AD19" s="1208">
        <v>73.849999999999994</v>
      </c>
      <c r="AE19" s="1208">
        <v>69</v>
      </c>
      <c r="AF19" s="1208">
        <v>64.7</v>
      </c>
      <c r="AG19" s="1208">
        <v>60.9</v>
      </c>
      <c r="AH19" s="1208">
        <v>57.45</v>
      </c>
      <c r="AI19" s="1208">
        <v>54.35</v>
      </c>
      <c r="AJ19" s="1208">
        <v>51.55</v>
      </c>
      <c r="AK19" s="1208">
        <v>49</v>
      </c>
      <c r="AL19" s="1208">
        <v>46.65</v>
      </c>
      <c r="AM19" s="1208">
        <v>44.5</v>
      </c>
      <c r="AN19" s="1208">
        <v>42.5</v>
      </c>
      <c r="AO19" s="1208">
        <v>40.700000000000003</v>
      </c>
      <c r="AP19" s="1208">
        <v>39</v>
      </c>
      <c r="AQ19" s="1208">
        <v>37.450000000000003</v>
      </c>
      <c r="AR19" s="1208">
        <v>36</v>
      </c>
      <c r="AS19" s="1208">
        <v>34.65</v>
      </c>
      <c r="AT19" s="1208">
        <v>33.4</v>
      </c>
      <c r="AU19" s="1208">
        <v>32.25</v>
      </c>
      <c r="AV19" s="1208">
        <v>31.15</v>
      </c>
      <c r="AW19" s="1208">
        <v>30.1</v>
      </c>
      <c r="AY19" s="827">
        <v>21</v>
      </c>
      <c r="AZ19" s="828">
        <v>1.64</v>
      </c>
      <c r="BA19" s="828">
        <v>1.64</v>
      </c>
      <c r="BB19" s="828">
        <v>1.64</v>
      </c>
      <c r="BC19" s="828">
        <v>1.64</v>
      </c>
      <c r="BD19" s="828">
        <v>1.64</v>
      </c>
      <c r="BE19" s="828">
        <v>1.64</v>
      </c>
      <c r="BF19" s="828">
        <v>1.64</v>
      </c>
      <c r="BG19" s="828">
        <v>1.64</v>
      </c>
      <c r="BH19" s="828">
        <v>1.64</v>
      </c>
      <c r="BI19" s="828">
        <v>1.64</v>
      </c>
      <c r="BJ19" s="828">
        <v>1.64</v>
      </c>
      <c r="BK19" s="828">
        <v>1.64</v>
      </c>
      <c r="BL19" s="828">
        <v>1.64</v>
      </c>
      <c r="BM19" s="828">
        <v>1.64</v>
      </c>
      <c r="BN19" s="828">
        <v>1.64</v>
      </c>
      <c r="BO19" s="828">
        <v>1.64</v>
      </c>
      <c r="BP19" s="828">
        <v>1.64</v>
      </c>
      <c r="BQ19" s="828">
        <v>1.66</v>
      </c>
      <c r="BR19" s="828">
        <v>1.68</v>
      </c>
      <c r="BS19" s="828">
        <v>1.71</v>
      </c>
      <c r="BT19" s="828">
        <v>1.75</v>
      </c>
      <c r="BU19" s="828">
        <v>1.79</v>
      </c>
      <c r="BV19" s="828">
        <v>1.83</v>
      </c>
      <c r="BW19" s="828">
        <v>1.88</v>
      </c>
      <c r="BX19" s="828">
        <v>1.93</v>
      </c>
      <c r="BY19" s="828">
        <v>1.98</v>
      </c>
      <c r="BZ19" s="828">
        <v>2.04</v>
      </c>
      <c r="CA19" s="828">
        <v>2.1</v>
      </c>
      <c r="CB19" s="828">
        <v>2.16</v>
      </c>
      <c r="CC19" s="828">
        <v>2.23</v>
      </c>
      <c r="CD19" s="828">
        <v>2.2999999999999998</v>
      </c>
      <c r="CQ19" s="1204">
        <v>15</v>
      </c>
      <c r="CR19" s="1235">
        <v>0.5</v>
      </c>
      <c r="CS19" s="1204"/>
      <c r="CT19" s="1236">
        <v>15</v>
      </c>
      <c r="CU19" s="1235">
        <v>0.4</v>
      </c>
      <c r="CX19" s="1237">
        <v>17</v>
      </c>
      <c r="CY19" s="1235">
        <v>0.95</v>
      </c>
      <c r="CZ19" s="1235">
        <v>0.9</v>
      </c>
      <c r="DA19" s="1235">
        <v>0.9</v>
      </c>
      <c r="DC19" s="1238">
        <v>2</v>
      </c>
      <c r="DD19" s="1239">
        <v>0.35</v>
      </c>
      <c r="DE19" s="1223"/>
      <c r="DF19" s="1238">
        <v>2</v>
      </c>
      <c r="DG19" s="1239">
        <v>0.3</v>
      </c>
      <c r="DI19" s="1240">
        <v>9</v>
      </c>
      <c r="DJ19" s="1243">
        <v>0.15</v>
      </c>
      <c r="DK19" s="1243">
        <v>0.2</v>
      </c>
      <c r="DL19" s="1243">
        <v>0.2</v>
      </c>
      <c r="DM19" s="1223"/>
      <c r="DT19" s="1204">
        <v>20</v>
      </c>
      <c r="DU19" s="1241">
        <v>0.3</v>
      </c>
      <c r="DV19" s="1241">
        <v>0.35</v>
      </c>
      <c r="DW19" s="1241">
        <v>0.5</v>
      </c>
      <c r="DX19" s="1222"/>
      <c r="DY19" s="1204">
        <v>20</v>
      </c>
      <c r="DZ19" s="1241">
        <v>0.3</v>
      </c>
      <c r="EA19" s="1241">
        <v>0.35</v>
      </c>
      <c r="EB19" s="1241">
        <v>0.45</v>
      </c>
      <c r="EE19" s="1225">
        <v>3</v>
      </c>
      <c r="EF19" s="1226">
        <v>0</v>
      </c>
      <c r="EG19" s="1226">
        <v>0</v>
      </c>
      <c r="EH19" s="1226">
        <v>0</v>
      </c>
      <c r="EI19" s="1227">
        <v>31.15</v>
      </c>
      <c r="EK19" s="1228">
        <v>21</v>
      </c>
      <c r="EL19" s="1229">
        <v>3.55</v>
      </c>
      <c r="EM19" s="1229">
        <v>2.96</v>
      </c>
      <c r="EN19" s="1229">
        <v>2.63</v>
      </c>
      <c r="EO19" s="1229">
        <v>2.4300000000000002</v>
      </c>
      <c r="EP19" s="1216">
        <v>21</v>
      </c>
      <c r="EQ19" s="1230">
        <v>3.55</v>
      </c>
      <c r="ER19" s="1230">
        <v>2.96</v>
      </c>
      <c r="ES19" s="1230">
        <v>2.63</v>
      </c>
      <c r="ET19" s="1214">
        <v>2.4300000000000002</v>
      </c>
      <c r="EU19" s="1231">
        <v>21</v>
      </c>
      <c r="EV19" s="1232">
        <v>3.54</v>
      </c>
      <c r="EW19" s="1232">
        <v>2.96</v>
      </c>
      <c r="EX19" s="1232">
        <v>2.63</v>
      </c>
      <c r="EY19" s="1229">
        <v>2.42</v>
      </c>
      <c r="EZ19" s="1233">
        <v>8</v>
      </c>
      <c r="FA19" s="1234">
        <v>0</v>
      </c>
      <c r="FB19" s="1234">
        <v>0</v>
      </c>
      <c r="FC19" s="1234">
        <v>0</v>
      </c>
      <c r="FD19" s="1234">
        <v>0</v>
      </c>
      <c r="FF19" s="1234">
        <v>0</v>
      </c>
      <c r="FG19" s="1234">
        <v>0</v>
      </c>
      <c r="FH19" s="1234">
        <v>0</v>
      </c>
      <c r="FI19" s="1234">
        <v>0</v>
      </c>
    </row>
    <row r="20" spans="2:165" ht="15" customHeight="1">
      <c r="B20" s="1207">
        <v>12</v>
      </c>
      <c r="C20" s="1220">
        <v>89.55</v>
      </c>
      <c r="D20" s="1220">
        <v>81.95</v>
      </c>
      <c r="E20" s="1220">
        <v>75.45</v>
      </c>
      <c r="F20" s="1220">
        <v>70.95</v>
      </c>
      <c r="G20" s="1220">
        <v>65.900000000000006</v>
      </c>
      <c r="H20" s="1220">
        <v>61.5</v>
      </c>
      <c r="I20" s="1220">
        <v>57.55</v>
      </c>
      <c r="J20" s="1220">
        <v>54.05</v>
      </c>
      <c r="K20" s="1220">
        <v>50.9</v>
      </c>
      <c r="L20" s="1220">
        <v>48.25</v>
      </c>
      <c r="M20" s="1220">
        <v>45.85</v>
      </c>
      <c r="N20" s="1220">
        <v>43.65</v>
      </c>
      <c r="O20" s="1220">
        <v>41.65</v>
      </c>
      <c r="P20" s="1220">
        <v>39.799999999999997</v>
      </c>
      <c r="Q20" s="1220">
        <v>38.049999999999997</v>
      </c>
      <c r="R20" s="1220">
        <v>36.5</v>
      </c>
      <c r="S20" s="1220">
        <v>35</v>
      </c>
      <c r="T20" s="1220">
        <v>33.65</v>
      </c>
      <c r="U20" s="1220">
        <v>32.4</v>
      </c>
      <c r="V20" s="1220">
        <v>31.3</v>
      </c>
      <c r="W20" s="1220">
        <v>30.3</v>
      </c>
      <c r="X20" s="1220">
        <v>29.35</v>
      </c>
      <c r="Y20" s="1220">
        <v>28.45</v>
      </c>
      <c r="Z20" s="1206">
        <v>27.6</v>
      </c>
      <c r="AB20" s="1207">
        <v>22</v>
      </c>
      <c r="AC20" s="1208">
        <v>79.599999999999994</v>
      </c>
      <c r="AD20" s="1208">
        <v>74.099999999999994</v>
      </c>
      <c r="AE20" s="1208">
        <v>69.25</v>
      </c>
      <c r="AF20" s="1208">
        <v>64.95</v>
      </c>
      <c r="AG20" s="1208">
        <v>61.15</v>
      </c>
      <c r="AH20" s="1208">
        <v>57.7</v>
      </c>
      <c r="AI20" s="1208">
        <v>54.6</v>
      </c>
      <c r="AJ20" s="1208">
        <v>51.75</v>
      </c>
      <c r="AK20" s="1208">
        <v>49.2</v>
      </c>
      <c r="AL20" s="1208">
        <v>46.85</v>
      </c>
      <c r="AM20" s="1208">
        <v>44.7</v>
      </c>
      <c r="AN20" s="1208">
        <v>42.7</v>
      </c>
      <c r="AO20" s="1208">
        <v>40.9</v>
      </c>
      <c r="AP20" s="1208">
        <v>39.200000000000003</v>
      </c>
      <c r="AQ20" s="1208">
        <v>37.65</v>
      </c>
      <c r="AR20" s="1208">
        <v>36.200000000000003</v>
      </c>
      <c r="AS20" s="1208">
        <v>34.85</v>
      </c>
      <c r="AT20" s="1208">
        <v>33.6</v>
      </c>
      <c r="AU20" s="1208">
        <v>32.4</v>
      </c>
      <c r="AV20" s="1208">
        <v>31.3</v>
      </c>
      <c r="AW20" s="1208">
        <v>30.3</v>
      </c>
      <c r="AY20" s="827">
        <v>22</v>
      </c>
      <c r="AZ20" s="828">
        <v>1.66</v>
      </c>
      <c r="BA20" s="828">
        <v>1.66</v>
      </c>
      <c r="BB20" s="828">
        <v>1.66</v>
      </c>
      <c r="BC20" s="828">
        <v>1.66</v>
      </c>
      <c r="BD20" s="828">
        <v>1.66</v>
      </c>
      <c r="BE20" s="828">
        <v>1.66</v>
      </c>
      <c r="BF20" s="828">
        <v>1.66</v>
      </c>
      <c r="BG20" s="828">
        <v>1.66</v>
      </c>
      <c r="BH20" s="828">
        <v>1.66</v>
      </c>
      <c r="BI20" s="828">
        <v>1.66</v>
      </c>
      <c r="BJ20" s="828">
        <v>1.66</v>
      </c>
      <c r="BK20" s="828">
        <v>1.66</v>
      </c>
      <c r="BL20" s="828">
        <v>1.66</v>
      </c>
      <c r="BM20" s="828">
        <v>1.66</v>
      </c>
      <c r="BN20" s="828">
        <v>1.66</v>
      </c>
      <c r="BO20" s="828">
        <v>1.66</v>
      </c>
      <c r="BP20" s="828">
        <v>1.68</v>
      </c>
      <c r="BQ20" s="828">
        <v>1.71</v>
      </c>
      <c r="BR20" s="828">
        <v>1.75</v>
      </c>
      <c r="BS20" s="828">
        <v>1.78</v>
      </c>
      <c r="BT20" s="828">
        <v>1.82</v>
      </c>
      <c r="BU20" s="828">
        <v>1.87</v>
      </c>
      <c r="BV20" s="828">
        <v>1.92</v>
      </c>
      <c r="BW20" s="828">
        <v>1.97</v>
      </c>
      <c r="BX20" s="828">
        <v>2.0299999999999998</v>
      </c>
      <c r="BY20" s="828">
        <v>2.09</v>
      </c>
      <c r="BZ20" s="828">
        <v>2.15</v>
      </c>
      <c r="CA20" s="828">
        <v>2.2200000000000002</v>
      </c>
      <c r="CB20" s="828">
        <v>2.29</v>
      </c>
      <c r="CC20" s="828">
        <v>2.36</v>
      </c>
      <c r="CD20" s="828">
        <v>2.4300000000000002</v>
      </c>
      <c r="CQ20" s="1204">
        <v>16</v>
      </c>
      <c r="CR20" s="1235">
        <v>0.5</v>
      </c>
      <c r="CS20" s="1204"/>
      <c r="CT20" s="1236">
        <v>16</v>
      </c>
      <c r="CU20" s="1235">
        <v>0.4</v>
      </c>
      <c r="CX20" s="1242">
        <v>18</v>
      </c>
      <c r="CY20" s="1235">
        <v>1</v>
      </c>
      <c r="CZ20" s="1235">
        <v>0.95</v>
      </c>
      <c r="DA20" s="1235">
        <v>0.9</v>
      </c>
      <c r="DC20" s="1244">
        <v>3</v>
      </c>
      <c r="DD20" s="1239">
        <v>0.25</v>
      </c>
      <c r="DE20" s="1223"/>
      <c r="DF20" s="1244">
        <v>3</v>
      </c>
      <c r="DG20" s="1239">
        <v>0.25</v>
      </c>
      <c r="DI20" s="1240">
        <v>10</v>
      </c>
      <c r="DJ20" s="1243">
        <v>0.15</v>
      </c>
      <c r="DK20" s="1243">
        <v>0.2</v>
      </c>
      <c r="DL20" s="1243">
        <v>0.2</v>
      </c>
      <c r="DM20" s="1223"/>
      <c r="DT20" s="1204">
        <v>21</v>
      </c>
      <c r="DU20" s="1241">
        <v>0.3</v>
      </c>
      <c r="DV20" s="1241">
        <v>0.4</v>
      </c>
      <c r="DW20" s="1241">
        <v>0.5</v>
      </c>
      <c r="DX20" s="1222"/>
      <c r="DY20" s="1204">
        <v>21</v>
      </c>
      <c r="DZ20" s="1241">
        <v>0.3</v>
      </c>
      <c r="EA20" s="1241">
        <v>0.35</v>
      </c>
      <c r="EB20" s="1241">
        <v>0.45</v>
      </c>
      <c r="EE20" s="1225">
        <v>4</v>
      </c>
      <c r="EF20" s="1226">
        <v>0</v>
      </c>
      <c r="EG20" s="1226">
        <v>0</v>
      </c>
      <c r="EH20" s="1226">
        <v>0</v>
      </c>
      <c r="EI20" s="1227">
        <v>31.15</v>
      </c>
      <c r="EK20" s="1228">
        <v>22</v>
      </c>
      <c r="EL20" s="1229">
        <v>3.76</v>
      </c>
      <c r="EM20" s="1229">
        <v>3.14</v>
      </c>
      <c r="EN20" s="1229">
        <v>2.79</v>
      </c>
      <c r="EO20" s="1229">
        <v>2.57</v>
      </c>
      <c r="EP20" s="1216">
        <v>22</v>
      </c>
      <c r="EQ20" s="1230">
        <v>3.84</v>
      </c>
      <c r="ER20" s="1230">
        <v>3.21</v>
      </c>
      <c r="ES20" s="1230">
        <v>2.85</v>
      </c>
      <c r="ET20" s="1214">
        <v>2.63</v>
      </c>
      <c r="EU20" s="1231">
        <v>22</v>
      </c>
      <c r="EV20" s="1232">
        <v>3.79</v>
      </c>
      <c r="EW20" s="1232">
        <v>3.16</v>
      </c>
      <c r="EX20" s="1232">
        <v>2.81</v>
      </c>
      <c r="EY20" s="1229">
        <v>2.6</v>
      </c>
      <c r="EZ20" s="1233">
        <v>9</v>
      </c>
      <c r="FA20" s="1234">
        <v>0</v>
      </c>
      <c r="FB20" s="1234">
        <v>0</v>
      </c>
      <c r="FC20" s="1234">
        <v>0</v>
      </c>
      <c r="FD20" s="1234">
        <v>0</v>
      </c>
      <c r="FF20" s="1234">
        <v>0</v>
      </c>
      <c r="FG20" s="1234">
        <v>0</v>
      </c>
      <c r="FH20" s="1234">
        <v>0</v>
      </c>
      <c r="FI20" s="1234">
        <v>0</v>
      </c>
    </row>
    <row r="21" spans="2:165" ht="15" customHeight="1">
      <c r="B21" s="1207">
        <v>13</v>
      </c>
      <c r="C21" s="1220">
        <v>89.6</v>
      </c>
      <c r="D21" s="1220">
        <v>82</v>
      </c>
      <c r="E21" s="1220">
        <v>75.5</v>
      </c>
      <c r="F21" s="1220">
        <v>70.95</v>
      </c>
      <c r="G21" s="1220">
        <v>65.95</v>
      </c>
      <c r="H21" s="1220">
        <v>61.55</v>
      </c>
      <c r="I21" s="1220">
        <v>57.6</v>
      </c>
      <c r="J21" s="1220">
        <v>54.1</v>
      </c>
      <c r="K21" s="1220">
        <v>50.95</v>
      </c>
      <c r="L21" s="1220">
        <v>48.3</v>
      </c>
      <c r="M21" s="1220">
        <v>45.9</v>
      </c>
      <c r="N21" s="1220">
        <v>43.7</v>
      </c>
      <c r="O21" s="1220">
        <v>41.7</v>
      </c>
      <c r="P21" s="1220">
        <v>39.85</v>
      </c>
      <c r="Q21" s="1220">
        <v>38.1</v>
      </c>
      <c r="R21" s="1220">
        <v>36.549999999999997</v>
      </c>
      <c r="S21" s="1220">
        <v>35.049999999999997</v>
      </c>
      <c r="T21" s="1220">
        <v>33.700000000000003</v>
      </c>
      <c r="U21" s="1220">
        <v>32.4</v>
      </c>
      <c r="V21" s="1220">
        <v>31.35</v>
      </c>
      <c r="W21" s="1220">
        <v>30.25</v>
      </c>
      <c r="X21" s="1220">
        <v>29.4</v>
      </c>
      <c r="Y21" s="1220">
        <v>28.5</v>
      </c>
      <c r="Z21" s="1206">
        <v>27.65</v>
      </c>
      <c r="AB21" s="1207">
        <v>23</v>
      </c>
      <c r="AC21" s="1208">
        <v>79.900000000000006</v>
      </c>
      <c r="AD21" s="1208">
        <v>74.400000000000006</v>
      </c>
      <c r="AE21" s="1208">
        <v>69.55</v>
      </c>
      <c r="AF21" s="1208">
        <v>65.2</v>
      </c>
      <c r="AG21" s="1208">
        <v>61.4</v>
      </c>
      <c r="AH21" s="1208">
        <v>57.95</v>
      </c>
      <c r="AI21" s="1208">
        <v>54.8</v>
      </c>
      <c r="AJ21" s="1208">
        <v>52</v>
      </c>
      <c r="AK21" s="1208">
        <v>49.4</v>
      </c>
      <c r="AL21" s="1208">
        <v>47.05</v>
      </c>
      <c r="AM21" s="1208">
        <v>44.9</v>
      </c>
      <c r="AN21" s="1208">
        <v>42.9</v>
      </c>
      <c r="AO21" s="1208">
        <v>41.1</v>
      </c>
      <c r="AP21" s="1208">
        <v>39.4</v>
      </c>
      <c r="AQ21" s="1208">
        <v>37.85</v>
      </c>
      <c r="AR21" s="1208">
        <v>36.35</v>
      </c>
      <c r="AS21" s="1208">
        <v>35</v>
      </c>
      <c r="AT21" s="1208">
        <v>33.75</v>
      </c>
      <c r="AU21" s="1208">
        <v>32.6</v>
      </c>
      <c r="AV21" s="1208">
        <v>31.5</v>
      </c>
      <c r="AW21" s="1208">
        <v>30.5</v>
      </c>
      <c r="AY21" s="827">
        <v>23</v>
      </c>
      <c r="AZ21" s="828">
        <v>1.67</v>
      </c>
      <c r="BA21" s="828">
        <v>1.67</v>
      </c>
      <c r="BB21" s="828">
        <v>1.67</v>
      </c>
      <c r="BC21" s="828">
        <v>1.67</v>
      </c>
      <c r="BD21" s="828">
        <v>1.67</v>
      </c>
      <c r="BE21" s="828">
        <v>1.67</v>
      </c>
      <c r="BF21" s="828">
        <v>1.67</v>
      </c>
      <c r="BG21" s="828">
        <v>1.67</v>
      </c>
      <c r="BH21" s="828">
        <v>1.67</v>
      </c>
      <c r="BI21" s="828">
        <v>1.67</v>
      </c>
      <c r="BJ21" s="828">
        <v>1.67</v>
      </c>
      <c r="BK21" s="828">
        <v>1.67</v>
      </c>
      <c r="BL21" s="828">
        <v>1.67</v>
      </c>
      <c r="BM21" s="828">
        <v>1.67</v>
      </c>
      <c r="BN21" s="828">
        <v>1.68</v>
      </c>
      <c r="BO21" s="828">
        <v>1.71</v>
      </c>
      <c r="BP21" s="828">
        <v>1.74</v>
      </c>
      <c r="BQ21" s="828">
        <v>1.78</v>
      </c>
      <c r="BR21" s="828">
        <v>1.82</v>
      </c>
      <c r="BS21" s="828">
        <v>1.86</v>
      </c>
      <c r="BT21" s="828">
        <v>1.91</v>
      </c>
      <c r="BU21" s="828">
        <v>1.96</v>
      </c>
      <c r="BV21" s="828">
        <v>2.0099999999999998</v>
      </c>
      <c r="BW21" s="828">
        <v>2.0699999999999998</v>
      </c>
      <c r="BX21" s="828">
        <v>2.14</v>
      </c>
      <c r="BY21" s="828">
        <v>2.21</v>
      </c>
      <c r="BZ21" s="828">
        <v>2.2799999999999998</v>
      </c>
      <c r="CA21" s="828">
        <v>2.35</v>
      </c>
      <c r="CB21" s="828">
        <v>2.4300000000000002</v>
      </c>
      <c r="CC21" s="828">
        <v>2.5</v>
      </c>
      <c r="CD21" s="828">
        <v>2.58</v>
      </c>
      <c r="CQ21" s="1204">
        <v>17</v>
      </c>
      <c r="CR21" s="1235">
        <v>0.55000000000000004</v>
      </c>
      <c r="CS21" s="1204"/>
      <c r="CT21" s="1236">
        <v>17</v>
      </c>
      <c r="CU21" s="1235">
        <v>0.45</v>
      </c>
      <c r="CX21" s="1237">
        <v>19</v>
      </c>
      <c r="CY21" s="1235">
        <v>1</v>
      </c>
      <c r="CZ21" s="1235">
        <v>0.95</v>
      </c>
      <c r="DA21" s="1235">
        <v>0.95</v>
      </c>
      <c r="DC21" s="1238">
        <v>4</v>
      </c>
      <c r="DD21" s="1239">
        <v>0.25</v>
      </c>
      <c r="DE21" s="1223"/>
      <c r="DF21" s="1238">
        <v>4</v>
      </c>
      <c r="DG21" s="1239">
        <v>0.2</v>
      </c>
      <c r="DI21" s="1240">
        <v>11</v>
      </c>
      <c r="DJ21" s="1243">
        <v>0.15</v>
      </c>
      <c r="DK21" s="1243">
        <v>0.2</v>
      </c>
      <c r="DL21" s="1243">
        <v>0.2</v>
      </c>
      <c r="DM21" s="1223"/>
      <c r="DT21" s="1204">
        <v>22</v>
      </c>
      <c r="DU21" s="1241">
        <v>0.3</v>
      </c>
      <c r="DV21" s="1241">
        <v>0.4</v>
      </c>
      <c r="DW21" s="1241">
        <v>0.5</v>
      </c>
      <c r="DX21" s="1222"/>
      <c r="DY21" s="1204">
        <v>22</v>
      </c>
      <c r="DZ21" s="1241">
        <v>0.3</v>
      </c>
      <c r="EA21" s="1241">
        <v>0.35</v>
      </c>
      <c r="EB21" s="1241">
        <v>0.45</v>
      </c>
      <c r="EE21" s="1225">
        <v>5</v>
      </c>
      <c r="EF21" s="1226">
        <v>0</v>
      </c>
      <c r="EG21" s="1226">
        <v>0</v>
      </c>
      <c r="EH21" s="1227">
        <v>39.85</v>
      </c>
      <c r="EI21" s="1227">
        <v>31.15</v>
      </c>
      <c r="EK21" s="1228">
        <v>23</v>
      </c>
      <c r="EL21" s="1229">
        <v>3.99</v>
      </c>
      <c r="EM21" s="1229">
        <v>3.33</v>
      </c>
      <c r="EN21" s="1229">
        <v>2.96</v>
      </c>
      <c r="EO21" s="1229">
        <v>2.73</v>
      </c>
      <c r="EP21" s="1216">
        <v>23</v>
      </c>
      <c r="EQ21" s="1230">
        <v>4.16</v>
      </c>
      <c r="ER21" s="1230">
        <v>3.47</v>
      </c>
      <c r="ES21" s="1230">
        <v>3.08</v>
      </c>
      <c r="ET21" s="1214">
        <v>2.85</v>
      </c>
      <c r="EU21" s="1231">
        <v>23</v>
      </c>
      <c r="EV21" s="1232">
        <v>4.0599999999999996</v>
      </c>
      <c r="EW21" s="1232">
        <v>3.39</v>
      </c>
      <c r="EX21" s="1232">
        <v>3.01</v>
      </c>
      <c r="EY21" s="1229">
        <v>2.78</v>
      </c>
      <c r="EZ21" s="1233">
        <v>10</v>
      </c>
      <c r="FA21" s="1234">
        <v>0</v>
      </c>
      <c r="FB21" s="1234">
        <v>0</v>
      </c>
      <c r="FC21" s="1234">
        <v>0</v>
      </c>
      <c r="FD21" s="1234">
        <v>0</v>
      </c>
      <c r="FF21" s="1234">
        <v>0</v>
      </c>
      <c r="FG21" s="1234">
        <v>0</v>
      </c>
      <c r="FH21" s="1234">
        <v>0</v>
      </c>
      <c r="FI21" s="1234">
        <v>0</v>
      </c>
    </row>
    <row r="22" spans="2:165" ht="15" customHeight="1">
      <c r="B22" s="1207">
        <v>14</v>
      </c>
      <c r="C22" s="1220">
        <v>89.65</v>
      </c>
      <c r="D22" s="1220">
        <v>82.05</v>
      </c>
      <c r="E22" s="1220">
        <v>75.55</v>
      </c>
      <c r="F22" s="1220">
        <v>71</v>
      </c>
      <c r="G22" s="1220">
        <v>66</v>
      </c>
      <c r="H22" s="1220">
        <v>61.55</v>
      </c>
      <c r="I22" s="1220">
        <v>57.65</v>
      </c>
      <c r="J22" s="1220">
        <v>54.15</v>
      </c>
      <c r="K22" s="1220">
        <v>51</v>
      </c>
      <c r="L22" s="1220">
        <v>48.35</v>
      </c>
      <c r="M22" s="1220">
        <v>45.95</v>
      </c>
      <c r="N22" s="1220">
        <v>43.75</v>
      </c>
      <c r="O22" s="1220">
        <v>41.75</v>
      </c>
      <c r="P22" s="1220">
        <v>39.85</v>
      </c>
      <c r="Q22" s="1220">
        <v>38.15</v>
      </c>
      <c r="R22" s="1220">
        <v>36.549999999999997</v>
      </c>
      <c r="S22" s="1220">
        <v>35.1</v>
      </c>
      <c r="T22" s="1220">
        <v>33.75</v>
      </c>
      <c r="U22" s="1220">
        <v>32.450000000000003</v>
      </c>
      <c r="V22" s="1220">
        <v>31.4</v>
      </c>
      <c r="W22" s="1220">
        <v>30.4</v>
      </c>
      <c r="X22" s="1220">
        <v>29.45</v>
      </c>
      <c r="Y22" s="1220">
        <v>28.55</v>
      </c>
      <c r="Z22" s="1206">
        <v>27.7</v>
      </c>
      <c r="AB22" s="1207">
        <v>24</v>
      </c>
      <c r="AC22" s="1208">
        <v>80.2</v>
      </c>
      <c r="AD22" s="1208">
        <v>74.7</v>
      </c>
      <c r="AE22" s="1208">
        <v>69.8</v>
      </c>
      <c r="AF22" s="1208">
        <v>65.5</v>
      </c>
      <c r="AG22" s="1208">
        <v>61.65</v>
      </c>
      <c r="AH22" s="1208">
        <v>58.2</v>
      </c>
      <c r="AI22" s="1208">
        <v>55.05</v>
      </c>
      <c r="AJ22" s="1208">
        <v>52.25</v>
      </c>
      <c r="AK22" s="1208">
        <v>49.65</v>
      </c>
      <c r="AL22" s="1208">
        <v>47.3</v>
      </c>
      <c r="AM22" s="1208">
        <v>45.15</v>
      </c>
      <c r="AN22" s="1208">
        <v>43.15</v>
      </c>
      <c r="AO22" s="1208">
        <v>41.3</v>
      </c>
      <c r="AP22" s="1208">
        <v>39.6</v>
      </c>
      <c r="AQ22" s="1208">
        <v>38.049999999999997</v>
      </c>
      <c r="AR22" s="1208">
        <v>36.6</v>
      </c>
      <c r="AS22" s="1208">
        <v>35.25</v>
      </c>
      <c r="AT22" s="1208">
        <v>33.950000000000003</v>
      </c>
      <c r="AU22" s="1208">
        <v>32.799999999999997</v>
      </c>
      <c r="AV22" s="1208">
        <v>31.7</v>
      </c>
      <c r="AW22" s="1208">
        <v>30.7</v>
      </c>
      <c r="AY22" s="827">
        <v>24</v>
      </c>
      <c r="AZ22" s="828">
        <v>1.68</v>
      </c>
      <c r="BA22" s="828">
        <v>1.68</v>
      </c>
      <c r="BB22" s="828">
        <v>1.68</v>
      </c>
      <c r="BC22" s="828">
        <v>1.68</v>
      </c>
      <c r="BD22" s="828">
        <v>1.68</v>
      </c>
      <c r="BE22" s="828">
        <v>1.68</v>
      </c>
      <c r="BF22" s="828">
        <v>1.68</v>
      </c>
      <c r="BG22" s="828">
        <v>1.68</v>
      </c>
      <c r="BH22" s="828">
        <v>1.68</v>
      </c>
      <c r="BI22" s="828">
        <v>1.68</v>
      </c>
      <c r="BJ22" s="828">
        <v>1.68</v>
      </c>
      <c r="BK22" s="828">
        <v>1.68</v>
      </c>
      <c r="BL22" s="828">
        <v>1.69</v>
      </c>
      <c r="BM22" s="828">
        <v>1.71</v>
      </c>
      <c r="BN22" s="828">
        <v>1.74</v>
      </c>
      <c r="BO22" s="828">
        <v>1.77</v>
      </c>
      <c r="BP22" s="828">
        <v>1.81</v>
      </c>
      <c r="BQ22" s="828">
        <v>1.85</v>
      </c>
      <c r="BR22" s="828">
        <v>1.9</v>
      </c>
      <c r="BS22" s="828">
        <v>1.95</v>
      </c>
      <c r="BT22" s="828">
        <v>2</v>
      </c>
      <c r="BU22" s="828">
        <v>2.06</v>
      </c>
      <c r="BV22" s="828">
        <v>2.12</v>
      </c>
      <c r="BW22" s="828">
        <v>2.19</v>
      </c>
      <c r="BX22" s="828">
        <v>2.2599999999999998</v>
      </c>
      <c r="BY22" s="828">
        <v>2.34</v>
      </c>
      <c r="BZ22" s="828">
        <v>2.42</v>
      </c>
      <c r="CA22" s="828">
        <v>2.5</v>
      </c>
      <c r="CB22" s="828">
        <v>2.58</v>
      </c>
      <c r="CC22" s="828">
        <v>2.66</v>
      </c>
      <c r="CD22" s="828">
        <v>2.74</v>
      </c>
      <c r="CQ22" s="1204">
        <v>18</v>
      </c>
      <c r="CR22" s="1235">
        <v>0.55000000000000004</v>
      </c>
      <c r="CS22" s="1204"/>
      <c r="CT22" s="1236">
        <v>18</v>
      </c>
      <c r="CU22" s="1235">
        <v>0.45</v>
      </c>
      <c r="CX22" s="1242">
        <v>20</v>
      </c>
      <c r="CY22" s="1235">
        <v>1.05</v>
      </c>
      <c r="CZ22" s="1235">
        <v>1</v>
      </c>
      <c r="DA22" s="1235">
        <v>0.95</v>
      </c>
      <c r="DC22" s="1238">
        <v>5</v>
      </c>
      <c r="DD22" s="1239">
        <v>0.2</v>
      </c>
      <c r="DE22" s="1223"/>
      <c r="DF22" s="1238">
        <v>5</v>
      </c>
      <c r="DG22" s="1239">
        <v>0.2</v>
      </c>
      <c r="DI22" s="1240">
        <v>12</v>
      </c>
      <c r="DJ22" s="1243">
        <v>0.15</v>
      </c>
      <c r="DK22" s="1243">
        <v>0.2</v>
      </c>
      <c r="DL22" s="1243">
        <v>0.25</v>
      </c>
      <c r="DM22" s="1223"/>
      <c r="DT22" s="1204">
        <v>23</v>
      </c>
      <c r="DU22" s="1241">
        <v>0.3</v>
      </c>
      <c r="DV22" s="1241">
        <v>0.4</v>
      </c>
      <c r="DW22" s="1241">
        <v>0.5</v>
      </c>
      <c r="DX22" s="1222"/>
      <c r="DY22" s="1204">
        <v>23</v>
      </c>
      <c r="DZ22" s="1241">
        <v>0.3</v>
      </c>
      <c r="EA22" s="1241">
        <v>0.35</v>
      </c>
      <c r="EB22" s="1241">
        <v>0.5</v>
      </c>
      <c r="EE22" s="1225">
        <v>6</v>
      </c>
      <c r="EF22" s="1226">
        <v>0</v>
      </c>
      <c r="EG22" s="1226">
        <v>0</v>
      </c>
      <c r="EH22" s="1227">
        <v>39.85</v>
      </c>
      <c r="EI22" s="1227">
        <v>31.15</v>
      </c>
      <c r="EK22" s="1228">
        <v>24</v>
      </c>
      <c r="EL22" s="1229">
        <v>4.24</v>
      </c>
      <c r="EM22" s="1229">
        <v>3.53</v>
      </c>
      <c r="EN22" s="1229">
        <v>3.14</v>
      </c>
      <c r="EO22" s="1229">
        <v>2.9</v>
      </c>
      <c r="EP22" s="1216">
        <v>24</v>
      </c>
      <c r="EQ22" s="1230">
        <v>4.5</v>
      </c>
      <c r="ER22" s="1230">
        <v>3.76</v>
      </c>
      <c r="ES22" s="1230">
        <v>3.34</v>
      </c>
      <c r="ET22" s="1214">
        <v>3.08</v>
      </c>
      <c r="EU22" s="1231">
        <v>24</v>
      </c>
      <c r="EV22" s="1232">
        <v>4.34</v>
      </c>
      <c r="EW22" s="1232">
        <v>3.62</v>
      </c>
      <c r="EX22" s="1232">
        <v>3.22</v>
      </c>
      <c r="EY22" s="1229">
        <v>2.98</v>
      </c>
      <c r="EZ22" s="1233">
        <v>11</v>
      </c>
      <c r="FA22" s="1234">
        <v>0</v>
      </c>
      <c r="FB22" s="1234">
        <v>0</v>
      </c>
      <c r="FC22" s="1234">
        <v>0</v>
      </c>
      <c r="FD22" s="1234">
        <v>0</v>
      </c>
      <c r="FF22" s="1234">
        <v>0</v>
      </c>
      <c r="FG22" s="1234">
        <v>0</v>
      </c>
      <c r="FH22" s="1234">
        <v>0</v>
      </c>
      <c r="FI22" s="1234">
        <v>0</v>
      </c>
    </row>
    <row r="23" spans="2:165" ht="15" customHeight="1">
      <c r="B23" s="1207">
        <v>15</v>
      </c>
      <c r="C23" s="1220">
        <v>89.7</v>
      </c>
      <c r="D23" s="1220">
        <v>82.1</v>
      </c>
      <c r="E23" s="1220">
        <v>75.599999999999994</v>
      </c>
      <c r="F23" s="1220">
        <v>71.05</v>
      </c>
      <c r="G23" s="1220">
        <v>66.05</v>
      </c>
      <c r="H23" s="1220">
        <v>61.6</v>
      </c>
      <c r="I23" s="1220">
        <v>57.7</v>
      </c>
      <c r="J23" s="1220">
        <v>54.2</v>
      </c>
      <c r="K23" s="1220">
        <v>51.05</v>
      </c>
      <c r="L23" s="1220">
        <v>48.4</v>
      </c>
      <c r="M23" s="1220">
        <v>46</v>
      </c>
      <c r="N23" s="1220">
        <v>43.8</v>
      </c>
      <c r="O23" s="1220">
        <v>41.75</v>
      </c>
      <c r="P23" s="1220">
        <v>39.9</v>
      </c>
      <c r="Q23" s="1220">
        <v>38.200000000000003</v>
      </c>
      <c r="R23" s="1220">
        <v>36.6</v>
      </c>
      <c r="S23" s="1220">
        <v>35.15</v>
      </c>
      <c r="T23" s="1220">
        <v>33.799999999999997</v>
      </c>
      <c r="U23" s="1220">
        <v>32.5</v>
      </c>
      <c r="V23" s="1220">
        <v>31.45</v>
      </c>
      <c r="W23" s="1220">
        <v>30.45</v>
      </c>
      <c r="X23" s="1220">
        <v>29.5</v>
      </c>
      <c r="Y23" s="1220">
        <v>28.6</v>
      </c>
      <c r="Z23" s="1206">
        <v>27.8</v>
      </c>
      <c r="AB23" s="1207">
        <v>25</v>
      </c>
      <c r="AC23" s="1208">
        <v>80.55</v>
      </c>
      <c r="AD23" s="1208">
        <v>75</v>
      </c>
      <c r="AE23" s="1208">
        <v>70.099999999999994</v>
      </c>
      <c r="AF23" s="1208">
        <v>65.8</v>
      </c>
      <c r="AG23" s="1208">
        <v>61.9</v>
      </c>
      <c r="AH23" s="1208">
        <v>58.45</v>
      </c>
      <c r="AI23" s="1208">
        <v>55.3</v>
      </c>
      <c r="AJ23" s="1208">
        <v>52.5</v>
      </c>
      <c r="AK23" s="1208">
        <v>49.9</v>
      </c>
      <c r="AL23" s="1208">
        <v>47.55</v>
      </c>
      <c r="AM23" s="1208">
        <v>45.35</v>
      </c>
      <c r="AN23" s="1208">
        <v>43.35</v>
      </c>
      <c r="AO23" s="1208">
        <v>41.5</v>
      </c>
      <c r="AP23" s="1208">
        <v>39.799999999999997</v>
      </c>
      <c r="AQ23" s="1208">
        <v>38.25</v>
      </c>
      <c r="AR23" s="1208">
        <v>36.799999999999997</v>
      </c>
      <c r="AS23" s="1208">
        <v>35.450000000000003</v>
      </c>
      <c r="AT23" s="1208">
        <v>34.200000000000003</v>
      </c>
      <c r="AU23" s="1208">
        <v>33</v>
      </c>
      <c r="AV23" s="1208">
        <v>31.95</v>
      </c>
      <c r="AW23" s="1208">
        <v>30.9</v>
      </c>
      <c r="AY23" s="827">
        <v>25</v>
      </c>
      <c r="AZ23" s="828">
        <v>1.7</v>
      </c>
      <c r="BA23" s="828">
        <v>1.7</v>
      </c>
      <c r="BB23" s="828">
        <v>1.7</v>
      </c>
      <c r="BC23" s="828">
        <v>1.7</v>
      </c>
      <c r="BD23" s="828">
        <v>1.7</v>
      </c>
      <c r="BE23" s="828">
        <v>1.7</v>
      </c>
      <c r="BF23" s="828">
        <v>1.7</v>
      </c>
      <c r="BG23" s="828">
        <v>1.7</v>
      </c>
      <c r="BH23" s="828">
        <v>1.7</v>
      </c>
      <c r="BI23" s="828">
        <v>1.7</v>
      </c>
      <c r="BJ23" s="828">
        <v>1.7</v>
      </c>
      <c r="BK23" s="828">
        <v>1.72</v>
      </c>
      <c r="BL23" s="828">
        <v>1.74</v>
      </c>
      <c r="BM23" s="828">
        <v>1.77</v>
      </c>
      <c r="BN23" s="828">
        <v>1.81</v>
      </c>
      <c r="BO23" s="828">
        <v>1.85</v>
      </c>
      <c r="BP23" s="828">
        <v>1.89</v>
      </c>
      <c r="BQ23" s="828">
        <v>1.94</v>
      </c>
      <c r="BR23" s="828">
        <v>1.99</v>
      </c>
      <c r="BS23" s="828">
        <v>2.0499999999999998</v>
      </c>
      <c r="BT23" s="828">
        <v>2.11</v>
      </c>
      <c r="BU23" s="828">
        <v>2.1800000000000002</v>
      </c>
      <c r="BV23" s="828">
        <v>2.25</v>
      </c>
      <c r="BW23" s="828">
        <v>2.33</v>
      </c>
      <c r="BX23" s="828">
        <v>2.41</v>
      </c>
      <c r="BY23" s="828">
        <v>2.4900000000000002</v>
      </c>
      <c r="BZ23" s="828">
        <v>2.57</v>
      </c>
      <c r="CA23" s="828">
        <v>2.66</v>
      </c>
      <c r="CB23" s="828">
        <v>2.74</v>
      </c>
      <c r="CC23" s="828">
        <v>2.83</v>
      </c>
      <c r="CD23" s="828">
        <v>2.92</v>
      </c>
      <c r="CQ23" s="1204">
        <v>19</v>
      </c>
      <c r="CR23" s="1235">
        <v>0.55000000000000004</v>
      </c>
      <c r="CS23" s="1204"/>
      <c r="CT23" s="1236">
        <v>19</v>
      </c>
      <c r="CU23" s="1235">
        <v>0.45</v>
      </c>
      <c r="CX23" s="1237">
        <v>21</v>
      </c>
      <c r="CY23" s="1235">
        <v>1.05</v>
      </c>
      <c r="CZ23" s="1235">
        <v>1</v>
      </c>
      <c r="DA23" s="1235">
        <v>1</v>
      </c>
      <c r="DC23" s="1238">
        <v>6</v>
      </c>
      <c r="DD23" s="1239">
        <v>0.2</v>
      </c>
      <c r="DE23" s="1223"/>
      <c r="DF23" s="1238">
        <v>6</v>
      </c>
      <c r="DG23" s="1239">
        <v>0.2</v>
      </c>
      <c r="DI23" s="1240">
        <v>13</v>
      </c>
      <c r="DJ23" s="1243">
        <v>0.2</v>
      </c>
      <c r="DK23" s="1243">
        <v>0.2</v>
      </c>
      <c r="DL23" s="1243">
        <v>0.25</v>
      </c>
      <c r="DM23" s="1223"/>
      <c r="DT23" s="1204">
        <v>24</v>
      </c>
      <c r="DU23" s="1241">
        <v>0.3</v>
      </c>
      <c r="DV23" s="1241">
        <v>0.4</v>
      </c>
      <c r="DW23" s="1241">
        <v>0.55000000000000004</v>
      </c>
      <c r="DX23" s="1222"/>
      <c r="DY23" s="1204">
        <v>24</v>
      </c>
      <c r="DZ23" s="1241">
        <v>0.3</v>
      </c>
      <c r="EA23" s="1241">
        <v>0.4</v>
      </c>
      <c r="EB23" s="1241">
        <v>0.5</v>
      </c>
      <c r="EE23" s="1225">
        <v>7</v>
      </c>
      <c r="EF23" s="1226">
        <v>0</v>
      </c>
      <c r="EG23" s="1226">
        <v>0</v>
      </c>
      <c r="EH23" s="1227">
        <v>39.85</v>
      </c>
      <c r="EI23" s="1227">
        <v>31.15</v>
      </c>
      <c r="EK23" s="1228">
        <v>25</v>
      </c>
      <c r="EL23" s="1229">
        <v>4.51</v>
      </c>
      <c r="EM23" s="1229">
        <v>3.76</v>
      </c>
      <c r="EN23" s="1229">
        <v>3.34</v>
      </c>
      <c r="EO23" s="1229">
        <v>3.09</v>
      </c>
      <c r="EP23" s="1216">
        <v>25</v>
      </c>
      <c r="EQ23" s="1230">
        <v>4.87</v>
      </c>
      <c r="ER23" s="1230">
        <v>4.0599999999999996</v>
      </c>
      <c r="ES23" s="1230">
        <v>3.61</v>
      </c>
      <c r="ET23" s="1214">
        <v>3.34</v>
      </c>
      <c r="EU23" s="1231">
        <v>25</v>
      </c>
      <c r="EV23" s="1232">
        <v>4.6399999999999997</v>
      </c>
      <c r="EW23" s="1232">
        <v>3.87</v>
      </c>
      <c r="EX23" s="1232">
        <v>3.45</v>
      </c>
      <c r="EY23" s="1229">
        <v>3.18</v>
      </c>
      <c r="EZ23" s="1233">
        <v>12</v>
      </c>
      <c r="FA23" s="1234">
        <v>0</v>
      </c>
      <c r="FB23" s="1234">
        <v>0</v>
      </c>
      <c r="FC23" s="1234">
        <v>0</v>
      </c>
      <c r="FD23" s="1234">
        <v>0</v>
      </c>
      <c r="FF23" s="1234">
        <v>0</v>
      </c>
      <c r="FG23" s="1234">
        <v>0</v>
      </c>
      <c r="FH23" s="1234">
        <v>0</v>
      </c>
      <c r="FI23" s="1234">
        <v>0</v>
      </c>
    </row>
    <row r="24" spans="2:165" ht="15" customHeight="1">
      <c r="B24" s="1207">
        <v>16</v>
      </c>
      <c r="C24" s="1220">
        <v>89.75</v>
      </c>
      <c r="D24" s="1220">
        <v>82.15</v>
      </c>
      <c r="E24" s="1220">
        <v>75.650000000000006</v>
      </c>
      <c r="F24" s="1220">
        <v>71.099999999999994</v>
      </c>
      <c r="G24" s="1220">
        <v>66.05</v>
      </c>
      <c r="H24" s="1220">
        <v>61.65</v>
      </c>
      <c r="I24" s="1220">
        <v>57.75</v>
      </c>
      <c r="J24" s="1220">
        <v>54.25</v>
      </c>
      <c r="K24" s="1220">
        <v>51.1</v>
      </c>
      <c r="L24" s="1220">
        <v>48.45</v>
      </c>
      <c r="M24" s="1220">
        <v>46.05</v>
      </c>
      <c r="N24" s="1220">
        <v>43.85</v>
      </c>
      <c r="O24" s="1220">
        <v>41.8</v>
      </c>
      <c r="P24" s="1220">
        <v>39.950000000000003</v>
      </c>
      <c r="Q24" s="1220">
        <v>38.25</v>
      </c>
      <c r="R24" s="1220">
        <v>36.65</v>
      </c>
      <c r="S24" s="1220">
        <v>35.200000000000003</v>
      </c>
      <c r="T24" s="1220">
        <v>33.85</v>
      </c>
      <c r="U24" s="1220">
        <v>32.549999999999997</v>
      </c>
      <c r="V24" s="1220">
        <v>31.5</v>
      </c>
      <c r="W24" s="1220">
        <v>30.5</v>
      </c>
      <c r="X24" s="1220">
        <v>29.55</v>
      </c>
      <c r="Y24" s="1220">
        <v>28.65</v>
      </c>
      <c r="Z24" s="1206">
        <v>27.85</v>
      </c>
      <c r="AB24" s="1207">
        <v>26</v>
      </c>
      <c r="AC24" s="1208">
        <v>80.900000000000006</v>
      </c>
      <c r="AD24" s="1208">
        <v>75.3</v>
      </c>
      <c r="AE24" s="1208">
        <v>70.400000000000006</v>
      </c>
      <c r="AF24" s="1208">
        <v>66.099999999999994</v>
      </c>
      <c r="AG24" s="1208">
        <v>62.2</v>
      </c>
      <c r="AH24" s="1208">
        <v>58.75</v>
      </c>
      <c r="AI24" s="1208">
        <v>55.6</v>
      </c>
      <c r="AJ24" s="1208">
        <v>52.75</v>
      </c>
      <c r="AK24" s="1208">
        <v>50.15</v>
      </c>
      <c r="AL24" s="1208">
        <v>47.8</v>
      </c>
      <c r="AM24" s="1208">
        <v>45.6</v>
      </c>
      <c r="AN24" s="1208">
        <v>43.6</v>
      </c>
      <c r="AO24" s="1208">
        <v>41.75</v>
      </c>
      <c r="AP24" s="1208">
        <v>40.049999999999997</v>
      </c>
      <c r="AQ24" s="1208">
        <v>38.5</v>
      </c>
      <c r="AR24" s="1208">
        <v>37.049999999999997</v>
      </c>
      <c r="AS24" s="1208">
        <v>35.65</v>
      </c>
      <c r="AT24" s="1208">
        <v>33.4</v>
      </c>
      <c r="AU24" s="1208">
        <v>33.25</v>
      </c>
      <c r="AV24" s="1208">
        <v>32.15</v>
      </c>
      <c r="AW24" s="1208">
        <v>31.15</v>
      </c>
      <c r="AY24" s="827">
        <v>26</v>
      </c>
      <c r="AZ24" s="828">
        <v>1.71</v>
      </c>
      <c r="BA24" s="828">
        <v>1.71</v>
      </c>
      <c r="BB24" s="828">
        <v>1.71</v>
      </c>
      <c r="BC24" s="828">
        <v>1.71</v>
      </c>
      <c r="BD24" s="828">
        <v>1.71</v>
      </c>
      <c r="BE24" s="828">
        <v>1.71</v>
      </c>
      <c r="BF24" s="828">
        <v>1.71</v>
      </c>
      <c r="BG24" s="828">
        <v>1.71</v>
      </c>
      <c r="BH24" s="828">
        <v>1.71</v>
      </c>
      <c r="BI24" s="828">
        <v>1.71</v>
      </c>
      <c r="BJ24" s="828">
        <v>1.75</v>
      </c>
      <c r="BK24" s="828">
        <v>1.78</v>
      </c>
      <c r="BL24" s="828">
        <v>1.81</v>
      </c>
      <c r="BM24" s="828">
        <v>1.84</v>
      </c>
      <c r="BN24" s="828">
        <v>1.88</v>
      </c>
      <c r="BO24" s="828">
        <v>1.93</v>
      </c>
      <c r="BP24" s="828">
        <v>1.98</v>
      </c>
      <c r="BQ24" s="828">
        <v>2.04</v>
      </c>
      <c r="BR24" s="828">
        <v>2.1</v>
      </c>
      <c r="BS24" s="828">
        <v>2.17</v>
      </c>
      <c r="BT24" s="828">
        <v>2.2400000000000002</v>
      </c>
      <c r="BU24" s="828">
        <v>2.31</v>
      </c>
      <c r="BV24" s="828">
        <v>2.39</v>
      </c>
      <c r="BW24" s="828">
        <v>2.48</v>
      </c>
      <c r="BX24" s="828">
        <v>2.56</v>
      </c>
      <c r="BY24" s="828">
        <v>2.65</v>
      </c>
      <c r="BZ24" s="828">
        <v>2.74</v>
      </c>
      <c r="CA24" s="828">
        <v>2.84</v>
      </c>
      <c r="CB24" s="828">
        <v>2.93</v>
      </c>
      <c r="CC24" s="828">
        <v>3.02</v>
      </c>
      <c r="CD24" s="828">
        <v>3.12</v>
      </c>
      <c r="CQ24" s="1204">
        <v>20</v>
      </c>
      <c r="CR24" s="1235">
        <v>0.55000000000000004</v>
      </c>
      <c r="CS24" s="1204"/>
      <c r="CT24" s="1236">
        <v>20</v>
      </c>
      <c r="CU24" s="1235">
        <v>0.5</v>
      </c>
      <c r="CX24" s="1242">
        <v>22</v>
      </c>
      <c r="CY24" s="1235">
        <v>1.05</v>
      </c>
      <c r="CZ24" s="1235">
        <v>1</v>
      </c>
      <c r="DA24" s="1235">
        <v>1</v>
      </c>
      <c r="DC24" s="1238">
        <v>7</v>
      </c>
      <c r="DD24" s="1239">
        <v>0.2</v>
      </c>
      <c r="DE24" s="1223"/>
      <c r="DF24" s="1238">
        <v>7</v>
      </c>
      <c r="DG24" s="1239">
        <v>0.2</v>
      </c>
      <c r="DI24" s="1240">
        <v>14</v>
      </c>
      <c r="DJ24" s="1243">
        <v>0.2</v>
      </c>
      <c r="DK24" s="1243">
        <v>0.25</v>
      </c>
      <c r="DL24" s="1243">
        <v>0.25</v>
      </c>
      <c r="DM24" s="1223"/>
      <c r="DT24" s="1204">
        <v>25</v>
      </c>
      <c r="DU24" s="1241">
        <v>0.35</v>
      </c>
      <c r="DV24" s="1241">
        <v>0.4</v>
      </c>
      <c r="DW24" s="1241">
        <v>0.55000000000000004</v>
      </c>
      <c r="DX24" s="1222"/>
      <c r="DY24" s="1204">
        <v>25</v>
      </c>
      <c r="DZ24" s="1241">
        <v>0.3</v>
      </c>
      <c r="EA24" s="1241">
        <v>0.4</v>
      </c>
      <c r="EB24" s="1241">
        <v>0.5</v>
      </c>
      <c r="EE24" s="1225">
        <v>8</v>
      </c>
      <c r="EF24" s="1226">
        <v>0</v>
      </c>
      <c r="EG24" s="1226">
        <v>0</v>
      </c>
      <c r="EH24" s="1227">
        <v>39.9</v>
      </c>
      <c r="EI24" s="1227">
        <v>31.15</v>
      </c>
      <c r="EK24" s="1228">
        <v>26</v>
      </c>
      <c r="EL24" s="1229">
        <v>4.8</v>
      </c>
      <c r="EM24" s="1229">
        <v>4.01</v>
      </c>
      <c r="EN24" s="1229">
        <v>3.56</v>
      </c>
      <c r="EO24" s="1229">
        <v>3.29</v>
      </c>
      <c r="EP24" s="1216">
        <v>26</v>
      </c>
      <c r="EQ24" s="1230">
        <v>5.27</v>
      </c>
      <c r="ER24" s="1230">
        <v>4.4000000000000004</v>
      </c>
      <c r="ES24" s="1230">
        <v>3.91</v>
      </c>
      <c r="ET24" s="1214">
        <v>3.62</v>
      </c>
      <c r="EU24" s="1231">
        <v>26</v>
      </c>
      <c r="EV24" s="1232">
        <v>4.96</v>
      </c>
      <c r="EW24" s="1232">
        <v>4.1399999999999997</v>
      </c>
      <c r="EX24" s="1232">
        <v>3.69</v>
      </c>
      <c r="EY24" s="1229">
        <v>3.41</v>
      </c>
      <c r="EZ24" s="1233">
        <v>13</v>
      </c>
      <c r="FA24" s="1234">
        <v>0</v>
      </c>
      <c r="FB24" s="1234">
        <v>0</v>
      </c>
      <c r="FC24" s="1234">
        <v>0</v>
      </c>
      <c r="FD24" s="1234">
        <v>0</v>
      </c>
      <c r="FF24" s="1234">
        <v>0</v>
      </c>
      <c r="FG24" s="1234">
        <v>0</v>
      </c>
      <c r="FH24" s="1234">
        <v>0</v>
      </c>
      <c r="FI24" s="1234">
        <v>0</v>
      </c>
    </row>
    <row r="25" spans="2:165" ht="15" customHeight="1">
      <c r="B25" s="1207">
        <v>17</v>
      </c>
      <c r="C25" s="1220">
        <v>89.75</v>
      </c>
      <c r="D25" s="1220">
        <v>82.15</v>
      </c>
      <c r="E25" s="1220">
        <v>75.650000000000006</v>
      </c>
      <c r="F25" s="1220">
        <v>71.150000000000006</v>
      </c>
      <c r="G25" s="1220">
        <v>66.099999999999994</v>
      </c>
      <c r="H25" s="1220">
        <v>61.7</v>
      </c>
      <c r="I25" s="1220">
        <v>57.75</v>
      </c>
      <c r="J25" s="1220">
        <v>54.25</v>
      </c>
      <c r="K25" s="1220">
        <v>51.1</v>
      </c>
      <c r="L25" s="1220">
        <v>48.45</v>
      </c>
      <c r="M25" s="1220">
        <v>46.05</v>
      </c>
      <c r="N25" s="1220">
        <v>43.85</v>
      </c>
      <c r="O25" s="1220">
        <v>41.85</v>
      </c>
      <c r="P25" s="1220">
        <v>40</v>
      </c>
      <c r="Q25" s="1220">
        <v>38.299999999999997</v>
      </c>
      <c r="R25" s="1220">
        <v>36.700000000000003</v>
      </c>
      <c r="S25" s="1220">
        <v>35.25</v>
      </c>
      <c r="T25" s="1220">
        <v>33.9</v>
      </c>
      <c r="U25" s="1220">
        <v>32.6</v>
      </c>
      <c r="V25" s="1220">
        <v>31.55</v>
      </c>
      <c r="W25" s="1220">
        <v>30.55</v>
      </c>
      <c r="X25" s="1220">
        <v>29.6</v>
      </c>
      <c r="Y25" s="1220">
        <v>28.7</v>
      </c>
      <c r="Z25" s="1206">
        <v>27.9</v>
      </c>
      <c r="AB25" s="1207">
        <v>27</v>
      </c>
      <c r="AC25" s="1208">
        <v>81.25</v>
      </c>
      <c r="AD25" s="1208">
        <v>75.650000000000006</v>
      </c>
      <c r="AE25" s="1208">
        <v>70.75</v>
      </c>
      <c r="AF25" s="1208">
        <v>66.400000000000006</v>
      </c>
      <c r="AG25" s="1208">
        <v>62.5</v>
      </c>
      <c r="AH25" s="1208">
        <v>59.05</v>
      </c>
      <c r="AI25" s="1208">
        <v>55.9</v>
      </c>
      <c r="AJ25" s="1208">
        <v>53</v>
      </c>
      <c r="AK25" s="1208">
        <v>50.4</v>
      </c>
      <c r="AL25" s="1208">
        <v>48.05</v>
      </c>
      <c r="AM25" s="1208">
        <v>45.85</v>
      </c>
      <c r="AN25" s="1208">
        <v>43.85</v>
      </c>
      <c r="AO25" s="1208">
        <v>42</v>
      </c>
      <c r="AP25" s="1208">
        <v>40.299999999999997</v>
      </c>
      <c r="AQ25" s="1208">
        <v>38.75</v>
      </c>
      <c r="AR25" s="1208">
        <v>37.299999999999997</v>
      </c>
      <c r="AS25" s="1208">
        <v>35.9</v>
      </c>
      <c r="AT25" s="1208">
        <v>34.65</v>
      </c>
      <c r="AU25" s="1208">
        <v>33.5</v>
      </c>
      <c r="AV25" s="1208">
        <v>32.4</v>
      </c>
      <c r="AW25" s="1208">
        <v>31.4</v>
      </c>
      <c r="AY25" s="827">
        <v>27</v>
      </c>
      <c r="AZ25" s="828">
        <v>1.73</v>
      </c>
      <c r="BA25" s="828">
        <v>1.73</v>
      </c>
      <c r="BB25" s="828">
        <v>1.73</v>
      </c>
      <c r="BC25" s="828">
        <v>1.73</v>
      </c>
      <c r="BD25" s="828">
        <v>1.73</v>
      </c>
      <c r="BE25" s="828">
        <v>1.73</v>
      </c>
      <c r="BF25" s="828">
        <v>1.73</v>
      </c>
      <c r="BG25" s="828">
        <v>1.73</v>
      </c>
      <c r="BH25" s="828">
        <v>1.74</v>
      </c>
      <c r="BI25" s="828">
        <v>1.76</v>
      </c>
      <c r="BJ25" s="828">
        <v>1.81</v>
      </c>
      <c r="BK25" s="828">
        <v>1.85</v>
      </c>
      <c r="BL25" s="828">
        <v>1.88</v>
      </c>
      <c r="BM25" s="828">
        <v>1.93</v>
      </c>
      <c r="BN25" s="828">
        <v>1.98</v>
      </c>
      <c r="BO25" s="828">
        <v>2.0299999999999998</v>
      </c>
      <c r="BP25" s="828">
        <v>2.09</v>
      </c>
      <c r="BQ25" s="828">
        <v>2.15</v>
      </c>
      <c r="BR25" s="828">
        <v>2.2200000000000002</v>
      </c>
      <c r="BS25" s="828">
        <v>2.2999999999999998</v>
      </c>
      <c r="BT25" s="828">
        <v>2.38</v>
      </c>
      <c r="BU25" s="828">
        <v>2.4700000000000002</v>
      </c>
      <c r="BV25" s="828">
        <v>2.56</v>
      </c>
      <c r="BW25" s="828">
        <v>2.65</v>
      </c>
      <c r="BX25" s="828">
        <v>2.74</v>
      </c>
      <c r="BY25" s="828">
        <v>2.84</v>
      </c>
      <c r="BZ25" s="828">
        <v>2.93</v>
      </c>
      <c r="CA25" s="828">
        <v>3.03</v>
      </c>
      <c r="CB25" s="828">
        <v>3.13</v>
      </c>
      <c r="CC25" s="828">
        <v>3.23</v>
      </c>
      <c r="CD25" s="828">
        <v>3.33</v>
      </c>
      <c r="CQ25" s="1204">
        <v>21</v>
      </c>
      <c r="CR25" s="1235">
        <v>0.6</v>
      </c>
      <c r="CS25" s="1204"/>
      <c r="CT25" s="1236">
        <v>21</v>
      </c>
      <c r="CU25" s="1235">
        <v>0.5</v>
      </c>
      <c r="CX25" s="1237">
        <v>23</v>
      </c>
      <c r="CY25" s="1235">
        <v>1.1000000000000001</v>
      </c>
      <c r="CZ25" s="1235">
        <v>1.05</v>
      </c>
      <c r="DA25" s="1235">
        <v>1.05</v>
      </c>
      <c r="DC25" s="1238">
        <v>8</v>
      </c>
      <c r="DD25" s="1239">
        <v>0.2</v>
      </c>
      <c r="DE25" s="1223"/>
      <c r="DF25" s="1238">
        <v>8</v>
      </c>
      <c r="DG25" s="1239">
        <v>0.25</v>
      </c>
      <c r="DI25" s="1240">
        <v>15</v>
      </c>
      <c r="DJ25" s="1243">
        <v>0.2</v>
      </c>
      <c r="DK25" s="1243">
        <v>0.25</v>
      </c>
      <c r="DL25" s="1243">
        <v>0.25</v>
      </c>
      <c r="DM25" s="1223"/>
      <c r="DT25" s="1204">
        <v>26</v>
      </c>
      <c r="DU25" s="1241">
        <v>0.35</v>
      </c>
      <c r="DV25" s="1241">
        <v>0.45</v>
      </c>
      <c r="DW25" s="1241">
        <v>0.6</v>
      </c>
      <c r="DX25" s="1222"/>
      <c r="DY25" s="1204">
        <v>26</v>
      </c>
      <c r="DZ25" s="1241">
        <v>0.3</v>
      </c>
      <c r="EA25" s="1241">
        <v>0.4</v>
      </c>
      <c r="EB25" s="1241">
        <v>0.55000000000000004</v>
      </c>
      <c r="EE25" s="1225">
        <v>9</v>
      </c>
      <c r="EF25" s="1226">
        <v>0</v>
      </c>
      <c r="EG25" s="1226">
        <v>0</v>
      </c>
      <c r="EH25" s="1227">
        <v>39.9</v>
      </c>
      <c r="EI25" s="1227">
        <v>31.15</v>
      </c>
      <c r="EK25" s="1228">
        <v>27</v>
      </c>
      <c r="EL25" s="1229">
        <v>5.13</v>
      </c>
      <c r="EM25" s="1229">
        <v>4.28</v>
      </c>
      <c r="EN25" s="1229">
        <v>3.81</v>
      </c>
      <c r="EO25" s="1229">
        <v>3.52</v>
      </c>
      <c r="EP25" s="1216">
        <v>27</v>
      </c>
      <c r="EQ25" s="1230">
        <v>5.7</v>
      </c>
      <c r="ER25" s="1230">
        <v>4.76</v>
      </c>
      <c r="ES25" s="1230">
        <v>4.24</v>
      </c>
      <c r="ET25" s="1214">
        <v>3.92</v>
      </c>
      <c r="EU25" s="1231">
        <v>27</v>
      </c>
      <c r="EV25" s="1232">
        <v>5.29</v>
      </c>
      <c r="EW25" s="1232">
        <v>4.42</v>
      </c>
      <c r="EX25" s="1232">
        <v>3.94</v>
      </c>
      <c r="EY25" s="1229">
        <v>3.64</v>
      </c>
      <c r="EZ25" s="1233">
        <v>14</v>
      </c>
      <c r="FA25" s="1234">
        <v>0</v>
      </c>
      <c r="FB25" s="1234">
        <v>0</v>
      </c>
      <c r="FC25" s="1234">
        <v>0</v>
      </c>
      <c r="FD25" s="1234">
        <v>0</v>
      </c>
      <c r="FF25" s="1234">
        <v>0</v>
      </c>
      <c r="FG25" s="1234">
        <v>0</v>
      </c>
      <c r="FH25" s="1234">
        <v>0</v>
      </c>
      <c r="FI25" s="1234">
        <v>0</v>
      </c>
    </row>
    <row r="26" spans="2:165" ht="15" customHeight="1">
      <c r="B26" s="1207">
        <v>18</v>
      </c>
      <c r="C26" s="1220">
        <v>89.8</v>
      </c>
      <c r="D26" s="1220">
        <v>82.2</v>
      </c>
      <c r="E26" s="1220">
        <v>75.7</v>
      </c>
      <c r="F26" s="1220">
        <v>71.150000000000006</v>
      </c>
      <c r="G26" s="1220">
        <v>66.150000000000006</v>
      </c>
      <c r="H26" s="1220">
        <v>61.7</v>
      </c>
      <c r="I26" s="1220">
        <v>57.8</v>
      </c>
      <c r="J26" s="1220">
        <v>54.3</v>
      </c>
      <c r="K26" s="1220">
        <v>51.15</v>
      </c>
      <c r="L26" s="1220">
        <v>48.5</v>
      </c>
      <c r="M26" s="1220">
        <v>46.1</v>
      </c>
      <c r="N26" s="1220">
        <v>43.9</v>
      </c>
      <c r="O26" s="1220">
        <v>41.9</v>
      </c>
      <c r="P26" s="1220">
        <v>40.049999999999997</v>
      </c>
      <c r="Q26" s="1220">
        <v>38.299999999999997</v>
      </c>
      <c r="R26" s="1220">
        <v>36.75</v>
      </c>
      <c r="S26" s="1220">
        <v>35.299999999999997</v>
      </c>
      <c r="T26" s="1220">
        <v>33.9</v>
      </c>
      <c r="U26" s="1220">
        <v>32.65</v>
      </c>
      <c r="V26" s="1220">
        <v>31.6</v>
      </c>
      <c r="W26" s="1220">
        <v>30.6</v>
      </c>
      <c r="X26" s="1220">
        <v>29.65</v>
      </c>
      <c r="Y26" s="1220">
        <v>28.8</v>
      </c>
      <c r="Z26" s="1206">
        <v>27.95</v>
      </c>
      <c r="AB26" s="1207">
        <v>28</v>
      </c>
      <c r="AC26" s="1208">
        <v>81.650000000000006</v>
      </c>
      <c r="AD26" s="1208">
        <v>76.05</v>
      </c>
      <c r="AE26" s="1208">
        <v>71.099999999999994</v>
      </c>
      <c r="AF26" s="1208">
        <v>66.75</v>
      </c>
      <c r="AG26" s="1208">
        <v>62.85</v>
      </c>
      <c r="AH26" s="1208">
        <v>59.35</v>
      </c>
      <c r="AI26" s="1208">
        <v>56.2</v>
      </c>
      <c r="AJ26" s="1208">
        <v>53.3</v>
      </c>
      <c r="AK26" s="1208">
        <v>50.7</v>
      </c>
      <c r="AL26" s="1208">
        <v>48.3</v>
      </c>
      <c r="AM26" s="1208">
        <v>46.15</v>
      </c>
      <c r="AN26" s="1208">
        <v>44.15</v>
      </c>
      <c r="AO26" s="1208">
        <v>42.3</v>
      </c>
      <c r="AP26" s="1208">
        <v>40.6</v>
      </c>
      <c r="AQ26" s="1208">
        <v>39</v>
      </c>
      <c r="AR26" s="1208">
        <v>37.549999999999997</v>
      </c>
      <c r="AS26" s="1208">
        <v>36.200000000000003</v>
      </c>
      <c r="AT26" s="1208">
        <v>34.950000000000003</v>
      </c>
      <c r="AU26" s="1208">
        <v>33.799999999999997</v>
      </c>
      <c r="AV26" s="1208">
        <v>32.700000000000003</v>
      </c>
      <c r="AW26" s="1208">
        <v>31.7</v>
      </c>
      <c r="AY26" s="827">
        <v>28</v>
      </c>
      <c r="AZ26" s="828">
        <v>1.76</v>
      </c>
      <c r="BA26" s="828">
        <v>1.76</v>
      </c>
      <c r="BB26" s="828">
        <v>1.76</v>
      </c>
      <c r="BC26" s="828">
        <v>1.76</v>
      </c>
      <c r="BD26" s="828">
        <v>1.76</v>
      </c>
      <c r="BE26" s="828">
        <v>1.76</v>
      </c>
      <c r="BF26" s="828">
        <v>1.76</v>
      </c>
      <c r="BG26" s="828">
        <v>1.78</v>
      </c>
      <c r="BH26" s="828">
        <v>1.8</v>
      </c>
      <c r="BI26" s="828">
        <v>1.83</v>
      </c>
      <c r="BJ26" s="828">
        <v>1.89</v>
      </c>
      <c r="BK26" s="828">
        <v>1.93</v>
      </c>
      <c r="BL26" s="828">
        <v>1.98</v>
      </c>
      <c r="BM26" s="828">
        <v>2.0299999999999998</v>
      </c>
      <c r="BN26" s="828">
        <v>2.08</v>
      </c>
      <c r="BO26" s="828">
        <v>2.15</v>
      </c>
      <c r="BP26" s="828">
        <v>2.21</v>
      </c>
      <c r="BQ26" s="828">
        <v>2.29</v>
      </c>
      <c r="BR26" s="828">
        <v>2.37</v>
      </c>
      <c r="BS26" s="828">
        <v>2.46</v>
      </c>
      <c r="BT26" s="828">
        <v>2.5499999999999998</v>
      </c>
      <c r="BU26" s="828">
        <v>2.64</v>
      </c>
      <c r="BV26" s="828">
        <v>2.74</v>
      </c>
      <c r="BW26" s="828">
        <v>2.84</v>
      </c>
      <c r="BX26" s="828">
        <v>2.94</v>
      </c>
      <c r="BY26" s="828">
        <v>3.04</v>
      </c>
      <c r="BZ26" s="828">
        <v>3.14</v>
      </c>
      <c r="CA26" s="828">
        <v>3.25</v>
      </c>
      <c r="CB26" s="828">
        <v>3.35</v>
      </c>
      <c r="CC26" s="828">
        <v>3.46</v>
      </c>
      <c r="CD26" s="828">
        <v>3.57</v>
      </c>
      <c r="CQ26" s="1204">
        <v>22</v>
      </c>
      <c r="CR26" s="1235">
        <v>0.6</v>
      </c>
      <c r="CS26" s="1204"/>
      <c r="CT26" s="1236">
        <v>22</v>
      </c>
      <c r="CU26" s="1235">
        <v>0.5</v>
      </c>
      <c r="CX26" s="1242">
        <v>24</v>
      </c>
      <c r="CY26" s="1235">
        <v>1.1000000000000001</v>
      </c>
      <c r="CZ26" s="1235">
        <v>1.05</v>
      </c>
      <c r="DA26" s="1235">
        <v>1.1000000000000001</v>
      </c>
      <c r="DC26" s="1238">
        <v>9</v>
      </c>
      <c r="DD26" s="1239">
        <v>0.2</v>
      </c>
      <c r="DE26" s="1223"/>
      <c r="DF26" s="1238">
        <v>9</v>
      </c>
      <c r="DG26" s="1239">
        <v>0.25</v>
      </c>
      <c r="DI26" s="1240">
        <v>16</v>
      </c>
      <c r="DJ26" s="1243">
        <v>0.2</v>
      </c>
      <c r="DK26" s="1243">
        <v>0.25</v>
      </c>
      <c r="DL26" s="1243">
        <v>0.25</v>
      </c>
      <c r="DM26" s="1223"/>
      <c r="DT26" s="1204">
        <v>27</v>
      </c>
      <c r="DU26" s="1241">
        <v>0.35</v>
      </c>
      <c r="DV26" s="1241">
        <v>0.45</v>
      </c>
      <c r="DW26" s="1241">
        <v>0.6</v>
      </c>
      <c r="DX26" s="1222"/>
      <c r="DY26" s="1204">
        <v>27</v>
      </c>
      <c r="DZ26" s="1241">
        <v>0.35</v>
      </c>
      <c r="EA26" s="1241">
        <v>0.4</v>
      </c>
      <c r="EB26" s="1241">
        <v>0.55000000000000004</v>
      </c>
      <c r="EE26" s="1225">
        <v>10</v>
      </c>
      <c r="EF26" s="1226">
        <v>0</v>
      </c>
      <c r="EG26" s="1227">
        <v>54.55</v>
      </c>
      <c r="EH26" s="1227">
        <v>39.9</v>
      </c>
      <c r="EI26" s="1227">
        <v>31.15</v>
      </c>
      <c r="EK26" s="1228">
        <v>28</v>
      </c>
      <c r="EL26" s="1229">
        <v>5.48</v>
      </c>
      <c r="EM26" s="1229" t="s">
        <v>889</v>
      </c>
      <c r="EN26" s="1229">
        <v>4.07</v>
      </c>
      <c r="EO26" s="1229">
        <v>3.77</v>
      </c>
      <c r="EP26" s="1216">
        <v>28</v>
      </c>
      <c r="EQ26" s="1230">
        <v>6.16</v>
      </c>
      <c r="ER26" s="1230">
        <v>5.15</v>
      </c>
      <c r="ES26" s="1230">
        <v>4.58</v>
      </c>
      <c r="ET26" s="1214">
        <v>4.24</v>
      </c>
      <c r="EU26" s="1231">
        <v>28</v>
      </c>
      <c r="EV26" s="1232">
        <v>5.65</v>
      </c>
      <c r="EW26" s="1232">
        <v>4.72</v>
      </c>
      <c r="EX26" s="1232">
        <v>4.21</v>
      </c>
      <c r="EY26" s="1229">
        <v>3.89</v>
      </c>
      <c r="EZ26" s="1233">
        <v>15</v>
      </c>
      <c r="FA26" s="1245">
        <v>1</v>
      </c>
      <c r="FB26" s="1234">
        <v>0</v>
      </c>
      <c r="FC26" s="1234">
        <v>0</v>
      </c>
      <c r="FD26" s="1234">
        <v>0</v>
      </c>
      <c r="FF26" s="1229">
        <v>1.5</v>
      </c>
      <c r="FG26" s="1234">
        <v>0</v>
      </c>
      <c r="FH26" s="1234">
        <v>0</v>
      </c>
      <c r="FI26" s="1234">
        <v>0</v>
      </c>
    </row>
    <row r="27" spans="2:165" ht="15" customHeight="1">
      <c r="B27" s="1207">
        <v>19</v>
      </c>
      <c r="C27" s="1220">
        <v>89.8</v>
      </c>
      <c r="D27" s="1220">
        <v>82.2</v>
      </c>
      <c r="E27" s="1220">
        <v>75.7</v>
      </c>
      <c r="F27" s="1220">
        <v>71.2</v>
      </c>
      <c r="G27" s="1220">
        <v>66.150000000000006</v>
      </c>
      <c r="H27" s="1220">
        <v>61.75</v>
      </c>
      <c r="I27" s="1220">
        <v>57.8</v>
      </c>
      <c r="J27" s="1220">
        <v>54.3</v>
      </c>
      <c r="K27" s="1220">
        <v>51.15</v>
      </c>
      <c r="L27" s="1220">
        <v>48.55</v>
      </c>
      <c r="M27" s="1220">
        <v>46.1</v>
      </c>
      <c r="N27" s="1220">
        <v>43.95</v>
      </c>
      <c r="O27" s="1220">
        <v>41.9</v>
      </c>
      <c r="P27" s="1220">
        <v>40.049999999999997</v>
      </c>
      <c r="Q27" s="1220">
        <v>38.35</v>
      </c>
      <c r="R27" s="1220">
        <v>36.799999999999997</v>
      </c>
      <c r="S27" s="1220">
        <v>35.299999999999997</v>
      </c>
      <c r="T27" s="1220">
        <v>33.950000000000003</v>
      </c>
      <c r="U27" s="1220">
        <v>32.700000000000003</v>
      </c>
      <c r="V27" s="1220">
        <v>31.65</v>
      </c>
      <c r="W27" s="1220">
        <v>30.65</v>
      </c>
      <c r="X27" s="1220">
        <v>29.7</v>
      </c>
      <c r="Y27" s="1220">
        <v>28.85</v>
      </c>
      <c r="Z27" s="1206">
        <v>28.05</v>
      </c>
      <c r="AB27" s="1207">
        <v>29</v>
      </c>
      <c r="AC27" s="1208">
        <v>82.05</v>
      </c>
      <c r="AD27" s="1208">
        <v>76.400000000000006</v>
      </c>
      <c r="AE27" s="1208">
        <v>71.5</v>
      </c>
      <c r="AF27" s="1208">
        <v>67.099999999999994</v>
      </c>
      <c r="AG27" s="1208">
        <v>63.2</v>
      </c>
      <c r="AH27" s="1208">
        <v>59.7</v>
      </c>
      <c r="AI27" s="1208">
        <v>56.5</v>
      </c>
      <c r="AJ27" s="1208">
        <v>53.65</v>
      </c>
      <c r="AK27" s="1208">
        <v>51</v>
      </c>
      <c r="AL27" s="1208">
        <v>48.6</v>
      </c>
      <c r="AM27" s="1208">
        <v>46.45</v>
      </c>
      <c r="AN27" s="1208">
        <v>44.4</v>
      </c>
      <c r="AO27" s="1208">
        <v>42.55</v>
      </c>
      <c r="AP27" s="1208">
        <v>40.85</v>
      </c>
      <c r="AQ27" s="1208">
        <v>39.299999999999997</v>
      </c>
      <c r="AR27" s="1208">
        <v>37.85</v>
      </c>
      <c r="AS27" s="1208">
        <v>36.5</v>
      </c>
      <c r="AT27" s="1208">
        <v>35.25</v>
      </c>
      <c r="AU27" s="1208">
        <v>34.049999999999997</v>
      </c>
      <c r="AV27" s="1208">
        <v>33</v>
      </c>
      <c r="AW27" s="1208">
        <v>32</v>
      </c>
      <c r="AY27" s="827">
        <v>29</v>
      </c>
      <c r="AZ27" s="828">
        <v>1.79</v>
      </c>
      <c r="BA27" s="828">
        <v>1.79</v>
      </c>
      <c r="BB27" s="828">
        <v>1.79</v>
      </c>
      <c r="BC27" s="828">
        <v>1.79</v>
      </c>
      <c r="BD27" s="828">
        <v>1.79</v>
      </c>
      <c r="BE27" s="828">
        <v>1.81</v>
      </c>
      <c r="BF27" s="828">
        <v>1.82</v>
      </c>
      <c r="BG27" s="828">
        <v>1.85</v>
      </c>
      <c r="BH27" s="828">
        <v>1.87</v>
      </c>
      <c r="BI27" s="828">
        <v>1.91</v>
      </c>
      <c r="BJ27" s="828">
        <v>1.98</v>
      </c>
      <c r="BK27" s="828">
        <v>2.0299999999999998</v>
      </c>
      <c r="BL27" s="828">
        <v>2.08</v>
      </c>
      <c r="BM27" s="828">
        <v>2.14</v>
      </c>
      <c r="BN27" s="828">
        <v>2.21</v>
      </c>
      <c r="BO27" s="828">
        <v>2.2799999999999998</v>
      </c>
      <c r="BP27" s="828">
        <v>2.36</v>
      </c>
      <c r="BQ27" s="828">
        <v>2.4500000000000002</v>
      </c>
      <c r="BR27" s="828">
        <v>2.54</v>
      </c>
      <c r="BS27" s="828">
        <v>2.63</v>
      </c>
      <c r="BT27" s="828">
        <v>2.73</v>
      </c>
      <c r="BU27" s="828">
        <v>2.83</v>
      </c>
      <c r="BV27" s="828">
        <v>2.94</v>
      </c>
      <c r="BW27" s="828">
        <v>3.04</v>
      </c>
      <c r="BX27" s="828">
        <v>3.15</v>
      </c>
      <c r="BY27" s="828">
        <v>3.26</v>
      </c>
      <c r="BZ27" s="828">
        <v>3.37</v>
      </c>
      <c r="CA27" s="828">
        <v>3.49</v>
      </c>
      <c r="CB27" s="828">
        <v>3.6</v>
      </c>
      <c r="CC27" s="828">
        <v>3.71</v>
      </c>
      <c r="CD27" s="828">
        <v>3.83</v>
      </c>
      <c r="CQ27" s="1204">
        <v>23</v>
      </c>
      <c r="CR27" s="1235">
        <v>0.6</v>
      </c>
      <c r="CS27" s="1204"/>
      <c r="CT27" s="1236">
        <v>23</v>
      </c>
      <c r="CU27" s="1235">
        <v>0.55000000000000004</v>
      </c>
      <c r="CX27" s="1237">
        <v>25</v>
      </c>
      <c r="CY27" s="1235">
        <v>1.1000000000000001</v>
      </c>
      <c r="CZ27" s="1235">
        <v>1.1000000000000001</v>
      </c>
      <c r="DA27" s="1235">
        <v>1.1000000000000001</v>
      </c>
      <c r="DC27" s="1238">
        <v>10</v>
      </c>
      <c r="DD27" s="1239">
        <v>0.2</v>
      </c>
      <c r="DE27" s="1223"/>
      <c r="DF27" s="1238">
        <v>10</v>
      </c>
      <c r="DG27" s="1239">
        <v>0.25</v>
      </c>
      <c r="DI27" s="1240">
        <v>17</v>
      </c>
      <c r="DJ27" s="1243">
        <v>0.25</v>
      </c>
      <c r="DK27" s="1243">
        <v>0.25</v>
      </c>
      <c r="DL27" s="1243">
        <v>0.3</v>
      </c>
      <c r="DM27" s="1223"/>
      <c r="DT27" s="1204">
        <v>28</v>
      </c>
      <c r="DU27" s="1241">
        <v>0.35</v>
      </c>
      <c r="DV27" s="1241">
        <v>0.45</v>
      </c>
      <c r="DW27" s="1241">
        <v>0.65</v>
      </c>
      <c r="DX27" s="1222"/>
      <c r="DY27" s="1204">
        <v>28</v>
      </c>
      <c r="DZ27" s="1241">
        <v>0.35</v>
      </c>
      <c r="EA27" s="1241">
        <v>0.45</v>
      </c>
      <c r="EB27" s="1241">
        <v>0.6</v>
      </c>
      <c r="EE27" s="1225">
        <v>11</v>
      </c>
      <c r="EF27" s="1226">
        <v>0</v>
      </c>
      <c r="EG27" s="1227">
        <v>54.55</v>
      </c>
      <c r="EH27" s="1227">
        <v>39.9</v>
      </c>
      <c r="EI27" s="1227">
        <v>31.15</v>
      </c>
      <c r="EK27" s="1228">
        <v>29</v>
      </c>
      <c r="EL27" s="1229">
        <v>5.87</v>
      </c>
      <c r="EM27" s="1229">
        <v>4.9000000000000004</v>
      </c>
      <c r="EN27" s="1229">
        <v>4.37</v>
      </c>
      <c r="EO27" s="1229">
        <v>4.04</v>
      </c>
      <c r="EP27" s="1216">
        <v>29</v>
      </c>
      <c r="EQ27" s="1230">
        <v>6.65</v>
      </c>
      <c r="ER27" s="1230">
        <v>5.56</v>
      </c>
      <c r="ES27" s="1230">
        <v>4.95</v>
      </c>
      <c r="ET27" s="1214">
        <v>4.59</v>
      </c>
      <c r="EU27" s="1231">
        <v>29</v>
      </c>
      <c r="EV27" s="1232">
        <v>6.02</v>
      </c>
      <c r="EW27" s="1232">
        <v>5.03</v>
      </c>
      <c r="EX27" s="1232">
        <v>4.4800000000000004</v>
      </c>
      <c r="EY27" s="1229">
        <v>4.1500000000000004</v>
      </c>
      <c r="EZ27" s="1233">
        <v>16</v>
      </c>
      <c r="FA27" s="1245">
        <v>1.05</v>
      </c>
      <c r="FB27" s="1234">
        <v>0</v>
      </c>
      <c r="FC27" s="1234">
        <v>0</v>
      </c>
      <c r="FD27" s="1234">
        <v>0</v>
      </c>
      <c r="FF27" s="1229">
        <v>1.6</v>
      </c>
      <c r="FG27" s="1234">
        <v>0</v>
      </c>
      <c r="FH27" s="1234">
        <v>0</v>
      </c>
      <c r="FI27" s="1234">
        <v>0</v>
      </c>
    </row>
    <row r="28" spans="2:165" ht="15" customHeight="1">
      <c r="B28" s="1207">
        <v>20</v>
      </c>
      <c r="C28" s="1220">
        <v>89.85</v>
      </c>
      <c r="D28" s="1220">
        <v>82.25</v>
      </c>
      <c r="E28" s="1220">
        <v>75.75</v>
      </c>
      <c r="F28" s="1220">
        <v>71.2</v>
      </c>
      <c r="G28" s="1220">
        <v>66.150000000000006</v>
      </c>
      <c r="H28" s="1220">
        <v>61.75</v>
      </c>
      <c r="I28" s="1220">
        <v>57.85</v>
      </c>
      <c r="J28" s="1220">
        <v>54.35</v>
      </c>
      <c r="K28" s="1220">
        <v>51.2</v>
      </c>
      <c r="L28" s="1220">
        <v>48.55</v>
      </c>
      <c r="M28" s="1220">
        <v>46.15</v>
      </c>
      <c r="N28" s="1220">
        <v>43.95</v>
      </c>
      <c r="O28" s="1220">
        <v>41.95</v>
      </c>
      <c r="P28" s="1220">
        <v>40.1</v>
      </c>
      <c r="Q28" s="1220">
        <v>38.4</v>
      </c>
      <c r="R28" s="1220">
        <v>36.799999999999997</v>
      </c>
      <c r="S28" s="1220">
        <v>35.35</v>
      </c>
      <c r="T28" s="1220">
        <v>34</v>
      </c>
      <c r="U28" s="1220">
        <v>32.75</v>
      </c>
      <c r="V28" s="1220">
        <v>31.7</v>
      </c>
      <c r="W28" s="1220">
        <v>30.7</v>
      </c>
      <c r="X28" s="1220">
        <v>29.75</v>
      </c>
      <c r="Y28" s="1220">
        <v>28.9</v>
      </c>
      <c r="Z28" s="1206">
        <v>28.1</v>
      </c>
      <c r="AB28" s="1207">
        <v>30</v>
      </c>
      <c r="AC28" s="1208">
        <v>82.45</v>
      </c>
      <c r="AD28" s="1208">
        <v>76.849999999999994</v>
      </c>
      <c r="AE28" s="1208">
        <v>71.849999999999994</v>
      </c>
      <c r="AF28" s="1208">
        <v>67.5</v>
      </c>
      <c r="AG28" s="1208">
        <v>63.55</v>
      </c>
      <c r="AH28" s="1208">
        <v>60.05</v>
      </c>
      <c r="AI28" s="1208">
        <v>56.85</v>
      </c>
      <c r="AJ28" s="1208">
        <v>53.95</v>
      </c>
      <c r="AK28" s="1208">
        <v>51.35</v>
      </c>
      <c r="AL28" s="1208">
        <v>48.95</v>
      </c>
      <c r="AM28" s="1208">
        <v>46.75</v>
      </c>
      <c r="AN28" s="1208">
        <v>44.75</v>
      </c>
      <c r="AO28" s="1208">
        <v>42.9</v>
      </c>
      <c r="AP28" s="1208">
        <v>41.2</v>
      </c>
      <c r="AQ28" s="1208">
        <v>39.6</v>
      </c>
      <c r="AR28" s="1208">
        <v>38.15</v>
      </c>
      <c r="AS28" s="1208">
        <v>36.799999999999997</v>
      </c>
      <c r="AT28" s="1208">
        <v>35.549999999999997</v>
      </c>
      <c r="AU28" s="1208">
        <v>34.4</v>
      </c>
      <c r="AV28" s="1208">
        <v>33.299999999999997</v>
      </c>
      <c r="AW28" s="1208">
        <v>32.299999999999997</v>
      </c>
      <c r="AY28" s="827">
        <v>30</v>
      </c>
      <c r="AZ28" s="828">
        <v>1.84</v>
      </c>
      <c r="BA28" s="828">
        <v>1.84</v>
      </c>
      <c r="BB28" s="828">
        <v>1.84</v>
      </c>
      <c r="BC28" s="828">
        <v>1.84</v>
      </c>
      <c r="BD28" s="828">
        <v>1.84</v>
      </c>
      <c r="BE28" s="828">
        <v>1.88</v>
      </c>
      <c r="BF28" s="828">
        <v>1.9</v>
      </c>
      <c r="BG28" s="828">
        <v>1.93</v>
      </c>
      <c r="BH28" s="828">
        <v>1.96</v>
      </c>
      <c r="BI28" s="828">
        <v>2.0099999999999998</v>
      </c>
      <c r="BJ28" s="828">
        <v>2.09</v>
      </c>
      <c r="BK28" s="828">
        <v>2.14</v>
      </c>
      <c r="BL28" s="828">
        <v>2.21</v>
      </c>
      <c r="BM28" s="828">
        <v>2.2799999999999998</v>
      </c>
      <c r="BN28" s="828">
        <v>2.35</v>
      </c>
      <c r="BO28" s="828">
        <v>2.44</v>
      </c>
      <c r="BP28" s="828">
        <v>2.5299999999999998</v>
      </c>
      <c r="BQ28" s="828">
        <v>2.62</v>
      </c>
      <c r="BR28" s="828">
        <v>2.72</v>
      </c>
      <c r="BS28" s="828">
        <v>2.83</v>
      </c>
      <c r="BT28" s="828">
        <v>2.94</v>
      </c>
      <c r="BU28" s="828">
        <v>3.05</v>
      </c>
      <c r="BV28" s="828">
        <v>3.16</v>
      </c>
      <c r="BW28" s="828">
        <v>3.28</v>
      </c>
      <c r="BX28" s="828">
        <v>3.39</v>
      </c>
      <c r="BY28" s="828">
        <v>3.51</v>
      </c>
      <c r="BZ28" s="828">
        <v>3.63</v>
      </c>
      <c r="CA28" s="828">
        <v>3.75</v>
      </c>
      <c r="CB28" s="828">
        <v>3.87</v>
      </c>
      <c r="CC28" s="828">
        <v>3.99</v>
      </c>
      <c r="CD28" s="828">
        <v>4.1100000000000003</v>
      </c>
      <c r="CQ28" s="1204">
        <v>24</v>
      </c>
      <c r="CR28" s="1235">
        <v>0.65</v>
      </c>
      <c r="CS28" s="1204"/>
      <c r="CT28" s="1236">
        <v>24</v>
      </c>
      <c r="CU28" s="1235">
        <v>0.55000000000000004</v>
      </c>
      <c r="CX28" s="1242">
        <v>26</v>
      </c>
      <c r="CY28" s="1235">
        <v>1.2</v>
      </c>
      <c r="CZ28" s="1235">
        <v>1.1499999999999999</v>
      </c>
      <c r="DA28" s="1235">
        <v>1.2</v>
      </c>
      <c r="DC28" s="1238">
        <v>11</v>
      </c>
      <c r="DD28" s="1239">
        <v>0.2</v>
      </c>
      <c r="DE28" s="1223"/>
      <c r="DF28" s="1238">
        <v>11</v>
      </c>
      <c r="DG28" s="1239">
        <v>0.25</v>
      </c>
      <c r="DI28" s="1240">
        <v>18</v>
      </c>
      <c r="DJ28" s="1243">
        <v>0.25</v>
      </c>
      <c r="DK28" s="1243">
        <v>0.25</v>
      </c>
      <c r="DL28" s="1243">
        <v>0.3</v>
      </c>
      <c r="DM28" s="1223"/>
      <c r="DT28" s="1204">
        <v>29</v>
      </c>
      <c r="DU28" s="1241">
        <v>0.35</v>
      </c>
      <c r="DV28" s="1241">
        <v>0.5</v>
      </c>
      <c r="DW28" s="1241">
        <v>0.65</v>
      </c>
      <c r="DX28" s="1222"/>
      <c r="DY28" s="1204">
        <v>29</v>
      </c>
      <c r="DZ28" s="1241">
        <v>0.35</v>
      </c>
      <c r="EA28" s="1241">
        <v>0.45</v>
      </c>
      <c r="EB28" s="1241">
        <v>0.65</v>
      </c>
      <c r="EE28" s="1225">
        <v>12</v>
      </c>
      <c r="EF28" s="1226">
        <v>0</v>
      </c>
      <c r="EG28" s="1227">
        <v>54.55</v>
      </c>
      <c r="EH28" s="1227">
        <v>39.9</v>
      </c>
      <c r="EI28" s="1227">
        <v>31.15</v>
      </c>
      <c r="EK28" s="1228">
        <v>30</v>
      </c>
      <c r="EL28" s="1229">
        <v>6.3</v>
      </c>
      <c r="EM28" s="1229">
        <v>5.26</v>
      </c>
      <c r="EN28" s="1229">
        <v>4.68</v>
      </c>
      <c r="EO28" s="1229">
        <v>4.33</v>
      </c>
      <c r="EP28" s="1216">
        <v>30</v>
      </c>
      <c r="EQ28" s="1230">
        <v>7.18</v>
      </c>
      <c r="ER28" s="1230">
        <v>6</v>
      </c>
      <c r="ES28" s="1230">
        <v>5.35</v>
      </c>
      <c r="ET28" s="1214">
        <v>4.96</v>
      </c>
      <c r="EU28" s="1231">
        <v>30</v>
      </c>
      <c r="EV28" s="1232">
        <v>6.4</v>
      </c>
      <c r="EW28" s="1232">
        <v>5.36</v>
      </c>
      <c r="EX28" s="1232">
        <v>4.7699999999999996</v>
      </c>
      <c r="EY28" s="1229">
        <v>4.42</v>
      </c>
      <c r="EZ28" s="1233">
        <v>17</v>
      </c>
      <c r="FA28" s="1245">
        <v>1.1000000000000001</v>
      </c>
      <c r="FB28" s="1234">
        <v>0</v>
      </c>
      <c r="FC28" s="1234">
        <v>0</v>
      </c>
      <c r="FD28" s="1234">
        <v>0</v>
      </c>
      <c r="FF28" s="1229">
        <v>1.65</v>
      </c>
      <c r="FG28" s="1234">
        <v>0</v>
      </c>
      <c r="FH28" s="1234">
        <v>0</v>
      </c>
      <c r="FI28" s="1234">
        <v>0</v>
      </c>
    </row>
    <row r="29" spans="2:165" ht="15" customHeight="1">
      <c r="B29" s="1207">
        <v>21</v>
      </c>
      <c r="C29" s="1220">
        <v>89.85</v>
      </c>
      <c r="D29" s="1220">
        <v>82.25</v>
      </c>
      <c r="E29" s="1220">
        <v>75.75</v>
      </c>
      <c r="F29" s="1220">
        <v>71.2</v>
      </c>
      <c r="G29" s="1220">
        <v>66.2</v>
      </c>
      <c r="H29" s="1220">
        <v>61.75</v>
      </c>
      <c r="I29" s="1220">
        <v>57.85</v>
      </c>
      <c r="J29" s="1220">
        <v>54.35</v>
      </c>
      <c r="K29" s="1220">
        <v>51.2</v>
      </c>
      <c r="L29" s="1220">
        <v>48.6</v>
      </c>
      <c r="M29" s="1220">
        <v>46.2</v>
      </c>
      <c r="N29" s="1220">
        <v>44</v>
      </c>
      <c r="O29" s="1220">
        <v>42</v>
      </c>
      <c r="P29" s="1220">
        <v>40.15</v>
      </c>
      <c r="Q29" s="1220">
        <v>38.450000000000003</v>
      </c>
      <c r="R29" s="1220">
        <v>36.85</v>
      </c>
      <c r="S29" s="1220">
        <v>35.4</v>
      </c>
      <c r="T29" s="1220">
        <v>34.049999999999997</v>
      </c>
      <c r="U29" s="1220">
        <v>32.799999999999997</v>
      </c>
      <c r="V29" s="1220">
        <v>31.75</v>
      </c>
      <c r="W29" s="1220">
        <v>30.75</v>
      </c>
      <c r="X29" s="1220">
        <v>29.85</v>
      </c>
      <c r="Y29" s="1220">
        <v>29</v>
      </c>
      <c r="Z29" s="1206">
        <v>28.15</v>
      </c>
      <c r="AB29" s="1207">
        <v>31</v>
      </c>
      <c r="AC29" s="1208">
        <v>82.9</v>
      </c>
      <c r="AD29" s="1208">
        <v>77.25</v>
      </c>
      <c r="AE29" s="1208">
        <v>72.3</v>
      </c>
      <c r="AF29" s="1208">
        <v>67.849999999999994</v>
      </c>
      <c r="AG29" s="1208">
        <v>63.95</v>
      </c>
      <c r="AH29" s="1208">
        <v>60.4</v>
      </c>
      <c r="AI29" s="1208">
        <v>57.2</v>
      </c>
      <c r="AJ29" s="1208">
        <v>54.3</v>
      </c>
      <c r="AK29" s="1208">
        <v>51.7</v>
      </c>
      <c r="AL29" s="1208">
        <v>49.3</v>
      </c>
      <c r="AM29" s="1208">
        <v>47.1</v>
      </c>
      <c r="AN29" s="1208">
        <v>45.05</v>
      </c>
      <c r="AO29" s="1208">
        <v>43.2</v>
      </c>
      <c r="AP29" s="1208">
        <v>41.5</v>
      </c>
      <c r="AQ29" s="1208">
        <v>39.950000000000003</v>
      </c>
      <c r="AR29" s="1208">
        <v>38.5</v>
      </c>
      <c r="AS29" s="1208">
        <v>37.15</v>
      </c>
      <c r="AT29" s="1208">
        <v>35.9</v>
      </c>
      <c r="AU29" s="1208">
        <v>34.700000000000003</v>
      </c>
      <c r="AV29" s="1208">
        <v>33.65</v>
      </c>
      <c r="AW29" s="1208">
        <v>32.65</v>
      </c>
      <c r="AY29" s="827">
        <v>31</v>
      </c>
      <c r="AZ29" s="828">
        <v>1.89</v>
      </c>
      <c r="BA29" s="828">
        <v>1.89</v>
      </c>
      <c r="BB29" s="828">
        <v>1.89</v>
      </c>
      <c r="BC29" s="828">
        <v>1.89</v>
      </c>
      <c r="BD29" s="828">
        <v>1.89</v>
      </c>
      <c r="BE29" s="828">
        <v>1.96</v>
      </c>
      <c r="BF29" s="828">
        <v>1.99</v>
      </c>
      <c r="BG29" s="828">
        <v>2.02</v>
      </c>
      <c r="BH29" s="828">
        <v>2.0699999999999998</v>
      </c>
      <c r="BI29" s="828">
        <v>2.12</v>
      </c>
      <c r="BJ29" s="828">
        <v>2.21</v>
      </c>
      <c r="BK29" s="828">
        <v>2.2799999999999998</v>
      </c>
      <c r="BL29" s="828">
        <v>2.35</v>
      </c>
      <c r="BM29" s="828">
        <v>2.4300000000000002</v>
      </c>
      <c r="BN29" s="828">
        <v>2.52</v>
      </c>
      <c r="BO29" s="828">
        <v>2.62</v>
      </c>
      <c r="BP29" s="828">
        <v>2.72</v>
      </c>
      <c r="BQ29" s="828">
        <v>2.82</v>
      </c>
      <c r="BR29" s="828">
        <v>2.94</v>
      </c>
      <c r="BS29" s="828">
        <v>3.05</v>
      </c>
      <c r="BT29" s="828">
        <v>3.17</v>
      </c>
      <c r="BU29" s="828">
        <v>3.29</v>
      </c>
      <c r="BV29" s="828">
        <v>3.41</v>
      </c>
      <c r="BW29" s="828">
        <v>3.53</v>
      </c>
      <c r="BX29" s="828">
        <v>3.65</v>
      </c>
      <c r="BY29" s="828">
        <v>3.78</v>
      </c>
      <c r="BZ29" s="828">
        <v>3.9</v>
      </c>
      <c r="CA29" s="828">
        <v>4.03</v>
      </c>
      <c r="CB29" s="828">
        <v>4.16</v>
      </c>
      <c r="CC29" s="828">
        <v>4.29</v>
      </c>
      <c r="CD29" s="828">
        <v>4.42</v>
      </c>
      <c r="CQ29" s="1204">
        <v>25</v>
      </c>
      <c r="CR29" s="1235">
        <v>0.65</v>
      </c>
      <c r="CS29" s="1204"/>
      <c r="CT29" s="1236">
        <v>25</v>
      </c>
      <c r="CU29" s="1235">
        <v>0.6</v>
      </c>
      <c r="CX29" s="1237">
        <v>27</v>
      </c>
      <c r="CY29" s="1235">
        <v>1.25</v>
      </c>
      <c r="CZ29" s="1235">
        <v>1.2</v>
      </c>
      <c r="DA29" s="1235">
        <v>1.25</v>
      </c>
      <c r="DC29" s="1238">
        <v>12</v>
      </c>
      <c r="DD29" s="1239">
        <v>0.2</v>
      </c>
      <c r="DE29" s="1223"/>
      <c r="DF29" s="1238">
        <v>12</v>
      </c>
      <c r="DG29" s="1239">
        <v>0.25</v>
      </c>
      <c r="DI29" s="1240">
        <v>19</v>
      </c>
      <c r="DJ29" s="1243">
        <v>0.25</v>
      </c>
      <c r="DK29" s="1243">
        <v>0.25</v>
      </c>
      <c r="DL29" s="1243">
        <v>0.3</v>
      </c>
      <c r="DM29" s="1223"/>
      <c r="DT29" s="1204">
        <v>30</v>
      </c>
      <c r="DU29" s="1241">
        <v>0.4</v>
      </c>
      <c r="DV29" s="1241">
        <v>0.5</v>
      </c>
      <c r="DW29" s="1241">
        <v>0.7</v>
      </c>
      <c r="DX29" s="1222"/>
      <c r="DY29" s="1204">
        <v>30</v>
      </c>
      <c r="DZ29" s="1241">
        <v>0.35</v>
      </c>
      <c r="EA29" s="1241">
        <v>0.45</v>
      </c>
      <c r="EB29" s="1241">
        <v>0.65</v>
      </c>
      <c r="EE29" s="1225">
        <v>13</v>
      </c>
      <c r="EF29" s="1226">
        <v>0</v>
      </c>
      <c r="EG29" s="1227">
        <v>54.55</v>
      </c>
      <c r="EH29" s="1227">
        <v>39.9</v>
      </c>
      <c r="EI29" s="1227">
        <v>31.15</v>
      </c>
      <c r="EK29" s="1228">
        <v>31</v>
      </c>
      <c r="EL29" s="1229">
        <v>6.76</v>
      </c>
      <c r="EM29" s="1229">
        <v>5.65</v>
      </c>
      <c r="EN29" s="1229">
        <v>5.03</v>
      </c>
      <c r="EO29" s="1229">
        <v>4.66</v>
      </c>
      <c r="EP29" s="1216">
        <v>31</v>
      </c>
      <c r="EQ29" s="1230">
        <v>7.74</v>
      </c>
      <c r="ER29" s="1230">
        <v>6.48</v>
      </c>
      <c r="ES29" s="1230">
        <v>5.78</v>
      </c>
      <c r="ET29" s="1214">
        <v>5.36</v>
      </c>
      <c r="EU29" s="1231">
        <v>31</v>
      </c>
      <c r="EV29" s="1232">
        <v>6.81</v>
      </c>
      <c r="EW29" s="1232">
        <v>5.69</v>
      </c>
      <c r="EX29" s="1232">
        <v>5.08</v>
      </c>
      <c r="EY29" s="1229">
        <v>4.7</v>
      </c>
      <c r="EZ29" s="1233">
        <v>18</v>
      </c>
      <c r="FA29" s="1245">
        <v>1.1499999999999999</v>
      </c>
      <c r="FB29" s="1234">
        <v>0</v>
      </c>
      <c r="FC29" s="1234">
        <v>0</v>
      </c>
      <c r="FD29" s="1234">
        <v>0</v>
      </c>
      <c r="FF29" s="1229">
        <v>1.7</v>
      </c>
      <c r="FG29" s="1234">
        <v>0</v>
      </c>
      <c r="FH29" s="1234">
        <v>0</v>
      </c>
      <c r="FI29" s="1234">
        <v>0</v>
      </c>
    </row>
    <row r="30" spans="2:165" ht="15" customHeight="1">
      <c r="B30" s="1207">
        <v>22</v>
      </c>
      <c r="C30" s="1220">
        <v>89.85</v>
      </c>
      <c r="D30" s="1220">
        <v>82.25</v>
      </c>
      <c r="E30" s="1220">
        <v>75.75</v>
      </c>
      <c r="F30" s="1220">
        <v>71.25</v>
      </c>
      <c r="G30" s="1220">
        <v>66.2</v>
      </c>
      <c r="H30" s="1220">
        <v>61.8</v>
      </c>
      <c r="I30" s="1220">
        <v>57.85</v>
      </c>
      <c r="J30" s="1220">
        <v>54.4</v>
      </c>
      <c r="K30" s="1220">
        <v>51.25</v>
      </c>
      <c r="L30" s="1220">
        <v>48.6</v>
      </c>
      <c r="M30" s="1220">
        <v>46.2</v>
      </c>
      <c r="N30" s="1220">
        <v>44</v>
      </c>
      <c r="O30" s="1220">
        <v>42</v>
      </c>
      <c r="P30" s="1220">
        <v>40.15</v>
      </c>
      <c r="Q30" s="1220">
        <v>38.450000000000003</v>
      </c>
      <c r="R30" s="1220">
        <v>36.9</v>
      </c>
      <c r="S30" s="1220">
        <v>35.450000000000003</v>
      </c>
      <c r="T30" s="1220">
        <v>34.1</v>
      </c>
      <c r="U30" s="1220">
        <v>32.85</v>
      </c>
      <c r="V30" s="1220">
        <v>31.8</v>
      </c>
      <c r="W30" s="1220">
        <v>30.85</v>
      </c>
      <c r="X30" s="1220">
        <v>29.9</v>
      </c>
      <c r="Y30" s="1220">
        <v>29.05</v>
      </c>
      <c r="Z30" s="1206">
        <v>28.25</v>
      </c>
      <c r="AB30" s="1207">
        <v>32</v>
      </c>
      <c r="AC30" s="1208">
        <v>83.4</v>
      </c>
      <c r="AD30" s="1208">
        <v>77.7</v>
      </c>
      <c r="AE30" s="1208">
        <v>72.7</v>
      </c>
      <c r="AF30" s="1208">
        <v>68.3</v>
      </c>
      <c r="AG30" s="1208">
        <v>64.349999999999994</v>
      </c>
      <c r="AH30" s="1208">
        <v>60.8</v>
      </c>
      <c r="AI30" s="1208">
        <v>57.6</v>
      </c>
      <c r="AJ30" s="1208">
        <v>54.7</v>
      </c>
      <c r="AK30" s="1208">
        <v>52.05</v>
      </c>
      <c r="AL30" s="1208">
        <v>49.65</v>
      </c>
      <c r="AM30" s="1208">
        <v>47.45</v>
      </c>
      <c r="AN30" s="1208">
        <v>45.45</v>
      </c>
      <c r="AO30" s="1208">
        <v>43.6</v>
      </c>
      <c r="AP30" s="1208">
        <v>41.85</v>
      </c>
      <c r="AQ30" s="1208">
        <v>40.299999999999997</v>
      </c>
      <c r="AR30" s="1208">
        <v>38.85</v>
      </c>
      <c r="AS30" s="1208">
        <v>37.5</v>
      </c>
      <c r="AT30" s="1208">
        <v>36.25</v>
      </c>
      <c r="AU30" s="1208">
        <v>35.1</v>
      </c>
      <c r="AV30" s="1208">
        <v>34</v>
      </c>
      <c r="AW30" s="1208">
        <v>33</v>
      </c>
      <c r="AY30" s="827">
        <v>32</v>
      </c>
      <c r="AZ30" s="828">
        <v>1.95</v>
      </c>
      <c r="BA30" s="828">
        <v>1.95</v>
      </c>
      <c r="BB30" s="828">
        <v>1.95</v>
      </c>
      <c r="BC30" s="828">
        <v>1.95</v>
      </c>
      <c r="BD30" s="828">
        <v>1.95</v>
      </c>
      <c r="BE30" s="828">
        <v>2.06</v>
      </c>
      <c r="BF30" s="828">
        <v>2.09</v>
      </c>
      <c r="BG30" s="828">
        <v>2.14</v>
      </c>
      <c r="BH30" s="828">
        <v>2.19</v>
      </c>
      <c r="BI30" s="828">
        <v>2.25</v>
      </c>
      <c r="BJ30" s="828">
        <v>2.36</v>
      </c>
      <c r="BK30" s="828">
        <v>2.44</v>
      </c>
      <c r="BL30" s="828">
        <v>2.52</v>
      </c>
      <c r="BM30" s="828">
        <v>2.61</v>
      </c>
      <c r="BN30" s="828">
        <v>2.72</v>
      </c>
      <c r="BO30" s="828">
        <v>2.82</v>
      </c>
      <c r="BP30" s="828">
        <v>2.93</v>
      </c>
      <c r="BQ30" s="828">
        <v>3.05</v>
      </c>
      <c r="BR30" s="828">
        <v>3.17</v>
      </c>
      <c r="BS30" s="828">
        <v>3.3</v>
      </c>
      <c r="BT30" s="828">
        <v>3.42</v>
      </c>
      <c r="BU30" s="828">
        <v>3.55</v>
      </c>
      <c r="BV30" s="828">
        <v>3.68</v>
      </c>
      <c r="BW30" s="828">
        <v>3.81</v>
      </c>
      <c r="BX30" s="828">
        <v>3.94</v>
      </c>
      <c r="BY30" s="828">
        <v>4.07</v>
      </c>
      <c r="BZ30" s="828">
        <v>4.21</v>
      </c>
      <c r="CA30" s="828">
        <v>4.34</v>
      </c>
      <c r="CB30" s="828">
        <v>4.4800000000000004</v>
      </c>
      <c r="CC30" s="828">
        <v>4.62</v>
      </c>
      <c r="CD30" s="828">
        <v>4.76</v>
      </c>
      <c r="CQ30" s="1204">
        <v>26</v>
      </c>
      <c r="CR30" s="1243">
        <v>0.7</v>
      </c>
      <c r="CS30" s="1204"/>
      <c r="CT30" s="1236">
        <v>26</v>
      </c>
      <c r="CU30" s="1235">
        <v>0.65</v>
      </c>
      <c r="CX30" s="1242">
        <v>28</v>
      </c>
      <c r="CY30" s="1235">
        <v>1.3</v>
      </c>
      <c r="CZ30" s="1235">
        <v>1.25</v>
      </c>
      <c r="DA30" s="1235">
        <v>1.3</v>
      </c>
      <c r="DC30" s="1238">
        <v>13</v>
      </c>
      <c r="DD30" s="1239">
        <v>0.2</v>
      </c>
      <c r="DE30" s="1223"/>
      <c r="DF30" s="1238">
        <v>13</v>
      </c>
      <c r="DG30" s="1239">
        <v>0.3</v>
      </c>
      <c r="DI30" s="1240">
        <v>20</v>
      </c>
      <c r="DJ30" s="1243">
        <v>0.25</v>
      </c>
      <c r="DK30" s="1243">
        <v>0.25</v>
      </c>
      <c r="DL30" s="1243">
        <v>0.3</v>
      </c>
      <c r="DM30" s="1223"/>
      <c r="DT30" s="1204">
        <v>31</v>
      </c>
      <c r="DU30" s="1241">
        <v>0.4</v>
      </c>
      <c r="DV30" s="1241">
        <v>0.55000000000000004</v>
      </c>
      <c r="DW30" s="1241">
        <v>0.75</v>
      </c>
      <c r="DX30" s="1222"/>
      <c r="DY30" s="1204">
        <v>31</v>
      </c>
      <c r="DZ30" s="1241">
        <v>0.4</v>
      </c>
      <c r="EA30" s="1241">
        <v>0.5</v>
      </c>
      <c r="EB30" s="1241">
        <v>0.7</v>
      </c>
      <c r="EE30" s="1225">
        <v>14</v>
      </c>
      <c r="EF30" s="1226">
        <v>0</v>
      </c>
      <c r="EG30" s="1227">
        <v>54.55</v>
      </c>
      <c r="EH30" s="1227">
        <v>39.9</v>
      </c>
      <c r="EI30" s="1227">
        <v>31.15</v>
      </c>
      <c r="EK30" s="1228">
        <v>32</v>
      </c>
      <c r="EL30" s="1229">
        <v>7.26</v>
      </c>
      <c r="EM30" s="1229">
        <v>6.07</v>
      </c>
      <c r="EN30" s="1229">
        <v>5.41</v>
      </c>
      <c r="EO30" s="1229">
        <v>5.01</v>
      </c>
      <c r="EP30" s="1216">
        <v>32</v>
      </c>
      <c r="EQ30" s="1230">
        <v>8.34</v>
      </c>
      <c r="ER30" s="1230">
        <v>6.98</v>
      </c>
      <c r="ES30" s="1230">
        <v>6.23</v>
      </c>
      <c r="ET30" s="1214">
        <v>5.78</v>
      </c>
      <c r="EU30" s="1231">
        <v>32</v>
      </c>
      <c r="EV30" s="1232">
        <v>7.22</v>
      </c>
      <c r="EW30" s="1232">
        <v>6.05</v>
      </c>
      <c r="EX30" s="1232">
        <v>5.39</v>
      </c>
      <c r="EY30" s="1229">
        <v>5</v>
      </c>
      <c r="EZ30" s="1233">
        <v>19</v>
      </c>
      <c r="FA30" s="1245">
        <v>1.2</v>
      </c>
      <c r="FB30" s="1234">
        <v>0</v>
      </c>
      <c r="FC30" s="1234">
        <v>0</v>
      </c>
      <c r="FD30" s="1234">
        <v>0</v>
      </c>
      <c r="FF30" s="1229">
        <v>1.75</v>
      </c>
      <c r="FG30" s="1234">
        <v>0</v>
      </c>
      <c r="FH30" s="1234">
        <v>0</v>
      </c>
      <c r="FI30" s="1234">
        <v>0</v>
      </c>
    </row>
    <row r="31" spans="2:165" ht="15" customHeight="1">
      <c r="B31" s="1207">
        <v>23</v>
      </c>
      <c r="C31" s="1220">
        <v>89.85</v>
      </c>
      <c r="D31" s="1220">
        <v>82.25</v>
      </c>
      <c r="E31" s="1220">
        <v>75.8</v>
      </c>
      <c r="F31" s="1220">
        <v>71.25</v>
      </c>
      <c r="G31" s="1220">
        <v>66.25</v>
      </c>
      <c r="H31" s="1220">
        <v>61.8</v>
      </c>
      <c r="I31" s="1220">
        <v>57.9</v>
      </c>
      <c r="J31" s="1220">
        <v>54.4</v>
      </c>
      <c r="K31" s="1220">
        <v>51.25</v>
      </c>
      <c r="L31" s="1220">
        <v>48.65</v>
      </c>
      <c r="M31" s="1220">
        <v>46.25</v>
      </c>
      <c r="N31" s="1220">
        <v>44.05</v>
      </c>
      <c r="O31" s="1220">
        <v>42.05</v>
      </c>
      <c r="P31" s="1220">
        <v>40.200000000000003</v>
      </c>
      <c r="Q31" s="1220">
        <v>38.5</v>
      </c>
      <c r="R31" s="1220">
        <v>36.950000000000003</v>
      </c>
      <c r="S31" s="1220">
        <v>35.5</v>
      </c>
      <c r="T31" s="1220">
        <v>34.15</v>
      </c>
      <c r="U31" s="1220">
        <v>32.950000000000003</v>
      </c>
      <c r="V31" s="1220">
        <v>31.9</v>
      </c>
      <c r="W31" s="1220">
        <v>30.9</v>
      </c>
      <c r="X31" s="1220">
        <v>30</v>
      </c>
      <c r="Y31" s="1220">
        <v>29.15</v>
      </c>
      <c r="Z31" s="1206">
        <v>28.35</v>
      </c>
      <c r="AB31" s="1207">
        <v>33</v>
      </c>
      <c r="AC31" s="1208">
        <v>83.9</v>
      </c>
      <c r="AD31" s="1208">
        <v>78.2</v>
      </c>
      <c r="AE31" s="1208">
        <v>73.2</v>
      </c>
      <c r="AF31" s="1208">
        <v>68.75</v>
      </c>
      <c r="AG31" s="1208">
        <v>64.75</v>
      </c>
      <c r="AH31" s="1208">
        <v>61.2</v>
      </c>
      <c r="AI31" s="1208">
        <v>58</v>
      </c>
      <c r="AJ31" s="1208">
        <v>55.1</v>
      </c>
      <c r="AK31" s="1208">
        <v>52.45</v>
      </c>
      <c r="AL31" s="1208">
        <v>50.05</v>
      </c>
      <c r="AM31" s="1208">
        <v>47.85</v>
      </c>
      <c r="AN31" s="1208">
        <v>45.8</v>
      </c>
      <c r="AO31" s="1208">
        <v>43.95</v>
      </c>
      <c r="AP31" s="1208">
        <v>42.25</v>
      </c>
      <c r="AQ31" s="1208">
        <v>40.700000000000003</v>
      </c>
      <c r="AR31" s="1208">
        <v>39.25</v>
      </c>
      <c r="AS31" s="1208">
        <v>37.9</v>
      </c>
      <c r="AT31" s="1208">
        <v>36.65</v>
      </c>
      <c r="AU31" s="1208">
        <v>35.5</v>
      </c>
      <c r="AV31" s="1208">
        <v>34.4</v>
      </c>
      <c r="AW31" s="1208">
        <v>33.4</v>
      </c>
      <c r="AY31" s="827">
        <v>33</v>
      </c>
      <c r="AZ31" s="828">
        <v>2.0299999999999998</v>
      </c>
      <c r="BA31" s="828">
        <v>2.0299999999999998</v>
      </c>
      <c r="BB31" s="828">
        <v>2.0299999999999998</v>
      </c>
      <c r="BC31" s="828">
        <v>2.0299999999999998</v>
      </c>
      <c r="BD31" s="828">
        <v>2.0499999999999998</v>
      </c>
      <c r="BE31" s="828">
        <v>2.17</v>
      </c>
      <c r="BF31" s="828">
        <v>2.2200000000000002</v>
      </c>
      <c r="BG31" s="828">
        <v>2.27</v>
      </c>
      <c r="BH31" s="828">
        <v>2.34</v>
      </c>
      <c r="BI31" s="828">
        <v>2.41</v>
      </c>
      <c r="BJ31" s="828">
        <v>2.5299999999999998</v>
      </c>
      <c r="BK31" s="828">
        <v>2.62</v>
      </c>
      <c r="BL31" s="828">
        <v>2.72</v>
      </c>
      <c r="BM31" s="828">
        <v>2.82</v>
      </c>
      <c r="BN31" s="828">
        <v>2.93</v>
      </c>
      <c r="BO31" s="828">
        <v>3.05</v>
      </c>
      <c r="BP31" s="828">
        <v>3.18</v>
      </c>
      <c r="BQ31" s="828">
        <v>3.3</v>
      </c>
      <c r="BR31" s="828">
        <v>3.43</v>
      </c>
      <c r="BS31" s="828">
        <v>3.57</v>
      </c>
      <c r="BT31" s="828">
        <v>3.7</v>
      </c>
      <c r="BU31" s="828">
        <v>3.84</v>
      </c>
      <c r="BV31" s="828">
        <v>3.97</v>
      </c>
      <c r="BW31" s="828">
        <v>4.1100000000000003</v>
      </c>
      <c r="BX31" s="828">
        <v>4.25</v>
      </c>
      <c r="BY31" s="828">
        <v>4.4000000000000004</v>
      </c>
      <c r="BZ31" s="828">
        <v>4.54</v>
      </c>
      <c r="CA31" s="828">
        <v>4.68</v>
      </c>
      <c r="CB31" s="828">
        <v>4.83</v>
      </c>
      <c r="CC31" s="828">
        <v>4.9800000000000004</v>
      </c>
      <c r="CD31" s="828">
        <v>5.13</v>
      </c>
      <c r="CQ31" s="1204">
        <v>27</v>
      </c>
      <c r="CR31" s="1243">
        <v>0.7</v>
      </c>
      <c r="CS31" s="1204"/>
      <c r="CT31" s="1236">
        <v>27</v>
      </c>
      <c r="CU31" s="1235">
        <v>0.65</v>
      </c>
      <c r="CX31" s="1237">
        <v>29</v>
      </c>
      <c r="CY31" s="1235">
        <v>1.35</v>
      </c>
      <c r="CZ31" s="1235">
        <v>1.3</v>
      </c>
      <c r="DA31" s="1235">
        <v>1.4</v>
      </c>
      <c r="DC31" s="1238">
        <v>14</v>
      </c>
      <c r="DD31" s="1239">
        <v>0.2</v>
      </c>
      <c r="DE31" s="1223"/>
      <c r="DF31" s="1238">
        <v>14</v>
      </c>
      <c r="DG31" s="1239">
        <v>0.3</v>
      </c>
      <c r="DI31" s="1240">
        <v>21</v>
      </c>
      <c r="DJ31" s="1243">
        <v>0.25</v>
      </c>
      <c r="DK31" s="1243">
        <v>0.3</v>
      </c>
      <c r="DL31" s="1243">
        <v>0.3</v>
      </c>
      <c r="DM31" s="1223"/>
      <c r="DT31" s="1204">
        <v>32</v>
      </c>
      <c r="DU31" s="1241">
        <v>0.4</v>
      </c>
      <c r="DV31" s="1241">
        <v>0.55000000000000004</v>
      </c>
      <c r="DW31" s="1241">
        <v>0.8</v>
      </c>
      <c r="DX31" s="1222"/>
      <c r="DY31" s="1204">
        <v>32</v>
      </c>
      <c r="DZ31" s="1241">
        <v>0.4</v>
      </c>
      <c r="EA31" s="1241">
        <v>0.55000000000000004</v>
      </c>
      <c r="EB31" s="1241">
        <v>0.75</v>
      </c>
      <c r="EE31" s="1225">
        <v>15</v>
      </c>
      <c r="EF31" s="1226">
        <v>80.3</v>
      </c>
      <c r="EG31" s="1227">
        <v>54.55</v>
      </c>
      <c r="EH31" s="1227">
        <v>39.9</v>
      </c>
      <c r="EI31" s="1227">
        <v>31.15</v>
      </c>
      <c r="EK31" s="1228">
        <v>33</v>
      </c>
      <c r="EL31" s="1229">
        <v>7.81</v>
      </c>
      <c r="EM31" s="1229">
        <v>6.53</v>
      </c>
      <c r="EN31" s="1229">
        <v>5.82</v>
      </c>
      <c r="EO31" s="1229">
        <v>5.4</v>
      </c>
      <c r="EP31" s="1216">
        <v>33</v>
      </c>
      <c r="EQ31" s="1230">
        <v>8.9700000000000006</v>
      </c>
      <c r="ER31" s="1230">
        <v>7.51</v>
      </c>
      <c r="ES31" s="1230">
        <v>6.71</v>
      </c>
      <c r="ET31" s="1214">
        <v>6.23</v>
      </c>
      <c r="EU31" s="1231">
        <v>33</v>
      </c>
      <c r="EV31" s="1232">
        <v>7.66</v>
      </c>
      <c r="EW31" s="1232">
        <v>6.41</v>
      </c>
      <c r="EX31" s="1232">
        <v>5.72</v>
      </c>
      <c r="EY31" s="1229">
        <v>5.3</v>
      </c>
      <c r="EZ31" s="1233">
        <v>20</v>
      </c>
      <c r="FA31" s="1245">
        <v>1.2</v>
      </c>
      <c r="FB31" s="1245">
        <v>1</v>
      </c>
      <c r="FC31" s="1234">
        <v>0</v>
      </c>
      <c r="FD31" s="1234">
        <v>0</v>
      </c>
      <c r="FF31" s="1229" t="s">
        <v>895</v>
      </c>
      <c r="FG31" s="1229">
        <v>1.5</v>
      </c>
      <c r="FH31" s="1234">
        <v>0</v>
      </c>
      <c r="FI31" s="1234">
        <v>0</v>
      </c>
    </row>
    <row r="32" spans="2:165" ht="15" customHeight="1">
      <c r="B32" s="1207">
        <v>24</v>
      </c>
      <c r="C32" s="1220">
        <v>89.9</v>
      </c>
      <c r="D32" s="1220">
        <v>82.3</v>
      </c>
      <c r="E32" s="1220">
        <v>75.8</v>
      </c>
      <c r="F32" s="1220">
        <v>71.25</v>
      </c>
      <c r="G32" s="1220">
        <v>66.25</v>
      </c>
      <c r="H32" s="1220">
        <v>61.85</v>
      </c>
      <c r="I32" s="1220">
        <v>57.9</v>
      </c>
      <c r="J32" s="1220">
        <v>54.45</v>
      </c>
      <c r="K32" s="1220">
        <v>51.3</v>
      </c>
      <c r="L32" s="1220">
        <v>48.65</v>
      </c>
      <c r="M32" s="1220">
        <v>46.3</v>
      </c>
      <c r="N32" s="1220">
        <v>44.1</v>
      </c>
      <c r="O32" s="1220">
        <v>42.1</v>
      </c>
      <c r="P32" s="1220">
        <v>40.25</v>
      </c>
      <c r="Q32" s="1220">
        <v>38.549999999999997</v>
      </c>
      <c r="R32" s="1220">
        <v>37</v>
      </c>
      <c r="S32" s="1220">
        <v>35.549999999999997</v>
      </c>
      <c r="T32" s="1220">
        <v>34.25</v>
      </c>
      <c r="U32" s="1220">
        <v>33</v>
      </c>
      <c r="V32" s="1220">
        <v>31.95</v>
      </c>
      <c r="W32" s="1220">
        <v>31</v>
      </c>
      <c r="X32" s="1220">
        <v>30.1</v>
      </c>
      <c r="Y32" s="1220">
        <v>29.25</v>
      </c>
      <c r="Z32" s="1206">
        <v>28.45</v>
      </c>
      <c r="AB32" s="1207">
        <v>34</v>
      </c>
      <c r="AC32" s="1208">
        <v>84.45</v>
      </c>
      <c r="AD32" s="1208">
        <v>78.7</v>
      </c>
      <c r="AE32" s="1208">
        <v>73.650000000000006</v>
      </c>
      <c r="AF32" s="1208">
        <v>69.2</v>
      </c>
      <c r="AG32" s="1208">
        <v>65.2</v>
      </c>
      <c r="AH32" s="1208">
        <v>61.65</v>
      </c>
      <c r="AI32" s="1208">
        <v>58.4</v>
      </c>
      <c r="AJ32" s="1208">
        <v>55.5</v>
      </c>
      <c r="AK32" s="1208">
        <v>52.85</v>
      </c>
      <c r="AL32" s="1208">
        <v>50.45</v>
      </c>
      <c r="AM32" s="1208">
        <v>48.25</v>
      </c>
      <c r="AN32" s="1208">
        <v>46.25</v>
      </c>
      <c r="AO32" s="1208">
        <v>44.35</v>
      </c>
      <c r="AP32" s="1208">
        <v>42.65</v>
      </c>
      <c r="AQ32" s="1208">
        <v>41.1</v>
      </c>
      <c r="AR32" s="1208">
        <v>39.65</v>
      </c>
      <c r="AS32" s="1208">
        <v>39.299999999999997</v>
      </c>
      <c r="AT32" s="1208">
        <v>37.049999999999997</v>
      </c>
      <c r="AU32" s="1208">
        <v>35.9</v>
      </c>
      <c r="AV32" s="1208">
        <v>34.85</v>
      </c>
      <c r="AW32" s="1208">
        <v>33.85</v>
      </c>
      <c r="AY32" s="827">
        <v>34</v>
      </c>
      <c r="AZ32" s="828">
        <v>2.12</v>
      </c>
      <c r="BA32" s="828">
        <v>2.12</v>
      </c>
      <c r="BB32" s="828">
        <v>2.12</v>
      </c>
      <c r="BC32" s="828">
        <v>2.13</v>
      </c>
      <c r="BD32" s="828">
        <v>2.17</v>
      </c>
      <c r="BE32" s="828">
        <v>2.2999999999999998</v>
      </c>
      <c r="BF32" s="828">
        <v>2.36</v>
      </c>
      <c r="BG32" s="828">
        <v>2.4300000000000002</v>
      </c>
      <c r="BH32" s="828">
        <v>2.5</v>
      </c>
      <c r="BI32" s="828">
        <v>2.59</v>
      </c>
      <c r="BJ32" s="828">
        <v>2.72</v>
      </c>
      <c r="BK32" s="828">
        <v>2.83</v>
      </c>
      <c r="BL32" s="828">
        <v>2.94</v>
      </c>
      <c r="BM32" s="828">
        <v>3.06</v>
      </c>
      <c r="BN32" s="828">
        <v>3.18</v>
      </c>
      <c r="BO32" s="828">
        <v>3.31</v>
      </c>
      <c r="BP32" s="828">
        <v>3.45</v>
      </c>
      <c r="BQ32" s="828">
        <v>3.58</v>
      </c>
      <c r="BR32" s="828">
        <v>3.72</v>
      </c>
      <c r="BS32" s="828">
        <v>3.87</v>
      </c>
      <c r="BT32" s="828">
        <v>4.01</v>
      </c>
      <c r="BU32" s="828">
        <v>4.1500000000000004</v>
      </c>
      <c r="BV32" s="828">
        <v>4.3</v>
      </c>
      <c r="BW32" s="828">
        <v>4.45</v>
      </c>
      <c r="BX32" s="828">
        <v>4.5999999999999996</v>
      </c>
      <c r="BY32" s="828">
        <v>4.75</v>
      </c>
      <c r="BZ32" s="828">
        <v>4.9000000000000004</v>
      </c>
      <c r="CA32" s="828">
        <v>5.0599999999999996</v>
      </c>
      <c r="CB32" s="828">
        <v>5.21</v>
      </c>
      <c r="CC32" s="828">
        <v>5.36</v>
      </c>
      <c r="CD32" s="828">
        <v>5.54</v>
      </c>
      <c r="CQ32" s="1204">
        <v>28</v>
      </c>
      <c r="CR32" s="1243">
        <v>0.75</v>
      </c>
      <c r="CS32" s="1204"/>
      <c r="CT32" s="1236">
        <v>28</v>
      </c>
      <c r="CU32" s="1243">
        <v>0.7</v>
      </c>
      <c r="CX32" s="1242">
        <v>30</v>
      </c>
      <c r="CY32" s="1235">
        <v>1.45</v>
      </c>
      <c r="CZ32" s="1235">
        <v>1.4</v>
      </c>
      <c r="DA32" s="1235">
        <v>1.5</v>
      </c>
      <c r="DC32" s="1238">
        <v>15</v>
      </c>
      <c r="DD32" s="1239">
        <v>0.25</v>
      </c>
      <c r="DE32" s="1223"/>
      <c r="DF32" s="1238">
        <v>15</v>
      </c>
      <c r="DG32" s="1239">
        <v>0.35</v>
      </c>
      <c r="DI32" s="1240">
        <v>22</v>
      </c>
      <c r="DJ32" s="1243">
        <v>0.25</v>
      </c>
      <c r="DK32" s="1243">
        <v>0.3</v>
      </c>
      <c r="DL32" s="1243">
        <v>0.35</v>
      </c>
      <c r="DM32" s="1223"/>
      <c r="DT32" s="1204">
        <v>33</v>
      </c>
      <c r="DU32" s="1241">
        <v>0.45</v>
      </c>
      <c r="DV32" s="1241">
        <v>0.6</v>
      </c>
      <c r="DW32" s="1241">
        <v>0.9</v>
      </c>
      <c r="DX32" s="1222"/>
      <c r="DY32" s="1204">
        <v>33</v>
      </c>
      <c r="DZ32" s="1241">
        <v>0.45</v>
      </c>
      <c r="EA32" s="1241">
        <v>0.55000000000000004</v>
      </c>
      <c r="EB32" s="1241">
        <v>0.8</v>
      </c>
      <c r="EE32" s="1225">
        <v>16</v>
      </c>
      <c r="EF32" s="1226">
        <v>80.3</v>
      </c>
      <c r="EG32" s="1227">
        <v>54.55</v>
      </c>
      <c r="EH32" s="1227">
        <v>39.950000000000003</v>
      </c>
      <c r="EI32" s="1227">
        <v>31.15</v>
      </c>
      <c r="EK32" s="1228">
        <v>34</v>
      </c>
      <c r="EL32" s="1229">
        <v>8.4</v>
      </c>
      <c r="EM32" s="1229">
        <v>7.03</v>
      </c>
      <c r="EN32" s="1229">
        <v>6.27</v>
      </c>
      <c r="EO32" s="1229">
        <v>5.82</v>
      </c>
      <c r="EP32" s="1216">
        <v>34</v>
      </c>
      <c r="EQ32" s="1230">
        <v>9.6300000000000008</v>
      </c>
      <c r="ER32" s="1230">
        <v>8.07</v>
      </c>
      <c r="ES32" s="1230">
        <v>7.22</v>
      </c>
      <c r="ET32" s="1214">
        <v>6.71</v>
      </c>
      <c r="EU32" s="1231">
        <v>34</v>
      </c>
      <c r="EV32" s="1232">
        <v>8.1</v>
      </c>
      <c r="EW32" s="1232">
        <v>6.79</v>
      </c>
      <c r="EX32" s="1232">
        <v>6.06</v>
      </c>
      <c r="EY32" s="1229">
        <v>5.62</v>
      </c>
      <c r="EZ32" s="1233">
        <v>21</v>
      </c>
      <c r="FA32" s="1245">
        <v>1.25</v>
      </c>
      <c r="FB32" s="1245">
        <v>1.05</v>
      </c>
      <c r="FC32" s="1234">
        <v>0</v>
      </c>
      <c r="FD32" s="1234">
        <v>0</v>
      </c>
      <c r="FF32" s="1229" t="s">
        <v>896</v>
      </c>
      <c r="FG32" s="1229">
        <v>1.55</v>
      </c>
      <c r="FH32" s="1234">
        <v>0</v>
      </c>
      <c r="FI32" s="1234">
        <v>0</v>
      </c>
    </row>
    <row r="33" spans="2:165" ht="15" customHeight="1">
      <c r="B33" s="1207">
        <v>25</v>
      </c>
      <c r="C33" s="1220">
        <v>89.9</v>
      </c>
      <c r="D33" s="1220">
        <v>82.3</v>
      </c>
      <c r="E33" s="1220">
        <v>75.8</v>
      </c>
      <c r="F33" s="1220">
        <v>71.3</v>
      </c>
      <c r="G33" s="1220">
        <v>66.25</v>
      </c>
      <c r="H33" s="1220">
        <v>61.85</v>
      </c>
      <c r="I33" s="1220">
        <v>57.95</v>
      </c>
      <c r="J33" s="1220">
        <v>54.45</v>
      </c>
      <c r="K33" s="1220">
        <v>51.35</v>
      </c>
      <c r="L33" s="1220">
        <v>48.7</v>
      </c>
      <c r="M33" s="1220">
        <v>46.3</v>
      </c>
      <c r="N33" s="1220">
        <v>44.15</v>
      </c>
      <c r="O33" s="1220">
        <v>42.15</v>
      </c>
      <c r="P33" s="1220">
        <v>40.299999999999997</v>
      </c>
      <c r="Q33" s="1220">
        <v>38.65</v>
      </c>
      <c r="R33" s="1220">
        <v>37.1</v>
      </c>
      <c r="S33" s="1220">
        <v>35.65</v>
      </c>
      <c r="T33" s="1220">
        <v>34.299999999999997</v>
      </c>
      <c r="U33" s="1220">
        <v>33.1</v>
      </c>
      <c r="V33" s="1220">
        <v>32.049999999999997</v>
      </c>
      <c r="W33" s="1220">
        <v>31.1</v>
      </c>
      <c r="X33" s="1220">
        <v>30.2</v>
      </c>
      <c r="Y33" s="1220">
        <v>29.35</v>
      </c>
      <c r="Z33" s="1206">
        <v>28.55</v>
      </c>
      <c r="AB33" s="1207">
        <v>35</v>
      </c>
      <c r="AC33" s="1208">
        <v>85</v>
      </c>
      <c r="AD33" s="1208">
        <v>79.25</v>
      </c>
      <c r="AE33" s="1208">
        <v>74.150000000000006</v>
      </c>
      <c r="AF33" s="1208">
        <v>69.7</v>
      </c>
      <c r="AG33" s="1208">
        <v>65.7</v>
      </c>
      <c r="AH33" s="1208">
        <v>62.1</v>
      </c>
      <c r="AI33" s="1208">
        <v>58.9</v>
      </c>
      <c r="AJ33" s="1208">
        <v>55.95</v>
      </c>
      <c r="AK33" s="1208">
        <v>53.3</v>
      </c>
      <c r="AL33" s="1208">
        <v>50.9</v>
      </c>
      <c r="AM33" s="1208">
        <v>48.7</v>
      </c>
      <c r="AN33" s="1208">
        <v>46.65</v>
      </c>
      <c r="AO33" s="1208">
        <v>44.8</v>
      </c>
      <c r="AP33" s="1208">
        <v>43.1</v>
      </c>
      <c r="AQ33" s="1208">
        <v>41.55</v>
      </c>
      <c r="AR33" s="1208">
        <v>40.1</v>
      </c>
      <c r="AS33" s="1208">
        <v>38.75</v>
      </c>
      <c r="AT33" s="1208">
        <v>37.5</v>
      </c>
      <c r="AU33" s="1208">
        <v>36.35</v>
      </c>
      <c r="AV33" s="1208">
        <v>35.299999999999997</v>
      </c>
      <c r="AW33" s="1208">
        <v>34.299999999999997</v>
      </c>
      <c r="AY33" s="827">
        <v>35</v>
      </c>
      <c r="AZ33" s="828">
        <v>2.2200000000000002</v>
      </c>
      <c r="BA33" s="828">
        <v>2.2200000000000002</v>
      </c>
      <c r="BB33" s="828">
        <v>2.23</v>
      </c>
      <c r="BC33" s="828">
        <v>2.2599999999999998</v>
      </c>
      <c r="BD33" s="828">
        <v>2.31</v>
      </c>
      <c r="BE33" s="828">
        <v>2.46</v>
      </c>
      <c r="BF33" s="828">
        <v>2.5299999999999998</v>
      </c>
      <c r="BG33" s="828">
        <v>2.6</v>
      </c>
      <c r="BH33" s="828">
        <v>2.69</v>
      </c>
      <c r="BI33" s="828">
        <v>2.79</v>
      </c>
      <c r="BJ33" s="828">
        <v>2.95</v>
      </c>
      <c r="BK33" s="828">
        <v>3.06</v>
      </c>
      <c r="BL33" s="828">
        <v>3.19</v>
      </c>
      <c r="BM33" s="828">
        <v>3.32</v>
      </c>
      <c r="BN33" s="828">
        <v>3.46</v>
      </c>
      <c r="BO33" s="828">
        <v>3.6</v>
      </c>
      <c r="BP33" s="828">
        <v>3.74</v>
      </c>
      <c r="BQ33" s="828">
        <v>3.89</v>
      </c>
      <c r="BR33" s="828">
        <v>4.04</v>
      </c>
      <c r="BS33" s="828">
        <v>4.1900000000000004</v>
      </c>
      <c r="BT33" s="828">
        <v>4.34</v>
      </c>
      <c r="BU33" s="828">
        <v>4.5</v>
      </c>
      <c r="BV33" s="828">
        <v>4.6500000000000004</v>
      </c>
      <c r="BW33" s="828">
        <v>4.8099999999999996</v>
      </c>
      <c r="BX33" s="828">
        <v>4.97</v>
      </c>
      <c r="BY33" s="828">
        <v>5.13</v>
      </c>
      <c r="BZ33" s="828">
        <v>5.3</v>
      </c>
      <c r="CA33" s="828">
        <v>5.46</v>
      </c>
      <c r="CB33" s="828">
        <v>5.63</v>
      </c>
      <c r="CC33" s="828">
        <v>5.8</v>
      </c>
      <c r="CD33" s="828">
        <v>5.98</v>
      </c>
      <c r="CQ33" s="1204">
        <v>29</v>
      </c>
      <c r="CR33" s="1246">
        <v>0.8</v>
      </c>
      <c r="CS33" s="1204"/>
      <c r="CT33" s="1236">
        <v>29</v>
      </c>
      <c r="CU33" s="1243">
        <v>0.75</v>
      </c>
      <c r="CX33" s="1237">
        <v>31</v>
      </c>
      <c r="CY33" s="1235">
        <v>1.5</v>
      </c>
      <c r="CZ33" s="1235">
        <v>1.5</v>
      </c>
      <c r="DA33" s="1235">
        <v>1.6</v>
      </c>
      <c r="DC33" s="1238">
        <v>16</v>
      </c>
      <c r="DD33" s="1239">
        <v>0.25</v>
      </c>
      <c r="DE33" s="1223"/>
      <c r="DF33" s="1238">
        <v>16</v>
      </c>
      <c r="DG33" s="1239">
        <v>0.4</v>
      </c>
      <c r="DI33" s="1240">
        <v>23</v>
      </c>
      <c r="DJ33" s="1243">
        <v>0.25</v>
      </c>
      <c r="DK33" s="1243">
        <v>0.3</v>
      </c>
      <c r="DL33" s="1243">
        <v>0.35</v>
      </c>
      <c r="DM33" s="1223"/>
      <c r="DT33" s="1204">
        <v>34</v>
      </c>
      <c r="DU33" s="1241">
        <v>0.5</v>
      </c>
      <c r="DV33" s="1241">
        <v>0.65</v>
      </c>
      <c r="DW33" s="1241">
        <v>0.95</v>
      </c>
      <c r="DX33" s="1222"/>
      <c r="DY33" s="1204">
        <v>34</v>
      </c>
      <c r="DZ33" s="1241">
        <v>0.45</v>
      </c>
      <c r="EA33" s="1241">
        <v>0.6</v>
      </c>
      <c r="EB33" s="1241">
        <v>0.9</v>
      </c>
      <c r="EE33" s="1225">
        <v>17</v>
      </c>
      <c r="EF33" s="1226">
        <v>80.3</v>
      </c>
      <c r="EG33" s="1227">
        <v>54.55</v>
      </c>
      <c r="EH33" s="1227">
        <v>39.950000000000003</v>
      </c>
      <c r="EI33" s="1227">
        <v>31.15</v>
      </c>
      <c r="EK33" s="1228">
        <v>35</v>
      </c>
      <c r="EL33" s="1229">
        <v>9.0399999999999991</v>
      </c>
      <c r="EM33" s="1229">
        <v>7.57</v>
      </c>
      <c r="EN33" s="1229">
        <v>6.76</v>
      </c>
      <c r="EO33" s="1229">
        <v>6.28</v>
      </c>
      <c r="EP33" s="1216">
        <v>35</v>
      </c>
      <c r="EQ33" s="1230">
        <v>10.32</v>
      </c>
      <c r="ER33" s="1230">
        <v>8.66</v>
      </c>
      <c r="ES33" s="1230">
        <v>7.75</v>
      </c>
      <c r="ET33" s="1214">
        <v>7.21</v>
      </c>
      <c r="EU33" s="1231">
        <v>35</v>
      </c>
      <c r="EV33" s="1232">
        <v>8.57</v>
      </c>
      <c r="EW33" s="1232">
        <v>7.18</v>
      </c>
      <c r="EX33" s="1232">
        <v>6.42</v>
      </c>
      <c r="EY33" s="1229">
        <v>5.95</v>
      </c>
      <c r="EZ33" s="1233">
        <v>22</v>
      </c>
      <c r="FA33" s="1245">
        <v>1.25</v>
      </c>
      <c r="FB33" s="1245">
        <v>1.05</v>
      </c>
      <c r="FC33" s="1234">
        <v>0</v>
      </c>
      <c r="FD33" s="1234">
        <v>0</v>
      </c>
      <c r="FF33" s="1229">
        <v>1.9</v>
      </c>
      <c r="FG33" s="1229">
        <v>1.6</v>
      </c>
      <c r="FH33" s="1234">
        <v>0</v>
      </c>
      <c r="FI33" s="1234">
        <v>0</v>
      </c>
    </row>
    <row r="34" spans="2:165" ht="15" customHeight="1">
      <c r="B34" s="1207">
        <v>26</v>
      </c>
      <c r="C34" s="1220">
        <v>89.9</v>
      </c>
      <c r="D34" s="1220">
        <v>82.35</v>
      </c>
      <c r="E34" s="1220">
        <v>75.849999999999994</v>
      </c>
      <c r="F34" s="1220">
        <v>71.3</v>
      </c>
      <c r="G34" s="1220">
        <v>66.3</v>
      </c>
      <c r="H34" s="1220">
        <v>61.9</v>
      </c>
      <c r="I34" s="1220">
        <v>58</v>
      </c>
      <c r="J34" s="1220">
        <v>54.5</v>
      </c>
      <c r="K34" s="1220">
        <v>51.4</v>
      </c>
      <c r="L34" s="1220">
        <v>48.75</v>
      </c>
      <c r="M34" s="1220">
        <v>46.35</v>
      </c>
      <c r="N34" s="1220">
        <v>44.2</v>
      </c>
      <c r="O34" s="1220">
        <v>42.2</v>
      </c>
      <c r="P34" s="1220">
        <v>40.4</v>
      </c>
      <c r="Q34" s="1220">
        <v>38.700000000000003</v>
      </c>
      <c r="R34" s="1220">
        <v>37.15</v>
      </c>
      <c r="S34" s="1220">
        <v>35.75</v>
      </c>
      <c r="T34" s="1220">
        <v>34.4</v>
      </c>
      <c r="U34" s="1220">
        <v>33.200000000000003</v>
      </c>
      <c r="V34" s="1220">
        <v>32.15</v>
      </c>
      <c r="W34" s="1220">
        <v>31.2</v>
      </c>
      <c r="X34" s="1220">
        <v>30.3</v>
      </c>
      <c r="Y34" s="1220">
        <v>29.5</v>
      </c>
      <c r="Z34" s="1206">
        <v>28.7</v>
      </c>
      <c r="AB34" s="1207">
        <v>36</v>
      </c>
      <c r="AC34" s="1208">
        <v>85.55</v>
      </c>
      <c r="AD34" s="1208">
        <v>79.8</v>
      </c>
      <c r="AE34" s="1208">
        <v>74.7</v>
      </c>
      <c r="AF34" s="1208">
        <v>70.2</v>
      </c>
      <c r="AG34" s="1208">
        <v>66.2</v>
      </c>
      <c r="AH34" s="1208">
        <v>62.6</v>
      </c>
      <c r="AI34" s="1208">
        <v>59.35</v>
      </c>
      <c r="AJ34" s="1208">
        <v>56.45</v>
      </c>
      <c r="AK34" s="1208">
        <v>53.8</v>
      </c>
      <c r="AL34" s="1208">
        <v>51.35</v>
      </c>
      <c r="AM34" s="1208">
        <v>49.15</v>
      </c>
      <c r="AN34" s="1208">
        <v>47.15</v>
      </c>
      <c r="AO34" s="1208">
        <v>45.3</v>
      </c>
      <c r="AP34" s="1208">
        <v>43.55</v>
      </c>
      <c r="AQ34" s="1208">
        <v>42</v>
      </c>
      <c r="AR34" s="1208">
        <v>40.549999999999997</v>
      </c>
      <c r="AS34" s="1208">
        <v>39.200000000000003</v>
      </c>
      <c r="AT34" s="1208">
        <v>37.950000000000003</v>
      </c>
      <c r="AU34" s="1208">
        <v>36.85</v>
      </c>
      <c r="AV34" s="1208">
        <v>35.75</v>
      </c>
      <c r="AW34" s="1208">
        <v>34.799999999999997</v>
      </c>
      <c r="AY34" s="827">
        <v>36</v>
      </c>
      <c r="AZ34" s="828">
        <v>2.34</v>
      </c>
      <c r="BA34" s="828">
        <v>2.34</v>
      </c>
      <c r="BB34" s="828">
        <v>2.37</v>
      </c>
      <c r="BC34" s="828">
        <v>2.41</v>
      </c>
      <c r="BD34" s="828">
        <v>2.4700000000000002</v>
      </c>
      <c r="BE34" s="828">
        <v>2.64</v>
      </c>
      <c r="BF34" s="828">
        <v>2.72</v>
      </c>
      <c r="BG34" s="828">
        <v>2.81</v>
      </c>
      <c r="BH34" s="828">
        <v>2.91</v>
      </c>
      <c r="BI34" s="828">
        <v>3.03</v>
      </c>
      <c r="BJ34" s="828">
        <v>3.2</v>
      </c>
      <c r="BK34" s="828">
        <v>3.33</v>
      </c>
      <c r="BL34" s="828">
        <v>3.47</v>
      </c>
      <c r="BM34" s="828">
        <v>3.62</v>
      </c>
      <c r="BN34" s="828">
        <v>3.76</v>
      </c>
      <c r="BO34" s="828">
        <v>3.92</v>
      </c>
      <c r="BP34" s="828">
        <v>4.07</v>
      </c>
      <c r="BQ34" s="828">
        <v>4.2300000000000004</v>
      </c>
      <c r="BR34" s="828">
        <v>4.3899999999999997</v>
      </c>
      <c r="BS34" s="828">
        <v>4.55</v>
      </c>
      <c r="BT34" s="828">
        <v>4.71</v>
      </c>
      <c r="BU34" s="828">
        <v>4.87</v>
      </c>
      <c r="BV34" s="828">
        <v>5.04</v>
      </c>
      <c r="BW34" s="828">
        <v>5.21</v>
      </c>
      <c r="BX34" s="828">
        <v>5.38</v>
      </c>
      <c r="BY34" s="828">
        <v>5.55</v>
      </c>
      <c r="BZ34" s="828">
        <v>5.73</v>
      </c>
      <c r="CA34" s="828">
        <v>5.9</v>
      </c>
      <c r="CB34" s="828">
        <v>6.09</v>
      </c>
      <c r="CC34" s="828">
        <v>6.27</v>
      </c>
      <c r="CD34" s="828">
        <v>6.45</v>
      </c>
      <c r="CQ34" s="1204">
        <v>30</v>
      </c>
      <c r="CR34" s="1243">
        <v>0.85</v>
      </c>
      <c r="CS34" s="1204"/>
      <c r="CT34" s="1236">
        <v>30</v>
      </c>
      <c r="CU34" s="1243">
        <v>0.85</v>
      </c>
      <c r="CX34" s="1242">
        <v>32</v>
      </c>
      <c r="CY34" s="1235">
        <v>1.65</v>
      </c>
      <c r="CZ34" s="1235">
        <v>1.6</v>
      </c>
      <c r="DA34" s="1235">
        <v>1.7</v>
      </c>
      <c r="DC34" s="1238">
        <v>17</v>
      </c>
      <c r="DD34" s="1239">
        <v>0.25</v>
      </c>
      <c r="DE34" s="1223"/>
      <c r="DF34" s="1238">
        <v>17</v>
      </c>
      <c r="DG34" s="1239">
        <v>0.45</v>
      </c>
      <c r="DI34" s="1240">
        <v>24</v>
      </c>
      <c r="DJ34" s="1243">
        <v>0.25</v>
      </c>
      <c r="DK34" s="1243">
        <v>0.3</v>
      </c>
      <c r="DL34" s="1243">
        <v>0.35</v>
      </c>
      <c r="DM34" s="1223"/>
      <c r="DT34" s="1204">
        <v>35</v>
      </c>
      <c r="DU34" s="1241">
        <v>0.5</v>
      </c>
      <c r="DV34" s="1241">
        <v>0.7</v>
      </c>
      <c r="DW34" s="1241">
        <v>1.05</v>
      </c>
      <c r="DX34" s="1222"/>
      <c r="DY34" s="1204">
        <v>35</v>
      </c>
      <c r="DZ34" s="1241">
        <v>0.5</v>
      </c>
      <c r="EA34" s="1241">
        <v>0.65</v>
      </c>
      <c r="EB34" s="1241">
        <v>0.95</v>
      </c>
      <c r="EE34" s="1225">
        <v>18</v>
      </c>
      <c r="EF34" s="1226">
        <v>80.3</v>
      </c>
      <c r="EG34" s="1227">
        <v>54.55</v>
      </c>
      <c r="EH34" s="1227">
        <v>39.950000000000003</v>
      </c>
      <c r="EI34" s="1227">
        <v>31.15</v>
      </c>
      <c r="EK34" s="1228">
        <v>36</v>
      </c>
      <c r="EL34" s="1229">
        <v>9.73</v>
      </c>
      <c r="EM34" s="1229" t="s">
        <v>890</v>
      </c>
      <c r="EN34" s="1229">
        <v>7.29</v>
      </c>
      <c r="EO34" s="1229">
        <v>6.77</v>
      </c>
      <c r="EP34" s="1216">
        <v>36</v>
      </c>
      <c r="EQ34" s="1230">
        <v>11.07</v>
      </c>
      <c r="ER34" s="1230">
        <v>9.2899999999999991</v>
      </c>
      <c r="ES34" s="1230">
        <v>8.32</v>
      </c>
      <c r="ET34" s="1214">
        <v>7.74</v>
      </c>
      <c r="EU34" s="1231">
        <v>36</v>
      </c>
      <c r="EV34" s="1232">
        <v>9.06</v>
      </c>
      <c r="EW34" s="1232">
        <v>7.6</v>
      </c>
      <c r="EX34" s="1232">
        <v>6.79</v>
      </c>
      <c r="EY34" s="1229">
        <v>6.31</v>
      </c>
      <c r="EZ34" s="1233">
        <v>23</v>
      </c>
      <c r="FA34" s="1245">
        <v>1.3</v>
      </c>
      <c r="FB34" s="1245">
        <v>1.1000000000000001</v>
      </c>
      <c r="FC34" s="1234">
        <v>0</v>
      </c>
      <c r="FD34" s="1234">
        <v>0</v>
      </c>
      <c r="FF34" s="1229">
        <v>1.95</v>
      </c>
      <c r="FG34" s="1229">
        <v>1.65</v>
      </c>
      <c r="FH34" s="1234">
        <v>0</v>
      </c>
      <c r="FI34" s="1234">
        <v>0</v>
      </c>
    </row>
    <row r="35" spans="2:165" ht="15" customHeight="1">
      <c r="B35" s="1207">
        <v>27</v>
      </c>
      <c r="C35" s="1220">
        <v>89.95</v>
      </c>
      <c r="D35" s="1220">
        <v>82.35</v>
      </c>
      <c r="E35" s="1220">
        <v>75.849999999999994</v>
      </c>
      <c r="F35" s="1220">
        <v>71.349999999999994</v>
      </c>
      <c r="G35" s="1220">
        <v>66.349999999999994</v>
      </c>
      <c r="H35" s="1220">
        <v>61.95</v>
      </c>
      <c r="I35" s="1220">
        <v>58.05</v>
      </c>
      <c r="J35" s="1220">
        <v>54.55</v>
      </c>
      <c r="K35" s="1220">
        <v>51.45</v>
      </c>
      <c r="L35" s="1220">
        <v>48.8</v>
      </c>
      <c r="M35" s="1220">
        <v>46.45</v>
      </c>
      <c r="N35" s="1220">
        <v>44.25</v>
      </c>
      <c r="O35" s="1220">
        <v>42.3</v>
      </c>
      <c r="P35" s="1220">
        <v>40.450000000000003</v>
      </c>
      <c r="Q35" s="1220">
        <v>38.799999999999997</v>
      </c>
      <c r="R35" s="1220">
        <v>37.25</v>
      </c>
      <c r="S35" s="1220">
        <v>35.85</v>
      </c>
      <c r="T35" s="1220">
        <v>34.5</v>
      </c>
      <c r="U35" s="1220">
        <v>33.299999999999997</v>
      </c>
      <c r="V35" s="1220">
        <v>32.299999999999997</v>
      </c>
      <c r="W35" s="1220">
        <v>31.35</v>
      </c>
      <c r="X35" s="1220">
        <v>30.45</v>
      </c>
      <c r="Y35" s="1220">
        <v>29.6</v>
      </c>
      <c r="Z35" s="1206">
        <v>28.85</v>
      </c>
      <c r="AB35" s="1207">
        <v>37</v>
      </c>
      <c r="AC35" s="1208">
        <v>86.2</v>
      </c>
      <c r="AD35" s="1208">
        <v>80.349999999999994</v>
      </c>
      <c r="AE35" s="1208">
        <v>75.3</v>
      </c>
      <c r="AF35" s="1208">
        <v>70.75</v>
      </c>
      <c r="AG35" s="1208">
        <v>66.75</v>
      </c>
      <c r="AH35" s="1208">
        <v>63.15</v>
      </c>
      <c r="AI35" s="1208">
        <v>59.9</v>
      </c>
      <c r="AJ35" s="1208">
        <v>56.95</v>
      </c>
      <c r="AK35" s="1208">
        <v>54.3</v>
      </c>
      <c r="AL35" s="1208">
        <v>51.9</v>
      </c>
      <c r="AM35" s="1208">
        <v>49.65</v>
      </c>
      <c r="AN35" s="1208">
        <v>47.65</v>
      </c>
      <c r="AO35" s="1208">
        <v>45.8</v>
      </c>
      <c r="AP35" s="1208">
        <v>44.1</v>
      </c>
      <c r="AQ35" s="1208">
        <v>42.5</v>
      </c>
      <c r="AR35" s="1208">
        <v>41.05</v>
      </c>
      <c r="AS35" s="1208">
        <v>39.700000000000003</v>
      </c>
      <c r="AT35" s="1208">
        <v>38.5</v>
      </c>
      <c r="AU35" s="1208">
        <v>37.35</v>
      </c>
      <c r="AV35" s="1208">
        <v>36.299999999999997</v>
      </c>
      <c r="AW35" s="1208">
        <v>35.299999999999997</v>
      </c>
      <c r="AY35" s="827">
        <v>37</v>
      </c>
      <c r="AZ35" s="828">
        <v>2.48</v>
      </c>
      <c r="BA35" s="828">
        <v>2.4900000000000002</v>
      </c>
      <c r="BB35" s="828">
        <v>2.52</v>
      </c>
      <c r="BC35" s="828">
        <v>2.58</v>
      </c>
      <c r="BD35" s="828">
        <v>2.65</v>
      </c>
      <c r="BE35" s="828">
        <v>2.84</v>
      </c>
      <c r="BF35" s="828">
        <v>2.94</v>
      </c>
      <c r="BG35" s="828">
        <v>3.05</v>
      </c>
      <c r="BH35" s="828">
        <v>3.17</v>
      </c>
      <c r="BI35" s="828">
        <v>3.3</v>
      </c>
      <c r="BJ35" s="828">
        <v>3.49</v>
      </c>
      <c r="BK35" s="828">
        <v>3.63</v>
      </c>
      <c r="BL35" s="828">
        <v>3.79</v>
      </c>
      <c r="BM35" s="828">
        <v>3.94</v>
      </c>
      <c r="BN35" s="828">
        <v>4.0999999999999996</v>
      </c>
      <c r="BO35" s="828">
        <v>4.2699999999999996</v>
      </c>
      <c r="BP35" s="828">
        <v>4.43</v>
      </c>
      <c r="BQ35" s="828">
        <v>4.5999999999999996</v>
      </c>
      <c r="BR35" s="828">
        <v>4.7699999999999996</v>
      </c>
      <c r="BS35" s="828">
        <v>4.9400000000000004</v>
      </c>
      <c r="BT35" s="828">
        <v>5.1100000000000003</v>
      </c>
      <c r="BU35" s="828">
        <v>5.28</v>
      </c>
      <c r="BV35" s="828">
        <v>5.46</v>
      </c>
      <c r="BW35" s="828">
        <v>5.64</v>
      </c>
      <c r="BX35" s="828">
        <v>5.82</v>
      </c>
      <c r="BY35" s="828">
        <v>6.01</v>
      </c>
      <c r="BZ35" s="828">
        <v>6.19</v>
      </c>
      <c r="CA35" s="828">
        <v>6.38</v>
      </c>
      <c r="CB35" s="828">
        <v>6.58</v>
      </c>
      <c r="CC35" s="828">
        <v>6.77</v>
      </c>
      <c r="CD35" s="828">
        <v>6.97</v>
      </c>
      <c r="CQ35" s="1204">
        <v>31</v>
      </c>
      <c r="CR35" s="1243">
        <v>0.9</v>
      </c>
      <c r="CS35" s="1204"/>
      <c r="CT35" s="1236">
        <v>31</v>
      </c>
      <c r="CU35" s="1243">
        <v>0.9</v>
      </c>
      <c r="CX35" s="1237">
        <v>33</v>
      </c>
      <c r="CY35" s="1235">
        <v>1.75</v>
      </c>
      <c r="CZ35" s="1235">
        <v>1.7</v>
      </c>
      <c r="DA35" s="1235">
        <v>1.85</v>
      </c>
      <c r="DC35" s="1238">
        <v>18</v>
      </c>
      <c r="DD35" s="1239">
        <v>0.3</v>
      </c>
      <c r="DE35" s="1223"/>
      <c r="DF35" s="1238">
        <v>18</v>
      </c>
      <c r="DG35" s="1239">
        <v>0.6</v>
      </c>
      <c r="DI35" s="1240">
        <v>25</v>
      </c>
      <c r="DJ35" s="1243">
        <v>0.25</v>
      </c>
      <c r="DK35" s="1243">
        <v>0.3</v>
      </c>
      <c r="DL35" s="1243">
        <v>0.35</v>
      </c>
      <c r="DM35" s="1223"/>
      <c r="DT35" s="1204">
        <v>36</v>
      </c>
      <c r="DU35" s="1247">
        <v>0.55000000000000004</v>
      </c>
      <c r="DV35" s="1247">
        <v>0.75</v>
      </c>
      <c r="DW35" s="1247">
        <v>1.1000000000000001</v>
      </c>
      <c r="DX35" s="1222"/>
      <c r="DY35" s="1204">
        <v>36</v>
      </c>
      <c r="DZ35" s="1247">
        <v>0.55000000000000004</v>
      </c>
      <c r="EA35" s="1247">
        <v>0.7</v>
      </c>
      <c r="EB35" s="1247">
        <v>1.05</v>
      </c>
      <c r="EE35" s="1225">
        <v>19</v>
      </c>
      <c r="EF35" s="1226">
        <v>80.3</v>
      </c>
      <c r="EG35" s="1227">
        <v>54.55</v>
      </c>
      <c r="EH35" s="1227">
        <v>39.950000000000003</v>
      </c>
      <c r="EI35" s="1227">
        <v>31.15</v>
      </c>
      <c r="EK35" s="1228">
        <v>37</v>
      </c>
      <c r="EL35" s="1229">
        <v>10.48</v>
      </c>
      <c r="EM35" s="1229">
        <v>8.7899999999999991</v>
      </c>
      <c r="EN35" s="1229">
        <v>7.86</v>
      </c>
      <c r="EO35" s="1229">
        <v>7.31</v>
      </c>
      <c r="EP35" s="1216">
        <v>37</v>
      </c>
      <c r="EQ35" s="1230">
        <v>11.85</v>
      </c>
      <c r="ER35" s="1230">
        <v>9.9499999999999993</v>
      </c>
      <c r="ES35" s="1230">
        <v>8.92</v>
      </c>
      <c r="ET35" s="1214">
        <v>8.31</v>
      </c>
      <c r="EU35" s="1231">
        <v>37</v>
      </c>
      <c r="EV35" s="1232">
        <v>9.58</v>
      </c>
      <c r="EW35" s="1232">
        <v>8.0399999999999991</v>
      </c>
      <c r="EX35" s="1232">
        <v>7.19</v>
      </c>
      <c r="EY35" s="1229">
        <v>6.68</v>
      </c>
      <c r="EZ35" s="1233">
        <v>24</v>
      </c>
      <c r="FA35" s="1245">
        <v>1.35</v>
      </c>
      <c r="FB35" s="1245">
        <v>1.1000000000000001</v>
      </c>
      <c r="FC35" s="1234">
        <v>0</v>
      </c>
      <c r="FD35" s="1234">
        <v>0</v>
      </c>
      <c r="FF35" s="1229">
        <v>2</v>
      </c>
      <c r="FG35" s="1229">
        <v>1.65</v>
      </c>
      <c r="FH35" s="1234">
        <v>0</v>
      </c>
      <c r="FI35" s="1234">
        <v>0</v>
      </c>
    </row>
    <row r="36" spans="2:165" ht="15" customHeight="1">
      <c r="B36" s="1207">
        <v>28</v>
      </c>
      <c r="C36" s="1220">
        <v>89.95</v>
      </c>
      <c r="D36" s="1220">
        <v>82.4</v>
      </c>
      <c r="E36" s="1220">
        <v>75.900000000000006</v>
      </c>
      <c r="F36" s="1220">
        <v>71.400000000000006</v>
      </c>
      <c r="G36" s="1220">
        <v>66.400000000000006</v>
      </c>
      <c r="H36" s="1220">
        <v>62</v>
      </c>
      <c r="I36" s="1220">
        <v>58.1</v>
      </c>
      <c r="J36" s="1220">
        <v>54.6</v>
      </c>
      <c r="K36" s="1220">
        <v>51.5</v>
      </c>
      <c r="L36" s="1220">
        <v>48.9</v>
      </c>
      <c r="M36" s="1220">
        <v>46.5</v>
      </c>
      <c r="N36" s="1220">
        <v>44.35</v>
      </c>
      <c r="O36" s="1220">
        <v>42.35</v>
      </c>
      <c r="P36" s="1220">
        <v>40.549999999999997</v>
      </c>
      <c r="Q36" s="1220">
        <v>38.9</v>
      </c>
      <c r="R36" s="1220">
        <v>37.35</v>
      </c>
      <c r="S36" s="1220">
        <v>35.950000000000003</v>
      </c>
      <c r="T36" s="1220">
        <v>34.65</v>
      </c>
      <c r="U36" s="1220">
        <v>33.450000000000003</v>
      </c>
      <c r="V36" s="1220">
        <v>32.4</v>
      </c>
      <c r="W36" s="1220">
        <v>31.45</v>
      </c>
      <c r="X36" s="1220">
        <v>30.6</v>
      </c>
      <c r="Y36" s="1220">
        <v>29.8</v>
      </c>
      <c r="Z36" s="1206">
        <v>29</v>
      </c>
      <c r="AB36" s="1207">
        <v>38</v>
      </c>
      <c r="AC36" s="1208">
        <v>86.8</v>
      </c>
      <c r="AD36" s="1208">
        <v>81</v>
      </c>
      <c r="AE36" s="1208">
        <v>75.849999999999994</v>
      </c>
      <c r="AF36" s="1208">
        <v>71.349999999999994</v>
      </c>
      <c r="AG36" s="1208">
        <v>67.3</v>
      </c>
      <c r="AH36" s="1208">
        <v>63.7</v>
      </c>
      <c r="AI36" s="1208">
        <v>60.45</v>
      </c>
      <c r="AJ36" s="1208">
        <v>57.5</v>
      </c>
      <c r="AK36" s="1208">
        <v>54.85</v>
      </c>
      <c r="AL36" s="1208">
        <v>52.4</v>
      </c>
      <c r="AM36" s="1208">
        <v>50.2</v>
      </c>
      <c r="AN36" s="1208">
        <v>48.15</v>
      </c>
      <c r="AO36" s="1208">
        <v>46.3</v>
      </c>
      <c r="AP36" s="1208">
        <v>44.6</v>
      </c>
      <c r="AQ36" s="1208">
        <v>43.05</v>
      </c>
      <c r="AR36" s="1208">
        <v>41.6</v>
      </c>
      <c r="AS36" s="1208">
        <v>40.25</v>
      </c>
      <c r="AT36" s="1208">
        <v>39</v>
      </c>
      <c r="AU36" s="1208">
        <v>37.9</v>
      </c>
      <c r="AV36" s="1208">
        <v>36.85</v>
      </c>
      <c r="AW36" s="1208">
        <v>35.85</v>
      </c>
      <c r="AY36" s="827">
        <v>38</v>
      </c>
      <c r="AZ36" s="828">
        <v>2.64</v>
      </c>
      <c r="BA36" s="828">
        <v>2.66</v>
      </c>
      <c r="BB36" s="828">
        <v>2.71</v>
      </c>
      <c r="BC36" s="828">
        <v>2.78</v>
      </c>
      <c r="BD36" s="828">
        <v>2.87</v>
      </c>
      <c r="BE36" s="828">
        <v>3.08</v>
      </c>
      <c r="BF36" s="828">
        <v>3.19</v>
      </c>
      <c r="BG36" s="828">
        <v>3.32</v>
      </c>
      <c r="BH36" s="828">
        <v>3.45</v>
      </c>
      <c r="BI36" s="828">
        <v>3.6</v>
      </c>
      <c r="BJ36" s="828">
        <v>3.81</v>
      </c>
      <c r="BK36" s="828">
        <v>3.97</v>
      </c>
      <c r="BL36" s="828">
        <v>4.13</v>
      </c>
      <c r="BM36" s="828">
        <v>4.3</v>
      </c>
      <c r="BN36" s="828">
        <v>4.4800000000000004</v>
      </c>
      <c r="BO36" s="828">
        <v>4.6500000000000004</v>
      </c>
      <c r="BP36" s="828">
        <v>4.82</v>
      </c>
      <c r="BQ36" s="828">
        <v>5</v>
      </c>
      <c r="BR36" s="828">
        <v>5.18</v>
      </c>
      <c r="BS36" s="828">
        <v>5.36</v>
      </c>
      <c r="BT36" s="828">
        <v>5.54</v>
      </c>
      <c r="BU36" s="828">
        <v>5.73</v>
      </c>
      <c r="BV36" s="828">
        <v>5.92</v>
      </c>
      <c r="BW36" s="828">
        <v>6.11</v>
      </c>
      <c r="BX36" s="828">
        <v>6.3</v>
      </c>
      <c r="BY36" s="828">
        <v>6.5</v>
      </c>
      <c r="BZ36" s="828">
        <v>6.7</v>
      </c>
      <c r="CA36" s="828">
        <v>6.91</v>
      </c>
      <c r="CB36" s="828">
        <v>7.11</v>
      </c>
      <c r="CC36" s="828">
        <v>7.32</v>
      </c>
      <c r="CD36" s="828">
        <v>7.53</v>
      </c>
      <c r="CQ36" s="1204">
        <v>32</v>
      </c>
      <c r="CR36" s="1246">
        <v>0.95</v>
      </c>
      <c r="CS36" s="1204"/>
      <c r="CT36" s="1236">
        <v>32</v>
      </c>
      <c r="CU36" s="1246">
        <v>0.95</v>
      </c>
      <c r="CX36" s="1242">
        <v>34</v>
      </c>
      <c r="CY36" s="1235">
        <v>1.85</v>
      </c>
      <c r="CZ36" s="1235">
        <v>1.85</v>
      </c>
      <c r="DA36" s="1235">
        <v>2</v>
      </c>
      <c r="DC36" s="1238">
        <v>19</v>
      </c>
      <c r="DD36" s="1239">
        <v>0.3</v>
      </c>
      <c r="DE36" s="1223"/>
      <c r="DF36" s="1238">
        <v>19</v>
      </c>
      <c r="DG36" s="1239">
        <v>1</v>
      </c>
      <c r="DI36" s="1240">
        <v>26</v>
      </c>
      <c r="DJ36" s="1243">
        <v>0.3</v>
      </c>
      <c r="DK36" s="1243">
        <v>0.3</v>
      </c>
      <c r="DL36" s="1243">
        <v>0.35</v>
      </c>
      <c r="DM36" s="1223"/>
      <c r="DT36" s="1204">
        <v>37</v>
      </c>
      <c r="DU36" s="1241">
        <v>0.6</v>
      </c>
      <c r="DV36" s="1241">
        <v>0.8</v>
      </c>
      <c r="DW36" s="1241">
        <v>1.2</v>
      </c>
      <c r="DX36" s="1222"/>
      <c r="DY36" s="1204">
        <v>37</v>
      </c>
      <c r="DZ36" s="1241">
        <v>0.55000000000000004</v>
      </c>
      <c r="EA36" s="1241">
        <v>0.8</v>
      </c>
      <c r="EB36" s="1241">
        <v>1.1499999999999999</v>
      </c>
      <c r="EE36" s="1225">
        <v>20</v>
      </c>
      <c r="EF36" s="1226">
        <v>80.3</v>
      </c>
      <c r="EG36" s="1227">
        <v>54.55</v>
      </c>
      <c r="EH36" s="1227">
        <v>39.950000000000003</v>
      </c>
      <c r="EI36" s="1227">
        <v>31.15</v>
      </c>
      <c r="EK36" s="1228">
        <v>38</v>
      </c>
      <c r="EL36" s="1229">
        <v>11.28</v>
      </c>
      <c r="EM36" s="1229">
        <v>9.4700000000000006</v>
      </c>
      <c r="EN36" s="1229">
        <v>8.48</v>
      </c>
      <c r="EO36" s="1229">
        <v>7.89</v>
      </c>
      <c r="EP36" s="1216">
        <v>38</v>
      </c>
      <c r="EQ36" s="1230">
        <v>12.66</v>
      </c>
      <c r="ER36" s="1230">
        <v>10.64</v>
      </c>
      <c r="ES36" s="1230">
        <v>9.5500000000000007</v>
      </c>
      <c r="ET36" s="1214">
        <v>8.91</v>
      </c>
      <c r="EU36" s="1231" t="s">
        <v>892</v>
      </c>
      <c r="EV36" s="1232">
        <v>10.11</v>
      </c>
      <c r="EW36" s="1232">
        <v>8.49</v>
      </c>
      <c r="EX36" s="1232">
        <v>7.59</v>
      </c>
      <c r="EY36" s="1229">
        <v>7.06</v>
      </c>
      <c r="EZ36" s="1233">
        <v>25</v>
      </c>
      <c r="FA36" s="1245">
        <v>1.35</v>
      </c>
      <c r="FB36" s="1245">
        <v>1.1499999999999999</v>
      </c>
      <c r="FC36" s="1245">
        <v>1</v>
      </c>
      <c r="FD36" s="1234">
        <v>0</v>
      </c>
      <c r="FF36" s="1229">
        <v>2</v>
      </c>
      <c r="FG36" s="1229">
        <v>1.7</v>
      </c>
      <c r="FH36" s="1229">
        <v>1.5</v>
      </c>
      <c r="FI36" s="1234">
        <v>0</v>
      </c>
    </row>
    <row r="37" spans="2:165" ht="15" customHeight="1">
      <c r="B37" s="1207">
        <v>29</v>
      </c>
      <c r="C37" s="1220">
        <v>90</v>
      </c>
      <c r="D37" s="1220">
        <v>82.4</v>
      </c>
      <c r="E37" s="1220">
        <v>75.95</v>
      </c>
      <c r="F37" s="1220">
        <v>71.45</v>
      </c>
      <c r="G37" s="1220">
        <v>66.45</v>
      </c>
      <c r="H37" s="1220">
        <v>62.05</v>
      </c>
      <c r="I37" s="1220">
        <v>58.15</v>
      </c>
      <c r="J37" s="1220">
        <v>54.65</v>
      </c>
      <c r="K37" s="1220">
        <v>51.55</v>
      </c>
      <c r="L37" s="1220">
        <v>48.95</v>
      </c>
      <c r="M37" s="1220">
        <v>46.6</v>
      </c>
      <c r="N37" s="1220">
        <v>44.45</v>
      </c>
      <c r="O37" s="1220">
        <v>42.45</v>
      </c>
      <c r="P37" s="1220">
        <v>40.65</v>
      </c>
      <c r="Q37" s="1220">
        <v>39</v>
      </c>
      <c r="R37" s="1220">
        <v>37.450000000000003</v>
      </c>
      <c r="S37" s="1220">
        <v>36.049999999999997</v>
      </c>
      <c r="T37" s="1220">
        <v>34.75</v>
      </c>
      <c r="U37" s="1220">
        <v>33.6</v>
      </c>
      <c r="V37" s="1220">
        <v>32.549999999999997</v>
      </c>
      <c r="W37" s="1220">
        <v>31.65</v>
      </c>
      <c r="X37" s="1220">
        <v>30.75</v>
      </c>
      <c r="Y37" s="1220">
        <v>29.95</v>
      </c>
      <c r="Z37" s="1206">
        <v>29.2</v>
      </c>
      <c r="AB37" s="1207">
        <v>39</v>
      </c>
      <c r="AC37" s="1208">
        <v>87.5</v>
      </c>
      <c r="AD37" s="1208">
        <v>81.650000000000006</v>
      </c>
      <c r="AE37" s="1208">
        <v>76.5</v>
      </c>
      <c r="AF37" s="1208">
        <v>71.95</v>
      </c>
      <c r="AG37" s="1208">
        <v>67.900000000000006</v>
      </c>
      <c r="AH37" s="1208">
        <v>64.3</v>
      </c>
      <c r="AI37" s="1208">
        <v>61.05</v>
      </c>
      <c r="AJ37" s="1208">
        <v>58.1</v>
      </c>
      <c r="AK37" s="1208">
        <v>55.4</v>
      </c>
      <c r="AL37" s="1208">
        <v>53</v>
      </c>
      <c r="AM37" s="1208">
        <v>50.75</v>
      </c>
      <c r="AN37" s="1208">
        <v>48.75</v>
      </c>
      <c r="AO37" s="1208">
        <v>46.9</v>
      </c>
      <c r="AP37" s="1208">
        <v>45.2</v>
      </c>
      <c r="AQ37" s="1208">
        <v>43.6</v>
      </c>
      <c r="AR37" s="1208">
        <v>42.15</v>
      </c>
      <c r="AS37" s="1208">
        <v>40.85</v>
      </c>
      <c r="AT37" s="1208">
        <v>39.6</v>
      </c>
      <c r="AU37" s="1208">
        <v>38.450000000000003</v>
      </c>
      <c r="AV37" s="1208">
        <v>37.450000000000003</v>
      </c>
      <c r="AW37" s="1208">
        <v>36.450000000000003</v>
      </c>
      <c r="AY37" s="827">
        <v>39</v>
      </c>
      <c r="AZ37" s="828">
        <v>2.82</v>
      </c>
      <c r="BA37" s="828">
        <v>2.86</v>
      </c>
      <c r="BB37" s="828">
        <v>2.92</v>
      </c>
      <c r="BC37" s="828">
        <v>3.01</v>
      </c>
      <c r="BD37" s="828">
        <v>3.11</v>
      </c>
      <c r="BE37" s="828">
        <v>3.35</v>
      </c>
      <c r="BF37" s="828">
        <v>3.48</v>
      </c>
      <c r="BG37" s="828">
        <v>3.63</v>
      </c>
      <c r="BH37" s="828">
        <v>3.78</v>
      </c>
      <c r="BI37" s="828">
        <v>3.94</v>
      </c>
      <c r="BJ37" s="828">
        <v>4.71</v>
      </c>
      <c r="BK37" s="828">
        <v>4.34</v>
      </c>
      <c r="BL37" s="828">
        <v>4.5199999999999996</v>
      </c>
      <c r="BM37" s="828">
        <v>4.7</v>
      </c>
      <c r="BN37" s="828">
        <v>4.88</v>
      </c>
      <c r="BO37" s="828">
        <v>5.07</v>
      </c>
      <c r="BP37" s="828">
        <v>5.25</v>
      </c>
      <c r="BQ37" s="828">
        <v>5.44</v>
      </c>
      <c r="BR37" s="828">
        <v>5.63</v>
      </c>
      <c r="BS37" s="828">
        <v>5.82</v>
      </c>
      <c r="BT37" s="828">
        <v>6.02</v>
      </c>
      <c r="BU37" s="828">
        <v>6.21</v>
      </c>
      <c r="BV37" s="828">
        <v>6.42</v>
      </c>
      <c r="BW37" s="828">
        <v>6.62</v>
      </c>
      <c r="BX37" s="828">
        <v>6.83</v>
      </c>
      <c r="BY37" s="828">
        <v>7.04</v>
      </c>
      <c r="BZ37" s="828">
        <v>7.26</v>
      </c>
      <c r="CA37" s="828">
        <v>7.47</v>
      </c>
      <c r="CB37" s="828">
        <v>7.69</v>
      </c>
      <c r="CC37" s="828">
        <v>7.92</v>
      </c>
      <c r="CD37" s="828">
        <v>8.14</v>
      </c>
      <c r="CQ37" s="1204">
        <v>33</v>
      </c>
      <c r="CR37" s="1246">
        <v>1</v>
      </c>
      <c r="CS37" s="1204"/>
      <c r="CT37" s="1236">
        <v>33</v>
      </c>
      <c r="CU37" s="1246">
        <v>1.05</v>
      </c>
      <c r="CX37" s="1237">
        <v>35</v>
      </c>
      <c r="CY37" s="1235">
        <v>2.1</v>
      </c>
      <c r="CZ37" s="1235">
        <v>2</v>
      </c>
      <c r="DA37" s="1235">
        <v>2.15</v>
      </c>
      <c r="DC37" s="1238">
        <v>20</v>
      </c>
      <c r="DD37" s="1239">
        <v>0.35</v>
      </c>
      <c r="DE37" s="1223"/>
      <c r="DF37" s="1238">
        <v>20</v>
      </c>
      <c r="DG37" s="1239">
        <v>1</v>
      </c>
      <c r="DI37" s="1240">
        <v>27</v>
      </c>
      <c r="DJ37" s="1243">
        <v>0.3</v>
      </c>
      <c r="DK37" s="1243">
        <v>0.35</v>
      </c>
      <c r="DL37" s="1243">
        <v>0.4</v>
      </c>
      <c r="DM37" s="1223"/>
      <c r="DT37" s="1204">
        <v>38</v>
      </c>
      <c r="DU37" s="1241">
        <v>0.65</v>
      </c>
      <c r="DV37" s="1241">
        <v>0.9</v>
      </c>
      <c r="DW37" s="1241">
        <v>1.3</v>
      </c>
      <c r="DX37" s="1222"/>
      <c r="DY37" s="1204">
        <v>38</v>
      </c>
      <c r="DZ37" s="1241">
        <v>0.6</v>
      </c>
      <c r="EA37" s="1241">
        <v>0.85</v>
      </c>
      <c r="EB37" s="1241">
        <v>1.25</v>
      </c>
      <c r="EE37" s="1225">
        <v>21</v>
      </c>
      <c r="EF37" s="1226">
        <v>80.3</v>
      </c>
      <c r="EG37" s="1227">
        <v>54.55</v>
      </c>
      <c r="EH37" s="1227">
        <v>39.950000000000003</v>
      </c>
      <c r="EI37" s="1227">
        <v>31.2</v>
      </c>
      <c r="EK37" s="1228">
        <v>39</v>
      </c>
      <c r="EL37" s="1229">
        <v>12.14</v>
      </c>
      <c r="EM37" s="1229">
        <v>10.199999999999999</v>
      </c>
      <c r="EN37" s="1229">
        <v>9.14</v>
      </c>
      <c r="EO37" s="1229">
        <v>8.52</v>
      </c>
      <c r="EP37" s="1216">
        <v>39</v>
      </c>
      <c r="EQ37" s="1230">
        <v>13.5</v>
      </c>
      <c r="ER37" s="1230">
        <v>11.37</v>
      </c>
      <c r="ES37" s="1230">
        <v>10.210000000000001</v>
      </c>
      <c r="ET37" s="1214">
        <v>9.5299999999999994</v>
      </c>
      <c r="EU37" s="1231">
        <v>39</v>
      </c>
      <c r="EV37" s="1232">
        <v>10.65</v>
      </c>
      <c r="EW37" s="1232">
        <v>8.9499999999999993</v>
      </c>
      <c r="EX37" s="1232">
        <v>8.01</v>
      </c>
      <c r="EY37" s="1229">
        <v>7.45</v>
      </c>
      <c r="EZ37" s="1233">
        <v>26</v>
      </c>
      <c r="FA37" s="1245">
        <v>1.4</v>
      </c>
      <c r="FB37" s="1245">
        <v>1.1499999999999999</v>
      </c>
      <c r="FC37" s="1245">
        <v>1.05</v>
      </c>
      <c r="FD37" s="1234">
        <v>0</v>
      </c>
      <c r="FF37" s="1229">
        <v>2.0499999999999998</v>
      </c>
      <c r="FG37" s="1229">
        <v>1.75</v>
      </c>
      <c r="FH37" s="1229">
        <v>1.55</v>
      </c>
      <c r="FI37" s="1234">
        <v>0</v>
      </c>
    </row>
    <row r="38" spans="2:165" ht="15" customHeight="1">
      <c r="B38" s="1207">
        <v>30</v>
      </c>
      <c r="C38" s="1220">
        <v>90.05</v>
      </c>
      <c r="D38" s="1220">
        <v>82.45</v>
      </c>
      <c r="E38" s="1220">
        <v>76</v>
      </c>
      <c r="F38" s="1220">
        <v>71.5</v>
      </c>
      <c r="G38" s="1220">
        <v>66.5</v>
      </c>
      <c r="H38" s="1220">
        <v>62.1</v>
      </c>
      <c r="I38" s="1220">
        <v>58.2</v>
      </c>
      <c r="J38" s="1220">
        <v>54.75</v>
      </c>
      <c r="K38" s="1220">
        <v>51.65</v>
      </c>
      <c r="L38" s="1220">
        <v>49.05</v>
      </c>
      <c r="M38" s="1220">
        <v>46.7</v>
      </c>
      <c r="N38" s="1220">
        <v>44.55</v>
      </c>
      <c r="O38" s="1220">
        <v>42.55</v>
      </c>
      <c r="P38" s="1220">
        <v>40.75</v>
      </c>
      <c r="Q38" s="1220">
        <v>39.1</v>
      </c>
      <c r="R38" s="1220">
        <v>37.6</v>
      </c>
      <c r="S38" s="1220">
        <v>36.200000000000003</v>
      </c>
      <c r="T38" s="1220">
        <v>34.950000000000003</v>
      </c>
      <c r="U38" s="1220">
        <v>33.75</v>
      </c>
      <c r="V38" s="1220">
        <v>32.75</v>
      </c>
      <c r="W38" s="1220">
        <v>31.8</v>
      </c>
      <c r="X38" s="1220">
        <v>30.95</v>
      </c>
      <c r="Y38" s="1220">
        <v>30.15</v>
      </c>
      <c r="Z38" s="1206">
        <v>29.4</v>
      </c>
      <c r="AB38" s="1207">
        <v>40</v>
      </c>
      <c r="AC38" s="1208">
        <v>88.2</v>
      </c>
      <c r="AD38" s="1208">
        <v>82.35</v>
      </c>
      <c r="AE38" s="1208">
        <v>77.2</v>
      </c>
      <c r="AF38" s="1208">
        <v>72.599999999999994</v>
      </c>
      <c r="AG38" s="1208">
        <v>68.55</v>
      </c>
      <c r="AH38" s="1208">
        <v>64.900000000000006</v>
      </c>
      <c r="AI38" s="1208">
        <v>61.65</v>
      </c>
      <c r="AJ38" s="1208">
        <v>58.7</v>
      </c>
      <c r="AK38" s="1208">
        <v>56.05</v>
      </c>
      <c r="AL38" s="1208">
        <v>53.6</v>
      </c>
      <c r="AM38" s="1208">
        <v>51.4</v>
      </c>
      <c r="AN38" s="1208">
        <v>49.35</v>
      </c>
      <c r="AO38" s="1208">
        <v>47.5</v>
      </c>
      <c r="AP38" s="1208">
        <v>45.8</v>
      </c>
      <c r="AQ38" s="1208">
        <v>44.2</v>
      </c>
      <c r="AR38" s="1208">
        <v>42.75</v>
      </c>
      <c r="AS38" s="1208">
        <v>41.45</v>
      </c>
      <c r="AT38" s="1208">
        <v>40.200000000000003</v>
      </c>
      <c r="AU38" s="1208">
        <v>39.1</v>
      </c>
      <c r="AV38" s="1208">
        <v>38.049999999999997</v>
      </c>
      <c r="AW38" s="1208">
        <v>37.1</v>
      </c>
      <c r="AY38" s="827">
        <v>40</v>
      </c>
      <c r="AZ38" s="828">
        <v>3.04</v>
      </c>
      <c r="BA38" s="828">
        <v>3.09</v>
      </c>
      <c r="BB38" s="828">
        <v>3.17</v>
      </c>
      <c r="BC38" s="828">
        <v>3.27</v>
      </c>
      <c r="BD38" s="828">
        <v>3.3</v>
      </c>
      <c r="BE38" s="828">
        <v>3.67</v>
      </c>
      <c r="BF38" s="828">
        <v>3.81</v>
      </c>
      <c r="BG38" s="828">
        <v>3.97</v>
      </c>
      <c r="BH38" s="828">
        <v>4.1399999999999997</v>
      </c>
      <c r="BI38" s="828">
        <v>4.32</v>
      </c>
      <c r="BJ38" s="828">
        <v>4.57</v>
      </c>
      <c r="BK38" s="828">
        <v>4.75</v>
      </c>
      <c r="BL38" s="828">
        <v>4.9400000000000004</v>
      </c>
      <c r="BM38" s="828">
        <v>5.13</v>
      </c>
      <c r="BN38" s="828">
        <v>5.32</v>
      </c>
      <c r="BO38" s="828">
        <v>5.52</v>
      </c>
      <c r="BP38" s="828">
        <v>5.72</v>
      </c>
      <c r="BQ38" s="828">
        <v>5.91</v>
      </c>
      <c r="BR38" s="828">
        <v>6.12</v>
      </c>
      <c r="BS38" s="828">
        <v>6.32</v>
      </c>
      <c r="BT38" s="828">
        <v>6.53</v>
      </c>
      <c r="BU38" s="828">
        <v>6.74</v>
      </c>
      <c r="BV38" s="828">
        <v>6.96</v>
      </c>
      <c r="BW38" s="828">
        <v>7.18</v>
      </c>
      <c r="BX38" s="828">
        <v>7.4</v>
      </c>
      <c r="BY38" s="828">
        <v>7.63</v>
      </c>
      <c r="BZ38" s="828">
        <v>7.86</v>
      </c>
      <c r="CA38" s="828">
        <v>8.09</v>
      </c>
      <c r="CB38" s="828">
        <v>8.32</v>
      </c>
      <c r="CC38" s="828">
        <v>8.56</v>
      </c>
      <c r="CD38" s="828">
        <v>8.7899999999999991</v>
      </c>
      <c r="CQ38" s="1204">
        <v>34</v>
      </c>
      <c r="CR38" s="1246">
        <v>1.1000000000000001</v>
      </c>
      <c r="CS38" s="1204"/>
      <c r="CT38" s="1236">
        <v>34</v>
      </c>
      <c r="CU38" s="1246">
        <v>1.1000000000000001</v>
      </c>
      <c r="CX38" s="1242">
        <v>36</v>
      </c>
      <c r="CY38" s="1235">
        <v>2.2000000000000002</v>
      </c>
      <c r="CZ38" s="1235">
        <v>2.15</v>
      </c>
      <c r="DA38" s="1235">
        <v>2.35</v>
      </c>
      <c r="DC38" s="1238">
        <v>21</v>
      </c>
      <c r="DD38" s="1239">
        <v>0.4</v>
      </c>
      <c r="DE38" s="1223"/>
      <c r="DF38" s="1238">
        <v>21</v>
      </c>
      <c r="DG38" s="1239">
        <v>1</v>
      </c>
      <c r="DI38" s="1240">
        <v>28</v>
      </c>
      <c r="DJ38" s="1243">
        <v>0.3</v>
      </c>
      <c r="DK38" s="1243">
        <v>0.35</v>
      </c>
      <c r="DL38" s="1243">
        <v>0.4</v>
      </c>
      <c r="DM38" s="1223"/>
      <c r="DT38" s="1204">
        <v>39</v>
      </c>
      <c r="DU38" s="1241">
        <v>0.7</v>
      </c>
      <c r="DV38" s="1241">
        <v>1</v>
      </c>
      <c r="DW38" s="1241">
        <v>1.45</v>
      </c>
      <c r="DX38" s="1222"/>
      <c r="DY38" s="1204">
        <v>39</v>
      </c>
      <c r="DZ38" s="1241">
        <v>0.7</v>
      </c>
      <c r="EA38" s="1241">
        <v>0.95</v>
      </c>
      <c r="EB38" s="1241">
        <v>1.35</v>
      </c>
      <c r="EE38" s="1225">
        <v>22</v>
      </c>
      <c r="EF38" s="1226">
        <v>80.3</v>
      </c>
      <c r="EG38" s="1227">
        <v>54.55</v>
      </c>
      <c r="EH38" s="1227">
        <v>39.950000000000003</v>
      </c>
      <c r="EI38" s="1227">
        <v>31.25</v>
      </c>
      <c r="EK38" s="1228">
        <v>40</v>
      </c>
      <c r="EL38" s="1229">
        <v>13.07</v>
      </c>
      <c r="EM38" s="1229">
        <v>10.99</v>
      </c>
      <c r="EN38" s="1229">
        <v>9.86</v>
      </c>
      <c r="EO38" s="1229">
        <v>9.19</v>
      </c>
      <c r="EP38" s="1216">
        <v>40</v>
      </c>
      <c r="EQ38" s="1230">
        <v>14.38</v>
      </c>
      <c r="ER38" s="1230">
        <v>12.11</v>
      </c>
      <c r="ES38" s="1230">
        <v>10.89</v>
      </c>
      <c r="ET38" s="1214">
        <v>10.17</v>
      </c>
      <c r="EU38" s="1231">
        <v>40</v>
      </c>
      <c r="EV38" s="1232">
        <v>11.21</v>
      </c>
      <c r="EW38" s="1232">
        <v>9.43</v>
      </c>
      <c r="EX38" s="1232">
        <v>8.44</v>
      </c>
      <c r="EY38" s="1229">
        <v>7.86</v>
      </c>
      <c r="EZ38" s="1233">
        <v>27</v>
      </c>
      <c r="FA38" s="1245">
        <v>1.4</v>
      </c>
      <c r="FB38" s="1245">
        <v>1.2</v>
      </c>
      <c r="FC38" s="1245">
        <v>1.05</v>
      </c>
      <c r="FD38" s="1234">
        <v>0</v>
      </c>
      <c r="FF38" s="1229">
        <v>2.1</v>
      </c>
      <c r="FG38" s="1229">
        <v>1.75</v>
      </c>
      <c r="FH38" s="1229">
        <v>1.55</v>
      </c>
      <c r="FI38" s="1234">
        <v>0</v>
      </c>
    </row>
    <row r="39" spans="2:165" ht="15" customHeight="1">
      <c r="B39" s="1207">
        <v>31</v>
      </c>
      <c r="C39" s="1220">
        <v>90.1</v>
      </c>
      <c r="D39" s="1220">
        <v>82.5</v>
      </c>
      <c r="E39" s="1220">
        <v>76.05</v>
      </c>
      <c r="F39" s="1220">
        <v>71.55</v>
      </c>
      <c r="G39" s="1220">
        <v>66.55</v>
      </c>
      <c r="H39" s="1220">
        <v>62.15</v>
      </c>
      <c r="I39" s="1220">
        <v>58.3</v>
      </c>
      <c r="J39" s="1220">
        <v>54.85</v>
      </c>
      <c r="K39" s="1220">
        <v>51.75</v>
      </c>
      <c r="L39" s="1220">
        <v>49.15</v>
      </c>
      <c r="M39" s="1220">
        <v>46.8</v>
      </c>
      <c r="N39" s="1220">
        <v>44.65</v>
      </c>
      <c r="O39" s="1220">
        <v>42.7</v>
      </c>
      <c r="P39" s="1220">
        <v>40.9</v>
      </c>
      <c r="Q39" s="1220">
        <v>39.25</v>
      </c>
      <c r="R39" s="1220">
        <v>37.75</v>
      </c>
      <c r="S39" s="1220">
        <v>36.4</v>
      </c>
      <c r="T39" s="1220">
        <v>35.1</v>
      </c>
      <c r="U39" s="1220">
        <v>33.950000000000003</v>
      </c>
      <c r="V39" s="1220">
        <v>32.950000000000003</v>
      </c>
      <c r="W39" s="1220">
        <v>32</v>
      </c>
      <c r="X39" s="1220">
        <v>31.15</v>
      </c>
      <c r="Y39" s="1220">
        <v>30.4</v>
      </c>
      <c r="Z39" s="1206">
        <v>29.65</v>
      </c>
      <c r="AB39" s="1207">
        <v>41</v>
      </c>
      <c r="AC39" s="1208">
        <v>88.95</v>
      </c>
      <c r="AD39" s="1208">
        <v>83.05</v>
      </c>
      <c r="AE39" s="1208">
        <v>77.900000000000006</v>
      </c>
      <c r="AF39" s="1208">
        <v>73.3</v>
      </c>
      <c r="AG39" s="1208">
        <v>69.25</v>
      </c>
      <c r="AH39" s="1208">
        <v>65.599999999999994</v>
      </c>
      <c r="AI39" s="1208">
        <v>62.3</v>
      </c>
      <c r="AJ39" s="1208">
        <v>59.35</v>
      </c>
      <c r="AK39" s="1208">
        <v>56.7</v>
      </c>
      <c r="AL39" s="1208">
        <v>54.25</v>
      </c>
      <c r="AM39" s="1208">
        <v>52</v>
      </c>
      <c r="AN39" s="1208">
        <v>50</v>
      </c>
      <c r="AO39" s="1208">
        <v>48.15</v>
      </c>
      <c r="AP39" s="1208">
        <v>46.4</v>
      </c>
      <c r="AQ39" s="1208">
        <v>44.85</v>
      </c>
      <c r="AR39" s="1208">
        <v>43.4</v>
      </c>
      <c r="AS39" s="1208">
        <v>42.1</v>
      </c>
      <c r="AT39" s="1208">
        <v>40.9</v>
      </c>
      <c r="AU39" s="1208">
        <v>39.75</v>
      </c>
      <c r="AV39" s="1208">
        <v>38.75</v>
      </c>
      <c r="AW39" s="1220">
        <v>0</v>
      </c>
      <c r="AY39" s="827">
        <v>41</v>
      </c>
      <c r="AZ39" s="828">
        <v>3.28</v>
      </c>
      <c r="BA39" s="828">
        <v>3.35</v>
      </c>
      <c r="BB39" s="828">
        <v>3.45</v>
      </c>
      <c r="BC39" s="828">
        <v>3.57</v>
      </c>
      <c r="BD39" s="828">
        <v>3.72</v>
      </c>
      <c r="BE39" s="828">
        <v>4.0199999999999996</v>
      </c>
      <c r="BF39" s="828">
        <v>4.1900000000000004</v>
      </c>
      <c r="BG39" s="828">
        <v>4.3600000000000003</v>
      </c>
      <c r="BH39" s="828">
        <v>4.54</v>
      </c>
      <c r="BI39" s="828">
        <v>4.7300000000000004</v>
      </c>
      <c r="BJ39" s="828">
        <v>5</v>
      </c>
      <c r="BK39" s="828">
        <v>5.2</v>
      </c>
      <c r="BL39" s="828">
        <v>5.4</v>
      </c>
      <c r="BM39" s="828">
        <v>5.6</v>
      </c>
      <c r="BN39" s="828">
        <v>5.8</v>
      </c>
      <c r="BO39" s="828">
        <v>6.01</v>
      </c>
      <c r="BP39" s="828">
        <v>6.22</v>
      </c>
      <c r="BQ39" s="828">
        <v>6.43</v>
      </c>
      <c r="BR39" s="828">
        <v>6.65</v>
      </c>
      <c r="BS39" s="828">
        <v>6.86</v>
      </c>
      <c r="BT39" s="828">
        <v>7.09</v>
      </c>
      <c r="BU39" s="828">
        <v>7.31</v>
      </c>
      <c r="BV39" s="828">
        <v>7.54</v>
      </c>
      <c r="BW39" s="828">
        <v>7.78</v>
      </c>
      <c r="BX39" s="828">
        <v>8.02</v>
      </c>
      <c r="BY39" s="828">
        <v>8.26</v>
      </c>
      <c r="BZ39" s="828">
        <v>8.5</v>
      </c>
      <c r="CA39" s="828">
        <v>8.75</v>
      </c>
      <c r="CB39" s="828">
        <v>9</v>
      </c>
      <c r="CC39" s="828">
        <v>9.25</v>
      </c>
      <c r="CD39" s="828"/>
      <c r="CQ39" s="1204">
        <v>35</v>
      </c>
      <c r="CR39" s="1246">
        <v>1.1499999999999999</v>
      </c>
      <c r="CS39" s="1204"/>
      <c r="CT39" s="1236">
        <v>35</v>
      </c>
      <c r="CU39" s="1246">
        <v>1.2</v>
      </c>
      <c r="CX39" s="1237">
        <v>37</v>
      </c>
      <c r="CY39" s="1235">
        <v>2.35</v>
      </c>
      <c r="CZ39" s="1235">
        <v>2.35</v>
      </c>
      <c r="DA39" s="1235">
        <v>2.5499999999999998</v>
      </c>
      <c r="DC39" s="1238">
        <v>22</v>
      </c>
      <c r="DD39" s="1239">
        <v>0.5</v>
      </c>
      <c r="DE39" s="1223"/>
      <c r="DF39" s="1238">
        <v>22</v>
      </c>
      <c r="DG39" s="1239">
        <v>1</v>
      </c>
      <c r="DI39" s="1240">
        <v>29</v>
      </c>
      <c r="DJ39" s="1243">
        <v>0.3</v>
      </c>
      <c r="DK39" s="1243">
        <v>0.35</v>
      </c>
      <c r="DL39" s="1243">
        <v>0.45</v>
      </c>
      <c r="DM39" s="1223"/>
      <c r="DT39" s="1204">
        <v>40</v>
      </c>
      <c r="DU39" s="1241">
        <v>0.75</v>
      </c>
      <c r="DV39" s="1241">
        <v>1.1000000000000001</v>
      </c>
      <c r="DW39" s="1241">
        <v>1.55</v>
      </c>
      <c r="DX39" s="1222"/>
      <c r="DY39" s="1204">
        <v>40</v>
      </c>
      <c r="DZ39" s="1241">
        <v>0.75</v>
      </c>
      <c r="EA39" s="1241">
        <v>1</v>
      </c>
      <c r="EB39" s="1241">
        <v>1.45</v>
      </c>
      <c r="EE39" s="1225">
        <v>23</v>
      </c>
      <c r="EF39" s="1226">
        <v>80.3</v>
      </c>
      <c r="EG39" s="1227">
        <v>54.55</v>
      </c>
      <c r="EH39" s="1227">
        <v>39.950000000000003</v>
      </c>
      <c r="EI39" s="1227">
        <v>31.3</v>
      </c>
      <c r="EK39" s="1228">
        <v>41</v>
      </c>
      <c r="EL39" s="1229">
        <v>13.59</v>
      </c>
      <c r="EM39" s="1229">
        <v>11.44</v>
      </c>
      <c r="EN39" s="1229">
        <v>10.27</v>
      </c>
      <c r="EO39" s="1234"/>
      <c r="EP39" s="1216">
        <v>41</v>
      </c>
      <c r="EQ39" s="1230">
        <v>14.92</v>
      </c>
      <c r="ER39" s="1230">
        <v>12.59</v>
      </c>
      <c r="ES39" s="1230">
        <v>11.33</v>
      </c>
      <c r="ET39" s="1248"/>
      <c r="EU39" s="1231">
        <v>41</v>
      </c>
      <c r="EV39" s="1232">
        <v>11.54</v>
      </c>
      <c r="EW39" s="1232">
        <v>9.7100000000000009</v>
      </c>
      <c r="EX39" s="1232">
        <v>8.7100000000000009</v>
      </c>
      <c r="EY39" s="1234"/>
      <c r="EZ39" s="1233">
        <v>28</v>
      </c>
      <c r="FA39" s="1245">
        <v>1.45</v>
      </c>
      <c r="FB39" s="1245">
        <v>1.2</v>
      </c>
      <c r="FC39" s="1245">
        <v>1.05</v>
      </c>
      <c r="FD39" s="1234">
        <v>0</v>
      </c>
      <c r="FF39" s="1229">
        <v>2.15</v>
      </c>
      <c r="FG39" s="1229" t="s">
        <v>897</v>
      </c>
      <c r="FH39" s="1229">
        <v>1.6</v>
      </c>
      <c r="FI39" s="1234">
        <v>0</v>
      </c>
    </row>
    <row r="40" spans="2:165" ht="15" customHeight="1">
      <c r="B40" s="1207">
        <v>32</v>
      </c>
      <c r="C40" s="1220">
        <v>90.15</v>
      </c>
      <c r="D40" s="1220">
        <v>82.6</v>
      </c>
      <c r="E40" s="1220">
        <v>76.099999999999994</v>
      </c>
      <c r="F40" s="1220">
        <v>71.599999999999994</v>
      </c>
      <c r="G40" s="1220">
        <v>66.650000000000006</v>
      </c>
      <c r="H40" s="1220">
        <v>62.25</v>
      </c>
      <c r="I40" s="1220">
        <v>58.4</v>
      </c>
      <c r="J40" s="1220">
        <v>54.95</v>
      </c>
      <c r="K40" s="1220">
        <v>51.85</v>
      </c>
      <c r="L40" s="1220">
        <v>49.25</v>
      </c>
      <c r="M40" s="1220">
        <v>46.95</v>
      </c>
      <c r="N40" s="1220">
        <v>44.8</v>
      </c>
      <c r="O40" s="1220">
        <v>42.85</v>
      </c>
      <c r="P40" s="1220">
        <v>41.05</v>
      </c>
      <c r="Q40" s="1220">
        <v>39.450000000000003</v>
      </c>
      <c r="R40" s="1220">
        <v>37.950000000000003</v>
      </c>
      <c r="S40" s="1220">
        <v>36.549999999999997</v>
      </c>
      <c r="T40" s="1220">
        <v>35.299999999999997</v>
      </c>
      <c r="U40" s="1220">
        <v>34.15</v>
      </c>
      <c r="V40" s="1220">
        <v>33.15</v>
      </c>
      <c r="W40" s="1220">
        <v>32.25</v>
      </c>
      <c r="X40" s="1220">
        <v>31.4</v>
      </c>
      <c r="Y40" s="1220">
        <v>30.65</v>
      </c>
      <c r="Z40" s="1206">
        <v>29.9</v>
      </c>
      <c r="AB40" s="1207">
        <v>42</v>
      </c>
      <c r="AC40" s="1208">
        <v>89.75</v>
      </c>
      <c r="AD40" s="1208">
        <v>83.85</v>
      </c>
      <c r="AE40" s="1208">
        <v>78.650000000000006</v>
      </c>
      <c r="AF40" s="1208">
        <v>74.05</v>
      </c>
      <c r="AG40" s="1208">
        <v>69.95</v>
      </c>
      <c r="AH40" s="1208">
        <v>66.3</v>
      </c>
      <c r="AI40" s="1208">
        <v>63</v>
      </c>
      <c r="AJ40" s="1208">
        <v>60.05</v>
      </c>
      <c r="AK40" s="1208">
        <v>57.35</v>
      </c>
      <c r="AL40" s="1208">
        <v>54.95</v>
      </c>
      <c r="AM40" s="1208">
        <v>52.7</v>
      </c>
      <c r="AN40" s="1208">
        <v>50.65</v>
      </c>
      <c r="AO40" s="1208">
        <v>48.8</v>
      </c>
      <c r="AP40" s="1208">
        <v>47.1</v>
      </c>
      <c r="AQ40" s="1208">
        <v>45.55</v>
      </c>
      <c r="AR40" s="1208">
        <v>44.1</v>
      </c>
      <c r="AS40" s="1208">
        <v>42.8</v>
      </c>
      <c r="AT40" s="1208">
        <v>41.6</v>
      </c>
      <c r="AU40" s="1208">
        <v>40.5</v>
      </c>
      <c r="AV40" s="1220">
        <v>0</v>
      </c>
      <c r="AW40" s="1220">
        <v>0</v>
      </c>
      <c r="AY40" s="827">
        <v>42</v>
      </c>
      <c r="AZ40" s="828">
        <v>3.57</v>
      </c>
      <c r="BA40" s="828">
        <v>3.66</v>
      </c>
      <c r="BB40" s="828">
        <v>3.78</v>
      </c>
      <c r="BC40" s="828">
        <v>3.92</v>
      </c>
      <c r="BD40" s="828">
        <v>4.08</v>
      </c>
      <c r="BE40" s="828">
        <v>4.42</v>
      </c>
      <c r="BF40" s="828">
        <v>4.5999999999999996</v>
      </c>
      <c r="BG40" s="828">
        <v>4.79</v>
      </c>
      <c r="BH40" s="828">
        <v>4.99</v>
      </c>
      <c r="BI40" s="828">
        <v>5.19</v>
      </c>
      <c r="BJ40" s="828">
        <v>5.48</v>
      </c>
      <c r="BK40" s="828">
        <v>5.69</v>
      </c>
      <c r="BL40" s="828">
        <v>5.9</v>
      </c>
      <c r="BM40" s="828">
        <v>6.11</v>
      </c>
      <c r="BN40" s="828">
        <v>6.33</v>
      </c>
      <c r="BO40" s="828">
        <v>6.54</v>
      </c>
      <c r="BP40" s="828">
        <v>6.76</v>
      </c>
      <c r="BQ40" s="828">
        <v>6.99</v>
      </c>
      <c r="BR40" s="828">
        <v>7.22</v>
      </c>
      <c r="BS40" s="828">
        <v>7.45</v>
      </c>
      <c r="BT40" s="828">
        <v>7.69</v>
      </c>
      <c r="BU40" s="828">
        <v>7.93</v>
      </c>
      <c r="BV40" s="828">
        <v>8.18</v>
      </c>
      <c r="BW40" s="828">
        <v>8.43</v>
      </c>
      <c r="BX40" s="828">
        <v>8.69</v>
      </c>
      <c r="BY40" s="828">
        <v>8.9499999999999993</v>
      </c>
      <c r="BZ40" s="828">
        <v>9.2100000000000009</v>
      </c>
      <c r="CA40" s="828">
        <v>9.4700000000000006</v>
      </c>
      <c r="CB40" s="828">
        <v>9.73</v>
      </c>
      <c r="CC40" s="828"/>
      <c r="CD40" s="828"/>
      <c r="CQ40" s="1204">
        <v>36</v>
      </c>
      <c r="CR40" s="1246">
        <v>1.25</v>
      </c>
      <c r="CS40" s="1204"/>
      <c r="CT40" s="1236">
        <v>36</v>
      </c>
      <c r="CU40" s="1246">
        <v>1.3</v>
      </c>
      <c r="CX40" s="1242">
        <v>38</v>
      </c>
      <c r="CY40" s="1235">
        <v>2.6</v>
      </c>
      <c r="CZ40" s="1235">
        <v>2.5499999999999998</v>
      </c>
      <c r="DA40" s="1235">
        <v>2.75</v>
      </c>
      <c r="DC40" s="1238">
        <v>23</v>
      </c>
      <c r="DD40" s="1239">
        <v>0.7</v>
      </c>
      <c r="DE40" s="1223"/>
      <c r="DF40" s="1238">
        <v>23</v>
      </c>
      <c r="DG40" s="1239">
        <v>1</v>
      </c>
      <c r="DI40" s="1240">
        <v>30</v>
      </c>
      <c r="DJ40" s="1243">
        <v>0.3</v>
      </c>
      <c r="DK40" s="1243">
        <v>0.4</v>
      </c>
      <c r="DL40" s="1243">
        <v>0.45</v>
      </c>
      <c r="DM40" s="1223"/>
      <c r="DT40" s="1204">
        <v>41</v>
      </c>
      <c r="DU40" s="1241">
        <v>0.85</v>
      </c>
      <c r="DV40" s="1241">
        <v>1.2</v>
      </c>
      <c r="DW40" s="1241">
        <v>1.7</v>
      </c>
      <c r="DX40" s="1222"/>
      <c r="DY40" s="1204">
        <v>41</v>
      </c>
      <c r="DZ40" s="1241">
        <v>0.8</v>
      </c>
      <c r="EA40" s="1241">
        <v>1.1000000000000001</v>
      </c>
      <c r="EB40" s="1241">
        <v>1.6</v>
      </c>
      <c r="EE40" s="1225">
        <v>24</v>
      </c>
      <c r="EF40" s="1226">
        <v>80.3</v>
      </c>
      <c r="EG40" s="1227">
        <v>54.55</v>
      </c>
      <c r="EH40" s="1227">
        <v>39.950000000000003</v>
      </c>
      <c r="EI40" s="1227">
        <v>31.35</v>
      </c>
      <c r="EK40" s="1228">
        <v>42</v>
      </c>
      <c r="EL40" s="1229">
        <v>14.14</v>
      </c>
      <c r="EM40" s="1229">
        <v>11.91</v>
      </c>
      <c r="EN40" s="1229">
        <v>10.7</v>
      </c>
      <c r="EO40" s="1234"/>
      <c r="EP40" s="1216">
        <v>42</v>
      </c>
      <c r="EQ40" s="1230">
        <v>15.48</v>
      </c>
      <c r="ER40" s="1230">
        <v>13.07</v>
      </c>
      <c r="ES40" s="1230">
        <v>11.78</v>
      </c>
      <c r="ET40" s="1248"/>
      <c r="EU40" s="1231">
        <v>42</v>
      </c>
      <c r="EV40" s="1232">
        <v>11.86</v>
      </c>
      <c r="EW40" s="1232">
        <v>9.99</v>
      </c>
      <c r="EX40" s="1232">
        <v>8.9600000000000009</v>
      </c>
      <c r="EY40" s="1234"/>
      <c r="EZ40" s="1233">
        <v>29</v>
      </c>
      <c r="FA40" s="1245">
        <v>1.45</v>
      </c>
      <c r="FB40" s="1245">
        <v>1.2</v>
      </c>
      <c r="FC40" s="1245">
        <v>1.1000000000000001</v>
      </c>
      <c r="FD40" s="1234">
        <v>0</v>
      </c>
      <c r="FF40" s="1229">
        <v>2.15</v>
      </c>
      <c r="FG40" s="1229" t="s">
        <v>897</v>
      </c>
      <c r="FH40" s="1229">
        <v>1.6</v>
      </c>
      <c r="FI40" s="1234">
        <v>0</v>
      </c>
    </row>
    <row r="41" spans="2:165" ht="15" customHeight="1">
      <c r="B41" s="1207">
        <v>33</v>
      </c>
      <c r="C41" s="1220">
        <v>90.2</v>
      </c>
      <c r="D41" s="1220">
        <v>82.65</v>
      </c>
      <c r="E41" s="1220">
        <v>76.2</v>
      </c>
      <c r="F41" s="1220">
        <v>71.7</v>
      </c>
      <c r="G41" s="1220">
        <v>66.75</v>
      </c>
      <c r="H41" s="1220">
        <v>62.35</v>
      </c>
      <c r="I41" s="1220">
        <v>58.5</v>
      </c>
      <c r="J41" s="1220">
        <v>55.05</v>
      </c>
      <c r="K41" s="1220">
        <v>52</v>
      </c>
      <c r="L41" s="1220">
        <v>49.4</v>
      </c>
      <c r="M41" s="1220">
        <v>47.1</v>
      </c>
      <c r="N41" s="1220">
        <v>44.95</v>
      </c>
      <c r="O41" s="1220">
        <v>43</v>
      </c>
      <c r="P41" s="1220">
        <v>41.25</v>
      </c>
      <c r="Q41" s="1220">
        <v>39.65</v>
      </c>
      <c r="R41" s="1220">
        <v>38.15</v>
      </c>
      <c r="S41" s="1220">
        <v>36.799999999999997</v>
      </c>
      <c r="T41" s="1220">
        <v>35.549999999999997</v>
      </c>
      <c r="U41" s="1220">
        <v>34.35</v>
      </c>
      <c r="V41" s="1220">
        <v>33.4</v>
      </c>
      <c r="W41" s="1220">
        <v>32.5</v>
      </c>
      <c r="X41" s="1220">
        <v>31.65</v>
      </c>
      <c r="Y41" s="1220">
        <v>30.9</v>
      </c>
      <c r="Z41" s="1206">
        <v>30.2</v>
      </c>
      <c r="AB41" s="1207">
        <v>43</v>
      </c>
      <c r="AC41" s="1208">
        <v>90.6</v>
      </c>
      <c r="AD41" s="1208">
        <v>84.65</v>
      </c>
      <c r="AE41" s="1208">
        <v>79.45</v>
      </c>
      <c r="AF41" s="1208">
        <v>74.849999999999994</v>
      </c>
      <c r="AG41" s="1208">
        <v>70.75</v>
      </c>
      <c r="AH41" s="1208">
        <v>67.05</v>
      </c>
      <c r="AI41" s="1208">
        <v>63.75</v>
      </c>
      <c r="AJ41" s="1208">
        <v>60.8</v>
      </c>
      <c r="AK41" s="1208">
        <v>58.1</v>
      </c>
      <c r="AL41" s="1208">
        <v>55.65</v>
      </c>
      <c r="AM41" s="1208">
        <v>53.4</v>
      </c>
      <c r="AN41" s="1208">
        <v>51.4</v>
      </c>
      <c r="AO41" s="1208">
        <v>49.55</v>
      </c>
      <c r="AP41" s="1208">
        <v>47.85</v>
      </c>
      <c r="AQ41" s="1208">
        <v>46.25</v>
      </c>
      <c r="AR41" s="1208">
        <v>44.85</v>
      </c>
      <c r="AS41" s="1208">
        <v>43.55</v>
      </c>
      <c r="AT41" s="1208">
        <v>42.35</v>
      </c>
      <c r="AU41" s="1220">
        <v>0</v>
      </c>
      <c r="AV41" s="1220">
        <v>0</v>
      </c>
      <c r="AW41" s="1220">
        <v>0</v>
      </c>
      <c r="AY41" s="827">
        <v>43</v>
      </c>
      <c r="AZ41" s="828">
        <v>3.9</v>
      </c>
      <c r="BA41" s="828">
        <v>4.01</v>
      </c>
      <c r="BB41" s="828">
        <v>4.1500000000000004</v>
      </c>
      <c r="BC41" s="828">
        <v>4.3099999999999996</v>
      </c>
      <c r="BD41" s="828">
        <v>4.49</v>
      </c>
      <c r="BE41" s="828">
        <v>4.8600000000000003</v>
      </c>
      <c r="BF41" s="828">
        <v>5.0599999999999996</v>
      </c>
      <c r="BG41" s="828">
        <v>5.26</v>
      </c>
      <c r="BH41" s="828">
        <v>5.47</v>
      </c>
      <c r="BI41" s="828">
        <v>5.69</v>
      </c>
      <c r="BJ41" s="828">
        <v>6</v>
      </c>
      <c r="BK41" s="828">
        <v>6.22</v>
      </c>
      <c r="BL41" s="828">
        <v>6.44</v>
      </c>
      <c r="BM41" s="828">
        <v>6.66</v>
      </c>
      <c r="BN41" s="828">
        <v>6.89</v>
      </c>
      <c r="BO41" s="828">
        <v>7.12</v>
      </c>
      <c r="BP41" s="828">
        <v>7.36</v>
      </c>
      <c r="BQ41" s="828">
        <v>7.6</v>
      </c>
      <c r="BR41" s="828">
        <v>7.84</v>
      </c>
      <c r="BS41" s="828">
        <v>8.09</v>
      </c>
      <c r="BT41" s="828">
        <v>8.35</v>
      </c>
      <c r="BU41" s="828">
        <v>8.61</v>
      </c>
      <c r="BV41" s="828">
        <v>8.8699999999999992</v>
      </c>
      <c r="BW41" s="828">
        <v>9.14</v>
      </c>
      <c r="BX41" s="828">
        <v>9.41</v>
      </c>
      <c r="BY41" s="828">
        <v>9.69</v>
      </c>
      <c r="BZ41" s="828">
        <v>9.9700000000000006</v>
      </c>
      <c r="CA41" s="828">
        <v>10.24</v>
      </c>
      <c r="CB41" s="828"/>
      <c r="CC41" s="828"/>
      <c r="CD41" s="828"/>
      <c r="CQ41" s="1204">
        <v>37</v>
      </c>
      <c r="CR41" s="1246">
        <v>1.35</v>
      </c>
      <c r="CS41" s="1204"/>
      <c r="CT41" s="1236">
        <v>37</v>
      </c>
      <c r="CU41" s="1246">
        <v>1.45</v>
      </c>
      <c r="CX41" s="1237">
        <v>39</v>
      </c>
      <c r="CY41" s="1235">
        <v>2.8</v>
      </c>
      <c r="CZ41" s="1235">
        <v>2.75</v>
      </c>
      <c r="DA41" s="1235">
        <v>3</v>
      </c>
      <c r="DC41" s="1238">
        <v>24</v>
      </c>
      <c r="DD41" s="1239">
        <v>1.1000000000000001</v>
      </c>
      <c r="DE41" s="1223"/>
      <c r="DF41" s="1238">
        <v>24</v>
      </c>
      <c r="DG41" s="1239">
        <v>1</v>
      </c>
      <c r="DI41" s="1240">
        <v>31</v>
      </c>
      <c r="DJ41" s="1243">
        <v>0.35</v>
      </c>
      <c r="DK41" s="1243">
        <v>0.4</v>
      </c>
      <c r="DL41" s="1243">
        <v>0.5</v>
      </c>
      <c r="DM41" s="1223"/>
      <c r="DT41" s="1204">
        <v>42</v>
      </c>
      <c r="DU41" s="1241">
        <v>0.95</v>
      </c>
      <c r="DV41" s="1241">
        <v>1.3</v>
      </c>
      <c r="DW41" s="1241">
        <v>1.85</v>
      </c>
      <c r="DX41" s="1222"/>
      <c r="DY41" s="1204">
        <v>42</v>
      </c>
      <c r="DZ41" s="1241">
        <v>0.9</v>
      </c>
      <c r="EA41" s="1241">
        <v>1.2</v>
      </c>
      <c r="EB41" s="1241">
        <v>1.75</v>
      </c>
      <c r="EE41" s="1225">
        <v>25</v>
      </c>
      <c r="EF41" s="1226">
        <v>80.3</v>
      </c>
      <c r="EG41" s="1227">
        <v>54.55</v>
      </c>
      <c r="EH41" s="1227">
        <v>39.950000000000003</v>
      </c>
      <c r="EI41" s="1227">
        <v>31.45</v>
      </c>
      <c r="EK41" s="1228">
        <v>43</v>
      </c>
      <c r="EL41" s="1229">
        <v>14.69</v>
      </c>
      <c r="EM41" s="1229">
        <v>12.39</v>
      </c>
      <c r="EN41" s="1229">
        <v>11.15</v>
      </c>
      <c r="EO41" s="1234"/>
      <c r="EP41" s="1216">
        <v>43</v>
      </c>
      <c r="EQ41" s="1230">
        <v>16.04</v>
      </c>
      <c r="ER41" s="1230">
        <v>13.56</v>
      </c>
      <c r="ES41" s="1230">
        <v>12.23</v>
      </c>
      <c r="ET41" s="1248"/>
      <c r="EU41" s="1231">
        <v>43</v>
      </c>
      <c r="EV41" s="1232">
        <v>12.19</v>
      </c>
      <c r="EW41" s="1232">
        <v>10.27</v>
      </c>
      <c r="EX41" s="1232">
        <v>9.2200000000000006</v>
      </c>
      <c r="EY41" s="1234"/>
      <c r="EZ41" s="1233">
        <v>30</v>
      </c>
      <c r="FA41" s="1245">
        <v>1.45</v>
      </c>
      <c r="FB41" s="1245">
        <v>1.25</v>
      </c>
      <c r="FC41" s="1245">
        <v>1.1000000000000001</v>
      </c>
      <c r="FD41" s="1245">
        <v>1</v>
      </c>
      <c r="FF41" s="1229">
        <v>2.2000000000000002</v>
      </c>
      <c r="FG41" s="1229" t="s">
        <v>896</v>
      </c>
      <c r="FH41" s="1229">
        <v>1.65</v>
      </c>
      <c r="FI41" s="1229" t="s">
        <v>899</v>
      </c>
    </row>
    <row r="42" spans="2:165" ht="15" customHeight="1">
      <c r="B42" s="1207">
        <v>34</v>
      </c>
      <c r="C42" s="1220">
        <v>90.3</v>
      </c>
      <c r="D42" s="1220">
        <v>82.75</v>
      </c>
      <c r="E42" s="1220">
        <v>76.3</v>
      </c>
      <c r="F42" s="1220">
        <v>71.8</v>
      </c>
      <c r="G42" s="1220">
        <v>66.849999999999994</v>
      </c>
      <c r="H42" s="1220">
        <v>62.5</v>
      </c>
      <c r="I42" s="1220">
        <v>58.65</v>
      </c>
      <c r="J42" s="1220">
        <v>55.2</v>
      </c>
      <c r="K42" s="1220">
        <v>52.15</v>
      </c>
      <c r="L42" s="1220">
        <v>49.55</v>
      </c>
      <c r="M42" s="1220">
        <v>47.25</v>
      </c>
      <c r="N42" s="1220">
        <v>45.15</v>
      </c>
      <c r="O42" s="1220">
        <v>43.2</v>
      </c>
      <c r="P42" s="1220">
        <v>41.45</v>
      </c>
      <c r="Q42" s="1220">
        <v>39.85</v>
      </c>
      <c r="R42" s="1220">
        <v>38.35</v>
      </c>
      <c r="S42" s="1220">
        <v>37</v>
      </c>
      <c r="T42" s="1220">
        <v>35.75</v>
      </c>
      <c r="U42" s="1220">
        <v>34.65</v>
      </c>
      <c r="V42" s="1220">
        <v>33.65</v>
      </c>
      <c r="W42" s="1220">
        <v>32.799999999999997</v>
      </c>
      <c r="X42" s="1220">
        <v>31.95</v>
      </c>
      <c r="Y42" s="1220">
        <v>31.2</v>
      </c>
      <c r="Z42" s="1206">
        <v>30.5</v>
      </c>
      <c r="AB42" s="1207">
        <v>44</v>
      </c>
      <c r="AC42" s="1208">
        <v>91.5</v>
      </c>
      <c r="AD42" s="1208">
        <v>85.5</v>
      </c>
      <c r="AE42" s="1208">
        <v>80.3</v>
      </c>
      <c r="AF42" s="1208">
        <v>75.650000000000006</v>
      </c>
      <c r="AG42" s="1208">
        <v>71.55</v>
      </c>
      <c r="AH42" s="1208">
        <v>67.849999999999994</v>
      </c>
      <c r="AI42" s="1208">
        <v>64.55</v>
      </c>
      <c r="AJ42" s="1208">
        <v>61.55</v>
      </c>
      <c r="AK42" s="1208">
        <v>58.85</v>
      </c>
      <c r="AL42" s="1208">
        <v>56.4</v>
      </c>
      <c r="AM42" s="1208">
        <v>54.2</v>
      </c>
      <c r="AN42" s="1208">
        <v>52.15</v>
      </c>
      <c r="AO42" s="1208">
        <v>50.3</v>
      </c>
      <c r="AP42" s="1208">
        <v>48.6</v>
      </c>
      <c r="AQ42" s="1208">
        <v>47.05</v>
      </c>
      <c r="AR42" s="1208">
        <v>45.6</v>
      </c>
      <c r="AS42" s="1208">
        <v>44.3</v>
      </c>
      <c r="AT42" s="1220">
        <v>0</v>
      </c>
      <c r="AU42" s="1220">
        <v>0</v>
      </c>
      <c r="AV42" s="1220">
        <v>0</v>
      </c>
      <c r="AW42" s="1220">
        <v>0</v>
      </c>
      <c r="AY42" s="827">
        <v>44</v>
      </c>
      <c r="AZ42" s="828">
        <v>4.28</v>
      </c>
      <c r="BA42" s="828">
        <v>4.41</v>
      </c>
      <c r="BB42" s="828">
        <v>4.57</v>
      </c>
      <c r="BC42" s="828">
        <v>4.75</v>
      </c>
      <c r="BD42" s="828">
        <v>4.95</v>
      </c>
      <c r="BE42" s="828">
        <v>5.35</v>
      </c>
      <c r="BF42" s="828">
        <v>5.56</v>
      </c>
      <c r="BG42" s="828">
        <v>5.78</v>
      </c>
      <c r="BH42" s="828">
        <v>6</v>
      </c>
      <c r="BI42" s="828">
        <v>6.23</v>
      </c>
      <c r="BJ42" s="828">
        <v>6.55</v>
      </c>
      <c r="BK42" s="828">
        <v>6.78</v>
      </c>
      <c r="BL42" s="828">
        <v>7.02</v>
      </c>
      <c r="BM42" s="828">
        <v>7.26</v>
      </c>
      <c r="BN42" s="828">
        <v>7.5</v>
      </c>
      <c r="BO42" s="828">
        <v>7.74</v>
      </c>
      <c r="BP42" s="828">
        <v>7.99</v>
      </c>
      <c r="BQ42" s="828">
        <v>8.25</v>
      </c>
      <c r="BR42" s="828">
        <v>8.51</v>
      </c>
      <c r="BS42" s="828">
        <v>8.7799999999999994</v>
      </c>
      <c r="BT42" s="828">
        <v>9.0500000000000007</v>
      </c>
      <c r="BU42" s="828">
        <v>9.33</v>
      </c>
      <c r="BV42" s="828">
        <v>9.6199999999999992</v>
      </c>
      <c r="BW42" s="828">
        <v>9.9</v>
      </c>
      <c r="BX42" s="828">
        <v>10.19</v>
      </c>
      <c r="BY42" s="828">
        <v>10.49</v>
      </c>
      <c r="BZ42" s="828">
        <v>10.78</v>
      </c>
      <c r="CA42" s="828"/>
      <c r="CB42" s="828"/>
      <c r="CC42" s="828"/>
      <c r="CD42" s="828"/>
      <c r="CQ42" s="1204">
        <v>38</v>
      </c>
      <c r="CR42" s="1246">
        <v>1.45</v>
      </c>
      <c r="CS42" s="1204"/>
      <c r="CT42" s="1236">
        <v>38</v>
      </c>
      <c r="CU42" s="1246">
        <v>1.55</v>
      </c>
      <c r="CX42" s="1242">
        <v>40</v>
      </c>
      <c r="CY42" s="1235">
        <v>3.1</v>
      </c>
      <c r="CZ42" s="1235">
        <v>3.05</v>
      </c>
      <c r="DA42" s="1235">
        <v>3.25</v>
      </c>
      <c r="DI42" s="1240">
        <v>32</v>
      </c>
      <c r="DJ42" s="1243">
        <v>0.35</v>
      </c>
      <c r="DK42" s="1243">
        <v>0.45</v>
      </c>
      <c r="DL42" s="1243">
        <v>0.55000000000000004</v>
      </c>
      <c r="DM42" s="1223"/>
      <c r="DT42" s="1204">
        <v>43</v>
      </c>
      <c r="DU42" s="1241">
        <v>1.05</v>
      </c>
      <c r="DV42" s="1241">
        <v>1.4</v>
      </c>
      <c r="DW42" s="1241">
        <v>2</v>
      </c>
      <c r="DX42" s="1222"/>
      <c r="DY42" s="1204">
        <v>43</v>
      </c>
      <c r="DZ42" s="1241">
        <v>1</v>
      </c>
      <c r="EA42" s="1241">
        <v>1.35</v>
      </c>
      <c r="EB42" s="1241">
        <v>1.9</v>
      </c>
      <c r="EE42" s="1225">
        <v>26</v>
      </c>
      <c r="EF42" s="1226">
        <v>80.3</v>
      </c>
      <c r="EG42" s="1227">
        <v>54.55</v>
      </c>
      <c r="EH42" s="1227">
        <v>40</v>
      </c>
      <c r="EI42" s="1227">
        <v>31.55</v>
      </c>
      <c r="EK42" s="1228">
        <v>44</v>
      </c>
      <c r="EL42" s="1229">
        <v>15.27</v>
      </c>
      <c r="EM42" s="1229">
        <v>12.89</v>
      </c>
      <c r="EN42" s="1229">
        <v>11.62</v>
      </c>
      <c r="EO42" s="1234"/>
      <c r="EP42" s="1216">
        <v>44</v>
      </c>
      <c r="EQ42" s="1230">
        <v>16.61</v>
      </c>
      <c r="ER42" s="1230">
        <v>14.06</v>
      </c>
      <c r="ES42" s="1230">
        <v>12.7</v>
      </c>
      <c r="ET42" s="1248"/>
      <c r="EU42" s="1231">
        <v>44</v>
      </c>
      <c r="EV42" s="1232">
        <v>12.52</v>
      </c>
      <c r="EW42" s="1232">
        <v>10.56</v>
      </c>
      <c r="EX42" s="1232">
        <v>9.48</v>
      </c>
      <c r="EY42" s="1234"/>
      <c r="EZ42" s="1233">
        <v>31</v>
      </c>
      <c r="FA42" s="1245">
        <v>1.5</v>
      </c>
      <c r="FB42" s="1245">
        <v>1.25</v>
      </c>
      <c r="FC42" s="1245">
        <v>1.1000000000000001</v>
      </c>
      <c r="FD42" s="1245">
        <v>1.05</v>
      </c>
      <c r="FF42" s="1229">
        <v>2.2000000000000002</v>
      </c>
      <c r="FG42" s="1229" t="s">
        <v>896</v>
      </c>
      <c r="FH42" s="1229">
        <v>1.65</v>
      </c>
      <c r="FI42" s="1229">
        <v>1.55</v>
      </c>
    </row>
    <row r="43" spans="2:165" ht="15" customHeight="1">
      <c r="B43" s="1207">
        <v>35</v>
      </c>
      <c r="C43" s="1220">
        <v>90.4</v>
      </c>
      <c r="D43" s="1220">
        <v>82.85</v>
      </c>
      <c r="E43" s="1220">
        <v>76.400000000000006</v>
      </c>
      <c r="F43" s="1220">
        <v>71.95</v>
      </c>
      <c r="G43" s="1220">
        <v>67</v>
      </c>
      <c r="H43" s="1220">
        <v>62.65</v>
      </c>
      <c r="I43" s="1220">
        <v>58.8</v>
      </c>
      <c r="J43" s="1220">
        <v>55.35</v>
      </c>
      <c r="K43" s="1220">
        <v>52.3</v>
      </c>
      <c r="L43" s="1220">
        <v>49.75</v>
      </c>
      <c r="M43" s="1220">
        <v>47.45</v>
      </c>
      <c r="N43" s="1220">
        <v>45.35</v>
      </c>
      <c r="O43" s="1220">
        <v>43.45</v>
      </c>
      <c r="P43" s="1220">
        <v>41.7</v>
      </c>
      <c r="Q43" s="1220">
        <v>40.1</v>
      </c>
      <c r="R43" s="1220">
        <v>38.6</v>
      </c>
      <c r="S43" s="1220">
        <v>37.299999999999997</v>
      </c>
      <c r="T43" s="1220">
        <v>36.049999999999997</v>
      </c>
      <c r="U43" s="1220">
        <v>34.9</v>
      </c>
      <c r="V43" s="1220">
        <v>33.950000000000003</v>
      </c>
      <c r="W43" s="1220">
        <v>33.1</v>
      </c>
      <c r="X43" s="1220">
        <v>32.299999999999997</v>
      </c>
      <c r="Y43" s="1220">
        <v>31.55</v>
      </c>
      <c r="Z43" s="1206">
        <v>30.85</v>
      </c>
      <c r="AB43" s="1207">
        <v>45</v>
      </c>
      <c r="AC43" s="1208">
        <v>92.45</v>
      </c>
      <c r="AD43" s="1208">
        <v>86.45</v>
      </c>
      <c r="AE43" s="1208">
        <v>81.150000000000006</v>
      </c>
      <c r="AF43" s="1208">
        <v>76.5</v>
      </c>
      <c r="AG43" s="1208">
        <v>72.400000000000006</v>
      </c>
      <c r="AH43" s="1208">
        <v>68.7</v>
      </c>
      <c r="AI43" s="1208">
        <v>65.349999999999994</v>
      </c>
      <c r="AJ43" s="1208">
        <v>62.4</v>
      </c>
      <c r="AK43" s="1208">
        <v>59.65</v>
      </c>
      <c r="AL43" s="1208">
        <v>57.2</v>
      </c>
      <c r="AM43" s="1208">
        <v>55</v>
      </c>
      <c r="AN43" s="1208">
        <v>52.95</v>
      </c>
      <c r="AO43" s="1208">
        <v>51.1</v>
      </c>
      <c r="AP43" s="1208">
        <v>49.4</v>
      </c>
      <c r="AQ43" s="1208">
        <v>47.85</v>
      </c>
      <c r="AR43" s="1208">
        <v>46.45</v>
      </c>
      <c r="AS43" s="1220">
        <v>0</v>
      </c>
      <c r="AT43" s="1220">
        <v>0</v>
      </c>
      <c r="AU43" s="1220">
        <v>0</v>
      </c>
      <c r="AV43" s="1220">
        <v>0</v>
      </c>
      <c r="AW43" s="1220">
        <v>0</v>
      </c>
      <c r="AY43" s="827">
        <v>45</v>
      </c>
      <c r="AZ43" s="828">
        <v>4.71</v>
      </c>
      <c r="BA43" s="828">
        <v>4.8499999999999996</v>
      </c>
      <c r="BB43" s="828">
        <v>5.04</v>
      </c>
      <c r="BC43" s="828">
        <v>5.24</v>
      </c>
      <c r="BD43" s="828">
        <v>5.45</v>
      </c>
      <c r="BE43" s="828">
        <v>5.89</v>
      </c>
      <c r="BF43" s="828">
        <v>6.11</v>
      </c>
      <c r="BG43" s="828">
        <v>6.34</v>
      </c>
      <c r="BH43" s="828">
        <v>6.57</v>
      </c>
      <c r="BI43" s="828">
        <v>6.81</v>
      </c>
      <c r="BJ43" s="828">
        <v>7.16</v>
      </c>
      <c r="BK43" s="828">
        <v>7.4</v>
      </c>
      <c r="BL43" s="828">
        <v>7.64</v>
      </c>
      <c r="BM43" s="828">
        <v>7.9</v>
      </c>
      <c r="BN43" s="828">
        <v>8.15</v>
      </c>
      <c r="BO43" s="828">
        <v>8.41</v>
      </c>
      <c r="BP43" s="828">
        <v>8.68</v>
      </c>
      <c r="BQ43" s="828">
        <v>8.9600000000000009</v>
      </c>
      <c r="BR43" s="828">
        <v>9.24</v>
      </c>
      <c r="BS43" s="828">
        <v>9.5299999999999994</v>
      </c>
      <c r="BT43" s="828">
        <v>9.82</v>
      </c>
      <c r="BU43" s="828">
        <v>10.119999999999999</v>
      </c>
      <c r="BV43" s="828">
        <v>10.42</v>
      </c>
      <c r="BW43" s="828">
        <v>10.73</v>
      </c>
      <c r="BX43" s="828">
        <v>11.04</v>
      </c>
      <c r="BY43" s="828">
        <v>11.35</v>
      </c>
      <c r="BZ43" s="828"/>
      <c r="CA43" s="828"/>
      <c r="CB43" s="828"/>
      <c r="CC43" s="828"/>
      <c r="CD43" s="828"/>
      <c r="CQ43" s="1204">
        <v>39</v>
      </c>
      <c r="CR43" s="1235">
        <v>1.6</v>
      </c>
      <c r="CS43" s="1204"/>
      <c r="CT43" s="1236">
        <v>39</v>
      </c>
      <c r="CU43" s="1235">
        <v>1.7</v>
      </c>
      <c r="CX43" s="1237">
        <v>41</v>
      </c>
      <c r="CY43" s="1235">
        <v>3.3</v>
      </c>
      <c r="CZ43" s="1235">
        <v>3.25</v>
      </c>
      <c r="DA43" s="1235">
        <v>3.5</v>
      </c>
      <c r="DI43" s="1240">
        <v>33</v>
      </c>
      <c r="DJ43" s="1243">
        <v>0.35</v>
      </c>
      <c r="DK43" s="1243">
        <v>0.45</v>
      </c>
      <c r="DL43" s="1243">
        <v>0.55000000000000004</v>
      </c>
      <c r="DM43" s="1223"/>
      <c r="DT43" s="1204">
        <v>44</v>
      </c>
      <c r="DU43" s="1241">
        <v>1.1499999999999999</v>
      </c>
      <c r="DV43" s="1241">
        <v>1.55</v>
      </c>
      <c r="DW43" s="1241">
        <v>2.2000000000000002</v>
      </c>
      <c r="DX43" s="1222"/>
      <c r="DY43" s="1204">
        <v>44</v>
      </c>
      <c r="DZ43" s="1241">
        <v>1.1000000000000001</v>
      </c>
      <c r="EA43" s="1241">
        <v>1.5</v>
      </c>
      <c r="EB43" s="1241">
        <v>2.0499999999999998</v>
      </c>
      <c r="EE43" s="1225">
        <v>27</v>
      </c>
      <c r="EF43" s="1226">
        <v>80.3</v>
      </c>
      <c r="EG43" s="1227">
        <v>54.55</v>
      </c>
      <c r="EH43" s="1227">
        <v>40</v>
      </c>
      <c r="EI43" s="1227">
        <v>31.65</v>
      </c>
      <c r="EK43" s="1228">
        <v>45</v>
      </c>
      <c r="EL43" s="1229">
        <v>15.85</v>
      </c>
      <c r="EM43" s="1229">
        <v>13.4</v>
      </c>
      <c r="EN43" s="1229">
        <v>12.09</v>
      </c>
      <c r="EO43" s="1234"/>
      <c r="EP43" s="1216">
        <v>45</v>
      </c>
      <c r="EQ43" s="1230">
        <v>17.2</v>
      </c>
      <c r="ER43" s="1230">
        <v>14.58</v>
      </c>
      <c r="ES43" s="1230">
        <v>13.18</v>
      </c>
      <c r="ET43" s="1248"/>
      <c r="EU43" s="1231">
        <v>45</v>
      </c>
      <c r="EV43" s="1232">
        <v>12.84</v>
      </c>
      <c r="EW43" s="1232">
        <v>10.84</v>
      </c>
      <c r="EX43" s="1232">
        <v>9.74</v>
      </c>
      <c r="EY43" s="1234"/>
      <c r="EZ43" s="1233">
        <v>32</v>
      </c>
      <c r="FA43" s="1245">
        <v>1.5</v>
      </c>
      <c r="FB43" s="1245">
        <v>1.25</v>
      </c>
      <c r="FC43" s="1245">
        <v>1.1499999999999999</v>
      </c>
      <c r="FD43" s="1245">
        <v>1.05</v>
      </c>
      <c r="FF43" s="1229">
        <v>2.25</v>
      </c>
      <c r="FG43" s="1229">
        <v>1.9</v>
      </c>
      <c r="FH43" s="1229">
        <v>1.7</v>
      </c>
      <c r="FI43" s="1229">
        <v>1.55</v>
      </c>
    </row>
    <row r="44" spans="2:165" ht="15" customHeight="1">
      <c r="B44" s="1207">
        <v>36</v>
      </c>
      <c r="C44" s="1220">
        <v>90.5</v>
      </c>
      <c r="D44" s="1220">
        <v>82.95</v>
      </c>
      <c r="E44" s="1220">
        <v>76.55</v>
      </c>
      <c r="F44" s="1220">
        <v>72.099999999999994</v>
      </c>
      <c r="G44" s="1220">
        <v>67.150000000000006</v>
      </c>
      <c r="H44" s="1220">
        <v>62.8</v>
      </c>
      <c r="I44" s="1220">
        <v>58.95</v>
      </c>
      <c r="J44" s="1220">
        <v>55.55</v>
      </c>
      <c r="K44" s="1220">
        <v>52.5</v>
      </c>
      <c r="L44" s="1220">
        <v>49.95</v>
      </c>
      <c r="M44" s="1220">
        <v>47.65</v>
      </c>
      <c r="N44" s="1220">
        <v>45.55</v>
      </c>
      <c r="O44" s="1220">
        <v>43.65</v>
      </c>
      <c r="P44" s="1220">
        <v>41.95</v>
      </c>
      <c r="Q44" s="1220">
        <v>40.35</v>
      </c>
      <c r="R44" s="1220">
        <v>38.9</v>
      </c>
      <c r="S44" s="1220">
        <v>37.549999999999997</v>
      </c>
      <c r="T44" s="1220">
        <v>36.35</v>
      </c>
      <c r="U44" s="1220">
        <v>35.25</v>
      </c>
      <c r="V44" s="1220">
        <v>34.299999999999997</v>
      </c>
      <c r="W44" s="1220">
        <v>33.450000000000003</v>
      </c>
      <c r="X44" s="1220">
        <v>32.65</v>
      </c>
      <c r="Y44" s="1220">
        <v>31.9</v>
      </c>
      <c r="Z44" s="1206">
        <v>31.25</v>
      </c>
      <c r="AB44" s="1207">
        <v>46</v>
      </c>
      <c r="AC44" s="1208">
        <v>93.4</v>
      </c>
      <c r="AD44" s="1208">
        <v>87.4</v>
      </c>
      <c r="AE44" s="1208">
        <v>82.1</v>
      </c>
      <c r="AF44" s="1208">
        <v>77.400000000000006</v>
      </c>
      <c r="AG44" s="1208">
        <v>73.25</v>
      </c>
      <c r="AH44" s="1208">
        <v>69.55</v>
      </c>
      <c r="AI44" s="1208">
        <v>66.25</v>
      </c>
      <c r="AJ44" s="1208">
        <v>63.25</v>
      </c>
      <c r="AK44" s="1208">
        <v>60.5</v>
      </c>
      <c r="AL44" s="1208">
        <v>58.05</v>
      </c>
      <c r="AM44" s="1208">
        <v>55.85</v>
      </c>
      <c r="AN44" s="1208">
        <v>53.8</v>
      </c>
      <c r="AO44" s="1208">
        <v>51.95</v>
      </c>
      <c r="AP44" s="1208">
        <v>50.25</v>
      </c>
      <c r="AQ44" s="1208">
        <v>48.75</v>
      </c>
      <c r="AR44" s="1220">
        <v>0</v>
      </c>
      <c r="AS44" s="1220">
        <v>0</v>
      </c>
      <c r="AT44" s="1220">
        <v>0</v>
      </c>
      <c r="AU44" s="1220">
        <v>0</v>
      </c>
      <c r="AV44" s="1220">
        <v>0</v>
      </c>
      <c r="AW44" s="1220">
        <v>0</v>
      </c>
      <c r="AY44" s="827">
        <v>46</v>
      </c>
      <c r="AZ44" s="828">
        <v>5.19</v>
      </c>
      <c r="BA44" s="828">
        <v>5.35</v>
      </c>
      <c r="BB44" s="828">
        <v>5.55</v>
      </c>
      <c r="BC44" s="828">
        <v>5.77</v>
      </c>
      <c r="BD44" s="828">
        <v>6</v>
      </c>
      <c r="BE44" s="828">
        <v>6.47</v>
      </c>
      <c r="BF44" s="828">
        <v>6.7</v>
      </c>
      <c r="BG44" s="828">
        <v>6.94</v>
      </c>
      <c r="BH44" s="828">
        <v>7.18</v>
      </c>
      <c r="BI44" s="828">
        <v>7.43</v>
      </c>
      <c r="BJ44" s="828">
        <v>7.8</v>
      </c>
      <c r="BK44" s="828">
        <v>8.06</v>
      </c>
      <c r="BL44" s="828">
        <v>8.32</v>
      </c>
      <c r="BM44" s="828">
        <v>8.58</v>
      </c>
      <c r="BN44" s="828">
        <v>8.86</v>
      </c>
      <c r="BO44" s="828">
        <v>9.14</v>
      </c>
      <c r="BP44" s="828">
        <v>9.43</v>
      </c>
      <c r="BQ44" s="828">
        <v>9.7200000000000006</v>
      </c>
      <c r="BR44" s="828">
        <v>10.02</v>
      </c>
      <c r="BS44" s="828">
        <v>10.33</v>
      </c>
      <c r="BT44" s="828">
        <v>10.65</v>
      </c>
      <c r="BU44" s="828">
        <v>10.96</v>
      </c>
      <c r="BV44" s="828">
        <v>11.29</v>
      </c>
      <c r="BW44" s="828">
        <v>11.61</v>
      </c>
      <c r="BX44" s="828">
        <v>11.94</v>
      </c>
      <c r="BY44" s="828"/>
      <c r="BZ44" s="828"/>
      <c r="CA44" s="828"/>
      <c r="CB44" s="828"/>
      <c r="CC44" s="828"/>
      <c r="CD44" s="828"/>
      <c r="CQ44" s="1204">
        <v>40</v>
      </c>
      <c r="CR44" s="1235">
        <v>1.7</v>
      </c>
      <c r="CS44" s="1204"/>
      <c r="CT44" s="1236">
        <v>40</v>
      </c>
      <c r="CU44" s="1235">
        <v>1.8</v>
      </c>
      <c r="CX44" s="1242">
        <v>42</v>
      </c>
      <c r="CY44" s="1235">
        <v>3.5</v>
      </c>
      <c r="CZ44" s="1235">
        <v>3.5</v>
      </c>
      <c r="DA44" s="1235">
        <v>3.75</v>
      </c>
      <c r="DI44" s="1240">
        <v>34</v>
      </c>
      <c r="DJ44" s="1243">
        <v>0.4</v>
      </c>
      <c r="DK44" s="1243">
        <v>0.5</v>
      </c>
      <c r="DL44" s="1243">
        <v>0.6</v>
      </c>
      <c r="DM44" s="1223"/>
      <c r="DT44" s="1204">
        <v>45</v>
      </c>
      <c r="DU44" s="1241">
        <v>1.25</v>
      </c>
      <c r="DV44" s="1241">
        <v>1.7</v>
      </c>
      <c r="DW44" s="1241">
        <v>2.4</v>
      </c>
      <c r="DX44" s="1222"/>
      <c r="DY44" s="1204">
        <v>45</v>
      </c>
      <c r="DZ44" s="1241">
        <v>1.2</v>
      </c>
      <c r="EA44" s="1241">
        <v>1.6</v>
      </c>
      <c r="EB44" s="1241">
        <v>2.25</v>
      </c>
      <c r="EE44" s="1225">
        <v>28</v>
      </c>
      <c r="EF44" s="1226">
        <v>80.3</v>
      </c>
      <c r="EG44" s="1227">
        <v>54.55</v>
      </c>
      <c r="EH44" s="1227">
        <v>40.049999999999997</v>
      </c>
      <c r="EI44" s="1227">
        <v>31.75</v>
      </c>
      <c r="EK44" s="1228">
        <v>46</v>
      </c>
      <c r="EL44" s="1229">
        <v>16.45</v>
      </c>
      <c r="EM44" s="1229">
        <v>13.92</v>
      </c>
      <c r="EN44" s="1234"/>
      <c r="EO44" s="1234"/>
      <c r="EP44" s="1216">
        <v>46</v>
      </c>
      <c r="EQ44" s="1230">
        <v>17.79</v>
      </c>
      <c r="ER44" s="1230">
        <v>15.1</v>
      </c>
      <c r="ES44" s="1248"/>
      <c r="ET44" s="1248"/>
      <c r="EU44" s="1231">
        <v>46</v>
      </c>
      <c r="EV44" s="1232">
        <v>13.16</v>
      </c>
      <c r="EW44" s="1232">
        <v>11.11</v>
      </c>
      <c r="EX44" s="1234"/>
      <c r="EY44" s="1234"/>
      <c r="EZ44" s="1233">
        <v>33</v>
      </c>
      <c r="FA44" s="1245">
        <v>1.5</v>
      </c>
      <c r="FB44" s="1245">
        <v>1.3</v>
      </c>
      <c r="FC44" s="1245">
        <v>1.1499999999999999</v>
      </c>
      <c r="FD44" s="1245">
        <v>1.05</v>
      </c>
      <c r="FF44" s="1229">
        <v>2.25</v>
      </c>
      <c r="FG44" s="1229">
        <v>1.9</v>
      </c>
      <c r="FH44" s="1229">
        <v>1.7</v>
      </c>
      <c r="FI44" s="1229">
        <v>1.6</v>
      </c>
    </row>
    <row r="45" spans="2:165" ht="15" customHeight="1">
      <c r="B45" s="1207">
        <v>37</v>
      </c>
      <c r="C45" s="1220">
        <v>90.6</v>
      </c>
      <c r="D45" s="1220">
        <v>83.1</v>
      </c>
      <c r="E45" s="1220">
        <v>76.650000000000006</v>
      </c>
      <c r="F45" s="1220">
        <v>72.25</v>
      </c>
      <c r="G45" s="1220">
        <v>67.3</v>
      </c>
      <c r="H45" s="1220">
        <v>62.95</v>
      </c>
      <c r="I45" s="1220">
        <v>59.15</v>
      </c>
      <c r="J45" s="1220">
        <v>55.75</v>
      </c>
      <c r="K45" s="1220">
        <v>52.75</v>
      </c>
      <c r="L45" s="1220">
        <v>50.2</v>
      </c>
      <c r="M45" s="1220">
        <v>47.9</v>
      </c>
      <c r="N45" s="1220">
        <v>45.85</v>
      </c>
      <c r="O45" s="1220">
        <v>43.95</v>
      </c>
      <c r="P45" s="1220">
        <v>42.2</v>
      </c>
      <c r="Q45" s="1220">
        <v>40.65</v>
      </c>
      <c r="R45" s="1220">
        <v>39.200000000000003</v>
      </c>
      <c r="S45" s="1220">
        <v>37.9</v>
      </c>
      <c r="T45" s="1220">
        <v>36.700000000000003</v>
      </c>
      <c r="U45" s="1220">
        <v>35.6</v>
      </c>
      <c r="V45" s="1220">
        <v>34.65</v>
      </c>
      <c r="W45" s="1220">
        <v>33.799999999999997</v>
      </c>
      <c r="X45" s="1220">
        <v>33</v>
      </c>
      <c r="Y45" s="1220">
        <v>32.299999999999997</v>
      </c>
      <c r="Z45" s="1206">
        <v>31.65</v>
      </c>
      <c r="AB45" s="1207">
        <v>47</v>
      </c>
      <c r="AC45" s="1208">
        <v>94.45</v>
      </c>
      <c r="AD45" s="1208">
        <v>88.35</v>
      </c>
      <c r="AE45" s="1208">
        <v>83.05</v>
      </c>
      <c r="AF45" s="1208">
        <v>78.349999999999994</v>
      </c>
      <c r="AG45" s="1208">
        <v>74.2</v>
      </c>
      <c r="AH45" s="1208">
        <v>70.45</v>
      </c>
      <c r="AI45" s="1208">
        <v>67.150000000000006</v>
      </c>
      <c r="AJ45" s="1208">
        <v>64.150000000000006</v>
      </c>
      <c r="AK45" s="1208">
        <v>61.4</v>
      </c>
      <c r="AL45" s="1208">
        <v>58.95</v>
      </c>
      <c r="AM45" s="1208">
        <v>56.7</v>
      </c>
      <c r="AN45" s="1208">
        <v>54.7</v>
      </c>
      <c r="AO45" s="1208">
        <v>52.85</v>
      </c>
      <c r="AP45" s="1208">
        <v>51.15</v>
      </c>
      <c r="AQ45" s="1220">
        <v>0</v>
      </c>
      <c r="AR45" s="1220">
        <v>0</v>
      </c>
      <c r="AS45" s="1220">
        <v>0</v>
      </c>
      <c r="AT45" s="1220">
        <v>0</v>
      </c>
      <c r="AU45" s="1220">
        <v>0</v>
      </c>
      <c r="AV45" s="1220">
        <v>0</v>
      </c>
      <c r="AW45" s="1220">
        <v>0</v>
      </c>
      <c r="AY45" s="827">
        <v>47</v>
      </c>
      <c r="AZ45" s="828">
        <v>5.72</v>
      </c>
      <c r="BA45" s="828">
        <v>5.9</v>
      </c>
      <c r="BB45" s="828">
        <v>6.11</v>
      </c>
      <c r="BC45" s="828">
        <v>6.34</v>
      </c>
      <c r="BD45" s="828">
        <v>6.58</v>
      </c>
      <c r="BE45" s="828">
        <v>7.09</v>
      </c>
      <c r="BF45" s="828">
        <v>7.33</v>
      </c>
      <c r="BG45" s="828">
        <v>7.58</v>
      </c>
      <c r="BH45" s="828">
        <v>7.83</v>
      </c>
      <c r="BI45" s="828">
        <v>8.09</v>
      </c>
      <c r="BJ45" s="828">
        <v>8.49</v>
      </c>
      <c r="BK45" s="828">
        <v>8.76</v>
      </c>
      <c r="BL45" s="828">
        <v>9.0399999999999991</v>
      </c>
      <c r="BM45" s="828">
        <v>9.32</v>
      </c>
      <c r="BN45" s="828">
        <v>9.6199999999999992</v>
      </c>
      <c r="BO45" s="828">
        <v>9.92</v>
      </c>
      <c r="BP45" s="828">
        <v>10.23</v>
      </c>
      <c r="BQ45" s="828">
        <v>10.54</v>
      </c>
      <c r="BR45" s="828">
        <v>10.87</v>
      </c>
      <c r="BS45" s="828">
        <v>11.2</v>
      </c>
      <c r="BT45" s="828">
        <v>11.53</v>
      </c>
      <c r="BU45" s="828">
        <v>11.87</v>
      </c>
      <c r="BV45" s="828">
        <v>12.22</v>
      </c>
      <c r="BW45" s="828">
        <v>12.57</v>
      </c>
      <c r="BX45" s="828"/>
      <c r="BY45" s="828"/>
      <c r="BZ45" s="828"/>
      <c r="CA45" s="828"/>
      <c r="CB45" s="828"/>
      <c r="CC45" s="828"/>
      <c r="CD45" s="828"/>
      <c r="CQ45" s="1204">
        <v>41</v>
      </c>
      <c r="CR45" s="1235">
        <v>1.85</v>
      </c>
      <c r="CS45" s="1204"/>
      <c r="CT45" s="1236">
        <v>41</v>
      </c>
      <c r="CU45" s="1235">
        <v>1.95</v>
      </c>
      <c r="CX45" s="1237">
        <v>43</v>
      </c>
      <c r="CY45" s="1235">
        <v>3.8</v>
      </c>
      <c r="CZ45" s="1235">
        <v>3.8</v>
      </c>
      <c r="DA45" s="1235">
        <v>4</v>
      </c>
      <c r="DI45" s="1240">
        <v>35</v>
      </c>
      <c r="DJ45" s="1243">
        <v>0.45</v>
      </c>
      <c r="DK45" s="1243">
        <v>0.55000000000000004</v>
      </c>
      <c r="DL45" s="1243">
        <v>0.65</v>
      </c>
      <c r="DM45" s="1223"/>
      <c r="DT45" s="1204">
        <v>46</v>
      </c>
      <c r="DU45" s="1241">
        <v>1.4</v>
      </c>
      <c r="DV45" s="1241">
        <v>1.85</v>
      </c>
      <c r="DW45" s="1241">
        <v>2.6</v>
      </c>
      <c r="DX45" s="1222"/>
      <c r="DY45" s="1204">
        <v>46</v>
      </c>
      <c r="DZ45" s="1241">
        <v>1.35</v>
      </c>
      <c r="EA45" s="1241">
        <v>1.75</v>
      </c>
      <c r="EB45" s="1241">
        <v>2.4</v>
      </c>
      <c r="EE45" s="1225">
        <v>29</v>
      </c>
      <c r="EF45" s="1226">
        <v>80.3</v>
      </c>
      <c r="EG45" s="1227">
        <v>54.55</v>
      </c>
      <c r="EH45" s="1227">
        <v>40.15</v>
      </c>
      <c r="EI45" s="1227">
        <v>31.9</v>
      </c>
      <c r="EK45" s="1228">
        <v>47</v>
      </c>
      <c r="EL45" s="1229">
        <v>17.05</v>
      </c>
      <c r="EM45" s="1229">
        <v>14.45</v>
      </c>
      <c r="EN45" s="1234"/>
      <c r="EO45" s="1234"/>
      <c r="EP45" s="1216">
        <v>47</v>
      </c>
      <c r="EQ45" s="1230">
        <v>18.38</v>
      </c>
      <c r="ER45" s="1230">
        <v>15.63</v>
      </c>
      <c r="ES45" s="1248"/>
      <c r="ET45" s="1248"/>
      <c r="EU45" s="1231">
        <v>47</v>
      </c>
      <c r="EV45" s="1232">
        <v>13.46</v>
      </c>
      <c r="EW45" s="1232">
        <v>11.38</v>
      </c>
      <c r="EX45" s="1234"/>
      <c r="EY45" s="1234"/>
      <c r="EZ45" s="1233">
        <v>34</v>
      </c>
      <c r="FA45" s="1245">
        <v>1.55</v>
      </c>
      <c r="FB45" s="1245">
        <v>1.3</v>
      </c>
      <c r="FC45" s="1245">
        <v>1.1499999999999999</v>
      </c>
      <c r="FD45" s="1245">
        <v>1.05</v>
      </c>
      <c r="FF45" s="1229">
        <v>2.2999999999999998</v>
      </c>
      <c r="FG45" s="1229">
        <v>1.95</v>
      </c>
      <c r="FH45" s="1229">
        <v>1.7</v>
      </c>
      <c r="FI45" s="1229">
        <v>1.6</v>
      </c>
    </row>
    <row r="46" spans="2:165" ht="15" customHeight="1">
      <c r="B46" s="1207">
        <v>38</v>
      </c>
      <c r="C46" s="1220">
        <v>90.75</v>
      </c>
      <c r="D46" s="1220">
        <v>83.25</v>
      </c>
      <c r="E46" s="1220">
        <v>76.849999999999994</v>
      </c>
      <c r="F46" s="1220">
        <v>72.400000000000006</v>
      </c>
      <c r="G46" s="1220">
        <v>67.5</v>
      </c>
      <c r="H46" s="1220">
        <v>63.2</v>
      </c>
      <c r="I46" s="1220">
        <v>59.4</v>
      </c>
      <c r="J46" s="1220">
        <v>56</v>
      </c>
      <c r="K46" s="1220">
        <v>53</v>
      </c>
      <c r="L46" s="1220">
        <v>50.45</v>
      </c>
      <c r="M46" s="1220">
        <v>48.2</v>
      </c>
      <c r="N46" s="1220">
        <v>46.1</v>
      </c>
      <c r="O46" s="1220">
        <v>44.25</v>
      </c>
      <c r="P46" s="1220">
        <v>42.55</v>
      </c>
      <c r="Q46" s="1220">
        <v>40.950000000000003</v>
      </c>
      <c r="R46" s="1220">
        <v>39.549999999999997</v>
      </c>
      <c r="S46" s="1220">
        <v>38.25</v>
      </c>
      <c r="T46" s="1220">
        <v>37.049999999999997</v>
      </c>
      <c r="U46" s="1220">
        <v>35.950000000000003</v>
      </c>
      <c r="V46" s="1220">
        <v>35.049999999999997</v>
      </c>
      <c r="W46" s="1220">
        <v>34.200000000000003</v>
      </c>
      <c r="X46" s="1220">
        <v>33.450000000000003</v>
      </c>
      <c r="Y46" s="1220">
        <v>32.75</v>
      </c>
      <c r="Z46" s="1206">
        <v>32.1</v>
      </c>
      <c r="AB46" s="1207">
        <v>48</v>
      </c>
      <c r="AC46" s="1208">
        <v>95.5</v>
      </c>
      <c r="AD46" s="1208">
        <v>89.4</v>
      </c>
      <c r="AE46" s="1208">
        <v>84.05</v>
      </c>
      <c r="AF46" s="1208">
        <v>79.349999999999994</v>
      </c>
      <c r="AG46" s="1208">
        <v>75.150000000000006</v>
      </c>
      <c r="AH46" s="1208">
        <v>71.400000000000006</v>
      </c>
      <c r="AI46" s="1208">
        <v>68.05</v>
      </c>
      <c r="AJ46" s="1208">
        <v>65.05</v>
      </c>
      <c r="AK46" s="1208">
        <v>62.35</v>
      </c>
      <c r="AL46" s="1208">
        <v>59.9</v>
      </c>
      <c r="AM46" s="1208">
        <v>57.65</v>
      </c>
      <c r="AN46" s="1208">
        <v>55.65</v>
      </c>
      <c r="AO46" s="1208">
        <v>53.8</v>
      </c>
      <c r="AP46" s="1220">
        <v>0</v>
      </c>
      <c r="AQ46" s="1220">
        <v>0</v>
      </c>
      <c r="AR46" s="1220">
        <v>0</v>
      </c>
      <c r="AS46" s="1220">
        <v>0</v>
      </c>
      <c r="AT46" s="1220">
        <v>0</v>
      </c>
      <c r="AU46" s="1220">
        <v>0</v>
      </c>
      <c r="AV46" s="1220">
        <v>0</v>
      </c>
      <c r="AW46" s="1220">
        <v>0</v>
      </c>
      <c r="AY46" s="827">
        <v>48</v>
      </c>
      <c r="AZ46" s="828">
        <v>6.29</v>
      </c>
      <c r="BA46" s="828">
        <v>6.49</v>
      </c>
      <c r="BB46" s="828">
        <v>6.72</v>
      </c>
      <c r="BC46" s="828">
        <v>6.96</v>
      </c>
      <c r="BD46" s="828">
        <v>7.21</v>
      </c>
      <c r="BE46" s="828">
        <v>7.75</v>
      </c>
      <c r="BF46" s="828">
        <v>8</v>
      </c>
      <c r="BG46" s="828">
        <v>8.26</v>
      </c>
      <c r="BH46" s="828">
        <v>8.5299999999999994</v>
      </c>
      <c r="BI46" s="828">
        <v>8.8000000000000007</v>
      </c>
      <c r="BJ46" s="828">
        <v>9.2200000000000006</v>
      </c>
      <c r="BK46" s="828">
        <v>9.51</v>
      </c>
      <c r="BL46" s="828">
        <v>9.81</v>
      </c>
      <c r="BM46" s="828">
        <v>10.11</v>
      </c>
      <c r="BN46" s="828">
        <v>10.43</v>
      </c>
      <c r="BO46" s="828">
        <v>10.75</v>
      </c>
      <c r="BP46" s="828">
        <v>11.08</v>
      </c>
      <c r="BQ46" s="828">
        <v>11.42</v>
      </c>
      <c r="BR46" s="828">
        <v>11.77</v>
      </c>
      <c r="BS46" s="828">
        <v>12.13</v>
      </c>
      <c r="BT46" s="828">
        <v>12.49</v>
      </c>
      <c r="BU46" s="828">
        <v>12.85</v>
      </c>
      <c r="BV46" s="828">
        <v>13.22</v>
      </c>
      <c r="BW46" s="828"/>
      <c r="BX46" s="828"/>
      <c r="BY46" s="828"/>
      <c r="BZ46" s="828"/>
      <c r="CA46" s="828"/>
      <c r="CB46" s="828"/>
      <c r="CC46" s="828"/>
      <c r="CD46" s="828"/>
      <c r="CQ46" s="1204">
        <v>42</v>
      </c>
      <c r="CR46" s="1235">
        <v>2</v>
      </c>
      <c r="CS46" s="1204"/>
      <c r="CT46" s="1236">
        <v>42</v>
      </c>
      <c r="CU46" s="1235">
        <v>2.15</v>
      </c>
      <c r="CX46" s="1242">
        <v>44</v>
      </c>
      <c r="CY46" s="1235">
        <v>4</v>
      </c>
      <c r="CZ46" s="1235">
        <v>4</v>
      </c>
      <c r="DA46" s="1235">
        <v>4.3</v>
      </c>
      <c r="DI46" s="1240">
        <v>36</v>
      </c>
      <c r="DJ46" s="1243">
        <v>0.45</v>
      </c>
      <c r="DK46" s="1243">
        <v>0.6</v>
      </c>
      <c r="DL46" s="1243">
        <v>0.7</v>
      </c>
      <c r="DM46" s="1223"/>
      <c r="DT46" s="1204">
        <v>47</v>
      </c>
      <c r="DU46" s="1241">
        <v>1.55</v>
      </c>
      <c r="DV46" s="1241">
        <v>2.0499999999999998</v>
      </c>
      <c r="DW46" s="1241">
        <v>2.8</v>
      </c>
      <c r="DX46" s="1222"/>
      <c r="DY46" s="1204">
        <v>47</v>
      </c>
      <c r="DZ46" s="1241">
        <v>1.5</v>
      </c>
      <c r="EA46" s="1241">
        <v>1.95</v>
      </c>
      <c r="EB46" s="1241">
        <v>2.6</v>
      </c>
      <c r="EE46" s="1225">
        <v>30</v>
      </c>
      <c r="EF46" s="1226">
        <v>80.3</v>
      </c>
      <c r="EG46" s="1227">
        <v>54.55</v>
      </c>
      <c r="EH46" s="1227">
        <v>40.200000000000003</v>
      </c>
      <c r="EI46" s="1227">
        <v>32.049999999999997</v>
      </c>
      <c r="EK46" s="1228">
        <v>48</v>
      </c>
      <c r="EL46" s="1229">
        <v>17.649999999999999</v>
      </c>
      <c r="EM46" s="1229">
        <v>14.99</v>
      </c>
      <c r="EN46" s="1234"/>
      <c r="EO46" s="1234"/>
      <c r="EP46" s="1216">
        <v>48</v>
      </c>
      <c r="EQ46" s="1230">
        <v>18.989999999999998</v>
      </c>
      <c r="ER46" s="1230">
        <v>16.170000000000002</v>
      </c>
      <c r="ES46" s="1248"/>
      <c r="ET46" s="1248"/>
      <c r="EU46" s="1231">
        <v>48</v>
      </c>
      <c r="EV46" s="1232">
        <v>13.76</v>
      </c>
      <c r="EW46" s="1232">
        <v>11.63</v>
      </c>
      <c r="EX46" s="1234"/>
      <c r="EY46" s="1234"/>
      <c r="EZ46" s="1233">
        <v>35</v>
      </c>
      <c r="FA46" s="1245">
        <v>1.55</v>
      </c>
      <c r="FB46" s="1245">
        <v>1.3</v>
      </c>
      <c r="FC46" s="1245">
        <v>1.1499999999999999</v>
      </c>
      <c r="FD46" s="1245">
        <v>1.1000000000000001</v>
      </c>
      <c r="FF46" s="1229">
        <v>2.2999999999999998</v>
      </c>
      <c r="FG46" s="1229">
        <v>1.95</v>
      </c>
      <c r="FH46" s="1229">
        <v>1.75</v>
      </c>
      <c r="FI46" s="1229">
        <v>1.6</v>
      </c>
    </row>
    <row r="47" spans="2:165" ht="15" customHeight="1">
      <c r="B47" s="1207">
        <v>39</v>
      </c>
      <c r="C47" s="1220">
        <v>90.95</v>
      </c>
      <c r="D47" s="1220">
        <v>83.45</v>
      </c>
      <c r="E47" s="1220">
        <v>77.05</v>
      </c>
      <c r="F47" s="1220">
        <v>72.650000000000006</v>
      </c>
      <c r="G47" s="1220">
        <v>67.7</v>
      </c>
      <c r="H47" s="1220">
        <v>63.4</v>
      </c>
      <c r="I47" s="1220">
        <v>59.65</v>
      </c>
      <c r="J47" s="1220">
        <v>56.25</v>
      </c>
      <c r="K47" s="1220">
        <v>53.25</v>
      </c>
      <c r="L47" s="1220">
        <v>50.75</v>
      </c>
      <c r="M47" s="1220">
        <v>48.5</v>
      </c>
      <c r="N47" s="1220">
        <v>46.45</v>
      </c>
      <c r="O47" s="1220">
        <v>44.55</v>
      </c>
      <c r="P47" s="1220">
        <v>42.85</v>
      </c>
      <c r="Q47" s="1220">
        <v>41.35</v>
      </c>
      <c r="R47" s="1220">
        <v>39.9</v>
      </c>
      <c r="S47" s="1220">
        <v>38.65</v>
      </c>
      <c r="T47" s="1220">
        <v>37.450000000000003</v>
      </c>
      <c r="U47" s="1220">
        <v>36.4</v>
      </c>
      <c r="V47" s="1220">
        <v>35.5</v>
      </c>
      <c r="W47" s="1220">
        <v>34.65</v>
      </c>
      <c r="X47" s="1220">
        <v>33.9</v>
      </c>
      <c r="Y47" s="1220">
        <v>33.200000000000003</v>
      </c>
      <c r="Z47" s="1206">
        <v>32.6</v>
      </c>
      <c r="AB47" s="1207">
        <v>49</v>
      </c>
      <c r="AC47" s="1208">
        <v>96.6</v>
      </c>
      <c r="AD47" s="1208">
        <v>90.45</v>
      </c>
      <c r="AE47" s="1208">
        <v>85.1</v>
      </c>
      <c r="AF47" s="1208">
        <v>80.349999999999994</v>
      </c>
      <c r="AG47" s="1208">
        <v>76.150000000000006</v>
      </c>
      <c r="AH47" s="1208">
        <v>72.400000000000006</v>
      </c>
      <c r="AI47" s="1208">
        <v>69.05</v>
      </c>
      <c r="AJ47" s="1208">
        <v>66.05</v>
      </c>
      <c r="AK47" s="1208">
        <v>63.3</v>
      </c>
      <c r="AL47" s="1208">
        <v>60.85</v>
      </c>
      <c r="AM47" s="1208">
        <v>58.6</v>
      </c>
      <c r="AN47" s="1208">
        <v>56.6</v>
      </c>
      <c r="AO47" s="1220">
        <v>0</v>
      </c>
      <c r="AP47" s="1220">
        <v>0</v>
      </c>
      <c r="AQ47" s="1220">
        <v>0</v>
      </c>
      <c r="AR47" s="1220">
        <v>0</v>
      </c>
      <c r="AS47" s="1220">
        <v>0</v>
      </c>
      <c r="AT47" s="1220">
        <v>0</v>
      </c>
      <c r="AU47" s="1220">
        <v>0</v>
      </c>
      <c r="AV47" s="1220">
        <v>0</v>
      </c>
      <c r="AW47" s="1220">
        <v>0</v>
      </c>
      <c r="AY47" s="827">
        <v>49</v>
      </c>
      <c r="AZ47" s="828">
        <v>6.91</v>
      </c>
      <c r="BA47" s="828">
        <v>7.12</v>
      </c>
      <c r="BB47" s="828">
        <v>7.36</v>
      </c>
      <c r="BC47" s="828">
        <v>7.61</v>
      </c>
      <c r="BD47" s="828">
        <v>7.87</v>
      </c>
      <c r="BE47" s="828">
        <v>8.4499999999999993</v>
      </c>
      <c r="BF47" s="828">
        <v>8.7100000000000009</v>
      </c>
      <c r="BG47" s="828">
        <v>8.98</v>
      </c>
      <c r="BH47" s="828">
        <v>9.26</v>
      </c>
      <c r="BI47" s="828">
        <v>9.5500000000000007</v>
      </c>
      <c r="BJ47" s="828">
        <v>10</v>
      </c>
      <c r="BK47" s="828">
        <v>10.31</v>
      </c>
      <c r="BL47" s="828">
        <v>10.63</v>
      </c>
      <c r="BM47" s="828">
        <v>10.96</v>
      </c>
      <c r="BN47" s="828">
        <v>11.3</v>
      </c>
      <c r="BO47" s="828">
        <v>11.65</v>
      </c>
      <c r="BP47" s="828">
        <v>12</v>
      </c>
      <c r="BQ47" s="828">
        <v>12.37</v>
      </c>
      <c r="BR47" s="828">
        <v>12.74</v>
      </c>
      <c r="BS47" s="828">
        <v>13.12</v>
      </c>
      <c r="BT47" s="828">
        <v>13.51</v>
      </c>
      <c r="BU47" s="828">
        <v>13.89</v>
      </c>
      <c r="BV47" s="828"/>
      <c r="BW47" s="828"/>
      <c r="BX47" s="828"/>
      <c r="BY47" s="828"/>
      <c r="BZ47" s="828"/>
      <c r="CA47" s="828"/>
      <c r="CB47" s="828"/>
      <c r="CC47" s="828"/>
      <c r="CD47" s="828"/>
      <c r="CQ47" s="1204">
        <v>43</v>
      </c>
      <c r="CR47" s="1235">
        <v>2.2000000000000002</v>
      </c>
      <c r="CS47" s="1204"/>
      <c r="CT47" s="1236">
        <v>43</v>
      </c>
      <c r="CU47" s="1235">
        <v>2.2999999999999998</v>
      </c>
      <c r="CX47" s="1237">
        <v>45</v>
      </c>
      <c r="CY47" s="1235">
        <v>4.4000000000000004</v>
      </c>
      <c r="CZ47" s="1235">
        <v>4.4000000000000004</v>
      </c>
      <c r="DA47" s="1235">
        <v>4.55</v>
      </c>
      <c r="DI47" s="1240">
        <v>37</v>
      </c>
      <c r="DJ47" s="1243">
        <v>0.5</v>
      </c>
      <c r="DK47" s="1243">
        <v>0.65</v>
      </c>
      <c r="DL47" s="1243">
        <v>0.8</v>
      </c>
      <c r="DM47" s="1223"/>
      <c r="DT47" s="1204">
        <v>48</v>
      </c>
      <c r="DU47" s="1241">
        <v>1.7</v>
      </c>
      <c r="DV47" s="1241">
        <v>2.25</v>
      </c>
      <c r="DW47" s="1241">
        <v>3</v>
      </c>
      <c r="DX47" s="1222"/>
      <c r="DY47" s="1204">
        <v>48</v>
      </c>
      <c r="DZ47" s="1241">
        <v>1.65</v>
      </c>
      <c r="EA47" s="1241">
        <v>2.1</v>
      </c>
      <c r="EB47" s="1241">
        <v>2.85</v>
      </c>
      <c r="EE47" s="1225">
        <v>31</v>
      </c>
      <c r="EF47" s="1226">
        <v>80.3</v>
      </c>
      <c r="EG47" s="1227">
        <v>54.55</v>
      </c>
      <c r="EH47" s="1227">
        <v>40.299999999999997</v>
      </c>
      <c r="EI47" s="1227">
        <v>32.25</v>
      </c>
      <c r="EK47" s="1228">
        <v>49</v>
      </c>
      <c r="EL47" s="1229">
        <v>18.25</v>
      </c>
      <c r="EM47" s="1229">
        <v>15.52</v>
      </c>
      <c r="EN47" s="1234"/>
      <c r="EO47" s="1234"/>
      <c r="EP47" s="1216">
        <v>49</v>
      </c>
      <c r="EQ47" s="1230">
        <v>19.579999999999998</v>
      </c>
      <c r="ER47" s="1230">
        <v>16.7</v>
      </c>
      <c r="ES47" s="1248"/>
      <c r="ET47" s="1248"/>
      <c r="EU47" s="1231">
        <v>49</v>
      </c>
      <c r="EV47" s="1232">
        <v>14.03</v>
      </c>
      <c r="EW47" s="1232">
        <v>11.87</v>
      </c>
      <c r="EX47" s="1234"/>
      <c r="EY47" s="1234"/>
      <c r="EZ47" s="1233">
        <v>36</v>
      </c>
      <c r="FA47" s="1245">
        <v>1.55</v>
      </c>
      <c r="FB47" s="1245">
        <v>1.3</v>
      </c>
      <c r="FC47" s="1245">
        <v>1.2</v>
      </c>
      <c r="FD47" s="1245">
        <v>1.1000000000000001</v>
      </c>
      <c r="FF47" s="1229">
        <v>2.35</v>
      </c>
      <c r="FG47" s="1229">
        <v>1.95</v>
      </c>
      <c r="FH47" s="1229">
        <v>1.75</v>
      </c>
      <c r="FI47" s="1229">
        <v>1.6</v>
      </c>
    </row>
    <row r="48" spans="2:165" ht="15" customHeight="1">
      <c r="B48" s="1207">
        <v>40</v>
      </c>
      <c r="C48" s="1220">
        <v>91.1</v>
      </c>
      <c r="D48" s="1220">
        <v>83.65</v>
      </c>
      <c r="E48" s="1220">
        <v>77.25</v>
      </c>
      <c r="F48" s="1220">
        <v>72.849999999999994</v>
      </c>
      <c r="G48" s="1220">
        <v>67.95</v>
      </c>
      <c r="H48" s="1220">
        <v>63.7</v>
      </c>
      <c r="I48" s="1220">
        <v>59.9</v>
      </c>
      <c r="J48" s="1220">
        <v>56.55</v>
      </c>
      <c r="K48" s="1220">
        <v>53.65</v>
      </c>
      <c r="L48" s="1220">
        <v>51.05</v>
      </c>
      <c r="M48" s="1220">
        <v>48.8</v>
      </c>
      <c r="N48" s="1220">
        <v>46.8</v>
      </c>
      <c r="O48" s="1220">
        <v>44.95</v>
      </c>
      <c r="P48" s="1220">
        <v>43.25</v>
      </c>
      <c r="Q48" s="1220">
        <v>41.7</v>
      </c>
      <c r="R48" s="1220">
        <v>40.299999999999997</v>
      </c>
      <c r="S48" s="1220">
        <v>39.049999999999997</v>
      </c>
      <c r="T48" s="1220">
        <v>37.9</v>
      </c>
      <c r="U48" s="1220">
        <v>36.85</v>
      </c>
      <c r="V48" s="1220">
        <v>35.950000000000003</v>
      </c>
      <c r="W48" s="1220">
        <v>35.15</v>
      </c>
      <c r="X48" s="1220">
        <v>34.4</v>
      </c>
      <c r="Y48" s="1220">
        <v>33.75</v>
      </c>
      <c r="Z48" s="1206">
        <v>33.15</v>
      </c>
      <c r="AB48" s="1207">
        <v>50</v>
      </c>
      <c r="AC48" s="1208">
        <v>97.7</v>
      </c>
      <c r="AD48" s="1208">
        <v>91.55</v>
      </c>
      <c r="AE48" s="1208">
        <v>86.15</v>
      </c>
      <c r="AF48" s="1208">
        <v>81.400000000000006</v>
      </c>
      <c r="AG48" s="1208">
        <v>77.2</v>
      </c>
      <c r="AH48" s="1208">
        <v>73.45</v>
      </c>
      <c r="AI48" s="1208">
        <v>70.05</v>
      </c>
      <c r="AJ48" s="1208">
        <v>67.05</v>
      </c>
      <c r="AK48" s="1208">
        <v>64.3</v>
      </c>
      <c r="AL48" s="1208">
        <v>61.85</v>
      </c>
      <c r="AM48" s="1208">
        <v>59.65</v>
      </c>
      <c r="AN48" s="1220">
        <v>0</v>
      </c>
      <c r="AO48" s="1220">
        <v>0</v>
      </c>
      <c r="AP48" s="1220">
        <v>0</v>
      </c>
      <c r="AQ48" s="1220">
        <v>0</v>
      </c>
      <c r="AR48" s="1220">
        <v>0</v>
      </c>
      <c r="AS48" s="1220">
        <v>0</v>
      </c>
      <c r="AT48" s="1220">
        <v>0</v>
      </c>
      <c r="AU48" s="1220">
        <v>0</v>
      </c>
      <c r="AV48" s="1220">
        <v>0</v>
      </c>
      <c r="AW48" s="1220">
        <v>0</v>
      </c>
      <c r="AY48" s="827">
        <v>50</v>
      </c>
      <c r="AZ48" s="828">
        <v>7.57</v>
      </c>
      <c r="BA48" s="828">
        <v>7.79</v>
      </c>
      <c r="BB48" s="828">
        <v>8.0299999999999994</v>
      </c>
      <c r="BC48" s="828">
        <v>8.2899999999999991</v>
      </c>
      <c r="BD48" s="828">
        <v>8.56</v>
      </c>
      <c r="BE48" s="828">
        <v>9.18</v>
      </c>
      <c r="BF48" s="828">
        <v>9.4499999999999993</v>
      </c>
      <c r="BG48" s="828">
        <v>9.74</v>
      </c>
      <c r="BH48" s="828">
        <v>10.039999999999999</v>
      </c>
      <c r="BI48" s="828">
        <v>10.35</v>
      </c>
      <c r="BJ48" s="828">
        <v>10.84</v>
      </c>
      <c r="BK48" s="828">
        <v>11.17</v>
      </c>
      <c r="BL48" s="828">
        <v>11.51</v>
      </c>
      <c r="BM48" s="828">
        <v>11.86</v>
      </c>
      <c r="BN48" s="828">
        <v>12.23</v>
      </c>
      <c r="BO48" s="828">
        <v>12.61</v>
      </c>
      <c r="BP48" s="828">
        <v>12.99</v>
      </c>
      <c r="BQ48" s="828">
        <v>13.38</v>
      </c>
      <c r="BR48" s="828">
        <v>13.78</v>
      </c>
      <c r="BS48" s="828">
        <v>14.19</v>
      </c>
      <c r="BT48" s="828">
        <v>14.6</v>
      </c>
      <c r="BU48" s="828"/>
      <c r="BV48" s="828"/>
      <c r="BW48" s="828"/>
      <c r="BX48" s="828"/>
      <c r="BY48" s="828"/>
      <c r="BZ48" s="828"/>
      <c r="CA48" s="828"/>
      <c r="CB48" s="828"/>
      <c r="CC48" s="828"/>
      <c r="CD48" s="828"/>
      <c r="CQ48" s="1204">
        <v>44</v>
      </c>
      <c r="CR48" s="1235">
        <v>2.35</v>
      </c>
      <c r="CS48" s="1204"/>
      <c r="CT48" s="1236">
        <v>44</v>
      </c>
      <c r="CU48" s="1235">
        <v>2.5</v>
      </c>
      <c r="CX48" s="1242">
        <v>46</v>
      </c>
      <c r="CY48" s="1235">
        <v>4.5999999999999996</v>
      </c>
      <c r="CZ48" s="1235">
        <v>4.55</v>
      </c>
      <c r="DA48" s="1235">
        <v>4.8</v>
      </c>
      <c r="DI48" s="1240">
        <v>38</v>
      </c>
      <c r="DJ48" s="1243">
        <v>0.55000000000000004</v>
      </c>
      <c r="DK48" s="1243">
        <v>0.7</v>
      </c>
      <c r="DL48" s="1243">
        <v>0.85</v>
      </c>
      <c r="DM48" s="1223"/>
      <c r="DT48" s="1204">
        <v>49</v>
      </c>
      <c r="DU48" s="1241">
        <v>1.85</v>
      </c>
      <c r="DV48" s="1241">
        <v>2.4500000000000002</v>
      </c>
      <c r="DW48" s="1241">
        <v>3.25</v>
      </c>
      <c r="DX48" s="1222"/>
      <c r="DY48" s="1204">
        <v>49</v>
      </c>
      <c r="DZ48" s="1241">
        <v>1.8</v>
      </c>
      <c r="EA48" s="1241">
        <v>2.2999999999999998</v>
      </c>
      <c r="EB48" s="1241">
        <v>3.05</v>
      </c>
      <c r="EE48" s="1225">
        <v>32</v>
      </c>
      <c r="EF48" s="1226">
        <v>80.3</v>
      </c>
      <c r="EG48" s="1227">
        <v>54.55</v>
      </c>
      <c r="EH48" s="1227">
        <v>40.450000000000003</v>
      </c>
      <c r="EI48" s="1227">
        <v>32.450000000000003</v>
      </c>
      <c r="EK48" s="1228">
        <v>50</v>
      </c>
      <c r="EL48" s="1229">
        <v>18.850000000000001</v>
      </c>
      <c r="EM48" s="1229">
        <v>16.05</v>
      </c>
      <c r="EN48" s="1234"/>
      <c r="EO48" s="1234"/>
      <c r="EP48" s="1216">
        <v>50</v>
      </c>
      <c r="EQ48" s="1230">
        <v>20.149999999999999</v>
      </c>
      <c r="ER48" s="1230">
        <v>17.2</v>
      </c>
      <c r="ES48" s="1248"/>
      <c r="ET48" s="1248"/>
      <c r="EU48" s="1231">
        <v>50</v>
      </c>
      <c r="EV48" s="1232">
        <v>14.28</v>
      </c>
      <c r="EW48" s="1232">
        <v>12.09</v>
      </c>
      <c r="EX48" s="1234"/>
      <c r="EY48" s="1234"/>
      <c r="EZ48" s="1233">
        <v>37</v>
      </c>
      <c r="FA48" s="1245">
        <v>1.6</v>
      </c>
      <c r="FB48" s="1245">
        <v>1.35</v>
      </c>
      <c r="FC48" s="1245">
        <v>1.2</v>
      </c>
      <c r="FD48" s="1245">
        <v>1.1000000000000001</v>
      </c>
      <c r="FF48" s="1229">
        <v>2.35</v>
      </c>
      <c r="FG48" s="1229">
        <v>2</v>
      </c>
      <c r="FH48" s="1229">
        <v>1.75</v>
      </c>
      <c r="FI48" s="1229">
        <v>1.65</v>
      </c>
    </row>
    <row r="49" spans="2:165" ht="15" customHeight="1">
      <c r="B49" s="1207">
        <v>41</v>
      </c>
      <c r="C49" s="1220">
        <v>91.35</v>
      </c>
      <c r="D49" s="1220">
        <v>83.85</v>
      </c>
      <c r="E49" s="1220">
        <v>77.5</v>
      </c>
      <c r="F49" s="1220">
        <v>73.150000000000006</v>
      </c>
      <c r="G49" s="1220">
        <v>68.25</v>
      </c>
      <c r="H49" s="1220">
        <v>64</v>
      </c>
      <c r="I49" s="1220">
        <v>60.2</v>
      </c>
      <c r="J49" s="1220">
        <v>56.9</v>
      </c>
      <c r="K49" s="1220">
        <v>53.9</v>
      </c>
      <c r="L49" s="1220">
        <v>51.45</v>
      </c>
      <c r="M49" s="1220">
        <v>49.2</v>
      </c>
      <c r="N49" s="1220">
        <v>47.15</v>
      </c>
      <c r="O49" s="1220">
        <v>45.35</v>
      </c>
      <c r="P49" s="1220">
        <v>43.65</v>
      </c>
      <c r="Q49" s="1220">
        <v>42.15</v>
      </c>
      <c r="R49" s="1220">
        <v>40.75</v>
      </c>
      <c r="S49" s="1220">
        <v>39.5</v>
      </c>
      <c r="T49" s="1220">
        <v>38.4</v>
      </c>
      <c r="U49" s="1220">
        <v>37.35</v>
      </c>
      <c r="V49" s="1220">
        <v>36.450000000000003</v>
      </c>
      <c r="W49" s="1220">
        <v>35.700000000000003</v>
      </c>
      <c r="X49" s="1220">
        <v>34.950000000000003</v>
      </c>
      <c r="Y49" s="1220">
        <v>34.299999999999997</v>
      </c>
      <c r="Z49" s="1220">
        <v>0</v>
      </c>
      <c r="AY49" s="827">
        <v>51</v>
      </c>
      <c r="AZ49" s="828">
        <v>8.26</v>
      </c>
      <c r="BA49" s="828">
        <v>8.48</v>
      </c>
      <c r="BB49" s="828">
        <v>8.73</v>
      </c>
      <c r="BC49" s="828">
        <v>9</v>
      </c>
      <c r="BD49" s="828">
        <v>9.2799999999999994</v>
      </c>
      <c r="BE49" s="828">
        <v>9.9499999999999993</v>
      </c>
      <c r="BF49" s="828">
        <v>10.24</v>
      </c>
      <c r="BG49" s="828">
        <v>10.55</v>
      </c>
      <c r="BH49" s="828">
        <v>10.86</v>
      </c>
      <c r="BI49" s="828">
        <v>11.2</v>
      </c>
      <c r="BJ49" s="828">
        <v>11.72</v>
      </c>
      <c r="BK49" s="828">
        <v>12.08</v>
      </c>
      <c r="BL49" s="828">
        <v>12.45</v>
      </c>
      <c r="BM49" s="828">
        <v>12.83</v>
      </c>
      <c r="BN49" s="828">
        <v>13.23</v>
      </c>
      <c r="BO49" s="828">
        <v>13.63</v>
      </c>
      <c r="BP49" s="828">
        <v>14.05</v>
      </c>
      <c r="BQ49" s="828">
        <v>14.47</v>
      </c>
      <c r="BR49" s="828">
        <v>14.9</v>
      </c>
      <c r="BS49" s="828">
        <v>15.33</v>
      </c>
      <c r="BT49" s="828"/>
      <c r="BU49" s="828"/>
      <c r="BV49" s="828"/>
      <c r="BW49" s="828"/>
      <c r="BX49" s="828"/>
      <c r="BY49" s="828"/>
      <c r="BZ49" s="828"/>
      <c r="CA49" s="828"/>
      <c r="CB49" s="828"/>
      <c r="CC49" s="828"/>
      <c r="CD49" s="828"/>
      <c r="CQ49" s="1204">
        <v>45</v>
      </c>
      <c r="CR49" s="1235">
        <v>2.5499999999999998</v>
      </c>
      <c r="CS49" s="1204"/>
      <c r="CT49" s="1236">
        <v>45</v>
      </c>
      <c r="CU49" s="1235">
        <v>2.7</v>
      </c>
      <c r="CX49" s="1237">
        <v>47</v>
      </c>
      <c r="CY49" s="1235">
        <v>4.9000000000000004</v>
      </c>
      <c r="CZ49" s="1235">
        <v>4.8</v>
      </c>
      <c r="DA49" s="1235">
        <v>5.0999999999999996</v>
      </c>
      <c r="DI49" s="1240">
        <v>39</v>
      </c>
      <c r="DJ49" s="1243">
        <v>0.6</v>
      </c>
      <c r="DK49" s="1243">
        <v>0.75</v>
      </c>
      <c r="DL49" s="1243">
        <v>0.95</v>
      </c>
      <c r="DM49" s="1223"/>
      <c r="DT49" s="1204">
        <v>50</v>
      </c>
      <c r="DU49" s="1241">
        <v>2</v>
      </c>
      <c r="DV49" s="1241">
        <v>2.65</v>
      </c>
      <c r="DW49" s="1241">
        <v>3.5</v>
      </c>
      <c r="DX49" s="1222"/>
      <c r="DY49" s="1204">
        <v>50</v>
      </c>
      <c r="DZ49" s="1241">
        <v>1.95</v>
      </c>
      <c r="EA49" s="1241">
        <v>2.5</v>
      </c>
      <c r="EB49" s="1241">
        <v>3.3</v>
      </c>
      <c r="EE49" s="1225">
        <v>33</v>
      </c>
      <c r="EF49" s="1226">
        <v>80.3</v>
      </c>
      <c r="EG49" s="1227">
        <v>54.55</v>
      </c>
      <c r="EH49" s="1227">
        <v>40.549999999999997</v>
      </c>
      <c r="EI49" s="1227">
        <v>32.700000000000003</v>
      </c>
      <c r="EK49" s="1228">
        <v>51</v>
      </c>
      <c r="EL49" s="1229">
        <v>19.43</v>
      </c>
      <c r="EM49" s="1234"/>
      <c r="EN49" s="1234"/>
      <c r="EO49" s="1234"/>
      <c r="EP49" s="1216">
        <v>51</v>
      </c>
      <c r="EQ49" s="1230">
        <v>20.68</v>
      </c>
      <c r="ER49" s="1248"/>
      <c r="ES49" s="1248"/>
      <c r="ET49" s="1248"/>
      <c r="EU49" s="1231">
        <v>51</v>
      </c>
      <c r="EV49" s="1232">
        <v>14.5</v>
      </c>
      <c r="EW49" s="1234"/>
      <c r="EX49" s="1234"/>
      <c r="EY49" s="1234"/>
      <c r="EZ49" s="1233">
        <v>38</v>
      </c>
      <c r="FA49" s="1245">
        <v>1.6</v>
      </c>
      <c r="FB49" s="1245">
        <v>1.35</v>
      </c>
      <c r="FC49" s="1245">
        <v>1.2</v>
      </c>
      <c r="FD49" s="1245">
        <v>1.1000000000000001</v>
      </c>
      <c r="FF49" s="1229">
        <v>2.4</v>
      </c>
      <c r="FG49" s="1229">
        <v>2</v>
      </c>
      <c r="FH49" s="1229">
        <v>1.8</v>
      </c>
      <c r="FI49" s="1229">
        <v>1.65</v>
      </c>
    </row>
    <row r="50" spans="2:165" ht="15" customHeight="1">
      <c r="B50" s="1207">
        <v>42</v>
      </c>
      <c r="C50" s="1220">
        <v>91.6</v>
      </c>
      <c r="D50" s="1220">
        <v>84.15</v>
      </c>
      <c r="E50" s="1220">
        <v>77.75</v>
      </c>
      <c r="F50" s="1220">
        <v>73.45</v>
      </c>
      <c r="G50" s="1220">
        <v>68.55</v>
      </c>
      <c r="H50" s="1220">
        <v>64.3</v>
      </c>
      <c r="I50" s="1220">
        <v>60.55</v>
      </c>
      <c r="J50" s="1220">
        <v>57.25</v>
      </c>
      <c r="K50" s="1220">
        <v>54.3</v>
      </c>
      <c r="L50" s="1220">
        <v>51.8</v>
      </c>
      <c r="M50" s="1220">
        <v>49.6</v>
      </c>
      <c r="N50" s="1220">
        <v>47.6</v>
      </c>
      <c r="O50" s="1220">
        <v>45.75</v>
      </c>
      <c r="P50" s="1220">
        <v>44.1</v>
      </c>
      <c r="Q50" s="1220">
        <v>42.6</v>
      </c>
      <c r="R50" s="1220">
        <v>41.25</v>
      </c>
      <c r="S50" s="1220">
        <v>40</v>
      </c>
      <c r="T50" s="1220">
        <v>38.9</v>
      </c>
      <c r="U50" s="1220">
        <v>37.9</v>
      </c>
      <c r="V50" s="1220">
        <v>37.049999999999997</v>
      </c>
      <c r="W50" s="1220">
        <v>36.25</v>
      </c>
      <c r="X50" s="1220">
        <v>35.549999999999997</v>
      </c>
      <c r="Y50" s="1220">
        <v>0</v>
      </c>
      <c r="Z50" s="1220">
        <v>0</v>
      </c>
      <c r="AY50" s="827">
        <v>52</v>
      </c>
      <c r="AZ50" s="828">
        <v>8.9700000000000006</v>
      </c>
      <c r="BA50" s="828">
        <v>9.1999999999999993</v>
      </c>
      <c r="BB50" s="828">
        <v>9.4600000000000009</v>
      </c>
      <c r="BC50" s="828">
        <v>9.75</v>
      </c>
      <c r="BD50" s="828">
        <v>10.050000000000001</v>
      </c>
      <c r="BE50" s="828">
        <v>10.76</v>
      </c>
      <c r="BF50" s="828">
        <v>11.07</v>
      </c>
      <c r="BG50" s="828">
        <v>11.4</v>
      </c>
      <c r="BH50" s="828">
        <v>11.74</v>
      </c>
      <c r="BI50" s="828">
        <v>12.1</v>
      </c>
      <c r="BJ50" s="828">
        <v>12.67</v>
      </c>
      <c r="BK50" s="828">
        <v>13.06</v>
      </c>
      <c r="BL50" s="828">
        <v>13.46</v>
      </c>
      <c r="BM50" s="828">
        <v>13.87</v>
      </c>
      <c r="BN50" s="828">
        <v>14.3</v>
      </c>
      <c r="BO50" s="828">
        <v>14.73</v>
      </c>
      <c r="BP50" s="828">
        <v>15.18</v>
      </c>
      <c r="BQ50" s="828">
        <v>15.63</v>
      </c>
      <c r="BR50" s="828">
        <v>16.09</v>
      </c>
      <c r="BS50" s="828"/>
      <c r="BT50" s="828"/>
      <c r="BU50" s="828"/>
      <c r="BV50" s="828"/>
      <c r="BW50" s="828"/>
      <c r="BX50" s="828"/>
      <c r="BY50" s="828"/>
      <c r="BZ50" s="828"/>
      <c r="CA50" s="828"/>
      <c r="CB50" s="828"/>
      <c r="CC50" s="828"/>
      <c r="CD50" s="828"/>
      <c r="CQ50" s="1204">
        <v>46</v>
      </c>
      <c r="CR50" s="1235">
        <v>2.75</v>
      </c>
      <c r="CS50" s="1204"/>
      <c r="CT50" s="1222"/>
      <c r="CU50" s="1222"/>
      <c r="CX50" s="1242">
        <v>48</v>
      </c>
      <c r="CY50" s="1235">
        <v>5.0999999999999996</v>
      </c>
      <c r="CZ50" s="1235">
        <v>5.0999999999999996</v>
      </c>
      <c r="DA50" s="1235">
        <v>5.35</v>
      </c>
      <c r="DI50" s="1240">
        <v>40</v>
      </c>
      <c r="DJ50" s="1243">
        <v>0.65</v>
      </c>
      <c r="DK50" s="1243">
        <v>0.85</v>
      </c>
      <c r="DL50" s="1243">
        <v>1</v>
      </c>
      <c r="DM50" s="1223"/>
      <c r="DT50" s="1204">
        <v>51</v>
      </c>
      <c r="DU50" s="1241">
        <v>2.2000000000000002</v>
      </c>
      <c r="DV50" s="1241">
        <v>2.85</v>
      </c>
      <c r="DW50" s="1241">
        <v>3.75</v>
      </c>
      <c r="DX50" s="1222"/>
      <c r="DY50" s="1204">
        <v>51</v>
      </c>
      <c r="DZ50" s="1241">
        <v>2.15</v>
      </c>
      <c r="EA50" s="1241">
        <v>2.7</v>
      </c>
      <c r="EB50" s="1241">
        <v>3.55</v>
      </c>
      <c r="EE50" s="1225">
        <v>34</v>
      </c>
      <c r="EF50" s="1226">
        <v>80.3</v>
      </c>
      <c r="EG50" s="1227">
        <v>54.55</v>
      </c>
      <c r="EH50" s="1227">
        <v>40.75</v>
      </c>
      <c r="EI50" s="1227">
        <v>32.950000000000003</v>
      </c>
      <c r="EK50" s="1228">
        <v>52</v>
      </c>
      <c r="EL50" s="1229">
        <v>19.989999999999998</v>
      </c>
      <c r="EM50" s="1234"/>
      <c r="EN50" s="1234"/>
      <c r="EO50" s="1234"/>
      <c r="EP50" s="1216">
        <v>52</v>
      </c>
      <c r="EQ50" s="1230">
        <v>21.19</v>
      </c>
      <c r="ER50" s="1248"/>
      <c r="ES50" s="1248"/>
      <c r="ET50" s="1248"/>
      <c r="EU50" s="1231">
        <v>52</v>
      </c>
      <c r="EV50" s="1232">
        <v>14.7</v>
      </c>
      <c r="EW50" s="1234"/>
      <c r="EX50" s="1234"/>
      <c r="EY50" s="1234"/>
      <c r="EZ50" s="1233">
        <v>39</v>
      </c>
      <c r="FA50" s="1245">
        <v>1.6</v>
      </c>
      <c r="FB50" s="1245">
        <v>1.35</v>
      </c>
      <c r="FC50" s="1245">
        <v>1.2</v>
      </c>
      <c r="FD50" s="1245">
        <v>1.1000000000000001</v>
      </c>
      <c r="FF50" s="1229">
        <v>2.4</v>
      </c>
      <c r="FG50" s="1229">
        <v>2</v>
      </c>
      <c r="FH50" s="1229" t="s">
        <v>895</v>
      </c>
      <c r="FI50" s="1229">
        <v>1.65</v>
      </c>
    </row>
    <row r="51" spans="2:165" ht="15" customHeight="1">
      <c r="B51" s="1207">
        <v>43</v>
      </c>
      <c r="C51" s="1220">
        <v>91.85</v>
      </c>
      <c r="D51" s="1220">
        <v>84.4</v>
      </c>
      <c r="E51" s="1220">
        <v>78.099999999999994</v>
      </c>
      <c r="F51" s="1220">
        <v>73.8</v>
      </c>
      <c r="G51" s="1220">
        <v>68.900000000000006</v>
      </c>
      <c r="H51" s="1220">
        <v>64.7</v>
      </c>
      <c r="I51" s="1220">
        <v>60.95</v>
      </c>
      <c r="J51" s="1220">
        <v>57.65</v>
      </c>
      <c r="K51" s="1220">
        <v>54.7</v>
      </c>
      <c r="L51" s="1220">
        <v>52.25</v>
      </c>
      <c r="M51" s="1220">
        <v>50.05</v>
      </c>
      <c r="N51" s="1220">
        <v>48.05</v>
      </c>
      <c r="O51" s="1220">
        <v>46.25</v>
      </c>
      <c r="P51" s="1220">
        <v>44.6</v>
      </c>
      <c r="Q51" s="1220">
        <v>43.15</v>
      </c>
      <c r="R51" s="1220">
        <v>41.8</v>
      </c>
      <c r="S51" s="1220">
        <v>40.6</v>
      </c>
      <c r="T51" s="1220">
        <v>39.450000000000003</v>
      </c>
      <c r="U51" s="1220">
        <v>38.5</v>
      </c>
      <c r="V51" s="1220">
        <v>37.65</v>
      </c>
      <c r="W51" s="1220">
        <v>36.9</v>
      </c>
      <c r="X51" s="1220">
        <v>0</v>
      </c>
      <c r="Y51" s="1220">
        <v>0</v>
      </c>
      <c r="Z51" s="1220">
        <v>0</v>
      </c>
      <c r="AY51" s="827">
        <v>53</v>
      </c>
      <c r="AZ51" s="828">
        <v>9.7100000000000009</v>
      </c>
      <c r="BA51" s="828">
        <v>9.9499999999999993</v>
      </c>
      <c r="BB51" s="828">
        <v>10.23</v>
      </c>
      <c r="BC51" s="828">
        <v>10.53</v>
      </c>
      <c r="BD51" s="828">
        <v>10.85</v>
      </c>
      <c r="BE51" s="828">
        <v>11.61</v>
      </c>
      <c r="BF51" s="828">
        <v>11.95</v>
      </c>
      <c r="BG51" s="828">
        <v>12.3</v>
      </c>
      <c r="BH51" s="828">
        <v>12.67</v>
      </c>
      <c r="BI51" s="828">
        <v>13.06</v>
      </c>
      <c r="BJ51" s="828">
        <v>13.68</v>
      </c>
      <c r="BK51" s="828">
        <v>14.1</v>
      </c>
      <c r="BL51" s="828">
        <v>14.53</v>
      </c>
      <c r="BM51" s="828">
        <v>14.98</v>
      </c>
      <c r="BN51" s="828">
        <v>15.44</v>
      </c>
      <c r="BO51" s="828">
        <v>15.91</v>
      </c>
      <c r="BP51" s="828">
        <v>16.39</v>
      </c>
      <c r="BQ51" s="828">
        <v>16.87</v>
      </c>
      <c r="BR51" s="828"/>
      <c r="BS51" s="828"/>
      <c r="BT51" s="828"/>
      <c r="BU51" s="828"/>
      <c r="BV51" s="828"/>
      <c r="BW51" s="828"/>
      <c r="BX51" s="828"/>
      <c r="BY51" s="828"/>
      <c r="BZ51" s="828"/>
      <c r="CA51" s="828"/>
      <c r="CB51" s="828"/>
      <c r="CC51" s="828"/>
      <c r="CD51" s="828"/>
      <c r="CQ51" s="1204">
        <v>47</v>
      </c>
      <c r="CR51" s="1235">
        <v>3</v>
      </c>
      <c r="CS51" s="1204"/>
      <c r="CT51" s="1222"/>
      <c r="CU51" s="1222"/>
      <c r="CX51" s="1237">
        <v>49</v>
      </c>
      <c r="CY51" s="1235">
        <v>5.4</v>
      </c>
      <c r="CZ51" s="1235">
        <v>5.35</v>
      </c>
      <c r="DA51" s="1235">
        <v>5.65</v>
      </c>
      <c r="DI51" s="1240">
        <v>41</v>
      </c>
      <c r="DJ51" s="1243">
        <v>0.7</v>
      </c>
      <c r="DK51" s="1243">
        <v>0.9</v>
      </c>
      <c r="DL51" s="1243">
        <v>1.1000000000000001</v>
      </c>
      <c r="DM51" s="1223"/>
      <c r="DT51" s="1204">
        <v>52</v>
      </c>
      <c r="DU51" s="1241">
        <v>2.4</v>
      </c>
      <c r="DV51" s="1241">
        <v>3.1</v>
      </c>
      <c r="DW51" s="1241">
        <v>4.05</v>
      </c>
      <c r="DX51" s="1222"/>
      <c r="DY51" s="1204">
        <v>52</v>
      </c>
      <c r="DZ51" s="1241">
        <v>2.2999999999999998</v>
      </c>
      <c r="EA51" s="1241">
        <v>2.95</v>
      </c>
      <c r="EB51" s="1241">
        <v>3.8</v>
      </c>
      <c r="EE51" s="1225">
        <v>35</v>
      </c>
      <c r="EF51" s="1226">
        <v>80.3</v>
      </c>
      <c r="EG51" s="1227">
        <v>54.55</v>
      </c>
      <c r="EH51" s="1227">
        <v>40.9</v>
      </c>
      <c r="EI51" s="1227">
        <v>33.200000000000003</v>
      </c>
      <c r="EK51" s="1228">
        <v>53</v>
      </c>
      <c r="EL51" s="1229">
        <v>20.53</v>
      </c>
      <c r="EM51" s="1234"/>
      <c r="EN51" s="1234"/>
      <c r="EO51" s="1234"/>
      <c r="EP51" s="1216">
        <v>53</v>
      </c>
      <c r="EQ51" s="1230">
        <v>21.69</v>
      </c>
      <c r="ER51" s="1248"/>
      <c r="ES51" s="1248"/>
      <c r="ET51" s="1248"/>
      <c r="EU51" s="1231">
        <v>53</v>
      </c>
      <c r="EV51" s="1232">
        <v>14.88</v>
      </c>
      <c r="EW51" s="1234"/>
      <c r="EX51" s="1234"/>
      <c r="EY51" s="1234"/>
      <c r="EZ51" s="1233">
        <v>40</v>
      </c>
      <c r="FA51" s="1245">
        <v>1.6</v>
      </c>
      <c r="FB51" s="1245">
        <v>1.35</v>
      </c>
      <c r="FC51" s="1245">
        <v>1.2</v>
      </c>
      <c r="FD51" s="1245">
        <v>1.1000000000000001</v>
      </c>
      <c r="FF51" s="1229">
        <v>2.4</v>
      </c>
      <c r="FG51" s="1229">
        <v>2.0499999999999998</v>
      </c>
      <c r="FH51" s="1229" t="s">
        <v>897</v>
      </c>
      <c r="FI51" s="1229">
        <v>1.7</v>
      </c>
    </row>
    <row r="52" spans="2:165" ht="15" customHeight="1">
      <c r="B52" s="1207">
        <v>44</v>
      </c>
      <c r="C52" s="1220">
        <v>92.2</v>
      </c>
      <c r="D52" s="1220">
        <v>84.75</v>
      </c>
      <c r="E52" s="1220">
        <v>78.45</v>
      </c>
      <c r="F52" s="1220">
        <v>74.150000000000006</v>
      </c>
      <c r="G52" s="1220">
        <v>69.3</v>
      </c>
      <c r="H52" s="1220">
        <v>65.099999999999994</v>
      </c>
      <c r="I52" s="1220">
        <v>61.35</v>
      </c>
      <c r="J52" s="1220">
        <v>58.1</v>
      </c>
      <c r="K52" s="1220">
        <v>55.15</v>
      </c>
      <c r="L52" s="1220">
        <v>52.7</v>
      </c>
      <c r="M52" s="1220">
        <v>50.55</v>
      </c>
      <c r="N52" s="1220">
        <v>48.55</v>
      </c>
      <c r="O52" s="1220">
        <v>46.75</v>
      </c>
      <c r="P52" s="1220">
        <v>45.15</v>
      </c>
      <c r="Q52" s="1220">
        <v>43.7</v>
      </c>
      <c r="R52" s="1220">
        <v>42.35</v>
      </c>
      <c r="S52" s="1220">
        <v>41.2</v>
      </c>
      <c r="T52" s="1220">
        <v>40.1</v>
      </c>
      <c r="U52" s="1220">
        <v>39.1</v>
      </c>
      <c r="V52" s="1220">
        <v>38.299999999999997</v>
      </c>
      <c r="W52" s="1220">
        <v>0</v>
      </c>
      <c r="X52" s="1220">
        <v>0</v>
      </c>
      <c r="Y52" s="1220">
        <v>0</v>
      </c>
      <c r="Z52" s="1220">
        <v>0</v>
      </c>
      <c r="AY52" s="827">
        <v>54</v>
      </c>
      <c r="AZ52" s="828">
        <v>10.48</v>
      </c>
      <c r="BA52" s="828">
        <v>10.74</v>
      </c>
      <c r="BB52" s="828">
        <v>11.03</v>
      </c>
      <c r="BC52" s="828">
        <v>11.35</v>
      </c>
      <c r="BD52" s="828">
        <v>11.69</v>
      </c>
      <c r="BE52" s="828">
        <v>12.52</v>
      </c>
      <c r="BF52" s="828">
        <v>12.88</v>
      </c>
      <c r="BG52" s="828">
        <v>13.27</v>
      </c>
      <c r="BH52" s="828">
        <v>13.67</v>
      </c>
      <c r="BI52" s="828">
        <v>14.1</v>
      </c>
      <c r="BJ52" s="828">
        <v>14.77</v>
      </c>
      <c r="BK52" s="828">
        <v>15.22</v>
      </c>
      <c r="BL52" s="828">
        <v>15.69</v>
      </c>
      <c r="BM52" s="828">
        <v>16.18</v>
      </c>
      <c r="BN52" s="828">
        <v>16.670000000000002</v>
      </c>
      <c r="BO52" s="828">
        <v>17.809999999999999</v>
      </c>
      <c r="BP52" s="828">
        <v>17.690000000000001</v>
      </c>
      <c r="BQ52" s="828"/>
      <c r="BR52" s="828"/>
      <c r="BS52" s="828"/>
      <c r="BT52" s="828"/>
      <c r="BU52" s="828"/>
      <c r="BV52" s="828"/>
      <c r="BW52" s="828"/>
      <c r="BX52" s="828"/>
      <c r="BY52" s="828"/>
      <c r="BZ52" s="828"/>
      <c r="CA52" s="828"/>
      <c r="CB52" s="828"/>
      <c r="CC52" s="828"/>
      <c r="CD52" s="828"/>
      <c r="CQ52" s="1204">
        <v>48</v>
      </c>
      <c r="CR52" s="1235">
        <v>3.25</v>
      </c>
      <c r="CS52" s="1204"/>
      <c r="CT52" s="1222"/>
      <c r="CU52" s="1222"/>
      <c r="CX52" s="1242">
        <v>50</v>
      </c>
      <c r="CY52" s="1235">
        <v>5.7</v>
      </c>
      <c r="CZ52" s="1235">
        <v>5.7</v>
      </c>
      <c r="DA52" s="1235">
        <v>5.9</v>
      </c>
      <c r="DI52" s="1240">
        <v>42</v>
      </c>
      <c r="DJ52" s="1243">
        <v>0.8</v>
      </c>
      <c r="DK52" s="1243">
        <v>1</v>
      </c>
      <c r="DL52" s="1243">
        <v>1.2</v>
      </c>
      <c r="DM52" s="1223"/>
      <c r="DT52" s="1204">
        <v>53</v>
      </c>
      <c r="DU52" s="1241">
        <v>2.6</v>
      </c>
      <c r="DV52" s="1241">
        <v>3.3</v>
      </c>
      <c r="DW52" s="1241">
        <v>4.3</v>
      </c>
      <c r="DX52" s="1222"/>
      <c r="DY52" s="1204">
        <v>53</v>
      </c>
      <c r="DZ52" s="1241">
        <v>2.5</v>
      </c>
      <c r="EA52" s="1241">
        <v>3.15</v>
      </c>
      <c r="EB52" s="1241">
        <v>4.05</v>
      </c>
      <c r="EE52" s="1225">
        <v>36</v>
      </c>
      <c r="EF52" s="1226">
        <v>80.3</v>
      </c>
      <c r="EG52" s="1227">
        <v>54.55</v>
      </c>
      <c r="EH52" s="1227">
        <v>41.15</v>
      </c>
      <c r="EI52" s="1227">
        <v>33.5</v>
      </c>
      <c r="EK52" s="1228">
        <v>54</v>
      </c>
      <c r="EL52" s="1229">
        <v>21.05</v>
      </c>
      <c r="EM52" s="1234"/>
      <c r="EN52" s="1234"/>
      <c r="EO52" s="1234"/>
      <c r="EP52" s="1216">
        <v>54</v>
      </c>
      <c r="EQ52" s="1230">
        <v>22.14</v>
      </c>
      <c r="ER52" s="1248"/>
      <c r="ES52" s="1248"/>
      <c r="ET52" s="1248"/>
      <c r="EU52" s="1231">
        <v>54</v>
      </c>
      <c r="EV52" s="1232">
        <v>15.02</v>
      </c>
      <c r="EW52" s="1234"/>
      <c r="EX52" s="1234"/>
      <c r="EY52" s="1234"/>
      <c r="EZ52" s="1233">
        <v>41</v>
      </c>
      <c r="FA52" s="1245">
        <v>1.65</v>
      </c>
      <c r="FB52" s="1245">
        <v>1.35</v>
      </c>
      <c r="FC52" s="1245">
        <v>1.2</v>
      </c>
      <c r="FD52" s="1245">
        <v>1.1499999999999999</v>
      </c>
      <c r="FF52" s="1229">
        <v>2.4500000000000002</v>
      </c>
      <c r="FG52" s="1229">
        <v>2.0499999999999998</v>
      </c>
      <c r="FH52" s="1229">
        <v>1.85</v>
      </c>
      <c r="FI52" s="1229">
        <v>1.7</v>
      </c>
    </row>
    <row r="53" spans="2:165" ht="15" customHeight="1">
      <c r="B53" s="1207">
        <v>45</v>
      </c>
      <c r="C53" s="1220">
        <v>92.55</v>
      </c>
      <c r="D53" s="1220">
        <v>85.1</v>
      </c>
      <c r="E53" s="1220">
        <v>78.8</v>
      </c>
      <c r="F53" s="1220">
        <v>74.55</v>
      </c>
      <c r="G53" s="1220">
        <v>69.75</v>
      </c>
      <c r="H53" s="1220">
        <v>65.5</v>
      </c>
      <c r="I53" s="1220">
        <v>61.8</v>
      </c>
      <c r="J53" s="1220">
        <v>58.55</v>
      </c>
      <c r="K53" s="1220">
        <v>55.65</v>
      </c>
      <c r="L53" s="1220">
        <v>53.25</v>
      </c>
      <c r="M53" s="1220">
        <v>51.05</v>
      </c>
      <c r="N53" s="1220">
        <v>49.1</v>
      </c>
      <c r="O53" s="1220">
        <v>47.35</v>
      </c>
      <c r="P53" s="1220">
        <v>45.75</v>
      </c>
      <c r="Q53" s="1220">
        <v>44.3</v>
      </c>
      <c r="R53" s="1220">
        <v>43</v>
      </c>
      <c r="S53" s="1220">
        <v>41.85</v>
      </c>
      <c r="T53" s="1220">
        <v>40.75</v>
      </c>
      <c r="U53" s="1220">
        <v>39.799999999999997</v>
      </c>
      <c r="V53" s="1220">
        <v>0</v>
      </c>
      <c r="W53" s="1220">
        <v>0</v>
      </c>
      <c r="X53" s="1220">
        <v>0</v>
      </c>
      <c r="Y53" s="1220">
        <v>0</v>
      </c>
      <c r="Z53" s="1220">
        <v>0</v>
      </c>
      <c r="AY53" s="827">
        <v>55</v>
      </c>
      <c r="AZ53" s="828">
        <v>11.29</v>
      </c>
      <c r="BA53" s="828">
        <v>11.56</v>
      </c>
      <c r="BB53" s="828">
        <v>11.88</v>
      </c>
      <c r="BC53" s="828">
        <v>12.22</v>
      </c>
      <c r="BD53" s="828">
        <v>12.59</v>
      </c>
      <c r="BE53" s="828">
        <v>13.49</v>
      </c>
      <c r="BF53" s="828">
        <v>13.89</v>
      </c>
      <c r="BG53" s="828">
        <v>14.31</v>
      </c>
      <c r="BH53" s="828">
        <v>14.75</v>
      </c>
      <c r="BI53" s="828">
        <v>15.21</v>
      </c>
      <c r="BJ53" s="828">
        <v>15.94</v>
      </c>
      <c r="BK53" s="828">
        <v>16.43</v>
      </c>
      <c r="BL53" s="828">
        <v>16.940000000000001</v>
      </c>
      <c r="BM53" s="828">
        <v>17.46</v>
      </c>
      <c r="BN53" s="828">
        <v>18</v>
      </c>
      <c r="BO53" s="828">
        <v>18.54</v>
      </c>
      <c r="BP53" s="828"/>
      <c r="BQ53" s="828"/>
      <c r="BR53" s="828"/>
      <c r="BS53" s="828"/>
      <c r="BT53" s="828"/>
      <c r="BU53" s="828"/>
      <c r="BV53" s="828"/>
      <c r="BW53" s="828"/>
      <c r="BX53" s="828"/>
      <c r="BY53" s="828"/>
      <c r="BZ53" s="828"/>
      <c r="CA53" s="828"/>
      <c r="CB53" s="828"/>
      <c r="CC53" s="828"/>
      <c r="CD53" s="828"/>
      <c r="CQ53" s="1204">
        <v>49</v>
      </c>
      <c r="CR53" s="1235">
        <v>3.5</v>
      </c>
      <c r="CS53" s="1204"/>
      <c r="CT53" s="1222"/>
      <c r="CU53" s="1222"/>
      <c r="CX53" s="1237">
        <v>51</v>
      </c>
      <c r="CY53" s="1235">
        <v>6</v>
      </c>
      <c r="CZ53" s="1235">
        <v>5.9</v>
      </c>
      <c r="DA53" s="1235">
        <v>6.15</v>
      </c>
      <c r="DI53" s="1240">
        <v>43</v>
      </c>
      <c r="DJ53" s="1243">
        <v>0.85</v>
      </c>
      <c r="DK53" s="1243">
        <v>1.1000000000000001</v>
      </c>
      <c r="DL53" s="1243">
        <v>1.35</v>
      </c>
      <c r="DM53" s="1223"/>
      <c r="DT53" s="1204">
        <v>54</v>
      </c>
      <c r="DU53" s="1241">
        <v>2.8</v>
      </c>
      <c r="DV53" s="1241">
        <v>3.55</v>
      </c>
      <c r="DW53" s="1241">
        <v>4.5999999999999996</v>
      </c>
      <c r="DX53" s="1222"/>
      <c r="DY53" s="1204">
        <v>54</v>
      </c>
      <c r="DZ53" s="1241">
        <v>2.7</v>
      </c>
      <c r="EA53" s="1241">
        <v>3.4</v>
      </c>
      <c r="EB53" s="1241">
        <v>4.3499999999999996</v>
      </c>
      <c r="EE53" s="1225">
        <v>37</v>
      </c>
      <c r="EF53" s="1226">
        <v>80.3</v>
      </c>
      <c r="EG53" s="1227">
        <v>54.55</v>
      </c>
      <c r="EH53" s="1227">
        <v>41.35</v>
      </c>
      <c r="EI53" s="1227">
        <v>33.85</v>
      </c>
      <c r="EK53" s="1228">
        <v>55</v>
      </c>
      <c r="EL53" s="1229">
        <v>21.54</v>
      </c>
      <c r="EM53" s="1234"/>
      <c r="EN53" s="1234"/>
      <c r="EO53" s="1234"/>
      <c r="EP53" s="1216">
        <v>55</v>
      </c>
      <c r="EQ53" s="1230">
        <v>22.54</v>
      </c>
      <c r="ER53" s="1248"/>
      <c r="ES53" s="1248"/>
      <c r="ET53" s="1248"/>
      <c r="EU53" s="1231">
        <v>55</v>
      </c>
      <c r="EV53" s="1232">
        <v>15.13</v>
      </c>
      <c r="EW53" s="1234"/>
      <c r="EX53" s="1234"/>
      <c r="EY53" s="1234"/>
      <c r="EZ53" s="1233">
        <v>42</v>
      </c>
      <c r="FA53" s="1245">
        <v>1.65</v>
      </c>
      <c r="FB53" s="1245">
        <v>1.4</v>
      </c>
      <c r="FC53" s="1245">
        <v>1.25</v>
      </c>
      <c r="FD53" s="1245">
        <v>1.1499999999999999</v>
      </c>
      <c r="FF53" s="1229">
        <v>2.4500000000000002</v>
      </c>
      <c r="FG53" s="1229">
        <v>2.0499999999999998</v>
      </c>
      <c r="FH53" s="1229" t="s">
        <v>896</v>
      </c>
      <c r="FI53" s="1229">
        <v>1.7</v>
      </c>
    </row>
    <row r="54" spans="2:165" ht="15" customHeight="1">
      <c r="B54" s="1207">
        <v>46</v>
      </c>
      <c r="C54" s="1220">
        <v>92.9</v>
      </c>
      <c r="D54" s="1220">
        <v>85.5</v>
      </c>
      <c r="E54" s="1220">
        <v>79.2</v>
      </c>
      <c r="F54" s="1220">
        <v>75</v>
      </c>
      <c r="G54" s="1220">
        <v>70.2</v>
      </c>
      <c r="H54" s="1220">
        <v>66</v>
      </c>
      <c r="I54" s="1220">
        <v>62.3</v>
      </c>
      <c r="J54" s="1220">
        <v>59.05</v>
      </c>
      <c r="K54" s="1220">
        <v>53.2</v>
      </c>
      <c r="L54" s="1220">
        <v>53.75</v>
      </c>
      <c r="M54" s="1220">
        <v>51.6</v>
      </c>
      <c r="N54" s="1220">
        <v>49.7</v>
      </c>
      <c r="O54" s="1220">
        <v>47.95</v>
      </c>
      <c r="P54" s="1220">
        <v>46.35</v>
      </c>
      <c r="Q54" s="1220">
        <v>44.95</v>
      </c>
      <c r="R54" s="1220">
        <v>43.7</v>
      </c>
      <c r="S54" s="1220">
        <v>42.55</v>
      </c>
      <c r="T54" s="1220">
        <v>41.5</v>
      </c>
      <c r="U54" s="1220">
        <v>0</v>
      </c>
      <c r="V54" s="1220">
        <v>0</v>
      </c>
      <c r="W54" s="1220">
        <v>0</v>
      </c>
      <c r="X54" s="1220">
        <v>0</v>
      </c>
      <c r="Y54" s="1220">
        <v>0</v>
      </c>
      <c r="Z54" s="1220">
        <v>0</v>
      </c>
      <c r="AY54" s="827">
        <v>56</v>
      </c>
      <c r="AZ54" s="828">
        <v>12.14</v>
      </c>
      <c r="BA54" s="828">
        <v>12.43</v>
      </c>
      <c r="BB54" s="828">
        <v>12.78</v>
      </c>
      <c r="BC54" s="828">
        <v>13.15</v>
      </c>
      <c r="BD54" s="828">
        <v>13.56</v>
      </c>
      <c r="BE54" s="828">
        <v>14.54</v>
      </c>
      <c r="BF54" s="828">
        <v>14.97</v>
      </c>
      <c r="BG54" s="828">
        <v>15.43</v>
      </c>
      <c r="BH54" s="828">
        <v>15.91</v>
      </c>
      <c r="BI54" s="828">
        <v>16.41</v>
      </c>
      <c r="BJ54" s="828">
        <v>17.21</v>
      </c>
      <c r="BK54" s="828">
        <v>17.739999999999998</v>
      </c>
      <c r="BL54" s="828">
        <v>18.29</v>
      </c>
      <c r="BM54" s="828">
        <v>18.850000000000001</v>
      </c>
      <c r="BN54" s="828">
        <v>19.43</v>
      </c>
      <c r="BO54" s="828"/>
      <c r="BP54" s="828"/>
      <c r="BQ54" s="828"/>
      <c r="BR54" s="828"/>
      <c r="BS54" s="828"/>
      <c r="BT54" s="828"/>
      <c r="BU54" s="828"/>
      <c r="BV54" s="828"/>
      <c r="BW54" s="828"/>
      <c r="BX54" s="828"/>
      <c r="BY54" s="828"/>
      <c r="BZ54" s="828"/>
      <c r="CA54" s="828"/>
      <c r="CB54" s="828"/>
      <c r="CC54" s="828"/>
      <c r="CD54" s="828"/>
      <c r="CQ54" s="1204">
        <v>50</v>
      </c>
      <c r="CR54" s="1235">
        <v>3.75</v>
      </c>
      <c r="CS54" s="1204"/>
      <c r="CT54" s="1222"/>
      <c r="CU54" s="1222"/>
      <c r="CX54" s="1242">
        <v>52</v>
      </c>
      <c r="CY54" s="1235">
        <v>6.2</v>
      </c>
      <c r="CZ54" s="1235">
        <v>6.15</v>
      </c>
      <c r="DA54" s="1235">
        <v>6.4</v>
      </c>
      <c r="DI54" s="1240">
        <v>44</v>
      </c>
      <c r="DJ54" s="1243">
        <v>0.95</v>
      </c>
      <c r="DK54" s="1243">
        <v>1.2</v>
      </c>
      <c r="DL54" s="1243">
        <v>1.45</v>
      </c>
      <c r="DM54" s="1223"/>
      <c r="DP54" s="1204"/>
      <c r="DT54" s="1204">
        <v>55</v>
      </c>
      <c r="DU54" s="1241">
        <v>3</v>
      </c>
      <c r="DV54" s="1241">
        <v>3.8</v>
      </c>
      <c r="DW54" s="1222"/>
      <c r="DX54" s="1222"/>
      <c r="DY54" s="1204">
        <v>55</v>
      </c>
      <c r="DZ54" s="1241">
        <v>2.9</v>
      </c>
      <c r="EA54" s="1241">
        <v>3.65</v>
      </c>
      <c r="EB54" s="1222"/>
      <c r="EE54" s="1225">
        <v>38</v>
      </c>
      <c r="EF54" s="1226">
        <v>80.3</v>
      </c>
      <c r="EG54" s="1227">
        <v>54.55</v>
      </c>
      <c r="EH54" s="1227">
        <v>41.65</v>
      </c>
      <c r="EI54" s="1227">
        <v>34.25</v>
      </c>
      <c r="EP54" s="1210"/>
      <c r="EZ54" s="1233">
        <v>43</v>
      </c>
      <c r="FA54" s="1245">
        <v>1.65</v>
      </c>
      <c r="FB54" s="1245">
        <v>1.4</v>
      </c>
      <c r="FC54" s="1245">
        <v>1.25</v>
      </c>
      <c r="FD54" s="1245">
        <v>1.1499999999999999</v>
      </c>
      <c r="FF54" s="1229">
        <v>2.4500000000000002</v>
      </c>
      <c r="FG54" s="1229" t="s">
        <v>898</v>
      </c>
      <c r="FH54" s="1229">
        <v>1.85</v>
      </c>
      <c r="FI54" s="1229">
        <v>1.7</v>
      </c>
    </row>
    <row r="55" spans="2:165" ht="15" customHeight="1">
      <c r="B55" s="1207">
        <v>47</v>
      </c>
      <c r="C55" s="1220">
        <v>93.3</v>
      </c>
      <c r="D55" s="1220">
        <v>85.95</v>
      </c>
      <c r="E55" s="1220">
        <v>79.650000000000006</v>
      </c>
      <c r="F55" s="1220">
        <v>75.45</v>
      </c>
      <c r="G55" s="1220">
        <v>70.7</v>
      </c>
      <c r="H55" s="1220">
        <v>66.5</v>
      </c>
      <c r="I55" s="1220">
        <v>62.85</v>
      </c>
      <c r="J55" s="1220">
        <v>59.8</v>
      </c>
      <c r="K55" s="1220">
        <v>56.75</v>
      </c>
      <c r="L55" s="1220">
        <v>54.35</v>
      </c>
      <c r="M55" s="1220">
        <v>52.25</v>
      </c>
      <c r="N55" s="1220">
        <v>50.3</v>
      </c>
      <c r="O55" s="1220">
        <v>48.6</v>
      </c>
      <c r="P55" s="1220">
        <v>47.05</v>
      </c>
      <c r="Q55" s="1220">
        <v>45.65</v>
      </c>
      <c r="R55" s="1220">
        <v>44.4</v>
      </c>
      <c r="S55" s="1220">
        <v>43.3</v>
      </c>
      <c r="T55" s="1220">
        <v>0</v>
      </c>
      <c r="U55" s="1220">
        <v>0</v>
      </c>
      <c r="V55" s="1220">
        <v>0</v>
      </c>
      <c r="W55" s="1220">
        <v>0</v>
      </c>
      <c r="X55" s="1220">
        <v>0</v>
      </c>
      <c r="Y55" s="1220">
        <v>0</v>
      </c>
      <c r="Z55" s="1220">
        <v>0</v>
      </c>
      <c r="AY55" s="827">
        <v>57</v>
      </c>
      <c r="AZ55" s="828">
        <v>13.04</v>
      </c>
      <c r="BA55" s="828">
        <v>13.37</v>
      </c>
      <c r="BB55" s="828">
        <v>13.74</v>
      </c>
      <c r="BC55" s="828">
        <v>14.16</v>
      </c>
      <c r="BD55" s="828">
        <v>14.6</v>
      </c>
      <c r="BE55" s="828">
        <v>15.67</v>
      </c>
      <c r="BF55" s="828">
        <v>16.14</v>
      </c>
      <c r="BG55" s="828">
        <v>16.64</v>
      </c>
      <c r="BH55" s="828">
        <v>17.170000000000002</v>
      </c>
      <c r="BI55" s="828">
        <v>17.72</v>
      </c>
      <c r="BJ55" s="828">
        <v>18.579999999999998</v>
      </c>
      <c r="BK55" s="828">
        <v>19.16</v>
      </c>
      <c r="BL55" s="828">
        <v>19.75</v>
      </c>
      <c r="BM55" s="828">
        <v>20.36</v>
      </c>
      <c r="BN55" s="828"/>
      <c r="BO55" s="828"/>
      <c r="BP55" s="828"/>
      <c r="BQ55" s="828"/>
      <c r="BR55" s="828"/>
      <c r="BS55" s="828"/>
      <c r="BT55" s="828"/>
      <c r="BU55" s="828"/>
      <c r="BV55" s="828"/>
      <c r="BW55" s="828"/>
      <c r="BX55" s="828"/>
      <c r="BY55" s="828"/>
      <c r="BZ55" s="828"/>
      <c r="CA55" s="828"/>
      <c r="CB55" s="828"/>
      <c r="CC55" s="828"/>
      <c r="CD55" s="828"/>
      <c r="CX55" s="1237">
        <v>53</v>
      </c>
      <c r="CY55" s="1235">
        <v>6.45</v>
      </c>
      <c r="CZ55" s="1235">
        <v>6.4</v>
      </c>
      <c r="DA55" s="1235">
        <v>6.65</v>
      </c>
      <c r="DI55" s="1240">
        <v>45</v>
      </c>
      <c r="DJ55" s="1243">
        <v>1.05</v>
      </c>
      <c r="DK55" s="1243">
        <v>1.35</v>
      </c>
      <c r="DL55" s="1243">
        <v>1.6</v>
      </c>
      <c r="DM55" s="1223"/>
      <c r="DP55" s="1204"/>
      <c r="DT55" s="1204">
        <v>56</v>
      </c>
      <c r="DU55" s="1241">
        <v>3.25</v>
      </c>
      <c r="DV55" s="1241">
        <v>4.0999999999999996</v>
      </c>
      <c r="DW55" s="1222"/>
      <c r="DX55" s="1222"/>
      <c r="DY55" s="1204">
        <v>56</v>
      </c>
      <c r="DZ55" s="1241">
        <v>3.15</v>
      </c>
      <c r="EA55" s="1241">
        <v>3.9</v>
      </c>
      <c r="EB55" s="1222"/>
      <c r="EE55" s="1225">
        <v>39</v>
      </c>
      <c r="EF55" s="1226">
        <v>80.3</v>
      </c>
      <c r="EG55" s="1227">
        <v>54.6</v>
      </c>
      <c r="EH55" s="1227">
        <v>41.95</v>
      </c>
      <c r="EI55" s="1227">
        <v>34.65</v>
      </c>
      <c r="EP55" s="1210"/>
      <c r="EZ55" s="1233">
        <v>44</v>
      </c>
      <c r="FA55" s="1245">
        <v>1.65</v>
      </c>
      <c r="FB55" s="1245">
        <v>1.4</v>
      </c>
      <c r="FC55" s="1245">
        <v>1.25</v>
      </c>
      <c r="FD55" s="1245">
        <v>1.1499999999999999</v>
      </c>
      <c r="FF55" s="1229">
        <v>2.5</v>
      </c>
      <c r="FG55" s="1229">
        <v>2.1</v>
      </c>
      <c r="FH55" s="1229">
        <v>1.85</v>
      </c>
      <c r="FI55" s="1229">
        <v>1.7</v>
      </c>
    </row>
    <row r="56" spans="2:165" ht="15" customHeight="1">
      <c r="B56" s="1207">
        <v>48</v>
      </c>
      <c r="C56" s="1220">
        <v>93.75</v>
      </c>
      <c r="D56" s="1220">
        <v>86.4</v>
      </c>
      <c r="E56" s="1220">
        <v>80.150000000000006</v>
      </c>
      <c r="F56" s="1220">
        <v>76</v>
      </c>
      <c r="G56" s="1220">
        <v>71.2</v>
      </c>
      <c r="H56" s="1220">
        <v>67.05</v>
      </c>
      <c r="I56" s="1220">
        <v>63.4</v>
      </c>
      <c r="J56" s="1220">
        <v>60.2</v>
      </c>
      <c r="K56" s="1220">
        <v>57.35</v>
      </c>
      <c r="L56" s="1220">
        <v>55</v>
      </c>
      <c r="M56" s="1220">
        <v>52.9</v>
      </c>
      <c r="N56" s="1220">
        <v>51</v>
      </c>
      <c r="O56" s="1220">
        <v>49.3</v>
      </c>
      <c r="P56" s="1220">
        <v>47.8</v>
      </c>
      <c r="Q56" s="1220">
        <v>46.4</v>
      </c>
      <c r="R56" s="1220">
        <v>45.2</v>
      </c>
      <c r="S56" s="1220">
        <v>0</v>
      </c>
      <c r="T56" s="1220">
        <v>0</v>
      </c>
      <c r="U56" s="1220">
        <v>0</v>
      </c>
      <c r="V56" s="1220">
        <v>0</v>
      </c>
      <c r="W56" s="1220">
        <v>0</v>
      </c>
      <c r="X56" s="1220">
        <v>0</v>
      </c>
      <c r="Y56" s="1220">
        <v>0</v>
      </c>
      <c r="Z56" s="1220">
        <v>0</v>
      </c>
      <c r="AY56" s="827">
        <v>58</v>
      </c>
      <c r="AZ56" s="828">
        <v>14.01</v>
      </c>
      <c r="BA56" s="828">
        <v>14.38</v>
      </c>
      <c r="BB56" s="828">
        <v>14.79</v>
      </c>
      <c r="BC56" s="828">
        <v>15.25</v>
      </c>
      <c r="BD56" s="828">
        <v>15.74</v>
      </c>
      <c r="BE56" s="828">
        <v>16.899999999999999</v>
      </c>
      <c r="BF56" s="828">
        <v>17.420000000000002</v>
      </c>
      <c r="BG56" s="828">
        <v>17.97</v>
      </c>
      <c r="BH56" s="828">
        <v>18.54</v>
      </c>
      <c r="BI56" s="828">
        <v>19.13</v>
      </c>
      <c r="BJ56" s="828">
        <v>20.07</v>
      </c>
      <c r="BK56" s="828">
        <v>20.7</v>
      </c>
      <c r="BL56" s="828">
        <v>21.34</v>
      </c>
      <c r="BM56" s="828"/>
      <c r="BN56" s="828"/>
      <c r="BO56" s="828"/>
      <c r="BP56" s="828"/>
      <c r="BQ56" s="828"/>
      <c r="BR56" s="828"/>
      <c r="BS56" s="828"/>
      <c r="BT56" s="828"/>
      <c r="BU56" s="828"/>
      <c r="BV56" s="828"/>
      <c r="BW56" s="828"/>
      <c r="BX56" s="828"/>
      <c r="BY56" s="828"/>
      <c r="BZ56" s="828"/>
      <c r="CA56" s="828"/>
      <c r="CB56" s="828"/>
      <c r="CC56" s="828"/>
      <c r="CD56" s="828"/>
      <c r="CX56" s="1242">
        <v>54</v>
      </c>
      <c r="CY56" s="1235">
        <v>6.7</v>
      </c>
      <c r="CZ56" s="1235">
        <v>6.65</v>
      </c>
      <c r="DA56" s="1235">
        <v>6.85</v>
      </c>
      <c r="DI56" s="1240">
        <v>46</v>
      </c>
      <c r="DJ56" s="1243">
        <v>1.1499999999999999</v>
      </c>
      <c r="DK56" s="1243">
        <v>1.45</v>
      </c>
      <c r="DL56" s="1243">
        <v>1.7</v>
      </c>
      <c r="DM56" s="1223"/>
      <c r="DP56" s="1204"/>
      <c r="DQ56" s="1204"/>
      <c r="DT56" s="1204">
        <v>57</v>
      </c>
      <c r="DU56" s="1241">
        <v>3.5</v>
      </c>
      <c r="DV56" s="1241">
        <v>4.4000000000000004</v>
      </c>
      <c r="DW56" s="1222"/>
      <c r="DX56" s="1222"/>
      <c r="DY56" s="1204">
        <v>57</v>
      </c>
      <c r="DZ56" s="1241">
        <v>3.4</v>
      </c>
      <c r="EA56" s="1241">
        <v>4.2</v>
      </c>
      <c r="EB56" s="1222"/>
      <c r="EE56" s="1225">
        <v>40</v>
      </c>
      <c r="EF56" s="1226">
        <v>80.3</v>
      </c>
      <c r="EG56" s="1227">
        <v>54.8</v>
      </c>
      <c r="EH56" s="1227">
        <v>42.3</v>
      </c>
      <c r="EI56" s="1227">
        <v>35.1</v>
      </c>
      <c r="EP56" s="1210"/>
      <c r="EZ56" s="1233">
        <v>45</v>
      </c>
      <c r="FA56" s="1245">
        <v>1.65</v>
      </c>
      <c r="FB56" s="1245">
        <v>1.4</v>
      </c>
      <c r="FC56" s="1245">
        <v>1.25</v>
      </c>
      <c r="FD56" s="1245">
        <v>1.1499999999999999</v>
      </c>
      <c r="FF56" s="1229">
        <v>2.5</v>
      </c>
      <c r="FG56" s="1229">
        <v>2.1</v>
      </c>
      <c r="FH56" s="1229">
        <v>1.85</v>
      </c>
      <c r="FI56" s="1229">
        <v>1.75</v>
      </c>
    </row>
    <row r="57" spans="2:165" ht="15" customHeight="1">
      <c r="B57" s="1207">
        <v>49</v>
      </c>
      <c r="C57" s="1220">
        <v>94.25</v>
      </c>
      <c r="D57" s="1220">
        <v>86.9</v>
      </c>
      <c r="E57" s="1220">
        <v>80.650000000000006</v>
      </c>
      <c r="F57" s="1220">
        <v>76.5</v>
      </c>
      <c r="G57" s="1220">
        <v>71.75</v>
      </c>
      <c r="H57" s="1220">
        <v>67.650000000000006</v>
      </c>
      <c r="I57" s="1220">
        <v>64</v>
      </c>
      <c r="J57" s="1220">
        <v>60.85</v>
      </c>
      <c r="K57" s="1220">
        <v>58</v>
      </c>
      <c r="L57" s="1220">
        <v>55.7</v>
      </c>
      <c r="M57" s="1220">
        <v>53.6</v>
      </c>
      <c r="N57" s="1220">
        <v>51.75</v>
      </c>
      <c r="O57" s="1220">
        <v>50.05</v>
      </c>
      <c r="P57" s="1220">
        <v>48.55</v>
      </c>
      <c r="Q57" s="1220">
        <v>47.25</v>
      </c>
      <c r="R57" s="1220">
        <v>0</v>
      </c>
      <c r="S57" s="1220">
        <v>0</v>
      </c>
      <c r="T57" s="1220">
        <v>0</v>
      </c>
      <c r="U57" s="1220">
        <v>0</v>
      </c>
      <c r="V57" s="1220">
        <v>0</v>
      </c>
      <c r="W57" s="1220">
        <v>0</v>
      </c>
      <c r="X57" s="1220">
        <v>0</v>
      </c>
      <c r="Y57" s="1220">
        <v>0</v>
      </c>
      <c r="Z57" s="1220">
        <v>0</v>
      </c>
      <c r="AY57" s="827">
        <v>59</v>
      </c>
      <c r="AZ57" s="828">
        <v>15.07</v>
      </c>
      <c r="BA57" s="828">
        <v>15.47</v>
      </c>
      <c r="BB57" s="828">
        <v>15.93</v>
      </c>
      <c r="BC57" s="828">
        <v>16.440000000000001</v>
      </c>
      <c r="BD57" s="828">
        <v>16.97</v>
      </c>
      <c r="BE57" s="828">
        <v>18.239999999999998</v>
      </c>
      <c r="BF57" s="828">
        <v>18.809999999999999</v>
      </c>
      <c r="BG57" s="828">
        <v>19.41</v>
      </c>
      <c r="BH57" s="828">
        <v>20.04</v>
      </c>
      <c r="BI57" s="828">
        <v>20.68</v>
      </c>
      <c r="BJ57" s="828">
        <v>21.7</v>
      </c>
      <c r="BK57" s="828">
        <v>22.37</v>
      </c>
      <c r="BL57" s="828"/>
      <c r="BM57" s="828"/>
      <c r="BN57" s="828"/>
      <c r="BO57" s="828"/>
      <c r="BP57" s="828"/>
      <c r="BQ57" s="828"/>
      <c r="BR57" s="828"/>
      <c r="BS57" s="828"/>
      <c r="BT57" s="828"/>
      <c r="BU57" s="828"/>
      <c r="BV57" s="828"/>
      <c r="BW57" s="828"/>
      <c r="BX57" s="828"/>
      <c r="BY57" s="828"/>
      <c r="BZ57" s="828"/>
      <c r="CA57" s="828"/>
      <c r="CB57" s="828"/>
      <c r="CC57" s="828"/>
      <c r="CD57" s="828"/>
      <c r="CX57" s="1237">
        <v>55</v>
      </c>
      <c r="CY57" s="1235">
        <v>7</v>
      </c>
      <c r="CZ57" s="1235">
        <v>6.9</v>
      </c>
      <c r="DA57" s="1235">
        <v>7.1</v>
      </c>
      <c r="DI57" s="1240">
        <v>47</v>
      </c>
      <c r="DJ57" s="1243">
        <v>1.25</v>
      </c>
      <c r="DK57" s="1243">
        <v>1.6</v>
      </c>
      <c r="DL57" s="1243">
        <v>1.9</v>
      </c>
      <c r="DM57" s="1223"/>
      <c r="DN57" s="1240"/>
      <c r="DO57" s="1204"/>
      <c r="DP57" s="1204"/>
      <c r="DQ57" s="1204"/>
      <c r="DT57" s="1204">
        <v>58</v>
      </c>
      <c r="DU57" s="1222"/>
      <c r="DV57" s="1241">
        <v>4.7</v>
      </c>
      <c r="DW57" s="1222"/>
      <c r="DX57" s="1222"/>
      <c r="DY57" s="1204">
        <v>58</v>
      </c>
      <c r="DZ57" s="1241">
        <v>3.65</v>
      </c>
      <c r="EA57" s="1241">
        <v>4.5</v>
      </c>
      <c r="EB57" s="1222"/>
      <c r="EE57" s="1225">
        <v>41</v>
      </c>
      <c r="EF57" s="1226">
        <v>80.3</v>
      </c>
      <c r="EG57" s="1227">
        <v>55.05</v>
      </c>
      <c r="EH57" s="1227">
        <v>42.65</v>
      </c>
      <c r="EI57" s="1226">
        <v>0</v>
      </c>
      <c r="EP57" s="1210"/>
      <c r="EZ57" s="1233">
        <v>46</v>
      </c>
      <c r="FA57" s="1245">
        <v>1.7</v>
      </c>
      <c r="FB57" s="1245">
        <v>1.4</v>
      </c>
      <c r="FC57" s="1245">
        <v>1.25</v>
      </c>
      <c r="FD57" s="1245">
        <v>1.1499999999999999</v>
      </c>
      <c r="FF57" s="1229">
        <v>2.5</v>
      </c>
      <c r="FG57" s="1229">
        <v>2.1</v>
      </c>
      <c r="FH57" s="1229">
        <v>1.9</v>
      </c>
      <c r="FI57" s="1229">
        <v>1.75</v>
      </c>
    </row>
    <row r="58" spans="2:165" ht="15" customHeight="1">
      <c r="B58" s="1207">
        <v>50</v>
      </c>
      <c r="C58" s="1220">
        <v>94.75</v>
      </c>
      <c r="D58" s="1220">
        <v>87.4</v>
      </c>
      <c r="E58" s="1220">
        <v>81.2</v>
      </c>
      <c r="F58" s="1220">
        <v>77.099999999999994</v>
      </c>
      <c r="G58" s="1220">
        <v>72.349999999999994</v>
      </c>
      <c r="H58" s="1220">
        <v>68.25</v>
      </c>
      <c r="I58" s="1220">
        <v>64.650000000000006</v>
      </c>
      <c r="J58" s="1220">
        <v>61.5</v>
      </c>
      <c r="K58" s="1220">
        <v>58.7</v>
      </c>
      <c r="L58" s="1220">
        <v>56.4</v>
      </c>
      <c r="M58" s="1220">
        <v>54.35</v>
      </c>
      <c r="N58" s="1220">
        <v>52.5</v>
      </c>
      <c r="O58" s="1220">
        <v>50.85</v>
      </c>
      <c r="P58" s="1220">
        <v>49.4</v>
      </c>
      <c r="Q58" s="1220">
        <v>0</v>
      </c>
      <c r="R58" s="1220">
        <v>0</v>
      </c>
      <c r="S58" s="1220">
        <v>0</v>
      </c>
      <c r="T58" s="1220">
        <v>0</v>
      </c>
      <c r="U58" s="1220">
        <v>0</v>
      </c>
      <c r="V58" s="1220">
        <v>0</v>
      </c>
      <c r="W58" s="1220">
        <v>0</v>
      </c>
      <c r="X58" s="1220">
        <v>0</v>
      </c>
      <c r="Y58" s="1220">
        <v>0</v>
      </c>
      <c r="Z58" s="1220">
        <v>0</v>
      </c>
      <c r="AY58" s="827">
        <v>60</v>
      </c>
      <c r="AZ58" s="828">
        <v>16.22</v>
      </c>
      <c r="BA58" s="828">
        <v>16.670000000000002</v>
      </c>
      <c r="BB58" s="828">
        <v>17.18</v>
      </c>
      <c r="BC58" s="828">
        <v>17.739999999999998</v>
      </c>
      <c r="BD58" s="828">
        <v>18.329999999999998</v>
      </c>
      <c r="BE58" s="828">
        <v>19.71</v>
      </c>
      <c r="BF58" s="828">
        <v>20.34</v>
      </c>
      <c r="BG58" s="828">
        <v>20.99</v>
      </c>
      <c r="BH58" s="828">
        <v>21.67</v>
      </c>
      <c r="BI58" s="828">
        <v>22.37</v>
      </c>
      <c r="BJ58" s="828">
        <v>23.47</v>
      </c>
      <c r="BK58" s="828"/>
      <c r="BL58" s="828"/>
      <c r="BM58" s="828"/>
      <c r="BN58" s="828"/>
      <c r="BO58" s="828"/>
      <c r="BP58" s="828"/>
      <c r="BQ58" s="828"/>
      <c r="BR58" s="828"/>
      <c r="BS58" s="828"/>
      <c r="BT58" s="828"/>
      <c r="BU58" s="828"/>
      <c r="BV58" s="828"/>
      <c r="BW58" s="828"/>
      <c r="BX58" s="828"/>
      <c r="BY58" s="828"/>
      <c r="BZ58" s="828"/>
      <c r="CA58" s="828"/>
      <c r="CB58" s="828"/>
      <c r="CC58" s="828"/>
      <c r="CD58" s="828"/>
      <c r="CX58" s="1242">
        <v>56</v>
      </c>
      <c r="CY58" s="1235">
        <v>7.25</v>
      </c>
      <c r="CZ58" s="1235">
        <v>7.15</v>
      </c>
      <c r="DA58" s="1235">
        <v>7.3</v>
      </c>
      <c r="DI58" s="1240">
        <v>48</v>
      </c>
      <c r="DJ58" s="1243">
        <v>1.4</v>
      </c>
      <c r="DK58" s="1243">
        <v>1.75</v>
      </c>
      <c r="DL58" s="1243">
        <v>2.0499999999999998</v>
      </c>
      <c r="DM58" s="1223"/>
      <c r="DN58" s="1240"/>
      <c r="DO58" s="1204"/>
      <c r="DP58" s="1204"/>
      <c r="DQ58" s="1204"/>
      <c r="DT58" s="1204">
        <v>59</v>
      </c>
      <c r="DU58" s="1222"/>
      <c r="DV58" s="1241">
        <v>5</v>
      </c>
      <c r="DW58" s="1222"/>
      <c r="DX58" s="1222"/>
      <c r="DY58" s="1204">
        <v>59</v>
      </c>
      <c r="DZ58" s="1241">
        <v>3.95</v>
      </c>
      <c r="EA58" s="1241">
        <v>4.8499999999999996</v>
      </c>
      <c r="EB58" s="1222"/>
      <c r="EE58" s="1225">
        <v>42</v>
      </c>
      <c r="EF58" s="1226">
        <v>80.3</v>
      </c>
      <c r="EG58" s="1227">
        <v>55.3</v>
      </c>
      <c r="EH58" s="1227">
        <v>43.05</v>
      </c>
      <c r="EI58" s="1226">
        <v>0</v>
      </c>
      <c r="EP58" s="1210"/>
      <c r="EZ58" s="1233">
        <v>47</v>
      </c>
      <c r="FA58" s="1245">
        <v>1.7</v>
      </c>
      <c r="FB58" s="1245">
        <v>1.4</v>
      </c>
      <c r="FC58" s="1245">
        <v>1.25</v>
      </c>
      <c r="FD58" s="1245">
        <v>1.1499999999999999</v>
      </c>
      <c r="FF58" s="1229">
        <v>2.5</v>
      </c>
      <c r="FG58" s="1229">
        <v>2.1</v>
      </c>
      <c r="FH58" s="1229">
        <v>1.9</v>
      </c>
      <c r="FI58" s="1229">
        <v>1.75</v>
      </c>
    </row>
    <row r="59" spans="2:165" ht="15" customHeight="1">
      <c r="B59" s="1207">
        <v>51</v>
      </c>
      <c r="C59" s="1220">
        <v>95.25</v>
      </c>
      <c r="D59" s="1220">
        <v>87.95</v>
      </c>
      <c r="E59" s="1220">
        <v>81.75</v>
      </c>
      <c r="F59" s="1220">
        <v>77.7</v>
      </c>
      <c r="G59" s="1220">
        <v>73</v>
      </c>
      <c r="H59" s="1220">
        <v>68.900000000000006</v>
      </c>
      <c r="I59" s="1220">
        <v>65.349999999999994</v>
      </c>
      <c r="J59" s="1220">
        <v>62.2</v>
      </c>
      <c r="K59" s="1220">
        <v>59.45</v>
      </c>
      <c r="L59" s="1220">
        <v>57.2</v>
      </c>
      <c r="M59" s="1220">
        <v>55.15</v>
      </c>
      <c r="N59" s="1220">
        <v>53.35</v>
      </c>
      <c r="O59" s="1220">
        <v>51.75</v>
      </c>
      <c r="P59" s="1220">
        <v>0</v>
      </c>
      <c r="Q59" s="1220">
        <v>0</v>
      </c>
      <c r="R59" s="1220">
        <v>0</v>
      </c>
      <c r="S59" s="1220">
        <v>0</v>
      </c>
      <c r="T59" s="1220">
        <v>0</v>
      </c>
      <c r="U59" s="1220">
        <v>0</v>
      </c>
      <c r="V59" s="1220">
        <v>0</v>
      </c>
      <c r="W59" s="1220">
        <v>0</v>
      </c>
      <c r="X59" s="1220">
        <v>0</v>
      </c>
      <c r="Y59" s="1220">
        <v>0</v>
      </c>
      <c r="Z59" s="1220">
        <v>0</v>
      </c>
      <c r="CX59" s="1237">
        <v>57</v>
      </c>
      <c r="CY59" s="1235">
        <v>7.55</v>
      </c>
      <c r="CZ59" s="1235">
        <v>7.4</v>
      </c>
      <c r="DA59" s="1235">
        <v>7.5</v>
      </c>
      <c r="DI59" s="1240">
        <v>49</v>
      </c>
      <c r="DJ59" s="1243">
        <v>1.55</v>
      </c>
      <c r="DK59" s="1243">
        <v>1.9</v>
      </c>
      <c r="DL59" s="1243">
        <v>2.2000000000000002</v>
      </c>
      <c r="DM59" s="1223"/>
      <c r="DN59" s="1240"/>
      <c r="DO59" s="1204"/>
      <c r="DP59" s="1204"/>
      <c r="DQ59" s="1204"/>
      <c r="DT59" s="1204">
        <v>60</v>
      </c>
      <c r="DU59" s="1204"/>
      <c r="DV59" s="1241">
        <v>4.25</v>
      </c>
      <c r="DW59" s="1222"/>
      <c r="DX59" s="1222"/>
      <c r="DY59" s="1222"/>
      <c r="DZ59" s="1222"/>
      <c r="EA59" s="1222"/>
      <c r="EB59" s="1222"/>
      <c r="EE59" s="1225">
        <v>43</v>
      </c>
      <c r="EF59" s="1226">
        <v>80.3</v>
      </c>
      <c r="EG59" s="1227">
        <v>55.6</v>
      </c>
      <c r="EH59" s="1227">
        <v>43.55</v>
      </c>
      <c r="EI59" s="1226">
        <v>0</v>
      </c>
      <c r="EP59" s="1210"/>
      <c r="EZ59" s="1233">
        <v>48</v>
      </c>
      <c r="FA59" s="1245">
        <v>1.7</v>
      </c>
      <c r="FB59" s="1245">
        <v>1.4</v>
      </c>
      <c r="FC59" s="1245">
        <v>1.25</v>
      </c>
      <c r="FD59" s="1245">
        <v>1.2</v>
      </c>
      <c r="FF59" s="1229">
        <v>2.5499999999999998</v>
      </c>
      <c r="FG59" s="1229">
        <v>2.15</v>
      </c>
      <c r="FH59" s="1229">
        <v>1.9</v>
      </c>
      <c r="FI59" s="1229">
        <v>1.75</v>
      </c>
    </row>
    <row r="60" spans="2:165" ht="15" customHeight="1">
      <c r="B60" s="1207">
        <v>52</v>
      </c>
      <c r="C60" s="1220">
        <v>95.8</v>
      </c>
      <c r="D60" s="1220">
        <v>88.55</v>
      </c>
      <c r="E60" s="1220">
        <v>82.35</v>
      </c>
      <c r="F60" s="1220">
        <v>78.349999999999994</v>
      </c>
      <c r="G60" s="1220">
        <v>73.650000000000006</v>
      </c>
      <c r="H60" s="1220">
        <v>69.599999999999994</v>
      </c>
      <c r="I60" s="1220">
        <v>66.099999999999994</v>
      </c>
      <c r="J60" s="1220">
        <v>63</v>
      </c>
      <c r="K60" s="1220">
        <v>60.25</v>
      </c>
      <c r="L60" s="1220">
        <v>58</v>
      </c>
      <c r="M60" s="1220">
        <v>56</v>
      </c>
      <c r="N60" s="1220">
        <v>54.25</v>
      </c>
      <c r="O60" s="1220">
        <v>0</v>
      </c>
      <c r="P60" s="1220">
        <v>0</v>
      </c>
      <c r="Q60" s="1220">
        <v>0</v>
      </c>
      <c r="R60" s="1220">
        <v>0</v>
      </c>
      <c r="S60" s="1220">
        <v>0</v>
      </c>
      <c r="T60" s="1220">
        <v>0</v>
      </c>
      <c r="U60" s="1220">
        <v>0</v>
      </c>
      <c r="V60" s="1220">
        <v>0</v>
      </c>
      <c r="W60" s="1220">
        <v>0</v>
      </c>
      <c r="X60" s="1220">
        <v>0</v>
      </c>
      <c r="Y60" s="1220">
        <v>0</v>
      </c>
      <c r="Z60" s="1220">
        <v>0</v>
      </c>
      <c r="CX60" s="1242">
        <v>58</v>
      </c>
      <c r="CY60" s="1235">
        <v>7.8</v>
      </c>
      <c r="CZ60" s="1235">
        <v>7.65</v>
      </c>
      <c r="DA60" s="1235">
        <v>7.65</v>
      </c>
      <c r="DI60" s="1240">
        <v>50</v>
      </c>
      <c r="DJ60" s="1243">
        <v>1.65</v>
      </c>
      <c r="DK60" s="1243">
        <v>2.0499999999999998</v>
      </c>
      <c r="DL60" s="1243">
        <v>2.4</v>
      </c>
      <c r="DM60" s="1223"/>
      <c r="DN60" s="1240"/>
      <c r="DO60" s="1204"/>
      <c r="DP60" s="1204"/>
      <c r="DQ60" s="1204"/>
      <c r="DT60" s="1222"/>
      <c r="DU60" s="1222"/>
      <c r="DV60" s="1222"/>
      <c r="DW60" s="1222"/>
      <c r="DX60" s="1222"/>
      <c r="DY60" s="1222"/>
      <c r="DZ60" s="1222"/>
      <c r="EA60" s="1222"/>
      <c r="EB60" s="1222"/>
      <c r="EE60" s="1225">
        <v>44</v>
      </c>
      <c r="EF60" s="1226">
        <v>80.3</v>
      </c>
      <c r="EG60" s="1227">
        <v>55.95</v>
      </c>
      <c r="EH60" s="1227">
        <v>44.05</v>
      </c>
      <c r="EI60" s="1226">
        <v>0</v>
      </c>
      <c r="EP60" s="1210"/>
      <c r="EZ60" s="1233">
        <v>49</v>
      </c>
      <c r="FA60" s="1245">
        <v>1.7</v>
      </c>
      <c r="FB60" s="1245">
        <v>1.45</v>
      </c>
      <c r="FC60" s="1245">
        <v>1.3</v>
      </c>
      <c r="FD60" s="1245">
        <v>1.2</v>
      </c>
      <c r="FF60" s="1229">
        <v>2.5499999999999998</v>
      </c>
      <c r="FG60" s="1229">
        <v>2.15</v>
      </c>
      <c r="FH60" s="1229">
        <v>1.9</v>
      </c>
      <c r="FI60" s="1229">
        <v>1.75</v>
      </c>
    </row>
    <row r="61" spans="2:165" ht="15" customHeight="1">
      <c r="B61" s="1207">
        <v>53</v>
      </c>
      <c r="C61" s="1220">
        <v>96.4</v>
      </c>
      <c r="D61" s="1220">
        <v>89.15</v>
      </c>
      <c r="E61" s="1220">
        <v>83</v>
      </c>
      <c r="F61" s="1220">
        <v>79.05</v>
      </c>
      <c r="G61" s="1220">
        <v>74.400000000000006</v>
      </c>
      <c r="H61" s="1220">
        <v>70.349999999999994</v>
      </c>
      <c r="I61" s="1220">
        <v>66.849999999999994</v>
      </c>
      <c r="J61" s="1220">
        <v>63.8</v>
      </c>
      <c r="K61" s="1220">
        <v>61.1</v>
      </c>
      <c r="L61" s="1220">
        <v>58.9</v>
      </c>
      <c r="M61" s="1220">
        <v>56.95</v>
      </c>
      <c r="N61" s="1220">
        <v>0</v>
      </c>
      <c r="O61" s="1220">
        <v>0</v>
      </c>
      <c r="P61" s="1220">
        <v>0</v>
      </c>
      <c r="Q61" s="1220">
        <v>0</v>
      </c>
      <c r="R61" s="1220">
        <v>0</v>
      </c>
      <c r="S61" s="1220">
        <v>0</v>
      </c>
      <c r="T61" s="1220">
        <v>0</v>
      </c>
      <c r="U61" s="1220">
        <v>0</v>
      </c>
      <c r="V61" s="1220">
        <v>0</v>
      </c>
      <c r="W61" s="1220">
        <v>0</v>
      </c>
      <c r="X61" s="1220">
        <v>0</v>
      </c>
      <c r="Y61" s="1220">
        <v>0</v>
      </c>
      <c r="Z61" s="1220">
        <v>0</v>
      </c>
      <c r="CX61" s="1237">
        <v>59</v>
      </c>
      <c r="CY61" s="1235">
        <v>8.1</v>
      </c>
      <c r="CZ61" s="1236">
        <v>7.85</v>
      </c>
      <c r="DA61" s="1235">
        <v>7.85</v>
      </c>
      <c r="DI61" s="1240">
        <v>51</v>
      </c>
      <c r="DJ61" s="1243">
        <v>1.8</v>
      </c>
      <c r="DK61" s="1243">
        <v>2.25</v>
      </c>
      <c r="DL61" s="1249">
        <v>0</v>
      </c>
      <c r="DM61" s="1223"/>
      <c r="DN61" s="1240"/>
      <c r="DO61" s="1204"/>
      <c r="DP61" s="1204"/>
      <c r="DQ61" s="1204"/>
      <c r="EE61" s="1225">
        <v>45</v>
      </c>
      <c r="EF61" s="1226">
        <v>80.3</v>
      </c>
      <c r="EG61" s="1227">
        <v>56.35</v>
      </c>
      <c r="EH61" s="1227">
        <v>44.6</v>
      </c>
      <c r="EI61" s="1226">
        <v>0</v>
      </c>
      <c r="EP61" s="1210"/>
      <c r="EZ61" s="1233">
        <v>50</v>
      </c>
      <c r="FA61" s="1245">
        <v>1.7</v>
      </c>
      <c r="FB61" s="1245">
        <v>1.45</v>
      </c>
      <c r="FC61" s="1245">
        <v>1.3</v>
      </c>
      <c r="FD61" s="1245">
        <v>1.2</v>
      </c>
      <c r="FF61" s="1229">
        <v>2.5499999999999998</v>
      </c>
      <c r="FG61" s="1229">
        <v>2.15</v>
      </c>
      <c r="FH61" s="1229">
        <v>1.9</v>
      </c>
      <c r="FI61" s="1229">
        <v>1.75</v>
      </c>
    </row>
    <row r="62" spans="2:165" ht="15" customHeight="1">
      <c r="B62" s="1207">
        <v>54</v>
      </c>
      <c r="C62" s="1220">
        <v>97</v>
      </c>
      <c r="D62" s="1220">
        <v>89.8</v>
      </c>
      <c r="E62" s="1220">
        <v>83.7</v>
      </c>
      <c r="F62" s="1220">
        <v>79.75</v>
      </c>
      <c r="G62" s="1220">
        <v>75.150000000000006</v>
      </c>
      <c r="H62" s="1220">
        <v>71.150000000000006</v>
      </c>
      <c r="I62" s="1220">
        <v>67.7</v>
      </c>
      <c r="J62" s="1220">
        <v>64.7</v>
      </c>
      <c r="K62" s="1220">
        <v>62.05</v>
      </c>
      <c r="L62" s="1220">
        <v>59.85</v>
      </c>
      <c r="M62" s="1220">
        <v>0</v>
      </c>
      <c r="N62" s="1220">
        <v>0</v>
      </c>
      <c r="O62" s="1220">
        <v>0</v>
      </c>
      <c r="P62" s="1220">
        <v>0</v>
      </c>
      <c r="Q62" s="1220">
        <v>0</v>
      </c>
      <c r="R62" s="1220">
        <v>0</v>
      </c>
      <c r="S62" s="1220">
        <v>0</v>
      </c>
      <c r="T62" s="1220">
        <v>0</v>
      </c>
      <c r="U62" s="1220">
        <v>0</v>
      </c>
      <c r="V62" s="1220">
        <v>0</v>
      </c>
      <c r="W62" s="1220">
        <v>0</v>
      </c>
      <c r="X62" s="1220">
        <v>0</v>
      </c>
      <c r="Y62" s="1220">
        <v>0</v>
      </c>
      <c r="Z62" s="1220">
        <v>0</v>
      </c>
      <c r="CX62" s="1242">
        <v>60</v>
      </c>
      <c r="CY62" s="1235">
        <v>8.35</v>
      </c>
      <c r="CZ62" s="1235">
        <v>8.0500000000000007</v>
      </c>
      <c r="DA62" s="1235"/>
      <c r="DI62" s="1240">
        <v>52</v>
      </c>
      <c r="DJ62" s="1243">
        <v>2</v>
      </c>
      <c r="DK62" s="1243">
        <v>2.4500000000000002</v>
      </c>
      <c r="DL62" s="1249">
        <v>0</v>
      </c>
      <c r="DM62" s="1223"/>
      <c r="DN62" s="1240"/>
      <c r="DO62" s="1204"/>
      <c r="DP62" s="1204"/>
      <c r="DQ62" s="1204"/>
      <c r="EE62" s="1225">
        <v>46</v>
      </c>
      <c r="EF62" s="1226">
        <v>80.3</v>
      </c>
      <c r="EG62" s="1227">
        <v>56.8</v>
      </c>
      <c r="EH62" s="1226">
        <v>0</v>
      </c>
      <c r="EI62" s="1226">
        <v>0</v>
      </c>
      <c r="EP62" s="1210"/>
      <c r="EZ62" s="1233">
        <v>51</v>
      </c>
      <c r="FA62" s="1245">
        <v>1.7</v>
      </c>
      <c r="FB62" s="1245">
        <v>1.45</v>
      </c>
      <c r="FC62" s="1245">
        <v>1.3</v>
      </c>
      <c r="FD62" s="1245">
        <v>1.2</v>
      </c>
      <c r="FF62" s="1229">
        <v>2.5499999999999998</v>
      </c>
      <c r="FG62" s="1229">
        <v>2.15</v>
      </c>
      <c r="FH62" s="1229">
        <v>1.9</v>
      </c>
      <c r="FI62" s="1229">
        <v>1.75</v>
      </c>
    </row>
    <row r="63" spans="2:165" ht="15" customHeight="1">
      <c r="B63" s="1207">
        <v>55</v>
      </c>
      <c r="C63" s="1220">
        <v>97.65</v>
      </c>
      <c r="D63" s="1220">
        <v>90.5</v>
      </c>
      <c r="E63" s="1220">
        <v>84.4</v>
      </c>
      <c r="F63" s="1220">
        <v>80.55</v>
      </c>
      <c r="G63" s="1220">
        <v>75.95</v>
      </c>
      <c r="H63" s="1220">
        <v>72</v>
      </c>
      <c r="I63" s="1220">
        <v>68.599999999999994</v>
      </c>
      <c r="J63" s="1220">
        <v>65.599999999999994</v>
      </c>
      <c r="K63" s="1220">
        <v>63</v>
      </c>
      <c r="L63" s="1220">
        <v>0</v>
      </c>
      <c r="M63" s="1220">
        <v>0</v>
      </c>
      <c r="N63" s="1220">
        <v>0</v>
      </c>
      <c r="O63" s="1220">
        <v>0</v>
      </c>
      <c r="P63" s="1220">
        <v>0</v>
      </c>
      <c r="Q63" s="1220">
        <v>0</v>
      </c>
      <c r="R63" s="1220">
        <v>0</v>
      </c>
      <c r="S63" s="1220">
        <v>0</v>
      </c>
      <c r="T63" s="1220">
        <v>0</v>
      </c>
      <c r="U63" s="1220">
        <v>0</v>
      </c>
      <c r="V63" s="1220">
        <v>0</v>
      </c>
      <c r="W63" s="1220">
        <v>0</v>
      </c>
      <c r="X63" s="1220">
        <v>0</v>
      </c>
      <c r="Y63" s="1220">
        <v>0</v>
      </c>
      <c r="Z63" s="1220">
        <v>0</v>
      </c>
      <c r="CX63" s="1237">
        <v>61</v>
      </c>
      <c r="CY63" s="1235">
        <v>8.6</v>
      </c>
      <c r="CZ63" s="1235">
        <v>8.25</v>
      </c>
      <c r="DA63" s="1235"/>
      <c r="DI63" s="1240">
        <v>53</v>
      </c>
      <c r="DJ63" s="1243">
        <v>2.15</v>
      </c>
      <c r="DK63" s="1243">
        <v>2.65</v>
      </c>
      <c r="DL63" s="1249">
        <v>0</v>
      </c>
      <c r="DM63" s="1223"/>
      <c r="DN63" s="1240"/>
      <c r="DO63" s="1204"/>
      <c r="DP63" s="1204"/>
      <c r="DQ63" s="1204"/>
      <c r="EE63" s="1225">
        <v>47</v>
      </c>
      <c r="EF63" s="1226">
        <v>80.3</v>
      </c>
      <c r="EG63" s="1227">
        <v>57.25</v>
      </c>
      <c r="EH63" s="1226">
        <v>0</v>
      </c>
      <c r="EI63" s="1226">
        <v>0</v>
      </c>
      <c r="EP63" s="1210"/>
      <c r="EZ63" s="1233">
        <v>52</v>
      </c>
      <c r="FA63" s="1245">
        <v>1.7</v>
      </c>
      <c r="FB63" s="1245">
        <v>1.45</v>
      </c>
      <c r="FC63" s="1245">
        <v>1.3</v>
      </c>
      <c r="FD63" s="1245">
        <v>1.2</v>
      </c>
      <c r="FF63" s="1229">
        <v>2.5499999999999998</v>
      </c>
      <c r="FG63" s="1229">
        <v>2.15</v>
      </c>
      <c r="FH63" s="1229">
        <v>1.95</v>
      </c>
      <c r="FI63" s="1229">
        <v>1.8</v>
      </c>
    </row>
    <row r="64" spans="2:165" ht="15" customHeight="1">
      <c r="CX64" s="1242">
        <v>62</v>
      </c>
      <c r="CY64" s="1235">
        <v>8.8000000000000007</v>
      </c>
      <c r="CZ64" s="1235">
        <v>8.4499999999999993</v>
      </c>
      <c r="DA64" s="1235"/>
      <c r="DI64" s="1240">
        <v>54</v>
      </c>
      <c r="DJ64" s="1243">
        <v>2.2999999999999998</v>
      </c>
      <c r="DK64" s="1243">
        <v>2.85</v>
      </c>
      <c r="DL64" s="1249">
        <v>0</v>
      </c>
      <c r="DM64" s="1223"/>
      <c r="DN64" s="1223"/>
      <c r="DO64" s="1223"/>
      <c r="DP64" s="1223"/>
      <c r="DQ64" s="1223"/>
      <c r="EE64" s="1225">
        <v>48</v>
      </c>
      <c r="EF64" s="1226">
        <v>80.3</v>
      </c>
      <c r="EG64" s="1227">
        <v>57.75</v>
      </c>
      <c r="EH64" s="1226">
        <v>0</v>
      </c>
      <c r="EI64" s="1226">
        <v>0</v>
      </c>
      <c r="EP64" s="1210"/>
      <c r="EZ64" s="1250"/>
    </row>
    <row r="65" spans="2:146" ht="15" customHeight="1">
      <c r="CX65" s="1237">
        <v>63</v>
      </c>
      <c r="CY65" s="1235">
        <v>9</v>
      </c>
      <c r="CZ65" s="1235">
        <v>8.6</v>
      </c>
      <c r="DA65" s="1235"/>
      <c r="DI65" s="1240">
        <v>55</v>
      </c>
      <c r="DJ65" s="1243">
        <v>2.5</v>
      </c>
      <c r="DK65" s="1249">
        <v>0</v>
      </c>
      <c r="DL65" s="1249">
        <v>0</v>
      </c>
      <c r="DM65" s="1223"/>
      <c r="DN65" s="1223"/>
      <c r="DO65" s="1223"/>
      <c r="DP65" s="1223"/>
      <c r="DQ65" s="1223"/>
      <c r="EE65" s="1225">
        <v>49</v>
      </c>
      <c r="EF65" s="1226">
        <v>80.3</v>
      </c>
      <c r="EG65" s="1227">
        <v>58.3</v>
      </c>
      <c r="EH65" s="1226">
        <v>0</v>
      </c>
      <c r="EI65" s="1226">
        <v>0</v>
      </c>
      <c r="EP65" s="1210"/>
    </row>
    <row r="66" spans="2:146" ht="15" customHeight="1">
      <c r="CX66" s="1237">
        <v>64</v>
      </c>
      <c r="CY66" s="1235">
        <v>9.1999999999999993</v>
      </c>
      <c r="CZ66" s="1235"/>
      <c r="DA66" s="1235"/>
      <c r="DI66" s="1240">
        <v>56</v>
      </c>
      <c r="DJ66" s="1243">
        <v>2.7</v>
      </c>
      <c r="DK66" s="1249">
        <v>0</v>
      </c>
      <c r="DL66" s="1249">
        <v>0</v>
      </c>
      <c r="DM66" s="1223"/>
      <c r="DN66" s="1223"/>
      <c r="DO66" s="1223"/>
      <c r="DP66" s="1223"/>
      <c r="DQ66" s="1223"/>
      <c r="EE66" s="1225">
        <v>50</v>
      </c>
      <c r="EF66" s="1226">
        <v>80.3</v>
      </c>
      <c r="EG66" s="1227">
        <v>58.9</v>
      </c>
      <c r="EH66" s="1226">
        <v>0</v>
      </c>
      <c r="EI66" s="1226">
        <v>0</v>
      </c>
      <c r="EP66" s="1210"/>
    </row>
    <row r="67" spans="2:146" ht="15" customHeight="1">
      <c r="CX67" s="1242">
        <v>65</v>
      </c>
      <c r="CY67" s="1235">
        <v>9.35</v>
      </c>
      <c r="CZ67" s="1235"/>
      <c r="DA67" s="1235"/>
      <c r="DI67" s="1240">
        <v>57</v>
      </c>
      <c r="DJ67" s="1243">
        <v>2.9</v>
      </c>
      <c r="DK67" s="1249">
        <v>0</v>
      </c>
      <c r="DL67" s="1249">
        <v>0</v>
      </c>
      <c r="DM67" s="1223"/>
      <c r="DN67" s="1223"/>
      <c r="DO67" s="1223"/>
      <c r="DP67" s="1223"/>
      <c r="DQ67" s="1223"/>
      <c r="EE67" s="1225">
        <v>51</v>
      </c>
      <c r="EF67" s="1226">
        <v>80.599999999999994</v>
      </c>
      <c r="EG67" s="1226">
        <v>0</v>
      </c>
      <c r="EH67" s="1226">
        <v>0</v>
      </c>
      <c r="EI67" s="1226">
        <v>0</v>
      </c>
      <c r="EP67" s="1210"/>
    </row>
    <row r="68" spans="2:146" ht="15" customHeight="1">
      <c r="CX68" s="1237">
        <v>66</v>
      </c>
      <c r="CY68" s="1235">
        <v>9.5</v>
      </c>
      <c r="CZ68" s="1251"/>
      <c r="DA68" s="1251"/>
      <c r="DI68" s="1240">
        <v>58</v>
      </c>
      <c r="DJ68" s="1243">
        <v>3.15</v>
      </c>
      <c r="DK68" s="1249">
        <v>0</v>
      </c>
      <c r="DL68" s="1249">
        <v>0</v>
      </c>
      <c r="DM68" s="1223"/>
      <c r="DN68" s="1223"/>
      <c r="DO68" s="1223"/>
      <c r="DP68" s="1223"/>
      <c r="DQ68" s="1223"/>
      <c r="EE68" s="1225">
        <v>52</v>
      </c>
      <c r="EF68" s="1226">
        <v>81.05</v>
      </c>
      <c r="EG68" s="1226">
        <v>0</v>
      </c>
      <c r="EH68" s="1226">
        <v>0</v>
      </c>
      <c r="EI68" s="1226">
        <v>0</v>
      </c>
      <c r="EP68" s="1210"/>
    </row>
    <row r="69" spans="2:146" ht="15" customHeight="1">
      <c r="DI69" s="1240">
        <v>59</v>
      </c>
      <c r="DJ69" s="1243">
        <v>3.4</v>
      </c>
      <c r="DK69" s="1249">
        <v>0</v>
      </c>
      <c r="DL69" s="1249">
        <v>0</v>
      </c>
      <c r="DM69" s="1223"/>
      <c r="DN69" s="1223"/>
      <c r="DO69" s="1223"/>
      <c r="DP69" s="1223"/>
      <c r="DQ69" s="1223"/>
      <c r="EE69" s="1225">
        <v>53</v>
      </c>
      <c r="EF69" s="1226">
        <v>81.5</v>
      </c>
      <c r="EG69" s="1226">
        <v>0</v>
      </c>
      <c r="EH69" s="1226">
        <v>0</v>
      </c>
      <c r="EI69" s="1226">
        <v>0</v>
      </c>
      <c r="EP69" s="1210"/>
    </row>
    <row r="70" spans="2:146" ht="15" customHeight="1">
      <c r="AQ70" s="1252" t="s">
        <v>62</v>
      </c>
      <c r="AR70" s="1205">
        <f>LOOKUP($B$1,$AQ71:$AQ108,AR71:AR108)</f>
        <v>2.92</v>
      </c>
      <c r="AS70" s="1252" t="s">
        <v>61</v>
      </c>
      <c r="AT70" s="1205">
        <f>LOOKUP($B$1,$AS71:$AS103,AT71:AT103)</f>
        <v>3.3</v>
      </c>
      <c r="EE70" s="1225">
        <v>54</v>
      </c>
      <c r="EF70" s="1226">
        <v>82</v>
      </c>
      <c r="EG70" s="1226">
        <v>0</v>
      </c>
      <c r="EH70" s="1226">
        <v>0</v>
      </c>
      <c r="EI70" s="1226">
        <v>0</v>
      </c>
      <c r="EP70" s="1210"/>
    </row>
    <row r="71" spans="2:146" ht="15" customHeight="1">
      <c r="AQ71" s="829">
        <v>13</v>
      </c>
      <c r="AR71" s="829">
        <v>0</v>
      </c>
      <c r="AS71" s="829">
        <v>13</v>
      </c>
      <c r="AT71" s="829">
        <v>0</v>
      </c>
      <c r="AU71" s="829"/>
      <c r="EE71" s="1225">
        <v>55</v>
      </c>
      <c r="EF71" s="1226">
        <v>82.6</v>
      </c>
      <c r="EG71" s="1226">
        <v>0</v>
      </c>
      <c r="EH71" s="1226">
        <v>0</v>
      </c>
      <c r="EI71" s="1226">
        <v>0</v>
      </c>
      <c r="EP71" s="1210"/>
    </row>
    <row r="72" spans="2:146" ht="15" customHeight="1">
      <c r="AQ72" s="829">
        <v>14</v>
      </c>
      <c r="AR72" s="829">
        <v>0</v>
      </c>
      <c r="AS72" s="829">
        <v>14</v>
      </c>
      <c r="AT72" s="829">
        <v>0</v>
      </c>
      <c r="AU72" s="829"/>
      <c r="EP72" s="1210"/>
    </row>
    <row r="73" spans="2:146" ht="15" customHeight="1">
      <c r="V73" s="968"/>
      <c r="Y73" s="968"/>
      <c r="AQ73" s="829">
        <v>15</v>
      </c>
      <c r="AR73" s="829">
        <v>0</v>
      </c>
      <c r="AS73" s="829">
        <v>15</v>
      </c>
      <c r="AT73" s="829">
        <v>0</v>
      </c>
      <c r="AU73" s="829"/>
      <c r="BN73" s="825">
        <f>Main!E12</f>
        <v>22</v>
      </c>
      <c r="BO73" s="1205">
        <f>LOOKUP(BN73,PM!BO75:CI75,PM!BO74:CI74)</f>
        <v>4.05</v>
      </c>
      <c r="EP73" s="1210"/>
    </row>
    <row r="74" spans="2:146" ht="15" customHeight="1">
      <c r="C74" s="1205">
        <f t="shared" ref="C74:R74" si="10">LOOKUP($B$1,$B76:$B141,C76:C141)</f>
        <v>757.95</v>
      </c>
      <c r="D74" s="1205">
        <f t="shared" si="10"/>
        <v>733.25</v>
      </c>
      <c r="E74" s="1205">
        <f t="shared" si="10"/>
        <v>709.35</v>
      </c>
      <c r="F74" s="1205">
        <f t="shared" si="10"/>
        <v>686.3</v>
      </c>
      <c r="G74" s="1205">
        <f t="shared" si="10"/>
        <v>664.05</v>
      </c>
      <c r="H74" s="1205">
        <f t="shared" si="10"/>
        <v>642.6</v>
      </c>
      <c r="I74" s="1205">
        <f t="shared" si="10"/>
        <v>622</v>
      </c>
      <c r="J74" s="1205">
        <f t="shared" si="10"/>
        <v>602.15</v>
      </c>
      <c r="K74" s="1205">
        <f t="shared" si="10"/>
        <v>583.1</v>
      </c>
      <c r="L74" s="1205">
        <f t="shared" si="10"/>
        <v>564.85</v>
      </c>
      <c r="M74" s="1205">
        <f t="shared" si="10"/>
        <v>547.35</v>
      </c>
      <c r="N74" s="1205">
        <f t="shared" si="10"/>
        <v>530.6</v>
      </c>
      <c r="O74" s="1205">
        <f t="shared" si="10"/>
        <v>514.6</v>
      </c>
      <c r="P74" s="1205">
        <f t="shared" si="10"/>
        <v>499.3</v>
      </c>
      <c r="Q74" s="1205">
        <f t="shared" si="10"/>
        <v>484.75</v>
      </c>
      <c r="R74" s="1205">
        <f t="shared" si="10"/>
        <v>470.9</v>
      </c>
      <c r="V74" s="1205">
        <f>LOOKUP($B$1,$U76:$U113,V76:V113)</f>
        <v>79.099999999999994</v>
      </c>
      <c r="W74" s="1206"/>
      <c r="X74" s="1206"/>
      <c r="Y74" s="1205">
        <f>LOOKUP($B$1,$X76:$X108,Y76:Y108)</f>
        <v>61.45</v>
      </c>
      <c r="AC74" s="1205">
        <f t="shared" ref="AC74:AM74" si="11">LOOKUP($B$1,$AB76:$AB123,AC76:AC123)</f>
        <v>86.45</v>
      </c>
      <c r="AD74" s="1205">
        <f t="shared" si="11"/>
        <v>76.75</v>
      </c>
      <c r="AE74" s="1205">
        <f t="shared" si="11"/>
        <v>68.8</v>
      </c>
      <c r="AF74" s="1205">
        <f t="shared" si="11"/>
        <v>62.15</v>
      </c>
      <c r="AG74" s="1205">
        <f t="shared" si="11"/>
        <v>56.5</v>
      </c>
      <c r="AH74" s="1205">
        <f t="shared" si="11"/>
        <v>52.35</v>
      </c>
      <c r="AI74" s="1205">
        <f t="shared" si="11"/>
        <v>48.1</v>
      </c>
      <c r="AJ74" s="1205">
        <f t="shared" si="11"/>
        <v>44.45</v>
      </c>
      <c r="AK74" s="1205">
        <f t="shared" si="11"/>
        <v>41.25</v>
      </c>
      <c r="AL74" s="1205">
        <f t="shared" si="11"/>
        <v>38.450000000000003</v>
      </c>
      <c r="AM74" s="1205">
        <f t="shared" si="11"/>
        <v>35.950000000000003</v>
      </c>
      <c r="AQ74" s="829">
        <v>16</v>
      </c>
      <c r="AR74" s="830">
        <v>0</v>
      </c>
      <c r="AS74" s="829">
        <v>16</v>
      </c>
      <c r="AT74" s="830">
        <v>0</v>
      </c>
      <c r="AU74" s="829"/>
      <c r="AZ74" s="968">
        <f t="shared" ref="AZ74:BL74" si="12">LOOKUP($B$1,$AY76:$AY108,AZ76:AZ108)</f>
        <v>2.4</v>
      </c>
      <c r="BA74" s="968">
        <f t="shared" si="12"/>
        <v>2.39</v>
      </c>
      <c r="BB74" s="968">
        <f t="shared" si="12"/>
        <v>2.41</v>
      </c>
      <c r="BC74" s="968">
        <f t="shared" si="12"/>
        <v>2.44</v>
      </c>
      <c r="BD74" s="968">
        <f t="shared" si="12"/>
        <v>2.4700000000000002</v>
      </c>
      <c r="BE74" s="968">
        <f t="shared" si="12"/>
        <v>2.56</v>
      </c>
      <c r="BF74" s="968">
        <f t="shared" si="12"/>
        <v>2.62</v>
      </c>
      <c r="BG74" s="968">
        <f t="shared" si="12"/>
        <v>2.69</v>
      </c>
      <c r="BH74" s="968">
        <f t="shared" si="12"/>
        <v>2.76</v>
      </c>
      <c r="BI74" s="968">
        <f t="shared" si="12"/>
        <v>2.85</v>
      </c>
      <c r="BJ74" s="968">
        <f t="shared" si="12"/>
        <v>2.94</v>
      </c>
      <c r="BK74" s="968">
        <f t="shared" si="12"/>
        <v>3.03</v>
      </c>
      <c r="BL74" s="968">
        <f t="shared" si="12"/>
        <v>3.13</v>
      </c>
      <c r="BN74" s="825">
        <f>Main!L12</f>
        <v>35</v>
      </c>
      <c r="BO74" s="1205">
        <f t="shared" ref="BO74:CI74" si="13">LOOKUP($BN$74,$BN76:$BN113,BO76:BO113)</f>
        <v>1.55</v>
      </c>
      <c r="BP74" s="1205">
        <f t="shared" si="13"/>
        <v>1.65</v>
      </c>
      <c r="BQ74" s="1205">
        <f t="shared" si="13"/>
        <v>1.75</v>
      </c>
      <c r="BR74" s="1205">
        <f t="shared" si="13"/>
        <v>1.85</v>
      </c>
      <c r="BS74" s="1205">
        <f t="shared" si="13"/>
        <v>1.95</v>
      </c>
      <c r="BT74" s="1205">
        <f t="shared" si="13"/>
        <v>2.15</v>
      </c>
      <c r="BU74" s="1205">
        <f t="shared" si="13"/>
        <v>2.2999999999999998</v>
      </c>
      <c r="BV74" s="1205">
        <f t="shared" si="13"/>
        <v>2.4</v>
      </c>
      <c r="BW74" s="1205">
        <f t="shared" si="13"/>
        <v>2.5499999999999998</v>
      </c>
      <c r="BX74" s="1205">
        <f t="shared" si="13"/>
        <v>2.65</v>
      </c>
      <c r="BY74" s="1205">
        <f t="shared" si="13"/>
        <v>2.85</v>
      </c>
      <c r="BZ74" s="1205">
        <f t="shared" si="13"/>
        <v>3</v>
      </c>
      <c r="CA74" s="1205">
        <f t="shared" si="13"/>
        <v>3.15</v>
      </c>
      <c r="CB74" s="1205">
        <f t="shared" si="13"/>
        <v>3.35</v>
      </c>
      <c r="CC74" s="1205">
        <f t="shared" si="13"/>
        <v>3.5</v>
      </c>
      <c r="CD74" s="1205">
        <f t="shared" si="13"/>
        <v>3.7</v>
      </c>
      <c r="CE74" s="1205">
        <f t="shared" si="13"/>
        <v>3.85</v>
      </c>
      <c r="CF74" s="1205">
        <f t="shared" si="13"/>
        <v>4.05</v>
      </c>
      <c r="CG74" s="1205">
        <f t="shared" si="13"/>
        <v>4.25</v>
      </c>
      <c r="CH74" s="1205">
        <f t="shared" si="13"/>
        <v>4.5</v>
      </c>
      <c r="CI74" s="1205">
        <f t="shared" si="13"/>
        <v>4.7</v>
      </c>
      <c r="EP74" s="1210"/>
    </row>
    <row r="75" spans="2:146" ht="15" customHeight="1">
      <c r="B75" s="1253">
        <v>817</v>
      </c>
      <c r="C75" s="1253">
        <v>10</v>
      </c>
      <c r="D75" s="1253">
        <v>11</v>
      </c>
      <c r="E75" s="1253">
        <v>12</v>
      </c>
      <c r="F75" s="1253">
        <v>13</v>
      </c>
      <c r="G75" s="1253">
        <v>14</v>
      </c>
      <c r="H75" s="1253">
        <v>15</v>
      </c>
      <c r="I75" s="1253">
        <v>16</v>
      </c>
      <c r="J75" s="1253">
        <v>17</v>
      </c>
      <c r="K75" s="1253">
        <v>18</v>
      </c>
      <c r="L75" s="1253">
        <v>19</v>
      </c>
      <c r="M75" s="1253">
        <v>20</v>
      </c>
      <c r="N75" s="1253">
        <v>21</v>
      </c>
      <c r="O75" s="1253">
        <v>22</v>
      </c>
      <c r="P75" s="1254">
        <v>23</v>
      </c>
      <c r="Q75" s="1254">
        <v>24</v>
      </c>
      <c r="R75" s="1254">
        <v>25</v>
      </c>
      <c r="U75" s="1254">
        <v>820</v>
      </c>
      <c r="V75" s="1254"/>
      <c r="X75" s="1254">
        <v>821</v>
      </c>
      <c r="Y75" s="1254"/>
      <c r="AB75" s="1207">
        <v>827</v>
      </c>
      <c r="AC75" s="1207">
        <v>10</v>
      </c>
      <c r="AD75" s="1207">
        <v>11</v>
      </c>
      <c r="AE75" s="1207">
        <v>12</v>
      </c>
      <c r="AF75" s="1207">
        <v>13</v>
      </c>
      <c r="AG75" s="1207">
        <v>14</v>
      </c>
      <c r="AH75" s="1207">
        <v>15</v>
      </c>
      <c r="AI75" s="1207">
        <v>16</v>
      </c>
      <c r="AJ75" s="1207">
        <v>17</v>
      </c>
      <c r="AK75" s="1207">
        <v>18</v>
      </c>
      <c r="AL75" s="1207">
        <v>19</v>
      </c>
      <c r="AM75" s="1207">
        <v>20</v>
      </c>
      <c r="AQ75" s="826">
        <v>17</v>
      </c>
      <c r="AR75" s="826">
        <v>0</v>
      </c>
      <c r="AS75" s="826">
        <v>17</v>
      </c>
      <c r="AT75" s="826">
        <v>0</v>
      </c>
      <c r="AU75" s="829"/>
      <c r="AY75" s="1207" t="s">
        <v>60</v>
      </c>
      <c r="AZ75" s="1207">
        <v>13</v>
      </c>
      <c r="BA75" s="1207">
        <v>14</v>
      </c>
      <c r="BB75" s="1207">
        <v>15</v>
      </c>
      <c r="BC75" s="1207">
        <v>16</v>
      </c>
      <c r="BD75" s="1207">
        <v>17</v>
      </c>
      <c r="BE75" s="1207">
        <v>18</v>
      </c>
      <c r="BF75" s="1207">
        <v>19</v>
      </c>
      <c r="BG75" s="1207">
        <v>20</v>
      </c>
      <c r="BH75" s="1207">
        <v>21</v>
      </c>
      <c r="BI75" s="1207">
        <v>22</v>
      </c>
      <c r="BJ75" s="1207">
        <v>23</v>
      </c>
      <c r="BK75" s="1207">
        <v>24</v>
      </c>
      <c r="BL75" s="1207">
        <v>25</v>
      </c>
      <c r="BN75" s="824" t="s">
        <v>59</v>
      </c>
      <c r="BO75" s="1207">
        <v>5</v>
      </c>
      <c r="BP75" s="1207">
        <v>6</v>
      </c>
      <c r="BQ75" s="1207">
        <v>7</v>
      </c>
      <c r="BR75" s="1207">
        <v>8</v>
      </c>
      <c r="BS75" s="1207">
        <v>9</v>
      </c>
      <c r="BT75" s="1253">
        <v>10</v>
      </c>
      <c r="BU75" s="1253">
        <v>11</v>
      </c>
      <c r="BV75" s="1253">
        <v>12</v>
      </c>
      <c r="BW75" s="1253">
        <v>13</v>
      </c>
      <c r="BX75" s="1253">
        <v>14</v>
      </c>
      <c r="BY75" s="1253">
        <v>15</v>
      </c>
      <c r="BZ75" s="1253">
        <v>16</v>
      </c>
      <c r="CA75" s="1253">
        <v>17</v>
      </c>
      <c r="CB75" s="1253">
        <v>18</v>
      </c>
      <c r="CC75" s="1253">
        <v>19</v>
      </c>
      <c r="CD75" s="1253">
        <v>20</v>
      </c>
      <c r="CE75" s="1253">
        <v>21</v>
      </c>
      <c r="CF75" s="1253">
        <v>22</v>
      </c>
      <c r="CG75" s="1254">
        <v>23</v>
      </c>
      <c r="CH75" s="1254">
        <v>24</v>
      </c>
      <c r="CI75" s="1254">
        <v>25</v>
      </c>
      <c r="EP75" s="1210"/>
    </row>
    <row r="76" spans="2:146" ht="15" customHeight="1">
      <c r="B76" s="1255">
        <v>0</v>
      </c>
      <c r="C76" s="1256">
        <v>0</v>
      </c>
      <c r="D76" s="1256">
        <v>0</v>
      </c>
      <c r="E76" s="1256">
        <v>0</v>
      </c>
      <c r="F76" s="1256">
        <v>0</v>
      </c>
      <c r="G76" s="1256">
        <v>0</v>
      </c>
      <c r="H76" s="1256">
        <v>0</v>
      </c>
      <c r="I76" s="1256">
        <v>0</v>
      </c>
      <c r="J76" s="1256">
        <v>0</v>
      </c>
      <c r="K76" s="1256">
        <v>579.25</v>
      </c>
      <c r="L76" s="1256">
        <v>560.45000000000005</v>
      </c>
      <c r="M76" s="1256">
        <v>542.4</v>
      </c>
      <c r="N76" s="1256">
        <v>525.04999999999995</v>
      </c>
      <c r="O76" s="1256">
        <v>508.35</v>
      </c>
      <c r="P76" s="1256">
        <v>492.35</v>
      </c>
      <c r="Q76" s="1256">
        <v>477</v>
      </c>
      <c r="R76" s="1256">
        <v>462.25</v>
      </c>
      <c r="U76" s="1257">
        <v>13</v>
      </c>
      <c r="V76" s="1258">
        <v>77.599999999999994</v>
      </c>
      <c r="W76" s="1206"/>
      <c r="X76" s="1257">
        <v>13</v>
      </c>
      <c r="Y76" s="1258">
        <v>59.5</v>
      </c>
      <c r="Z76" s="1206"/>
      <c r="AB76" s="1207">
        <v>8</v>
      </c>
      <c r="AC76" s="1220">
        <v>85.9</v>
      </c>
      <c r="AD76" s="1220">
        <v>76.2</v>
      </c>
      <c r="AE76" s="1220">
        <v>68.2</v>
      </c>
      <c r="AF76" s="1220">
        <v>61.55</v>
      </c>
      <c r="AG76" s="1220">
        <v>55.9</v>
      </c>
      <c r="AH76" s="1220">
        <v>51.7</v>
      </c>
      <c r="AI76" s="1220">
        <v>47.45</v>
      </c>
      <c r="AJ76" s="1220">
        <v>43.75</v>
      </c>
      <c r="AK76" s="1220">
        <v>40.5</v>
      </c>
      <c r="AL76" s="1220">
        <v>37.700000000000003</v>
      </c>
      <c r="AM76" s="1220">
        <v>35.15</v>
      </c>
      <c r="AQ76" s="826">
        <v>18</v>
      </c>
      <c r="AR76" s="828">
        <v>1.78</v>
      </c>
      <c r="AS76" s="826">
        <v>18</v>
      </c>
      <c r="AT76" s="828">
        <v>1.77</v>
      </c>
      <c r="AY76" s="1207">
        <v>18</v>
      </c>
      <c r="AZ76" s="1207">
        <v>1.76</v>
      </c>
      <c r="BA76" s="1207">
        <v>1.71</v>
      </c>
      <c r="BB76" s="1207">
        <v>1.68</v>
      </c>
      <c r="BC76" s="1207">
        <v>1.66</v>
      </c>
      <c r="BD76" s="1207">
        <v>1.64</v>
      </c>
      <c r="BE76" s="1207">
        <v>1.65</v>
      </c>
      <c r="BF76" s="1207">
        <v>1.64</v>
      </c>
      <c r="BG76" s="1207">
        <v>1.64</v>
      </c>
      <c r="BH76" s="1207">
        <v>1.64</v>
      </c>
      <c r="BI76" s="1207">
        <v>1.64</v>
      </c>
      <c r="BJ76" s="1207">
        <v>1.65</v>
      </c>
      <c r="BK76" s="1207">
        <v>1.66</v>
      </c>
      <c r="BL76" s="1207">
        <v>1.68</v>
      </c>
      <c r="BN76" s="1207">
        <v>18</v>
      </c>
      <c r="BO76" s="828">
        <v>1.45</v>
      </c>
      <c r="BP76" s="828">
        <v>1.5</v>
      </c>
      <c r="BQ76" s="828">
        <v>1.6</v>
      </c>
      <c r="BR76" s="828">
        <v>1.65</v>
      </c>
      <c r="BS76" s="828">
        <v>1.7</v>
      </c>
      <c r="BT76" s="828">
        <v>1.85</v>
      </c>
      <c r="BU76" s="828">
        <v>1.9</v>
      </c>
      <c r="BV76" s="828">
        <v>1.95</v>
      </c>
      <c r="BW76" s="828">
        <v>2.0499999999999998</v>
      </c>
      <c r="BX76" s="828">
        <v>2.1</v>
      </c>
      <c r="BY76" s="828">
        <v>2.2000000000000002</v>
      </c>
      <c r="BZ76" s="828">
        <v>2.25</v>
      </c>
      <c r="CA76" s="828">
        <v>2.35</v>
      </c>
      <c r="CB76" s="828">
        <v>2.4</v>
      </c>
      <c r="CC76" s="828">
        <v>2.4500000000000002</v>
      </c>
      <c r="CD76" s="828">
        <v>2.5499999999999998</v>
      </c>
      <c r="CE76" s="828">
        <v>2.6</v>
      </c>
      <c r="CF76" s="828">
        <v>2.7</v>
      </c>
      <c r="CG76" s="828">
        <v>2.8</v>
      </c>
      <c r="CH76" s="828">
        <v>2.85</v>
      </c>
      <c r="CI76" s="828">
        <v>2.95</v>
      </c>
      <c r="CJ76" s="1206"/>
      <c r="CR76" s="1205">
        <f>LOOKUP($B$1,$CQ78:$CQ125,CR78:CR125)</f>
        <v>0.25</v>
      </c>
      <c r="CS76" s="1205">
        <f t="shared" ref="CS76:DO76" si="14">LOOKUP($B$1,$CQ78:$CQ125,CS78:CS125)</f>
        <v>0.3</v>
      </c>
      <c r="CT76" s="1205">
        <f t="shared" si="14"/>
        <v>0.3</v>
      </c>
      <c r="CU76" s="1205">
        <f t="shared" si="14"/>
        <v>0.3</v>
      </c>
      <c r="CV76" s="1205">
        <f t="shared" si="14"/>
        <v>0.3</v>
      </c>
      <c r="CW76" s="1205">
        <f t="shared" si="14"/>
        <v>0.35</v>
      </c>
      <c r="CX76" s="1205">
        <f t="shared" si="14"/>
        <v>0.35</v>
      </c>
      <c r="CY76" s="1205">
        <f t="shared" si="14"/>
        <v>0.35</v>
      </c>
      <c r="CZ76" s="1205">
        <f t="shared" si="14"/>
        <v>0.4</v>
      </c>
      <c r="DA76" s="1205">
        <f t="shared" si="14"/>
        <v>0.4</v>
      </c>
      <c r="DB76" s="1205">
        <f t="shared" si="14"/>
        <v>0.4</v>
      </c>
      <c r="DC76" s="1205">
        <f t="shared" si="14"/>
        <v>0.45</v>
      </c>
      <c r="DD76" s="1205">
        <f t="shared" si="14"/>
        <v>0.45</v>
      </c>
      <c r="DE76" s="1205">
        <f t="shared" si="14"/>
        <v>0.45</v>
      </c>
      <c r="DF76" s="1205">
        <f t="shared" si="14"/>
        <v>0.5</v>
      </c>
      <c r="DG76" s="1205">
        <f t="shared" si="14"/>
        <v>0.5</v>
      </c>
      <c r="DH76" s="1205">
        <f t="shared" si="14"/>
        <v>0.55000000000000004</v>
      </c>
      <c r="DI76" s="1205">
        <f t="shared" si="14"/>
        <v>0.55000000000000004</v>
      </c>
      <c r="DJ76" s="1205">
        <f t="shared" si="14"/>
        <v>0.6</v>
      </c>
      <c r="DK76" s="1205">
        <f t="shared" si="14"/>
        <v>0.6</v>
      </c>
      <c r="DL76" s="1205">
        <f t="shared" si="14"/>
        <v>0.65</v>
      </c>
      <c r="DM76" s="1205">
        <f t="shared" si="14"/>
        <v>0.65</v>
      </c>
      <c r="DN76" s="1205">
        <f t="shared" si="14"/>
        <v>0.7</v>
      </c>
      <c r="DO76" s="1205">
        <f t="shared" si="14"/>
        <v>0.7</v>
      </c>
      <c r="DR76" s="1205">
        <f>LOOKUP($B$1,$DQ78:$DQ115,DR78:DR115)</f>
        <v>0.35</v>
      </c>
      <c r="DS76" s="1205">
        <f t="shared" ref="DS76:EL76" si="15">LOOKUP($B$1,$DQ78:$DQ115,DS78:DS115)</f>
        <v>0.35</v>
      </c>
      <c r="DT76" s="1205">
        <f t="shared" si="15"/>
        <v>0.35</v>
      </c>
      <c r="DU76" s="1205">
        <f t="shared" si="15"/>
        <v>0.35</v>
      </c>
      <c r="DV76" s="1205">
        <f t="shared" si="15"/>
        <v>0.35</v>
      </c>
      <c r="DW76" s="1205">
        <f t="shared" si="15"/>
        <v>0.37</v>
      </c>
      <c r="DX76" s="1205">
        <f t="shared" si="15"/>
        <v>0.38</v>
      </c>
      <c r="DY76" s="1205">
        <f t="shared" si="15"/>
        <v>0.39</v>
      </c>
      <c r="DZ76" s="1205">
        <f t="shared" si="15"/>
        <v>0.4</v>
      </c>
      <c r="EA76" s="1205">
        <f t="shared" si="15"/>
        <v>0.41</v>
      </c>
      <c r="EB76" s="1205">
        <f t="shared" si="15"/>
        <v>0.43</v>
      </c>
      <c r="EC76" s="1205">
        <f t="shared" si="15"/>
        <v>0.45</v>
      </c>
      <c r="ED76" s="1205">
        <f t="shared" si="15"/>
        <v>0.47</v>
      </c>
      <c r="EE76" s="1205">
        <f t="shared" si="15"/>
        <v>0.48</v>
      </c>
      <c r="EF76" s="1205">
        <f t="shared" si="15"/>
        <v>0.5</v>
      </c>
      <c r="EG76" s="1205">
        <f t="shared" si="15"/>
        <v>0.52</v>
      </c>
      <c r="EH76" s="1205">
        <f t="shared" si="15"/>
        <v>0.54</v>
      </c>
      <c r="EI76" s="1205">
        <f t="shared" si="15"/>
        <v>0.56999999999999995</v>
      </c>
      <c r="EJ76" s="1205">
        <f t="shared" si="15"/>
        <v>0.59</v>
      </c>
      <c r="EK76" s="1205">
        <f t="shared" si="15"/>
        <v>0.61</v>
      </c>
      <c r="EL76" s="1205">
        <f t="shared" si="15"/>
        <v>0.64</v>
      </c>
      <c r="EP76" s="1210"/>
    </row>
    <row r="77" spans="2:146" ht="15" customHeight="1">
      <c r="B77" s="1255">
        <v>1</v>
      </c>
      <c r="C77" s="1256">
        <v>0</v>
      </c>
      <c r="D77" s="1256">
        <v>0</v>
      </c>
      <c r="E77" s="1256">
        <v>0</v>
      </c>
      <c r="F77" s="1256">
        <v>0</v>
      </c>
      <c r="G77" s="1256">
        <v>0</v>
      </c>
      <c r="H77" s="1256">
        <v>0</v>
      </c>
      <c r="I77" s="1256">
        <v>0</v>
      </c>
      <c r="J77" s="1256">
        <v>598.75</v>
      </c>
      <c r="K77" s="1256">
        <v>579.25</v>
      </c>
      <c r="L77" s="1256">
        <v>560.45000000000005</v>
      </c>
      <c r="M77" s="1256">
        <v>542.4</v>
      </c>
      <c r="N77" s="1256">
        <v>525.04999999999995</v>
      </c>
      <c r="O77" s="1256">
        <v>508.35</v>
      </c>
      <c r="P77" s="1256">
        <v>492.35</v>
      </c>
      <c r="Q77" s="1256">
        <v>477</v>
      </c>
      <c r="R77" s="1256">
        <v>462.25</v>
      </c>
      <c r="U77" s="1257">
        <v>14</v>
      </c>
      <c r="V77" s="1258">
        <v>77.650000000000006</v>
      </c>
      <c r="W77" s="1206"/>
      <c r="X77" s="1257">
        <v>14</v>
      </c>
      <c r="Y77" s="1258">
        <v>59.55</v>
      </c>
      <c r="Z77" s="1206"/>
      <c r="AB77" s="1207">
        <v>9</v>
      </c>
      <c r="AC77" s="1220">
        <v>85.9</v>
      </c>
      <c r="AD77" s="1220">
        <v>76.2</v>
      </c>
      <c r="AE77" s="1220">
        <v>68.2</v>
      </c>
      <c r="AF77" s="1220">
        <v>61.55</v>
      </c>
      <c r="AG77" s="1220">
        <v>55.9</v>
      </c>
      <c r="AH77" s="1220">
        <v>51.7</v>
      </c>
      <c r="AI77" s="1220">
        <v>47.45</v>
      </c>
      <c r="AJ77" s="1220">
        <v>43.75</v>
      </c>
      <c r="AK77" s="1220">
        <v>40.549999999999997</v>
      </c>
      <c r="AL77" s="1220">
        <v>37.700000000000003</v>
      </c>
      <c r="AM77" s="1220">
        <v>35.15</v>
      </c>
      <c r="AQ77" s="826">
        <v>19</v>
      </c>
      <c r="AR77" s="1258">
        <v>1.83</v>
      </c>
      <c r="AS77" s="1208">
        <v>19</v>
      </c>
      <c r="AT77" s="1258">
        <v>1.83</v>
      </c>
      <c r="AY77" s="1207">
        <v>19</v>
      </c>
      <c r="AZ77" s="1207">
        <v>1.79</v>
      </c>
      <c r="BA77" s="1207">
        <v>1.75</v>
      </c>
      <c r="BB77" s="1207">
        <v>1.72</v>
      </c>
      <c r="BC77" s="1207">
        <v>1.69</v>
      </c>
      <c r="BD77" s="1207">
        <v>1.68</v>
      </c>
      <c r="BE77" s="1207">
        <v>1.69</v>
      </c>
      <c r="BF77" s="1207">
        <v>1.69</v>
      </c>
      <c r="BG77" s="1207">
        <v>1.68</v>
      </c>
      <c r="BH77" s="1207">
        <v>1.69</v>
      </c>
      <c r="BI77" s="1207">
        <v>1.69</v>
      </c>
      <c r="BJ77" s="1207">
        <v>1.7</v>
      </c>
      <c r="BK77" s="1207">
        <v>1.72</v>
      </c>
      <c r="BL77" s="1207">
        <v>1.74</v>
      </c>
      <c r="BN77" s="1207">
        <v>19</v>
      </c>
      <c r="BO77" s="828">
        <v>1.45</v>
      </c>
      <c r="BP77" s="828">
        <v>1.5</v>
      </c>
      <c r="BQ77" s="828">
        <v>1.6</v>
      </c>
      <c r="BR77" s="828">
        <v>1.65</v>
      </c>
      <c r="BS77" s="828">
        <v>1.7</v>
      </c>
      <c r="BT77" s="828">
        <v>1.85</v>
      </c>
      <c r="BU77" s="828">
        <v>1.9</v>
      </c>
      <c r="BV77" s="828">
        <v>1.95</v>
      </c>
      <c r="BW77" s="828">
        <v>2.0499999999999998</v>
      </c>
      <c r="BX77" s="828">
        <v>2.1</v>
      </c>
      <c r="BY77" s="828">
        <v>2.2000000000000002</v>
      </c>
      <c r="BZ77" s="828">
        <v>2.25</v>
      </c>
      <c r="CA77" s="828">
        <v>2.35</v>
      </c>
      <c r="CB77" s="828">
        <v>2.4</v>
      </c>
      <c r="CC77" s="828">
        <v>2.4500000000000002</v>
      </c>
      <c r="CD77" s="828">
        <v>2.5499999999999998</v>
      </c>
      <c r="CE77" s="828">
        <v>2.6</v>
      </c>
      <c r="CF77" s="828">
        <v>2.7</v>
      </c>
      <c r="CG77" s="828">
        <v>2.8</v>
      </c>
      <c r="CH77" s="828">
        <v>2.85</v>
      </c>
      <c r="CI77" s="828">
        <v>2.95</v>
      </c>
      <c r="CJ77" s="1206"/>
      <c r="CQ77" s="1259">
        <v>814</v>
      </c>
      <c r="CR77" s="1237">
        <v>12</v>
      </c>
      <c r="CS77" s="1237">
        <v>13</v>
      </c>
      <c r="CT77" s="1237">
        <v>14</v>
      </c>
      <c r="CU77" s="1237">
        <v>15</v>
      </c>
      <c r="CV77" s="1237">
        <v>16</v>
      </c>
      <c r="CW77" s="1237">
        <v>17</v>
      </c>
      <c r="CX77" s="1237">
        <v>18</v>
      </c>
      <c r="CY77" s="1237">
        <v>19</v>
      </c>
      <c r="CZ77" s="1237">
        <v>20</v>
      </c>
      <c r="DA77" s="1237">
        <v>21</v>
      </c>
      <c r="DB77" s="1237">
        <v>22</v>
      </c>
      <c r="DC77" s="1237">
        <v>23</v>
      </c>
      <c r="DD77" s="1237">
        <v>24</v>
      </c>
      <c r="DE77" s="1237">
        <v>25</v>
      </c>
      <c r="DF77" s="1237">
        <v>26</v>
      </c>
      <c r="DG77" s="1237">
        <v>27</v>
      </c>
      <c r="DH77" s="1237">
        <v>28</v>
      </c>
      <c r="DI77" s="1237">
        <v>29</v>
      </c>
      <c r="DJ77" s="1237">
        <v>30</v>
      </c>
      <c r="DK77" s="1237">
        <v>31</v>
      </c>
      <c r="DL77" s="1237">
        <v>32</v>
      </c>
      <c r="DM77" s="1237">
        <v>33</v>
      </c>
      <c r="DN77" s="1237">
        <v>34</v>
      </c>
      <c r="DO77" s="1237">
        <v>35</v>
      </c>
      <c r="DP77" s="1222"/>
      <c r="DQ77" s="1259">
        <v>822</v>
      </c>
      <c r="DR77" s="1237">
        <v>5</v>
      </c>
      <c r="DS77" s="1237">
        <v>6</v>
      </c>
      <c r="DT77" s="1237">
        <v>7</v>
      </c>
      <c r="DU77" s="1237">
        <v>8</v>
      </c>
      <c r="DV77" s="1237">
        <v>9</v>
      </c>
      <c r="DW77" s="1237">
        <v>10</v>
      </c>
      <c r="DX77" s="1237">
        <v>11</v>
      </c>
      <c r="DY77" s="1237">
        <v>12</v>
      </c>
      <c r="DZ77" s="1237">
        <v>13</v>
      </c>
      <c r="EA77" s="1237">
        <v>14</v>
      </c>
      <c r="EB77" s="1237">
        <v>15</v>
      </c>
      <c r="EC77" s="1237">
        <v>16</v>
      </c>
      <c r="ED77" s="1237">
        <v>17</v>
      </c>
      <c r="EE77" s="1237">
        <v>18</v>
      </c>
      <c r="EF77" s="1237">
        <v>19</v>
      </c>
      <c r="EG77" s="1237">
        <v>20</v>
      </c>
      <c r="EH77" s="1237">
        <v>21</v>
      </c>
      <c r="EI77" s="1237">
        <v>22</v>
      </c>
      <c r="EJ77" s="1237">
        <v>23</v>
      </c>
      <c r="EK77" s="1237">
        <v>24</v>
      </c>
      <c r="EL77" s="1237">
        <v>25</v>
      </c>
      <c r="EP77" s="1210"/>
    </row>
    <row r="78" spans="2:146" ht="15" customHeight="1">
      <c r="B78" s="1255">
        <v>2</v>
      </c>
      <c r="C78" s="1256">
        <v>0</v>
      </c>
      <c r="D78" s="1256">
        <v>0</v>
      </c>
      <c r="E78" s="1256">
        <v>0</v>
      </c>
      <c r="F78" s="1256">
        <v>0</v>
      </c>
      <c r="G78" s="1256">
        <v>0</v>
      </c>
      <c r="H78" s="1256">
        <v>0</v>
      </c>
      <c r="I78" s="1256">
        <v>619</v>
      </c>
      <c r="J78" s="1256">
        <v>598.75</v>
      </c>
      <c r="K78" s="1256">
        <v>579.25</v>
      </c>
      <c r="L78" s="1256">
        <v>560.45000000000005</v>
      </c>
      <c r="M78" s="1256">
        <v>542.4</v>
      </c>
      <c r="N78" s="1256">
        <v>525.04999999999995</v>
      </c>
      <c r="O78" s="1256">
        <v>508.35</v>
      </c>
      <c r="P78" s="1256">
        <v>492.35</v>
      </c>
      <c r="Q78" s="1256">
        <v>477</v>
      </c>
      <c r="R78" s="1256">
        <v>462.25</v>
      </c>
      <c r="U78" s="1257">
        <v>15</v>
      </c>
      <c r="V78" s="1258">
        <v>77.75</v>
      </c>
      <c r="W78" s="1206"/>
      <c r="X78" s="1257">
        <v>15</v>
      </c>
      <c r="Y78" s="1258">
        <v>59.65</v>
      </c>
      <c r="Z78" s="1206"/>
      <c r="AB78" s="1207">
        <v>10</v>
      </c>
      <c r="AC78" s="1220">
        <v>85.9</v>
      </c>
      <c r="AD78" s="1220">
        <v>76.2</v>
      </c>
      <c r="AE78" s="1220">
        <v>68.25</v>
      </c>
      <c r="AF78" s="1220">
        <v>61.55</v>
      </c>
      <c r="AG78" s="1220">
        <v>55.95</v>
      </c>
      <c r="AH78" s="1220">
        <v>51.7</v>
      </c>
      <c r="AI78" s="1220">
        <v>47.45</v>
      </c>
      <c r="AJ78" s="1220">
        <v>43.8</v>
      </c>
      <c r="AK78" s="1220">
        <v>40.549999999999997</v>
      </c>
      <c r="AL78" s="1220">
        <v>37.700000000000003</v>
      </c>
      <c r="AM78" s="1220">
        <v>35.200000000000003</v>
      </c>
      <c r="AQ78" s="826">
        <v>20</v>
      </c>
      <c r="AR78" s="1258">
        <v>1.88</v>
      </c>
      <c r="AS78" s="826">
        <v>20</v>
      </c>
      <c r="AT78" s="1258">
        <v>1.9</v>
      </c>
      <c r="AY78" s="1207">
        <v>20</v>
      </c>
      <c r="AZ78" s="1207">
        <v>1.82</v>
      </c>
      <c r="BA78" s="1207">
        <v>1.78</v>
      </c>
      <c r="BB78" s="1207">
        <v>1.75</v>
      </c>
      <c r="BC78" s="1207">
        <v>1.73</v>
      </c>
      <c r="BD78" s="1207">
        <v>1.71</v>
      </c>
      <c r="BE78" s="1207">
        <v>1.73</v>
      </c>
      <c r="BF78" s="1207">
        <v>1.73</v>
      </c>
      <c r="BG78" s="1207">
        <v>1.73</v>
      </c>
      <c r="BH78" s="1207">
        <v>1.73</v>
      </c>
      <c r="BI78" s="1207">
        <v>1.74</v>
      </c>
      <c r="BJ78" s="1207">
        <v>1.76</v>
      </c>
      <c r="BK78" s="1207">
        <v>1.78</v>
      </c>
      <c r="BL78" s="1207">
        <v>1.8</v>
      </c>
      <c r="BN78" s="1207">
        <v>20</v>
      </c>
      <c r="BO78" s="828">
        <v>1.45</v>
      </c>
      <c r="BP78" s="828">
        <v>1.5</v>
      </c>
      <c r="BQ78" s="828">
        <v>1.6</v>
      </c>
      <c r="BR78" s="828">
        <v>1.65</v>
      </c>
      <c r="BS78" s="828">
        <v>1.7</v>
      </c>
      <c r="BT78" s="828">
        <v>1.85</v>
      </c>
      <c r="BU78" s="828">
        <v>1.9</v>
      </c>
      <c r="BV78" s="828">
        <v>1.95</v>
      </c>
      <c r="BW78" s="828">
        <v>2.0499999999999998</v>
      </c>
      <c r="BX78" s="828">
        <v>2.1</v>
      </c>
      <c r="BY78" s="828">
        <v>2.2000000000000002</v>
      </c>
      <c r="BZ78" s="828">
        <v>2.25</v>
      </c>
      <c r="CA78" s="828">
        <v>2.35</v>
      </c>
      <c r="CB78" s="828">
        <v>2.4</v>
      </c>
      <c r="CC78" s="828">
        <v>2.4500000000000002</v>
      </c>
      <c r="CD78" s="828">
        <v>2.5499999999999998</v>
      </c>
      <c r="CE78" s="828">
        <v>2.6</v>
      </c>
      <c r="CF78" s="828">
        <v>2.7</v>
      </c>
      <c r="CG78" s="828">
        <v>2.8</v>
      </c>
      <c r="CH78" s="828">
        <v>2.85</v>
      </c>
      <c r="CI78" s="828">
        <v>2.95</v>
      </c>
      <c r="CJ78" s="1206"/>
      <c r="CQ78" s="1237">
        <v>8</v>
      </c>
      <c r="CR78" s="1260">
        <v>0.15</v>
      </c>
      <c r="CS78" s="1260">
        <v>0.15</v>
      </c>
      <c r="CT78" s="1260">
        <v>0.15</v>
      </c>
      <c r="CU78" s="1260">
        <v>0.15</v>
      </c>
      <c r="CV78" s="1260">
        <v>0.15</v>
      </c>
      <c r="CW78" s="1260">
        <v>0.15</v>
      </c>
      <c r="CX78" s="1260">
        <v>0.15</v>
      </c>
      <c r="CY78" s="1260">
        <v>0.15</v>
      </c>
      <c r="CZ78" s="1260">
        <v>0.15</v>
      </c>
      <c r="DA78" s="1260">
        <v>0.15</v>
      </c>
      <c r="DB78" s="1260">
        <v>0.2</v>
      </c>
      <c r="DC78" s="1260">
        <v>0.2</v>
      </c>
      <c r="DD78" s="1260">
        <v>0.2</v>
      </c>
      <c r="DE78" s="1260">
        <v>0.2</v>
      </c>
      <c r="DF78" s="1260">
        <v>0.2</v>
      </c>
      <c r="DG78" s="1260">
        <v>0.2</v>
      </c>
      <c r="DH78" s="1260">
        <v>0.2</v>
      </c>
      <c r="DI78" s="1260">
        <v>0.2</v>
      </c>
      <c r="DJ78" s="1260">
        <v>0.2</v>
      </c>
      <c r="DK78" s="1260">
        <v>0.2</v>
      </c>
      <c r="DL78" s="1260">
        <v>0.2</v>
      </c>
      <c r="DM78" s="1260">
        <v>0.2</v>
      </c>
      <c r="DN78" s="1260">
        <v>0.25</v>
      </c>
      <c r="DO78" s="1260">
        <v>0.25</v>
      </c>
      <c r="DP78" s="1222"/>
      <c r="DQ78" s="1237">
        <v>18</v>
      </c>
      <c r="DR78" s="1260">
        <v>0.27</v>
      </c>
      <c r="DS78" s="1260">
        <v>0.27</v>
      </c>
      <c r="DT78" s="1260">
        <v>0.27</v>
      </c>
      <c r="DU78" s="1260">
        <v>0.27</v>
      </c>
      <c r="DV78" s="1260">
        <v>0.27</v>
      </c>
      <c r="DW78" s="1260">
        <v>0.27</v>
      </c>
      <c r="DX78" s="1260">
        <v>0.27</v>
      </c>
      <c r="DY78" s="1260">
        <v>0.27</v>
      </c>
      <c r="DZ78" s="1260">
        <v>0.27</v>
      </c>
      <c r="EA78" s="1260">
        <v>0.27</v>
      </c>
      <c r="EB78" s="1260">
        <v>0.28000000000000003</v>
      </c>
      <c r="EC78" s="1260">
        <v>0.28000000000000003</v>
      </c>
      <c r="ED78" s="1260">
        <v>0.28999999999999998</v>
      </c>
      <c r="EE78" s="1260">
        <v>0.28999999999999998</v>
      </c>
      <c r="EF78" s="1260">
        <v>0.28999999999999998</v>
      </c>
      <c r="EG78" s="1260">
        <v>0.28999999999999998</v>
      </c>
      <c r="EH78" s="1260">
        <v>0.3</v>
      </c>
      <c r="EI78" s="1260">
        <v>0.3</v>
      </c>
      <c r="EJ78" s="1260">
        <v>0.31</v>
      </c>
      <c r="EK78" s="1260">
        <v>0.31</v>
      </c>
      <c r="EL78" s="1260">
        <v>0.32</v>
      </c>
    </row>
    <row r="79" spans="2:146" ht="15" customHeight="1">
      <c r="B79" s="1255">
        <v>3</v>
      </c>
      <c r="C79" s="1256">
        <v>0</v>
      </c>
      <c r="D79" s="1256">
        <v>0</v>
      </c>
      <c r="E79" s="1256">
        <v>0</v>
      </c>
      <c r="F79" s="1256">
        <v>0</v>
      </c>
      <c r="G79" s="1256">
        <v>0</v>
      </c>
      <c r="H79" s="1256">
        <v>640.04999999999995</v>
      </c>
      <c r="I79" s="1256">
        <v>619</v>
      </c>
      <c r="J79" s="1256">
        <v>598.75</v>
      </c>
      <c r="K79" s="1256">
        <v>579.25</v>
      </c>
      <c r="L79" s="1256">
        <v>560.45000000000005</v>
      </c>
      <c r="M79" s="1256">
        <v>542.4</v>
      </c>
      <c r="N79" s="1256">
        <v>525.04999999999995</v>
      </c>
      <c r="O79" s="1256">
        <v>508.35</v>
      </c>
      <c r="P79" s="1256">
        <v>492.35</v>
      </c>
      <c r="Q79" s="1256">
        <v>477</v>
      </c>
      <c r="R79" s="1256">
        <v>462.25</v>
      </c>
      <c r="U79" s="1257">
        <v>16</v>
      </c>
      <c r="V79" s="1258">
        <v>77.8</v>
      </c>
      <c r="W79" s="1206"/>
      <c r="X79" s="1257">
        <v>16</v>
      </c>
      <c r="Y79" s="1258">
        <v>59.7</v>
      </c>
      <c r="Z79" s="1206"/>
      <c r="AB79" s="1207">
        <v>11</v>
      </c>
      <c r="AC79" s="1220">
        <v>85.95</v>
      </c>
      <c r="AD79" s="1220">
        <v>76.25</v>
      </c>
      <c r="AE79" s="1220">
        <v>68.25</v>
      </c>
      <c r="AF79" s="1220">
        <v>61.6</v>
      </c>
      <c r="AG79" s="1220">
        <v>55.95</v>
      </c>
      <c r="AH79" s="1220">
        <v>51.75</v>
      </c>
      <c r="AI79" s="1220">
        <v>47.5</v>
      </c>
      <c r="AJ79" s="1220">
        <v>43.8</v>
      </c>
      <c r="AK79" s="1220">
        <v>40.6</v>
      </c>
      <c r="AL79" s="1220">
        <v>37.75</v>
      </c>
      <c r="AM79" s="1220">
        <v>35.25</v>
      </c>
      <c r="AQ79" s="826">
        <v>21</v>
      </c>
      <c r="AR79" s="1258">
        <v>1.93</v>
      </c>
      <c r="AS79" s="1208">
        <v>21</v>
      </c>
      <c r="AT79" s="1258">
        <v>1.97</v>
      </c>
      <c r="AY79" s="1207">
        <v>21</v>
      </c>
      <c r="AZ79" s="1207">
        <v>1.85</v>
      </c>
      <c r="BA79" s="1207">
        <v>1.81</v>
      </c>
      <c r="BB79" s="1207">
        <v>1.78</v>
      </c>
      <c r="BC79" s="1207">
        <v>1.76</v>
      </c>
      <c r="BD79" s="1207">
        <v>1.75</v>
      </c>
      <c r="BE79" s="1207">
        <v>1.77</v>
      </c>
      <c r="BF79" s="1207">
        <v>1.77</v>
      </c>
      <c r="BG79" s="1207">
        <v>1.78</v>
      </c>
      <c r="BH79" s="1207">
        <v>1.78</v>
      </c>
      <c r="BI79" s="1207">
        <v>1.8</v>
      </c>
      <c r="BJ79" s="1207">
        <v>1.82</v>
      </c>
      <c r="BK79" s="1207">
        <v>1.84</v>
      </c>
      <c r="BL79" s="1207">
        <v>1.87</v>
      </c>
      <c r="BN79" s="1207">
        <v>21</v>
      </c>
      <c r="BO79" s="828">
        <v>1.45</v>
      </c>
      <c r="BP79" s="828">
        <v>1.5</v>
      </c>
      <c r="BQ79" s="828">
        <v>1.6</v>
      </c>
      <c r="BR79" s="828">
        <v>1.65</v>
      </c>
      <c r="BS79" s="828">
        <v>1.7</v>
      </c>
      <c r="BT79" s="828">
        <v>1.85</v>
      </c>
      <c r="BU79" s="828">
        <v>1.9</v>
      </c>
      <c r="BV79" s="828">
        <v>1.95</v>
      </c>
      <c r="BW79" s="828">
        <v>2.0499999999999998</v>
      </c>
      <c r="BX79" s="828">
        <v>2.1</v>
      </c>
      <c r="BY79" s="828">
        <v>2.2000000000000002</v>
      </c>
      <c r="BZ79" s="828">
        <v>2.25</v>
      </c>
      <c r="CA79" s="828">
        <v>2.35</v>
      </c>
      <c r="CB79" s="828">
        <v>2.4</v>
      </c>
      <c r="CC79" s="828">
        <v>2.4500000000000002</v>
      </c>
      <c r="CD79" s="828">
        <v>2.5499999999999998</v>
      </c>
      <c r="CE79" s="828">
        <v>2.6</v>
      </c>
      <c r="CF79" s="828">
        <v>2.7</v>
      </c>
      <c r="CG79" s="828">
        <v>2.8</v>
      </c>
      <c r="CH79" s="828">
        <v>2.85</v>
      </c>
      <c r="CI79" s="828">
        <v>2.95</v>
      </c>
      <c r="CJ79" s="1206"/>
      <c r="CQ79" s="1237">
        <v>9</v>
      </c>
      <c r="CR79" s="1260">
        <v>0.15</v>
      </c>
      <c r="CS79" s="1260">
        <v>0.15</v>
      </c>
      <c r="CT79" s="1260">
        <v>0.15</v>
      </c>
      <c r="CU79" s="1260">
        <v>0.15</v>
      </c>
      <c r="CV79" s="1260">
        <v>0.15</v>
      </c>
      <c r="CW79" s="1260">
        <v>0.15</v>
      </c>
      <c r="CX79" s="1260">
        <v>0.15</v>
      </c>
      <c r="CY79" s="1260">
        <v>0.15</v>
      </c>
      <c r="CZ79" s="1260">
        <v>0.15</v>
      </c>
      <c r="DA79" s="1260">
        <v>0.2</v>
      </c>
      <c r="DB79" s="1260">
        <v>0.2</v>
      </c>
      <c r="DC79" s="1260">
        <v>0.2</v>
      </c>
      <c r="DD79" s="1260">
        <v>0.2</v>
      </c>
      <c r="DE79" s="1260">
        <v>0.2</v>
      </c>
      <c r="DF79" s="1260">
        <v>0.2</v>
      </c>
      <c r="DG79" s="1260">
        <v>0.2</v>
      </c>
      <c r="DH79" s="1260">
        <v>0.2</v>
      </c>
      <c r="DI79" s="1260">
        <v>0.2</v>
      </c>
      <c r="DJ79" s="1260">
        <v>0.2</v>
      </c>
      <c r="DK79" s="1260">
        <v>0.2</v>
      </c>
      <c r="DL79" s="1260">
        <v>0.25</v>
      </c>
      <c r="DM79" s="1260">
        <v>0.25</v>
      </c>
      <c r="DN79" s="1260">
        <v>0.25</v>
      </c>
      <c r="DO79" s="1260">
        <v>0.25</v>
      </c>
      <c r="DP79" s="1222"/>
      <c r="DQ79" s="1237">
        <v>19</v>
      </c>
      <c r="DR79" s="1260">
        <v>0.28000000000000003</v>
      </c>
      <c r="DS79" s="1260">
        <v>0.28000000000000003</v>
      </c>
      <c r="DT79" s="1260">
        <v>0.28000000000000003</v>
      </c>
      <c r="DU79" s="1260">
        <v>0.28000000000000003</v>
      </c>
      <c r="DV79" s="1260">
        <v>0.28000000000000003</v>
      </c>
      <c r="DW79" s="1260">
        <v>0.28000000000000003</v>
      </c>
      <c r="DX79" s="1260">
        <v>0.28000000000000003</v>
      </c>
      <c r="DY79" s="1260">
        <v>0.28000000000000003</v>
      </c>
      <c r="DZ79" s="1260">
        <v>0.28000000000000003</v>
      </c>
      <c r="EA79" s="1260">
        <v>0.28000000000000003</v>
      </c>
      <c r="EB79" s="1260">
        <v>0.28999999999999998</v>
      </c>
      <c r="EC79" s="1260">
        <v>0.28999999999999998</v>
      </c>
      <c r="ED79" s="1260">
        <v>0.28999999999999998</v>
      </c>
      <c r="EE79" s="1260">
        <v>0.3</v>
      </c>
      <c r="EF79" s="1260">
        <v>0.3</v>
      </c>
      <c r="EG79" s="1260">
        <v>0.3</v>
      </c>
      <c r="EH79" s="1260">
        <v>0.31</v>
      </c>
      <c r="EI79" s="1260">
        <v>0.31</v>
      </c>
      <c r="EJ79" s="1260">
        <v>0.32</v>
      </c>
      <c r="EK79" s="1260">
        <v>0.32</v>
      </c>
      <c r="EL79" s="1260">
        <v>0.33</v>
      </c>
    </row>
    <row r="80" spans="2:146" ht="15" customHeight="1">
      <c r="B80" s="1255">
        <v>4</v>
      </c>
      <c r="C80" s="1256">
        <v>0</v>
      </c>
      <c r="D80" s="1256">
        <v>0</v>
      </c>
      <c r="E80" s="1256">
        <v>0</v>
      </c>
      <c r="F80" s="1256">
        <v>0</v>
      </c>
      <c r="G80" s="1256">
        <v>661.6</v>
      </c>
      <c r="H80" s="1256">
        <v>640.04999999999995</v>
      </c>
      <c r="I80" s="1256">
        <v>619</v>
      </c>
      <c r="J80" s="1256">
        <v>598.75</v>
      </c>
      <c r="K80" s="1256">
        <v>579.25</v>
      </c>
      <c r="L80" s="1256">
        <v>560.45000000000005</v>
      </c>
      <c r="M80" s="1256">
        <v>542.4</v>
      </c>
      <c r="N80" s="1256">
        <v>525.04999999999995</v>
      </c>
      <c r="O80" s="1256">
        <v>508.35</v>
      </c>
      <c r="P80" s="1256">
        <v>492.35</v>
      </c>
      <c r="Q80" s="1256">
        <v>477</v>
      </c>
      <c r="R80" s="1256">
        <v>462.25</v>
      </c>
      <c r="U80" s="1257">
        <v>17</v>
      </c>
      <c r="V80" s="1258">
        <v>77.849999999999994</v>
      </c>
      <c r="W80" s="1206"/>
      <c r="X80" s="1257">
        <v>17</v>
      </c>
      <c r="Y80" s="1258">
        <v>59.75</v>
      </c>
      <c r="Z80" s="1206"/>
      <c r="AB80" s="1207">
        <v>12</v>
      </c>
      <c r="AC80" s="1220">
        <v>85.95</v>
      </c>
      <c r="AD80" s="1220">
        <v>76.3</v>
      </c>
      <c r="AE80" s="1220">
        <v>68.3</v>
      </c>
      <c r="AF80" s="1220">
        <v>61.65</v>
      </c>
      <c r="AG80" s="1220">
        <v>56</v>
      </c>
      <c r="AH80" s="1220">
        <v>51.8</v>
      </c>
      <c r="AI80" s="1220">
        <v>47.55</v>
      </c>
      <c r="AJ80" s="1220">
        <v>43.85</v>
      </c>
      <c r="AK80" s="1220">
        <v>40.65</v>
      </c>
      <c r="AL80" s="1220">
        <v>37.799999999999997</v>
      </c>
      <c r="AM80" s="1220">
        <v>35.25</v>
      </c>
      <c r="AQ80" s="826">
        <v>22</v>
      </c>
      <c r="AR80" s="1258">
        <v>1.99</v>
      </c>
      <c r="AS80" s="826">
        <v>22</v>
      </c>
      <c r="AT80" s="1258">
        <v>2.0499999999999998</v>
      </c>
      <c r="AY80" s="1207">
        <v>22</v>
      </c>
      <c r="AZ80" s="1207">
        <v>1.88</v>
      </c>
      <c r="BA80" s="1207">
        <v>1.84</v>
      </c>
      <c r="BB80" s="1207">
        <v>1.82</v>
      </c>
      <c r="BC80" s="1207">
        <v>1.8</v>
      </c>
      <c r="BD80" s="1207">
        <v>1.79</v>
      </c>
      <c r="BE80" s="1207">
        <v>1.82</v>
      </c>
      <c r="BF80" s="1207">
        <v>1.82</v>
      </c>
      <c r="BG80" s="1207">
        <v>1.83</v>
      </c>
      <c r="BH80" s="1207">
        <v>1.84</v>
      </c>
      <c r="BI80" s="1207">
        <v>1.86</v>
      </c>
      <c r="BJ80" s="1207">
        <v>1.88</v>
      </c>
      <c r="BK80" s="1207">
        <v>1.91</v>
      </c>
      <c r="BL80" s="1207">
        <v>1.95</v>
      </c>
      <c r="BN80" s="1207">
        <v>22</v>
      </c>
      <c r="BO80" s="828">
        <v>1.45</v>
      </c>
      <c r="BP80" s="828">
        <v>1.5</v>
      </c>
      <c r="BQ80" s="828">
        <v>1.6</v>
      </c>
      <c r="BR80" s="828">
        <v>1.65</v>
      </c>
      <c r="BS80" s="828">
        <v>1.7</v>
      </c>
      <c r="BT80" s="828">
        <v>1.85</v>
      </c>
      <c r="BU80" s="828">
        <v>1.9</v>
      </c>
      <c r="BV80" s="828">
        <v>1.95</v>
      </c>
      <c r="BW80" s="828">
        <v>2.0499999999999998</v>
      </c>
      <c r="BX80" s="828">
        <v>2.1</v>
      </c>
      <c r="BY80" s="828">
        <v>2.2000000000000002</v>
      </c>
      <c r="BZ80" s="828">
        <v>2.25</v>
      </c>
      <c r="CA80" s="828">
        <v>2.35</v>
      </c>
      <c r="CB80" s="828">
        <v>2.4</v>
      </c>
      <c r="CC80" s="828">
        <v>2.4500000000000002</v>
      </c>
      <c r="CD80" s="828">
        <v>2.5499999999999998</v>
      </c>
      <c r="CE80" s="828">
        <v>2.6</v>
      </c>
      <c r="CF80" s="828">
        <v>2.7</v>
      </c>
      <c r="CG80" s="828">
        <v>2.8</v>
      </c>
      <c r="CH80" s="828">
        <v>2.85</v>
      </c>
      <c r="CI80" s="828">
        <v>2.95</v>
      </c>
      <c r="CJ80" s="1206"/>
      <c r="CQ80" s="1237">
        <v>10</v>
      </c>
      <c r="CR80" s="1260">
        <v>0.15</v>
      </c>
      <c r="CS80" s="1260">
        <v>0.15</v>
      </c>
      <c r="CT80" s="1260">
        <v>0.15</v>
      </c>
      <c r="CU80" s="1260">
        <v>0.15</v>
      </c>
      <c r="CV80" s="1260">
        <v>0.15</v>
      </c>
      <c r="CW80" s="1260">
        <v>0.15</v>
      </c>
      <c r="CX80" s="1260">
        <v>0.15</v>
      </c>
      <c r="CY80" s="1260">
        <v>0.15</v>
      </c>
      <c r="CZ80" s="1260">
        <v>0.2</v>
      </c>
      <c r="DA80" s="1260">
        <v>0.2</v>
      </c>
      <c r="DB80" s="1260">
        <v>0.2</v>
      </c>
      <c r="DC80" s="1260">
        <v>0.2</v>
      </c>
      <c r="DD80" s="1260">
        <v>0.2</v>
      </c>
      <c r="DE80" s="1260">
        <v>0.2</v>
      </c>
      <c r="DF80" s="1260">
        <v>0.2</v>
      </c>
      <c r="DG80" s="1260">
        <v>0.2</v>
      </c>
      <c r="DH80" s="1260">
        <v>0.2</v>
      </c>
      <c r="DI80" s="1260">
        <v>0.2</v>
      </c>
      <c r="DJ80" s="1260">
        <v>0.2</v>
      </c>
      <c r="DK80" s="1260">
        <v>0.25</v>
      </c>
      <c r="DL80" s="1260">
        <v>0.25</v>
      </c>
      <c r="DM80" s="1260">
        <v>0.25</v>
      </c>
      <c r="DN80" s="1260">
        <v>0.25</v>
      </c>
      <c r="DO80" s="1260">
        <v>0.25</v>
      </c>
      <c r="DP80" s="1222"/>
      <c r="DQ80" s="1237">
        <v>20</v>
      </c>
      <c r="DR80" s="1260">
        <v>0.28999999999999998</v>
      </c>
      <c r="DS80" s="1260">
        <v>0.28999999999999998</v>
      </c>
      <c r="DT80" s="1260">
        <v>0.28999999999999998</v>
      </c>
      <c r="DU80" s="1260">
        <v>0.28999999999999998</v>
      </c>
      <c r="DV80" s="1260">
        <v>0.28999999999999998</v>
      </c>
      <c r="DW80" s="1260">
        <v>0.28999999999999998</v>
      </c>
      <c r="DX80" s="1260">
        <v>0.28999999999999998</v>
      </c>
      <c r="DY80" s="1260">
        <v>0.28999999999999998</v>
      </c>
      <c r="DZ80" s="1260">
        <v>0.28999999999999998</v>
      </c>
      <c r="EA80" s="1260">
        <v>0.28999999999999998</v>
      </c>
      <c r="EB80" s="1260">
        <v>0.3</v>
      </c>
      <c r="EC80" s="1260">
        <v>0.3</v>
      </c>
      <c r="ED80" s="1260">
        <v>0.3</v>
      </c>
      <c r="EE80" s="1260">
        <v>0.31</v>
      </c>
      <c r="EF80" s="1260">
        <v>0.31</v>
      </c>
      <c r="EG80" s="1260">
        <v>0.31</v>
      </c>
      <c r="EH80" s="1260">
        <v>0.32</v>
      </c>
      <c r="EI80" s="1260">
        <v>0.32</v>
      </c>
      <c r="EJ80" s="1260">
        <v>0.33</v>
      </c>
      <c r="EK80" s="1260">
        <v>0.34</v>
      </c>
      <c r="EL80" s="1260">
        <v>0.34</v>
      </c>
    </row>
    <row r="81" spans="2:142" ht="15" customHeight="1">
      <c r="B81" s="1255">
        <v>5</v>
      </c>
      <c r="C81" s="1256">
        <v>0</v>
      </c>
      <c r="D81" s="1256">
        <v>0</v>
      </c>
      <c r="E81" s="1256">
        <v>0</v>
      </c>
      <c r="F81" s="1256">
        <v>684.05</v>
      </c>
      <c r="G81" s="1256">
        <v>661.6</v>
      </c>
      <c r="H81" s="1256">
        <v>640.04999999999995</v>
      </c>
      <c r="I81" s="1256">
        <v>619</v>
      </c>
      <c r="J81" s="1256">
        <v>598.75</v>
      </c>
      <c r="K81" s="1256">
        <v>579.25</v>
      </c>
      <c r="L81" s="1256">
        <v>560.45000000000005</v>
      </c>
      <c r="M81" s="1256">
        <v>542.4</v>
      </c>
      <c r="N81" s="1256">
        <v>525.04999999999995</v>
      </c>
      <c r="O81" s="1256">
        <v>508.35</v>
      </c>
      <c r="P81" s="1256">
        <v>492.35</v>
      </c>
      <c r="Q81" s="1256">
        <v>477</v>
      </c>
      <c r="R81" s="1256">
        <v>462.25</v>
      </c>
      <c r="U81" s="1257">
        <v>18</v>
      </c>
      <c r="V81" s="1258">
        <v>77.900000000000006</v>
      </c>
      <c r="W81" s="1206"/>
      <c r="X81" s="1257">
        <v>18</v>
      </c>
      <c r="Y81" s="1258">
        <v>59.85</v>
      </c>
      <c r="Z81" s="1206"/>
      <c r="AB81" s="1207">
        <v>13</v>
      </c>
      <c r="AC81" s="1220">
        <v>86</v>
      </c>
      <c r="AD81" s="1220">
        <v>76.3</v>
      </c>
      <c r="AE81" s="1220">
        <v>68.349999999999994</v>
      </c>
      <c r="AF81" s="1220">
        <v>61.7</v>
      </c>
      <c r="AG81" s="1220">
        <v>56.05</v>
      </c>
      <c r="AH81" s="1220">
        <v>51.8</v>
      </c>
      <c r="AI81" s="1220">
        <v>47.6</v>
      </c>
      <c r="AJ81" s="1220">
        <v>43.9</v>
      </c>
      <c r="AK81" s="1220">
        <v>40.65</v>
      </c>
      <c r="AL81" s="1220">
        <v>37.85</v>
      </c>
      <c r="AM81" s="1220">
        <v>35.299999999999997</v>
      </c>
      <c r="AQ81" s="826">
        <v>23</v>
      </c>
      <c r="AR81" s="1258">
        <v>2.0499999999999998</v>
      </c>
      <c r="AS81" s="1208">
        <v>23</v>
      </c>
      <c r="AT81" s="1258">
        <v>2.14</v>
      </c>
      <c r="AY81" s="1207">
        <v>23</v>
      </c>
      <c r="AZ81" s="1207">
        <v>1.91</v>
      </c>
      <c r="BA81" s="1207">
        <v>1.88</v>
      </c>
      <c r="BB81" s="1207">
        <v>1.86</v>
      </c>
      <c r="BC81" s="1207">
        <v>1.84</v>
      </c>
      <c r="BD81" s="1207">
        <v>1.84</v>
      </c>
      <c r="BE81" s="1207">
        <v>1.87</v>
      </c>
      <c r="BF81" s="1207">
        <v>1.87</v>
      </c>
      <c r="BG81" s="1207">
        <v>1.89</v>
      </c>
      <c r="BH81" s="1207">
        <v>1.91</v>
      </c>
      <c r="BI81" s="1207">
        <v>1.93</v>
      </c>
      <c r="BJ81" s="1207">
        <v>1.96</v>
      </c>
      <c r="BK81" s="1207">
        <v>1.99</v>
      </c>
      <c r="BL81" s="1207">
        <v>2.0299999999999998</v>
      </c>
      <c r="BN81" s="1207">
        <v>23</v>
      </c>
      <c r="BO81" s="828">
        <v>1.45</v>
      </c>
      <c r="BP81" s="828">
        <v>1.5</v>
      </c>
      <c r="BQ81" s="828">
        <v>1.6</v>
      </c>
      <c r="BR81" s="828">
        <v>1.65</v>
      </c>
      <c r="BS81" s="828">
        <v>1.7</v>
      </c>
      <c r="BT81" s="828">
        <v>1.85</v>
      </c>
      <c r="BU81" s="828">
        <v>1.9</v>
      </c>
      <c r="BV81" s="828">
        <v>1.95</v>
      </c>
      <c r="BW81" s="828">
        <v>2.0499999999999998</v>
      </c>
      <c r="BX81" s="828">
        <v>2.1</v>
      </c>
      <c r="BY81" s="828">
        <v>2.2000000000000002</v>
      </c>
      <c r="BZ81" s="828">
        <v>2.25</v>
      </c>
      <c r="CA81" s="828">
        <v>2.35</v>
      </c>
      <c r="CB81" s="828">
        <v>2.4</v>
      </c>
      <c r="CC81" s="828">
        <v>2.4500000000000002</v>
      </c>
      <c r="CD81" s="828">
        <v>2.5499999999999998</v>
      </c>
      <c r="CE81" s="828">
        <v>2.6</v>
      </c>
      <c r="CF81" s="828">
        <v>2.7</v>
      </c>
      <c r="CG81" s="828">
        <v>2.8</v>
      </c>
      <c r="CH81" s="828">
        <v>2.85</v>
      </c>
      <c r="CI81" s="828">
        <v>2.95</v>
      </c>
      <c r="CJ81" s="1206"/>
      <c r="CQ81" s="1237">
        <v>11</v>
      </c>
      <c r="CR81" s="1260">
        <v>0.15</v>
      </c>
      <c r="CS81" s="1260">
        <v>0.15</v>
      </c>
      <c r="CT81" s="1260">
        <v>0.15</v>
      </c>
      <c r="CU81" s="1260">
        <v>0.15</v>
      </c>
      <c r="CV81" s="1260">
        <v>0.15</v>
      </c>
      <c r="CW81" s="1260">
        <v>0.15</v>
      </c>
      <c r="CX81" s="1260">
        <v>0.2</v>
      </c>
      <c r="CY81" s="1260">
        <v>0.2</v>
      </c>
      <c r="CZ81" s="1260">
        <v>0.2</v>
      </c>
      <c r="DA81" s="1260">
        <v>0.2</v>
      </c>
      <c r="DB81" s="1260">
        <v>0.2</v>
      </c>
      <c r="DC81" s="1260">
        <v>0.2</v>
      </c>
      <c r="DD81" s="1260">
        <v>0.2</v>
      </c>
      <c r="DE81" s="1260">
        <v>0.2</v>
      </c>
      <c r="DF81" s="1260">
        <v>0.2</v>
      </c>
      <c r="DG81" s="1260">
        <v>0.2</v>
      </c>
      <c r="DH81" s="1260">
        <v>0.2</v>
      </c>
      <c r="DI81" s="1260">
        <v>0.25</v>
      </c>
      <c r="DJ81" s="1260">
        <v>0.25</v>
      </c>
      <c r="DK81" s="1260">
        <v>0.25</v>
      </c>
      <c r="DL81" s="1260">
        <v>0.25</v>
      </c>
      <c r="DM81" s="1260">
        <v>0.25</v>
      </c>
      <c r="DN81" s="1260">
        <v>0.25</v>
      </c>
      <c r="DO81" s="1260">
        <v>0.25</v>
      </c>
      <c r="DP81" s="1222"/>
      <c r="DQ81" s="1237">
        <v>21</v>
      </c>
      <c r="DR81" s="1260">
        <v>0.3</v>
      </c>
      <c r="DS81" s="1260">
        <v>0.3</v>
      </c>
      <c r="DT81" s="1260">
        <v>0.3</v>
      </c>
      <c r="DU81" s="1260">
        <v>0.3</v>
      </c>
      <c r="DV81" s="1260">
        <v>0.3</v>
      </c>
      <c r="DW81" s="1260">
        <v>0.3</v>
      </c>
      <c r="DX81" s="1260">
        <v>0.3</v>
      </c>
      <c r="DY81" s="1260">
        <v>0.3</v>
      </c>
      <c r="DZ81" s="1260">
        <v>0.3</v>
      </c>
      <c r="EA81" s="1260">
        <v>0.3</v>
      </c>
      <c r="EB81" s="1260">
        <v>0.3</v>
      </c>
      <c r="EC81" s="1260">
        <v>0.3</v>
      </c>
      <c r="ED81" s="1260">
        <v>0.31</v>
      </c>
      <c r="EE81" s="1260">
        <v>0.31</v>
      </c>
      <c r="EF81" s="1260">
        <v>0.32</v>
      </c>
      <c r="EG81" s="1260">
        <v>0.32</v>
      </c>
      <c r="EH81" s="1260">
        <v>0.33</v>
      </c>
      <c r="EI81" s="1260">
        <v>0.33</v>
      </c>
      <c r="EJ81" s="1260">
        <v>0.34</v>
      </c>
      <c r="EK81" s="1260">
        <v>0.35</v>
      </c>
      <c r="EL81" s="1260">
        <v>0.36</v>
      </c>
    </row>
    <row r="82" spans="2:142" ht="15" customHeight="1">
      <c r="B82" s="1255">
        <v>6</v>
      </c>
      <c r="C82" s="1256">
        <v>0</v>
      </c>
      <c r="D82" s="1256">
        <v>0</v>
      </c>
      <c r="E82" s="1256">
        <v>707.4</v>
      </c>
      <c r="F82" s="1256">
        <v>684.05</v>
      </c>
      <c r="G82" s="1256">
        <v>661.6</v>
      </c>
      <c r="H82" s="1256">
        <v>640.04999999999995</v>
      </c>
      <c r="I82" s="1256">
        <v>619</v>
      </c>
      <c r="J82" s="1256">
        <v>598.75</v>
      </c>
      <c r="K82" s="1256">
        <v>579.25</v>
      </c>
      <c r="L82" s="1256">
        <v>560.45000000000005</v>
      </c>
      <c r="M82" s="1256">
        <v>542.4</v>
      </c>
      <c r="N82" s="1256">
        <v>525.04999999999995</v>
      </c>
      <c r="O82" s="1256">
        <v>508.35</v>
      </c>
      <c r="P82" s="1256">
        <v>492.35</v>
      </c>
      <c r="Q82" s="1256">
        <v>477</v>
      </c>
      <c r="R82" s="1256">
        <v>462.25</v>
      </c>
      <c r="U82" s="1257">
        <v>19</v>
      </c>
      <c r="V82" s="1258">
        <v>77.95</v>
      </c>
      <c r="W82" s="1206"/>
      <c r="X82" s="1257">
        <v>19</v>
      </c>
      <c r="Y82" s="1258">
        <v>59.9</v>
      </c>
      <c r="Z82" s="1206"/>
      <c r="AB82" s="1207">
        <v>14</v>
      </c>
      <c r="AC82" s="1220">
        <v>86.05</v>
      </c>
      <c r="AD82" s="1220">
        <v>76.349999999999994</v>
      </c>
      <c r="AE82" s="1220">
        <v>68.400000000000006</v>
      </c>
      <c r="AF82" s="1220">
        <v>61.75</v>
      </c>
      <c r="AG82" s="1220">
        <v>56.1</v>
      </c>
      <c r="AH82" s="1220">
        <v>51.85</v>
      </c>
      <c r="AI82" s="1220">
        <v>47.65</v>
      </c>
      <c r="AJ82" s="1220">
        <v>43.95</v>
      </c>
      <c r="AK82" s="1220">
        <v>40.700000000000003</v>
      </c>
      <c r="AL82" s="1220">
        <v>37.85</v>
      </c>
      <c r="AM82" s="1220">
        <v>35.35</v>
      </c>
      <c r="AQ82" s="826">
        <v>24</v>
      </c>
      <c r="AR82" s="1258">
        <v>2.12</v>
      </c>
      <c r="AS82" s="826">
        <v>24</v>
      </c>
      <c r="AT82" s="1258">
        <v>2.25</v>
      </c>
      <c r="AY82" s="1207">
        <v>24</v>
      </c>
      <c r="AZ82" s="1207">
        <v>1.95</v>
      </c>
      <c r="BA82" s="1207">
        <v>1.92</v>
      </c>
      <c r="BB82" s="1207">
        <v>1.9</v>
      </c>
      <c r="BC82" s="1207">
        <v>1.89</v>
      </c>
      <c r="BD82" s="1207">
        <v>1.89</v>
      </c>
      <c r="BE82" s="1207">
        <v>1.93</v>
      </c>
      <c r="BF82" s="1207">
        <v>1.94</v>
      </c>
      <c r="BG82" s="1207">
        <v>1.96</v>
      </c>
      <c r="BH82" s="1207">
        <v>1.98</v>
      </c>
      <c r="BI82" s="1207">
        <v>2.0099999999999998</v>
      </c>
      <c r="BJ82" s="1207">
        <v>2.0499999999999998</v>
      </c>
      <c r="BK82" s="1207">
        <v>2.09</v>
      </c>
      <c r="BL82" s="1207">
        <v>2.14</v>
      </c>
      <c r="BN82" s="1207">
        <v>24</v>
      </c>
      <c r="BO82" s="828">
        <v>1.45</v>
      </c>
      <c r="BP82" s="828">
        <v>1.5</v>
      </c>
      <c r="BQ82" s="828">
        <v>1.6</v>
      </c>
      <c r="BR82" s="828">
        <v>1.65</v>
      </c>
      <c r="BS82" s="828">
        <v>1.7</v>
      </c>
      <c r="BT82" s="828">
        <v>1.85</v>
      </c>
      <c r="BU82" s="828">
        <v>1.9</v>
      </c>
      <c r="BV82" s="828">
        <v>1.95</v>
      </c>
      <c r="BW82" s="828">
        <v>2.0499999999999998</v>
      </c>
      <c r="BX82" s="828">
        <v>2.1</v>
      </c>
      <c r="BY82" s="828">
        <v>2.2000000000000002</v>
      </c>
      <c r="BZ82" s="828">
        <v>2.25</v>
      </c>
      <c r="CA82" s="828">
        <v>2.35</v>
      </c>
      <c r="CB82" s="828">
        <v>2.4</v>
      </c>
      <c r="CC82" s="828">
        <v>2.4500000000000002</v>
      </c>
      <c r="CD82" s="828">
        <v>2.5499999999999998</v>
      </c>
      <c r="CE82" s="828">
        <v>2.6</v>
      </c>
      <c r="CF82" s="828">
        <v>2.7</v>
      </c>
      <c r="CG82" s="828">
        <v>2.8</v>
      </c>
      <c r="CH82" s="828">
        <v>2.85</v>
      </c>
      <c r="CI82" s="828">
        <v>2.95</v>
      </c>
      <c r="CJ82" s="1206"/>
      <c r="CQ82" s="1237">
        <v>12</v>
      </c>
      <c r="CR82" s="1260">
        <v>0.15</v>
      </c>
      <c r="CS82" s="1260">
        <v>0.15</v>
      </c>
      <c r="CT82" s="1260">
        <v>0.15</v>
      </c>
      <c r="CU82" s="1260">
        <v>0.15</v>
      </c>
      <c r="CV82" s="1260">
        <v>0.2</v>
      </c>
      <c r="CW82" s="1260">
        <v>0.2</v>
      </c>
      <c r="CX82" s="1260">
        <v>0.2</v>
      </c>
      <c r="CY82" s="1260">
        <v>0.2</v>
      </c>
      <c r="CZ82" s="1260">
        <v>0.2</v>
      </c>
      <c r="DA82" s="1260">
        <v>0.2</v>
      </c>
      <c r="DB82" s="1260">
        <v>0.2</v>
      </c>
      <c r="DC82" s="1260">
        <v>0.2</v>
      </c>
      <c r="DD82" s="1260">
        <v>0.2</v>
      </c>
      <c r="DE82" s="1260">
        <v>0.2</v>
      </c>
      <c r="DF82" s="1260">
        <v>0.25</v>
      </c>
      <c r="DG82" s="1260">
        <v>0.25</v>
      </c>
      <c r="DH82" s="1260">
        <v>0.25</v>
      </c>
      <c r="DI82" s="1260">
        <v>0.25</v>
      </c>
      <c r="DJ82" s="1260">
        <v>0.25</v>
      </c>
      <c r="DK82" s="1260">
        <v>0.25</v>
      </c>
      <c r="DL82" s="1260">
        <v>0.25</v>
      </c>
      <c r="DM82" s="1260">
        <v>0.25</v>
      </c>
      <c r="DN82" s="1260">
        <v>0.25</v>
      </c>
      <c r="DO82" s="1260">
        <v>0.25</v>
      </c>
      <c r="DP82" s="1222"/>
      <c r="DQ82" s="1237">
        <v>22</v>
      </c>
      <c r="DR82" s="1260">
        <v>0.31</v>
      </c>
      <c r="DS82" s="1260">
        <v>0.31</v>
      </c>
      <c r="DT82" s="1260">
        <v>0.31</v>
      </c>
      <c r="DU82" s="1260">
        <v>0.31</v>
      </c>
      <c r="DV82" s="1260">
        <v>0.31</v>
      </c>
      <c r="DW82" s="1260">
        <v>0.31</v>
      </c>
      <c r="DX82" s="1260">
        <v>0.31</v>
      </c>
      <c r="DY82" s="1260">
        <v>0.31</v>
      </c>
      <c r="DZ82" s="1260">
        <v>0.31</v>
      </c>
      <c r="EA82" s="1260">
        <v>0.31</v>
      </c>
      <c r="EB82" s="1260">
        <v>0.31</v>
      </c>
      <c r="EC82" s="1260">
        <v>0.31</v>
      </c>
      <c r="ED82" s="1260">
        <v>0.32</v>
      </c>
      <c r="EE82" s="1260">
        <v>0.32</v>
      </c>
      <c r="EF82" s="1260">
        <v>0.33</v>
      </c>
      <c r="EG82" s="1260">
        <v>0.34</v>
      </c>
      <c r="EH82" s="1260">
        <v>0.34</v>
      </c>
      <c r="EI82" s="1260">
        <v>0.35</v>
      </c>
      <c r="EJ82" s="1260">
        <v>0.36</v>
      </c>
      <c r="EK82" s="1260">
        <v>0.37</v>
      </c>
      <c r="EL82" s="1260">
        <v>0.38</v>
      </c>
    </row>
    <row r="83" spans="2:142" ht="15" customHeight="1">
      <c r="B83" s="1255">
        <v>7</v>
      </c>
      <c r="C83" s="1256">
        <v>0</v>
      </c>
      <c r="D83" s="1256">
        <v>731.75</v>
      </c>
      <c r="E83" s="1256">
        <v>707.6</v>
      </c>
      <c r="F83" s="1256">
        <v>684.25</v>
      </c>
      <c r="G83" s="1256">
        <v>661.65</v>
      </c>
      <c r="H83" s="1256">
        <v>640.04999999999995</v>
      </c>
      <c r="I83" s="1256">
        <v>619</v>
      </c>
      <c r="J83" s="1256">
        <v>598.75</v>
      </c>
      <c r="K83" s="1256">
        <v>579.25</v>
      </c>
      <c r="L83" s="1256">
        <v>560.45000000000005</v>
      </c>
      <c r="M83" s="1256">
        <v>542.4</v>
      </c>
      <c r="N83" s="1256">
        <v>525.04999999999995</v>
      </c>
      <c r="O83" s="1256">
        <v>508.35</v>
      </c>
      <c r="P83" s="1256">
        <v>492.35</v>
      </c>
      <c r="Q83" s="1256">
        <v>477</v>
      </c>
      <c r="R83" s="1256">
        <v>462.25</v>
      </c>
      <c r="U83" s="1257">
        <v>20</v>
      </c>
      <c r="V83" s="1258">
        <v>78</v>
      </c>
      <c r="W83" s="1206"/>
      <c r="X83" s="1257">
        <v>20</v>
      </c>
      <c r="Y83" s="1258">
        <v>60</v>
      </c>
      <c r="Z83" s="1206"/>
      <c r="AB83" s="1207">
        <v>15</v>
      </c>
      <c r="AC83" s="1220">
        <v>86.1</v>
      </c>
      <c r="AD83" s="1220">
        <v>76.400000000000006</v>
      </c>
      <c r="AE83" s="1220">
        <v>68.45</v>
      </c>
      <c r="AF83" s="1220">
        <v>61.75</v>
      </c>
      <c r="AG83" s="1220">
        <v>56.15</v>
      </c>
      <c r="AH83" s="1220">
        <v>51.9</v>
      </c>
      <c r="AI83" s="1220">
        <v>47.65</v>
      </c>
      <c r="AJ83" s="1220">
        <v>44</v>
      </c>
      <c r="AK83" s="1220">
        <v>40.75</v>
      </c>
      <c r="AL83" s="1220">
        <v>37.9</v>
      </c>
      <c r="AM83" s="1220">
        <v>35.4</v>
      </c>
      <c r="AQ83" s="826">
        <v>25</v>
      </c>
      <c r="AR83" s="1258">
        <v>2.21</v>
      </c>
      <c r="AS83" s="1208">
        <v>25</v>
      </c>
      <c r="AT83" s="1258">
        <v>2.37</v>
      </c>
      <c r="AY83" s="1207">
        <v>25</v>
      </c>
      <c r="AZ83" s="1207">
        <v>2</v>
      </c>
      <c r="BA83" s="1207">
        <v>1.97</v>
      </c>
      <c r="BB83" s="1207">
        <v>1.96</v>
      </c>
      <c r="BC83" s="1207">
        <v>1.95</v>
      </c>
      <c r="BD83" s="1207">
        <v>1.95</v>
      </c>
      <c r="BE83" s="1207">
        <v>1.99</v>
      </c>
      <c r="BF83" s="1207">
        <v>2.0099999999999998</v>
      </c>
      <c r="BG83" s="1207">
        <v>2.04</v>
      </c>
      <c r="BH83" s="1207">
        <v>2.0699999999999998</v>
      </c>
      <c r="BI83" s="1207">
        <v>2.1</v>
      </c>
      <c r="BJ83" s="1207">
        <v>2.15</v>
      </c>
      <c r="BK83" s="1207">
        <v>2.2000000000000002</v>
      </c>
      <c r="BL83" s="1207">
        <v>2.25</v>
      </c>
      <c r="BN83" s="1207">
        <v>25</v>
      </c>
      <c r="BO83" s="828">
        <v>1.45</v>
      </c>
      <c r="BP83" s="828">
        <v>1.5</v>
      </c>
      <c r="BQ83" s="828">
        <v>1.6</v>
      </c>
      <c r="BR83" s="828">
        <v>1.65</v>
      </c>
      <c r="BS83" s="828">
        <v>1.7</v>
      </c>
      <c r="BT83" s="828">
        <v>1.85</v>
      </c>
      <c r="BU83" s="828">
        <v>1.9</v>
      </c>
      <c r="BV83" s="828">
        <v>1.95</v>
      </c>
      <c r="BW83" s="828">
        <v>2.0499999999999998</v>
      </c>
      <c r="BX83" s="828">
        <v>2.1</v>
      </c>
      <c r="BY83" s="828">
        <v>2.2000000000000002</v>
      </c>
      <c r="BZ83" s="828">
        <v>2.25</v>
      </c>
      <c r="CA83" s="828">
        <v>2.35</v>
      </c>
      <c r="CB83" s="828">
        <v>2.4</v>
      </c>
      <c r="CC83" s="828">
        <v>2.4500000000000002</v>
      </c>
      <c r="CD83" s="828">
        <v>2.5499999999999998</v>
      </c>
      <c r="CE83" s="828">
        <v>2.6</v>
      </c>
      <c r="CF83" s="828">
        <v>2.7</v>
      </c>
      <c r="CG83" s="828">
        <v>2.8</v>
      </c>
      <c r="CH83" s="828">
        <v>2.85</v>
      </c>
      <c r="CI83" s="828">
        <v>2.95</v>
      </c>
      <c r="CJ83" s="1206"/>
      <c r="CQ83" s="1237">
        <v>13</v>
      </c>
      <c r="CR83" s="1260">
        <v>0.15</v>
      </c>
      <c r="CS83" s="1260">
        <v>0.15</v>
      </c>
      <c r="CT83" s="1260">
        <v>0.15</v>
      </c>
      <c r="CU83" s="1260">
        <v>0.2</v>
      </c>
      <c r="CV83" s="1260">
        <v>0.2</v>
      </c>
      <c r="CW83" s="1260">
        <v>0.2</v>
      </c>
      <c r="CX83" s="1260">
        <v>0.2</v>
      </c>
      <c r="CY83" s="1260">
        <v>0.2</v>
      </c>
      <c r="CZ83" s="1260">
        <v>0.2</v>
      </c>
      <c r="DA83" s="1260">
        <v>0.2</v>
      </c>
      <c r="DB83" s="1260">
        <v>0.2</v>
      </c>
      <c r="DC83" s="1260">
        <v>0.2</v>
      </c>
      <c r="DD83" s="1260">
        <v>0.25</v>
      </c>
      <c r="DE83" s="1260">
        <v>0.25</v>
      </c>
      <c r="DF83" s="1260">
        <v>0.25</v>
      </c>
      <c r="DG83" s="1260">
        <v>0.25</v>
      </c>
      <c r="DH83" s="1260">
        <v>0.25</v>
      </c>
      <c r="DI83" s="1260">
        <v>0.25</v>
      </c>
      <c r="DJ83" s="1260">
        <v>0.25</v>
      </c>
      <c r="DK83" s="1260">
        <v>0.25</v>
      </c>
      <c r="DL83" s="1260">
        <v>0.25</v>
      </c>
      <c r="DM83" s="1260">
        <v>0.25</v>
      </c>
      <c r="DN83" s="1260">
        <v>0.3</v>
      </c>
      <c r="DO83" s="1260">
        <v>0.3</v>
      </c>
      <c r="DP83" s="1222"/>
      <c r="DQ83" s="1237">
        <v>23</v>
      </c>
      <c r="DR83" s="1260">
        <v>0.32</v>
      </c>
      <c r="DS83" s="1260">
        <v>0.32</v>
      </c>
      <c r="DT83" s="1260">
        <v>0.32</v>
      </c>
      <c r="DU83" s="1260">
        <v>0.32</v>
      </c>
      <c r="DV83" s="1260">
        <v>0.32</v>
      </c>
      <c r="DW83" s="1260">
        <v>0.32</v>
      </c>
      <c r="DX83" s="1260">
        <v>0.32</v>
      </c>
      <c r="DY83" s="1260">
        <v>0.32</v>
      </c>
      <c r="DZ83" s="1260">
        <v>0.32</v>
      </c>
      <c r="EA83" s="1260">
        <v>0.32</v>
      </c>
      <c r="EB83" s="1260">
        <v>0.32</v>
      </c>
      <c r="EC83" s="1260">
        <v>0.32</v>
      </c>
      <c r="ED83" s="1260">
        <v>0.33</v>
      </c>
      <c r="EE83" s="1260">
        <v>0.34</v>
      </c>
      <c r="EF83" s="1260">
        <v>0.34</v>
      </c>
      <c r="EG83" s="1260">
        <v>0.35</v>
      </c>
      <c r="EH83" s="1260">
        <v>0.36</v>
      </c>
      <c r="EI83" s="1260">
        <v>0.37</v>
      </c>
      <c r="EJ83" s="1260">
        <v>0.37</v>
      </c>
      <c r="EK83" s="1260">
        <v>0.38</v>
      </c>
      <c r="EL83" s="1260">
        <v>0.4</v>
      </c>
    </row>
    <row r="84" spans="2:142" ht="15" customHeight="1">
      <c r="B84" s="1255">
        <v>8</v>
      </c>
      <c r="C84" s="1256">
        <v>756.9</v>
      </c>
      <c r="D84" s="1256">
        <v>731.95</v>
      </c>
      <c r="E84" s="1256">
        <v>707.8</v>
      </c>
      <c r="F84" s="1256">
        <v>684.5</v>
      </c>
      <c r="G84" s="1256">
        <v>661.95</v>
      </c>
      <c r="H84" s="1256">
        <v>640.15</v>
      </c>
      <c r="I84" s="1256">
        <v>619.20000000000005</v>
      </c>
      <c r="J84" s="1256">
        <v>598.95000000000005</v>
      </c>
      <c r="K84" s="1256">
        <v>579.5</v>
      </c>
      <c r="L84" s="1256">
        <v>560.75</v>
      </c>
      <c r="M84" s="1256">
        <v>542.70000000000005</v>
      </c>
      <c r="N84" s="1256">
        <v>525.4</v>
      </c>
      <c r="O84" s="1256">
        <v>508.75</v>
      </c>
      <c r="P84" s="1256">
        <v>492.8</v>
      </c>
      <c r="Q84" s="1256">
        <v>477.45</v>
      </c>
      <c r="R84" s="1256">
        <v>462.75</v>
      </c>
      <c r="U84" s="1257">
        <v>21</v>
      </c>
      <c r="V84" s="1258">
        <v>78.05</v>
      </c>
      <c r="W84" s="1206"/>
      <c r="X84" s="1257">
        <v>21</v>
      </c>
      <c r="Y84" s="1258">
        <v>60.05</v>
      </c>
      <c r="Z84" s="1206"/>
      <c r="AB84" s="1207">
        <v>16</v>
      </c>
      <c r="AC84" s="1220">
        <v>86.15</v>
      </c>
      <c r="AD84" s="1220">
        <v>76.45</v>
      </c>
      <c r="AE84" s="1220">
        <v>68.5</v>
      </c>
      <c r="AF84" s="1220">
        <v>61.8</v>
      </c>
      <c r="AG84" s="1220">
        <v>56.15</v>
      </c>
      <c r="AH84" s="1220">
        <v>51.949999999999996</v>
      </c>
      <c r="AI84" s="1220">
        <v>47.7</v>
      </c>
      <c r="AJ84" s="1220">
        <v>44</v>
      </c>
      <c r="AK84" s="1220">
        <v>40.799999999999997</v>
      </c>
      <c r="AL84" s="1220">
        <v>37.950000000000003</v>
      </c>
      <c r="AM84" s="1220">
        <v>35.450000000000003</v>
      </c>
      <c r="AQ84" s="826">
        <v>26</v>
      </c>
      <c r="AR84" s="1258">
        <v>2.31</v>
      </c>
      <c r="AS84" s="826">
        <v>26</v>
      </c>
      <c r="AT84" s="1258">
        <v>2.52</v>
      </c>
      <c r="AY84" s="1207">
        <v>26</v>
      </c>
      <c r="AZ84" s="1207">
        <v>2.0499999999999998</v>
      </c>
      <c r="BA84" s="1207">
        <v>2.0299999999999998</v>
      </c>
      <c r="BB84" s="1207">
        <v>2.02</v>
      </c>
      <c r="BC84" s="1207">
        <v>2.02</v>
      </c>
      <c r="BD84" s="1207">
        <v>2.0299999999999998</v>
      </c>
      <c r="BE84" s="1207">
        <v>2.0699999999999998</v>
      </c>
      <c r="BF84" s="1207">
        <v>2.1</v>
      </c>
      <c r="BG84" s="1207">
        <v>2.13</v>
      </c>
      <c r="BH84" s="1207">
        <v>2.17</v>
      </c>
      <c r="BI84" s="1207">
        <v>2.21</v>
      </c>
      <c r="BJ84" s="1207">
        <v>2.2599999999999998</v>
      </c>
      <c r="BK84" s="1207">
        <v>2.3199999999999998</v>
      </c>
      <c r="BL84" s="1207">
        <v>2.39</v>
      </c>
      <c r="BN84" s="1207">
        <v>26</v>
      </c>
      <c r="BO84" s="828">
        <v>1.45</v>
      </c>
      <c r="BP84" s="828">
        <v>1.55</v>
      </c>
      <c r="BQ84" s="828">
        <v>1.6</v>
      </c>
      <c r="BR84" s="828">
        <v>1.7</v>
      </c>
      <c r="BS84" s="828">
        <v>1.75</v>
      </c>
      <c r="BT84" s="828">
        <v>1.9</v>
      </c>
      <c r="BU84" s="828">
        <v>2</v>
      </c>
      <c r="BV84" s="828">
        <v>2.0499999999999998</v>
      </c>
      <c r="BW84" s="828">
        <v>2.15</v>
      </c>
      <c r="BX84" s="828">
        <v>2.25</v>
      </c>
      <c r="BY84" s="828">
        <v>2.35</v>
      </c>
      <c r="BZ84" s="828">
        <v>2.4500000000000002</v>
      </c>
      <c r="CA84" s="828">
        <v>2.5499999999999998</v>
      </c>
      <c r="CB84" s="828">
        <v>2.65</v>
      </c>
      <c r="CC84" s="828">
        <v>2.74</v>
      </c>
      <c r="CD84" s="828">
        <v>2.9</v>
      </c>
      <c r="CE84" s="828">
        <v>3</v>
      </c>
      <c r="CF84" s="828">
        <v>3.1</v>
      </c>
      <c r="CG84" s="828">
        <v>3.25</v>
      </c>
      <c r="CH84" s="828">
        <v>3.4</v>
      </c>
      <c r="CI84" s="828">
        <v>3.5</v>
      </c>
      <c r="CJ84" s="1206"/>
      <c r="CQ84" s="1237">
        <v>14</v>
      </c>
      <c r="CR84" s="1260">
        <v>0.15</v>
      </c>
      <c r="CS84" s="1260">
        <v>0.2</v>
      </c>
      <c r="CT84" s="1260">
        <v>0.2</v>
      </c>
      <c r="CU84" s="1260">
        <v>0.2</v>
      </c>
      <c r="CV84" s="1260">
        <v>0.2</v>
      </c>
      <c r="CW84" s="1260">
        <v>0.2</v>
      </c>
      <c r="CX84" s="1260">
        <v>0.2</v>
      </c>
      <c r="CY84" s="1260">
        <v>0.2</v>
      </c>
      <c r="CZ84" s="1260">
        <v>0.2</v>
      </c>
      <c r="DA84" s="1260">
        <v>0.2</v>
      </c>
      <c r="DB84" s="1260">
        <v>0.25</v>
      </c>
      <c r="DC84" s="1260">
        <v>0.25</v>
      </c>
      <c r="DD84" s="1260">
        <v>0.25</v>
      </c>
      <c r="DE84" s="1260">
        <v>0.25</v>
      </c>
      <c r="DF84" s="1260">
        <v>0.25</v>
      </c>
      <c r="DG84" s="1260">
        <v>0.25</v>
      </c>
      <c r="DH84" s="1260">
        <v>0.25</v>
      </c>
      <c r="DI84" s="1260">
        <v>0.25</v>
      </c>
      <c r="DJ84" s="1260">
        <v>0.25</v>
      </c>
      <c r="DK84" s="1260">
        <v>0.3</v>
      </c>
      <c r="DL84" s="1260">
        <v>0.3</v>
      </c>
      <c r="DM84" s="1260">
        <v>0.3</v>
      </c>
      <c r="DN84" s="1260">
        <v>0.3</v>
      </c>
      <c r="DO84" s="1260">
        <v>0.3</v>
      </c>
      <c r="DP84" s="1222"/>
      <c r="DQ84" s="1237">
        <v>24</v>
      </c>
      <c r="DR84" s="1260">
        <v>0.32</v>
      </c>
      <c r="DS84" s="1260">
        <v>0.32</v>
      </c>
      <c r="DT84" s="1260">
        <v>0.32</v>
      </c>
      <c r="DU84" s="1260">
        <v>0.32</v>
      </c>
      <c r="DV84" s="1260">
        <v>0.32</v>
      </c>
      <c r="DW84" s="1260">
        <v>0.32</v>
      </c>
      <c r="DX84" s="1260">
        <v>0.32</v>
      </c>
      <c r="DY84" s="1260">
        <v>0.32</v>
      </c>
      <c r="DZ84" s="1260">
        <v>0.32</v>
      </c>
      <c r="EA84" s="1260">
        <v>0.32</v>
      </c>
      <c r="EB84" s="1260">
        <v>0.33</v>
      </c>
      <c r="EC84" s="1260">
        <v>0.33</v>
      </c>
      <c r="ED84" s="1260">
        <v>0.34</v>
      </c>
      <c r="EE84" s="1260">
        <v>0.35</v>
      </c>
      <c r="EF84" s="1260">
        <v>0.35</v>
      </c>
      <c r="EG84" s="1260">
        <v>0.36</v>
      </c>
      <c r="EH84" s="1260">
        <v>0.37</v>
      </c>
      <c r="EI84" s="1260">
        <v>0.38</v>
      </c>
      <c r="EJ84" s="1260">
        <v>0.39</v>
      </c>
      <c r="EK84" s="1260">
        <v>0.41</v>
      </c>
      <c r="EL84" s="1260">
        <v>0.42</v>
      </c>
    </row>
    <row r="85" spans="2:142" ht="15" customHeight="1">
      <c r="B85" s="1255">
        <v>9</v>
      </c>
      <c r="C85" s="1256">
        <v>756.9</v>
      </c>
      <c r="D85" s="1256">
        <v>731.95</v>
      </c>
      <c r="E85" s="1256">
        <v>707.8</v>
      </c>
      <c r="F85" s="1256">
        <v>684.5</v>
      </c>
      <c r="G85" s="1256">
        <v>661.95</v>
      </c>
      <c r="H85" s="1256">
        <v>640.20000000000005</v>
      </c>
      <c r="I85" s="1256">
        <v>619.20000000000005</v>
      </c>
      <c r="J85" s="1256">
        <v>599</v>
      </c>
      <c r="K85" s="1256">
        <v>579.54999999999995</v>
      </c>
      <c r="L85" s="1256">
        <v>560.79999999999995</v>
      </c>
      <c r="M85" s="1256">
        <v>542.79999999999995</v>
      </c>
      <c r="N85" s="1256">
        <v>525.45000000000005</v>
      </c>
      <c r="O85" s="1256">
        <v>508.85</v>
      </c>
      <c r="P85" s="1256">
        <v>492.9</v>
      </c>
      <c r="Q85" s="1256">
        <v>477.55</v>
      </c>
      <c r="R85" s="1256">
        <v>462.9</v>
      </c>
      <c r="U85" s="1257">
        <v>22</v>
      </c>
      <c r="V85" s="1258">
        <v>78.099999999999994</v>
      </c>
      <c r="W85" s="1206"/>
      <c r="X85" s="1257">
        <v>22</v>
      </c>
      <c r="Y85" s="1258">
        <v>60.15</v>
      </c>
      <c r="Z85" s="1206"/>
      <c r="AB85" s="1207">
        <v>17</v>
      </c>
      <c r="AC85" s="1220">
        <v>86.2</v>
      </c>
      <c r="AD85" s="1220">
        <v>76.5</v>
      </c>
      <c r="AE85" s="1220">
        <v>68.5</v>
      </c>
      <c r="AF85" s="1220">
        <v>61.85</v>
      </c>
      <c r="AG85" s="1220">
        <v>56.2</v>
      </c>
      <c r="AH85" s="1220">
        <v>51.999999999999993</v>
      </c>
      <c r="AI85" s="1220">
        <v>47.75</v>
      </c>
      <c r="AJ85" s="1220">
        <v>44.05</v>
      </c>
      <c r="AK85" s="1220">
        <v>40.85</v>
      </c>
      <c r="AL85" s="1220">
        <v>38</v>
      </c>
      <c r="AM85" s="1220">
        <v>35.450000000000003</v>
      </c>
      <c r="AQ85" s="826">
        <v>27</v>
      </c>
      <c r="AR85" s="1258">
        <v>2.4300000000000002</v>
      </c>
      <c r="AS85" s="1208">
        <v>27</v>
      </c>
      <c r="AT85" s="1258">
        <v>2.68</v>
      </c>
      <c r="AY85" s="1207">
        <v>27</v>
      </c>
      <c r="AZ85" s="1207">
        <v>2.12</v>
      </c>
      <c r="BA85" s="1207">
        <v>2.1</v>
      </c>
      <c r="BB85" s="1207">
        <v>2.09</v>
      </c>
      <c r="BC85" s="1207">
        <v>2.1</v>
      </c>
      <c r="BD85" s="1207">
        <v>2.11</v>
      </c>
      <c r="BE85" s="1207">
        <v>2.17</v>
      </c>
      <c r="BF85" s="1207">
        <v>2.2000000000000002</v>
      </c>
      <c r="BG85" s="1207">
        <v>2.2400000000000002</v>
      </c>
      <c r="BH85" s="1207">
        <v>2.29</v>
      </c>
      <c r="BI85" s="1207">
        <v>2.34</v>
      </c>
      <c r="BJ85" s="1207">
        <v>2.4</v>
      </c>
      <c r="BK85" s="1207">
        <v>2.4700000000000002</v>
      </c>
      <c r="BL85" s="1207">
        <v>2.54</v>
      </c>
      <c r="BN85" s="1207">
        <v>27</v>
      </c>
      <c r="BO85" s="828">
        <v>1.45</v>
      </c>
      <c r="BP85" s="828">
        <v>1.55</v>
      </c>
      <c r="BQ85" s="828">
        <v>1.6</v>
      </c>
      <c r="BR85" s="828">
        <v>1.7</v>
      </c>
      <c r="BS85" s="828">
        <v>1.75</v>
      </c>
      <c r="BT85" s="828">
        <v>1.9</v>
      </c>
      <c r="BU85" s="828">
        <v>2</v>
      </c>
      <c r="BV85" s="828">
        <v>2.0499999999999998</v>
      </c>
      <c r="BW85" s="828">
        <v>2.15</v>
      </c>
      <c r="BX85" s="828">
        <v>2.25</v>
      </c>
      <c r="BY85" s="828">
        <v>2.35</v>
      </c>
      <c r="BZ85" s="828">
        <v>2.4500000000000002</v>
      </c>
      <c r="CA85" s="828">
        <v>2.5499999999999998</v>
      </c>
      <c r="CB85" s="828">
        <v>2.65</v>
      </c>
      <c r="CC85" s="828">
        <v>2.74</v>
      </c>
      <c r="CD85" s="828">
        <v>2.9</v>
      </c>
      <c r="CE85" s="828">
        <v>3</v>
      </c>
      <c r="CF85" s="828">
        <v>3.1</v>
      </c>
      <c r="CG85" s="828">
        <v>3.25</v>
      </c>
      <c r="CH85" s="828">
        <v>3.4</v>
      </c>
      <c r="CI85" s="828">
        <v>3.5</v>
      </c>
      <c r="CJ85" s="1206"/>
      <c r="CQ85" s="1237">
        <v>15</v>
      </c>
      <c r="CR85" s="1260">
        <v>0.2</v>
      </c>
      <c r="CS85" s="1260">
        <v>0.2</v>
      </c>
      <c r="CT85" s="1260">
        <v>0.2</v>
      </c>
      <c r="CU85" s="1260">
        <v>0.2</v>
      </c>
      <c r="CV85" s="1260">
        <v>0.2</v>
      </c>
      <c r="CW85" s="1260">
        <v>0.2</v>
      </c>
      <c r="CX85" s="1260">
        <v>0.2</v>
      </c>
      <c r="CY85" s="1260">
        <v>0.2</v>
      </c>
      <c r="CZ85" s="1260">
        <v>0.25</v>
      </c>
      <c r="DA85" s="1260">
        <v>0.25</v>
      </c>
      <c r="DB85" s="1260">
        <v>0.25</v>
      </c>
      <c r="DC85" s="1260">
        <v>0.25</v>
      </c>
      <c r="DD85" s="1260">
        <v>0.25</v>
      </c>
      <c r="DE85" s="1260">
        <v>0.25</v>
      </c>
      <c r="DF85" s="1260">
        <v>0.25</v>
      </c>
      <c r="DG85" s="1260">
        <v>0.25</v>
      </c>
      <c r="DH85" s="1260">
        <v>0.25</v>
      </c>
      <c r="DI85" s="1260">
        <v>0.3</v>
      </c>
      <c r="DJ85" s="1260">
        <v>0.3</v>
      </c>
      <c r="DK85" s="1260">
        <v>0.3</v>
      </c>
      <c r="DL85" s="1260">
        <v>0.3</v>
      </c>
      <c r="DM85" s="1260">
        <v>0.3</v>
      </c>
      <c r="DN85" s="1260">
        <v>0.3</v>
      </c>
      <c r="DO85" s="1260">
        <v>0.3</v>
      </c>
      <c r="DP85" s="1222"/>
      <c r="DQ85" s="1237">
        <v>25</v>
      </c>
      <c r="DR85" s="1260">
        <v>0.32</v>
      </c>
      <c r="DS85" s="1260">
        <v>0.32</v>
      </c>
      <c r="DT85" s="1260">
        <v>0.32</v>
      </c>
      <c r="DU85" s="1260">
        <v>0.32</v>
      </c>
      <c r="DV85" s="1260">
        <v>0.32</v>
      </c>
      <c r="DW85" s="1260">
        <v>0.32</v>
      </c>
      <c r="DX85" s="1260">
        <v>0.32</v>
      </c>
      <c r="DY85" s="1260">
        <v>0.32</v>
      </c>
      <c r="DZ85" s="1260">
        <v>0.32</v>
      </c>
      <c r="EA85" s="1260">
        <v>0.33</v>
      </c>
      <c r="EB85" s="1260">
        <v>0.34</v>
      </c>
      <c r="EC85" s="1260">
        <v>0.35</v>
      </c>
      <c r="ED85" s="1260">
        <v>0.35</v>
      </c>
      <c r="EE85" s="1260">
        <v>0.36</v>
      </c>
      <c r="EF85" s="1260">
        <v>0.37</v>
      </c>
      <c r="EG85" s="1260">
        <v>0.38</v>
      </c>
      <c r="EH85" s="1260">
        <v>0.39</v>
      </c>
      <c r="EI85" s="1260">
        <v>0.4</v>
      </c>
      <c r="EJ85" s="1260">
        <v>0.42</v>
      </c>
      <c r="EK85" s="1260">
        <v>0.43</v>
      </c>
      <c r="EL85" s="1260">
        <v>0.44</v>
      </c>
    </row>
    <row r="86" spans="2:142" ht="15" customHeight="1">
      <c r="B86" s="1255">
        <v>10</v>
      </c>
      <c r="C86" s="1256">
        <v>756.9</v>
      </c>
      <c r="D86" s="1256">
        <v>732</v>
      </c>
      <c r="E86" s="1256">
        <v>707.85</v>
      </c>
      <c r="F86" s="1256">
        <v>684.55</v>
      </c>
      <c r="G86" s="1256">
        <v>662</v>
      </c>
      <c r="H86" s="1256">
        <v>640.29999999999995</v>
      </c>
      <c r="I86" s="1256">
        <v>619.29999999999995</v>
      </c>
      <c r="J86" s="1256">
        <v>599.1</v>
      </c>
      <c r="K86" s="1256">
        <v>579.65</v>
      </c>
      <c r="L86" s="1256">
        <v>560.95000000000005</v>
      </c>
      <c r="M86" s="1256">
        <v>542.95000000000005</v>
      </c>
      <c r="N86" s="1256">
        <v>525.65</v>
      </c>
      <c r="O86" s="1256">
        <v>509</v>
      </c>
      <c r="P86" s="1256">
        <v>493.05</v>
      </c>
      <c r="Q86" s="1256">
        <v>477.75</v>
      </c>
      <c r="R86" s="1256">
        <v>463.1</v>
      </c>
      <c r="U86" s="1257">
        <v>23</v>
      </c>
      <c r="V86" s="1258">
        <v>78.2</v>
      </c>
      <c r="W86" s="1206"/>
      <c r="X86" s="1257">
        <v>23</v>
      </c>
      <c r="Y86" s="1258">
        <v>60.25</v>
      </c>
      <c r="Z86" s="1206"/>
      <c r="AB86" s="1207">
        <v>18</v>
      </c>
      <c r="AC86" s="1220">
        <v>86.2</v>
      </c>
      <c r="AD86" s="1220">
        <v>76.5</v>
      </c>
      <c r="AE86" s="1220">
        <v>68.55</v>
      </c>
      <c r="AF86" s="1220">
        <v>61.85</v>
      </c>
      <c r="AG86" s="1220">
        <v>56.25</v>
      </c>
      <c r="AH86" s="1220">
        <v>52</v>
      </c>
      <c r="AI86" s="1220">
        <v>47.75</v>
      </c>
      <c r="AJ86" s="1220">
        <v>44.1</v>
      </c>
      <c r="AK86" s="1220">
        <v>40.85</v>
      </c>
      <c r="AL86" s="1220">
        <v>38</v>
      </c>
      <c r="AM86" s="1220">
        <v>35.5</v>
      </c>
      <c r="AQ86" s="826">
        <v>28</v>
      </c>
      <c r="AR86" s="1258">
        <v>2.57</v>
      </c>
      <c r="AS86" s="826">
        <v>28</v>
      </c>
      <c r="AT86" s="1258">
        <v>2.86</v>
      </c>
      <c r="AY86" s="1207">
        <v>28</v>
      </c>
      <c r="AZ86" s="1207">
        <v>2.19</v>
      </c>
      <c r="BA86" s="1207">
        <v>2.1800000000000002</v>
      </c>
      <c r="BB86" s="1207">
        <v>2.1800000000000002</v>
      </c>
      <c r="BC86" s="1207">
        <v>2.19</v>
      </c>
      <c r="BD86" s="1207">
        <v>2.2200000000000002</v>
      </c>
      <c r="BE86" s="1207">
        <v>2.2799999999999998</v>
      </c>
      <c r="BF86" s="1207">
        <v>2.3199999999999998</v>
      </c>
      <c r="BG86" s="1207">
        <v>2.37</v>
      </c>
      <c r="BH86" s="1207">
        <v>2.42</v>
      </c>
      <c r="BI86" s="1207">
        <v>2.4900000000000002</v>
      </c>
      <c r="BJ86" s="1207">
        <v>2.56</v>
      </c>
      <c r="BK86" s="1207">
        <v>2.63</v>
      </c>
      <c r="BL86" s="1207">
        <v>2.71</v>
      </c>
      <c r="BN86" s="1207">
        <v>28</v>
      </c>
      <c r="BO86" s="828">
        <v>1.45</v>
      </c>
      <c r="BP86" s="828">
        <v>1.55</v>
      </c>
      <c r="BQ86" s="828">
        <v>1.6</v>
      </c>
      <c r="BR86" s="828">
        <v>1.7</v>
      </c>
      <c r="BS86" s="828">
        <v>1.75</v>
      </c>
      <c r="BT86" s="828">
        <v>1.9</v>
      </c>
      <c r="BU86" s="828">
        <v>2</v>
      </c>
      <c r="BV86" s="828">
        <v>2.0499999999999998</v>
      </c>
      <c r="BW86" s="828">
        <v>2.15</v>
      </c>
      <c r="BX86" s="828">
        <v>2.25</v>
      </c>
      <c r="BY86" s="828">
        <v>2.35</v>
      </c>
      <c r="BZ86" s="828">
        <v>2.4500000000000002</v>
      </c>
      <c r="CA86" s="828">
        <v>2.5499999999999998</v>
      </c>
      <c r="CB86" s="828">
        <v>2.65</v>
      </c>
      <c r="CC86" s="828">
        <v>2.74</v>
      </c>
      <c r="CD86" s="828">
        <v>2.9</v>
      </c>
      <c r="CE86" s="828">
        <v>3</v>
      </c>
      <c r="CF86" s="828">
        <v>3.1</v>
      </c>
      <c r="CG86" s="828">
        <v>3.25</v>
      </c>
      <c r="CH86" s="828">
        <v>3.4</v>
      </c>
      <c r="CI86" s="828">
        <v>3.5</v>
      </c>
      <c r="CJ86" s="1206"/>
      <c r="CQ86" s="1237">
        <v>16</v>
      </c>
      <c r="CR86" s="1260">
        <v>0.2</v>
      </c>
      <c r="CS86" s="1260">
        <v>0.2</v>
      </c>
      <c r="CT86" s="1260">
        <v>0.2</v>
      </c>
      <c r="CU86" s="1260">
        <v>0.2</v>
      </c>
      <c r="CV86" s="1260">
        <v>0.2</v>
      </c>
      <c r="CW86" s="1260">
        <v>0.2</v>
      </c>
      <c r="CX86" s="1260">
        <v>0.25</v>
      </c>
      <c r="CY86" s="1260">
        <v>0.25</v>
      </c>
      <c r="CZ86" s="1260">
        <v>0.25</v>
      </c>
      <c r="DA86" s="1260">
        <v>0.25</v>
      </c>
      <c r="DB86" s="1260">
        <v>0.25</v>
      </c>
      <c r="DC86" s="1260">
        <v>0.25</v>
      </c>
      <c r="DD86" s="1260">
        <v>0.25</v>
      </c>
      <c r="DE86" s="1260">
        <v>0.25</v>
      </c>
      <c r="DF86" s="1260">
        <v>0.25</v>
      </c>
      <c r="DG86" s="1260">
        <v>0.25</v>
      </c>
      <c r="DH86" s="1260">
        <v>0.3</v>
      </c>
      <c r="DI86" s="1260">
        <v>0.3</v>
      </c>
      <c r="DJ86" s="1260">
        <v>0.3</v>
      </c>
      <c r="DK86" s="1260">
        <v>0.3</v>
      </c>
      <c r="DL86" s="1260">
        <v>0.3</v>
      </c>
      <c r="DM86" s="1260">
        <v>0.3</v>
      </c>
      <c r="DN86" s="1260">
        <v>0.3</v>
      </c>
      <c r="DO86" s="1260">
        <v>0.35</v>
      </c>
      <c r="DP86" s="1222"/>
      <c r="DQ86" s="1237">
        <v>26</v>
      </c>
      <c r="DR86" s="1260">
        <v>0.33</v>
      </c>
      <c r="DS86" s="1260">
        <v>0.33</v>
      </c>
      <c r="DT86" s="1260">
        <v>0.33</v>
      </c>
      <c r="DU86" s="1260">
        <v>0.33</v>
      </c>
      <c r="DV86" s="1260">
        <v>0.33</v>
      </c>
      <c r="DW86" s="1260">
        <v>0.33</v>
      </c>
      <c r="DX86" s="1260">
        <v>0.33</v>
      </c>
      <c r="DY86" s="1260">
        <v>0.33</v>
      </c>
      <c r="DZ86" s="1260">
        <v>0.33</v>
      </c>
      <c r="EA86" s="1260">
        <v>0.34</v>
      </c>
      <c r="EB86" s="1260">
        <v>0.35</v>
      </c>
      <c r="EC86" s="1260">
        <v>0.36</v>
      </c>
      <c r="ED86" s="1260">
        <v>0.37</v>
      </c>
      <c r="EE86" s="1260">
        <v>0.38</v>
      </c>
      <c r="EF86" s="1260">
        <v>0.39</v>
      </c>
      <c r="EG86" s="1260">
        <v>0.4</v>
      </c>
      <c r="EH86" s="1260">
        <v>0.41</v>
      </c>
      <c r="EI86" s="1260">
        <v>0.43</v>
      </c>
      <c r="EJ86" s="1260">
        <v>0.44</v>
      </c>
      <c r="EK86" s="1260">
        <v>0.46</v>
      </c>
      <c r="EL86" s="1260">
        <v>0.47</v>
      </c>
    </row>
    <row r="87" spans="2:142" ht="15" customHeight="1">
      <c r="B87" s="1255">
        <v>11</v>
      </c>
      <c r="C87" s="1256">
        <v>756.95</v>
      </c>
      <c r="D87" s="1256">
        <v>732.05</v>
      </c>
      <c r="E87" s="1256">
        <v>707.95</v>
      </c>
      <c r="F87" s="1256">
        <v>684.65</v>
      </c>
      <c r="G87" s="1256">
        <v>662.15</v>
      </c>
      <c r="H87" s="1256">
        <v>640.4</v>
      </c>
      <c r="I87" s="1256">
        <v>619.45000000000005</v>
      </c>
      <c r="J87" s="1256">
        <v>599.25</v>
      </c>
      <c r="K87" s="1256">
        <v>579.79999999999995</v>
      </c>
      <c r="L87" s="1256">
        <v>561.1</v>
      </c>
      <c r="M87" s="1256">
        <v>543.15</v>
      </c>
      <c r="N87" s="1256">
        <v>525.85</v>
      </c>
      <c r="O87" s="1256">
        <v>509.25</v>
      </c>
      <c r="P87" s="1256">
        <v>493.3</v>
      </c>
      <c r="Q87" s="1256">
        <v>478</v>
      </c>
      <c r="R87" s="1256">
        <v>463.35</v>
      </c>
      <c r="U87" s="1257">
        <v>24</v>
      </c>
      <c r="V87" s="1258">
        <v>78.25</v>
      </c>
      <c r="W87" s="1206"/>
      <c r="X87" s="1257">
        <v>24</v>
      </c>
      <c r="Y87" s="1258">
        <v>60.35</v>
      </c>
      <c r="Z87" s="1206"/>
      <c r="AB87" s="1207">
        <v>19</v>
      </c>
      <c r="AC87" s="1220">
        <v>86.25</v>
      </c>
      <c r="AD87" s="1220">
        <v>76.55</v>
      </c>
      <c r="AE87" s="1220">
        <v>68.55</v>
      </c>
      <c r="AF87" s="1220">
        <v>61.9</v>
      </c>
      <c r="AG87" s="1220">
        <v>56.25</v>
      </c>
      <c r="AH87" s="1220">
        <v>52.05</v>
      </c>
      <c r="AI87" s="1220">
        <v>47.8</v>
      </c>
      <c r="AJ87" s="1220">
        <v>44.1</v>
      </c>
      <c r="AK87" s="1220">
        <v>40.9</v>
      </c>
      <c r="AL87" s="1220">
        <v>38.049999999999997</v>
      </c>
      <c r="AM87" s="1220">
        <v>35.5</v>
      </c>
      <c r="AQ87" s="826">
        <v>29</v>
      </c>
      <c r="AR87" s="1258">
        <v>2.73</v>
      </c>
      <c r="AS87" s="1208">
        <v>29</v>
      </c>
      <c r="AT87" s="1258">
        <v>3.07</v>
      </c>
      <c r="AY87" s="1207">
        <v>29</v>
      </c>
      <c r="AZ87" s="1207">
        <v>2.29</v>
      </c>
      <c r="BA87" s="1207">
        <v>2.2799999999999998</v>
      </c>
      <c r="BB87" s="1207">
        <v>2.29</v>
      </c>
      <c r="BC87" s="1207">
        <v>2.2999999999999998</v>
      </c>
      <c r="BD87" s="1207">
        <v>2.33</v>
      </c>
      <c r="BE87" s="1207">
        <v>2.41</v>
      </c>
      <c r="BF87" s="1207">
        <v>2.46</v>
      </c>
      <c r="BG87" s="1207">
        <v>2.52</v>
      </c>
      <c r="BH87" s="1207">
        <v>2.58</v>
      </c>
      <c r="BI87" s="1207">
        <v>2.65</v>
      </c>
      <c r="BJ87" s="1207">
        <v>2.73</v>
      </c>
      <c r="BK87" s="1207">
        <v>2.82</v>
      </c>
      <c r="BL87" s="1207">
        <v>2.91</v>
      </c>
      <c r="BN87" s="1207">
        <v>29</v>
      </c>
      <c r="BO87" s="828">
        <v>1.45</v>
      </c>
      <c r="BP87" s="828">
        <v>1.55</v>
      </c>
      <c r="BQ87" s="828">
        <v>1.6</v>
      </c>
      <c r="BR87" s="828">
        <v>1.7</v>
      </c>
      <c r="BS87" s="828">
        <v>1.75</v>
      </c>
      <c r="BT87" s="828">
        <v>1.9</v>
      </c>
      <c r="BU87" s="828">
        <v>2</v>
      </c>
      <c r="BV87" s="828">
        <v>2.0499999999999998</v>
      </c>
      <c r="BW87" s="828">
        <v>2.15</v>
      </c>
      <c r="BX87" s="828">
        <v>2.25</v>
      </c>
      <c r="BY87" s="828">
        <v>2.35</v>
      </c>
      <c r="BZ87" s="828">
        <v>2.4500000000000002</v>
      </c>
      <c r="CA87" s="828">
        <v>2.5499999999999998</v>
      </c>
      <c r="CB87" s="828">
        <v>2.65</v>
      </c>
      <c r="CC87" s="828">
        <v>2.74</v>
      </c>
      <c r="CD87" s="828">
        <v>2.9</v>
      </c>
      <c r="CE87" s="828">
        <v>3</v>
      </c>
      <c r="CF87" s="828">
        <v>3.1</v>
      </c>
      <c r="CG87" s="828">
        <v>3.25</v>
      </c>
      <c r="CH87" s="828">
        <v>3.4</v>
      </c>
      <c r="CI87" s="828">
        <v>3.5</v>
      </c>
      <c r="CJ87" s="1206"/>
      <c r="CQ87" s="1237">
        <v>17</v>
      </c>
      <c r="CR87" s="1260">
        <v>0.2</v>
      </c>
      <c r="CS87" s="1260">
        <v>0.2</v>
      </c>
      <c r="CT87" s="1260">
        <v>0.2</v>
      </c>
      <c r="CU87" s="1260">
        <v>0.2</v>
      </c>
      <c r="CV87" s="1260">
        <v>0.25</v>
      </c>
      <c r="CW87" s="1260">
        <v>0.25</v>
      </c>
      <c r="CX87" s="1260">
        <v>0.25</v>
      </c>
      <c r="CY87" s="1260">
        <v>0.25</v>
      </c>
      <c r="CZ87" s="1260">
        <v>0.25</v>
      </c>
      <c r="DA87" s="1260">
        <v>0.25</v>
      </c>
      <c r="DB87" s="1260">
        <v>0.25</v>
      </c>
      <c r="DC87" s="1260">
        <v>0.25</v>
      </c>
      <c r="DD87" s="1260">
        <v>0.25</v>
      </c>
      <c r="DE87" s="1260">
        <v>0.25</v>
      </c>
      <c r="DF87" s="1260">
        <v>0.3</v>
      </c>
      <c r="DG87" s="1260">
        <v>0.3</v>
      </c>
      <c r="DH87" s="1260">
        <v>0.3</v>
      </c>
      <c r="DI87" s="1260">
        <v>0.3</v>
      </c>
      <c r="DJ87" s="1260">
        <v>0.3</v>
      </c>
      <c r="DK87" s="1260">
        <v>0.3</v>
      </c>
      <c r="DL87" s="1260">
        <v>0.3</v>
      </c>
      <c r="DM87" s="1260">
        <v>0.35</v>
      </c>
      <c r="DN87" s="1260">
        <v>0.35</v>
      </c>
      <c r="DO87" s="1260">
        <v>0.35</v>
      </c>
      <c r="DP87" s="1222"/>
      <c r="DQ87" s="1237">
        <v>27</v>
      </c>
      <c r="DR87" s="1260">
        <v>0.33</v>
      </c>
      <c r="DS87" s="1260">
        <v>0.33</v>
      </c>
      <c r="DT87" s="1260">
        <v>0.33</v>
      </c>
      <c r="DU87" s="1260">
        <v>0.33</v>
      </c>
      <c r="DV87" s="1260">
        <v>0.33</v>
      </c>
      <c r="DW87" s="1260">
        <v>0.33</v>
      </c>
      <c r="DX87" s="1260">
        <v>0.33</v>
      </c>
      <c r="DY87" s="1260">
        <v>0.34</v>
      </c>
      <c r="DZ87" s="1260">
        <v>0.34</v>
      </c>
      <c r="EA87" s="1260">
        <v>0.35</v>
      </c>
      <c r="EB87" s="1260">
        <v>0.37</v>
      </c>
      <c r="EC87" s="1260">
        <v>0.38</v>
      </c>
      <c r="ED87" s="1260">
        <v>0.39</v>
      </c>
      <c r="EE87" s="1260">
        <v>0.4</v>
      </c>
      <c r="EF87" s="1260">
        <v>0.41</v>
      </c>
      <c r="EG87" s="1260">
        <v>0.42</v>
      </c>
      <c r="EH87" s="1260">
        <v>0.44</v>
      </c>
      <c r="EI87" s="1260">
        <v>0.46</v>
      </c>
      <c r="EJ87" s="1260">
        <v>0.47</v>
      </c>
      <c r="EK87" s="1260">
        <v>0.49</v>
      </c>
      <c r="EL87" s="1260">
        <v>0.51</v>
      </c>
    </row>
    <row r="88" spans="2:142" ht="15" customHeight="1">
      <c r="B88" s="1255">
        <v>12</v>
      </c>
      <c r="C88" s="1256">
        <v>757.05</v>
      </c>
      <c r="D88" s="1256">
        <v>732.15</v>
      </c>
      <c r="E88" s="1256">
        <v>708.05</v>
      </c>
      <c r="F88" s="1256">
        <v>684.75</v>
      </c>
      <c r="G88" s="1256">
        <v>662.25</v>
      </c>
      <c r="H88" s="1256">
        <v>640.54999999999995</v>
      </c>
      <c r="I88" s="1256">
        <v>619.6</v>
      </c>
      <c r="J88" s="1256">
        <v>599.45000000000005</v>
      </c>
      <c r="K88" s="1256">
        <v>580</v>
      </c>
      <c r="L88" s="1256">
        <v>561.35</v>
      </c>
      <c r="M88" s="1256">
        <v>543.35</v>
      </c>
      <c r="N88" s="1256">
        <v>526.1</v>
      </c>
      <c r="O88" s="1256">
        <v>509.5</v>
      </c>
      <c r="P88" s="1256">
        <v>493.55</v>
      </c>
      <c r="Q88" s="1256">
        <v>478.3</v>
      </c>
      <c r="R88" s="1258">
        <v>463.65</v>
      </c>
      <c r="U88" s="1257">
        <v>25</v>
      </c>
      <c r="V88" s="1258">
        <v>78.349999999999994</v>
      </c>
      <c r="W88" s="1206"/>
      <c r="X88" s="1257">
        <v>25</v>
      </c>
      <c r="Y88" s="1258">
        <v>60.5</v>
      </c>
      <c r="Z88" s="1206"/>
      <c r="AB88" s="1207">
        <v>20</v>
      </c>
      <c r="AC88" s="1220">
        <v>86.25</v>
      </c>
      <c r="AD88" s="1220">
        <v>76.55</v>
      </c>
      <c r="AE88" s="1220">
        <v>68.599999999999994</v>
      </c>
      <c r="AF88" s="1220">
        <v>61.9</v>
      </c>
      <c r="AG88" s="1220">
        <v>56.25</v>
      </c>
      <c r="AH88" s="1220">
        <v>52.05</v>
      </c>
      <c r="AI88" s="1220">
        <v>47.8</v>
      </c>
      <c r="AJ88" s="1220">
        <v>44.15</v>
      </c>
      <c r="AK88" s="1220">
        <v>40.9</v>
      </c>
      <c r="AL88" s="1220">
        <v>38.049999999999997</v>
      </c>
      <c r="AM88" s="1220">
        <v>35.549999999999997</v>
      </c>
      <c r="AQ88" s="826">
        <v>30</v>
      </c>
      <c r="AR88" s="1258">
        <v>2.92</v>
      </c>
      <c r="AS88" s="826">
        <v>30</v>
      </c>
      <c r="AT88" s="1258">
        <v>3.3</v>
      </c>
      <c r="AY88" s="1207">
        <v>30</v>
      </c>
      <c r="AZ88" s="1207">
        <v>2.4</v>
      </c>
      <c r="BA88" s="1207">
        <v>2.39</v>
      </c>
      <c r="BB88" s="1207">
        <v>2.41</v>
      </c>
      <c r="BC88" s="1207">
        <v>2.44</v>
      </c>
      <c r="BD88" s="1207">
        <v>2.4700000000000002</v>
      </c>
      <c r="BE88" s="1207">
        <v>2.56</v>
      </c>
      <c r="BF88" s="1207">
        <v>2.62</v>
      </c>
      <c r="BG88" s="1207">
        <v>2.69</v>
      </c>
      <c r="BH88" s="1207">
        <v>2.76</v>
      </c>
      <c r="BI88" s="1207">
        <v>2.85</v>
      </c>
      <c r="BJ88" s="1207">
        <v>2.94</v>
      </c>
      <c r="BK88" s="1207">
        <v>3.03</v>
      </c>
      <c r="BL88" s="1207">
        <v>3.13</v>
      </c>
      <c r="BN88" s="1207">
        <v>30</v>
      </c>
      <c r="BO88" s="828">
        <v>1.45</v>
      </c>
      <c r="BP88" s="828">
        <v>1.55</v>
      </c>
      <c r="BQ88" s="828">
        <v>1.6</v>
      </c>
      <c r="BR88" s="828">
        <v>1.7</v>
      </c>
      <c r="BS88" s="828">
        <v>1.75</v>
      </c>
      <c r="BT88" s="828">
        <v>1.9</v>
      </c>
      <c r="BU88" s="828">
        <v>2</v>
      </c>
      <c r="BV88" s="828">
        <v>2.0499999999999998</v>
      </c>
      <c r="BW88" s="828">
        <v>2.15</v>
      </c>
      <c r="BX88" s="828">
        <v>2.25</v>
      </c>
      <c r="BY88" s="828">
        <v>2.35</v>
      </c>
      <c r="BZ88" s="828">
        <v>2.4500000000000002</v>
      </c>
      <c r="CA88" s="828">
        <v>2.5499999999999998</v>
      </c>
      <c r="CB88" s="828">
        <v>2.65</v>
      </c>
      <c r="CC88" s="828">
        <v>2.74</v>
      </c>
      <c r="CD88" s="828">
        <v>2.9</v>
      </c>
      <c r="CE88" s="828">
        <v>3</v>
      </c>
      <c r="CF88" s="828">
        <v>3.1</v>
      </c>
      <c r="CG88" s="828">
        <v>3.25</v>
      </c>
      <c r="CH88" s="828">
        <v>3.4</v>
      </c>
      <c r="CI88" s="828">
        <v>3.5</v>
      </c>
      <c r="CJ88" s="1206"/>
      <c r="CQ88" s="1237">
        <v>18</v>
      </c>
      <c r="CR88" s="1260">
        <v>0.2</v>
      </c>
      <c r="CS88" s="1260">
        <v>0.2</v>
      </c>
      <c r="CT88" s="1260">
        <v>0.2</v>
      </c>
      <c r="CU88" s="1260">
        <v>0.25</v>
      </c>
      <c r="CV88" s="1260">
        <v>0.25</v>
      </c>
      <c r="CW88" s="1260">
        <v>0.25</v>
      </c>
      <c r="CX88" s="1260">
        <v>0.25</v>
      </c>
      <c r="CY88" s="1260">
        <v>0.25</v>
      </c>
      <c r="CZ88" s="1260">
        <v>0.25</v>
      </c>
      <c r="DA88" s="1260">
        <v>0.25</v>
      </c>
      <c r="DB88" s="1260">
        <v>0.25</v>
      </c>
      <c r="DC88" s="1260">
        <v>0.25</v>
      </c>
      <c r="DD88" s="1260">
        <v>0.25</v>
      </c>
      <c r="DE88" s="1260">
        <v>0.3</v>
      </c>
      <c r="DF88" s="1260">
        <v>0.3</v>
      </c>
      <c r="DG88" s="1260">
        <v>0.3</v>
      </c>
      <c r="DH88" s="1260">
        <v>0.3</v>
      </c>
      <c r="DI88" s="1260">
        <v>0.3</v>
      </c>
      <c r="DJ88" s="1260">
        <v>0.3</v>
      </c>
      <c r="DK88" s="1260">
        <v>0.3</v>
      </c>
      <c r="DL88" s="1260">
        <v>0.35</v>
      </c>
      <c r="DM88" s="1260">
        <v>0.35</v>
      </c>
      <c r="DN88" s="1260">
        <v>0.35</v>
      </c>
      <c r="DO88" s="1260">
        <v>0.35</v>
      </c>
      <c r="DP88" s="1222"/>
      <c r="DQ88" s="1237">
        <v>28</v>
      </c>
      <c r="DR88" s="1260">
        <v>0.34</v>
      </c>
      <c r="DS88" s="1260">
        <v>0.34</v>
      </c>
      <c r="DT88" s="1260">
        <v>0.34</v>
      </c>
      <c r="DU88" s="1260">
        <v>0.34</v>
      </c>
      <c r="DV88" s="1260">
        <v>0.34</v>
      </c>
      <c r="DW88" s="1260">
        <v>0.34</v>
      </c>
      <c r="DX88" s="1260">
        <v>0.34</v>
      </c>
      <c r="DY88" s="1260">
        <v>0.35</v>
      </c>
      <c r="DZ88" s="1260">
        <v>0.36</v>
      </c>
      <c r="EA88" s="1260">
        <v>0.37</v>
      </c>
      <c r="EB88" s="1260">
        <v>0.39</v>
      </c>
      <c r="EC88" s="1260">
        <v>0.4</v>
      </c>
      <c r="ED88" s="1260">
        <v>0.41</v>
      </c>
      <c r="EE88" s="1260">
        <v>0.42</v>
      </c>
      <c r="EF88" s="1260">
        <v>0.44</v>
      </c>
      <c r="EG88" s="1260">
        <v>0.45</v>
      </c>
      <c r="EH88" s="1260">
        <v>0.47</v>
      </c>
      <c r="EI88" s="1260">
        <v>0.49</v>
      </c>
      <c r="EJ88" s="1260">
        <v>0.51</v>
      </c>
      <c r="EK88" s="1260">
        <v>0.53</v>
      </c>
      <c r="EL88" s="1260">
        <v>0.55000000000000004</v>
      </c>
    </row>
    <row r="89" spans="2:142" ht="15" customHeight="1">
      <c r="B89" s="1255">
        <v>13</v>
      </c>
      <c r="C89" s="1256">
        <v>757.15</v>
      </c>
      <c r="D89" s="1256">
        <v>732.25</v>
      </c>
      <c r="E89" s="1256">
        <v>708.2</v>
      </c>
      <c r="F89" s="1256">
        <v>684.9</v>
      </c>
      <c r="G89" s="1256">
        <v>662.4</v>
      </c>
      <c r="H89" s="1256">
        <v>640.70000000000005</v>
      </c>
      <c r="I89" s="1256">
        <v>619.79999999999995</v>
      </c>
      <c r="J89" s="1256">
        <v>599.65</v>
      </c>
      <c r="K89" s="1256">
        <v>580.25</v>
      </c>
      <c r="L89" s="1256">
        <v>561.54999999999995</v>
      </c>
      <c r="M89" s="1256">
        <v>543.6</v>
      </c>
      <c r="N89" s="1256">
        <v>526.35</v>
      </c>
      <c r="O89" s="1256">
        <v>509.75</v>
      </c>
      <c r="P89" s="1256">
        <v>493.85</v>
      </c>
      <c r="Q89" s="1258">
        <v>478.6</v>
      </c>
      <c r="R89" s="1258">
        <v>463.95</v>
      </c>
      <c r="U89" s="1257">
        <v>26</v>
      </c>
      <c r="V89" s="1258">
        <v>78.45</v>
      </c>
      <c r="W89" s="1206"/>
      <c r="X89" s="1257">
        <v>26</v>
      </c>
      <c r="Y89" s="1258">
        <v>60.65</v>
      </c>
      <c r="Z89" s="1206"/>
      <c r="AB89" s="1207">
        <v>21</v>
      </c>
      <c r="AC89" s="1220">
        <v>86.25</v>
      </c>
      <c r="AD89" s="1220">
        <v>76.55</v>
      </c>
      <c r="AE89" s="1220">
        <v>68.599999999999994</v>
      </c>
      <c r="AF89" s="1220">
        <v>61.95</v>
      </c>
      <c r="AG89" s="1220">
        <v>56.3</v>
      </c>
      <c r="AH89" s="1220">
        <v>52.05</v>
      </c>
      <c r="AI89" s="1220">
        <v>47.85</v>
      </c>
      <c r="AJ89" s="1220">
        <v>44.15</v>
      </c>
      <c r="AK89" s="1220">
        <v>40.9</v>
      </c>
      <c r="AL89" s="1220">
        <v>38.1</v>
      </c>
      <c r="AM89" s="1220">
        <v>35.549999999999997</v>
      </c>
      <c r="AQ89" s="826">
        <v>31</v>
      </c>
      <c r="AR89" s="1258">
        <v>3.13</v>
      </c>
      <c r="AS89" s="1208">
        <v>31</v>
      </c>
      <c r="AT89" s="1258">
        <v>3.55</v>
      </c>
      <c r="AY89" s="1207">
        <v>31</v>
      </c>
      <c r="AZ89" s="1207">
        <v>2.52</v>
      </c>
      <c r="BA89" s="1207">
        <v>2.5299999999999998</v>
      </c>
      <c r="BB89" s="1207">
        <v>2.5499999999999998</v>
      </c>
      <c r="BC89" s="1207">
        <v>2.59</v>
      </c>
      <c r="BD89" s="1207">
        <v>2.64</v>
      </c>
      <c r="BE89" s="1207">
        <v>2.74</v>
      </c>
      <c r="BF89" s="1207">
        <v>2.81</v>
      </c>
      <c r="BG89" s="1207">
        <v>2.89</v>
      </c>
      <c r="BH89" s="1207">
        <v>2.97</v>
      </c>
      <c r="BI89" s="1207">
        <v>3.07</v>
      </c>
      <c r="BJ89" s="1207">
        <v>3.16</v>
      </c>
      <c r="BK89" s="1207">
        <v>3.27</v>
      </c>
      <c r="BL89" s="1207">
        <v>3.37</v>
      </c>
      <c r="BN89" s="1207">
        <v>31</v>
      </c>
      <c r="BO89" s="828">
        <v>1.55</v>
      </c>
      <c r="BP89" s="828">
        <v>1.65</v>
      </c>
      <c r="BQ89" s="828">
        <v>1.75</v>
      </c>
      <c r="BR89" s="828">
        <v>1.85</v>
      </c>
      <c r="BS89" s="828">
        <v>1.95</v>
      </c>
      <c r="BT89" s="828">
        <v>2.15</v>
      </c>
      <c r="BU89" s="828">
        <v>2.2999999999999998</v>
      </c>
      <c r="BV89" s="828">
        <v>2.4</v>
      </c>
      <c r="BW89" s="828">
        <v>2.5499999999999998</v>
      </c>
      <c r="BX89" s="828">
        <v>2.65</v>
      </c>
      <c r="BY89" s="828">
        <v>2.85</v>
      </c>
      <c r="BZ89" s="828">
        <v>3</v>
      </c>
      <c r="CA89" s="828">
        <v>3.15</v>
      </c>
      <c r="CB89" s="828">
        <v>3.35</v>
      </c>
      <c r="CC89" s="828">
        <v>3.5</v>
      </c>
      <c r="CD89" s="828">
        <v>3.7</v>
      </c>
      <c r="CE89" s="828">
        <v>3.85</v>
      </c>
      <c r="CF89" s="828">
        <v>4.05</v>
      </c>
      <c r="CG89" s="828">
        <v>4.25</v>
      </c>
      <c r="CH89" s="828">
        <v>4.5</v>
      </c>
      <c r="CI89" s="828">
        <v>4.7</v>
      </c>
      <c r="CJ89" s="1206"/>
      <c r="CQ89" s="1237">
        <v>19</v>
      </c>
      <c r="CR89" s="1260">
        <v>0.2</v>
      </c>
      <c r="CS89" s="1260">
        <v>0.2</v>
      </c>
      <c r="CT89" s="1260">
        <v>0.2</v>
      </c>
      <c r="CU89" s="1260">
        <v>0.25</v>
      </c>
      <c r="CV89" s="1260">
        <v>0.25</v>
      </c>
      <c r="CW89" s="1260">
        <v>0.25</v>
      </c>
      <c r="CX89" s="1260">
        <v>0.25</v>
      </c>
      <c r="CY89" s="1260">
        <v>0.25</v>
      </c>
      <c r="CZ89" s="1260">
        <v>0.25</v>
      </c>
      <c r="DA89" s="1260">
        <v>0.25</v>
      </c>
      <c r="DB89" s="1260">
        <v>0.25</v>
      </c>
      <c r="DC89" s="1260">
        <v>0.3</v>
      </c>
      <c r="DD89" s="1260">
        <v>0.3</v>
      </c>
      <c r="DE89" s="1260">
        <v>0.3</v>
      </c>
      <c r="DF89" s="1260">
        <v>0.3</v>
      </c>
      <c r="DG89" s="1260">
        <v>0.3</v>
      </c>
      <c r="DH89" s="1260">
        <v>0.3</v>
      </c>
      <c r="DI89" s="1260">
        <v>0.3</v>
      </c>
      <c r="DJ89" s="1260">
        <v>0.35</v>
      </c>
      <c r="DK89" s="1260">
        <v>0.35</v>
      </c>
      <c r="DL89" s="1260">
        <v>0.35</v>
      </c>
      <c r="DM89" s="1260">
        <v>0.35</v>
      </c>
      <c r="DN89" s="1260">
        <v>0.35</v>
      </c>
      <c r="DO89" s="1260">
        <v>0.4</v>
      </c>
      <c r="DP89" s="1222"/>
      <c r="DQ89" s="1237">
        <v>29</v>
      </c>
      <c r="DR89" s="1260">
        <v>0.34</v>
      </c>
      <c r="DS89" s="1260">
        <v>0.34</v>
      </c>
      <c r="DT89" s="1260">
        <v>0.34</v>
      </c>
      <c r="DU89" s="1260">
        <v>0.34</v>
      </c>
      <c r="DV89" s="1260">
        <v>0.34</v>
      </c>
      <c r="DW89" s="1260">
        <v>0.35</v>
      </c>
      <c r="DX89" s="1260">
        <v>0.36</v>
      </c>
      <c r="DY89" s="1260">
        <v>0.37</v>
      </c>
      <c r="DZ89" s="1260">
        <v>0.38</v>
      </c>
      <c r="EA89" s="1260">
        <v>0.39</v>
      </c>
      <c r="EB89" s="1260">
        <v>0.41</v>
      </c>
      <c r="EC89" s="1260">
        <v>0.42</v>
      </c>
      <c r="ED89" s="1260">
        <v>0.44</v>
      </c>
      <c r="EE89" s="1260">
        <v>0.45</v>
      </c>
      <c r="EF89" s="1260">
        <v>0.47</v>
      </c>
      <c r="EG89" s="1260">
        <v>0.48</v>
      </c>
      <c r="EH89" s="1260">
        <v>0.5</v>
      </c>
      <c r="EI89" s="1260">
        <v>0.52</v>
      </c>
      <c r="EJ89" s="1260">
        <v>0.55000000000000004</v>
      </c>
      <c r="EK89" s="1260">
        <v>0.56999999999999995</v>
      </c>
      <c r="EL89" s="1260">
        <v>0.59</v>
      </c>
    </row>
    <row r="90" spans="2:142" ht="15" customHeight="1">
      <c r="B90" s="1255">
        <v>14</v>
      </c>
      <c r="C90" s="1256">
        <v>757.25</v>
      </c>
      <c r="D90" s="1256">
        <v>732.35</v>
      </c>
      <c r="E90" s="1256">
        <v>708.3</v>
      </c>
      <c r="F90" s="1256">
        <v>685.05</v>
      </c>
      <c r="G90" s="1256">
        <v>662.55</v>
      </c>
      <c r="H90" s="1256">
        <v>640.9</v>
      </c>
      <c r="I90" s="1256">
        <v>619.95000000000005</v>
      </c>
      <c r="J90" s="1256">
        <v>599.85</v>
      </c>
      <c r="K90" s="1256">
        <v>580.45000000000005</v>
      </c>
      <c r="L90" s="1256">
        <v>561.75</v>
      </c>
      <c r="M90" s="1256">
        <v>543.79999999999995</v>
      </c>
      <c r="N90" s="1256">
        <v>526.54999999999995</v>
      </c>
      <c r="O90" s="1256">
        <v>510</v>
      </c>
      <c r="P90" s="1258">
        <v>494.1</v>
      </c>
      <c r="Q90" s="1258">
        <v>478.9</v>
      </c>
      <c r="R90" s="1258">
        <v>464.3</v>
      </c>
      <c r="U90" s="1257">
        <v>27</v>
      </c>
      <c r="V90" s="1258">
        <v>78.599999999999994</v>
      </c>
      <c r="W90" s="1206"/>
      <c r="X90" s="1257">
        <v>27</v>
      </c>
      <c r="Y90" s="1258">
        <v>60.8</v>
      </c>
      <c r="Z90" s="1206"/>
      <c r="AB90" s="1207">
        <v>22</v>
      </c>
      <c r="AC90" s="1220">
        <v>86.3</v>
      </c>
      <c r="AD90" s="1220">
        <v>76.599999999999994</v>
      </c>
      <c r="AE90" s="1220">
        <v>68.599999999999994</v>
      </c>
      <c r="AF90" s="1220">
        <v>61.95</v>
      </c>
      <c r="AG90" s="1220">
        <v>56.3</v>
      </c>
      <c r="AH90" s="1220">
        <v>52.1</v>
      </c>
      <c r="AI90" s="1220">
        <v>47.85</v>
      </c>
      <c r="AJ90" s="1220">
        <v>44.15</v>
      </c>
      <c r="AK90" s="1220">
        <v>40.950000000000003</v>
      </c>
      <c r="AL90" s="1220">
        <v>38.1</v>
      </c>
      <c r="AM90" s="1220">
        <v>35.6</v>
      </c>
      <c r="AQ90" s="826">
        <v>32</v>
      </c>
      <c r="AR90" s="1258">
        <v>3.38</v>
      </c>
      <c r="AS90" s="826">
        <v>32</v>
      </c>
      <c r="AT90" s="1258">
        <v>3.84</v>
      </c>
      <c r="AY90" s="1207">
        <v>32</v>
      </c>
      <c r="AZ90" s="1207">
        <v>2.67</v>
      </c>
      <c r="BA90" s="1207">
        <v>2.69</v>
      </c>
      <c r="BB90" s="1207">
        <v>2.72</v>
      </c>
      <c r="BC90" s="1207">
        <v>2.77</v>
      </c>
      <c r="BD90" s="1207">
        <v>2.83</v>
      </c>
      <c r="BE90" s="1207">
        <v>2.94</v>
      </c>
      <c r="BF90" s="1207">
        <v>3.02</v>
      </c>
      <c r="BG90" s="1207">
        <v>3.11</v>
      </c>
      <c r="BH90" s="1207">
        <v>3.21</v>
      </c>
      <c r="BI90" s="1207">
        <v>3.31</v>
      </c>
      <c r="BJ90" s="1207">
        <v>3.42</v>
      </c>
      <c r="BK90" s="1207">
        <v>3.53</v>
      </c>
      <c r="BL90" s="1207">
        <v>3.64</v>
      </c>
      <c r="BN90" s="1207">
        <v>32</v>
      </c>
      <c r="BO90" s="828">
        <v>1.55</v>
      </c>
      <c r="BP90" s="828">
        <v>1.65</v>
      </c>
      <c r="BQ90" s="828">
        <v>1.75</v>
      </c>
      <c r="BR90" s="828">
        <v>1.85</v>
      </c>
      <c r="BS90" s="828">
        <v>1.95</v>
      </c>
      <c r="BT90" s="828">
        <v>2.15</v>
      </c>
      <c r="BU90" s="828">
        <v>2.2999999999999998</v>
      </c>
      <c r="BV90" s="828">
        <v>2.4</v>
      </c>
      <c r="BW90" s="828">
        <v>2.5499999999999998</v>
      </c>
      <c r="BX90" s="828">
        <v>2.65</v>
      </c>
      <c r="BY90" s="828">
        <v>2.85</v>
      </c>
      <c r="BZ90" s="828">
        <v>3</v>
      </c>
      <c r="CA90" s="828">
        <v>3.15</v>
      </c>
      <c r="CB90" s="828">
        <v>3.35</v>
      </c>
      <c r="CC90" s="828">
        <v>3.5</v>
      </c>
      <c r="CD90" s="828">
        <v>3.7</v>
      </c>
      <c r="CE90" s="828">
        <v>3.85</v>
      </c>
      <c r="CF90" s="828">
        <v>4.05</v>
      </c>
      <c r="CG90" s="828">
        <v>4.25</v>
      </c>
      <c r="CH90" s="828">
        <v>4.5</v>
      </c>
      <c r="CI90" s="828">
        <v>4.7</v>
      </c>
      <c r="CJ90" s="1206"/>
      <c r="CQ90" s="1237">
        <v>20</v>
      </c>
      <c r="CR90" s="1260">
        <v>0.2</v>
      </c>
      <c r="CS90" s="1260">
        <v>0.2</v>
      </c>
      <c r="CT90" s="1260">
        <v>0.25</v>
      </c>
      <c r="CU90" s="1260">
        <v>0.25</v>
      </c>
      <c r="CV90" s="1260">
        <v>0.25</v>
      </c>
      <c r="CW90" s="1260">
        <v>0.25</v>
      </c>
      <c r="CX90" s="1260">
        <v>0.25</v>
      </c>
      <c r="CY90" s="1260">
        <v>0.25</v>
      </c>
      <c r="CZ90" s="1260">
        <v>0.25</v>
      </c>
      <c r="DA90" s="1260">
        <v>0.25</v>
      </c>
      <c r="DB90" s="1260">
        <v>0.3</v>
      </c>
      <c r="DC90" s="1260">
        <v>0.3</v>
      </c>
      <c r="DD90" s="1260">
        <v>0.3</v>
      </c>
      <c r="DE90" s="1260">
        <v>0.3</v>
      </c>
      <c r="DF90" s="1260">
        <v>0.3</v>
      </c>
      <c r="DG90" s="1260">
        <v>0.3</v>
      </c>
      <c r="DH90" s="1260">
        <v>0.3</v>
      </c>
      <c r="DI90" s="1260">
        <v>0.35</v>
      </c>
      <c r="DJ90" s="1260">
        <v>0.35</v>
      </c>
      <c r="DK90" s="1260">
        <v>0.35</v>
      </c>
      <c r="DL90" s="1260">
        <v>0.35</v>
      </c>
      <c r="DM90" s="1260">
        <v>0.35</v>
      </c>
      <c r="DN90" s="1260">
        <v>0.4</v>
      </c>
      <c r="DO90" s="1260">
        <v>0.4</v>
      </c>
      <c r="DP90" s="1222"/>
      <c r="DQ90" s="1237">
        <v>30</v>
      </c>
      <c r="DR90" s="1260">
        <v>0.35</v>
      </c>
      <c r="DS90" s="1260">
        <v>0.35</v>
      </c>
      <c r="DT90" s="1260">
        <v>0.35</v>
      </c>
      <c r="DU90" s="1260">
        <v>0.35</v>
      </c>
      <c r="DV90" s="1260">
        <v>0.35</v>
      </c>
      <c r="DW90" s="1260">
        <v>0.37</v>
      </c>
      <c r="DX90" s="1260">
        <v>0.38</v>
      </c>
      <c r="DY90" s="1260">
        <v>0.39</v>
      </c>
      <c r="DZ90" s="1260">
        <v>0.4</v>
      </c>
      <c r="EA90" s="1260">
        <v>0.41</v>
      </c>
      <c r="EB90" s="1260">
        <v>0.43</v>
      </c>
      <c r="EC90" s="1260">
        <v>0.45</v>
      </c>
      <c r="ED90" s="1260">
        <v>0.47</v>
      </c>
      <c r="EE90" s="1260">
        <v>0.48</v>
      </c>
      <c r="EF90" s="1260">
        <v>0.5</v>
      </c>
      <c r="EG90" s="1260">
        <v>0.52</v>
      </c>
      <c r="EH90" s="1260">
        <v>0.54</v>
      </c>
      <c r="EI90" s="1260">
        <v>0.56999999999999995</v>
      </c>
      <c r="EJ90" s="1260">
        <v>0.59</v>
      </c>
      <c r="EK90" s="1260">
        <v>0.61</v>
      </c>
      <c r="EL90" s="1260">
        <v>0.64</v>
      </c>
    </row>
    <row r="91" spans="2:142" ht="15" customHeight="1">
      <c r="B91" s="1255">
        <v>15</v>
      </c>
      <c r="C91" s="1256">
        <v>757.3</v>
      </c>
      <c r="D91" s="1256">
        <v>732.45</v>
      </c>
      <c r="E91" s="1256">
        <v>708.4</v>
      </c>
      <c r="F91" s="1256">
        <v>685.15</v>
      </c>
      <c r="G91" s="1256">
        <v>662.7</v>
      </c>
      <c r="H91" s="1256">
        <v>641.04999999999995</v>
      </c>
      <c r="I91" s="1256">
        <v>620.15</v>
      </c>
      <c r="J91" s="1256">
        <v>600</v>
      </c>
      <c r="K91" s="1256">
        <v>580.6</v>
      </c>
      <c r="L91" s="1256">
        <v>561.95000000000005</v>
      </c>
      <c r="M91" s="1256">
        <v>544.04999999999995</v>
      </c>
      <c r="N91" s="1256">
        <v>526.79999999999995</v>
      </c>
      <c r="O91" s="1258">
        <v>510.25</v>
      </c>
      <c r="P91" s="1258">
        <v>494.4</v>
      </c>
      <c r="Q91" s="1258">
        <v>479.15</v>
      </c>
      <c r="R91" s="1258">
        <v>464.6</v>
      </c>
      <c r="U91" s="1257">
        <v>28</v>
      </c>
      <c r="V91" s="1258">
        <v>78.7</v>
      </c>
      <c r="W91" s="1206"/>
      <c r="X91" s="1257">
        <v>28</v>
      </c>
      <c r="Y91" s="1258">
        <v>61</v>
      </c>
      <c r="Z91" s="1206"/>
      <c r="AB91" s="1207">
        <v>23</v>
      </c>
      <c r="AC91" s="1220">
        <v>86.3</v>
      </c>
      <c r="AD91" s="1220">
        <v>76.599999999999994</v>
      </c>
      <c r="AE91" s="1220">
        <v>68.599999999999994</v>
      </c>
      <c r="AF91" s="1220">
        <v>61.95</v>
      </c>
      <c r="AG91" s="1220">
        <v>56.3</v>
      </c>
      <c r="AH91" s="1220">
        <v>52.1</v>
      </c>
      <c r="AI91" s="1220">
        <v>47.85</v>
      </c>
      <c r="AJ91" s="1220">
        <v>44.2</v>
      </c>
      <c r="AK91" s="1220">
        <v>40.950000000000003</v>
      </c>
      <c r="AL91" s="1220">
        <v>38.1</v>
      </c>
      <c r="AM91" s="1220">
        <v>35.6</v>
      </c>
      <c r="AQ91" s="826">
        <v>33</v>
      </c>
      <c r="AR91" s="1258">
        <v>3.65</v>
      </c>
      <c r="AS91" s="1208">
        <v>33</v>
      </c>
      <c r="AT91" s="1258">
        <v>4.1500000000000004</v>
      </c>
      <c r="AY91" s="1207">
        <v>33</v>
      </c>
      <c r="AZ91" s="1207">
        <v>2.85</v>
      </c>
      <c r="BA91" s="1207">
        <v>2.87</v>
      </c>
      <c r="BB91" s="1207">
        <v>2.91</v>
      </c>
      <c r="BC91" s="1207">
        <v>2.97</v>
      </c>
      <c r="BD91" s="1207">
        <v>3.04</v>
      </c>
      <c r="BE91" s="1207">
        <v>3.17</v>
      </c>
      <c r="BF91" s="1207">
        <v>3.26</v>
      </c>
      <c r="BG91" s="1207">
        <v>3.36</v>
      </c>
      <c r="BH91" s="1207">
        <v>3.47</v>
      </c>
      <c r="BI91" s="1207">
        <v>3.58</v>
      </c>
      <c r="BJ91" s="1207">
        <v>3.7</v>
      </c>
      <c r="BK91" s="1207">
        <v>3.82</v>
      </c>
      <c r="BL91" s="1207">
        <v>3.94</v>
      </c>
      <c r="BN91" s="1207">
        <v>33</v>
      </c>
      <c r="BO91" s="828">
        <v>1.55</v>
      </c>
      <c r="BP91" s="828">
        <v>1.65</v>
      </c>
      <c r="BQ91" s="828">
        <v>1.75</v>
      </c>
      <c r="BR91" s="828">
        <v>1.85</v>
      </c>
      <c r="BS91" s="828">
        <v>1.95</v>
      </c>
      <c r="BT91" s="828">
        <v>2.15</v>
      </c>
      <c r="BU91" s="828">
        <v>2.2999999999999998</v>
      </c>
      <c r="BV91" s="828">
        <v>2.4</v>
      </c>
      <c r="BW91" s="828">
        <v>2.5499999999999998</v>
      </c>
      <c r="BX91" s="828">
        <v>2.65</v>
      </c>
      <c r="BY91" s="828">
        <v>2.85</v>
      </c>
      <c r="BZ91" s="828">
        <v>3</v>
      </c>
      <c r="CA91" s="828">
        <v>3.15</v>
      </c>
      <c r="CB91" s="828">
        <v>3.35</v>
      </c>
      <c r="CC91" s="828">
        <v>3.5</v>
      </c>
      <c r="CD91" s="828">
        <v>3.7</v>
      </c>
      <c r="CE91" s="828">
        <v>3.85</v>
      </c>
      <c r="CF91" s="828">
        <v>4.05</v>
      </c>
      <c r="CG91" s="828">
        <v>4.25</v>
      </c>
      <c r="CH91" s="828">
        <v>4.5</v>
      </c>
      <c r="CI91" s="828">
        <v>4.7</v>
      </c>
      <c r="CJ91" s="1206"/>
      <c r="CQ91" s="1237">
        <v>21</v>
      </c>
      <c r="CR91" s="1260">
        <v>0.2</v>
      </c>
      <c r="CS91" s="1260">
        <v>0.25</v>
      </c>
      <c r="CT91" s="1260">
        <v>0.25</v>
      </c>
      <c r="CU91" s="1260">
        <v>0.25</v>
      </c>
      <c r="CV91" s="1260">
        <v>0.25</v>
      </c>
      <c r="CW91" s="1260">
        <v>0.25</v>
      </c>
      <c r="CX91" s="1260">
        <v>0.25</v>
      </c>
      <c r="CY91" s="1260">
        <v>0.25</v>
      </c>
      <c r="CZ91" s="1260">
        <v>0.25</v>
      </c>
      <c r="DA91" s="1260">
        <v>0.3</v>
      </c>
      <c r="DB91" s="1260">
        <v>0.3</v>
      </c>
      <c r="DC91" s="1260">
        <v>0.3</v>
      </c>
      <c r="DD91" s="1260">
        <v>0.3</v>
      </c>
      <c r="DE91" s="1260">
        <v>0.3</v>
      </c>
      <c r="DF91" s="1260">
        <v>0.3</v>
      </c>
      <c r="DG91" s="1260">
        <v>0.3</v>
      </c>
      <c r="DH91" s="1260">
        <v>0.35</v>
      </c>
      <c r="DI91" s="1260">
        <v>0.35</v>
      </c>
      <c r="DJ91" s="1260">
        <v>0.35</v>
      </c>
      <c r="DK91" s="1260">
        <v>0.35</v>
      </c>
      <c r="DL91" s="1260">
        <v>0.35</v>
      </c>
      <c r="DM91" s="1260">
        <v>0.4</v>
      </c>
      <c r="DN91" s="1260">
        <v>0.4</v>
      </c>
      <c r="DO91" s="1260">
        <v>0.4</v>
      </c>
      <c r="DP91" s="1222"/>
      <c r="DQ91" s="1237">
        <v>31</v>
      </c>
      <c r="DR91" s="1260">
        <v>0.36</v>
      </c>
      <c r="DS91" s="1260">
        <v>0.36</v>
      </c>
      <c r="DT91" s="1260">
        <v>0.36</v>
      </c>
      <c r="DU91" s="1260">
        <v>0.36</v>
      </c>
      <c r="DV91" s="1260">
        <v>0.37</v>
      </c>
      <c r="DW91" s="1260">
        <v>0.39</v>
      </c>
      <c r="DX91" s="1260">
        <v>0.4</v>
      </c>
      <c r="DY91" s="1260">
        <v>0.41</v>
      </c>
      <c r="DZ91" s="1260">
        <v>0.42</v>
      </c>
      <c r="EA91" s="1260">
        <v>0.44</v>
      </c>
      <c r="EB91" s="1260">
        <v>0.46</v>
      </c>
      <c r="EC91" s="1260">
        <v>0.48</v>
      </c>
      <c r="ED91" s="1260">
        <v>0.5</v>
      </c>
      <c r="EE91" s="1260">
        <v>0.52</v>
      </c>
      <c r="EF91" s="1260">
        <v>0.54</v>
      </c>
      <c r="EG91" s="1260">
        <v>0.56999999999999995</v>
      </c>
      <c r="EH91" s="1260">
        <v>0.59</v>
      </c>
      <c r="EI91" s="1260">
        <v>0.61</v>
      </c>
      <c r="EJ91" s="1260">
        <v>0.64</v>
      </c>
      <c r="EK91" s="1260">
        <v>0.66</v>
      </c>
      <c r="EL91" s="1260">
        <v>0.69</v>
      </c>
    </row>
    <row r="92" spans="2:142" ht="15" customHeight="1">
      <c r="B92" s="1255">
        <v>16</v>
      </c>
      <c r="C92" s="1256">
        <v>757.4</v>
      </c>
      <c r="D92" s="1256">
        <v>732.55</v>
      </c>
      <c r="E92" s="1256">
        <v>708.5</v>
      </c>
      <c r="F92" s="1256">
        <v>685.25</v>
      </c>
      <c r="G92" s="1256">
        <v>662.85</v>
      </c>
      <c r="H92" s="1256">
        <v>641.15</v>
      </c>
      <c r="I92" s="1256">
        <v>620.29999999999995</v>
      </c>
      <c r="J92" s="1256">
        <v>600.15</v>
      </c>
      <c r="K92" s="1256">
        <v>580.79999999999995</v>
      </c>
      <c r="L92" s="1256">
        <v>562.15</v>
      </c>
      <c r="M92" s="1256">
        <v>544.25</v>
      </c>
      <c r="N92" s="1258">
        <v>527</v>
      </c>
      <c r="O92" s="1258">
        <v>510.5</v>
      </c>
      <c r="P92" s="1258">
        <v>494.65</v>
      </c>
      <c r="Q92" s="1258">
        <v>479.45</v>
      </c>
      <c r="R92" s="1258">
        <v>464.85</v>
      </c>
      <c r="U92" s="1257">
        <v>29</v>
      </c>
      <c r="V92" s="1258">
        <v>78.900000000000006</v>
      </c>
      <c r="W92" s="1206"/>
      <c r="X92" s="1257">
        <v>29</v>
      </c>
      <c r="Y92" s="1258">
        <v>61.2</v>
      </c>
      <c r="Z92" s="1206"/>
      <c r="AB92" s="1207">
        <v>24</v>
      </c>
      <c r="AC92" s="1220">
        <v>86.3</v>
      </c>
      <c r="AD92" s="1220">
        <v>76.599999999999994</v>
      </c>
      <c r="AE92" s="1220">
        <v>68.650000000000006</v>
      </c>
      <c r="AF92" s="1220">
        <v>61.95</v>
      </c>
      <c r="AG92" s="1220">
        <v>56.35</v>
      </c>
      <c r="AH92" s="1220">
        <v>52.1</v>
      </c>
      <c r="AI92" s="1220">
        <v>47.9</v>
      </c>
      <c r="AJ92" s="1220">
        <v>44.2</v>
      </c>
      <c r="AK92" s="1220">
        <v>41</v>
      </c>
      <c r="AL92" s="1220">
        <v>38.15</v>
      </c>
      <c r="AM92" s="1220">
        <v>35.65</v>
      </c>
      <c r="AQ92" s="826">
        <v>34</v>
      </c>
      <c r="AR92" s="1258">
        <v>3.96</v>
      </c>
      <c r="AS92" s="826">
        <v>34</v>
      </c>
      <c r="AT92" s="1258">
        <v>4.49</v>
      </c>
      <c r="AY92" s="1207">
        <v>34</v>
      </c>
      <c r="AZ92" s="1207">
        <v>3.05</v>
      </c>
      <c r="BA92" s="1207">
        <v>3.08</v>
      </c>
      <c r="BB92" s="1207">
        <v>3.14</v>
      </c>
      <c r="BC92" s="1207">
        <v>3.21</v>
      </c>
      <c r="BD92" s="1207">
        <v>3.29</v>
      </c>
      <c r="BE92" s="1207">
        <v>3.43</v>
      </c>
      <c r="BF92" s="1207">
        <v>3.54</v>
      </c>
      <c r="BG92" s="1207">
        <v>3.65</v>
      </c>
      <c r="BH92" s="1207">
        <v>3.76</v>
      </c>
      <c r="BI92" s="1207">
        <v>3.88</v>
      </c>
      <c r="BJ92" s="1207">
        <v>4.01</v>
      </c>
      <c r="BK92" s="1207">
        <v>4.1399999999999997</v>
      </c>
      <c r="BL92" s="1207">
        <v>4.2699999999999996</v>
      </c>
      <c r="BN92" s="1207">
        <v>34</v>
      </c>
      <c r="BO92" s="828">
        <v>1.55</v>
      </c>
      <c r="BP92" s="828">
        <v>1.65</v>
      </c>
      <c r="BQ92" s="828">
        <v>1.75</v>
      </c>
      <c r="BR92" s="828">
        <v>1.85</v>
      </c>
      <c r="BS92" s="828">
        <v>1.95</v>
      </c>
      <c r="BT92" s="828">
        <v>2.15</v>
      </c>
      <c r="BU92" s="828">
        <v>2.2999999999999998</v>
      </c>
      <c r="BV92" s="828">
        <v>2.4</v>
      </c>
      <c r="BW92" s="828">
        <v>2.5499999999999998</v>
      </c>
      <c r="BX92" s="828">
        <v>2.65</v>
      </c>
      <c r="BY92" s="828">
        <v>2.85</v>
      </c>
      <c r="BZ92" s="828">
        <v>3</v>
      </c>
      <c r="CA92" s="828">
        <v>3.15</v>
      </c>
      <c r="CB92" s="828">
        <v>3.35</v>
      </c>
      <c r="CC92" s="828">
        <v>3.5</v>
      </c>
      <c r="CD92" s="828">
        <v>3.7</v>
      </c>
      <c r="CE92" s="828">
        <v>3.85</v>
      </c>
      <c r="CF92" s="828">
        <v>4.05</v>
      </c>
      <c r="CG92" s="828">
        <v>4.25</v>
      </c>
      <c r="CH92" s="828">
        <v>4.5</v>
      </c>
      <c r="CI92" s="828">
        <v>4.7</v>
      </c>
      <c r="CJ92" s="1206"/>
      <c r="CQ92" s="1237">
        <v>22</v>
      </c>
      <c r="CR92" s="1260">
        <v>0.2</v>
      </c>
      <c r="CS92" s="1260">
        <v>0.25</v>
      </c>
      <c r="CT92" s="1260">
        <v>0.25</v>
      </c>
      <c r="CU92" s="1260">
        <v>0.25</v>
      </c>
      <c r="CV92" s="1260">
        <v>0.25</v>
      </c>
      <c r="CW92" s="1260">
        <v>0.25</v>
      </c>
      <c r="CX92" s="1260">
        <v>0.25</v>
      </c>
      <c r="CY92" s="1260">
        <v>0.25</v>
      </c>
      <c r="CZ92" s="1260">
        <v>0.3</v>
      </c>
      <c r="DA92" s="1260">
        <v>0.3</v>
      </c>
      <c r="DB92" s="1260">
        <v>0.3</v>
      </c>
      <c r="DC92" s="1260">
        <v>0.3</v>
      </c>
      <c r="DD92" s="1260">
        <v>0.3</v>
      </c>
      <c r="DE92" s="1260">
        <v>0.3</v>
      </c>
      <c r="DF92" s="1260">
        <v>0.35</v>
      </c>
      <c r="DG92" s="1260">
        <v>0.35</v>
      </c>
      <c r="DH92" s="1260">
        <v>0.35</v>
      </c>
      <c r="DI92" s="1260">
        <v>0.35</v>
      </c>
      <c r="DJ92" s="1260">
        <v>0.35</v>
      </c>
      <c r="DK92" s="1260">
        <v>0.4</v>
      </c>
      <c r="DL92" s="1260">
        <v>0.4</v>
      </c>
      <c r="DM92" s="1260">
        <v>0.4</v>
      </c>
      <c r="DN92" s="1260">
        <v>0.4</v>
      </c>
      <c r="DO92" s="1260">
        <v>0.45</v>
      </c>
      <c r="DP92" s="1222"/>
      <c r="DQ92" s="1237">
        <v>32</v>
      </c>
      <c r="DR92" s="1260">
        <v>0.37</v>
      </c>
      <c r="DS92" s="1260">
        <v>0.37</v>
      </c>
      <c r="DT92" s="1260">
        <v>0.37</v>
      </c>
      <c r="DU92" s="1260">
        <v>0.38</v>
      </c>
      <c r="DV92" s="1260">
        <v>0.39</v>
      </c>
      <c r="DW92" s="1260">
        <v>0.41</v>
      </c>
      <c r="DX92" s="1260">
        <v>0.42</v>
      </c>
      <c r="DY92" s="1260">
        <v>0.44</v>
      </c>
      <c r="DZ92" s="1260">
        <v>0.45</v>
      </c>
      <c r="EA92" s="1260">
        <v>0.47</v>
      </c>
      <c r="EB92" s="1260">
        <v>0.5</v>
      </c>
      <c r="EC92" s="1260">
        <v>0.52</v>
      </c>
      <c r="ED92" s="1260">
        <v>0.54</v>
      </c>
      <c r="EE92" s="1260">
        <v>0.56000000000000005</v>
      </c>
      <c r="EF92" s="1260">
        <v>0.59</v>
      </c>
      <c r="EG92" s="1260">
        <v>0.61</v>
      </c>
      <c r="EH92" s="1260">
        <v>0.64</v>
      </c>
      <c r="EI92" s="1260">
        <v>0.67</v>
      </c>
      <c r="EJ92" s="1260">
        <v>0.69</v>
      </c>
      <c r="EK92" s="1260">
        <v>0.72</v>
      </c>
      <c r="EL92" s="1260">
        <v>0.75</v>
      </c>
    </row>
    <row r="93" spans="2:142" ht="15" customHeight="1">
      <c r="B93" s="1255">
        <v>17</v>
      </c>
      <c r="C93" s="1256">
        <v>757.45</v>
      </c>
      <c r="D93" s="1256">
        <v>732.65</v>
      </c>
      <c r="E93" s="1256">
        <v>708.6</v>
      </c>
      <c r="F93" s="1256">
        <v>685.35</v>
      </c>
      <c r="G93" s="1256">
        <v>662.95</v>
      </c>
      <c r="H93" s="1256">
        <v>641.29999999999995</v>
      </c>
      <c r="I93" s="1256">
        <v>620.4</v>
      </c>
      <c r="J93" s="1256">
        <v>600.29999999999995</v>
      </c>
      <c r="K93" s="1256">
        <v>580.95000000000005</v>
      </c>
      <c r="L93" s="1256">
        <v>562.29999999999995</v>
      </c>
      <c r="M93" s="1258">
        <v>544.4</v>
      </c>
      <c r="N93" s="1258">
        <v>527.20000000000005</v>
      </c>
      <c r="O93" s="1258">
        <v>510.7</v>
      </c>
      <c r="P93" s="1258">
        <v>494.85</v>
      </c>
      <c r="Q93" s="1258">
        <v>479.65</v>
      </c>
      <c r="R93" s="1258">
        <v>465.1</v>
      </c>
      <c r="U93" s="1257">
        <v>30</v>
      </c>
      <c r="V93" s="1258">
        <v>79.099999999999994</v>
      </c>
      <c r="W93" s="1206"/>
      <c r="X93" s="1257">
        <v>30</v>
      </c>
      <c r="Y93" s="1258">
        <v>61.45</v>
      </c>
      <c r="Z93" s="1206"/>
      <c r="AB93" s="1207">
        <v>25</v>
      </c>
      <c r="AC93" s="1220">
        <v>86.3</v>
      </c>
      <c r="AD93" s="1220">
        <v>76.599999999999994</v>
      </c>
      <c r="AE93" s="1220">
        <v>68.650000000000006</v>
      </c>
      <c r="AF93" s="1220">
        <v>62</v>
      </c>
      <c r="AG93" s="1220">
        <v>56.35</v>
      </c>
      <c r="AH93" s="1220">
        <v>52.15</v>
      </c>
      <c r="AI93" s="1220">
        <v>47.9</v>
      </c>
      <c r="AJ93" s="1220">
        <v>44.25</v>
      </c>
      <c r="AK93" s="1220">
        <v>41</v>
      </c>
      <c r="AL93" s="1220">
        <v>38.200000000000003</v>
      </c>
      <c r="AM93" s="1220">
        <v>35.65</v>
      </c>
      <c r="AQ93" s="826">
        <v>35</v>
      </c>
      <c r="AR93" s="1258">
        <v>4.3</v>
      </c>
      <c r="AS93" s="1208">
        <v>35</v>
      </c>
      <c r="AT93" s="1258">
        <v>4.8600000000000003</v>
      </c>
      <c r="AY93" s="1207">
        <v>35</v>
      </c>
      <c r="AZ93" s="1207">
        <v>3.28</v>
      </c>
      <c r="BA93" s="1207">
        <v>3.33</v>
      </c>
      <c r="BB93" s="1207">
        <v>3.39</v>
      </c>
      <c r="BC93" s="1207">
        <v>3.47</v>
      </c>
      <c r="BD93" s="1207">
        <v>3.57</v>
      </c>
      <c r="BE93" s="1207">
        <v>3.73</v>
      </c>
      <c r="BF93" s="1207">
        <v>3.84</v>
      </c>
      <c r="BG93" s="1207">
        <v>3.96</v>
      </c>
      <c r="BH93" s="1207">
        <v>4.09</v>
      </c>
      <c r="BI93" s="1207">
        <v>4.22</v>
      </c>
      <c r="BJ93" s="1207">
        <v>4.3499999999999996</v>
      </c>
      <c r="BK93" s="1207">
        <v>4.4800000000000004</v>
      </c>
      <c r="BL93" s="1207">
        <v>4.62</v>
      </c>
      <c r="BN93" s="1207">
        <v>35</v>
      </c>
      <c r="BO93" s="828">
        <v>1.55</v>
      </c>
      <c r="BP93" s="828">
        <v>1.65</v>
      </c>
      <c r="BQ93" s="828">
        <v>1.75</v>
      </c>
      <c r="BR93" s="828">
        <v>1.85</v>
      </c>
      <c r="BS93" s="828">
        <v>1.95</v>
      </c>
      <c r="BT93" s="828">
        <v>2.15</v>
      </c>
      <c r="BU93" s="828">
        <v>2.2999999999999998</v>
      </c>
      <c r="BV93" s="828">
        <v>2.4</v>
      </c>
      <c r="BW93" s="828">
        <v>2.5499999999999998</v>
      </c>
      <c r="BX93" s="828">
        <v>2.65</v>
      </c>
      <c r="BY93" s="828">
        <v>2.85</v>
      </c>
      <c r="BZ93" s="828">
        <v>3</v>
      </c>
      <c r="CA93" s="828">
        <v>3.15</v>
      </c>
      <c r="CB93" s="828">
        <v>3.35</v>
      </c>
      <c r="CC93" s="828">
        <v>3.5</v>
      </c>
      <c r="CD93" s="828">
        <v>3.7</v>
      </c>
      <c r="CE93" s="828">
        <v>3.85</v>
      </c>
      <c r="CF93" s="828">
        <v>4.05</v>
      </c>
      <c r="CG93" s="828">
        <v>4.25</v>
      </c>
      <c r="CH93" s="828">
        <v>4.5</v>
      </c>
      <c r="CI93" s="828">
        <v>4.7</v>
      </c>
      <c r="CJ93" s="1206"/>
      <c r="CQ93" s="1237">
        <v>23</v>
      </c>
      <c r="CR93" s="1260">
        <v>0.25</v>
      </c>
      <c r="CS93" s="1260">
        <v>0.25</v>
      </c>
      <c r="CT93" s="1260">
        <v>0.25</v>
      </c>
      <c r="CU93" s="1260">
        <v>0.25</v>
      </c>
      <c r="CV93" s="1260">
        <v>0.25</v>
      </c>
      <c r="CW93" s="1260">
        <v>0.25</v>
      </c>
      <c r="CX93" s="1260">
        <v>0.25</v>
      </c>
      <c r="CY93" s="1260">
        <v>0.3</v>
      </c>
      <c r="CZ93" s="1260">
        <v>0.3</v>
      </c>
      <c r="DA93" s="1260">
        <v>0.3</v>
      </c>
      <c r="DB93" s="1260">
        <v>0.3</v>
      </c>
      <c r="DC93" s="1260">
        <v>0.3</v>
      </c>
      <c r="DD93" s="1260">
        <v>0.3</v>
      </c>
      <c r="DE93" s="1260">
        <v>0.35</v>
      </c>
      <c r="DF93" s="1260">
        <v>0.35</v>
      </c>
      <c r="DG93" s="1260">
        <v>0.35</v>
      </c>
      <c r="DH93" s="1260">
        <v>0.35</v>
      </c>
      <c r="DI93" s="1260">
        <v>0.35</v>
      </c>
      <c r="DJ93" s="1260">
        <v>0.4</v>
      </c>
      <c r="DK93" s="1260">
        <v>0.4</v>
      </c>
      <c r="DL93" s="1260">
        <v>0.4</v>
      </c>
      <c r="DM93" s="1260">
        <v>0.4</v>
      </c>
      <c r="DN93" s="1260">
        <v>0.45</v>
      </c>
      <c r="DO93" s="1260">
        <v>0.45</v>
      </c>
      <c r="DP93" s="1222"/>
      <c r="DQ93" s="1237">
        <v>33</v>
      </c>
      <c r="DR93" s="1260">
        <v>0.39</v>
      </c>
      <c r="DS93" s="1260">
        <v>0.39</v>
      </c>
      <c r="DT93" s="1260">
        <v>0.39</v>
      </c>
      <c r="DU93" s="1260">
        <v>0.4</v>
      </c>
      <c r="DV93" s="1260">
        <v>0.41</v>
      </c>
      <c r="DW93" s="1260">
        <v>0.44</v>
      </c>
      <c r="DX93" s="1260">
        <v>0.45</v>
      </c>
      <c r="DY93" s="1260">
        <v>0.47</v>
      </c>
      <c r="DZ93" s="1260">
        <v>0.49</v>
      </c>
      <c r="EA93" s="1260">
        <v>0.51</v>
      </c>
      <c r="EB93" s="1260">
        <v>0.54</v>
      </c>
      <c r="EC93" s="1260">
        <v>0.56000000000000005</v>
      </c>
      <c r="ED93" s="1260">
        <v>0.59</v>
      </c>
      <c r="EE93" s="1260">
        <v>0.61</v>
      </c>
      <c r="EF93" s="1260">
        <v>0.64</v>
      </c>
      <c r="EG93" s="1260">
        <v>0.67</v>
      </c>
      <c r="EH93" s="1260">
        <v>0.69</v>
      </c>
      <c r="EI93" s="1260">
        <v>0.72</v>
      </c>
      <c r="EJ93" s="1260">
        <v>0.75</v>
      </c>
      <c r="EK93" s="1260">
        <v>0.78</v>
      </c>
      <c r="EL93" s="1260">
        <v>0.81</v>
      </c>
    </row>
    <row r="94" spans="2:142" ht="15" customHeight="1">
      <c r="B94" s="1255">
        <v>18</v>
      </c>
      <c r="C94" s="1256">
        <v>757.5</v>
      </c>
      <c r="D94" s="1256">
        <v>732.7</v>
      </c>
      <c r="E94" s="1256">
        <v>708.65</v>
      </c>
      <c r="F94" s="1256">
        <v>685.45</v>
      </c>
      <c r="G94" s="1256">
        <v>663.05</v>
      </c>
      <c r="H94" s="1256">
        <v>641.4</v>
      </c>
      <c r="I94" s="1256">
        <v>620.5</v>
      </c>
      <c r="J94" s="1256">
        <v>600.4</v>
      </c>
      <c r="K94" s="1256">
        <v>581.04999999999995</v>
      </c>
      <c r="L94" s="1258">
        <v>562.45000000000005</v>
      </c>
      <c r="M94" s="1258">
        <v>544.54999999999995</v>
      </c>
      <c r="N94" s="1258">
        <v>527.4</v>
      </c>
      <c r="O94" s="1258">
        <v>510.9</v>
      </c>
      <c r="P94" s="1258">
        <v>495.05</v>
      </c>
      <c r="Q94" s="1258">
        <v>479.9</v>
      </c>
      <c r="R94" s="1258">
        <v>465.35</v>
      </c>
      <c r="U94" s="1257">
        <v>31</v>
      </c>
      <c r="V94" s="1258">
        <v>79.3</v>
      </c>
      <c r="W94" s="1206"/>
      <c r="X94" s="1257">
        <v>31</v>
      </c>
      <c r="Y94" s="1258">
        <v>61.75</v>
      </c>
      <c r="Z94" s="1206"/>
      <c r="AB94" s="1207">
        <v>26</v>
      </c>
      <c r="AC94" s="1220">
        <v>86.35</v>
      </c>
      <c r="AD94" s="1220">
        <v>76.650000000000006</v>
      </c>
      <c r="AE94" s="1220">
        <v>68.650000000000006</v>
      </c>
      <c r="AF94" s="1220">
        <v>62</v>
      </c>
      <c r="AG94" s="1220">
        <v>56.4</v>
      </c>
      <c r="AH94" s="1220">
        <v>52.15</v>
      </c>
      <c r="AI94" s="1220">
        <v>47.95</v>
      </c>
      <c r="AJ94" s="1220">
        <v>44.25</v>
      </c>
      <c r="AK94" s="1220">
        <v>41.05</v>
      </c>
      <c r="AL94" s="1220">
        <v>38.200000000000003</v>
      </c>
      <c r="AM94" s="1220">
        <v>35.700000000000003</v>
      </c>
      <c r="AQ94" s="826">
        <v>36</v>
      </c>
      <c r="AR94" s="1258">
        <v>4.67</v>
      </c>
      <c r="AS94" s="826">
        <v>36</v>
      </c>
      <c r="AT94" s="1258">
        <v>5.27</v>
      </c>
      <c r="AY94" s="1207">
        <v>36</v>
      </c>
      <c r="AZ94" s="1207">
        <v>3.55</v>
      </c>
      <c r="BA94" s="1207">
        <v>3.61</v>
      </c>
      <c r="BB94" s="1207">
        <v>3.68</v>
      </c>
      <c r="BC94" s="1207">
        <v>3.78</v>
      </c>
      <c r="BD94" s="1207">
        <v>3.88</v>
      </c>
      <c r="BE94" s="1207">
        <v>4.0599999999999996</v>
      </c>
      <c r="BF94" s="1207">
        <v>4.18</v>
      </c>
      <c r="BG94" s="1207">
        <v>4.3099999999999996</v>
      </c>
      <c r="BH94" s="1207">
        <v>4.4400000000000004</v>
      </c>
      <c r="BI94" s="1207">
        <v>4.58</v>
      </c>
      <c r="BJ94" s="1207">
        <v>4.72</v>
      </c>
      <c r="BK94" s="1207">
        <v>4.8600000000000003</v>
      </c>
      <c r="BL94" s="1207">
        <v>5.01</v>
      </c>
      <c r="BN94" s="1207">
        <v>36</v>
      </c>
      <c r="BO94" s="828">
        <v>1.75</v>
      </c>
      <c r="BP94" s="828">
        <v>1.9</v>
      </c>
      <c r="BQ94" s="828">
        <v>2.0499999999999998</v>
      </c>
      <c r="BR94" s="828">
        <v>2.2000000000000002</v>
      </c>
      <c r="BS94" s="828">
        <v>2.4</v>
      </c>
      <c r="BT94" s="828">
        <v>2.65</v>
      </c>
      <c r="BU94" s="828">
        <v>2.85</v>
      </c>
      <c r="BV94" s="828">
        <v>3.05</v>
      </c>
      <c r="BW94" s="828">
        <v>3.3</v>
      </c>
      <c r="BX94" s="828">
        <v>3.5</v>
      </c>
      <c r="BY94" s="828">
        <v>3.8</v>
      </c>
      <c r="BZ94" s="828">
        <v>4.05</v>
      </c>
      <c r="CA94" s="828">
        <v>4.3</v>
      </c>
      <c r="CB94" s="828">
        <v>4.5999999999999996</v>
      </c>
      <c r="CC94" s="828">
        <v>4.8499999999999996</v>
      </c>
      <c r="CD94" s="828">
        <v>5.15</v>
      </c>
      <c r="CE94" s="828">
        <v>5.45</v>
      </c>
      <c r="CF94" s="828">
        <v>5.75</v>
      </c>
      <c r="CG94" s="828">
        <v>6.1</v>
      </c>
      <c r="CH94" s="828">
        <v>6.45</v>
      </c>
      <c r="CI94" s="828">
        <v>6.8</v>
      </c>
      <c r="CJ94" s="1206"/>
      <c r="CQ94" s="1237">
        <v>24</v>
      </c>
      <c r="CR94" s="1260">
        <v>0.25</v>
      </c>
      <c r="CS94" s="1260">
        <v>0.25</v>
      </c>
      <c r="CT94" s="1260">
        <v>0.25</v>
      </c>
      <c r="CU94" s="1260">
        <v>0.25</v>
      </c>
      <c r="CV94" s="1260">
        <v>0.25</v>
      </c>
      <c r="CW94" s="1260">
        <v>0.25</v>
      </c>
      <c r="CX94" s="1260">
        <v>0.3</v>
      </c>
      <c r="CY94" s="1260">
        <v>0.3</v>
      </c>
      <c r="CZ94" s="1260">
        <v>0.3</v>
      </c>
      <c r="DA94" s="1260">
        <v>0.3</v>
      </c>
      <c r="DB94" s="1260">
        <v>0.3</v>
      </c>
      <c r="DC94" s="1260">
        <v>0.3</v>
      </c>
      <c r="DD94" s="1260">
        <v>0.35</v>
      </c>
      <c r="DE94" s="1260">
        <v>0.35</v>
      </c>
      <c r="DF94" s="1260">
        <v>0.35</v>
      </c>
      <c r="DG94" s="1260">
        <v>0.35</v>
      </c>
      <c r="DH94" s="1260">
        <v>0.35</v>
      </c>
      <c r="DI94" s="1260">
        <v>0.4</v>
      </c>
      <c r="DJ94" s="1260">
        <v>0.4</v>
      </c>
      <c r="DK94" s="1260">
        <v>0.4</v>
      </c>
      <c r="DL94" s="1260">
        <v>0.45</v>
      </c>
      <c r="DM94" s="1260">
        <v>0.45</v>
      </c>
      <c r="DN94" s="1260">
        <v>0.45</v>
      </c>
      <c r="DO94" s="1260">
        <v>0.5</v>
      </c>
      <c r="DP94" s="1222"/>
      <c r="DQ94" s="1237">
        <v>34</v>
      </c>
      <c r="DR94" s="1260">
        <v>0.4</v>
      </c>
      <c r="DS94" s="1260">
        <v>0.4</v>
      </c>
      <c r="DT94" s="1260">
        <v>0.41</v>
      </c>
      <c r="DU94" s="1260">
        <v>0.43</v>
      </c>
      <c r="DV94" s="1260">
        <v>0.44</v>
      </c>
      <c r="DW94" s="1260">
        <v>0.47</v>
      </c>
      <c r="DX94" s="1260">
        <v>0.49</v>
      </c>
      <c r="DY94" s="1260">
        <v>0.51</v>
      </c>
      <c r="DZ94" s="1260">
        <v>0.53</v>
      </c>
      <c r="EA94" s="1260">
        <v>0.55000000000000004</v>
      </c>
      <c r="EB94" s="1260">
        <v>0.59</v>
      </c>
      <c r="EC94" s="1260">
        <v>0.61</v>
      </c>
      <c r="ED94" s="1260">
        <v>0.64</v>
      </c>
      <c r="EE94" s="1260">
        <v>0.67</v>
      </c>
      <c r="EF94" s="1260">
        <v>0.7</v>
      </c>
      <c r="EG94" s="1260">
        <v>0.73</v>
      </c>
      <c r="EH94" s="1260">
        <v>0.76</v>
      </c>
      <c r="EI94" s="1260">
        <v>0.79</v>
      </c>
      <c r="EJ94" s="1260">
        <v>0.82</v>
      </c>
      <c r="EK94" s="1260">
        <v>0.85</v>
      </c>
      <c r="EL94" s="1260">
        <v>0.88</v>
      </c>
    </row>
    <row r="95" spans="2:142" ht="15" customHeight="1">
      <c r="B95" s="1255">
        <v>19</v>
      </c>
      <c r="C95" s="1256">
        <v>757.55</v>
      </c>
      <c r="D95" s="1256">
        <v>732.75</v>
      </c>
      <c r="E95" s="1256">
        <v>708.75</v>
      </c>
      <c r="F95" s="1256">
        <v>685.5</v>
      </c>
      <c r="G95" s="1256">
        <v>663.1</v>
      </c>
      <c r="H95" s="1256">
        <v>641.45000000000005</v>
      </c>
      <c r="I95" s="1256">
        <v>620.6</v>
      </c>
      <c r="J95" s="1256">
        <v>600.54999999999995</v>
      </c>
      <c r="K95" s="1258">
        <v>581.20000000000005</v>
      </c>
      <c r="L95" s="1258">
        <v>562.6</v>
      </c>
      <c r="M95" s="1258">
        <v>544.70000000000005</v>
      </c>
      <c r="N95" s="1258">
        <v>527.54999999999995</v>
      </c>
      <c r="O95" s="1258">
        <v>511.05</v>
      </c>
      <c r="P95" s="1258">
        <v>495.25</v>
      </c>
      <c r="Q95" s="1258">
        <v>480.1</v>
      </c>
      <c r="R95" s="1258">
        <v>465.6</v>
      </c>
      <c r="U95" s="1257">
        <v>32</v>
      </c>
      <c r="V95" s="1258">
        <v>79.55</v>
      </c>
      <c r="W95" s="1206"/>
      <c r="X95" s="1257">
        <v>32</v>
      </c>
      <c r="Y95" s="1258">
        <v>62.05</v>
      </c>
      <c r="Z95" s="1206"/>
      <c r="AB95" s="1207">
        <v>27</v>
      </c>
      <c r="AC95" s="1220">
        <v>86.35</v>
      </c>
      <c r="AD95" s="1220">
        <v>76.650000000000006</v>
      </c>
      <c r="AE95" s="1220">
        <v>68.7</v>
      </c>
      <c r="AF95" s="1220">
        <v>62.05</v>
      </c>
      <c r="AG95" s="1220">
        <v>56.4</v>
      </c>
      <c r="AH95" s="1220">
        <v>52.2</v>
      </c>
      <c r="AI95" s="1220">
        <v>47.95</v>
      </c>
      <c r="AJ95" s="1220">
        <v>44.3</v>
      </c>
      <c r="AK95" s="1220">
        <v>41.1</v>
      </c>
      <c r="AL95" s="1220">
        <v>38.25</v>
      </c>
      <c r="AM95" s="1220">
        <v>35.75</v>
      </c>
      <c r="AQ95" s="826">
        <v>37</v>
      </c>
      <c r="AR95" s="1258">
        <v>5.09</v>
      </c>
      <c r="AS95" s="1208">
        <v>37</v>
      </c>
      <c r="AT95" s="1258">
        <v>5.71</v>
      </c>
      <c r="AY95" s="1207">
        <v>37</v>
      </c>
      <c r="AZ95" s="1207">
        <v>3.86</v>
      </c>
      <c r="BA95" s="1207">
        <v>3.93</v>
      </c>
      <c r="BB95" s="1207">
        <v>4.01</v>
      </c>
      <c r="BC95" s="1207">
        <v>4.12</v>
      </c>
      <c r="BD95" s="1207">
        <v>4.2300000000000004</v>
      </c>
      <c r="BE95" s="1207">
        <v>4.43</v>
      </c>
      <c r="BF95" s="1207">
        <v>4.5599999999999996</v>
      </c>
      <c r="BG95" s="1207">
        <v>4.6900000000000004</v>
      </c>
      <c r="BH95" s="1207">
        <v>4.83</v>
      </c>
      <c r="BI95" s="1207">
        <v>4.9800000000000004</v>
      </c>
      <c r="BJ95" s="1207">
        <v>5.13</v>
      </c>
      <c r="BK95" s="1207">
        <v>5.28</v>
      </c>
      <c r="BL95" s="1207">
        <v>5.43</v>
      </c>
      <c r="BN95" s="1207">
        <v>37</v>
      </c>
      <c r="BO95" s="828">
        <v>1.75</v>
      </c>
      <c r="BP95" s="828">
        <v>1.9</v>
      </c>
      <c r="BQ95" s="828">
        <v>2.0499999999999998</v>
      </c>
      <c r="BR95" s="828">
        <v>2.2000000000000002</v>
      </c>
      <c r="BS95" s="828">
        <v>2.4</v>
      </c>
      <c r="BT95" s="828">
        <v>2.65</v>
      </c>
      <c r="BU95" s="828">
        <v>2.85</v>
      </c>
      <c r="BV95" s="828">
        <v>3.05</v>
      </c>
      <c r="BW95" s="828">
        <v>3.3</v>
      </c>
      <c r="BX95" s="828">
        <v>3.5</v>
      </c>
      <c r="BY95" s="828">
        <v>3.8</v>
      </c>
      <c r="BZ95" s="828">
        <v>4.05</v>
      </c>
      <c r="CA95" s="828">
        <v>4.3</v>
      </c>
      <c r="CB95" s="828">
        <v>4.5999999999999996</v>
      </c>
      <c r="CC95" s="828">
        <v>4.8499999999999996</v>
      </c>
      <c r="CD95" s="828">
        <v>5.15</v>
      </c>
      <c r="CE95" s="828">
        <v>5.45</v>
      </c>
      <c r="CF95" s="828">
        <v>5.75</v>
      </c>
      <c r="CG95" s="828">
        <v>6.1</v>
      </c>
      <c r="CH95" s="828">
        <v>6.45</v>
      </c>
      <c r="CI95" s="828">
        <v>6.8</v>
      </c>
      <c r="CJ95" s="1206"/>
      <c r="CQ95" s="1237">
        <v>25</v>
      </c>
      <c r="CR95" s="1260">
        <v>0.25</v>
      </c>
      <c r="CS95" s="1260">
        <v>0.25</v>
      </c>
      <c r="CT95" s="1260">
        <v>0.25</v>
      </c>
      <c r="CU95" s="1260">
        <v>0.25</v>
      </c>
      <c r="CV95" s="1260">
        <v>0.25</v>
      </c>
      <c r="CW95" s="1260">
        <v>0.3</v>
      </c>
      <c r="CX95" s="1260">
        <v>0.3</v>
      </c>
      <c r="CY95" s="1260">
        <v>0.3</v>
      </c>
      <c r="CZ95" s="1260">
        <v>0.3</v>
      </c>
      <c r="DA95" s="1260">
        <v>0.3</v>
      </c>
      <c r="DB95" s="1260">
        <v>0.3</v>
      </c>
      <c r="DC95" s="1260">
        <v>0.35</v>
      </c>
      <c r="DD95" s="1260">
        <v>0.35</v>
      </c>
      <c r="DE95" s="1260">
        <v>0.35</v>
      </c>
      <c r="DF95" s="1260">
        <v>0.35</v>
      </c>
      <c r="DG95" s="1260">
        <v>0.4</v>
      </c>
      <c r="DH95" s="1260">
        <v>0.4</v>
      </c>
      <c r="DI95" s="1260">
        <v>0.4</v>
      </c>
      <c r="DJ95" s="1260">
        <v>0.4</v>
      </c>
      <c r="DK95" s="1260">
        <v>0.45</v>
      </c>
      <c r="DL95" s="1260">
        <v>0.45</v>
      </c>
      <c r="DM95" s="1260">
        <v>0.45</v>
      </c>
      <c r="DN95" s="1260">
        <v>0.5</v>
      </c>
      <c r="DO95" s="1260">
        <v>0.5</v>
      </c>
      <c r="DP95" s="1222"/>
      <c r="DQ95" s="1237">
        <v>35</v>
      </c>
      <c r="DR95" s="1260">
        <v>0.42</v>
      </c>
      <c r="DS95" s="1260">
        <v>0.43</v>
      </c>
      <c r="DT95" s="1260">
        <v>0.44</v>
      </c>
      <c r="DU95" s="1260">
        <v>0.46</v>
      </c>
      <c r="DV95" s="1260">
        <v>0.47</v>
      </c>
      <c r="DW95" s="1260">
        <v>0.51</v>
      </c>
      <c r="DX95" s="1260">
        <v>0.53</v>
      </c>
      <c r="DY95" s="1260">
        <v>0.55000000000000004</v>
      </c>
      <c r="DZ95" s="1260">
        <v>0.56999999999999995</v>
      </c>
      <c r="EA95" s="1260">
        <v>0.6</v>
      </c>
      <c r="EB95" s="1260">
        <v>0.64</v>
      </c>
      <c r="EC95" s="1260">
        <v>0.67</v>
      </c>
      <c r="ED95" s="1260">
        <v>0.7</v>
      </c>
      <c r="EE95" s="1260">
        <v>0.73</v>
      </c>
      <c r="EF95" s="1260">
        <v>0.76</v>
      </c>
      <c r="EG95" s="1260">
        <v>0.8</v>
      </c>
      <c r="EH95" s="1260">
        <v>0.83</v>
      </c>
      <c r="EI95" s="1260">
        <v>0.86</v>
      </c>
      <c r="EJ95" s="1260">
        <v>0.89</v>
      </c>
      <c r="EK95" s="1260">
        <v>0.93</v>
      </c>
      <c r="EL95" s="1260">
        <v>0.96</v>
      </c>
    </row>
    <row r="96" spans="2:142" ht="15" customHeight="1">
      <c r="B96" s="1255">
        <v>20</v>
      </c>
      <c r="C96" s="1256">
        <v>757.6</v>
      </c>
      <c r="D96" s="1256">
        <v>732.8</v>
      </c>
      <c r="E96" s="1256">
        <v>708.8</v>
      </c>
      <c r="F96" s="1256">
        <v>685.55</v>
      </c>
      <c r="G96" s="1256">
        <v>663.15</v>
      </c>
      <c r="H96" s="1256">
        <v>641.54999999999995</v>
      </c>
      <c r="I96" s="1256">
        <v>620.70000000000005</v>
      </c>
      <c r="J96" s="1258">
        <v>600.6</v>
      </c>
      <c r="K96" s="1258">
        <v>581.29999999999995</v>
      </c>
      <c r="L96" s="1258">
        <v>562.70000000000005</v>
      </c>
      <c r="M96" s="1258">
        <v>544.85</v>
      </c>
      <c r="N96" s="1258">
        <v>527.70000000000005</v>
      </c>
      <c r="O96" s="1258">
        <v>511.25</v>
      </c>
      <c r="P96" s="1258">
        <v>495.45</v>
      </c>
      <c r="Q96" s="1258">
        <v>480.35</v>
      </c>
      <c r="R96" s="1258">
        <v>465.85</v>
      </c>
      <c r="U96" s="1257">
        <v>33</v>
      </c>
      <c r="V96" s="1258">
        <v>79.849999999999994</v>
      </c>
      <c r="W96" s="1206"/>
      <c r="X96" s="1257">
        <v>33</v>
      </c>
      <c r="Y96" s="1258">
        <v>62.4</v>
      </c>
      <c r="Z96" s="1206"/>
      <c r="AB96" s="1207">
        <v>28</v>
      </c>
      <c r="AC96" s="1220">
        <v>86.35</v>
      </c>
      <c r="AD96" s="1220">
        <v>76.7</v>
      </c>
      <c r="AE96" s="1220">
        <v>68.7</v>
      </c>
      <c r="AF96" s="1220">
        <v>62.05</v>
      </c>
      <c r="AG96" s="1220">
        <v>56.45</v>
      </c>
      <c r="AH96" s="1220">
        <v>52.25</v>
      </c>
      <c r="AI96" s="1220">
        <v>48</v>
      </c>
      <c r="AJ96" s="1220">
        <v>44.35</v>
      </c>
      <c r="AK96" s="1220">
        <v>41.15</v>
      </c>
      <c r="AL96" s="1220">
        <v>38.299999999999997</v>
      </c>
      <c r="AM96" s="1220">
        <v>35.799999999999997</v>
      </c>
      <c r="AQ96" s="826">
        <v>38</v>
      </c>
      <c r="AR96" s="1258">
        <v>5.54</v>
      </c>
      <c r="AS96" s="826">
        <v>38</v>
      </c>
      <c r="AT96" s="1258">
        <v>6.19</v>
      </c>
      <c r="AY96" s="1207">
        <v>38</v>
      </c>
      <c r="AZ96" s="1207">
        <v>4.2</v>
      </c>
      <c r="BA96" s="1207">
        <v>4.28</v>
      </c>
      <c r="BB96" s="1207">
        <v>4.38</v>
      </c>
      <c r="BC96" s="1207">
        <v>4.5</v>
      </c>
      <c r="BD96" s="1207">
        <v>4.62</v>
      </c>
      <c r="BE96" s="1207">
        <v>4.83</v>
      </c>
      <c r="BF96" s="1207">
        <v>4.97</v>
      </c>
      <c r="BG96" s="1207">
        <v>5.1100000000000003</v>
      </c>
      <c r="BH96" s="1207">
        <v>5.26</v>
      </c>
      <c r="BI96" s="1207">
        <v>5.41</v>
      </c>
      <c r="BJ96" s="1207">
        <v>5.57</v>
      </c>
      <c r="BK96" s="1207">
        <v>5.73</v>
      </c>
      <c r="BL96" s="1207">
        <v>5.89</v>
      </c>
      <c r="BN96" s="1207">
        <v>38</v>
      </c>
      <c r="BO96" s="828">
        <v>1.75</v>
      </c>
      <c r="BP96" s="828">
        <v>1.9</v>
      </c>
      <c r="BQ96" s="828">
        <v>2.0499999999999998</v>
      </c>
      <c r="BR96" s="828">
        <v>2.2000000000000002</v>
      </c>
      <c r="BS96" s="828">
        <v>2.4</v>
      </c>
      <c r="BT96" s="828">
        <v>2.65</v>
      </c>
      <c r="BU96" s="828">
        <v>2.85</v>
      </c>
      <c r="BV96" s="828">
        <v>3.05</v>
      </c>
      <c r="BW96" s="828">
        <v>3.3</v>
      </c>
      <c r="BX96" s="828">
        <v>3.5</v>
      </c>
      <c r="BY96" s="828">
        <v>3.8</v>
      </c>
      <c r="BZ96" s="828">
        <v>4.05</v>
      </c>
      <c r="CA96" s="828">
        <v>4.3</v>
      </c>
      <c r="CB96" s="828">
        <v>4.5999999999999996</v>
      </c>
      <c r="CC96" s="828">
        <v>4.8499999999999996</v>
      </c>
      <c r="CD96" s="828">
        <v>5.15</v>
      </c>
      <c r="CE96" s="828">
        <v>5.45</v>
      </c>
      <c r="CF96" s="828">
        <v>5.75</v>
      </c>
      <c r="CG96" s="828">
        <v>6.1</v>
      </c>
      <c r="CH96" s="828">
        <v>6.45</v>
      </c>
      <c r="CI96" s="828">
        <v>6.8</v>
      </c>
      <c r="CJ96" s="1206"/>
      <c r="CQ96" s="1237">
        <v>26</v>
      </c>
      <c r="CR96" s="1260">
        <v>0.25</v>
      </c>
      <c r="CS96" s="1260">
        <v>0.25</v>
      </c>
      <c r="CT96" s="1260">
        <v>0.25</v>
      </c>
      <c r="CU96" s="1260">
        <v>0.25</v>
      </c>
      <c r="CV96" s="1260">
        <v>0.3</v>
      </c>
      <c r="CW96" s="1260">
        <v>0.3</v>
      </c>
      <c r="CX96" s="1260">
        <v>0.3</v>
      </c>
      <c r="CY96" s="1260">
        <v>0.3</v>
      </c>
      <c r="CZ96" s="1260">
        <v>0.3</v>
      </c>
      <c r="DA96" s="1260">
        <v>0.3</v>
      </c>
      <c r="DB96" s="1260">
        <v>0.35</v>
      </c>
      <c r="DC96" s="1260">
        <v>0.35</v>
      </c>
      <c r="DD96" s="1260">
        <v>0.35</v>
      </c>
      <c r="DE96" s="1260">
        <v>0.35</v>
      </c>
      <c r="DF96" s="1260">
        <v>0.4</v>
      </c>
      <c r="DG96" s="1260">
        <v>0.4</v>
      </c>
      <c r="DH96" s="1260">
        <v>0.4</v>
      </c>
      <c r="DI96" s="1260">
        <v>0.45</v>
      </c>
      <c r="DJ96" s="1260">
        <v>0.45</v>
      </c>
      <c r="DK96" s="1260">
        <v>0.45</v>
      </c>
      <c r="DL96" s="1260">
        <v>0.5</v>
      </c>
      <c r="DM96" s="1260">
        <v>0.5</v>
      </c>
      <c r="DN96" s="1260">
        <v>0.5</v>
      </c>
      <c r="DO96" s="1260">
        <v>0.55000000000000004</v>
      </c>
      <c r="DP96" s="1222"/>
      <c r="DQ96" s="1237">
        <v>36</v>
      </c>
      <c r="DR96" s="1260">
        <v>0.45</v>
      </c>
      <c r="DS96" s="1260">
        <v>0.46</v>
      </c>
      <c r="DT96" s="1260">
        <v>0.48</v>
      </c>
      <c r="DU96" s="1260">
        <v>0.49</v>
      </c>
      <c r="DV96" s="1260">
        <v>0.52</v>
      </c>
      <c r="DW96" s="1260">
        <v>0.55000000000000004</v>
      </c>
      <c r="DX96" s="1260">
        <v>0.56999999999999995</v>
      </c>
      <c r="DY96" s="1260">
        <v>0.6</v>
      </c>
      <c r="DZ96" s="1260">
        <v>0.63</v>
      </c>
      <c r="EA96" s="1260">
        <v>0.65</v>
      </c>
      <c r="EB96" s="1260">
        <v>0.7</v>
      </c>
      <c r="EC96" s="1260">
        <v>0.73</v>
      </c>
      <c r="ED96" s="1260">
        <v>0.77</v>
      </c>
      <c r="EE96" s="1260">
        <v>0.8</v>
      </c>
      <c r="EF96" s="1260">
        <v>0.84</v>
      </c>
      <c r="EG96" s="1260">
        <v>0.87</v>
      </c>
      <c r="EH96" s="1260">
        <v>0.91</v>
      </c>
      <c r="EI96" s="1260">
        <v>0.94</v>
      </c>
      <c r="EJ96" s="1260">
        <v>0.97</v>
      </c>
      <c r="EK96" s="1260">
        <v>1.01</v>
      </c>
      <c r="EL96" s="1260">
        <v>1.04</v>
      </c>
    </row>
    <row r="97" spans="2:142" ht="15" customHeight="1">
      <c r="B97" s="1255">
        <v>21</v>
      </c>
      <c r="C97" s="1256">
        <v>757.65</v>
      </c>
      <c r="D97" s="1256">
        <v>732.8</v>
      </c>
      <c r="E97" s="1256">
        <v>708.8</v>
      </c>
      <c r="F97" s="1256">
        <v>685.6</v>
      </c>
      <c r="G97" s="1256">
        <v>663.2</v>
      </c>
      <c r="H97" s="1256">
        <v>641.6</v>
      </c>
      <c r="I97" s="1258">
        <v>620.75</v>
      </c>
      <c r="J97" s="1258">
        <v>600.70000000000005</v>
      </c>
      <c r="K97" s="1258">
        <v>581.4</v>
      </c>
      <c r="L97" s="1258">
        <v>562.79999999999995</v>
      </c>
      <c r="M97" s="1258">
        <v>545</v>
      </c>
      <c r="N97" s="1258">
        <v>527.85</v>
      </c>
      <c r="O97" s="1258">
        <v>511.4</v>
      </c>
      <c r="P97" s="1258">
        <v>495.65</v>
      </c>
      <c r="Q97" s="1258">
        <v>480.55</v>
      </c>
      <c r="R97" s="1258">
        <v>466.1</v>
      </c>
      <c r="U97" s="1257">
        <v>34</v>
      </c>
      <c r="V97" s="1258">
        <v>80.150000000000006</v>
      </c>
      <c r="W97" s="1206"/>
      <c r="X97" s="1257">
        <v>34</v>
      </c>
      <c r="Y97" s="1258">
        <v>62.8</v>
      </c>
      <c r="Z97" s="1206"/>
      <c r="AB97" s="1207">
        <v>29</v>
      </c>
      <c r="AC97" s="1220">
        <v>86.4</v>
      </c>
      <c r="AD97" s="1220">
        <v>76.7</v>
      </c>
      <c r="AE97" s="1220">
        <v>68.75</v>
      </c>
      <c r="AF97" s="1220">
        <v>62.1</v>
      </c>
      <c r="AG97" s="1220">
        <v>56.5</v>
      </c>
      <c r="AH97" s="1220">
        <v>52.3</v>
      </c>
      <c r="AI97" s="1220">
        <v>48.05</v>
      </c>
      <c r="AJ97" s="1220">
        <v>44.4</v>
      </c>
      <c r="AK97" s="1220">
        <v>41.2</v>
      </c>
      <c r="AL97" s="1220">
        <v>38.35</v>
      </c>
      <c r="AM97" s="1220">
        <v>35.9</v>
      </c>
      <c r="AQ97" s="826">
        <v>39</v>
      </c>
      <c r="AR97" s="1258">
        <v>6.03</v>
      </c>
      <c r="AS97" s="1208">
        <v>39</v>
      </c>
      <c r="AT97" s="1258">
        <v>6.71</v>
      </c>
      <c r="AY97" s="1207">
        <v>39</v>
      </c>
      <c r="AZ97" s="1207">
        <v>4.5999999999999996</v>
      </c>
      <c r="BA97" s="1207">
        <v>4.6900000000000004</v>
      </c>
      <c r="BB97" s="1207">
        <v>4.8</v>
      </c>
      <c r="BC97" s="1207">
        <v>4.92</v>
      </c>
      <c r="BD97" s="1207">
        <v>5.05</v>
      </c>
      <c r="BE97" s="1207">
        <v>5.27</v>
      </c>
      <c r="BF97" s="1207">
        <v>5.42</v>
      </c>
      <c r="BG97" s="1207">
        <v>5.57</v>
      </c>
      <c r="BH97" s="1207">
        <v>5.72</v>
      </c>
      <c r="BI97" s="1207">
        <v>5.88</v>
      </c>
      <c r="BJ97" s="1207">
        <v>6.05</v>
      </c>
      <c r="BK97" s="1207">
        <v>6.21</v>
      </c>
      <c r="BL97" s="1207">
        <v>6.39</v>
      </c>
      <c r="BN97" s="1207">
        <v>39</v>
      </c>
      <c r="BO97" s="828">
        <v>1.75</v>
      </c>
      <c r="BP97" s="828">
        <v>1.9</v>
      </c>
      <c r="BQ97" s="828">
        <v>2.0499999999999998</v>
      </c>
      <c r="BR97" s="828">
        <v>2.2000000000000002</v>
      </c>
      <c r="BS97" s="828">
        <v>2.4</v>
      </c>
      <c r="BT97" s="828">
        <v>2.65</v>
      </c>
      <c r="BU97" s="828">
        <v>2.85</v>
      </c>
      <c r="BV97" s="828">
        <v>3.05</v>
      </c>
      <c r="BW97" s="828">
        <v>3.3</v>
      </c>
      <c r="BX97" s="828">
        <v>3.5</v>
      </c>
      <c r="BY97" s="828">
        <v>3.8</v>
      </c>
      <c r="BZ97" s="828">
        <v>4.05</v>
      </c>
      <c r="CA97" s="828">
        <v>4.3</v>
      </c>
      <c r="CB97" s="828">
        <v>4.5999999999999996</v>
      </c>
      <c r="CC97" s="828">
        <v>4.8499999999999996</v>
      </c>
      <c r="CD97" s="828">
        <v>5.15</v>
      </c>
      <c r="CE97" s="828">
        <v>5.45</v>
      </c>
      <c r="CF97" s="828">
        <v>5.75</v>
      </c>
      <c r="CG97" s="828">
        <v>6.1</v>
      </c>
      <c r="CH97" s="828">
        <v>6.45</v>
      </c>
      <c r="CI97" s="828">
        <v>6.8</v>
      </c>
      <c r="CJ97" s="1206"/>
      <c r="CQ97" s="1237">
        <v>27</v>
      </c>
      <c r="CR97" s="1260">
        <v>0.25</v>
      </c>
      <c r="CS97" s="1260">
        <v>0.25</v>
      </c>
      <c r="CT97" s="1260">
        <v>0.25</v>
      </c>
      <c r="CU97" s="1260">
        <v>0.3</v>
      </c>
      <c r="CV97" s="1260">
        <v>0.3</v>
      </c>
      <c r="CW97" s="1260">
        <v>0.3</v>
      </c>
      <c r="CX97" s="1260">
        <v>0.3</v>
      </c>
      <c r="CY97" s="1260">
        <v>0.3</v>
      </c>
      <c r="CZ97" s="1260">
        <v>0.35</v>
      </c>
      <c r="DA97" s="1260">
        <v>0.35</v>
      </c>
      <c r="DB97" s="1260">
        <v>0.35</v>
      </c>
      <c r="DC97" s="1260">
        <v>0.35</v>
      </c>
      <c r="DD97" s="1260">
        <v>0.35</v>
      </c>
      <c r="DE97" s="1260">
        <v>0.4</v>
      </c>
      <c r="DF97" s="1260">
        <v>0.4</v>
      </c>
      <c r="DG97" s="1260">
        <v>0.4</v>
      </c>
      <c r="DH97" s="1260">
        <v>0.45</v>
      </c>
      <c r="DI97" s="1260">
        <v>0.45</v>
      </c>
      <c r="DJ97" s="1260">
        <v>0.5</v>
      </c>
      <c r="DK97" s="1260">
        <v>0.5</v>
      </c>
      <c r="DL97" s="1260">
        <v>0.5</v>
      </c>
      <c r="DM97" s="1260">
        <v>0.55000000000000004</v>
      </c>
      <c r="DN97" s="1260">
        <v>0.55000000000000004</v>
      </c>
      <c r="DO97" s="1260">
        <v>0.55000000000000004</v>
      </c>
      <c r="DP97" s="1222"/>
      <c r="DQ97" s="1237">
        <v>37</v>
      </c>
      <c r="DR97" s="1260">
        <v>0.48</v>
      </c>
      <c r="DS97" s="1260">
        <v>0.5</v>
      </c>
      <c r="DT97" s="1260">
        <v>0.52</v>
      </c>
      <c r="DU97" s="1260">
        <v>0.54</v>
      </c>
      <c r="DV97" s="1260">
        <v>0.56000000000000005</v>
      </c>
      <c r="DW97" s="1260">
        <v>0.6</v>
      </c>
      <c r="DX97" s="1260">
        <v>0.63</v>
      </c>
      <c r="DY97" s="1260">
        <v>0.66</v>
      </c>
      <c r="DZ97" s="1260">
        <v>0.69</v>
      </c>
      <c r="EA97" s="1260">
        <v>0.72</v>
      </c>
      <c r="EB97" s="1260">
        <v>0.77</v>
      </c>
      <c r="EC97" s="1260">
        <v>0.81</v>
      </c>
      <c r="ED97" s="1260">
        <v>0.84</v>
      </c>
      <c r="EE97" s="1260">
        <v>0.88</v>
      </c>
      <c r="EF97" s="1260">
        <v>0.92</v>
      </c>
      <c r="EG97" s="1260">
        <v>0.95</v>
      </c>
      <c r="EH97" s="1260">
        <v>0.99</v>
      </c>
      <c r="EI97" s="1260">
        <v>1.03</v>
      </c>
      <c r="EJ97" s="1260">
        <v>1.06</v>
      </c>
      <c r="EK97" s="1260">
        <v>1.0900000000000001</v>
      </c>
      <c r="EL97" s="1260">
        <v>1.1299999999999999</v>
      </c>
    </row>
    <row r="98" spans="2:142" ht="15" customHeight="1">
      <c r="B98" s="1255">
        <v>22</v>
      </c>
      <c r="C98" s="1256">
        <v>757.65</v>
      </c>
      <c r="D98" s="1256">
        <v>732.85</v>
      </c>
      <c r="E98" s="1256">
        <v>708.85</v>
      </c>
      <c r="F98" s="1256">
        <v>685.65</v>
      </c>
      <c r="G98" s="1256">
        <v>663.25</v>
      </c>
      <c r="H98" s="1258">
        <v>641.65</v>
      </c>
      <c r="I98" s="1258">
        <v>620.85</v>
      </c>
      <c r="J98" s="1258">
        <v>600.79999999999995</v>
      </c>
      <c r="K98" s="1258">
        <v>581.5</v>
      </c>
      <c r="L98" s="1258">
        <v>562.95000000000005</v>
      </c>
      <c r="M98" s="1258">
        <v>545.1</v>
      </c>
      <c r="N98" s="1258">
        <v>528</v>
      </c>
      <c r="O98" s="1258">
        <v>511.6</v>
      </c>
      <c r="P98" s="1258">
        <v>495.85</v>
      </c>
      <c r="Q98" s="1258">
        <v>480.8</v>
      </c>
      <c r="R98" s="1258">
        <v>466.4</v>
      </c>
      <c r="U98" s="1257">
        <v>35</v>
      </c>
      <c r="V98" s="1258">
        <v>80.5</v>
      </c>
      <c r="W98" s="1206"/>
      <c r="X98" s="1257">
        <v>35</v>
      </c>
      <c r="Y98" s="1258">
        <v>63.2</v>
      </c>
      <c r="Z98" s="1206"/>
      <c r="AB98" s="1207">
        <v>30</v>
      </c>
      <c r="AC98" s="1220">
        <v>86.45</v>
      </c>
      <c r="AD98" s="1220">
        <v>76.75</v>
      </c>
      <c r="AE98" s="1220">
        <v>68.8</v>
      </c>
      <c r="AF98" s="1220">
        <v>62.15</v>
      </c>
      <c r="AG98" s="1220">
        <v>56.5</v>
      </c>
      <c r="AH98" s="1220">
        <v>52.35</v>
      </c>
      <c r="AI98" s="1220">
        <v>48.1</v>
      </c>
      <c r="AJ98" s="1220">
        <v>44.45</v>
      </c>
      <c r="AK98" s="1220">
        <v>41.25</v>
      </c>
      <c r="AL98" s="1220">
        <v>38.450000000000003</v>
      </c>
      <c r="AM98" s="1220">
        <v>35.950000000000003</v>
      </c>
      <c r="AQ98" s="826">
        <v>40</v>
      </c>
      <c r="AR98" s="1258">
        <v>6.56</v>
      </c>
      <c r="AS98" s="826">
        <v>40</v>
      </c>
      <c r="AT98" s="1258">
        <v>7.28</v>
      </c>
      <c r="AY98" s="1207">
        <v>40</v>
      </c>
      <c r="AZ98" s="1207">
        <v>5.04</v>
      </c>
      <c r="BA98" s="1207">
        <v>5.13</v>
      </c>
      <c r="BB98" s="1207">
        <v>5.25</v>
      </c>
      <c r="BC98" s="1207">
        <v>5.38</v>
      </c>
      <c r="BD98" s="1207">
        <v>5.52</v>
      </c>
      <c r="BE98" s="1207">
        <v>5.75</v>
      </c>
      <c r="BF98" s="1207">
        <v>5.9</v>
      </c>
      <c r="BG98" s="1207">
        <v>6.06</v>
      </c>
      <c r="BH98" s="1207">
        <v>6.22</v>
      </c>
      <c r="BI98" s="1207">
        <v>6.39</v>
      </c>
      <c r="BJ98" s="1207">
        <v>6.57</v>
      </c>
      <c r="BK98" s="1207">
        <v>6.74</v>
      </c>
      <c r="BL98" s="1207">
        <v>6.93</v>
      </c>
      <c r="BN98" s="1207">
        <v>40</v>
      </c>
      <c r="BO98" s="828">
        <v>1.75</v>
      </c>
      <c r="BP98" s="828">
        <v>1.9</v>
      </c>
      <c r="BQ98" s="828">
        <v>2.0499999999999998</v>
      </c>
      <c r="BR98" s="828">
        <v>2.2000000000000002</v>
      </c>
      <c r="BS98" s="828">
        <v>2.4</v>
      </c>
      <c r="BT98" s="828">
        <v>2.65</v>
      </c>
      <c r="BU98" s="828">
        <v>2.85</v>
      </c>
      <c r="BV98" s="828">
        <v>3.05</v>
      </c>
      <c r="BW98" s="828">
        <v>3.3</v>
      </c>
      <c r="BX98" s="828">
        <v>3.5</v>
      </c>
      <c r="BY98" s="828">
        <v>3.8</v>
      </c>
      <c r="BZ98" s="828">
        <v>4.05</v>
      </c>
      <c r="CA98" s="828">
        <v>4.3</v>
      </c>
      <c r="CB98" s="828">
        <v>4.5999999999999996</v>
      </c>
      <c r="CC98" s="828">
        <v>4.8499999999999996</v>
      </c>
      <c r="CD98" s="828">
        <v>5.15</v>
      </c>
      <c r="CE98" s="828">
        <v>5.45</v>
      </c>
      <c r="CF98" s="828">
        <v>5.75</v>
      </c>
      <c r="CG98" s="828">
        <v>6.1</v>
      </c>
      <c r="CH98" s="828">
        <v>6.45</v>
      </c>
      <c r="CI98" s="828">
        <v>6.8</v>
      </c>
      <c r="CJ98" s="1206"/>
      <c r="CQ98" s="1237">
        <v>28</v>
      </c>
      <c r="CR98" s="1260">
        <v>0.25</v>
      </c>
      <c r="CS98" s="1260">
        <v>0.25</v>
      </c>
      <c r="CT98" s="1260">
        <v>0.25</v>
      </c>
      <c r="CU98" s="1260">
        <v>0.3</v>
      </c>
      <c r="CV98" s="1260">
        <v>0.3</v>
      </c>
      <c r="CW98" s="1260">
        <v>0.3</v>
      </c>
      <c r="CX98" s="1260">
        <v>0.3</v>
      </c>
      <c r="CY98" s="1260">
        <v>0.35</v>
      </c>
      <c r="CZ98" s="1260">
        <v>0.35</v>
      </c>
      <c r="DA98" s="1260">
        <v>0.35</v>
      </c>
      <c r="DB98" s="1260">
        <v>0.35</v>
      </c>
      <c r="DC98" s="1260">
        <v>0.4</v>
      </c>
      <c r="DD98" s="1260">
        <v>0.4</v>
      </c>
      <c r="DE98" s="1260">
        <v>0.4</v>
      </c>
      <c r="DF98" s="1260">
        <v>0.45</v>
      </c>
      <c r="DG98" s="1260">
        <v>0.45</v>
      </c>
      <c r="DH98" s="1260">
        <v>0.45</v>
      </c>
      <c r="DI98" s="1260">
        <v>0.5</v>
      </c>
      <c r="DJ98" s="1260">
        <v>0.5</v>
      </c>
      <c r="DK98" s="1260">
        <v>0.55000000000000004</v>
      </c>
      <c r="DL98" s="1260">
        <v>0.55000000000000004</v>
      </c>
      <c r="DM98" s="1260">
        <v>0.55000000000000004</v>
      </c>
      <c r="DN98" s="1260">
        <v>0.6</v>
      </c>
      <c r="DO98" s="1260">
        <v>0.6</v>
      </c>
      <c r="DP98" s="1222"/>
      <c r="DQ98" s="1237">
        <v>38</v>
      </c>
      <c r="DR98" s="1260">
        <v>0.52</v>
      </c>
      <c r="DS98" s="1260">
        <v>0.54</v>
      </c>
      <c r="DT98" s="1260">
        <v>0.56000000000000005</v>
      </c>
      <c r="DU98" s="1260">
        <v>0.59</v>
      </c>
      <c r="DV98" s="1260">
        <v>0.61</v>
      </c>
      <c r="DW98" s="1260">
        <v>0.66</v>
      </c>
      <c r="DX98" s="1260">
        <v>0.69</v>
      </c>
      <c r="DY98" s="1260">
        <v>0.72</v>
      </c>
      <c r="DZ98" s="1260">
        <v>0.76</v>
      </c>
      <c r="EA98" s="1260">
        <v>0.79</v>
      </c>
      <c r="EB98" s="1260">
        <v>0.85</v>
      </c>
      <c r="EC98" s="1260">
        <v>0.89</v>
      </c>
      <c r="ED98" s="1260">
        <v>0.92</v>
      </c>
      <c r="EE98" s="1260">
        <v>0.96</v>
      </c>
      <c r="EF98" s="1260">
        <v>1</v>
      </c>
      <c r="EG98" s="1260">
        <v>1.04</v>
      </c>
      <c r="EH98" s="1260">
        <v>1.08</v>
      </c>
      <c r="EI98" s="1260">
        <v>1.1200000000000001</v>
      </c>
      <c r="EJ98" s="1260">
        <v>1.1499999999999999</v>
      </c>
      <c r="EK98" s="1260">
        <v>1.19</v>
      </c>
      <c r="EL98" s="1260">
        <v>1.23</v>
      </c>
    </row>
    <row r="99" spans="2:142" ht="15" customHeight="1">
      <c r="B99" s="1255">
        <v>23</v>
      </c>
      <c r="C99" s="1256">
        <v>757.65</v>
      </c>
      <c r="D99" s="1256">
        <v>732.9</v>
      </c>
      <c r="E99" s="1256">
        <v>708.9</v>
      </c>
      <c r="F99" s="1256">
        <v>685.7</v>
      </c>
      <c r="G99" s="1258">
        <v>663.3</v>
      </c>
      <c r="H99" s="1258">
        <v>641.75</v>
      </c>
      <c r="I99" s="1258">
        <v>620.9</v>
      </c>
      <c r="J99" s="1258">
        <v>600.9</v>
      </c>
      <c r="K99" s="1258">
        <v>581.6</v>
      </c>
      <c r="L99" s="1258">
        <v>563.04999999999995</v>
      </c>
      <c r="M99" s="1258">
        <v>545.25</v>
      </c>
      <c r="N99" s="1258">
        <v>528.20000000000005</v>
      </c>
      <c r="O99" s="1258">
        <v>511.8</v>
      </c>
      <c r="P99" s="1258">
        <v>496.1</v>
      </c>
      <c r="Q99" s="1258">
        <v>481.1</v>
      </c>
      <c r="R99" s="1258">
        <v>466.7</v>
      </c>
      <c r="U99" s="1257">
        <v>36</v>
      </c>
      <c r="V99" s="1258">
        <v>80.900000000000006</v>
      </c>
      <c r="W99" s="1206"/>
      <c r="X99" s="1257">
        <v>36</v>
      </c>
      <c r="Y99" s="1258">
        <v>63.65</v>
      </c>
      <c r="Z99" s="1206"/>
      <c r="AB99" s="1207">
        <v>31</v>
      </c>
      <c r="AC99" s="1220">
        <v>86.45</v>
      </c>
      <c r="AD99" s="1220">
        <v>76.8</v>
      </c>
      <c r="AE99" s="1220">
        <v>68.849999999999994</v>
      </c>
      <c r="AF99" s="1220">
        <v>62.2</v>
      </c>
      <c r="AG99" s="1220">
        <v>56.6</v>
      </c>
      <c r="AH99" s="1220">
        <v>52.4</v>
      </c>
      <c r="AI99" s="1220">
        <v>48.2</v>
      </c>
      <c r="AJ99" s="1220">
        <v>44.55</v>
      </c>
      <c r="AK99" s="1220">
        <v>41.35</v>
      </c>
      <c r="AL99" s="1220">
        <v>38.549999999999997</v>
      </c>
      <c r="AM99" s="1220">
        <v>36.049999999999997</v>
      </c>
      <c r="AQ99" s="826">
        <v>41</v>
      </c>
      <c r="AR99" s="1258">
        <v>7.14</v>
      </c>
      <c r="AS99" s="1208">
        <v>41</v>
      </c>
      <c r="AT99" s="1258">
        <v>7.89</v>
      </c>
      <c r="AY99" s="1207">
        <v>41</v>
      </c>
      <c r="AZ99" s="1207">
        <v>5.52</v>
      </c>
      <c r="BA99" s="1207">
        <v>5.63</v>
      </c>
      <c r="BB99" s="1207">
        <v>5.75</v>
      </c>
      <c r="BC99" s="1207">
        <v>5.88</v>
      </c>
      <c r="BD99" s="1207">
        <v>6.03</v>
      </c>
      <c r="BE99" s="1207">
        <v>6.27</v>
      </c>
      <c r="BF99" s="1207">
        <v>6.43</v>
      </c>
      <c r="BG99" s="1207">
        <v>6.6</v>
      </c>
      <c r="BH99" s="1207">
        <v>6.77</v>
      </c>
      <c r="BI99" s="1207">
        <v>6.95</v>
      </c>
      <c r="BJ99" s="1207">
        <v>7.13</v>
      </c>
      <c r="BK99" s="1207">
        <v>7.32</v>
      </c>
      <c r="BL99" s="1207"/>
      <c r="BN99" s="1207">
        <v>41</v>
      </c>
      <c r="BO99" s="828">
        <v>2.0499999999999998</v>
      </c>
      <c r="BP99" s="828">
        <v>2.2999999999999998</v>
      </c>
      <c r="BQ99" s="828">
        <v>2.5499999999999998</v>
      </c>
      <c r="BR99" s="828">
        <v>2.85</v>
      </c>
      <c r="BS99" s="828">
        <v>3.15</v>
      </c>
      <c r="BT99" s="828">
        <v>3.6</v>
      </c>
      <c r="BU99" s="828">
        <v>3.9</v>
      </c>
      <c r="BV99" s="828">
        <v>4.25</v>
      </c>
      <c r="BW99" s="828">
        <v>4.5999999999999996</v>
      </c>
      <c r="BX99" s="828">
        <v>5</v>
      </c>
      <c r="BY99" s="828">
        <v>5.45</v>
      </c>
      <c r="BZ99" s="828">
        <v>5.85</v>
      </c>
      <c r="CA99" s="828">
        <v>6.25</v>
      </c>
      <c r="CB99" s="828">
        <v>6.7</v>
      </c>
      <c r="CC99" s="828">
        <v>7.15</v>
      </c>
      <c r="CD99" s="828">
        <v>7.6</v>
      </c>
      <c r="CE99" s="828">
        <v>8.1</v>
      </c>
      <c r="CF99" s="828">
        <v>8.6</v>
      </c>
      <c r="CG99" s="828">
        <v>9.1</v>
      </c>
      <c r="CH99" s="828">
        <v>9.65</v>
      </c>
      <c r="CI99" s="828">
        <v>10.199999999999999</v>
      </c>
      <c r="CJ99" s="1206"/>
      <c r="CQ99" s="1237">
        <v>29</v>
      </c>
      <c r="CR99" s="1260">
        <v>0.25</v>
      </c>
      <c r="CS99" s="1260">
        <v>0.25</v>
      </c>
      <c r="CT99" s="1260">
        <v>0.3</v>
      </c>
      <c r="CU99" s="1260">
        <v>0.3</v>
      </c>
      <c r="CV99" s="1260">
        <v>0.3</v>
      </c>
      <c r="CW99" s="1260">
        <v>0.3</v>
      </c>
      <c r="CX99" s="1260">
        <v>0.35</v>
      </c>
      <c r="CY99" s="1260">
        <v>0.35</v>
      </c>
      <c r="CZ99" s="1260">
        <v>0.35</v>
      </c>
      <c r="DA99" s="1260">
        <v>0.35</v>
      </c>
      <c r="DB99" s="1260">
        <v>0.4</v>
      </c>
      <c r="DC99" s="1260">
        <v>0.4</v>
      </c>
      <c r="DD99" s="1260">
        <v>0.4</v>
      </c>
      <c r="DE99" s="1260">
        <v>0.45</v>
      </c>
      <c r="DF99" s="1260">
        <v>0.45</v>
      </c>
      <c r="DG99" s="1260">
        <v>0.5</v>
      </c>
      <c r="DH99" s="1260">
        <v>0.5</v>
      </c>
      <c r="DI99" s="1260">
        <v>0.5</v>
      </c>
      <c r="DJ99" s="1260">
        <v>0.55000000000000004</v>
      </c>
      <c r="DK99" s="1260">
        <v>0.55000000000000004</v>
      </c>
      <c r="DL99" s="1260">
        <v>0.6</v>
      </c>
      <c r="DM99" s="1260">
        <v>0.6</v>
      </c>
      <c r="DN99" s="1260">
        <v>0.65</v>
      </c>
      <c r="DO99" s="1260">
        <v>0.65</v>
      </c>
      <c r="DP99" s="1222"/>
      <c r="DQ99" s="1237">
        <v>39</v>
      </c>
      <c r="DR99" s="1260">
        <v>0.56999999999999995</v>
      </c>
      <c r="DS99" s="1260">
        <v>0.59</v>
      </c>
      <c r="DT99" s="1260">
        <v>0.61</v>
      </c>
      <c r="DU99" s="1260">
        <v>0.64</v>
      </c>
      <c r="DV99" s="1260">
        <v>0.67</v>
      </c>
      <c r="DW99" s="1260">
        <v>0.72</v>
      </c>
      <c r="DX99" s="1260">
        <v>0.76</v>
      </c>
      <c r="DY99" s="1260">
        <v>0.79</v>
      </c>
      <c r="DZ99" s="1260">
        <v>0.83</v>
      </c>
      <c r="EA99" s="1260">
        <v>0.87</v>
      </c>
      <c r="EB99" s="1260">
        <v>0.93</v>
      </c>
      <c r="EC99" s="1260">
        <v>0.97</v>
      </c>
      <c r="ED99" s="1260">
        <v>1.01</v>
      </c>
      <c r="EE99" s="1260">
        <v>1.06</v>
      </c>
      <c r="EF99" s="1260">
        <v>1.1000000000000001</v>
      </c>
      <c r="EG99" s="1260">
        <v>1.1399999999999999</v>
      </c>
      <c r="EH99" s="1260">
        <v>1.18</v>
      </c>
      <c r="EI99" s="1260">
        <v>1.22</v>
      </c>
      <c r="EJ99" s="1260">
        <v>1.25</v>
      </c>
      <c r="EK99" s="1260">
        <v>1.29</v>
      </c>
      <c r="EL99" s="1260">
        <v>1.33</v>
      </c>
    </row>
    <row r="100" spans="2:142" ht="15" customHeight="1">
      <c r="B100" s="1255">
        <v>24</v>
      </c>
      <c r="C100" s="1256">
        <v>757.7</v>
      </c>
      <c r="D100" s="1256">
        <v>732.9</v>
      </c>
      <c r="E100" s="1256">
        <v>708.9</v>
      </c>
      <c r="F100" s="1258">
        <v>685.75</v>
      </c>
      <c r="G100" s="1258">
        <v>663.4</v>
      </c>
      <c r="H100" s="1258">
        <v>641.79999999999995</v>
      </c>
      <c r="I100" s="1258">
        <v>621</v>
      </c>
      <c r="J100" s="1258">
        <v>601</v>
      </c>
      <c r="K100" s="1258">
        <v>581.70000000000005</v>
      </c>
      <c r="L100" s="1258">
        <v>563.20000000000005</v>
      </c>
      <c r="M100" s="1258">
        <v>545.45000000000005</v>
      </c>
      <c r="N100" s="1258">
        <v>528.4</v>
      </c>
      <c r="O100" s="1258">
        <v>512.04999999999995</v>
      </c>
      <c r="P100" s="1258">
        <v>496.4</v>
      </c>
      <c r="Q100" s="1258">
        <v>481.4</v>
      </c>
      <c r="R100" s="1258">
        <v>467.1</v>
      </c>
      <c r="U100" s="1257">
        <v>37</v>
      </c>
      <c r="V100" s="1258">
        <v>81.349999999999994</v>
      </c>
      <c r="W100" s="1206"/>
      <c r="X100" s="1257">
        <v>37</v>
      </c>
      <c r="Y100" s="1258">
        <v>64.150000000000006</v>
      </c>
      <c r="Z100" s="1206"/>
      <c r="AB100" s="1207">
        <v>32</v>
      </c>
      <c r="AC100" s="1220">
        <v>86.5</v>
      </c>
      <c r="AD100" s="1220">
        <v>76.849999999999994</v>
      </c>
      <c r="AE100" s="1220">
        <v>68.900000000000006</v>
      </c>
      <c r="AF100" s="1220">
        <v>62.25</v>
      </c>
      <c r="AG100" s="1220">
        <v>56.65</v>
      </c>
      <c r="AH100" s="1220">
        <v>52.45</v>
      </c>
      <c r="AI100" s="1220">
        <v>48.25</v>
      </c>
      <c r="AJ100" s="1220">
        <v>44.6</v>
      </c>
      <c r="AK100" s="1220">
        <v>41.45</v>
      </c>
      <c r="AL100" s="1220">
        <v>38.65</v>
      </c>
      <c r="AM100" s="1220">
        <v>36.15</v>
      </c>
      <c r="AQ100" s="826">
        <v>42</v>
      </c>
      <c r="AR100" s="1258">
        <v>7.77</v>
      </c>
      <c r="AS100" s="826">
        <v>42</v>
      </c>
      <c r="AT100" s="1258">
        <v>8.56</v>
      </c>
      <c r="AY100" s="1207">
        <v>42</v>
      </c>
      <c r="AZ100" s="1207">
        <v>6.06</v>
      </c>
      <c r="BA100" s="1207">
        <v>6.17</v>
      </c>
      <c r="BB100" s="1207">
        <v>6.29</v>
      </c>
      <c r="BC100" s="1207">
        <v>6.43</v>
      </c>
      <c r="BD100" s="1207">
        <v>6.58</v>
      </c>
      <c r="BE100" s="1207">
        <v>6.84</v>
      </c>
      <c r="BF100" s="1207">
        <v>7</v>
      </c>
      <c r="BG100" s="1207">
        <v>7.18</v>
      </c>
      <c r="BH100" s="1207">
        <v>7.36</v>
      </c>
      <c r="BI100" s="1207">
        <v>7.55</v>
      </c>
      <c r="BJ100" s="1207">
        <v>7.74</v>
      </c>
      <c r="BK100" s="1207"/>
      <c r="BL100" s="1207"/>
      <c r="BN100" s="1207">
        <v>42</v>
      </c>
      <c r="BO100" s="828">
        <v>2.0499999999999998</v>
      </c>
      <c r="BP100" s="828">
        <v>2.2999999999999998</v>
      </c>
      <c r="BQ100" s="828">
        <v>2.5499999999999998</v>
      </c>
      <c r="BR100" s="828">
        <v>2.85</v>
      </c>
      <c r="BS100" s="828">
        <v>3.15</v>
      </c>
      <c r="BT100" s="828">
        <v>3.6</v>
      </c>
      <c r="BU100" s="828">
        <v>3.9</v>
      </c>
      <c r="BV100" s="828">
        <v>4.25</v>
      </c>
      <c r="BW100" s="828">
        <v>4.5999999999999996</v>
      </c>
      <c r="BX100" s="828">
        <v>5</v>
      </c>
      <c r="BY100" s="828">
        <v>5.45</v>
      </c>
      <c r="BZ100" s="828">
        <v>5.85</v>
      </c>
      <c r="CA100" s="828">
        <v>6.25</v>
      </c>
      <c r="CB100" s="828">
        <v>6.7</v>
      </c>
      <c r="CC100" s="828">
        <v>7.15</v>
      </c>
      <c r="CD100" s="828">
        <v>7.6</v>
      </c>
      <c r="CE100" s="828">
        <v>8.1</v>
      </c>
      <c r="CF100" s="828">
        <v>8.6</v>
      </c>
      <c r="CG100" s="828">
        <v>9.1</v>
      </c>
      <c r="CH100" s="828">
        <v>9.65</v>
      </c>
      <c r="CI100" s="828">
        <v>10.199999999999999</v>
      </c>
      <c r="CJ100" s="1206"/>
      <c r="CQ100" s="1237">
        <v>30</v>
      </c>
      <c r="CR100" s="1260">
        <v>0.25</v>
      </c>
      <c r="CS100" s="1260">
        <v>0.3</v>
      </c>
      <c r="CT100" s="1260">
        <v>0.3</v>
      </c>
      <c r="CU100" s="1260">
        <v>0.3</v>
      </c>
      <c r="CV100" s="1260">
        <v>0.3</v>
      </c>
      <c r="CW100" s="1260">
        <v>0.35</v>
      </c>
      <c r="CX100" s="1260">
        <v>0.35</v>
      </c>
      <c r="CY100" s="1260">
        <v>0.35</v>
      </c>
      <c r="CZ100" s="1260">
        <v>0.4</v>
      </c>
      <c r="DA100" s="1260">
        <v>0.4</v>
      </c>
      <c r="DB100" s="1260">
        <v>0.4</v>
      </c>
      <c r="DC100" s="1260">
        <v>0.45</v>
      </c>
      <c r="DD100" s="1260">
        <v>0.45</v>
      </c>
      <c r="DE100" s="1260">
        <v>0.45</v>
      </c>
      <c r="DF100" s="1260">
        <v>0.5</v>
      </c>
      <c r="DG100" s="1260">
        <v>0.5</v>
      </c>
      <c r="DH100" s="1260">
        <v>0.55000000000000004</v>
      </c>
      <c r="DI100" s="1260">
        <v>0.55000000000000004</v>
      </c>
      <c r="DJ100" s="1260">
        <v>0.6</v>
      </c>
      <c r="DK100" s="1260">
        <v>0.6</v>
      </c>
      <c r="DL100" s="1260">
        <v>0.65</v>
      </c>
      <c r="DM100" s="1260">
        <v>0.65</v>
      </c>
      <c r="DN100" s="1260">
        <v>0.7</v>
      </c>
      <c r="DO100" s="1260">
        <v>0.7</v>
      </c>
      <c r="DP100" s="1222"/>
      <c r="DQ100" s="1237">
        <v>40</v>
      </c>
      <c r="DR100" s="1260">
        <v>0.62</v>
      </c>
      <c r="DS100" s="1260">
        <v>0.64</v>
      </c>
      <c r="DT100" s="1260">
        <v>0.67</v>
      </c>
      <c r="DU100" s="1260">
        <v>0.71</v>
      </c>
      <c r="DV100" s="1260">
        <v>0.74</v>
      </c>
      <c r="DW100" s="1260">
        <v>0.8</v>
      </c>
      <c r="DX100" s="1260">
        <v>0.84</v>
      </c>
      <c r="DY100" s="1260">
        <v>0.88</v>
      </c>
      <c r="DZ100" s="1260">
        <v>0.92</v>
      </c>
      <c r="EA100" s="1260">
        <v>0.96</v>
      </c>
      <c r="EB100" s="1260">
        <v>1.03</v>
      </c>
      <c r="EC100" s="1260">
        <v>1.07</v>
      </c>
      <c r="ED100" s="1260">
        <v>1.1100000000000001</v>
      </c>
      <c r="EE100" s="1260">
        <v>1.1599999999999999</v>
      </c>
      <c r="EF100" s="1260">
        <v>1.2</v>
      </c>
      <c r="EG100" s="1260">
        <v>1.24</v>
      </c>
      <c r="EH100" s="1260">
        <v>1.28</v>
      </c>
      <c r="EI100" s="1260">
        <v>1.33</v>
      </c>
      <c r="EJ100" s="1260">
        <v>1.37</v>
      </c>
      <c r="EK100" s="1260">
        <v>1.41</v>
      </c>
      <c r="EL100" s="1260">
        <v>1.44</v>
      </c>
    </row>
    <row r="101" spans="2:142" ht="15" customHeight="1">
      <c r="B101" s="1255">
        <v>25</v>
      </c>
      <c r="C101" s="1256">
        <v>757.7</v>
      </c>
      <c r="D101" s="1256">
        <v>732.95</v>
      </c>
      <c r="E101" s="1258">
        <v>708.95</v>
      </c>
      <c r="F101" s="1258">
        <v>685.8</v>
      </c>
      <c r="G101" s="1258">
        <v>663.45</v>
      </c>
      <c r="H101" s="1258">
        <v>641.9</v>
      </c>
      <c r="I101" s="1258">
        <v>621.1</v>
      </c>
      <c r="J101" s="1258">
        <v>601.1</v>
      </c>
      <c r="K101" s="1258">
        <v>581.85</v>
      </c>
      <c r="L101" s="1258">
        <v>563.4</v>
      </c>
      <c r="M101" s="1258">
        <v>545.65</v>
      </c>
      <c r="N101" s="1258">
        <v>528.6</v>
      </c>
      <c r="O101" s="1258">
        <v>512.29999999999995</v>
      </c>
      <c r="P101" s="1258">
        <v>496.7</v>
      </c>
      <c r="Q101" s="1258">
        <v>481.75</v>
      </c>
      <c r="R101" s="1258">
        <v>467.5</v>
      </c>
      <c r="U101" s="1257">
        <v>38</v>
      </c>
      <c r="V101" s="1258">
        <v>81.849999999999994</v>
      </c>
      <c r="W101" s="1206"/>
      <c r="X101" s="1257">
        <v>38</v>
      </c>
      <c r="Y101" s="1258">
        <v>64.7</v>
      </c>
      <c r="Z101" s="1206"/>
      <c r="AB101" s="1207">
        <v>33</v>
      </c>
      <c r="AC101" s="1220">
        <v>86.6</v>
      </c>
      <c r="AD101" s="1220">
        <v>76.900000000000006</v>
      </c>
      <c r="AE101" s="1220">
        <v>68.95</v>
      </c>
      <c r="AF101" s="1220">
        <v>62.35</v>
      </c>
      <c r="AG101" s="1220">
        <v>56.75</v>
      </c>
      <c r="AH101" s="1220">
        <v>52.55</v>
      </c>
      <c r="AI101" s="1220">
        <v>48.35</v>
      </c>
      <c r="AJ101" s="1220">
        <v>44.7</v>
      </c>
      <c r="AK101" s="1220">
        <v>41.55</v>
      </c>
      <c r="AL101" s="1220">
        <v>38.75</v>
      </c>
      <c r="AM101" s="1220">
        <v>36.299999999999997</v>
      </c>
      <c r="AQ101" s="826">
        <v>43</v>
      </c>
      <c r="AR101" s="1258">
        <v>8.44</v>
      </c>
      <c r="AS101" s="1208">
        <v>43</v>
      </c>
      <c r="AT101" s="1258">
        <v>9.27</v>
      </c>
      <c r="AY101" s="1207">
        <v>43</v>
      </c>
      <c r="AZ101" s="1207">
        <v>6.65</v>
      </c>
      <c r="BA101" s="1207">
        <v>6.75</v>
      </c>
      <c r="BB101" s="1207">
        <v>6.88</v>
      </c>
      <c r="BC101" s="1207">
        <v>7.02</v>
      </c>
      <c r="BD101" s="1207">
        <v>7.18</v>
      </c>
      <c r="BE101" s="1207">
        <v>7.45</v>
      </c>
      <c r="BF101" s="1207">
        <v>7.62</v>
      </c>
      <c r="BG101" s="1207">
        <v>7.8</v>
      </c>
      <c r="BH101" s="1207">
        <v>8</v>
      </c>
      <c r="BI101" s="1207">
        <v>8.19</v>
      </c>
      <c r="BJ101" s="1207"/>
      <c r="BK101" s="1207"/>
      <c r="BL101" s="1207"/>
      <c r="BN101" s="1207">
        <v>43</v>
      </c>
      <c r="BO101" s="828">
        <v>2.0499999999999998</v>
      </c>
      <c r="BP101" s="828">
        <v>2.2999999999999998</v>
      </c>
      <c r="BQ101" s="828">
        <v>2.5499999999999998</v>
      </c>
      <c r="BR101" s="828">
        <v>2.85</v>
      </c>
      <c r="BS101" s="828">
        <v>3.15</v>
      </c>
      <c r="BT101" s="828">
        <v>3.6</v>
      </c>
      <c r="BU101" s="828">
        <v>3.9</v>
      </c>
      <c r="BV101" s="828">
        <v>4.25</v>
      </c>
      <c r="BW101" s="828">
        <v>4.5999999999999996</v>
      </c>
      <c r="BX101" s="828">
        <v>5</v>
      </c>
      <c r="BY101" s="828">
        <v>5.45</v>
      </c>
      <c r="BZ101" s="828">
        <v>5.85</v>
      </c>
      <c r="CA101" s="828">
        <v>6.25</v>
      </c>
      <c r="CB101" s="828">
        <v>6.7</v>
      </c>
      <c r="CC101" s="828">
        <v>7.15</v>
      </c>
      <c r="CD101" s="828">
        <v>7.6</v>
      </c>
      <c r="CE101" s="828">
        <v>8.1</v>
      </c>
      <c r="CF101" s="828">
        <v>8.6</v>
      </c>
      <c r="CG101" s="828">
        <v>9.1</v>
      </c>
      <c r="CH101" s="828">
        <v>9.65</v>
      </c>
      <c r="CI101" s="828">
        <v>10.199999999999999</v>
      </c>
      <c r="CJ101" s="1206"/>
      <c r="CQ101" s="1237">
        <v>31</v>
      </c>
      <c r="CR101" s="1260">
        <v>0.3</v>
      </c>
      <c r="CS101" s="1260">
        <v>0.3</v>
      </c>
      <c r="CT101" s="1260">
        <v>0.3</v>
      </c>
      <c r="CU101" s="1260">
        <v>0.35</v>
      </c>
      <c r="CV101" s="1260">
        <v>0.35</v>
      </c>
      <c r="CW101" s="1260">
        <v>0.35</v>
      </c>
      <c r="CX101" s="1260">
        <v>0.35</v>
      </c>
      <c r="CY101" s="1260">
        <v>0.4</v>
      </c>
      <c r="CZ101" s="1260">
        <v>0.4</v>
      </c>
      <c r="DA101" s="1260">
        <v>0.4</v>
      </c>
      <c r="DB101" s="1260">
        <v>0.45</v>
      </c>
      <c r="DC101" s="1260">
        <v>0.45</v>
      </c>
      <c r="DD101" s="1260">
        <v>0.5</v>
      </c>
      <c r="DE101" s="1260">
        <v>0.5</v>
      </c>
      <c r="DF101" s="1260">
        <v>0.5</v>
      </c>
      <c r="DG101" s="1260">
        <v>0.55000000000000004</v>
      </c>
      <c r="DH101" s="1260">
        <v>0.55000000000000004</v>
      </c>
      <c r="DI101" s="1260">
        <v>0.6</v>
      </c>
      <c r="DJ101" s="1260">
        <v>0.65</v>
      </c>
      <c r="DK101" s="1260">
        <v>0.65</v>
      </c>
      <c r="DL101" s="1260">
        <v>0.7</v>
      </c>
      <c r="DM101" s="1260">
        <v>0.7</v>
      </c>
      <c r="DN101" s="1260">
        <v>0.75</v>
      </c>
      <c r="DO101" s="1260">
        <v>0.75</v>
      </c>
      <c r="DP101" s="1222"/>
      <c r="DQ101" s="1237">
        <v>41</v>
      </c>
      <c r="DR101" s="1260">
        <v>0.68</v>
      </c>
      <c r="DS101" s="1260">
        <v>0.71</v>
      </c>
      <c r="DT101" s="1260">
        <v>0.74</v>
      </c>
      <c r="DU101" s="1260">
        <v>0.78</v>
      </c>
      <c r="DV101" s="1260">
        <v>0.82</v>
      </c>
      <c r="DW101" s="1260">
        <v>0.88</v>
      </c>
      <c r="DX101" s="1260">
        <v>0.92</v>
      </c>
      <c r="DY101" s="1260">
        <v>0.97</v>
      </c>
      <c r="DZ101" s="1260">
        <v>1.01</v>
      </c>
      <c r="EA101" s="1260">
        <v>1.06</v>
      </c>
      <c r="EB101" s="1260">
        <v>1.1299999999999999</v>
      </c>
      <c r="EC101" s="1260">
        <v>1.18</v>
      </c>
      <c r="ED101" s="1260">
        <v>1.22</v>
      </c>
      <c r="EE101" s="1260">
        <v>1.27</v>
      </c>
      <c r="EF101" s="1260">
        <v>1.31</v>
      </c>
      <c r="EG101" s="1260">
        <v>1.36</v>
      </c>
      <c r="EH101" s="1260">
        <v>1.4</v>
      </c>
      <c r="EI101" s="1260">
        <v>1.44</v>
      </c>
      <c r="EJ101" s="1260">
        <v>1.48</v>
      </c>
      <c r="EK101" s="1260">
        <v>1.53</v>
      </c>
      <c r="EL101" s="1242" t="s">
        <v>39</v>
      </c>
    </row>
    <row r="102" spans="2:142" ht="15" customHeight="1">
      <c r="B102" s="1255">
        <v>26</v>
      </c>
      <c r="C102" s="1256">
        <v>757.75</v>
      </c>
      <c r="D102" s="1258">
        <v>732.95</v>
      </c>
      <c r="E102" s="1258">
        <v>709</v>
      </c>
      <c r="F102" s="1258">
        <v>685.85</v>
      </c>
      <c r="G102" s="1258">
        <v>663.5</v>
      </c>
      <c r="H102" s="1258">
        <v>642</v>
      </c>
      <c r="I102" s="1258">
        <v>621.20000000000005</v>
      </c>
      <c r="J102" s="1258">
        <v>601.25</v>
      </c>
      <c r="K102" s="1258">
        <v>582.04999999999995</v>
      </c>
      <c r="L102" s="1258">
        <v>563.6</v>
      </c>
      <c r="M102" s="1258">
        <v>545.85</v>
      </c>
      <c r="N102" s="1258">
        <v>528.9</v>
      </c>
      <c r="O102" s="1258">
        <v>512.65</v>
      </c>
      <c r="P102" s="1258">
        <v>497.05</v>
      </c>
      <c r="Q102" s="1258">
        <v>482.2</v>
      </c>
      <c r="R102" s="1258">
        <v>468</v>
      </c>
      <c r="U102" s="1257">
        <v>39</v>
      </c>
      <c r="V102" s="1258">
        <v>82.35</v>
      </c>
      <c r="W102" s="1206"/>
      <c r="X102" s="1257">
        <v>39</v>
      </c>
      <c r="Y102" s="1258">
        <v>65.3</v>
      </c>
      <c r="Z102" s="1206"/>
      <c r="AB102" s="1207">
        <v>34</v>
      </c>
      <c r="AC102" s="1220">
        <v>86.65</v>
      </c>
      <c r="AD102" s="1220">
        <v>77</v>
      </c>
      <c r="AE102" s="1220">
        <v>69.05</v>
      </c>
      <c r="AF102" s="1220">
        <v>62.4</v>
      </c>
      <c r="AG102" s="1220">
        <v>56.8</v>
      </c>
      <c r="AH102" s="1220">
        <v>52.65</v>
      </c>
      <c r="AI102" s="1220">
        <v>48.45</v>
      </c>
      <c r="AJ102" s="1220">
        <v>44.85</v>
      </c>
      <c r="AK102" s="1220">
        <v>41.65</v>
      </c>
      <c r="AL102" s="1220">
        <v>38.9</v>
      </c>
      <c r="AM102" s="1220">
        <v>36.450000000000003</v>
      </c>
      <c r="AQ102" s="826">
        <v>44</v>
      </c>
      <c r="AR102" s="1258">
        <v>9.17</v>
      </c>
      <c r="AS102" s="826">
        <v>44</v>
      </c>
      <c r="AT102" s="1258">
        <v>10.050000000000001</v>
      </c>
      <c r="AY102" s="1207">
        <v>44</v>
      </c>
      <c r="AZ102" s="1207">
        <v>7.28</v>
      </c>
      <c r="BA102" s="1207">
        <v>7.39</v>
      </c>
      <c r="BB102" s="1207">
        <v>7.52</v>
      </c>
      <c r="BC102" s="1207">
        <v>7.66</v>
      </c>
      <c r="BD102" s="1207">
        <v>7.82</v>
      </c>
      <c r="BE102" s="1207">
        <v>8.11</v>
      </c>
      <c r="BF102" s="1207">
        <v>8.2899999999999991</v>
      </c>
      <c r="BG102" s="1207">
        <v>8.48</v>
      </c>
      <c r="BH102" s="1207">
        <v>8.68</v>
      </c>
      <c r="BI102" s="1207"/>
      <c r="BJ102" s="1207"/>
      <c r="BK102" s="1207"/>
      <c r="BL102" s="1207"/>
      <c r="BN102" s="1207">
        <v>44</v>
      </c>
      <c r="BO102" s="828">
        <v>2.0499999999999998</v>
      </c>
      <c r="BP102" s="828">
        <v>2.2999999999999998</v>
      </c>
      <c r="BQ102" s="828">
        <v>2.5499999999999998</v>
      </c>
      <c r="BR102" s="828">
        <v>2.85</v>
      </c>
      <c r="BS102" s="828">
        <v>3.15</v>
      </c>
      <c r="BT102" s="828">
        <v>3.6</v>
      </c>
      <c r="BU102" s="828">
        <v>3.9</v>
      </c>
      <c r="BV102" s="828">
        <v>4.25</v>
      </c>
      <c r="BW102" s="828">
        <v>4.5999999999999996</v>
      </c>
      <c r="BX102" s="828">
        <v>5</v>
      </c>
      <c r="BY102" s="828">
        <v>5.45</v>
      </c>
      <c r="BZ102" s="828">
        <v>5.85</v>
      </c>
      <c r="CA102" s="828">
        <v>6.25</v>
      </c>
      <c r="CB102" s="828">
        <v>6.7</v>
      </c>
      <c r="CC102" s="828">
        <v>7.15</v>
      </c>
      <c r="CD102" s="828">
        <v>7.6</v>
      </c>
      <c r="CE102" s="828">
        <v>8.1</v>
      </c>
      <c r="CF102" s="828">
        <v>8.6</v>
      </c>
      <c r="CG102" s="828">
        <v>9.1</v>
      </c>
      <c r="CH102" s="828">
        <v>9.65</v>
      </c>
      <c r="CI102" s="828">
        <v>10.199999999999999</v>
      </c>
      <c r="CJ102" s="1206"/>
      <c r="CQ102" s="1237">
        <v>32</v>
      </c>
      <c r="CR102" s="1260">
        <v>0.3</v>
      </c>
      <c r="CS102" s="1260">
        <v>0.3</v>
      </c>
      <c r="CT102" s="1260">
        <v>0.3</v>
      </c>
      <c r="CU102" s="1260">
        <v>0.35</v>
      </c>
      <c r="CV102" s="1260">
        <v>0.35</v>
      </c>
      <c r="CW102" s="1260">
        <v>0.4</v>
      </c>
      <c r="CX102" s="1260">
        <v>0.4</v>
      </c>
      <c r="CY102" s="1260">
        <v>0.4</v>
      </c>
      <c r="CZ102" s="1260">
        <v>0.45</v>
      </c>
      <c r="DA102" s="1260">
        <v>0.45</v>
      </c>
      <c r="DB102" s="1260">
        <v>0.45</v>
      </c>
      <c r="DC102" s="1260">
        <v>0.5</v>
      </c>
      <c r="DD102" s="1260">
        <v>0.5</v>
      </c>
      <c r="DE102" s="1260">
        <v>0.55000000000000004</v>
      </c>
      <c r="DF102" s="1260">
        <v>0.55000000000000004</v>
      </c>
      <c r="DG102" s="1260">
        <v>0.6</v>
      </c>
      <c r="DH102" s="1260">
        <v>0.6</v>
      </c>
      <c r="DI102" s="1260">
        <v>0.65</v>
      </c>
      <c r="DJ102" s="1260">
        <v>0.7</v>
      </c>
      <c r="DK102" s="1260">
        <v>0.7</v>
      </c>
      <c r="DL102" s="1260">
        <v>0.75</v>
      </c>
      <c r="DM102" s="1260">
        <v>0.75</v>
      </c>
      <c r="DN102" s="1260">
        <v>0.8</v>
      </c>
      <c r="DO102" s="1260">
        <v>0.8</v>
      </c>
      <c r="DP102" s="1222"/>
      <c r="DQ102" s="1237">
        <v>42</v>
      </c>
      <c r="DR102" s="1260">
        <v>0.75</v>
      </c>
      <c r="DS102" s="1260">
        <v>0.78</v>
      </c>
      <c r="DT102" s="1260">
        <v>0.82</v>
      </c>
      <c r="DU102" s="1260">
        <v>0.86</v>
      </c>
      <c r="DV102" s="1260">
        <v>0.91</v>
      </c>
      <c r="DW102" s="1260">
        <v>0.98</v>
      </c>
      <c r="DX102" s="1260">
        <v>1.02</v>
      </c>
      <c r="DY102" s="1260">
        <v>1.07</v>
      </c>
      <c r="DZ102" s="1260">
        <v>1.1200000000000001</v>
      </c>
      <c r="EA102" s="1260">
        <v>1.17</v>
      </c>
      <c r="EB102" s="1260">
        <v>1.25</v>
      </c>
      <c r="EC102" s="1260">
        <v>1.29</v>
      </c>
      <c r="ED102" s="1260">
        <v>1.34</v>
      </c>
      <c r="EE102" s="1260">
        <v>1.39</v>
      </c>
      <c r="EF102" s="1260">
        <v>1.43</v>
      </c>
      <c r="EG102" s="1260">
        <v>1.48</v>
      </c>
      <c r="EH102" s="1260">
        <v>1.52</v>
      </c>
      <c r="EI102" s="1260">
        <v>1.57</v>
      </c>
      <c r="EJ102" s="1260">
        <v>1.61</v>
      </c>
      <c r="EK102" s="1242" t="s">
        <v>39</v>
      </c>
      <c r="EL102" s="1242" t="s">
        <v>39</v>
      </c>
    </row>
    <row r="103" spans="2:142" ht="15" customHeight="1">
      <c r="B103" s="1255">
        <v>27</v>
      </c>
      <c r="C103" s="1258">
        <v>757.8</v>
      </c>
      <c r="D103" s="1258">
        <v>733</v>
      </c>
      <c r="E103" s="1258">
        <v>709.05</v>
      </c>
      <c r="F103" s="1258">
        <v>685.95</v>
      </c>
      <c r="G103" s="1258">
        <v>663.6</v>
      </c>
      <c r="H103" s="1258">
        <v>642.1</v>
      </c>
      <c r="I103" s="1258">
        <v>621.35</v>
      </c>
      <c r="J103" s="1258">
        <v>601.4</v>
      </c>
      <c r="K103" s="1258">
        <v>582.25</v>
      </c>
      <c r="L103" s="1258">
        <v>563.79999999999995</v>
      </c>
      <c r="M103" s="1258">
        <v>546.15</v>
      </c>
      <c r="N103" s="1258">
        <v>529.20000000000005</v>
      </c>
      <c r="O103" s="1258">
        <v>513</v>
      </c>
      <c r="P103" s="1258">
        <v>497.5</v>
      </c>
      <c r="Q103" s="1258">
        <v>482.7</v>
      </c>
      <c r="R103" s="1258">
        <v>468.55</v>
      </c>
      <c r="U103" s="1257">
        <v>40</v>
      </c>
      <c r="V103" s="1258">
        <v>82.95</v>
      </c>
      <c r="W103" s="1206"/>
      <c r="X103" s="1257">
        <v>40</v>
      </c>
      <c r="Y103" s="1258">
        <v>65.95</v>
      </c>
      <c r="Z103" s="1206"/>
      <c r="AB103" s="1207">
        <v>35</v>
      </c>
      <c r="AC103" s="1220">
        <v>86.75</v>
      </c>
      <c r="AD103" s="1220">
        <v>77.05</v>
      </c>
      <c r="AE103" s="1220">
        <v>69.150000000000006</v>
      </c>
      <c r="AF103" s="1220">
        <v>62.5</v>
      </c>
      <c r="AG103" s="1220">
        <v>56.95</v>
      </c>
      <c r="AH103" s="1220">
        <v>52.75</v>
      </c>
      <c r="AI103" s="1220">
        <v>48.6</v>
      </c>
      <c r="AJ103" s="1220">
        <v>44.95</v>
      </c>
      <c r="AK103" s="1220">
        <v>41.8</v>
      </c>
      <c r="AL103" s="1220">
        <v>39.049999999999997</v>
      </c>
      <c r="AM103" s="1220">
        <v>36.6</v>
      </c>
      <c r="AQ103" s="826">
        <v>45</v>
      </c>
      <c r="AR103" s="1258">
        <v>9.9499999999999993</v>
      </c>
      <c r="AS103" s="1208">
        <v>45</v>
      </c>
      <c r="AT103" s="1258">
        <v>10.88</v>
      </c>
      <c r="AY103" s="1207">
        <v>45</v>
      </c>
      <c r="AZ103" s="1207">
        <v>7.97</v>
      </c>
      <c r="BA103" s="1207">
        <v>8.07</v>
      </c>
      <c r="BB103" s="1207">
        <v>8.1999999999999993</v>
      </c>
      <c r="BC103" s="1207">
        <v>8.35</v>
      </c>
      <c r="BD103" s="1207">
        <v>8.51</v>
      </c>
      <c r="BE103" s="1207">
        <v>8.82</v>
      </c>
      <c r="BF103" s="1207">
        <v>9.01</v>
      </c>
      <c r="BG103" s="1207">
        <v>9.2100000000000009</v>
      </c>
      <c r="BH103" s="1207"/>
      <c r="BI103" s="1207"/>
      <c r="BJ103" s="1207"/>
      <c r="BK103" s="1207"/>
      <c r="BL103" s="1207"/>
      <c r="BN103" s="1207">
        <v>45</v>
      </c>
      <c r="BO103" s="828">
        <v>2.0499999999999998</v>
      </c>
      <c r="BP103" s="828">
        <v>2.2999999999999998</v>
      </c>
      <c r="BQ103" s="828">
        <v>2.5499999999999998</v>
      </c>
      <c r="BR103" s="828">
        <v>2.85</v>
      </c>
      <c r="BS103" s="828">
        <v>3.15</v>
      </c>
      <c r="BT103" s="828">
        <v>3.6</v>
      </c>
      <c r="BU103" s="828">
        <v>3.9</v>
      </c>
      <c r="BV103" s="828">
        <v>4.25</v>
      </c>
      <c r="BW103" s="828">
        <v>4.5999999999999996</v>
      </c>
      <c r="BX103" s="828">
        <v>5</v>
      </c>
      <c r="BY103" s="828">
        <v>5.45</v>
      </c>
      <c r="BZ103" s="828">
        <v>5.85</v>
      </c>
      <c r="CA103" s="828">
        <v>6.25</v>
      </c>
      <c r="CB103" s="828">
        <v>6.7</v>
      </c>
      <c r="CC103" s="828">
        <v>7.15</v>
      </c>
      <c r="CD103" s="828">
        <v>7.6</v>
      </c>
      <c r="CE103" s="828">
        <v>8.1</v>
      </c>
      <c r="CF103" s="828">
        <v>8.6</v>
      </c>
      <c r="CG103" s="828">
        <v>9.1</v>
      </c>
      <c r="CH103" s="828">
        <v>9.65</v>
      </c>
      <c r="CI103" s="828">
        <v>10.199999999999999</v>
      </c>
      <c r="CJ103" s="1206"/>
      <c r="CQ103" s="1237">
        <v>33</v>
      </c>
      <c r="CR103" s="1260">
        <v>0.3</v>
      </c>
      <c r="CS103" s="1260">
        <v>0.35</v>
      </c>
      <c r="CT103" s="1260">
        <v>0.35</v>
      </c>
      <c r="CU103" s="1260">
        <v>0.35</v>
      </c>
      <c r="CV103" s="1260">
        <v>0.4</v>
      </c>
      <c r="CW103" s="1260">
        <v>0.4</v>
      </c>
      <c r="CX103" s="1260">
        <v>0.4</v>
      </c>
      <c r="CY103" s="1260">
        <v>0.45</v>
      </c>
      <c r="CZ103" s="1260">
        <v>0.45</v>
      </c>
      <c r="DA103" s="1260">
        <v>0.5</v>
      </c>
      <c r="DB103" s="1260">
        <v>0.5</v>
      </c>
      <c r="DC103" s="1260">
        <v>0.55000000000000004</v>
      </c>
      <c r="DD103" s="1260">
        <v>0.55000000000000004</v>
      </c>
      <c r="DE103" s="1260">
        <v>0.6</v>
      </c>
      <c r="DF103" s="1260">
        <v>0.6</v>
      </c>
      <c r="DG103" s="1260">
        <v>0.65</v>
      </c>
      <c r="DH103" s="1260">
        <v>0.65</v>
      </c>
      <c r="DI103" s="1260">
        <v>0.7</v>
      </c>
      <c r="DJ103" s="1260">
        <v>0.75</v>
      </c>
      <c r="DK103" s="1260">
        <v>0.75</v>
      </c>
      <c r="DL103" s="1260">
        <v>0.8</v>
      </c>
      <c r="DM103" s="1260">
        <v>0.8</v>
      </c>
      <c r="DN103" s="1260">
        <v>0.85</v>
      </c>
      <c r="DO103" s="1260">
        <v>0.9</v>
      </c>
      <c r="DP103" s="1222"/>
      <c r="DQ103" s="1237">
        <v>43</v>
      </c>
      <c r="DR103" s="1260">
        <v>0.83</v>
      </c>
      <c r="DS103" s="1260">
        <v>0.87</v>
      </c>
      <c r="DT103" s="1260">
        <v>0.91</v>
      </c>
      <c r="DU103" s="1260">
        <v>0.96</v>
      </c>
      <c r="DV103" s="1260">
        <v>1.01</v>
      </c>
      <c r="DW103" s="1260">
        <v>1.08</v>
      </c>
      <c r="DX103" s="1260">
        <v>1.1299999999999999</v>
      </c>
      <c r="DY103" s="1260">
        <v>1.18</v>
      </c>
      <c r="DZ103" s="1260">
        <v>1.24</v>
      </c>
      <c r="EA103" s="1260">
        <v>1.28</v>
      </c>
      <c r="EB103" s="1260">
        <v>1.37</v>
      </c>
      <c r="EC103" s="1260">
        <v>1.42</v>
      </c>
      <c r="ED103" s="1260">
        <v>1.47</v>
      </c>
      <c r="EE103" s="1260">
        <v>1.52</v>
      </c>
      <c r="EF103" s="1260">
        <v>1.56</v>
      </c>
      <c r="EG103" s="1260">
        <v>1.61</v>
      </c>
      <c r="EH103" s="1260">
        <v>1.66</v>
      </c>
      <c r="EI103" s="1260">
        <v>1.71</v>
      </c>
      <c r="EJ103" s="1242" t="s">
        <v>39</v>
      </c>
      <c r="EK103" s="1242" t="s">
        <v>39</v>
      </c>
      <c r="EL103" s="1242" t="s">
        <v>39</v>
      </c>
    </row>
    <row r="104" spans="2:142" ht="15" customHeight="1">
      <c r="B104" s="1254">
        <v>28</v>
      </c>
      <c r="C104" s="1258">
        <v>757.85</v>
      </c>
      <c r="D104" s="1258">
        <v>733.1</v>
      </c>
      <c r="E104" s="1258">
        <v>709.15</v>
      </c>
      <c r="F104" s="1258">
        <v>686.05</v>
      </c>
      <c r="G104" s="1258">
        <v>663.75</v>
      </c>
      <c r="H104" s="1258">
        <v>642.25</v>
      </c>
      <c r="I104" s="1258">
        <v>621.54999999999995</v>
      </c>
      <c r="J104" s="1258">
        <v>601.6</v>
      </c>
      <c r="K104" s="1258">
        <v>582.5</v>
      </c>
      <c r="L104" s="1258">
        <v>564.1</v>
      </c>
      <c r="M104" s="1258">
        <v>546.5</v>
      </c>
      <c r="N104" s="1258">
        <v>529.6</v>
      </c>
      <c r="O104" s="1258">
        <v>513.45000000000005</v>
      </c>
      <c r="P104" s="1258">
        <v>498</v>
      </c>
      <c r="Q104" s="1258">
        <v>483.3</v>
      </c>
      <c r="R104" s="1258">
        <v>469.25</v>
      </c>
      <c r="U104" s="1257">
        <v>41</v>
      </c>
      <c r="V104" s="1258">
        <v>83.55</v>
      </c>
      <c r="W104" s="1206"/>
      <c r="X104" s="1257">
        <v>41</v>
      </c>
      <c r="Y104" s="1258">
        <v>66.05</v>
      </c>
      <c r="Z104" s="1206"/>
      <c r="AB104" s="1207">
        <v>36</v>
      </c>
      <c r="AC104" s="1220">
        <v>86.8</v>
      </c>
      <c r="AD104" s="1220">
        <v>77.150000000000006</v>
      </c>
      <c r="AE104" s="1220">
        <v>69.25</v>
      </c>
      <c r="AF104" s="1220">
        <v>62.65</v>
      </c>
      <c r="AG104" s="1220">
        <v>57.05</v>
      </c>
      <c r="AH104" s="1220">
        <v>52.9</v>
      </c>
      <c r="AI104" s="1220">
        <v>48.75</v>
      </c>
      <c r="AJ104" s="1220">
        <v>45.1</v>
      </c>
      <c r="AK104" s="1220">
        <v>41.95</v>
      </c>
      <c r="AL104" s="1220">
        <v>39.200000000000003</v>
      </c>
      <c r="AM104" s="1220">
        <v>36.799999999999997</v>
      </c>
      <c r="AQ104" s="826">
        <v>46</v>
      </c>
      <c r="AR104" s="1258">
        <v>10.8</v>
      </c>
      <c r="AS104" s="1261"/>
      <c r="AT104" s="1261"/>
      <c r="AY104" s="1207">
        <v>46</v>
      </c>
      <c r="AZ104" s="1207">
        <v>8.6999999999999993</v>
      </c>
      <c r="BA104" s="1207">
        <v>8.8000000000000007</v>
      </c>
      <c r="BB104" s="1207">
        <v>8.93</v>
      </c>
      <c r="BC104" s="1207">
        <v>9.08</v>
      </c>
      <c r="BD104" s="1207">
        <v>9.25</v>
      </c>
      <c r="BE104" s="1207">
        <v>9.58</v>
      </c>
      <c r="BF104" s="1207">
        <v>9.7799999999999994</v>
      </c>
      <c r="BG104" s="1207"/>
      <c r="BH104" s="1207"/>
      <c r="BI104" s="1207"/>
      <c r="BJ104" s="1207"/>
      <c r="BK104" s="1207"/>
      <c r="BL104" s="1207"/>
      <c r="BN104" s="1207">
        <v>46</v>
      </c>
      <c r="BO104" s="828">
        <v>2.7</v>
      </c>
      <c r="BP104" s="828">
        <v>3.1</v>
      </c>
      <c r="BQ104" s="828">
        <v>3.55</v>
      </c>
      <c r="BR104" s="828">
        <v>4.05</v>
      </c>
      <c r="BS104" s="828">
        <v>4.5</v>
      </c>
      <c r="BT104" s="828">
        <v>5.2</v>
      </c>
      <c r="BU104" s="828">
        <v>5.75</v>
      </c>
      <c r="BV104" s="828">
        <v>6.3</v>
      </c>
      <c r="BW104" s="828">
        <v>6.85</v>
      </c>
      <c r="BX104" s="828">
        <v>7.45</v>
      </c>
      <c r="BY104" s="828">
        <v>8.1999999999999993</v>
      </c>
      <c r="BZ104" s="828">
        <v>8.8000000000000007</v>
      </c>
      <c r="CA104" s="828">
        <v>9.5</v>
      </c>
      <c r="CB104" s="828">
        <v>10.199999999999999</v>
      </c>
      <c r="CC104" s="828">
        <v>10.9</v>
      </c>
      <c r="CD104" s="828">
        <v>11.65</v>
      </c>
      <c r="CE104" s="828">
        <v>12.4</v>
      </c>
      <c r="CF104" s="828">
        <v>13.2</v>
      </c>
      <c r="CG104" s="828">
        <v>14.05</v>
      </c>
      <c r="CH104" s="828">
        <v>14.9</v>
      </c>
      <c r="CI104" s="828">
        <v>15.8</v>
      </c>
      <c r="CJ104" s="1206"/>
      <c r="CQ104" s="1237">
        <v>34</v>
      </c>
      <c r="CR104" s="1260">
        <v>0.35</v>
      </c>
      <c r="CS104" s="1260">
        <v>0.35</v>
      </c>
      <c r="CT104" s="1260">
        <v>0.35</v>
      </c>
      <c r="CU104" s="1260">
        <v>0.4</v>
      </c>
      <c r="CV104" s="1260">
        <v>0.4</v>
      </c>
      <c r="CW104" s="1260">
        <v>0.45</v>
      </c>
      <c r="CX104" s="1260">
        <v>0.45</v>
      </c>
      <c r="CY104" s="1260">
        <v>0.5</v>
      </c>
      <c r="CZ104" s="1260">
        <v>0.5</v>
      </c>
      <c r="DA104" s="1260">
        <v>0.55000000000000004</v>
      </c>
      <c r="DB104" s="1260">
        <v>0.55000000000000004</v>
      </c>
      <c r="DC104" s="1260">
        <v>0.6</v>
      </c>
      <c r="DD104" s="1260">
        <v>0.6</v>
      </c>
      <c r="DE104" s="1260">
        <v>0.65</v>
      </c>
      <c r="DF104" s="1260">
        <v>0.65</v>
      </c>
      <c r="DG104" s="1260">
        <v>0.7</v>
      </c>
      <c r="DH104" s="1260">
        <v>0.75</v>
      </c>
      <c r="DI104" s="1260">
        <v>0.75</v>
      </c>
      <c r="DJ104" s="1260">
        <v>0.8</v>
      </c>
      <c r="DK104" s="1260">
        <v>0.85</v>
      </c>
      <c r="DL104" s="1260">
        <v>0.85</v>
      </c>
      <c r="DM104" s="1260">
        <v>0.9</v>
      </c>
      <c r="DN104" s="1260">
        <v>0.95</v>
      </c>
      <c r="DO104" s="1260">
        <v>0.95</v>
      </c>
      <c r="DP104" s="1222"/>
      <c r="DQ104" s="1237">
        <v>44</v>
      </c>
      <c r="DR104" s="1260">
        <v>0.92</v>
      </c>
      <c r="DS104" s="1260">
        <v>0.96</v>
      </c>
      <c r="DT104" s="1260">
        <v>1.01</v>
      </c>
      <c r="DU104" s="1260">
        <v>1.06</v>
      </c>
      <c r="DV104" s="1260">
        <v>1.1200000000000001</v>
      </c>
      <c r="DW104" s="1260">
        <v>1.2</v>
      </c>
      <c r="DX104" s="1260">
        <v>1.25</v>
      </c>
      <c r="DY104" s="1260">
        <v>1.31</v>
      </c>
      <c r="DZ104" s="1260">
        <v>1.36</v>
      </c>
      <c r="EA104" s="1260">
        <v>1.41</v>
      </c>
      <c r="EB104" s="1260">
        <v>1.5</v>
      </c>
      <c r="EC104" s="1260">
        <v>1.55</v>
      </c>
      <c r="ED104" s="1260">
        <v>1.6</v>
      </c>
      <c r="EE104" s="1260">
        <v>1.65</v>
      </c>
      <c r="EF104" s="1260">
        <v>1.71</v>
      </c>
      <c r="EG104" s="1260">
        <v>1.75</v>
      </c>
      <c r="EH104" s="1260">
        <v>1.8</v>
      </c>
      <c r="EI104" s="1242" t="s">
        <v>39</v>
      </c>
      <c r="EJ104" s="1242" t="s">
        <v>39</v>
      </c>
      <c r="EK104" s="1242" t="s">
        <v>39</v>
      </c>
      <c r="EL104" s="1242" t="s">
        <v>39</v>
      </c>
    </row>
    <row r="105" spans="2:142" ht="15" customHeight="1">
      <c r="B105" s="1254">
        <v>29</v>
      </c>
      <c r="C105" s="1258">
        <v>757.9</v>
      </c>
      <c r="D105" s="1258">
        <v>733.15</v>
      </c>
      <c r="E105" s="1258">
        <v>709.25</v>
      </c>
      <c r="F105" s="1258">
        <v>686.15</v>
      </c>
      <c r="G105" s="1258">
        <v>663.85</v>
      </c>
      <c r="H105" s="1258">
        <v>642.4</v>
      </c>
      <c r="I105" s="1258">
        <v>621.75</v>
      </c>
      <c r="J105" s="1258">
        <v>601.85</v>
      </c>
      <c r="K105" s="1258">
        <v>582.75</v>
      </c>
      <c r="L105" s="1258">
        <v>564.45000000000005</v>
      </c>
      <c r="M105" s="1258">
        <v>546.9</v>
      </c>
      <c r="N105" s="1258">
        <v>530.04999999999995</v>
      </c>
      <c r="O105" s="1258">
        <v>514</v>
      </c>
      <c r="P105" s="1258">
        <v>498.6</v>
      </c>
      <c r="Q105" s="1258">
        <v>483.95</v>
      </c>
      <c r="R105" s="1258">
        <v>470</v>
      </c>
      <c r="U105" s="1257">
        <v>42</v>
      </c>
      <c r="V105" s="1258">
        <v>84.25</v>
      </c>
      <c r="W105" s="1206"/>
      <c r="X105" s="1257">
        <v>42</v>
      </c>
      <c r="Y105" s="1258">
        <v>67.45</v>
      </c>
      <c r="Z105" s="1206"/>
      <c r="AB105" s="1207">
        <v>37</v>
      </c>
      <c r="AC105" s="1220">
        <v>86.95</v>
      </c>
      <c r="AD105" s="1220">
        <v>77.3</v>
      </c>
      <c r="AE105" s="1220">
        <v>69.349999999999994</v>
      </c>
      <c r="AF105" s="1220">
        <v>62.75</v>
      </c>
      <c r="AG105" s="1220">
        <v>57.2</v>
      </c>
      <c r="AH105" s="1220">
        <v>53.05</v>
      </c>
      <c r="AI105" s="1220">
        <v>48.9</v>
      </c>
      <c r="AJ105" s="1220">
        <v>45.3</v>
      </c>
      <c r="AK105" s="1220">
        <v>42.15</v>
      </c>
      <c r="AL105" s="1220">
        <v>39.4</v>
      </c>
      <c r="AM105" s="1220">
        <v>37</v>
      </c>
      <c r="AQ105" s="826">
        <v>47</v>
      </c>
      <c r="AR105" s="1258">
        <v>11.7</v>
      </c>
      <c r="AS105" s="1208"/>
      <c r="AT105" s="1208"/>
      <c r="AY105" s="1207">
        <v>47</v>
      </c>
      <c r="AZ105" s="1207">
        <v>9.48</v>
      </c>
      <c r="BA105" s="1207">
        <v>9.58</v>
      </c>
      <c r="BB105" s="1207">
        <v>9.7100000000000009</v>
      </c>
      <c r="BC105" s="1207">
        <v>9.86</v>
      </c>
      <c r="BD105" s="1207">
        <v>10.039999999999999</v>
      </c>
      <c r="BE105" s="1207">
        <v>10.4</v>
      </c>
      <c r="BF105" s="1207" t="s">
        <v>39</v>
      </c>
      <c r="BG105" s="1207"/>
      <c r="BH105" s="1207"/>
      <c r="BI105" s="1207"/>
      <c r="BJ105" s="1207"/>
      <c r="BK105" s="1207"/>
      <c r="BL105" s="1207"/>
      <c r="BN105" s="1207">
        <v>47</v>
      </c>
      <c r="BO105" s="828">
        <v>2.7</v>
      </c>
      <c r="BP105" s="828">
        <v>3.1</v>
      </c>
      <c r="BQ105" s="828">
        <v>3.55</v>
      </c>
      <c r="BR105" s="828">
        <v>4.05</v>
      </c>
      <c r="BS105" s="828">
        <v>4.5</v>
      </c>
      <c r="BT105" s="828">
        <v>5.2</v>
      </c>
      <c r="BU105" s="828">
        <v>5.75</v>
      </c>
      <c r="BV105" s="828">
        <v>6.3</v>
      </c>
      <c r="BW105" s="828">
        <v>6.85</v>
      </c>
      <c r="BX105" s="828">
        <v>7.45</v>
      </c>
      <c r="BY105" s="828">
        <v>8.1999999999999993</v>
      </c>
      <c r="BZ105" s="828">
        <v>8.8000000000000007</v>
      </c>
      <c r="CA105" s="828">
        <v>9.5</v>
      </c>
      <c r="CB105" s="828">
        <v>10.199999999999999</v>
      </c>
      <c r="CC105" s="828">
        <v>10.9</v>
      </c>
      <c r="CD105" s="828">
        <v>11.65</v>
      </c>
      <c r="CE105" s="828">
        <v>12.4</v>
      </c>
      <c r="CF105" s="828">
        <v>13.2</v>
      </c>
      <c r="CG105" s="828">
        <v>14.05</v>
      </c>
      <c r="CH105" s="828">
        <v>14.9</v>
      </c>
      <c r="CI105" s="828">
        <v>15.8</v>
      </c>
      <c r="CJ105" s="1206"/>
      <c r="CQ105" s="1237">
        <v>35</v>
      </c>
      <c r="CR105" s="1260">
        <v>0.35</v>
      </c>
      <c r="CS105" s="1260">
        <v>0.4</v>
      </c>
      <c r="CT105" s="1260">
        <v>0.4</v>
      </c>
      <c r="CU105" s="1260">
        <v>0.45</v>
      </c>
      <c r="CV105" s="1260">
        <v>0.45</v>
      </c>
      <c r="CW105" s="1260">
        <v>0.45</v>
      </c>
      <c r="CX105" s="1260">
        <v>0.5</v>
      </c>
      <c r="CY105" s="1260">
        <v>0.5</v>
      </c>
      <c r="CZ105" s="1260">
        <v>0.55000000000000004</v>
      </c>
      <c r="DA105" s="1260">
        <v>0.55000000000000004</v>
      </c>
      <c r="DB105" s="1260">
        <v>0.6</v>
      </c>
      <c r="DC105" s="1260">
        <v>0.65</v>
      </c>
      <c r="DD105" s="1260">
        <v>0.65</v>
      </c>
      <c r="DE105" s="1260">
        <v>0.7</v>
      </c>
      <c r="DF105" s="1260">
        <v>0.7</v>
      </c>
      <c r="DG105" s="1260">
        <v>0.75</v>
      </c>
      <c r="DH105" s="1260">
        <v>0.8</v>
      </c>
      <c r="DI105" s="1260">
        <v>0.85</v>
      </c>
      <c r="DJ105" s="1260">
        <v>0.85</v>
      </c>
      <c r="DK105" s="1260">
        <v>0.9</v>
      </c>
      <c r="DL105" s="1260">
        <v>0.95</v>
      </c>
      <c r="DM105" s="1260">
        <v>0.95</v>
      </c>
      <c r="DN105" s="1260">
        <v>1</v>
      </c>
      <c r="DO105" s="1260">
        <v>1.05</v>
      </c>
      <c r="DP105" s="1222"/>
      <c r="DQ105" s="1237">
        <v>45</v>
      </c>
      <c r="DR105" s="1260">
        <v>1.03</v>
      </c>
      <c r="DS105" s="1260">
        <v>1.07</v>
      </c>
      <c r="DT105" s="1260">
        <v>1.1299999999999999</v>
      </c>
      <c r="DU105" s="1260">
        <v>1.18</v>
      </c>
      <c r="DV105" s="1260">
        <v>1.24</v>
      </c>
      <c r="DW105" s="1260">
        <v>1.33</v>
      </c>
      <c r="DX105" s="1260">
        <v>1.38</v>
      </c>
      <c r="DY105" s="1260">
        <v>1.44</v>
      </c>
      <c r="DZ105" s="1260">
        <v>1.49</v>
      </c>
      <c r="EA105" s="1260">
        <v>1.55</v>
      </c>
      <c r="EB105" s="1260">
        <v>1.65</v>
      </c>
      <c r="EC105" s="1260">
        <v>1.7</v>
      </c>
      <c r="ED105" s="1260">
        <v>1.75</v>
      </c>
      <c r="EE105" s="1260">
        <v>1.81</v>
      </c>
      <c r="EF105" s="1260">
        <v>1.86</v>
      </c>
      <c r="EG105" s="1260">
        <v>1.91</v>
      </c>
      <c r="EH105" s="1242" t="s">
        <v>39</v>
      </c>
      <c r="EI105" s="1242" t="s">
        <v>39</v>
      </c>
      <c r="EJ105" s="1242" t="s">
        <v>39</v>
      </c>
      <c r="EK105" s="1242" t="s">
        <v>39</v>
      </c>
      <c r="EL105" s="1242" t="s">
        <v>39</v>
      </c>
    </row>
    <row r="106" spans="2:142" ht="15" customHeight="1">
      <c r="B106" s="1254">
        <v>30</v>
      </c>
      <c r="C106" s="1258">
        <v>757.95</v>
      </c>
      <c r="D106" s="1258">
        <v>733.25</v>
      </c>
      <c r="E106" s="1258">
        <v>709.35</v>
      </c>
      <c r="F106" s="1258">
        <v>686.3</v>
      </c>
      <c r="G106" s="1258">
        <v>664.05</v>
      </c>
      <c r="H106" s="1258">
        <v>642.6</v>
      </c>
      <c r="I106" s="1258">
        <v>622</v>
      </c>
      <c r="J106" s="1258">
        <v>602.15</v>
      </c>
      <c r="K106" s="1258">
        <v>583.1</v>
      </c>
      <c r="L106" s="1258">
        <v>564.85</v>
      </c>
      <c r="M106" s="1258">
        <v>547.35</v>
      </c>
      <c r="N106" s="1258">
        <v>530.6</v>
      </c>
      <c r="O106" s="1258">
        <v>514.6</v>
      </c>
      <c r="P106" s="1258">
        <v>499.3</v>
      </c>
      <c r="Q106" s="1258">
        <v>484.75</v>
      </c>
      <c r="R106" s="1258">
        <v>470.9</v>
      </c>
      <c r="U106" s="1257">
        <v>43</v>
      </c>
      <c r="V106" s="1258">
        <v>85</v>
      </c>
      <c r="W106" s="1206"/>
      <c r="X106" s="1257">
        <v>43</v>
      </c>
      <c r="Y106" s="1258">
        <v>68.25</v>
      </c>
      <c r="Z106" s="1206"/>
      <c r="AB106" s="1207">
        <v>38</v>
      </c>
      <c r="AC106" s="1220">
        <v>87.05</v>
      </c>
      <c r="AD106" s="1220">
        <v>77.400000000000006</v>
      </c>
      <c r="AE106" s="1220">
        <v>69.5</v>
      </c>
      <c r="AF106" s="1220">
        <v>62.9</v>
      </c>
      <c r="AG106" s="1220">
        <v>57.35</v>
      </c>
      <c r="AH106" s="1220">
        <v>53.25</v>
      </c>
      <c r="AI106" s="1220">
        <v>49.1</v>
      </c>
      <c r="AJ106" s="1220">
        <v>45.5</v>
      </c>
      <c r="AK106" s="1220">
        <v>42.35</v>
      </c>
      <c r="AL106" s="1220">
        <v>39.65</v>
      </c>
      <c r="AM106" s="1220">
        <v>37.200000000000003</v>
      </c>
      <c r="AQ106" s="826">
        <v>48</v>
      </c>
      <c r="AR106" s="1258">
        <v>12.67</v>
      </c>
      <c r="AS106" s="1208"/>
      <c r="AT106" s="1208"/>
      <c r="AY106" s="1207">
        <v>48</v>
      </c>
      <c r="AZ106" s="1207">
        <v>10.31</v>
      </c>
      <c r="BA106" s="1207">
        <v>10.41</v>
      </c>
      <c r="BB106" s="1207">
        <v>10.54</v>
      </c>
      <c r="BC106" s="1207">
        <v>10.7</v>
      </c>
      <c r="BD106" s="1207">
        <v>10.89</v>
      </c>
      <c r="BE106" s="1207" t="s">
        <v>39</v>
      </c>
      <c r="BF106" s="1207"/>
      <c r="BG106" s="1207"/>
      <c r="BH106" s="1207"/>
      <c r="BI106" s="1207"/>
      <c r="BJ106" s="1207"/>
      <c r="BK106" s="1207"/>
      <c r="BL106" s="1207"/>
      <c r="BN106" s="1207">
        <v>48</v>
      </c>
      <c r="BO106" s="828">
        <v>2.7</v>
      </c>
      <c r="BP106" s="828">
        <v>3.1</v>
      </c>
      <c r="BQ106" s="828">
        <v>3.55</v>
      </c>
      <c r="BR106" s="828">
        <v>4.05</v>
      </c>
      <c r="BS106" s="828">
        <v>4.5</v>
      </c>
      <c r="BT106" s="828">
        <v>5.2</v>
      </c>
      <c r="BU106" s="828">
        <v>5.75</v>
      </c>
      <c r="BV106" s="828">
        <v>6.3</v>
      </c>
      <c r="BW106" s="828">
        <v>6.85</v>
      </c>
      <c r="BX106" s="828">
        <v>7.45</v>
      </c>
      <c r="BY106" s="828">
        <v>8.1999999999999993</v>
      </c>
      <c r="BZ106" s="828">
        <v>8.8000000000000007</v>
      </c>
      <c r="CA106" s="828">
        <v>9.5</v>
      </c>
      <c r="CB106" s="828">
        <v>10.199999999999999</v>
      </c>
      <c r="CC106" s="828">
        <v>10.9</v>
      </c>
      <c r="CD106" s="828">
        <v>11.65</v>
      </c>
      <c r="CE106" s="828">
        <v>12.4</v>
      </c>
      <c r="CF106" s="828">
        <v>13.2</v>
      </c>
      <c r="CG106" s="828">
        <v>14.05</v>
      </c>
      <c r="CH106" s="828">
        <v>14.9</v>
      </c>
      <c r="CI106" s="828">
        <v>15.8</v>
      </c>
      <c r="CJ106" s="1206"/>
      <c r="CQ106" s="1237">
        <v>36</v>
      </c>
      <c r="CR106" s="1260">
        <v>0.4</v>
      </c>
      <c r="CS106" s="1260">
        <v>0.4</v>
      </c>
      <c r="CT106" s="1260">
        <v>0.45</v>
      </c>
      <c r="CU106" s="1260">
        <v>0.45</v>
      </c>
      <c r="CV106" s="1260">
        <v>0.5</v>
      </c>
      <c r="CW106" s="1260">
        <v>0.5</v>
      </c>
      <c r="CX106" s="1260">
        <v>0.55000000000000004</v>
      </c>
      <c r="CY106" s="1260">
        <v>0.55000000000000004</v>
      </c>
      <c r="CZ106" s="1260">
        <v>0.6</v>
      </c>
      <c r="DA106" s="1260">
        <v>0.65</v>
      </c>
      <c r="DB106" s="1260">
        <v>0.65</v>
      </c>
      <c r="DC106" s="1260">
        <v>0.7</v>
      </c>
      <c r="DD106" s="1260">
        <v>0.7</v>
      </c>
      <c r="DE106" s="1260">
        <v>0.75</v>
      </c>
      <c r="DF106" s="1260">
        <v>0.8</v>
      </c>
      <c r="DG106" s="1260">
        <v>0.85</v>
      </c>
      <c r="DH106" s="1260">
        <v>0.85</v>
      </c>
      <c r="DI106" s="1260">
        <v>0.9</v>
      </c>
      <c r="DJ106" s="1260">
        <v>0.95</v>
      </c>
      <c r="DK106" s="1260">
        <v>1</v>
      </c>
      <c r="DL106" s="1260">
        <v>1</v>
      </c>
      <c r="DM106" s="1260">
        <v>1.05</v>
      </c>
      <c r="DN106" s="1260">
        <v>1.1000000000000001</v>
      </c>
      <c r="DO106" s="1260">
        <v>1.1499999999999999</v>
      </c>
      <c r="DP106" s="1222"/>
      <c r="DQ106" s="1237">
        <v>46</v>
      </c>
      <c r="DR106" s="1260">
        <v>1.1399999999999999</v>
      </c>
      <c r="DS106" s="1260">
        <v>1.2</v>
      </c>
      <c r="DT106" s="1260">
        <v>1.25</v>
      </c>
      <c r="DU106" s="1260">
        <v>1.31</v>
      </c>
      <c r="DV106" s="1260">
        <v>1.37</v>
      </c>
      <c r="DW106" s="1260">
        <v>1.47</v>
      </c>
      <c r="DX106" s="1260">
        <v>1.53</v>
      </c>
      <c r="DY106" s="1260">
        <v>1.58</v>
      </c>
      <c r="DZ106" s="1260">
        <v>1.64</v>
      </c>
      <c r="EA106" s="1260">
        <v>1.7</v>
      </c>
      <c r="EB106" s="1260">
        <v>1.8</v>
      </c>
      <c r="EC106" s="1260">
        <v>1.85</v>
      </c>
      <c r="ED106" s="1260">
        <v>1.91</v>
      </c>
      <c r="EE106" s="1260">
        <v>1.96</v>
      </c>
      <c r="EF106" s="1260">
        <v>2.02</v>
      </c>
      <c r="EG106" s="1242" t="s">
        <v>39</v>
      </c>
      <c r="EH106" s="1242" t="s">
        <v>39</v>
      </c>
      <c r="EI106" s="1242" t="s">
        <v>39</v>
      </c>
      <c r="EJ106" s="1242" t="s">
        <v>39</v>
      </c>
      <c r="EK106" s="1242" t="s">
        <v>39</v>
      </c>
      <c r="EL106" s="1242" t="s">
        <v>39</v>
      </c>
    </row>
    <row r="107" spans="2:142" ht="15" customHeight="1">
      <c r="B107" s="1254">
        <v>31</v>
      </c>
      <c r="C107" s="1258">
        <v>758.05</v>
      </c>
      <c r="D107" s="1258">
        <v>733.35</v>
      </c>
      <c r="E107" s="1258">
        <v>709.5</v>
      </c>
      <c r="F107" s="1258">
        <v>686.45</v>
      </c>
      <c r="G107" s="1258">
        <v>664.25</v>
      </c>
      <c r="H107" s="1258">
        <v>642.85</v>
      </c>
      <c r="I107" s="1258">
        <v>622.25</v>
      </c>
      <c r="J107" s="1258">
        <v>602.5</v>
      </c>
      <c r="K107" s="1258">
        <v>583.5</v>
      </c>
      <c r="L107" s="1258">
        <v>565.29999999999995</v>
      </c>
      <c r="M107" s="1258">
        <v>547.9</v>
      </c>
      <c r="N107" s="1258">
        <v>531.25</v>
      </c>
      <c r="O107" s="1258">
        <v>515.29999999999995</v>
      </c>
      <c r="P107" s="1258">
        <v>500.15</v>
      </c>
      <c r="Q107" s="1258">
        <v>485.65</v>
      </c>
      <c r="R107" s="1258">
        <v>471.9</v>
      </c>
      <c r="U107" s="1257">
        <v>44</v>
      </c>
      <c r="V107" s="1258">
        <v>85.8</v>
      </c>
      <c r="W107" s="1206"/>
      <c r="X107" s="1257">
        <v>44</v>
      </c>
      <c r="Y107" s="1258">
        <v>69.150000000000006</v>
      </c>
      <c r="Z107" s="1206"/>
      <c r="AB107" s="1207">
        <v>39</v>
      </c>
      <c r="AC107" s="1220">
        <v>87.2</v>
      </c>
      <c r="AD107" s="1220">
        <v>77.55</v>
      </c>
      <c r="AE107" s="1220">
        <v>69.7</v>
      </c>
      <c r="AF107" s="1220">
        <v>63.1</v>
      </c>
      <c r="AG107" s="1220">
        <v>57.55</v>
      </c>
      <c r="AH107" s="1220">
        <v>53.45</v>
      </c>
      <c r="AI107" s="1220">
        <v>49.3</v>
      </c>
      <c r="AJ107" s="1220">
        <v>45.75</v>
      </c>
      <c r="AK107" s="1220">
        <v>42.6</v>
      </c>
      <c r="AL107" s="1220">
        <v>39.9</v>
      </c>
      <c r="AM107" s="1220">
        <v>37.5</v>
      </c>
      <c r="AQ107" s="826">
        <v>49</v>
      </c>
      <c r="AR107" s="1258">
        <v>13.7</v>
      </c>
      <c r="AS107" s="1208"/>
      <c r="AT107" s="1208"/>
      <c r="AY107" s="1207">
        <v>49</v>
      </c>
      <c r="AZ107" s="1207">
        <v>11.19</v>
      </c>
      <c r="BA107" s="1207">
        <v>11.29</v>
      </c>
      <c r="BB107" s="1207">
        <v>11.42</v>
      </c>
      <c r="BC107" s="1207">
        <v>11.59</v>
      </c>
      <c r="BD107" s="1207" t="s">
        <v>39</v>
      </c>
      <c r="BE107" s="1207"/>
      <c r="BF107" s="1207"/>
      <c r="BG107" s="1207"/>
      <c r="BH107" s="1207"/>
      <c r="BI107" s="1207"/>
      <c r="BJ107" s="1207"/>
      <c r="BK107" s="1207"/>
      <c r="BL107" s="1207"/>
      <c r="BN107" s="1207">
        <v>49</v>
      </c>
      <c r="BO107" s="828">
        <v>2.7</v>
      </c>
      <c r="BP107" s="828">
        <v>3.1</v>
      </c>
      <c r="BQ107" s="828">
        <v>3.55</v>
      </c>
      <c r="BR107" s="828">
        <v>4.05</v>
      </c>
      <c r="BS107" s="828">
        <v>4.5</v>
      </c>
      <c r="BT107" s="828">
        <v>5.2</v>
      </c>
      <c r="BU107" s="828">
        <v>5.75</v>
      </c>
      <c r="BV107" s="828">
        <v>6.3</v>
      </c>
      <c r="BW107" s="828">
        <v>6.85</v>
      </c>
      <c r="BX107" s="828">
        <v>7.45</v>
      </c>
      <c r="BY107" s="828">
        <v>8.1999999999999993</v>
      </c>
      <c r="BZ107" s="828">
        <v>8.8000000000000007</v>
      </c>
      <c r="CA107" s="828">
        <v>9.5</v>
      </c>
      <c r="CB107" s="828">
        <v>10.199999999999999</v>
      </c>
      <c r="CC107" s="828">
        <v>10.9</v>
      </c>
      <c r="CD107" s="828">
        <v>11.65</v>
      </c>
      <c r="CE107" s="828">
        <v>12.4</v>
      </c>
      <c r="CF107" s="828">
        <v>13.2</v>
      </c>
      <c r="CG107" s="828">
        <v>14.05</v>
      </c>
      <c r="CH107" s="828">
        <v>14.9</v>
      </c>
      <c r="CI107" s="828">
        <v>15.8</v>
      </c>
      <c r="CJ107" s="1206"/>
      <c r="CQ107" s="1237">
        <v>37</v>
      </c>
      <c r="CR107" s="1260">
        <v>0.4</v>
      </c>
      <c r="CS107" s="1260">
        <v>0.45</v>
      </c>
      <c r="CT107" s="1260">
        <v>0.45</v>
      </c>
      <c r="CU107" s="1260">
        <v>0.5</v>
      </c>
      <c r="CV107" s="1260">
        <v>0.55000000000000004</v>
      </c>
      <c r="CW107" s="1260">
        <v>0.55000000000000004</v>
      </c>
      <c r="CX107" s="1260">
        <v>0.6</v>
      </c>
      <c r="CY107" s="1260">
        <v>0.6</v>
      </c>
      <c r="CZ107" s="1260">
        <v>0.65</v>
      </c>
      <c r="DA107" s="1260">
        <v>0.7</v>
      </c>
      <c r="DB107" s="1260">
        <v>0.7</v>
      </c>
      <c r="DC107" s="1260">
        <v>0.75</v>
      </c>
      <c r="DD107" s="1260">
        <v>0.8</v>
      </c>
      <c r="DE107" s="1260">
        <v>0.8</v>
      </c>
      <c r="DF107" s="1260">
        <v>0.85</v>
      </c>
      <c r="DG107" s="1260">
        <v>0.9</v>
      </c>
      <c r="DH107" s="1260">
        <v>0.95</v>
      </c>
      <c r="DI107" s="1260">
        <v>1</v>
      </c>
      <c r="DJ107" s="1260">
        <v>1.05</v>
      </c>
      <c r="DK107" s="1260">
        <v>1.05</v>
      </c>
      <c r="DL107" s="1260">
        <v>1.1000000000000001</v>
      </c>
      <c r="DM107" s="1260">
        <v>1.1499999999999999</v>
      </c>
      <c r="DN107" s="1260">
        <v>1.2</v>
      </c>
      <c r="DO107" s="1260">
        <v>1.2</v>
      </c>
      <c r="DP107" s="1222"/>
      <c r="DQ107" s="1237">
        <v>47</v>
      </c>
      <c r="DR107" s="1260">
        <v>1.27</v>
      </c>
      <c r="DS107" s="1260">
        <v>1.33</v>
      </c>
      <c r="DT107" s="1260">
        <v>1.39</v>
      </c>
      <c r="DU107" s="1260">
        <v>1.45</v>
      </c>
      <c r="DV107" s="1260">
        <v>1.51</v>
      </c>
      <c r="DW107" s="1260">
        <v>1.62</v>
      </c>
      <c r="DX107" s="1260">
        <v>1.68</v>
      </c>
      <c r="DY107" s="1260">
        <v>1.74</v>
      </c>
      <c r="DZ107" s="1260">
        <v>1.79</v>
      </c>
      <c r="EA107" s="1260">
        <v>1.85</v>
      </c>
      <c r="EB107" s="1260">
        <v>1.96</v>
      </c>
      <c r="EC107" s="1260">
        <v>2.02</v>
      </c>
      <c r="ED107" s="1260">
        <v>2.08</v>
      </c>
      <c r="EE107" s="1260">
        <v>2.14</v>
      </c>
      <c r="EF107" s="1242" t="s">
        <v>39</v>
      </c>
      <c r="EG107" s="1242" t="s">
        <v>39</v>
      </c>
      <c r="EH107" s="1242" t="s">
        <v>39</v>
      </c>
      <c r="EI107" s="1242" t="s">
        <v>39</v>
      </c>
      <c r="EJ107" s="1242" t="s">
        <v>39</v>
      </c>
      <c r="EK107" s="1242" t="s">
        <v>39</v>
      </c>
      <c r="EL107" s="1242" t="s">
        <v>39</v>
      </c>
    </row>
    <row r="108" spans="2:142" ht="15" customHeight="1">
      <c r="B108" s="1254">
        <v>32</v>
      </c>
      <c r="C108" s="1258">
        <v>758.15</v>
      </c>
      <c r="D108" s="1258">
        <v>733.45</v>
      </c>
      <c r="E108" s="1258">
        <v>709.65</v>
      </c>
      <c r="F108" s="1258">
        <v>686.65</v>
      </c>
      <c r="G108" s="1258">
        <v>664.45</v>
      </c>
      <c r="H108" s="1258">
        <v>643.15</v>
      </c>
      <c r="I108" s="1258">
        <v>622.6</v>
      </c>
      <c r="J108" s="1258">
        <v>602.9</v>
      </c>
      <c r="K108" s="1258">
        <v>584</v>
      </c>
      <c r="L108" s="1258">
        <v>565.85</v>
      </c>
      <c r="M108" s="1258">
        <v>548.5</v>
      </c>
      <c r="N108" s="1258">
        <v>531.95000000000005</v>
      </c>
      <c r="O108" s="1258">
        <v>516.15</v>
      </c>
      <c r="P108" s="1258">
        <v>501.05</v>
      </c>
      <c r="Q108" s="1258">
        <v>486.7</v>
      </c>
      <c r="R108" s="1258">
        <v>473.05</v>
      </c>
      <c r="U108" s="1257">
        <v>45</v>
      </c>
      <c r="V108" s="1258">
        <v>86.65</v>
      </c>
      <c r="W108" s="1206"/>
      <c r="X108" s="1257">
        <v>45</v>
      </c>
      <c r="Y108" s="1258">
        <v>70.150000000000006</v>
      </c>
      <c r="Z108" s="1206"/>
      <c r="AB108" s="1207">
        <v>40</v>
      </c>
      <c r="AC108" s="1220">
        <v>87.35</v>
      </c>
      <c r="AD108" s="1220">
        <v>77.75</v>
      </c>
      <c r="AE108" s="1220">
        <v>69.849999999999994</v>
      </c>
      <c r="AF108" s="1220">
        <v>63.3</v>
      </c>
      <c r="AG108" s="1220">
        <v>57.75</v>
      </c>
      <c r="AH108" s="1220">
        <v>53.7</v>
      </c>
      <c r="AI108" s="1220">
        <v>49.55</v>
      </c>
      <c r="AJ108" s="1220">
        <v>46</v>
      </c>
      <c r="AK108" s="1220">
        <v>42.9</v>
      </c>
      <c r="AL108" s="1220">
        <v>40.15</v>
      </c>
      <c r="AM108" s="1220">
        <v>37.799999999999997</v>
      </c>
      <c r="AQ108" s="826">
        <v>50</v>
      </c>
      <c r="AR108" s="1258">
        <v>14.8</v>
      </c>
      <c r="AS108" s="1208"/>
      <c r="AT108" s="1208"/>
      <c r="AY108" s="1207">
        <v>50</v>
      </c>
      <c r="AZ108" s="1207">
        <v>12.12</v>
      </c>
      <c r="BA108" s="1207">
        <v>12.22</v>
      </c>
      <c r="BB108" s="1207">
        <v>12.36</v>
      </c>
      <c r="BC108" s="1207"/>
      <c r="BD108" s="1207"/>
      <c r="BE108" s="1207"/>
      <c r="BF108" s="1207"/>
      <c r="BG108" s="1207"/>
      <c r="BH108" s="1207"/>
      <c r="BI108" s="1207"/>
      <c r="BJ108" s="1207"/>
      <c r="BK108" s="1207"/>
      <c r="BL108" s="1207"/>
      <c r="BN108" s="1207">
        <v>50</v>
      </c>
      <c r="BO108" s="828">
        <v>2.7</v>
      </c>
      <c r="BP108" s="828">
        <v>3.1</v>
      </c>
      <c r="BQ108" s="828">
        <v>3.55</v>
      </c>
      <c r="BR108" s="828">
        <v>4.05</v>
      </c>
      <c r="BS108" s="828">
        <v>4.5</v>
      </c>
      <c r="BT108" s="828">
        <v>5.2</v>
      </c>
      <c r="BU108" s="828">
        <v>5.75</v>
      </c>
      <c r="BV108" s="828">
        <v>6.3</v>
      </c>
      <c r="BW108" s="828">
        <v>6.85</v>
      </c>
      <c r="BX108" s="828">
        <v>7.45</v>
      </c>
      <c r="BY108" s="828">
        <v>8.1999999999999993</v>
      </c>
      <c r="BZ108" s="828">
        <v>8.8000000000000007</v>
      </c>
      <c r="CA108" s="828">
        <v>9.5</v>
      </c>
      <c r="CB108" s="828">
        <v>10.199999999999999</v>
      </c>
      <c r="CC108" s="828">
        <v>10.9</v>
      </c>
      <c r="CD108" s="828">
        <v>11.65</v>
      </c>
      <c r="CE108" s="828">
        <v>12.4</v>
      </c>
      <c r="CF108" s="828">
        <v>13.2</v>
      </c>
      <c r="CG108" s="828">
        <v>14.05</v>
      </c>
      <c r="CH108" s="828">
        <v>14.9</v>
      </c>
      <c r="CI108" s="828">
        <v>15.8</v>
      </c>
      <c r="CJ108" s="1206"/>
      <c r="CQ108" s="1237">
        <v>38</v>
      </c>
      <c r="CR108" s="1260">
        <v>0.45</v>
      </c>
      <c r="CS108" s="1260">
        <v>0.5</v>
      </c>
      <c r="CT108" s="1260">
        <v>0.5</v>
      </c>
      <c r="CU108" s="1260">
        <v>0.55000000000000004</v>
      </c>
      <c r="CV108" s="1260">
        <v>0.6</v>
      </c>
      <c r="CW108" s="1260">
        <v>0.6</v>
      </c>
      <c r="CX108" s="1260">
        <v>0.65</v>
      </c>
      <c r="CY108" s="1260">
        <v>0.7</v>
      </c>
      <c r="CZ108" s="1260">
        <v>0.7</v>
      </c>
      <c r="DA108" s="1260">
        <v>0.75</v>
      </c>
      <c r="DB108" s="1260">
        <v>0.8</v>
      </c>
      <c r="DC108" s="1260">
        <v>0.8</v>
      </c>
      <c r="DD108" s="1260">
        <v>0.85</v>
      </c>
      <c r="DE108" s="1260">
        <v>0.9</v>
      </c>
      <c r="DF108" s="1260">
        <v>0.95</v>
      </c>
      <c r="DG108" s="1260">
        <v>1</v>
      </c>
      <c r="DH108" s="1260">
        <v>1.05</v>
      </c>
      <c r="DI108" s="1260">
        <v>1.05</v>
      </c>
      <c r="DJ108" s="1260">
        <v>1.1000000000000001</v>
      </c>
      <c r="DK108" s="1260">
        <v>1.1499999999999999</v>
      </c>
      <c r="DL108" s="1260">
        <v>1.2</v>
      </c>
      <c r="DM108" s="1260">
        <v>1.25</v>
      </c>
      <c r="DN108" s="1260">
        <v>1.3</v>
      </c>
      <c r="DO108" s="1260">
        <v>1.35</v>
      </c>
      <c r="DP108" s="1222"/>
      <c r="DQ108" s="1237">
        <v>48</v>
      </c>
      <c r="DR108" s="1260">
        <v>1.41</v>
      </c>
      <c r="DS108" s="1260">
        <v>1.47</v>
      </c>
      <c r="DT108" s="1260">
        <v>1.54</v>
      </c>
      <c r="DU108" s="1260">
        <v>1.6</v>
      </c>
      <c r="DV108" s="1260">
        <v>1.66</v>
      </c>
      <c r="DW108" s="1260">
        <v>1.77</v>
      </c>
      <c r="DX108" s="1260">
        <v>1.83</v>
      </c>
      <c r="DY108" s="1260">
        <v>1.9</v>
      </c>
      <c r="DZ108" s="1260">
        <v>1.96</v>
      </c>
      <c r="EA108" s="1260">
        <v>2.02</v>
      </c>
      <c r="EB108" s="1260">
        <v>2.13</v>
      </c>
      <c r="EC108" s="1260">
        <v>2.2000000000000002</v>
      </c>
      <c r="ED108" s="1260">
        <v>2.2599999999999998</v>
      </c>
      <c r="EE108" s="1242" t="s">
        <v>39</v>
      </c>
      <c r="EF108" s="1242" t="s">
        <v>39</v>
      </c>
      <c r="EG108" s="1242" t="s">
        <v>39</v>
      </c>
      <c r="EH108" s="1242" t="s">
        <v>39</v>
      </c>
      <c r="EI108" s="1242" t="s">
        <v>39</v>
      </c>
      <c r="EJ108" s="1242" t="s">
        <v>39</v>
      </c>
      <c r="EK108" s="1242" t="s">
        <v>39</v>
      </c>
      <c r="EL108" s="1242" t="s">
        <v>39</v>
      </c>
    </row>
    <row r="109" spans="2:142" ht="15" customHeight="1">
      <c r="B109" s="1254">
        <v>33</v>
      </c>
      <c r="C109" s="1258">
        <v>758.25</v>
      </c>
      <c r="D109" s="1258">
        <v>733.6</v>
      </c>
      <c r="E109" s="1258">
        <v>709.8</v>
      </c>
      <c r="F109" s="1258">
        <v>686.85</v>
      </c>
      <c r="G109" s="1258">
        <v>664.75</v>
      </c>
      <c r="H109" s="1258">
        <v>643.45000000000005</v>
      </c>
      <c r="I109" s="1258">
        <v>623</v>
      </c>
      <c r="J109" s="1258">
        <v>603.35</v>
      </c>
      <c r="K109" s="1258">
        <v>584.5</v>
      </c>
      <c r="L109" s="1258">
        <v>566.5</v>
      </c>
      <c r="M109" s="1258">
        <v>549.25</v>
      </c>
      <c r="N109" s="1258">
        <v>532.75</v>
      </c>
      <c r="O109" s="1258">
        <v>517.04999999999995</v>
      </c>
      <c r="P109" s="1258">
        <v>502.1</v>
      </c>
      <c r="Q109" s="1258">
        <v>487.9</v>
      </c>
      <c r="R109" s="1258">
        <v>474.35</v>
      </c>
      <c r="U109" s="1257">
        <v>46</v>
      </c>
      <c r="V109" s="1258">
        <v>87.6</v>
      </c>
      <c r="W109" s="1206"/>
      <c r="AB109" s="1207">
        <v>41</v>
      </c>
      <c r="AC109" s="1220">
        <v>87.55</v>
      </c>
      <c r="AD109" s="1220">
        <v>77.95</v>
      </c>
      <c r="AE109" s="1220">
        <v>70.099999999999994</v>
      </c>
      <c r="AF109" s="1220">
        <v>63.55</v>
      </c>
      <c r="AG109" s="1220">
        <v>58</v>
      </c>
      <c r="AH109" s="1220">
        <v>53.95</v>
      </c>
      <c r="AI109" s="1220">
        <v>49.85</v>
      </c>
      <c r="AJ109" s="1220">
        <v>46.3</v>
      </c>
      <c r="AK109" s="1220">
        <v>43.2</v>
      </c>
      <c r="AL109" s="1220">
        <v>40.5</v>
      </c>
      <c r="AM109" s="1220">
        <v>38.1</v>
      </c>
      <c r="BN109" s="1207">
        <v>51</v>
      </c>
      <c r="BO109" s="828">
        <v>3.65</v>
      </c>
      <c r="BP109" s="828">
        <v>4.3499999999999996</v>
      </c>
      <c r="BQ109" s="828">
        <v>5.05</v>
      </c>
      <c r="BR109" s="828">
        <v>5.75</v>
      </c>
      <c r="BS109" s="828">
        <v>6.5</v>
      </c>
      <c r="BT109" s="828">
        <v>7.6</v>
      </c>
      <c r="BU109" s="828">
        <v>8.4499999999999993</v>
      </c>
      <c r="BV109" s="828">
        <v>9.3000000000000007</v>
      </c>
      <c r="BW109" s="828">
        <v>10.199999999999999</v>
      </c>
      <c r="BX109" s="828">
        <v>11.15</v>
      </c>
      <c r="BY109" s="828">
        <v>12.35</v>
      </c>
      <c r="BZ109" s="828">
        <v>13.4</v>
      </c>
      <c r="CA109" s="828">
        <v>14.45</v>
      </c>
      <c r="CB109" s="828">
        <v>15.6</v>
      </c>
      <c r="CC109" s="828">
        <v>16.8</v>
      </c>
      <c r="CD109" s="828">
        <v>18</v>
      </c>
      <c r="CE109" s="828">
        <v>19.3</v>
      </c>
      <c r="CF109" s="828">
        <v>20.6</v>
      </c>
      <c r="CG109" s="828">
        <v>21.95</v>
      </c>
      <c r="CH109" s="828">
        <v>23.35</v>
      </c>
      <c r="CI109" s="828">
        <v>24.75</v>
      </c>
      <c r="CJ109" s="1206"/>
      <c r="CQ109" s="1237">
        <v>39</v>
      </c>
      <c r="CR109" s="1260">
        <v>0.5</v>
      </c>
      <c r="CS109" s="1260">
        <v>0.5</v>
      </c>
      <c r="CT109" s="1260">
        <v>0.55000000000000004</v>
      </c>
      <c r="CU109" s="1260">
        <v>0.6</v>
      </c>
      <c r="CV109" s="1260">
        <v>0.65</v>
      </c>
      <c r="CW109" s="1260">
        <v>0.65</v>
      </c>
      <c r="CX109" s="1260">
        <v>0.7</v>
      </c>
      <c r="CY109" s="1260">
        <v>0.75</v>
      </c>
      <c r="CZ109" s="1260">
        <v>0.8</v>
      </c>
      <c r="DA109" s="1260">
        <v>0.8</v>
      </c>
      <c r="DB109" s="1260">
        <v>0.85</v>
      </c>
      <c r="DC109" s="1260">
        <v>0.9</v>
      </c>
      <c r="DD109" s="1260">
        <v>0.95</v>
      </c>
      <c r="DE109" s="1260">
        <v>1</v>
      </c>
      <c r="DF109" s="1260">
        <v>1.05</v>
      </c>
      <c r="DG109" s="1260">
        <v>1.1000000000000001</v>
      </c>
      <c r="DH109" s="1260">
        <v>1.1000000000000001</v>
      </c>
      <c r="DI109" s="1260">
        <v>1.1499999999999999</v>
      </c>
      <c r="DJ109" s="1260">
        <v>1.2</v>
      </c>
      <c r="DK109" s="1260">
        <v>1.25</v>
      </c>
      <c r="DL109" s="1260">
        <v>1.3</v>
      </c>
      <c r="DM109" s="1260">
        <v>1.35</v>
      </c>
      <c r="DN109" s="1260">
        <v>1.4</v>
      </c>
      <c r="DO109" s="1260">
        <v>1.45</v>
      </c>
      <c r="DP109" s="1222"/>
      <c r="DQ109" s="1237">
        <v>49</v>
      </c>
      <c r="DR109" s="1260">
        <v>1.56</v>
      </c>
      <c r="DS109" s="1260">
        <v>1.63</v>
      </c>
      <c r="DT109" s="1260">
        <v>1.69</v>
      </c>
      <c r="DU109" s="1260">
        <v>1.76</v>
      </c>
      <c r="DV109" s="1260">
        <v>1.82</v>
      </c>
      <c r="DW109" s="1260">
        <v>1.94</v>
      </c>
      <c r="DX109" s="1260">
        <v>2</v>
      </c>
      <c r="DY109" s="1260">
        <v>2.0699999999999998</v>
      </c>
      <c r="DZ109" s="1260">
        <v>2.13</v>
      </c>
      <c r="EA109" s="1260">
        <v>2.2000000000000002</v>
      </c>
      <c r="EB109" s="1260">
        <v>2.3199999999999998</v>
      </c>
      <c r="EC109" s="1260">
        <v>2.38</v>
      </c>
      <c r="ED109" s="1242" t="s">
        <v>39</v>
      </c>
      <c r="EE109" s="1242" t="s">
        <v>39</v>
      </c>
      <c r="EF109" s="1242" t="s">
        <v>39</v>
      </c>
      <c r="EG109" s="1242" t="s">
        <v>39</v>
      </c>
      <c r="EH109" s="1242" t="s">
        <v>39</v>
      </c>
      <c r="EI109" s="1242" t="s">
        <v>39</v>
      </c>
      <c r="EJ109" s="1242" t="s">
        <v>39</v>
      </c>
      <c r="EK109" s="1242" t="s">
        <v>39</v>
      </c>
      <c r="EL109" s="1242" t="s">
        <v>39</v>
      </c>
    </row>
    <row r="110" spans="2:142" ht="15" customHeight="1">
      <c r="B110" s="1254">
        <v>34</v>
      </c>
      <c r="C110" s="1258">
        <v>758.4</v>
      </c>
      <c r="D110" s="1258">
        <v>733.8</v>
      </c>
      <c r="E110" s="1258">
        <v>710.05</v>
      </c>
      <c r="F110" s="1258">
        <v>687.15</v>
      </c>
      <c r="G110" s="1258">
        <v>665.05</v>
      </c>
      <c r="H110" s="1258">
        <v>643.85</v>
      </c>
      <c r="I110" s="1258">
        <v>623.45000000000005</v>
      </c>
      <c r="J110" s="1258">
        <v>603.9</v>
      </c>
      <c r="K110" s="1258">
        <v>585.15</v>
      </c>
      <c r="L110" s="1258">
        <v>567.20000000000005</v>
      </c>
      <c r="M110" s="1258">
        <v>550.04999999999995</v>
      </c>
      <c r="N110" s="1258">
        <v>533.70000000000005</v>
      </c>
      <c r="O110" s="1258">
        <v>518.15</v>
      </c>
      <c r="P110" s="1258">
        <v>503.3</v>
      </c>
      <c r="Q110" s="1258">
        <v>489.2</v>
      </c>
      <c r="R110" s="1258">
        <v>475.8</v>
      </c>
      <c r="U110" s="1257">
        <v>47</v>
      </c>
      <c r="V110" s="1258">
        <v>88.6</v>
      </c>
      <c r="W110" s="1206"/>
      <c r="AB110" s="1207">
        <v>42</v>
      </c>
      <c r="AC110" s="1220">
        <v>87.75</v>
      </c>
      <c r="AD110" s="1220">
        <v>78.2</v>
      </c>
      <c r="AE110" s="1220">
        <v>70.349999999999994</v>
      </c>
      <c r="AF110" s="1220">
        <v>63.8</v>
      </c>
      <c r="AG110" s="1220">
        <v>58.3</v>
      </c>
      <c r="AH110" s="1220">
        <v>54.25</v>
      </c>
      <c r="AI110" s="1220">
        <v>50.15</v>
      </c>
      <c r="AJ110" s="1220">
        <v>46.6</v>
      </c>
      <c r="AK110" s="1220">
        <v>43.5</v>
      </c>
      <c r="AL110" s="1220">
        <v>40.85</v>
      </c>
      <c r="AM110" s="1220">
        <v>38.450000000000003</v>
      </c>
      <c r="BN110" s="1207">
        <v>52</v>
      </c>
      <c r="BO110" s="828">
        <v>3.65</v>
      </c>
      <c r="BP110" s="828">
        <v>4.3499999999999996</v>
      </c>
      <c r="BQ110" s="828">
        <v>5.05</v>
      </c>
      <c r="BR110" s="828">
        <v>5.75</v>
      </c>
      <c r="BS110" s="828">
        <v>6.5</v>
      </c>
      <c r="BT110" s="828">
        <v>7.6</v>
      </c>
      <c r="BU110" s="828">
        <v>8.4499999999999993</v>
      </c>
      <c r="BV110" s="828">
        <v>9.3000000000000007</v>
      </c>
      <c r="BW110" s="828">
        <v>10.199999999999999</v>
      </c>
      <c r="BX110" s="828">
        <v>11.15</v>
      </c>
      <c r="BY110" s="828">
        <v>12.35</v>
      </c>
      <c r="BZ110" s="828">
        <v>13.4</v>
      </c>
      <c r="CA110" s="828">
        <v>14.45</v>
      </c>
      <c r="CB110" s="828">
        <v>15.6</v>
      </c>
      <c r="CC110" s="828">
        <v>16.8</v>
      </c>
      <c r="CD110" s="828">
        <v>18</v>
      </c>
      <c r="CE110" s="828">
        <v>19.3</v>
      </c>
      <c r="CF110" s="828">
        <v>20.6</v>
      </c>
      <c r="CG110" s="828">
        <v>21.95</v>
      </c>
      <c r="CH110" s="828">
        <v>23.35</v>
      </c>
      <c r="CI110" s="828">
        <v>24.75</v>
      </c>
      <c r="CJ110" s="1206"/>
      <c r="CQ110" s="1237">
        <v>40</v>
      </c>
      <c r="CR110" s="1260">
        <v>0.55000000000000004</v>
      </c>
      <c r="CS110" s="1260">
        <v>0.6</v>
      </c>
      <c r="CT110" s="1260">
        <v>0.6</v>
      </c>
      <c r="CU110" s="1260">
        <v>0.65</v>
      </c>
      <c r="CV110" s="1260">
        <v>0.7</v>
      </c>
      <c r="CW110" s="1260">
        <v>0.75</v>
      </c>
      <c r="CX110" s="1260">
        <v>0.8</v>
      </c>
      <c r="CY110" s="1260">
        <v>0.8</v>
      </c>
      <c r="CZ110" s="1260">
        <v>0.85</v>
      </c>
      <c r="DA110" s="1260">
        <v>0.9</v>
      </c>
      <c r="DB110" s="1260">
        <v>0.95</v>
      </c>
      <c r="DC110" s="1260">
        <v>1</v>
      </c>
      <c r="DD110" s="1260">
        <v>1.05</v>
      </c>
      <c r="DE110" s="1260">
        <v>1.1000000000000001</v>
      </c>
      <c r="DF110" s="1260">
        <v>1.1499999999999999</v>
      </c>
      <c r="DG110" s="1260">
        <v>1.2</v>
      </c>
      <c r="DH110" s="1260">
        <v>1.25</v>
      </c>
      <c r="DI110" s="1260">
        <v>1.3</v>
      </c>
      <c r="DJ110" s="1260">
        <v>1.35</v>
      </c>
      <c r="DK110" s="1260">
        <v>1.35</v>
      </c>
      <c r="DL110" s="1260">
        <v>1.4</v>
      </c>
      <c r="DM110" s="1260">
        <v>1.45</v>
      </c>
      <c r="DN110" s="1260">
        <v>1.5</v>
      </c>
      <c r="DO110" s="1260">
        <v>1.55</v>
      </c>
      <c r="DP110" s="1222"/>
      <c r="DQ110" s="1237">
        <v>50</v>
      </c>
      <c r="DR110" s="1260">
        <v>1.72</v>
      </c>
      <c r="DS110" s="1260">
        <v>1.79</v>
      </c>
      <c r="DT110" s="1260">
        <v>1.85</v>
      </c>
      <c r="DU110" s="1260">
        <v>1.92</v>
      </c>
      <c r="DV110" s="1260">
        <v>1.99</v>
      </c>
      <c r="DW110" s="1260">
        <v>2.11</v>
      </c>
      <c r="DX110" s="1260">
        <v>2.1800000000000002</v>
      </c>
      <c r="DY110" s="1260">
        <v>2.25</v>
      </c>
      <c r="DZ110" s="1260">
        <v>2.3199999999999998</v>
      </c>
      <c r="EA110" s="1260">
        <v>2.38</v>
      </c>
      <c r="EB110" s="1260">
        <v>2.52</v>
      </c>
      <c r="EC110" s="1242" t="s">
        <v>39</v>
      </c>
      <c r="ED110" s="1242" t="s">
        <v>39</v>
      </c>
      <c r="EE110" s="1242" t="s">
        <v>39</v>
      </c>
      <c r="EF110" s="1242" t="s">
        <v>39</v>
      </c>
      <c r="EG110" s="1242" t="s">
        <v>39</v>
      </c>
      <c r="EH110" s="1242" t="s">
        <v>39</v>
      </c>
      <c r="EI110" s="1242" t="s">
        <v>39</v>
      </c>
      <c r="EJ110" s="1242" t="s">
        <v>39</v>
      </c>
      <c r="EK110" s="1242" t="s">
        <v>39</v>
      </c>
      <c r="EL110" s="1242" t="s">
        <v>39</v>
      </c>
    </row>
    <row r="111" spans="2:142" ht="15" customHeight="1">
      <c r="B111" s="1254">
        <v>35</v>
      </c>
      <c r="C111" s="1258">
        <v>758.55</v>
      </c>
      <c r="D111" s="1258">
        <v>734</v>
      </c>
      <c r="E111" s="1258">
        <v>710.3</v>
      </c>
      <c r="F111" s="1258">
        <v>687.45</v>
      </c>
      <c r="G111" s="1258">
        <v>665.45</v>
      </c>
      <c r="H111" s="1258">
        <v>644.29999999999995</v>
      </c>
      <c r="I111" s="1258">
        <v>624</v>
      </c>
      <c r="J111" s="1258">
        <v>604.5</v>
      </c>
      <c r="K111" s="1258">
        <v>585.85</v>
      </c>
      <c r="L111" s="1258">
        <v>568.04999999999995</v>
      </c>
      <c r="M111" s="1258">
        <v>551</v>
      </c>
      <c r="N111" s="1258">
        <v>534.79999999999995</v>
      </c>
      <c r="O111" s="1258">
        <v>519.29999999999995</v>
      </c>
      <c r="P111" s="1258">
        <v>504.65</v>
      </c>
      <c r="Q111" s="1258">
        <v>490.65</v>
      </c>
      <c r="R111" s="1258">
        <v>477.45</v>
      </c>
      <c r="U111" s="1257">
        <v>48</v>
      </c>
      <c r="V111" s="1258">
        <v>89.65</v>
      </c>
      <c r="W111" s="1206"/>
      <c r="AB111" s="1207">
        <v>43</v>
      </c>
      <c r="AC111" s="1220">
        <v>88</v>
      </c>
      <c r="AD111" s="1220">
        <v>78.45</v>
      </c>
      <c r="AE111" s="1220">
        <v>70.599999999999994</v>
      </c>
      <c r="AF111" s="1220">
        <v>64.099999999999994</v>
      </c>
      <c r="AG111" s="1220">
        <v>58.6</v>
      </c>
      <c r="AH111" s="1220">
        <v>54.55</v>
      </c>
      <c r="AI111" s="1220">
        <v>50.5</v>
      </c>
      <c r="AJ111" s="1220">
        <v>46.95</v>
      </c>
      <c r="AK111" s="1220">
        <v>43.9</v>
      </c>
      <c r="AL111" s="1220">
        <v>41.2</v>
      </c>
      <c r="AM111" s="1220">
        <v>38.85</v>
      </c>
      <c r="BN111" s="1207">
        <v>53</v>
      </c>
      <c r="BO111" s="828">
        <v>3.65</v>
      </c>
      <c r="BP111" s="828">
        <v>4.3499999999999996</v>
      </c>
      <c r="BQ111" s="828">
        <v>5.05</v>
      </c>
      <c r="BR111" s="828">
        <v>5.75</v>
      </c>
      <c r="BS111" s="828">
        <v>6.5</v>
      </c>
      <c r="BT111" s="828">
        <v>7.6</v>
      </c>
      <c r="BU111" s="828">
        <v>8.4499999999999993</v>
      </c>
      <c r="BV111" s="828">
        <v>9.3000000000000007</v>
      </c>
      <c r="BW111" s="828">
        <v>10.199999999999999</v>
      </c>
      <c r="BX111" s="828">
        <v>11.15</v>
      </c>
      <c r="BY111" s="828">
        <v>12.35</v>
      </c>
      <c r="BZ111" s="828">
        <v>13.4</v>
      </c>
      <c r="CA111" s="828">
        <v>14.45</v>
      </c>
      <c r="CB111" s="828">
        <v>15.6</v>
      </c>
      <c r="CC111" s="828">
        <v>16.8</v>
      </c>
      <c r="CD111" s="828">
        <v>18</v>
      </c>
      <c r="CE111" s="828">
        <v>19.3</v>
      </c>
      <c r="CF111" s="828">
        <v>20.6</v>
      </c>
      <c r="CG111" s="828">
        <v>21.95</v>
      </c>
      <c r="CH111" s="828">
        <v>23.35</v>
      </c>
      <c r="CI111" s="828">
        <v>24.75</v>
      </c>
      <c r="CJ111" s="1206"/>
      <c r="CQ111" s="1237">
        <v>41</v>
      </c>
      <c r="CR111" s="1260">
        <v>0.6</v>
      </c>
      <c r="CS111" s="1260">
        <v>0.65</v>
      </c>
      <c r="CT111" s="1260">
        <v>0.65</v>
      </c>
      <c r="CU111" s="1260">
        <v>0.75</v>
      </c>
      <c r="CV111" s="1260">
        <v>0.75</v>
      </c>
      <c r="CW111" s="1260">
        <v>0.8</v>
      </c>
      <c r="CX111" s="1260">
        <v>0.85</v>
      </c>
      <c r="CY111" s="1260">
        <v>0.9</v>
      </c>
      <c r="CZ111" s="1260">
        <v>0.95</v>
      </c>
      <c r="DA111" s="1260">
        <v>1</v>
      </c>
      <c r="DB111" s="1260">
        <v>1.05</v>
      </c>
      <c r="DC111" s="1260">
        <v>1.1000000000000001</v>
      </c>
      <c r="DD111" s="1260">
        <v>1.1499999999999999</v>
      </c>
      <c r="DE111" s="1260">
        <v>1.2</v>
      </c>
      <c r="DF111" s="1260">
        <v>1.25</v>
      </c>
      <c r="DG111" s="1260">
        <v>1.3</v>
      </c>
      <c r="DH111" s="1260">
        <v>1.35</v>
      </c>
      <c r="DI111" s="1260">
        <v>1.4</v>
      </c>
      <c r="DJ111" s="1260">
        <v>1.45</v>
      </c>
      <c r="DK111" s="1260">
        <v>1.5</v>
      </c>
      <c r="DL111" s="1260">
        <v>1.55</v>
      </c>
      <c r="DM111" s="1260">
        <v>1.6</v>
      </c>
      <c r="DN111" s="1260">
        <v>1.65</v>
      </c>
      <c r="DO111" s="1242" t="s">
        <v>39</v>
      </c>
      <c r="DP111" s="1222"/>
      <c r="DQ111" s="1237">
        <v>51</v>
      </c>
      <c r="DR111" s="1260">
        <v>1.89</v>
      </c>
      <c r="DS111" s="1260">
        <v>1.96</v>
      </c>
      <c r="DT111" s="1260">
        <v>2.0299999999999998</v>
      </c>
      <c r="DU111" s="1260">
        <v>2.1</v>
      </c>
      <c r="DV111" s="1260">
        <v>2.17</v>
      </c>
      <c r="DW111" s="1260">
        <v>2.2999999999999998</v>
      </c>
      <c r="DX111" s="1260">
        <v>2.37</v>
      </c>
      <c r="DY111" s="1260">
        <v>2.44</v>
      </c>
      <c r="DZ111" s="1260">
        <v>2.5099999999999998</v>
      </c>
      <c r="EA111" s="1260">
        <v>2.58</v>
      </c>
      <c r="EB111" s="1242" t="s">
        <v>39</v>
      </c>
      <c r="EC111" s="1242" t="s">
        <v>39</v>
      </c>
      <c r="ED111" s="1242" t="s">
        <v>39</v>
      </c>
      <c r="EE111" s="1242" t="s">
        <v>39</v>
      </c>
      <c r="EF111" s="1242" t="s">
        <v>39</v>
      </c>
      <c r="EG111" s="1242" t="s">
        <v>39</v>
      </c>
      <c r="EH111" s="1242" t="s">
        <v>39</v>
      </c>
      <c r="EI111" s="1242" t="s">
        <v>39</v>
      </c>
      <c r="EJ111" s="1242" t="s">
        <v>39</v>
      </c>
      <c r="EK111" s="1242" t="s">
        <v>39</v>
      </c>
      <c r="EL111" s="1242" t="s">
        <v>39</v>
      </c>
    </row>
    <row r="112" spans="2:142" ht="15" customHeight="1">
      <c r="B112" s="1254">
        <v>36</v>
      </c>
      <c r="C112" s="1258">
        <v>758.7</v>
      </c>
      <c r="D112" s="1258">
        <v>734.2</v>
      </c>
      <c r="E112" s="1258">
        <v>710.55</v>
      </c>
      <c r="F112" s="1258">
        <v>687.8</v>
      </c>
      <c r="G112" s="1258">
        <v>665.85</v>
      </c>
      <c r="H112" s="1258">
        <v>644.79999999999995</v>
      </c>
      <c r="I112" s="1258">
        <v>624.6</v>
      </c>
      <c r="J112" s="1258">
        <v>605.20000000000005</v>
      </c>
      <c r="K112" s="1258">
        <v>586.70000000000005</v>
      </c>
      <c r="L112" s="1258">
        <v>568.95000000000005</v>
      </c>
      <c r="M112" s="1258">
        <v>552.1</v>
      </c>
      <c r="N112" s="1258">
        <v>536</v>
      </c>
      <c r="O112" s="1258">
        <v>520.65</v>
      </c>
      <c r="P112" s="1258">
        <v>506.1</v>
      </c>
      <c r="Q112" s="1258">
        <v>492.3</v>
      </c>
      <c r="R112" s="1258">
        <v>479.25</v>
      </c>
      <c r="U112" s="1257">
        <v>49</v>
      </c>
      <c r="V112" s="1258">
        <v>90.8</v>
      </c>
      <c r="W112" s="1206"/>
      <c r="AB112" s="1207">
        <v>44</v>
      </c>
      <c r="AC112" s="1220">
        <v>88.3</v>
      </c>
      <c r="AD112" s="1220">
        <v>78.75</v>
      </c>
      <c r="AE112" s="1220">
        <v>70.900000000000006</v>
      </c>
      <c r="AF112" s="1220">
        <v>64.400000000000006</v>
      </c>
      <c r="AG112" s="1220">
        <v>58.95</v>
      </c>
      <c r="AH112" s="1220">
        <v>54.9</v>
      </c>
      <c r="AI112" s="1220">
        <v>50.85</v>
      </c>
      <c r="AJ112" s="1220">
        <v>47.35</v>
      </c>
      <c r="AK112" s="1220">
        <v>44.3</v>
      </c>
      <c r="AL112" s="1220">
        <v>41.65</v>
      </c>
      <c r="AM112" s="1220">
        <v>39.299999999999997</v>
      </c>
      <c r="BN112" s="1207">
        <v>54</v>
      </c>
      <c r="BO112" s="828">
        <v>3.65</v>
      </c>
      <c r="BP112" s="828">
        <v>4.3499999999999996</v>
      </c>
      <c r="BQ112" s="828">
        <v>5.05</v>
      </c>
      <c r="BR112" s="828">
        <v>5.75</v>
      </c>
      <c r="BS112" s="828">
        <v>6.5</v>
      </c>
      <c r="BT112" s="828">
        <v>7.6</v>
      </c>
      <c r="BU112" s="828">
        <v>8.4499999999999993</v>
      </c>
      <c r="BV112" s="828">
        <v>9.3000000000000007</v>
      </c>
      <c r="BW112" s="828">
        <v>10.199999999999999</v>
      </c>
      <c r="BX112" s="828">
        <v>11.15</v>
      </c>
      <c r="BY112" s="828">
        <v>12.35</v>
      </c>
      <c r="BZ112" s="828">
        <v>13.4</v>
      </c>
      <c r="CA112" s="828">
        <v>14.45</v>
      </c>
      <c r="CB112" s="828">
        <v>15.6</v>
      </c>
      <c r="CC112" s="828">
        <v>16.8</v>
      </c>
      <c r="CD112" s="828">
        <v>18</v>
      </c>
      <c r="CE112" s="828">
        <v>19.3</v>
      </c>
      <c r="CF112" s="828">
        <v>20.6</v>
      </c>
      <c r="CG112" s="828">
        <v>21.95</v>
      </c>
      <c r="CH112" s="828">
        <v>23.35</v>
      </c>
      <c r="CI112" s="828">
        <v>24.75</v>
      </c>
      <c r="CJ112" s="1206"/>
      <c r="CQ112" s="1237">
        <v>42</v>
      </c>
      <c r="CR112" s="1260">
        <v>0.65</v>
      </c>
      <c r="CS112" s="1260">
        <v>0.7</v>
      </c>
      <c r="CT112" s="1260">
        <v>0.75</v>
      </c>
      <c r="CU112" s="1260">
        <v>0.8</v>
      </c>
      <c r="CV112" s="1260">
        <v>0.85</v>
      </c>
      <c r="CW112" s="1260">
        <v>0.9</v>
      </c>
      <c r="CX112" s="1260">
        <v>0.95</v>
      </c>
      <c r="CY112" s="1260">
        <v>1</v>
      </c>
      <c r="CZ112" s="1260">
        <v>1.05</v>
      </c>
      <c r="DA112" s="1260">
        <v>1.1000000000000001</v>
      </c>
      <c r="DB112" s="1260">
        <v>1.1499999999999999</v>
      </c>
      <c r="DC112" s="1260">
        <v>1.2</v>
      </c>
      <c r="DD112" s="1260">
        <v>1.25</v>
      </c>
      <c r="DE112" s="1260">
        <v>1.3</v>
      </c>
      <c r="DF112" s="1260">
        <v>1.35</v>
      </c>
      <c r="DG112" s="1260">
        <v>1.4</v>
      </c>
      <c r="DH112" s="1260">
        <v>1.45</v>
      </c>
      <c r="DI112" s="1260">
        <v>1.5</v>
      </c>
      <c r="DJ112" s="1260">
        <v>1.6</v>
      </c>
      <c r="DK112" s="1260">
        <v>1.65</v>
      </c>
      <c r="DL112" s="1260">
        <v>1.7</v>
      </c>
      <c r="DM112" s="1260">
        <v>1.75</v>
      </c>
      <c r="DN112" s="1242" t="s">
        <v>39</v>
      </c>
      <c r="DO112" s="1242" t="s">
        <v>39</v>
      </c>
      <c r="DP112" s="1222"/>
      <c r="DQ112" s="1237">
        <v>52</v>
      </c>
      <c r="DR112" s="1260">
        <v>2.06</v>
      </c>
      <c r="DS112" s="1260">
        <v>2.13</v>
      </c>
      <c r="DT112" s="1260">
        <v>2.21</v>
      </c>
      <c r="DU112" s="1260">
        <v>2.2799999999999998</v>
      </c>
      <c r="DV112" s="1260">
        <v>2.35</v>
      </c>
      <c r="DW112" s="1260">
        <v>2.4900000000000002</v>
      </c>
      <c r="DX112" s="1260">
        <v>2.56</v>
      </c>
      <c r="DY112" s="1260">
        <v>2.64</v>
      </c>
      <c r="DZ112" s="1260">
        <v>2.71</v>
      </c>
      <c r="EA112" s="1242" t="s">
        <v>39</v>
      </c>
      <c r="EB112" s="1242" t="s">
        <v>39</v>
      </c>
      <c r="EC112" s="1242" t="s">
        <v>39</v>
      </c>
      <c r="ED112" s="1242" t="s">
        <v>39</v>
      </c>
      <c r="EE112" s="1242" t="s">
        <v>39</v>
      </c>
      <c r="EF112" s="1242" t="s">
        <v>39</v>
      </c>
      <c r="EG112" s="1242" t="s">
        <v>39</v>
      </c>
      <c r="EH112" s="1242" t="s">
        <v>39</v>
      </c>
      <c r="EI112" s="1242" t="s">
        <v>39</v>
      </c>
      <c r="EJ112" s="1242" t="s">
        <v>39</v>
      </c>
      <c r="EK112" s="1242" t="s">
        <v>39</v>
      </c>
      <c r="EL112" s="1242" t="s">
        <v>39</v>
      </c>
    </row>
    <row r="113" spans="2:142" ht="15" customHeight="1">
      <c r="B113" s="1254">
        <v>37</v>
      </c>
      <c r="C113" s="1258">
        <v>758.95</v>
      </c>
      <c r="D113" s="1258">
        <v>734.5</v>
      </c>
      <c r="E113" s="1258">
        <v>710.9</v>
      </c>
      <c r="F113" s="1258">
        <v>688.2</v>
      </c>
      <c r="G113" s="1258">
        <v>666.35</v>
      </c>
      <c r="H113" s="1258">
        <v>645.4</v>
      </c>
      <c r="I113" s="1258">
        <v>625.25</v>
      </c>
      <c r="J113" s="1258">
        <v>606</v>
      </c>
      <c r="K113" s="1258">
        <v>587.6</v>
      </c>
      <c r="L113" s="1258">
        <v>570.04999999999995</v>
      </c>
      <c r="M113" s="1258">
        <v>553.25</v>
      </c>
      <c r="N113" s="1258">
        <v>537.29999999999995</v>
      </c>
      <c r="O113" s="1258">
        <v>522.15</v>
      </c>
      <c r="P113" s="1258">
        <v>507.75</v>
      </c>
      <c r="Q113" s="1258">
        <v>494.1</v>
      </c>
      <c r="R113" s="1258">
        <v>481.2</v>
      </c>
      <c r="U113" s="1257">
        <v>50</v>
      </c>
      <c r="V113" s="1258">
        <v>92.05</v>
      </c>
      <c r="W113" s="1206"/>
      <c r="AB113" s="1207">
        <v>45</v>
      </c>
      <c r="AC113" s="1220">
        <v>88.6</v>
      </c>
      <c r="AD113" s="1220">
        <v>79.099999999999994</v>
      </c>
      <c r="AE113" s="1220">
        <v>71.25</v>
      </c>
      <c r="AF113" s="1220">
        <v>64.75</v>
      </c>
      <c r="AG113" s="1220">
        <v>59.3</v>
      </c>
      <c r="AH113" s="1220">
        <v>55.3</v>
      </c>
      <c r="AI113" s="1220">
        <v>51.25</v>
      </c>
      <c r="AJ113" s="1220">
        <v>47.75</v>
      </c>
      <c r="AK113" s="1220">
        <v>44.75</v>
      </c>
      <c r="AL113" s="1220">
        <v>42.1</v>
      </c>
      <c r="AM113" s="1220">
        <v>39.75</v>
      </c>
      <c r="BN113" s="1207">
        <v>55</v>
      </c>
      <c r="BO113" s="828">
        <v>3.65</v>
      </c>
      <c r="BP113" s="828">
        <v>4.3499999999999996</v>
      </c>
      <c r="BQ113" s="828">
        <v>5.05</v>
      </c>
      <c r="BR113" s="828">
        <v>5.75</v>
      </c>
      <c r="BS113" s="828">
        <v>6.5</v>
      </c>
      <c r="BT113" s="828">
        <v>7.6</v>
      </c>
      <c r="BU113" s="828">
        <v>8.4499999999999993</v>
      </c>
      <c r="BV113" s="828">
        <v>9.3000000000000007</v>
      </c>
      <c r="BW113" s="828">
        <v>10.199999999999999</v>
      </c>
      <c r="BX113" s="828">
        <v>11.15</v>
      </c>
      <c r="BY113" s="828">
        <v>12.35</v>
      </c>
      <c r="BZ113" s="828">
        <v>13.4</v>
      </c>
      <c r="CA113" s="828">
        <v>14.45</v>
      </c>
      <c r="CB113" s="828">
        <v>15.6</v>
      </c>
      <c r="CC113" s="828">
        <v>16.8</v>
      </c>
      <c r="CD113" s="828">
        <v>18</v>
      </c>
      <c r="CE113" s="828">
        <v>19.3</v>
      </c>
      <c r="CF113" s="828">
        <v>20.6</v>
      </c>
      <c r="CG113" s="828">
        <v>21.95</v>
      </c>
      <c r="CH113" s="828">
        <v>23.35</v>
      </c>
      <c r="CI113" s="828">
        <v>24.75</v>
      </c>
      <c r="CJ113" s="1206"/>
      <c r="CQ113" s="1237">
        <v>43</v>
      </c>
      <c r="CR113" s="1260">
        <v>0.75</v>
      </c>
      <c r="CS113" s="1260">
        <v>0.8</v>
      </c>
      <c r="CT113" s="1260">
        <v>0.8</v>
      </c>
      <c r="CU113" s="1260">
        <v>0.9</v>
      </c>
      <c r="CV113" s="1260">
        <v>0.95</v>
      </c>
      <c r="CW113" s="1260">
        <v>1</v>
      </c>
      <c r="CX113" s="1260">
        <v>1.05</v>
      </c>
      <c r="CY113" s="1260">
        <v>1.1000000000000001</v>
      </c>
      <c r="CZ113" s="1260">
        <v>1.1499999999999999</v>
      </c>
      <c r="DA113" s="1260">
        <v>1.2</v>
      </c>
      <c r="DB113" s="1260">
        <v>1.25</v>
      </c>
      <c r="DC113" s="1260">
        <v>1.3</v>
      </c>
      <c r="DD113" s="1260">
        <v>1.35</v>
      </c>
      <c r="DE113" s="1260">
        <v>1.4</v>
      </c>
      <c r="DF113" s="1260">
        <v>1.5</v>
      </c>
      <c r="DG113" s="1260">
        <v>1.55</v>
      </c>
      <c r="DH113" s="1260">
        <v>1.6</v>
      </c>
      <c r="DI113" s="1260">
        <v>1.65</v>
      </c>
      <c r="DJ113" s="1260">
        <v>1.7</v>
      </c>
      <c r="DK113" s="1260">
        <v>1.8</v>
      </c>
      <c r="DL113" s="1260">
        <v>1.85</v>
      </c>
      <c r="DM113" s="1242" t="s">
        <v>39</v>
      </c>
      <c r="DN113" s="1242" t="s">
        <v>39</v>
      </c>
      <c r="DO113" s="1242" t="s">
        <v>39</v>
      </c>
      <c r="DP113" s="1222"/>
      <c r="DQ113" s="1237">
        <v>53</v>
      </c>
      <c r="DR113" s="1260">
        <v>2.25</v>
      </c>
      <c r="DS113" s="1260">
        <v>2.3199999999999998</v>
      </c>
      <c r="DT113" s="1260">
        <v>2.39</v>
      </c>
      <c r="DU113" s="1260">
        <v>2.4700000000000002</v>
      </c>
      <c r="DV113" s="1260">
        <v>2.54</v>
      </c>
      <c r="DW113" s="1260">
        <v>2.7</v>
      </c>
      <c r="DX113" s="1260">
        <v>2.77</v>
      </c>
      <c r="DY113" s="1260">
        <v>2.85</v>
      </c>
      <c r="DZ113" s="1242" t="s">
        <v>39</v>
      </c>
      <c r="EA113" s="1242" t="s">
        <v>39</v>
      </c>
      <c r="EB113" s="1242" t="s">
        <v>39</v>
      </c>
      <c r="EC113" s="1242" t="s">
        <v>39</v>
      </c>
      <c r="ED113" s="1242" t="s">
        <v>39</v>
      </c>
      <c r="EE113" s="1242" t="s">
        <v>39</v>
      </c>
      <c r="EF113" s="1242" t="s">
        <v>39</v>
      </c>
      <c r="EG113" s="1242" t="s">
        <v>39</v>
      </c>
      <c r="EH113" s="1242" t="s">
        <v>39</v>
      </c>
      <c r="EI113" s="1242" t="s">
        <v>39</v>
      </c>
      <c r="EJ113" s="1242" t="s">
        <v>39</v>
      </c>
      <c r="EK113" s="1242" t="s">
        <v>39</v>
      </c>
      <c r="EL113" s="1242" t="s">
        <v>39</v>
      </c>
    </row>
    <row r="114" spans="2:142" ht="15" customHeight="1">
      <c r="B114" s="1254">
        <v>38</v>
      </c>
      <c r="C114" s="1258">
        <v>759.15</v>
      </c>
      <c r="D114" s="1258">
        <v>734.8</v>
      </c>
      <c r="E114" s="1258">
        <v>711.3</v>
      </c>
      <c r="F114" s="1258">
        <v>688.65</v>
      </c>
      <c r="G114" s="1258">
        <v>666.9</v>
      </c>
      <c r="H114" s="1258">
        <v>646.04999999999995</v>
      </c>
      <c r="I114" s="1258">
        <v>626.04999999999995</v>
      </c>
      <c r="J114" s="1258">
        <v>606.95000000000005</v>
      </c>
      <c r="K114" s="1258">
        <v>588.65</v>
      </c>
      <c r="L114" s="1258">
        <v>571.20000000000005</v>
      </c>
      <c r="M114" s="1258">
        <v>554.6</v>
      </c>
      <c r="N114" s="1258">
        <v>538.79999999999995</v>
      </c>
      <c r="O114" s="1258">
        <v>523.79999999999995</v>
      </c>
      <c r="P114" s="1258">
        <v>509.6</v>
      </c>
      <c r="Q114" s="1258">
        <v>496.1</v>
      </c>
      <c r="R114" s="1258">
        <v>483.35</v>
      </c>
      <c r="AB114" s="1207">
        <v>46</v>
      </c>
      <c r="AC114" s="1220">
        <v>88.95</v>
      </c>
      <c r="AD114" s="1220">
        <v>79.45</v>
      </c>
      <c r="AE114" s="1220">
        <v>71.650000000000006</v>
      </c>
      <c r="AF114" s="1220">
        <v>65.150000000000006</v>
      </c>
      <c r="AG114" s="1220">
        <v>59.7</v>
      </c>
      <c r="AH114" s="1220">
        <v>55.75</v>
      </c>
      <c r="AI114" s="1220">
        <v>51.7</v>
      </c>
      <c r="AJ114" s="1220">
        <v>48.25</v>
      </c>
      <c r="AK114" s="1220">
        <v>45.2</v>
      </c>
      <c r="AL114" s="1220">
        <v>42.6</v>
      </c>
      <c r="AM114" s="1220">
        <v>40.25</v>
      </c>
      <c r="CQ114" s="1237">
        <v>44</v>
      </c>
      <c r="CR114" s="1260">
        <v>0.8</v>
      </c>
      <c r="CS114" s="1260">
        <v>0.85</v>
      </c>
      <c r="CT114" s="1260">
        <v>0.9</v>
      </c>
      <c r="CU114" s="1260">
        <v>1</v>
      </c>
      <c r="CV114" s="1260">
        <v>1.05</v>
      </c>
      <c r="CW114" s="1260">
        <v>1.1000000000000001</v>
      </c>
      <c r="CX114" s="1260">
        <v>1.1499999999999999</v>
      </c>
      <c r="CY114" s="1260">
        <v>1.2</v>
      </c>
      <c r="CZ114" s="1260">
        <v>1.25</v>
      </c>
      <c r="DA114" s="1260">
        <v>1.3</v>
      </c>
      <c r="DB114" s="1260">
        <v>1.4</v>
      </c>
      <c r="DC114" s="1260">
        <v>1.45</v>
      </c>
      <c r="DD114" s="1260">
        <v>1.5</v>
      </c>
      <c r="DE114" s="1260">
        <v>1.55</v>
      </c>
      <c r="DF114" s="1260">
        <v>1.6</v>
      </c>
      <c r="DG114" s="1260">
        <v>1.7</v>
      </c>
      <c r="DH114" s="1260">
        <v>1.75</v>
      </c>
      <c r="DI114" s="1260">
        <v>1.8</v>
      </c>
      <c r="DJ114" s="1260">
        <v>1.85</v>
      </c>
      <c r="DK114" s="1260">
        <v>1.95</v>
      </c>
      <c r="DL114" s="1242" t="s">
        <v>39</v>
      </c>
      <c r="DM114" s="1242" t="s">
        <v>39</v>
      </c>
      <c r="DN114" s="1242" t="s">
        <v>39</v>
      </c>
      <c r="DO114" s="1242" t="s">
        <v>39</v>
      </c>
      <c r="DP114" s="1222"/>
      <c r="DQ114" s="1237">
        <v>54</v>
      </c>
      <c r="DR114" s="1260">
        <v>2.4300000000000002</v>
      </c>
      <c r="DS114" s="1260">
        <v>2.5099999999999998</v>
      </c>
      <c r="DT114" s="1260">
        <v>2.58</v>
      </c>
      <c r="DU114" s="1260">
        <v>2.67</v>
      </c>
      <c r="DV114" s="1260">
        <v>2.75</v>
      </c>
      <c r="DW114" s="1260">
        <v>2.91</v>
      </c>
      <c r="DX114" s="1260">
        <v>3</v>
      </c>
      <c r="DY114" s="1242" t="s">
        <v>39</v>
      </c>
      <c r="DZ114" s="1242" t="s">
        <v>39</v>
      </c>
      <c r="EA114" s="1242" t="s">
        <v>39</v>
      </c>
      <c r="EB114" s="1242" t="s">
        <v>39</v>
      </c>
      <c r="EC114" s="1242" t="s">
        <v>39</v>
      </c>
      <c r="ED114" s="1242" t="s">
        <v>39</v>
      </c>
      <c r="EE114" s="1242" t="s">
        <v>39</v>
      </c>
      <c r="EF114" s="1242" t="s">
        <v>39</v>
      </c>
      <c r="EG114" s="1242" t="s">
        <v>39</v>
      </c>
      <c r="EH114" s="1242" t="s">
        <v>39</v>
      </c>
      <c r="EI114" s="1242" t="s">
        <v>39</v>
      </c>
      <c r="EJ114" s="1242" t="s">
        <v>39</v>
      </c>
      <c r="EK114" s="1242" t="s">
        <v>39</v>
      </c>
      <c r="EL114" s="1242" t="s">
        <v>39</v>
      </c>
    </row>
    <row r="115" spans="2:142" ht="15" customHeight="1">
      <c r="B115" s="1254">
        <v>39</v>
      </c>
      <c r="C115" s="1258">
        <v>759.45</v>
      </c>
      <c r="D115" s="1258">
        <v>735.15</v>
      </c>
      <c r="E115" s="1258">
        <v>711.7</v>
      </c>
      <c r="F115" s="1258">
        <v>689.2</v>
      </c>
      <c r="G115" s="1258">
        <v>667.55</v>
      </c>
      <c r="H115" s="1258">
        <v>646.79999999999995</v>
      </c>
      <c r="I115" s="1258">
        <v>626.95000000000005</v>
      </c>
      <c r="J115" s="1258">
        <v>607.95000000000005</v>
      </c>
      <c r="K115" s="1258">
        <v>589.79999999999995</v>
      </c>
      <c r="L115" s="1258">
        <v>572.54999999999995</v>
      </c>
      <c r="M115" s="1258">
        <v>556.1</v>
      </c>
      <c r="N115" s="1258">
        <v>540.45000000000005</v>
      </c>
      <c r="O115" s="1258">
        <v>525.65</v>
      </c>
      <c r="P115" s="1258">
        <v>511.6</v>
      </c>
      <c r="Q115" s="1258">
        <v>498.3</v>
      </c>
      <c r="R115" s="1258">
        <v>485.75</v>
      </c>
      <c r="AB115" s="1207">
        <v>47</v>
      </c>
      <c r="AC115" s="1220">
        <v>89.35</v>
      </c>
      <c r="AD115" s="1220">
        <v>79.849999999999994</v>
      </c>
      <c r="AE115" s="1220">
        <v>72.05</v>
      </c>
      <c r="AF115" s="1220">
        <v>65.599999999999994</v>
      </c>
      <c r="AG115" s="1220">
        <v>60.15</v>
      </c>
      <c r="AH115" s="1220">
        <v>56.2</v>
      </c>
      <c r="AI115" s="1220">
        <v>52.2</v>
      </c>
      <c r="AJ115" s="1220">
        <v>48.75</v>
      </c>
      <c r="AK115" s="1220">
        <v>45.7</v>
      </c>
      <c r="AL115" s="1220">
        <v>43.1</v>
      </c>
      <c r="AM115" s="1220">
        <v>40.799999999999997</v>
      </c>
      <c r="CQ115" s="1237">
        <v>45</v>
      </c>
      <c r="CR115" s="1260">
        <v>0.9</v>
      </c>
      <c r="CS115" s="1260">
        <v>0.95</v>
      </c>
      <c r="CT115" s="1260">
        <v>1</v>
      </c>
      <c r="CU115" s="1260">
        <v>1.1000000000000001</v>
      </c>
      <c r="CV115" s="1260">
        <v>1.1499999999999999</v>
      </c>
      <c r="CW115" s="1260">
        <v>1.2</v>
      </c>
      <c r="CX115" s="1260">
        <v>1.25</v>
      </c>
      <c r="CY115" s="1260">
        <v>1.35</v>
      </c>
      <c r="CZ115" s="1260">
        <v>1.4</v>
      </c>
      <c r="DA115" s="1260">
        <v>1.45</v>
      </c>
      <c r="DB115" s="1260">
        <v>1.5</v>
      </c>
      <c r="DC115" s="1260">
        <v>1.55</v>
      </c>
      <c r="DD115" s="1260">
        <v>1.65</v>
      </c>
      <c r="DE115" s="1260">
        <v>1.7</v>
      </c>
      <c r="DF115" s="1260">
        <v>1.75</v>
      </c>
      <c r="DG115" s="1260">
        <v>1.85</v>
      </c>
      <c r="DH115" s="1260">
        <v>1.9</v>
      </c>
      <c r="DI115" s="1260">
        <v>1.95</v>
      </c>
      <c r="DJ115" s="1260">
        <v>2.0499999999999998</v>
      </c>
      <c r="DK115" s="1242" t="s">
        <v>39</v>
      </c>
      <c r="DL115" s="1242" t="s">
        <v>39</v>
      </c>
      <c r="DM115" s="1242" t="s">
        <v>39</v>
      </c>
      <c r="DN115" s="1242" t="s">
        <v>39</v>
      </c>
      <c r="DO115" s="1242" t="s">
        <v>39</v>
      </c>
      <c r="DP115" s="1222"/>
      <c r="DQ115" s="1237">
        <v>55</v>
      </c>
      <c r="DR115" s="1260">
        <v>2.63</v>
      </c>
      <c r="DS115" s="1260">
        <v>2.71</v>
      </c>
      <c r="DT115" s="1260">
        <v>2.79</v>
      </c>
      <c r="DU115" s="1260">
        <v>2.87</v>
      </c>
      <c r="DV115" s="1260">
        <v>2.96</v>
      </c>
      <c r="DW115" s="1260">
        <v>3.14</v>
      </c>
      <c r="DX115" s="1242" t="s">
        <v>39</v>
      </c>
      <c r="DY115" s="1242" t="s">
        <v>39</v>
      </c>
      <c r="DZ115" s="1242" t="s">
        <v>39</v>
      </c>
      <c r="EA115" s="1242" t="s">
        <v>39</v>
      </c>
      <c r="EB115" s="1242" t="s">
        <v>39</v>
      </c>
      <c r="EC115" s="1242" t="s">
        <v>39</v>
      </c>
      <c r="ED115" s="1242" t="s">
        <v>39</v>
      </c>
      <c r="EE115" s="1242" t="s">
        <v>39</v>
      </c>
      <c r="EF115" s="1242" t="s">
        <v>39</v>
      </c>
      <c r="EG115" s="1242" t="s">
        <v>39</v>
      </c>
      <c r="EH115" s="1242" t="s">
        <v>39</v>
      </c>
      <c r="EI115" s="1242" t="s">
        <v>39</v>
      </c>
      <c r="EJ115" s="1242" t="s">
        <v>39</v>
      </c>
      <c r="EK115" s="1242" t="s">
        <v>39</v>
      </c>
      <c r="EL115" s="1242" t="s">
        <v>39</v>
      </c>
    </row>
    <row r="116" spans="2:142" ht="15" customHeight="1">
      <c r="B116" s="1254">
        <v>40</v>
      </c>
      <c r="C116" s="1258">
        <v>759.75</v>
      </c>
      <c r="D116" s="1258">
        <v>735.55</v>
      </c>
      <c r="E116" s="1258">
        <v>712.25</v>
      </c>
      <c r="F116" s="1258">
        <v>689.8</v>
      </c>
      <c r="G116" s="1258">
        <v>668.3</v>
      </c>
      <c r="H116" s="1258">
        <v>647.65</v>
      </c>
      <c r="I116" s="1258">
        <v>627.95000000000005</v>
      </c>
      <c r="J116" s="1258">
        <v>609.1</v>
      </c>
      <c r="K116" s="1258">
        <v>591.1</v>
      </c>
      <c r="L116" s="1258">
        <v>574</v>
      </c>
      <c r="M116" s="1258">
        <v>557.75</v>
      </c>
      <c r="N116" s="1258">
        <v>542.25</v>
      </c>
      <c r="O116" s="1258">
        <v>527.6</v>
      </c>
      <c r="P116" s="1258">
        <v>513.75</v>
      </c>
      <c r="Q116" s="1258">
        <v>500.65</v>
      </c>
      <c r="R116" s="1258">
        <v>488.35</v>
      </c>
      <c r="AB116" s="1207">
        <v>48</v>
      </c>
      <c r="AC116" s="1220">
        <v>89.75</v>
      </c>
      <c r="AD116" s="1220">
        <v>80.25</v>
      </c>
      <c r="AE116" s="1220">
        <v>72.5</v>
      </c>
      <c r="AF116" s="1220">
        <v>66.05</v>
      </c>
      <c r="AG116" s="1220">
        <v>60.65</v>
      </c>
      <c r="AH116" s="1220">
        <v>56.7</v>
      </c>
      <c r="AI116" s="1220">
        <v>52.7</v>
      </c>
      <c r="AJ116" s="1220">
        <v>49.25</v>
      </c>
      <c r="AK116" s="1220">
        <v>46.3</v>
      </c>
      <c r="AL116" s="1220">
        <v>43.7</v>
      </c>
      <c r="AM116" s="1220">
        <v>41.4</v>
      </c>
      <c r="CQ116" s="1237">
        <v>46</v>
      </c>
      <c r="CR116" s="1260">
        <v>1</v>
      </c>
      <c r="CS116" s="1260">
        <v>1.05</v>
      </c>
      <c r="CT116" s="1260">
        <v>1.1000000000000001</v>
      </c>
      <c r="CU116" s="1260">
        <v>1.2</v>
      </c>
      <c r="CV116" s="1260">
        <v>1.25</v>
      </c>
      <c r="CW116" s="1260">
        <v>1.35</v>
      </c>
      <c r="CX116" s="1260">
        <v>1.4</v>
      </c>
      <c r="CY116" s="1260">
        <v>1.45</v>
      </c>
      <c r="CZ116" s="1260">
        <v>1.55</v>
      </c>
      <c r="DA116" s="1260">
        <v>1.6</v>
      </c>
      <c r="DB116" s="1260">
        <v>1.65</v>
      </c>
      <c r="DC116" s="1260">
        <v>1.7</v>
      </c>
      <c r="DD116" s="1260">
        <v>1.8</v>
      </c>
      <c r="DE116" s="1260">
        <v>1.85</v>
      </c>
      <c r="DF116" s="1260">
        <v>1.95</v>
      </c>
      <c r="DG116" s="1260">
        <v>2</v>
      </c>
      <c r="DH116" s="1260">
        <v>2.1</v>
      </c>
      <c r="DI116" s="1260">
        <v>2.15</v>
      </c>
      <c r="DJ116" s="1242" t="s">
        <v>39</v>
      </c>
      <c r="DK116" s="1242" t="s">
        <v>39</v>
      </c>
      <c r="DL116" s="1242" t="s">
        <v>39</v>
      </c>
      <c r="DM116" s="1242" t="s">
        <v>39</v>
      </c>
      <c r="DN116" s="1242" t="s">
        <v>39</v>
      </c>
      <c r="DO116" s="1242" t="s">
        <v>39</v>
      </c>
      <c r="DP116" s="1222"/>
      <c r="DQ116" s="1262"/>
      <c r="DR116" s="1242" t="s">
        <v>39</v>
      </c>
      <c r="DS116" s="1242" t="s">
        <v>39</v>
      </c>
      <c r="DT116" s="1242" t="s">
        <v>39</v>
      </c>
      <c r="DU116" s="1242" t="s">
        <v>39</v>
      </c>
      <c r="DV116" s="1242" t="s">
        <v>39</v>
      </c>
      <c r="DW116" s="1242" t="s">
        <v>39</v>
      </c>
      <c r="DX116" s="1242" t="s">
        <v>39</v>
      </c>
      <c r="DY116" s="1242" t="s">
        <v>39</v>
      </c>
      <c r="DZ116" s="1242" t="s">
        <v>39</v>
      </c>
      <c r="EA116" s="1242" t="s">
        <v>39</v>
      </c>
      <c r="EB116" s="1242" t="s">
        <v>39</v>
      </c>
      <c r="EC116" s="1242" t="s">
        <v>39</v>
      </c>
      <c r="ED116" s="1242" t="s">
        <v>39</v>
      </c>
      <c r="EE116" s="1242" t="s">
        <v>39</v>
      </c>
      <c r="EF116" s="1242" t="s">
        <v>39</v>
      </c>
      <c r="EG116" s="1242" t="s">
        <v>39</v>
      </c>
      <c r="EH116" s="1242" t="s">
        <v>39</v>
      </c>
      <c r="EI116" s="1242" t="s">
        <v>39</v>
      </c>
      <c r="EJ116" s="1242" t="s">
        <v>39</v>
      </c>
      <c r="EK116" s="1242" t="s">
        <v>39</v>
      </c>
      <c r="EL116" s="1242" t="s">
        <v>39</v>
      </c>
    </row>
    <row r="117" spans="2:142" ht="15" customHeight="1">
      <c r="B117" s="1254">
        <v>41</v>
      </c>
      <c r="C117" s="1258">
        <v>760.15</v>
      </c>
      <c r="D117" s="1258">
        <v>736</v>
      </c>
      <c r="E117" s="1258">
        <v>712.8</v>
      </c>
      <c r="F117" s="1258">
        <v>690.5</v>
      </c>
      <c r="G117" s="1258">
        <v>669.1</v>
      </c>
      <c r="H117" s="1258">
        <v>648.65</v>
      </c>
      <c r="I117" s="1258">
        <v>629.04999999999995</v>
      </c>
      <c r="J117" s="1258">
        <v>610.35</v>
      </c>
      <c r="K117" s="1258">
        <v>592.54999999999995</v>
      </c>
      <c r="L117" s="1258">
        <v>575.6</v>
      </c>
      <c r="M117" s="1258">
        <v>559.5</v>
      </c>
      <c r="N117" s="1258">
        <v>544.25</v>
      </c>
      <c r="O117" s="1258">
        <v>529.79999999999995</v>
      </c>
      <c r="P117" s="1258">
        <v>516.15</v>
      </c>
      <c r="Q117" s="1258">
        <v>503.25</v>
      </c>
      <c r="R117" s="1258">
        <v>491.15</v>
      </c>
      <c r="AB117" s="1207">
        <v>49</v>
      </c>
      <c r="AC117" s="1220">
        <v>90.2</v>
      </c>
      <c r="AD117" s="1220">
        <v>80.7</v>
      </c>
      <c r="AE117" s="1220">
        <v>73</v>
      </c>
      <c r="AF117" s="1220">
        <v>66.55</v>
      </c>
      <c r="AG117" s="1220">
        <v>61.15</v>
      </c>
      <c r="AH117" s="1220">
        <v>57.25</v>
      </c>
      <c r="AI117" s="1220">
        <v>53.25</v>
      </c>
      <c r="AJ117" s="1220">
        <v>49.85</v>
      </c>
      <c r="AK117" s="1220">
        <v>46.85</v>
      </c>
      <c r="AL117" s="1220">
        <v>44.3</v>
      </c>
      <c r="AM117" s="1220">
        <v>42.05</v>
      </c>
      <c r="CQ117" s="1237">
        <v>47</v>
      </c>
      <c r="CR117" s="1260">
        <v>1.1000000000000001</v>
      </c>
      <c r="CS117" s="1260">
        <v>1.1499999999999999</v>
      </c>
      <c r="CT117" s="1260">
        <v>1.25</v>
      </c>
      <c r="CU117" s="1260">
        <v>1.35</v>
      </c>
      <c r="CV117" s="1260">
        <v>1.4</v>
      </c>
      <c r="CW117" s="1260">
        <v>1.45</v>
      </c>
      <c r="CX117" s="1260">
        <v>1.55</v>
      </c>
      <c r="CY117" s="1260">
        <v>1.6</v>
      </c>
      <c r="CZ117" s="1260">
        <v>1.7</v>
      </c>
      <c r="DA117" s="1260">
        <v>1.75</v>
      </c>
      <c r="DB117" s="1260">
        <v>1.8</v>
      </c>
      <c r="DC117" s="1260">
        <v>1.9</v>
      </c>
      <c r="DD117" s="1260">
        <v>1.95</v>
      </c>
      <c r="DE117" s="1260">
        <v>2.0499999999999998</v>
      </c>
      <c r="DF117" s="1260">
        <v>2.1</v>
      </c>
      <c r="DG117" s="1260">
        <v>2.2000000000000002</v>
      </c>
      <c r="DH117" s="1260">
        <v>2.25</v>
      </c>
      <c r="DI117" s="1242" t="s">
        <v>39</v>
      </c>
      <c r="DJ117" s="1242" t="s">
        <v>39</v>
      </c>
      <c r="DK117" s="1242" t="s">
        <v>39</v>
      </c>
      <c r="DL117" s="1242" t="s">
        <v>39</v>
      </c>
      <c r="DM117" s="1242" t="s">
        <v>39</v>
      </c>
      <c r="DN117" s="1242" t="s">
        <v>39</v>
      </c>
      <c r="DO117" s="1242" t="s">
        <v>39</v>
      </c>
      <c r="DP117" s="1222"/>
      <c r="DQ117" s="1262"/>
      <c r="DR117" s="1242" t="s">
        <v>39</v>
      </c>
      <c r="DS117" s="1242" t="s">
        <v>39</v>
      </c>
      <c r="DT117" s="1242" t="s">
        <v>39</v>
      </c>
      <c r="DU117" s="1242" t="s">
        <v>39</v>
      </c>
      <c r="DV117" s="1242" t="s">
        <v>39</v>
      </c>
      <c r="DW117" s="1242" t="s">
        <v>39</v>
      </c>
      <c r="DX117" s="1242" t="s">
        <v>39</v>
      </c>
      <c r="DY117" s="1242" t="s">
        <v>39</v>
      </c>
      <c r="DZ117" s="1242" t="s">
        <v>39</v>
      </c>
      <c r="EA117" s="1242" t="s">
        <v>39</v>
      </c>
      <c r="EB117" s="1242" t="s">
        <v>39</v>
      </c>
      <c r="EC117" s="1242" t="s">
        <v>39</v>
      </c>
      <c r="ED117" s="1242" t="s">
        <v>39</v>
      </c>
      <c r="EE117" s="1242" t="s">
        <v>39</v>
      </c>
      <c r="EF117" s="1242" t="s">
        <v>39</v>
      </c>
      <c r="EG117" s="1242" t="s">
        <v>39</v>
      </c>
      <c r="EH117" s="1242" t="s">
        <v>39</v>
      </c>
      <c r="EI117" s="1242" t="s">
        <v>39</v>
      </c>
      <c r="EJ117" s="1242" t="s">
        <v>39</v>
      </c>
      <c r="EK117" s="1242" t="s">
        <v>39</v>
      </c>
      <c r="EL117" s="1242" t="s">
        <v>39</v>
      </c>
    </row>
    <row r="118" spans="2:142" ht="15" customHeight="1">
      <c r="B118" s="1254">
        <v>42</v>
      </c>
      <c r="C118" s="1258">
        <v>760.55</v>
      </c>
      <c r="D118" s="1258">
        <v>736.55</v>
      </c>
      <c r="E118" s="1258">
        <v>713.45</v>
      </c>
      <c r="F118" s="1258">
        <v>691.3</v>
      </c>
      <c r="G118" s="1258">
        <v>670.05</v>
      </c>
      <c r="H118" s="1258">
        <v>649.70000000000005</v>
      </c>
      <c r="I118" s="1258">
        <v>630.29999999999995</v>
      </c>
      <c r="J118" s="1258">
        <v>611.79999999999995</v>
      </c>
      <c r="K118" s="1258">
        <v>594.15</v>
      </c>
      <c r="L118" s="1258">
        <v>577.4</v>
      </c>
      <c r="M118" s="1258">
        <v>561.5</v>
      </c>
      <c r="N118" s="1258">
        <v>546.4</v>
      </c>
      <c r="O118" s="1258">
        <v>532.15</v>
      </c>
      <c r="P118" s="1258">
        <v>518.75</v>
      </c>
      <c r="Q118" s="1258">
        <v>506.05</v>
      </c>
      <c r="R118" s="1258">
        <v>494.15</v>
      </c>
      <c r="AB118" s="1207">
        <v>50</v>
      </c>
      <c r="AC118" s="1220">
        <v>90.65</v>
      </c>
      <c r="AD118" s="1220">
        <v>81.2</v>
      </c>
      <c r="AE118" s="1220">
        <v>73.5</v>
      </c>
      <c r="AF118" s="1220">
        <v>67.05</v>
      </c>
      <c r="AG118" s="1220">
        <v>61.7</v>
      </c>
      <c r="AH118" s="1220">
        <v>57.8</v>
      </c>
      <c r="AI118" s="1220">
        <v>53.85</v>
      </c>
      <c r="AJ118" s="1220">
        <v>50.45</v>
      </c>
      <c r="AK118" s="1220">
        <v>47.5</v>
      </c>
      <c r="AL118" s="1220">
        <v>44.95</v>
      </c>
      <c r="AM118" s="1220">
        <v>42.7</v>
      </c>
      <c r="CQ118" s="1237">
        <v>48</v>
      </c>
      <c r="CR118" s="1260">
        <v>1.2</v>
      </c>
      <c r="CS118" s="1260">
        <v>1.3</v>
      </c>
      <c r="CT118" s="1260">
        <v>1.35</v>
      </c>
      <c r="CU118" s="1260">
        <v>1.45</v>
      </c>
      <c r="CV118" s="1260">
        <v>1.55</v>
      </c>
      <c r="CW118" s="1260">
        <v>1.6</v>
      </c>
      <c r="CX118" s="1260">
        <v>1.7</v>
      </c>
      <c r="CY118" s="1260">
        <v>1.75</v>
      </c>
      <c r="CZ118" s="1260">
        <v>1.85</v>
      </c>
      <c r="DA118" s="1260">
        <v>1.9</v>
      </c>
      <c r="DB118" s="1260">
        <v>2</v>
      </c>
      <c r="DC118" s="1260">
        <v>2.0499999999999998</v>
      </c>
      <c r="DD118" s="1260">
        <v>2.15</v>
      </c>
      <c r="DE118" s="1260">
        <v>2.2000000000000002</v>
      </c>
      <c r="DF118" s="1260">
        <v>2.2999999999999998</v>
      </c>
      <c r="DG118" s="1260">
        <v>2.4</v>
      </c>
      <c r="DH118" s="1242" t="s">
        <v>39</v>
      </c>
      <c r="DI118" s="1242" t="s">
        <v>39</v>
      </c>
      <c r="DJ118" s="1242" t="s">
        <v>39</v>
      </c>
      <c r="DK118" s="1242" t="s">
        <v>39</v>
      </c>
      <c r="DL118" s="1242" t="s">
        <v>39</v>
      </c>
      <c r="DM118" s="1242" t="s">
        <v>39</v>
      </c>
      <c r="DN118" s="1242" t="s">
        <v>39</v>
      </c>
      <c r="DO118" s="1242" t="s">
        <v>39</v>
      </c>
      <c r="DP118" s="1222"/>
      <c r="DQ118" s="1262"/>
      <c r="DR118" s="1242" t="s">
        <v>39</v>
      </c>
      <c r="DS118" s="1242" t="s">
        <v>39</v>
      </c>
      <c r="DT118" s="1242" t="s">
        <v>39</v>
      </c>
      <c r="DU118" s="1242" t="s">
        <v>39</v>
      </c>
      <c r="DV118" s="1242" t="s">
        <v>39</v>
      </c>
      <c r="DW118" s="1242" t="s">
        <v>39</v>
      </c>
      <c r="DX118" s="1242" t="s">
        <v>39</v>
      </c>
      <c r="DY118" s="1242" t="s">
        <v>39</v>
      </c>
      <c r="DZ118" s="1242" t="s">
        <v>39</v>
      </c>
      <c r="EA118" s="1242" t="s">
        <v>39</v>
      </c>
      <c r="EB118" s="1242" t="s">
        <v>39</v>
      </c>
      <c r="EC118" s="1242" t="s">
        <v>39</v>
      </c>
      <c r="ED118" s="1242" t="s">
        <v>39</v>
      </c>
      <c r="EE118" s="1242" t="s">
        <v>39</v>
      </c>
      <c r="EF118" s="1242" t="s">
        <v>39</v>
      </c>
      <c r="EG118" s="1242" t="s">
        <v>39</v>
      </c>
      <c r="EH118" s="1242" t="s">
        <v>39</v>
      </c>
      <c r="EI118" s="1242" t="s">
        <v>39</v>
      </c>
      <c r="EJ118" s="1242" t="s">
        <v>39</v>
      </c>
      <c r="EK118" s="1242" t="s">
        <v>39</v>
      </c>
      <c r="EL118" s="1242" t="s">
        <v>39</v>
      </c>
    </row>
    <row r="119" spans="2:142" ht="15" customHeight="1">
      <c r="B119" s="1254">
        <v>43</v>
      </c>
      <c r="C119" s="1258">
        <v>761.05</v>
      </c>
      <c r="D119" s="1258">
        <v>737.15</v>
      </c>
      <c r="E119" s="1258">
        <v>714.15</v>
      </c>
      <c r="F119" s="1258">
        <v>692.15</v>
      </c>
      <c r="G119" s="1258">
        <v>671.05</v>
      </c>
      <c r="H119" s="1258">
        <v>650.9</v>
      </c>
      <c r="I119" s="1258">
        <v>631.65</v>
      </c>
      <c r="J119" s="1258">
        <v>613.29999999999995</v>
      </c>
      <c r="K119" s="1258">
        <v>595.85</v>
      </c>
      <c r="L119" s="1258">
        <v>579.29999999999995</v>
      </c>
      <c r="M119" s="1258">
        <v>563.6</v>
      </c>
      <c r="N119" s="1258">
        <v>548.75</v>
      </c>
      <c r="O119" s="1258">
        <v>534.75</v>
      </c>
      <c r="P119" s="1258">
        <v>521.5</v>
      </c>
      <c r="Q119" s="1258">
        <v>509.1</v>
      </c>
      <c r="R119" s="1258">
        <v>497.45</v>
      </c>
      <c r="AB119" s="1207">
        <v>51</v>
      </c>
      <c r="AC119" s="1220">
        <v>91.15</v>
      </c>
      <c r="AD119" s="1220">
        <v>81.7</v>
      </c>
      <c r="AE119" s="1220">
        <v>74</v>
      </c>
      <c r="AF119" s="1220">
        <v>67.599999999999994</v>
      </c>
      <c r="AG119" s="1220">
        <v>62.25</v>
      </c>
      <c r="AH119" s="1220">
        <v>58.4</v>
      </c>
      <c r="AI119" s="1220">
        <v>54.45</v>
      </c>
      <c r="AJ119" s="1220">
        <v>51.1</v>
      </c>
      <c r="AK119" s="1220">
        <v>48.15</v>
      </c>
      <c r="AL119" s="1220">
        <v>45.65</v>
      </c>
      <c r="AM119" s="1220">
        <v>0</v>
      </c>
      <c r="CQ119" s="1237">
        <v>49</v>
      </c>
      <c r="CR119" s="1260">
        <v>1.35</v>
      </c>
      <c r="CS119" s="1260">
        <v>1.4</v>
      </c>
      <c r="CT119" s="1260">
        <v>1.5</v>
      </c>
      <c r="CU119" s="1260">
        <v>1.6</v>
      </c>
      <c r="CV119" s="1260">
        <v>1.7</v>
      </c>
      <c r="CW119" s="1260">
        <v>1.75</v>
      </c>
      <c r="CX119" s="1260">
        <v>1.85</v>
      </c>
      <c r="CY119" s="1260">
        <v>1.9</v>
      </c>
      <c r="CZ119" s="1260">
        <v>2</v>
      </c>
      <c r="DA119" s="1260">
        <v>2.1</v>
      </c>
      <c r="DB119" s="1260">
        <v>2.15</v>
      </c>
      <c r="DC119" s="1260">
        <v>2.25</v>
      </c>
      <c r="DD119" s="1260">
        <v>2.35</v>
      </c>
      <c r="DE119" s="1260">
        <v>2.4</v>
      </c>
      <c r="DF119" s="1260">
        <v>2.5</v>
      </c>
      <c r="DG119" s="1242" t="s">
        <v>39</v>
      </c>
      <c r="DH119" s="1242" t="s">
        <v>39</v>
      </c>
      <c r="DI119" s="1242" t="s">
        <v>39</v>
      </c>
      <c r="DJ119" s="1242" t="s">
        <v>39</v>
      </c>
      <c r="DK119" s="1242" t="s">
        <v>39</v>
      </c>
      <c r="DL119" s="1242" t="s">
        <v>39</v>
      </c>
      <c r="DM119" s="1242" t="s">
        <v>39</v>
      </c>
      <c r="DN119" s="1242" t="s">
        <v>39</v>
      </c>
      <c r="DO119" s="1242" t="s">
        <v>39</v>
      </c>
      <c r="DP119" s="1222"/>
      <c r="DQ119" s="1262"/>
      <c r="DR119" s="1242" t="s">
        <v>39</v>
      </c>
      <c r="DS119" s="1242" t="s">
        <v>39</v>
      </c>
      <c r="DT119" s="1242" t="s">
        <v>39</v>
      </c>
      <c r="DU119" s="1242" t="s">
        <v>39</v>
      </c>
      <c r="DV119" s="1242" t="s">
        <v>39</v>
      </c>
      <c r="DW119" s="1242" t="s">
        <v>39</v>
      </c>
      <c r="DX119" s="1242" t="s">
        <v>39</v>
      </c>
      <c r="DY119" s="1242" t="s">
        <v>39</v>
      </c>
      <c r="DZ119" s="1242" t="s">
        <v>39</v>
      </c>
      <c r="EA119" s="1242" t="s">
        <v>39</v>
      </c>
      <c r="EB119" s="1242" t="s">
        <v>39</v>
      </c>
      <c r="EC119" s="1242" t="s">
        <v>39</v>
      </c>
      <c r="ED119" s="1242" t="s">
        <v>39</v>
      </c>
      <c r="EE119" s="1242" t="s">
        <v>39</v>
      </c>
      <c r="EF119" s="1242" t="s">
        <v>39</v>
      </c>
      <c r="EG119" s="1242" t="s">
        <v>39</v>
      </c>
      <c r="EH119" s="1242" t="s">
        <v>39</v>
      </c>
      <c r="EI119" s="1242" t="s">
        <v>39</v>
      </c>
      <c r="EJ119" s="1242" t="s">
        <v>39</v>
      </c>
      <c r="EK119" s="1242" t="s">
        <v>39</v>
      </c>
      <c r="EL119" s="1242" t="s">
        <v>39</v>
      </c>
    </row>
    <row r="120" spans="2:142" ht="15" customHeight="1">
      <c r="B120" s="1254">
        <v>44</v>
      </c>
      <c r="C120" s="1258">
        <v>761.6</v>
      </c>
      <c r="D120" s="1258">
        <v>737.8</v>
      </c>
      <c r="E120" s="1258">
        <v>715</v>
      </c>
      <c r="F120" s="1258">
        <v>693.1</v>
      </c>
      <c r="G120" s="1258">
        <v>672.2</v>
      </c>
      <c r="H120" s="1258">
        <v>652.20000000000005</v>
      </c>
      <c r="I120" s="1258">
        <v>633.15</v>
      </c>
      <c r="J120" s="1258">
        <v>615</v>
      </c>
      <c r="K120" s="1258">
        <v>597.75</v>
      </c>
      <c r="L120" s="1258">
        <v>581.4</v>
      </c>
      <c r="M120" s="1258">
        <v>565.9</v>
      </c>
      <c r="N120" s="1258">
        <v>551.29999999999995</v>
      </c>
      <c r="O120" s="1258">
        <v>537.5</v>
      </c>
      <c r="P120" s="1258">
        <v>524.54999999999995</v>
      </c>
      <c r="Q120" s="1258">
        <v>512.35</v>
      </c>
      <c r="R120" s="1258">
        <v>500.95</v>
      </c>
      <c r="AB120" s="1207">
        <v>52</v>
      </c>
      <c r="AC120" s="1220">
        <v>91.65</v>
      </c>
      <c r="AD120" s="1220">
        <v>82.25</v>
      </c>
      <c r="AE120" s="1220">
        <v>74.55</v>
      </c>
      <c r="AF120" s="1220">
        <v>68.2</v>
      </c>
      <c r="AG120" s="1220">
        <v>62.85</v>
      </c>
      <c r="AH120" s="1220">
        <v>59.05</v>
      </c>
      <c r="AI120" s="1220">
        <v>55.15</v>
      </c>
      <c r="AJ120" s="1220">
        <v>51.75</v>
      </c>
      <c r="AK120" s="1220">
        <v>48.85</v>
      </c>
      <c r="AL120" s="1220">
        <v>0</v>
      </c>
      <c r="AM120" s="1220">
        <v>0</v>
      </c>
      <c r="CQ120" s="1237">
        <v>50</v>
      </c>
      <c r="CR120" s="1260">
        <v>1.5</v>
      </c>
      <c r="CS120" s="1260">
        <v>1.55</v>
      </c>
      <c r="CT120" s="1260">
        <v>1.65</v>
      </c>
      <c r="CU120" s="1260">
        <v>1.75</v>
      </c>
      <c r="CV120" s="1260">
        <v>1.85</v>
      </c>
      <c r="CW120" s="1260">
        <v>1.9</v>
      </c>
      <c r="CX120" s="1260">
        <v>2</v>
      </c>
      <c r="CY120" s="1260">
        <v>2.1</v>
      </c>
      <c r="CZ120" s="1260">
        <v>2.2000000000000002</v>
      </c>
      <c r="DA120" s="1260">
        <v>2.25</v>
      </c>
      <c r="DB120" s="1260">
        <v>2.35</v>
      </c>
      <c r="DC120" s="1260">
        <v>2.4500000000000002</v>
      </c>
      <c r="DD120" s="1260">
        <v>2.5499999999999998</v>
      </c>
      <c r="DE120" s="1260">
        <v>2.6</v>
      </c>
      <c r="DF120" s="1242" t="s">
        <v>39</v>
      </c>
      <c r="DG120" s="1242" t="s">
        <v>39</v>
      </c>
      <c r="DH120" s="1242" t="s">
        <v>39</v>
      </c>
      <c r="DI120" s="1242" t="s">
        <v>39</v>
      </c>
      <c r="DJ120" s="1242" t="s">
        <v>39</v>
      </c>
      <c r="DK120" s="1242" t="s">
        <v>39</v>
      </c>
      <c r="DL120" s="1242" t="s">
        <v>39</v>
      </c>
      <c r="DM120" s="1242" t="s">
        <v>39</v>
      </c>
      <c r="DN120" s="1242" t="s">
        <v>39</v>
      </c>
      <c r="DO120" s="1242" t="s">
        <v>39</v>
      </c>
      <c r="DP120" s="1222"/>
      <c r="DQ120" s="1262"/>
      <c r="DR120" s="1242" t="s">
        <v>39</v>
      </c>
      <c r="DS120" s="1242" t="s">
        <v>39</v>
      </c>
      <c r="DT120" s="1242" t="s">
        <v>39</v>
      </c>
      <c r="DU120" s="1242" t="s">
        <v>39</v>
      </c>
      <c r="DV120" s="1242" t="s">
        <v>39</v>
      </c>
      <c r="DW120" s="1242" t="s">
        <v>39</v>
      </c>
      <c r="DX120" s="1242" t="s">
        <v>39</v>
      </c>
      <c r="DY120" s="1242" t="s">
        <v>39</v>
      </c>
      <c r="DZ120" s="1242" t="s">
        <v>39</v>
      </c>
      <c r="EA120" s="1242" t="s">
        <v>39</v>
      </c>
      <c r="EB120" s="1242" t="s">
        <v>39</v>
      </c>
      <c r="EC120" s="1242" t="s">
        <v>39</v>
      </c>
      <c r="ED120" s="1242" t="s">
        <v>39</v>
      </c>
      <c r="EE120" s="1242" t="s">
        <v>39</v>
      </c>
      <c r="EF120" s="1242" t="s">
        <v>39</v>
      </c>
      <c r="EG120" s="1242" t="s">
        <v>39</v>
      </c>
      <c r="EH120" s="1242" t="s">
        <v>39</v>
      </c>
      <c r="EI120" s="1242" t="s">
        <v>39</v>
      </c>
      <c r="EJ120" s="1242" t="s">
        <v>39</v>
      </c>
      <c r="EK120" s="1242" t="s">
        <v>39</v>
      </c>
      <c r="EL120" s="1242" t="s">
        <v>39</v>
      </c>
    </row>
    <row r="121" spans="2:142" ht="15" customHeight="1">
      <c r="B121" s="1254">
        <v>45</v>
      </c>
      <c r="C121" s="1258">
        <v>762.2</v>
      </c>
      <c r="D121" s="1258">
        <v>738.55</v>
      </c>
      <c r="E121" s="1258">
        <v>715.9</v>
      </c>
      <c r="F121" s="1258">
        <v>694.15</v>
      </c>
      <c r="G121" s="1258">
        <v>673.4</v>
      </c>
      <c r="H121" s="1258">
        <v>653.6</v>
      </c>
      <c r="I121" s="1258">
        <v>634.75</v>
      </c>
      <c r="J121" s="1258">
        <v>616.79999999999995</v>
      </c>
      <c r="K121" s="1258">
        <v>599.79999999999995</v>
      </c>
      <c r="L121" s="1258">
        <v>583.65</v>
      </c>
      <c r="M121" s="1258">
        <v>568.4</v>
      </c>
      <c r="N121" s="1258">
        <v>554</v>
      </c>
      <c r="O121" s="1258">
        <v>540.45000000000005</v>
      </c>
      <c r="P121" s="1258">
        <v>527.75</v>
      </c>
      <c r="Q121" s="1258">
        <v>515.85</v>
      </c>
      <c r="R121" s="1258">
        <v>504.7</v>
      </c>
      <c r="AB121" s="1207">
        <v>53</v>
      </c>
      <c r="AC121" s="1220">
        <v>92.2</v>
      </c>
      <c r="AD121" s="1220">
        <v>82.8</v>
      </c>
      <c r="AE121" s="1220">
        <v>75.150000000000006</v>
      </c>
      <c r="AF121" s="1220">
        <v>68.8</v>
      </c>
      <c r="AG121" s="1220">
        <v>63.5</v>
      </c>
      <c r="AH121" s="1220">
        <v>59.7</v>
      </c>
      <c r="AI121" s="1220">
        <v>55.85</v>
      </c>
      <c r="AJ121" s="1220">
        <v>52.5</v>
      </c>
      <c r="AK121" s="1220">
        <v>0</v>
      </c>
      <c r="AL121" s="1220">
        <v>0</v>
      </c>
      <c r="AM121" s="1220">
        <v>0</v>
      </c>
      <c r="CQ121" s="1237">
        <v>51</v>
      </c>
      <c r="CR121" s="1260">
        <v>1.6</v>
      </c>
      <c r="CS121" s="1260">
        <v>1.7</v>
      </c>
      <c r="CT121" s="1260">
        <v>1.8</v>
      </c>
      <c r="CU121" s="1260">
        <v>1.9</v>
      </c>
      <c r="CV121" s="1260">
        <v>2</v>
      </c>
      <c r="CW121" s="1260">
        <v>2.1</v>
      </c>
      <c r="CX121" s="1260">
        <v>2.2000000000000002</v>
      </c>
      <c r="CY121" s="1260">
        <v>2.2999999999999998</v>
      </c>
      <c r="CZ121" s="1260">
        <v>2.4</v>
      </c>
      <c r="DA121" s="1260">
        <v>2.4500000000000002</v>
      </c>
      <c r="DB121" s="1260">
        <v>2.5499999999999998</v>
      </c>
      <c r="DC121" s="1260">
        <v>2.65</v>
      </c>
      <c r="DD121" s="1260">
        <v>2.75</v>
      </c>
      <c r="DE121" s="1242" t="s">
        <v>39</v>
      </c>
      <c r="DF121" s="1242" t="s">
        <v>39</v>
      </c>
      <c r="DG121" s="1242" t="s">
        <v>39</v>
      </c>
      <c r="DH121" s="1242" t="s">
        <v>39</v>
      </c>
      <c r="DI121" s="1242" t="s">
        <v>39</v>
      </c>
      <c r="DJ121" s="1242" t="s">
        <v>39</v>
      </c>
      <c r="DK121" s="1242" t="s">
        <v>39</v>
      </c>
      <c r="DL121" s="1242" t="s">
        <v>39</v>
      </c>
      <c r="DM121" s="1242" t="s">
        <v>39</v>
      </c>
      <c r="DN121" s="1242" t="s">
        <v>39</v>
      </c>
      <c r="DO121" s="1242" t="s">
        <v>39</v>
      </c>
      <c r="DP121" s="1222"/>
      <c r="DQ121" s="1262"/>
      <c r="DR121" s="1242" t="s">
        <v>39</v>
      </c>
      <c r="DS121" s="1242" t="s">
        <v>39</v>
      </c>
      <c r="DT121" s="1242" t="s">
        <v>39</v>
      </c>
      <c r="DU121" s="1242" t="s">
        <v>39</v>
      </c>
      <c r="DV121" s="1242" t="s">
        <v>39</v>
      </c>
      <c r="DW121" s="1242" t="s">
        <v>39</v>
      </c>
      <c r="DX121" s="1242" t="s">
        <v>39</v>
      </c>
      <c r="DY121" s="1242" t="s">
        <v>39</v>
      </c>
      <c r="DZ121" s="1242" t="s">
        <v>39</v>
      </c>
      <c r="EA121" s="1242" t="s">
        <v>39</v>
      </c>
      <c r="EB121" s="1242" t="s">
        <v>39</v>
      </c>
      <c r="EC121" s="1242" t="s">
        <v>39</v>
      </c>
      <c r="ED121" s="1242" t="s">
        <v>39</v>
      </c>
      <c r="EE121" s="1242" t="s">
        <v>39</v>
      </c>
      <c r="EF121" s="1242" t="s">
        <v>39</v>
      </c>
      <c r="EG121" s="1242" t="s">
        <v>39</v>
      </c>
      <c r="EH121" s="1242" t="s">
        <v>39</v>
      </c>
      <c r="EI121" s="1242" t="s">
        <v>39</v>
      </c>
      <c r="EJ121" s="1242" t="s">
        <v>39</v>
      </c>
      <c r="EK121" s="1242" t="s">
        <v>39</v>
      </c>
      <c r="EL121" s="1242" t="s">
        <v>39</v>
      </c>
    </row>
    <row r="122" spans="2:142" ht="15" customHeight="1">
      <c r="B122" s="1254">
        <v>46</v>
      </c>
      <c r="C122" s="1258">
        <v>762.85</v>
      </c>
      <c r="D122" s="1258">
        <v>739.35</v>
      </c>
      <c r="E122" s="1258">
        <v>716.85</v>
      </c>
      <c r="F122" s="1258">
        <v>695.3</v>
      </c>
      <c r="G122" s="1258">
        <v>674.75</v>
      </c>
      <c r="H122" s="1258">
        <v>655.15</v>
      </c>
      <c r="I122" s="1258">
        <v>636.45000000000005</v>
      </c>
      <c r="J122" s="1258">
        <v>618.75</v>
      </c>
      <c r="K122" s="1258">
        <v>601.95000000000005</v>
      </c>
      <c r="L122" s="1258">
        <v>586.04999999999995</v>
      </c>
      <c r="M122" s="1258">
        <v>571.04999999999995</v>
      </c>
      <c r="N122" s="1258">
        <v>556.9</v>
      </c>
      <c r="O122" s="1258">
        <v>543.65</v>
      </c>
      <c r="P122" s="1258">
        <v>531.20000000000005</v>
      </c>
      <c r="Q122" s="1258">
        <v>519.54999999999995</v>
      </c>
      <c r="R122" s="1258">
        <v>508.75</v>
      </c>
      <c r="AB122" s="1207">
        <v>54</v>
      </c>
      <c r="AC122" s="1220">
        <v>92.75</v>
      </c>
      <c r="AD122" s="1220">
        <v>83.4</v>
      </c>
      <c r="AE122" s="1220">
        <v>75.75</v>
      </c>
      <c r="AF122" s="1220">
        <v>69.45</v>
      </c>
      <c r="AG122" s="1220">
        <v>64.150000000000006</v>
      </c>
      <c r="AH122" s="1220">
        <v>60.45</v>
      </c>
      <c r="AI122" s="1207">
        <v>56.55</v>
      </c>
      <c r="AJ122" s="1220">
        <v>0</v>
      </c>
      <c r="AK122" s="1220">
        <v>0</v>
      </c>
      <c r="AL122" s="1220">
        <v>0</v>
      </c>
      <c r="AM122" s="1220">
        <v>0</v>
      </c>
      <c r="CQ122" s="1237">
        <v>52</v>
      </c>
      <c r="CR122" s="1260">
        <v>1.75</v>
      </c>
      <c r="CS122" s="1260">
        <v>1.85</v>
      </c>
      <c r="CT122" s="1260">
        <v>1.95</v>
      </c>
      <c r="CU122" s="1260">
        <v>2.1</v>
      </c>
      <c r="CV122" s="1260">
        <v>2.2000000000000002</v>
      </c>
      <c r="CW122" s="1260">
        <v>2.2999999999999998</v>
      </c>
      <c r="CX122" s="1260">
        <v>2.4</v>
      </c>
      <c r="CY122" s="1260">
        <v>2.5</v>
      </c>
      <c r="CZ122" s="1260">
        <v>2.6</v>
      </c>
      <c r="DA122" s="1260">
        <v>2.7</v>
      </c>
      <c r="DB122" s="1260">
        <v>2.8</v>
      </c>
      <c r="DC122" s="1260">
        <v>2.9</v>
      </c>
      <c r="DD122" s="1242" t="s">
        <v>39</v>
      </c>
      <c r="DE122" s="1242" t="s">
        <v>39</v>
      </c>
      <c r="DF122" s="1242" t="s">
        <v>39</v>
      </c>
      <c r="DG122" s="1242" t="s">
        <v>39</v>
      </c>
      <c r="DH122" s="1242" t="s">
        <v>39</v>
      </c>
      <c r="DI122" s="1242" t="s">
        <v>39</v>
      </c>
      <c r="DJ122" s="1242" t="s">
        <v>39</v>
      </c>
      <c r="DK122" s="1242" t="s">
        <v>39</v>
      </c>
      <c r="DL122" s="1242" t="s">
        <v>39</v>
      </c>
      <c r="DM122" s="1242" t="s">
        <v>39</v>
      </c>
      <c r="DN122" s="1242" t="s">
        <v>39</v>
      </c>
      <c r="DO122" s="1242" t="s">
        <v>39</v>
      </c>
      <c r="DP122" s="1222"/>
      <c r="DQ122" s="1262"/>
      <c r="DR122" s="1242" t="s">
        <v>39</v>
      </c>
      <c r="DS122" s="1242" t="s">
        <v>39</v>
      </c>
      <c r="DT122" s="1242" t="s">
        <v>39</v>
      </c>
      <c r="DU122" s="1242" t="s">
        <v>39</v>
      </c>
      <c r="DV122" s="1242" t="s">
        <v>39</v>
      </c>
      <c r="DW122" s="1242" t="s">
        <v>39</v>
      </c>
      <c r="DX122" s="1242" t="s">
        <v>39</v>
      </c>
      <c r="DY122" s="1242" t="s">
        <v>39</v>
      </c>
      <c r="DZ122" s="1242" t="s">
        <v>39</v>
      </c>
      <c r="EA122" s="1242" t="s">
        <v>39</v>
      </c>
      <c r="EB122" s="1242" t="s">
        <v>39</v>
      </c>
      <c r="EC122" s="1242" t="s">
        <v>39</v>
      </c>
      <c r="ED122" s="1242" t="s">
        <v>39</v>
      </c>
      <c r="EE122" s="1242" t="s">
        <v>39</v>
      </c>
      <c r="EF122" s="1242" t="s">
        <v>39</v>
      </c>
      <c r="EG122" s="1242" t="s">
        <v>39</v>
      </c>
      <c r="EH122" s="1242" t="s">
        <v>39</v>
      </c>
      <c r="EI122" s="1242" t="s">
        <v>39</v>
      </c>
      <c r="EJ122" s="1242" t="s">
        <v>39</v>
      </c>
      <c r="EK122" s="1242" t="s">
        <v>39</v>
      </c>
      <c r="EL122" s="1242" t="s">
        <v>39</v>
      </c>
    </row>
    <row r="123" spans="2:142" ht="15" customHeight="1">
      <c r="B123" s="1254">
        <v>47</v>
      </c>
      <c r="C123" s="1258">
        <v>763.55</v>
      </c>
      <c r="D123" s="1258">
        <v>740.25</v>
      </c>
      <c r="E123" s="1258">
        <v>717.9</v>
      </c>
      <c r="F123" s="1258">
        <v>696.55</v>
      </c>
      <c r="G123" s="1258">
        <v>676.15</v>
      </c>
      <c r="H123" s="1258">
        <v>656.75</v>
      </c>
      <c r="I123" s="1258">
        <v>638.29999999999995</v>
      </c>
      <c r="J123" s="1258">
        <v>620.79999999999995</v>
      </c>
      <c r="K123" s="1258">
        <v>604.25</v>
      </c>
      <c r="L123" s="1258">
        <v>588.6</v>
      </c>
      <c r="M123" s="1258">
        <v>573.85</v>
      </c>
      <c r="N123" s="1258">
        <v>560</v>
      </c>
      <c r="O123" s="1258">
        <v>547</v>
      </c>
      <c r="P123" s="1258">
        <v>534.85</v>
      </c>
      <c r="Q123" s="1258">
        <v>523.54999999999995</v>
      </c>
      <c r="R123" s="1258">
        <v>513</v>
      </c>
      <c r="AB123" s="1207">
        <v>55</v>
      </c>
      <c r="AC123" s="1220">
        <v>93.35</v>
      </c>
      <c r="AD123" s="1220">
        <v>84</v>
      </c>
      <c r="AE123" s="1220">
        <v>76.400000000000006</v>
      </c>
      <c r="AF123" s="1220">
        <v>70.099999999999994</v>
      </c>
      <c r="AG123" s="1220">
        <v>64.849999999999994</v>
      </c>
      <c r="AH123" s="1220">
        <v>61.2</v>
      </c>
      <c r="AI123" s="1220">
        <v>0</v>
      </c>
      <c r="AJ123" s="1220">
        <v>0</v>
      </c>
      <c r="AK123" s="1220">
        <v>0</v>
      </c>
      <c r="AL123" s="1220">
        <v>0</v>
      </c>
      <c r="AM123" s="1220">
        <v>0</v>
      </c>
      <c r="CQ123" s="1237">
        <v>53</v>
      </c>
      <c r="CR123" s="1260">
        <v>1.9</v>
      </c>
      <c r="CS123" s="1260">
        <v>2</v>
      </c>
      <c r="CT123" s="1260">
        <v>2.1</v>
      </c>
      <c r="CU123" s="1260">
        <v>2.25</v>
      </c>
      <c r="CV123" s="1260">
        <v>2.4</v>
      </c>
      <c r="CW123" s="1260">
        <v>2.5</v>
      </c>
      <c r="CX123" s="1260">
        <v>2.6</v>
      </c>
      <c r="CY123" s="1260">
        <v>2.7</v>
      </c>
      <c r="CZ123" s="1260">
        <v>2.8</v>
      </c>
      <c r="DA123" s="1260">
        <v>2.9</v>
      </c>
      <c r="DB123" s="1260">
        <v>3</v>
      </c>
      <c r="DC123" s="1242" t="s">
        <v>39</v>
      </c>
      <c r="DD123" s="1242" t="s">
        <v>39</v>
      </c>
      <c r="DE123" s="1242" t="s">
        <v>39</v>
      </c>
      <c r="DF123" s="1242" t="s">
        <v>39</v>
      </c>
      <c r="DG123" s="1242" t="s">
        <v>39</v>
      </c>
      <c r="DH123" s="1242" t="s">
        <v>39</v>
      </c>
      <c r="DI123" s="1242" t="s">
        <v>39</v>
      </c>
      <c r="DJ123" s="1242" t="s">
        <v>39</v>
      </c>
      <c r="DK123" s="1242" t="s">
        <v>39</v>
      </c>
      <c r="DL123" s="1242" t="s">
        <v>39</v>
      </c>
      <c r="DM123" s="1242" t="s">
        <v>39</v>
      </c>
      <c r="DN123" s="1242" t="s">
        <v>39</v>
      </c>
      <c r="DO123" s="1242" t="s">
        <v>39</v>
      </c>
      <c r="DP123" s="1222"/>
      <c r="DQ123" s="1262"/>
      <c r="DR123" s="1242" t="s">
        <v>39</v>
      </c>
      <c r="DS123" s="1242" t="s">
        <v>39</v>
      </c>
      <c r="DT123" s="1242" t="s">
        <v>39</v>
      </c>
      <c r="DU123" s="1242" t="s">
        <v>39</v>
      </c>
      <c r="DV123" s="1242" t="s">
        <v>39</v>
      </c>
      <c r="DW123" s="1242" t="s">
        <v>39</v>
      </c>
      <c r="DX123" s="1242" t="s">
        <v>39</v>
      </c>
      <c r="DY123" s="1242" t="s">
        <v>39</v>
      </c>
      <c r="DZ123" s="1242" t="s">
        <v>39</v>
      </c>
      <c r="EA123" s="1242" t="s">
        <v>39</v>
      </c>
      <c r="EB123" s="1242" t="s">
        <v>39</v>
      </c>
      <c r="EC123" s="1242" t="s">
        <v>39</v>
      </c>
      <c r="ED123" s="1242" t="s">
        <v>39</v>
      </c>
      <c r="EE123" s="1242" t="s">
        <v>39</v>
      </c>
      <c r="EF123" s="1242" t="s">
        <v>39</v>
      </c>
      <c r="EG123" s="1242" t="s">
        <v>39</v>
      </c>
      <c r="EH123" s="1242" t="s">
        <v>39</v>
      </c>
      <c r="EI123" s="1242" t="s">
        <v>39</v>
      </c>
      <c r="EJ123" s="1242" t="s">
        <v>39</v>
      </c>
      <c r="EK123" s="1242" t="s">
        <v>39</v>
      </c>
      <c r="EL123" s="1242" t="s">
        <v>39</v>
      </c>
    </row>
    <row r="124" spans="2:142" ht="15" customHeight="1">
      <c r="B124" s="1254">
        <v>48</v>
      </c>
      <c r="C124" s="1258">
        <v>764.35</v>
      </c>
      <c r="D124" s="1258">
        <v>741.2</v>
      </c>
      <c r="E124" s="1258">
        <v>719</v>
      </c>
      <c r="F124" s="1258">
        <v>697.85</v>
      </c>
      <c r="G124" s="1258">
        <v>677.7</v>
      </c>
      <c r="H124" s="1258">
        <v>658.5</v>
      </c>
      <c r="I124" s="1258">
        <v>640.29999999999995</v>
      </c>
      <c r="J124" s="1258">
        <v>623</v>
      </c>
      <c r="K124" s="1258">
        <v>606.70000000000005</v>
      </c>
      <c r="L124" s="1258">
        <v>591.35</v>
      </c>
      <c r="M124" s="1258">
        <v>576.85</v>
      </c>
      <c r="N124" s="1258">
        <v>563.29999999999995</v>
      </c>
      <c r="O124" s="1258">
        <v>550.6</v>
      </c>
      <c r="P124" s="1258">
        <v>538.75</v>
      </c>
      <c r="Q124" s="1258">
        <v>527.75</v>
      </c>
      <c r="R124" s="1258">
        <v>517.54999999999995</v>
      </c>
      <c r="CQ124" s="1237">
        <v>54</v>
      </c>
      <c r="CR124" s="1260">
        <v>2.1</v>
      </c>
      <c r="CS124" s="1260">
        <v>2.2000000000000002</v>
      </c>
      <c r="CT124" s="1260">
        <v>2.2999999999999998</v>
      </c>
      <c r="CU124" s="1260">
        <v>2.4500000000000002</v>
      </c>
      <c r="CV124" s="1260">
        <v>2.6</v>
      </c>
      <c r="CW124" s="1260">
        <v>2.7</v>
      </c>
      <c r="CX124" s="1260">
        <v>2.8</v>
      </c>
      <c r="CY124" s="1260">
        <v>2.95</v>
      </c>
      <c r="CZ124" s="1260">
        <v>3.05</v>
      </c>
      <c r="DA124" s="1260">
        <v>3.15</v>
      </c>
      <c r="DB124" s="1242" t="s">
        <v>39</v>
      </c>
      <c r="DC124" s="1242" t="s">
        <v>39</v>
      </c>
      <c r="DD124" s="1242" t="s">
        <v>39</v>
      </c>
      <c r="DE124" s="1242" t="s">
        <v>39</v>
      </c>
      <c r="DF124" s="1242" t="s">
        <v>39</v>
      </c>
      <c r="DG124" s="1242" t="s">
        <v>39</v>
      </c>
      <c r="DH124" s="1242" t="s">
        <v>39</v>
      </c>
      <c r="DI124" s="1242" t="s">
        <v>39</v>
      </c>
      <c r="DJ124" s="1242" t="s">
        <v>39</v>
      </c>
      <c r="DK124" s="1242" t="s">
        <v>39</v>
      </c>
      <c r="DL124" s="1242" t="s">
        <v>39</v>
      </c>
      <c r="DM124" s="1242" t="s">
        <v>39</v>
      </c>
      <c r="DN124" s="1242" t="s">
        <v>39</v>
      </c>
      <c r="DO124" s="1242" t="s">
        <v>39</v>
      </c>
      <c r="DP124" s="1222"/>
      <c r="DQ124" s="1262"/>
      <c r="DR124" s="1242" t="s">
        <v>39</v>
      </c>
      <c r="DS124" s="1242" t="s">
        <v>39</v>
      </c>
      <c r="DT124" s="1242" t="s">
        <v>39</v>
      </c>
      <c r="DU124" s="1242" t="s">
        <v>39</v>
      </c>
      <c r="DV124" s="1242" t="s">
        <v>39</v>
      </c>
      <c r="DW124" s="1242" t="s">
        <v>39</v>
      </c>
      <c r="DX124" s="1242" t="s">
        <v>39</v>
      </c>
      <c r="DY124" s="1242" t="s">
        <v>39</v>
      </c>
      <c r="DZ124" s="1242" t="s">
        <v>39</v>
      </c>
      <c r="EA124" s="1242" t="s">
        <v>39</v>
      </c>
      <c r="EB124" s="1242" t="s">
        <v>39</v>
      </c>
      <c r="EC124" s="1242" t="s">
        <v>39</v>
      </c>
      <c r="ED124" s="1242" t="s">
        <v>39</v>
      </c>
      <c r="EE124" s="1242" t="s">
        <v>39</v>
      </c>
      <c r="EF124" s="1242" t="s">
        <v>39</v>
      </c>
      <c r="EG124" s="1242" t="s">
        <v>39</v>
      </c>
      <c r="EH124" s="1242" t="s">
        <v>39</v>
      </c>
      <c r="EI124" s="1242" t="s">
        <v>39</v>
      </c>
      <c r="EJ124" s="1242" t="s">
        <v>39</v>
      </c>
      <c r="EK124" s="1242" t="s">
        <v>39</v>
      </c>
      <c r="EL124" s="1242" t="s">
        <v>39</v>
      </c>
    </row>
    <row r="125" spans="2:142" ht="15" customHeight="1">
      <c r="B125" s="1254">
        <v>49</v>
      </c>
      <c r="C125" s="1258">
        <v>765.15</v>
      </c>
      <c r="D125" s="1258">
        <v>742.2</v>
      </c>
      <c r="E125" s="1258">
        <v>720.2</v>
      </c>
      <c r="F125" s="1258">
        <v>699.25</v>
      </c>
      <c r="G125" s="1258">
        <v>679.3</v>
      </c>
      <c r="H125" s="1258">
        <v>660.35</v>
      </c>
      <c r="I125" s="1258">
        <v>642.35</v>
      </c>
      <c r="J125" s="1258">
        <v>625.35</v>
      </c>
      <c r="K125" s="1258">
        <v>609.29999999999995</v>
      </c>
      <c r="L125" s="1258">
        <v>594.20000000000005</v>
      </c>
      <c r="M125" s="1258">
        <v>580</v>
      </c>
      <c r="N125" s="1258">
        <v>566.75</v>
      </c>
      <c r="O125" s="1258">
        <v>554.35</v>
      </c>
      <c r="P125" s="1258">
        <v>542.85</v>
      </c>
      <c r="Q125" s="1258">
        <v>532.20000000000005</v>
      </c>
      <c r="R125" s="1258">
        <v>522.29999999999995</v>
      </c>
      <c r="CQ125" s="1237">
        <v>55</v>
      </c>
      <c r="CR125" s="1260">
        <v>2.25</v>
      </c>
      <c r="CS125" s="1260">
        <v>2.35</v>
      </c>
      <c r="CT125" s="1260">
        <v>2.5</v>
      </c>
      <c r="CU125" s="1260">
        <v>2.7</v>
      </c>
      <c r="CV125" s="1260">
        <v>2.8</v>
      </c>
      <c r="CW125" s="1260">
        <v>2.9</v>
      </c>
      <c r="CX125" s="1260">
        <v>3.05</v>
      </c>
      <c r="CY125" s="1260">
        <v>3.2</v>
      </c>
      <c r="CZ125" s="1260">
        <v>3.3</v>
      </c>
      <c r="DA125" s="1242" t="s">
        <v>39</v>
      </c>
      <c r="DB125" s="1242" t="s">
        <v>39</v>
      </c>
      <c r="DC125" s="1242" t="s">
        <v>39</v>
      </c>
      <c r="DD125" s="1242" t="s">
        <v>39</v>
      </c>
      <c r="DE125" s="1242" t="s">
        <v>39</v>
      </c>
      <c r="DF125" s="1242" t="s">
        <v>39</v>
      </c>
      <c r="DG125" s="1242" t="s">
        <v>39</v>
      </c>
      <c r="DH125" s="1242" t="s">
        <v>39</v>
      </c>
      <c r="DI125" s="1242" t="s">
        <v>39</v>
      </c>
      <c r="DJ125" s="1242" t="s">
        <v>39</v>
      </c>
      <c r="DK125" s="1242" t="s">
        <v>39</v>
      </c>
      <c r="DL125" s="1242" t="s">
        <v>39</v>
      </c>
      <c r="DM125" s="1242" t="s">
        <v>39</v>
      </c>
      <c r="DN125" s="1242" t="s">
        <v>39</v>
      </c>
      <c r="DO125" s="1242" t="s">
        <v>39</v>
      </c>
      <c r="DP125" s="1222"/>
      <c r="DQ125" s="1222"/>
      <c r="DR125" s="1222"/>
      <c r="DS125" s="1222"/>
      <c r="DT125" s="1222"/>
      <c r="DU125" s="1222"/>
      <c r="DV125" s="1222"/>
      <c r="DW125" s="1222"/>
      <c r="DX125" s="1222"/>
      <c r="DY125" s="1222"/>
      <c r="DZ125" s="1222"/>
      <c r="EA125" s="1222"/>
      <c r="EB125" s="1222"/>
      <c r="EC125" s="1222"/>
      <c r="ED125" s="1222"/>
      <c r="EE125" s="1222"/>
      <c r="EF125" s="1222"/>
      <c r="EG125" s="1222"/>
      <c r="EH125" s="1222"/>
      <c r="EI125" s="1222"/>
      <c r="EJ125" s="1222"/>
      <c r="EK125" s="1222"/>
      <c r="EL125" s="1222"/>
    </row>
    <row r="126" spans="2:142" ht="15" customHeight="1">
      <c r="B126" s="1254">
        <v>50</v>
      </c>
      <c r="C126" s="1258">
        <v>766.05</v>
      </c>
      <c r="D126" s="1258">
        <v>743.25</v>
      </c>
      <c r="E126" s="1258">
        <v>721.45</v>
      </c>
      <c r="F126" s="1258">
        <v>700.7</v>
      </c>
      <c r="G126" s="1258">
        <v>680.95</v>
      </c>
      <c r="H126" s="1258">
        <v>662.25</v>
      </c>
      <c r="I126" s="1258">
        <v>644.5</v>
      </c>
      <c r="J126" s="1258">
        <v>627.79999999999995</v>
      </c>
      <c r="K126" s="1258">
        <v>612.04999999999995</v>
      </c>
      <c r="L126" s="1258">
        <v>597.20000000000005</v>
      </c>
      <c r="M126" s="1258">
        <v>583.35</v>
      </c>
      <c r="N126" s="1258">
        <v>570.4</v>
      </c>
      <c r="O126" s="1258">
        <v>558.35</v>
      </c>
      <c r="P126" s="1258">
        <v>547.20000000000005</v>
      </c>
      <c r="Q126" s="1258">
        <v>536.85</v>
      </c>
      <c r="R126" s="1258">
        <v>527.35</v>
      </c>
      <c r="AC126" s="1205">
        <f>LOOKUP($AJ$129,$AC128:$AF128,AC127:AF127)</f>
        <v>116.65</v>
      </c>
      <c r="AD126" s="1206"/>
      <c r="AE126" s="1206"/>
      <c r="AF126" s="1206"/>
    </row>
    <row r="127" spans="2:142" ht="15" customHeight="1">
      <c r="B127" s="1254">
        <v>51</v>
      </c>
      <c r="C127" s="1258">
        <v>766.95</v>
      </c>
      <c r="D127" s="1258">
        <v>744.3</v>
      </c>
      <c r="E127" s="1258">
        <v>722.75</v>
      </c>
      <c r="F127" s="1258">
        <v>702.2</v>
      </c>
      <c r="G127" s="1258">
        <v>682.7</v>
      </c>
      <c r="H127" s="1258">
        <v>664.25</v>
      </c>
      <c r="I127" s="1258">
        <v>646.79999999999995</v>
      </c>
      <c r="J127" s="1258">
        <v>630.35</v>
      </c>
      <c r="K127" s="1258">
        <v>614.9</v>
      </c>
      <c r="L127" s="1258">
        <v>600.4</v>
      </c>
      <c r="M127" s="1258">
        <v>586.85</v>
      </c>
      <c r="N127" s="1258">
        <v>574.25</v>
      </c>
      <c r="O127" s="1258">
        <v>562.54999999999995</v>
      </c>
      <c r="P127" s="1258">
        <v>551.75</v>
      </c>
      <c r="Q127" s="1258">
        <v>541.79999999999995</v>
      </c>
      <c r="R127" s="1258">
        <v>0</v>
      </c>
      <c r="AC127" s="1205">
        <f>LOOKUP($B$1,$AB129:$AB141,AC129:AC141)</f>
        <v>112.7</v>
      </c>
      <c r="AD127" s="1205">
        <f>LOOKUP($B$1,$AB129:$AB141,AD129:AD141)</f>
        <v>116.65</v>
      </c>
      <c r="AE127" s="1205">
        <f>LOOKUP($B$1,$AB129:$AB141,AE129:AE141)</f>
        <v>120.6</v>
      </c>
      <c r="AF127" s="1205">
        <f>LOOKUP($B$1,$AB129:$AB141,AF129:AF141)</f>
        <v>124.6</v>
      </c>
    </row>
    <row r="128" spans="2:142" ht="15" customHeight="1">
      <c r="B128" s="1254">
        <v>52</v>
      </c>
      <c r="C128" s="1258">
        <v>767.9</v>
      </c>
      <c r="D128" s="1258">
        <v>745.45</v>
      </c>
      <c r="E128" s="1258">
        <v>724.1</v>
      </c>
      <c r="F128" s="1258">
        <v>703.8</v>
      </c>
      <c r="G128" s="1258">
        <v>684.55</v>
      </c>
      <c r="H128" s="1258">
        <v>666.35</v>
      </c>
      <c r="I128" s="1258">
        <v>649.20000000000005</v>
      </c>
      <c r="J128" s="1258">
        <v>633.04999999999995</v>
      </c>
      <c r="K128" s="1258">
        <v>617.9</v>
      </c>
      <c r="L128" s="1258">
        <v>603.75</v>
      </c>
      <c r="M128" s="1258">
        <v>590.54999999999995</v>
      </c>
      <c r="N128" s="1258">
        <v>578.29999999999995</v>
      </c>
      <c r="O128" s="1258">
        <v>567</v>
      </c>
      <c r="P128" s="1258">
        <v>556.54999999999995</v>
      </c>
      <c r="Q128" s="1258">
        <v>0</v>
      </c>
      <c r="R128" s="1258">
        <v>0</v>
      </c>
      <c r="U128" s="824">
        <v>832</v>
      </c>
      <c r="V128" s="1205">
        <f>LOOKUP($B$1,$U129:$U141,V129:V141)</f>
        <v>93.9</v>
      </c>
      <c r="AB128" s="1263">
        <v>834</v>
      </c>
      <c r="AC128" s="1264">
        <v>1</v>
      </c>
      <c r="AD128" s="1178">
        <v>2</v>
      </c>
      <c r="AE128" s="1178">
        <v>3</v>
      </c>
      <c r="AF128" s="1179">
        <v>4</v>
      </c>
      <c r="AM128" s="1264"/>
      <c r="AN128" s="1178"/>
      <c r="AO128" s="1178"/>
      <c r="AP128" s="1179"/>
    </row>
    <row r="129" spans="2:145" ht="15" customHeight="1">
      <c r="B129" s="1254">
        <v>53</v>
      </c>
      <c r="C129" s="1258">
        <v>768.85</v>
      </c>
      <c r="D129" s="1258">
        <v>746.65</v>
      </c>
      <c r="E129" s="1258">
        <v>725.5</v>
      </c>
      <c r="F129" s="1258">
        <v>705.45</v>
      </c>
      <c r="G129" s="1258">
        <v>686.5</v>
      </c>
      <c r="H129" s="1258">
        <v>668.55</v>
      </c>
      <c r="I129" s="1258">
        <v>651.70000000000005</v>
      </c>
      <c r="J129" s="1258">
        <v>635.9</v>
      </c>
      <c r="K129" s="1258">
        <v>621.04999999999995</v>
      </c>
      <c r="L129" s="1258">
        <v>607.25</v>
      </c>
      <c r="M129" s="1258">
        <v>594.45000000000005</v>
      </c>
      <c r="N129" s="1258">
        <v>582.54999999999995</v>
      </c>
      <c r="O129" s="1258">
        <v>571.65</v>
      </c>
      <c r="P129" s="1258">
        <v>0</v>
      </c>
      <c r="Q129" s="1258">
        <v>0</v>
      </c>
      <c r="R129" s="1258">
        <v>0</v>
      </c>
      <c r="U129" s="1207">
        <v>0</v>
      </c>
      <c r="V129" s="1220">
        <v>44.15</v>
      </c>
      <c r="AB129" s="1265">
        <v>0</v>
      </c>
      <c r="AC129" s="1180">
        <v>44.8</v>
      </c>
      <c r="AD129" s="1180">
        <v>45.8</v>
      </c>
      <c r="AE129" s="1180">
        <v>46.8</v>
      </c>
      <c r="AF129" s="1180">
        <v>47.8</v>
      </c>
      <c r="AI129" s="825" t="str">
        <f>Main!N12</f>
        <v>OPTION-2</v>
      </c>
      <c r="AJ129" s="968">
        <f>LOOKUP($AI$129,$AI130:$AI133,AJ130:AJ133)</f>
        <v>2</v>
      </c>
      <c r="AL129" s="1180"/>
      <c r="CR129" s="1205">
        <f>LOOKUP($B$1,$CQ131:$CQ163,CR131:CR163)</f>
        <v>0.55000000000000004</v>
      </c>
      <c r="CS129" s="1205">
        <f t="shared" ref="CS129:DD129" si="16">LOOKUP($B$1,$CQ131:$CQ163,CS131:CS163)</f>
        <v>0.55000000000000004</v>
      </c>
      <c r="CT129" s="1205">
        <f t="shared" si="16"/>
        <v>0.6</v>
      </c>
      <c r="CU129" s="1205">
        <f t="shared" si="16"/>
        <v>0.65</v>
      </c>
      <c r="CV129" s="1205">
        <f t="shared" si="16"/>
        <v>0.7</v>
      </c>
      <c r="CW129" s="1205">
        <f t="shared" si="16"/>
        <v>0.75</v>
      </c>
      <c r="CX129" s="1205">
        <f t="shared" si="16"/>
        <v>0.8</v>
      </c>
      <c r="CY129" s="1205">
        <f t="shared" si="16"/>
        <v>0.85</v>
      </c>
      <c r="CZ129" s="1205">
        <f t="shared" si="16"/>
        <v>0.9</v>
      </c>
      <c r="DA129" s="1205">
        <f t="shared" si="16"/>
        <v>1</v>
      </c>
      <c r="DB129" s="1205">
        <f t="shared" si="16"/>
        <v>1.05</v>
      </c>
      <c r="DC129" s="1205">
        <f t="shared" si="16"/>
        <v>1.1000000000000001</v>
      </c>
      <c r="DD129" s="1205">
        <f t="shared" si="16"/>
        <v>1.2</v>
      </c>
      <c r="DH129" s="1205">
        <f>LOOKUP($B$1,$DG131:$DG178,DH131:DH178)</f>
        <v>0.25</v>
      </c>
      <c r="DI129" s="1205">
        <f t="shared" ref="DI129:DR129" si="17">LOOKUP($B$1,$DG131:$DG178,DI131:DI178)</f>
        <v>0.25</v>
      </c>
      <c r="DJ129" s="1205">
        <f t="shared" si="17"/>
        <v>0.25</v>
      </c>
      <c r="DK129" s="1205">
        <f t="shared" si="17"/>
        <v>0.3</v>
      </c>
      <c r="DL129" s="1205">
        <f t="shared" si="17"/>
        <v>0.3</v>
      </c>
      <c r="DM129" s="1205">
        <f t="shared" si="17"/>
        <v>0.3</v>
      </c>
      <c r="DN129" s="1205">
        <f t="shared" si="17"/>
        <v>0.3</v>
      </c>
      <c r="DO129" s="1205">
        <f t="shared" si="17"/>
        <v>0.35</v>
      </c>
      <c r="DP129" s="1205">
        <f t="shared" si="17"/>
        <v>0.35</v>
      </c>
      <c r="DQ129" s="1205">
        <f t="shared" si="17"/>
        <v>0.35</v>
      </c>
      <c r="DR129" s="1205">
        <f t="shared" si="17"/>
        <v>0.35</v>
      </c>
      <c r="DU129" s="1205">
        <f>LOOKUP($B$1,$DT131:$DT163,DU131:DU163)</f>
        <v>1.2</v>
      </c>
      <c r="DV129" s="1205">
        <f t="shared" ref="DV129:EO129" si="18">LOOKUP($B$1,$DT131:$DT163,DV131:DV163)</f>
        <v>1.1499999999999999</v>
      </c>
      <c r="DW129" s="1205">
        <f t="shared" si="18"/>
        <v>1.1000000000000001</v>
      </c>
      <c r="DX129" s="1205">
        <f t="shared" si="18"/>
        <v>1.05</v>
      </c>
      <c r="DY129" s="1205">
        <f t="shared" si="18"/>
        <v>1.05</v>
      </c>
      <c r="DZ129" s="1205">
        <f t="shared" si="18"/>
        <v>1</v>
      </c>
      <c r="EA129" s="1205">
        <f t="shared" si="18"/>
        <v>1</v>
      </c>
      <c r="EB129" s="1205">
        <f t="shared" si="18"/>
        <v>0.95</v>
      </c>
      <c r="EC129" s="1205">
        <f t="shared" si="18"/>
        <v>0.95</v>
      </c>
      <c r="ED129" s="1205">
        <f t="shared" si="18"/>
        <v>0.95</v>
      </c>
      <c r="EE129" s="1205">
        <f t="shared" si="18"/>
        <v>0.9</v>
      </c>
      <c r="EF129" s="1205">
        <f t="shared" si="18"/>
        <v>0.9</v>
      </c>
      <c r="EG129" s="1205">
        <f t="shared" si="18"/>
        <v>0.9</v>
      </c>
      <c r="EH129" s="1205">
        <f t="shared" si="18"/>
        <v>0.9</v>
      </c>
      <c r="EI129" s="1205">
        <f t="shared" si="18"/>
        <v>0.9</v>
      </c>
      <c r="EJ129" s="1205">
        <f t="shared" si="18"/>
        <v>0.9</v>
      </c>
      <c r="EK129" s="1205">
        <f t="shared" si="18"/>
        <v>0.9</v>
      </c>
      <c r="EL129" s="1205">
        <f t="shared" si="18"/>
        <v>0.9</v>
      </c>
      <c r="EM129" s="1205">
        <f t="shared" si="18"/>
        <v>0.9</v>
      </c>
      <c r="EN129" s="1205">
        <f t="shared" si="18"/>
        <v>0.9</v>
      </c>
      <c r="EO129" s="1205">
        <f t="shared" si="18"/>
        <v>0.95</v>
      </c>
    </row>
    <row r="130" spans="2:145" ht="15" customHeight="1">
      <c r="B130" s="1254">
        <v>54</v>
      </c>
      <c r="C130" s="1258">
        <v>769.9</v>
      </c>
      <c r="D130" s="1258">
        <v>747.9</v>
      </c>
      <c r="E130" s="1258">
        <v>727</v>
      </c>
      <c r="F130" s="1258">
        <v>707.2</v>
      </c>
      <c r="G130" s="1258">
        <v>688.5</v>
      </c>
      <c r="H130" s="1258">
        <v>670.9</v>
      </c>
      <c r="I130" s="1258">
        <v>654.35</v>
      </c>
      <c r="J130" s="1258">
        <v>638.85</v>
      </c>
      <c r="K130" s="1258">
        <v>624.4</v>
      </c>
      <c r="L130" s="1258">
        <v>611</v>
      </c>
      <c r="M130" s="1258">
        <v>598.54999999999995</v>
      </c>
      <c r="N130" s="1258">
        <v>587.1</v>
      </c>
      <c r="O130" s="1258">
        <v>0</v>
      </c>
      <c r="P130" s="1258">
        <v>0</v>
      </c>
      <c r="Q130" s="1258">
        <v>0</v>
      </c>
      <c r="R130" s="1258">
        <v>0</v>
      </c>
      <c r="U130" s="1207">
        <v>1</v>
      </c>
      <c r="V130" s="1220">
        <v>46.15</v>
      </c>
      <c r="AB130" s="1180">
        <v>1</v>
      </c>
      <c r="AC130" s="1180">
        <v>47</v>
      </c>
      <c r="AD130" s="1180">
        <v>48.1</v>
      </c>
      <c r="AE130" s="1180">
        <v>49.2</v>
      </c>
      <c r="AF130" s="1180">
        <v>50.3</v>
      </c>
      <c r="AI130" s="824" t="s">
        <v>58</v>
      </c>
      <c r="AJ130" s="824">
        <v>1</v>
      </c>
      <c r="AL130" s="1180"/>
      <c r="CQ130" s="1266">
        <v>833</v>
      </c>
      <c r="CR130" s="1238">
        <v>13</v>
      </c>
      <c r="CS130" s="1238">
        <v>14</v>
      </c>
      <c r="CT130" s="1238">
        <v>15</v>
      </c>
      <c r="CU130" s="1238">
        <v>16</v>
      </c>
      <c r="CV130" s="1238">
        <v>17</v>
      </c>
      <c r="CW130" s="1238">
        <v>18</v>
      </c>
      <c r="CX130" s="1238">
        <v>19</v>
      </c>
      <c r="CY130" s="1238">
        <v>20</v>
      </c>
      <c r="CZ130" s="1238">
        <v>21</v>
      </c>
      <c r="DA130" s="1238">
        <v>22</v>
      </c>
      <c r="DB130" s="1238">
        <v>23</v>
      </c>
      <c r="DC130" s="1238">
        <v>24</v>
      </c>
      <c r="DD130" s="1238">
        <v>25</v>
      </c>
      <c r="DG130" s="824">
        <v>827</v>
      </c>
      <c r="DH130" s="1262">
        <v>10</v>
      </c>
      <c r="DI130" s="1262">
        <v>11</v>
      </c>
      <c r="DJ130" s="1262">
        <v>12</v>
      </c>
      <c r="DK130" s="1262">
        <v>13</v>
      </c>
      <c r="DL130" s="1262">
        <v>14</v>
      </c>
      <c r="DM130" s="1262">
        <v>15</v>
      </c>
      <c r="DN130" s="1262">
        <v>16</v>
      </c>
      <c r="DO130" s="1262">
        <v>17</v>
      </c>
      <c r="DP130" s="1262">
        <v>18</v>
      </c>
      <c r="DQ130" s="1262">
        <v>19</v>
      </c>
      <c r="DR130" s="1262">
        <v>20</v>
      </c>
      <c r="DT130" s="1222">
        <v>815</v>
      </c>
      <c r="DU130" s="1262">
        <v>15</v>
      </c>
      <c r="DV130" s="1262">
        <v>16</v>
      </c>
      <c r="DW130" s="1262">
        <v>17</v>
      </c>
      <c r="DX130" s="1262">
        <v>18</v>
      </c>
      <c r="DY130" s="1262">
        <v>19</v>
      </c>
      <c r="DZ130" s="1262">
        <v>20</v>
      </c>
      <c r="EA130" s="1262">
        <v>21</v>
      </c>
      <c r="EB130" s="1262">
        <v>22</v>
      </c>
      <c r="EC130" s="1262">
        <v>23</v>
      </c>
      <c r="ED130" s="1262">
        <v>24</v>
      </c>
      <c r="EE130" s="1262">
        <v>25</v>
      </c>
      <c r="EF130" s="1262">
        <v>26</v>
      </c>
      <c r="EG130" s="1262">
        <v>27</v>
      </c>
      <c r="EH130" s="1262">
        <v>28</v>
      </c>
      <c r="EI130" s="1262">
        <v>29</v>
      </c>
      <c r="EJ130" s="1262">
        <v>30</v>
      </c>
      <c r="EK130" s="1262">
        <v>31</v>
      </c>
      <c r="EL130" s="1262">
        <v>32</v>
      </c>
      <c r="EM130" s="1262">
        <v>33</v>
      </c>
      <c r="EN130" s="1262">
        <v>34</v>
      </c>
      <c r="EO130" s="1262">
        <v>35</v>
      </c>
    </row>
    <row r="131" spans="2:145" ht="15" customHeight="1">
      <c r="B131" s="1254">
        <v>55</v>
      </c>
      <c r="C131" s="1258">
        <v>770.95</v>
      </c>
      <c r="D131" s="1258">
        <v>749.2</v>
      </c>
      <c r="E131" s="1258">
        <v>728.55</v>
      </c>
      <c r="F131" s="1258">
        <v>709.05</v>
      </c>
      <c r="G131" s="1258">
        <v>690.65</v>
      </c>
      <c r="H131" s="1258">
        <v>673.35</v>
      </c>
      <c r="I131" s="1258">
        <v>657.15</v>
      </c>
      <c r="J131" s="1258">
        <v>642.04999999999995</v>
      </c>
      <c r="K131" s="1258">
        <v>628</v>
      </c>
      <c r="L131" s="1258">
        <v>614.95000000000005</v>
      </c>
      <c r="M131" s="1258">
        <v>602.9</v>
      </c>
      <c r="N131" s="1258">
        <v>0</v>
      </c>
      <c r="O131" s="1258">
        <v>0</v>
      </c>
      <c r="P131" s="1258">
        <v>0</v>
      </c>
      <c r="Q131" s="1258">
        <v>0</v>
      </c>
      <c r="R131" s="1258">
        <v>0</v>
      </c>
      <c r="U131" s="1207">
        <v>2</v>
      </c>
      <c r="V131" s="1220">
        <v>48.35</v>
      </c>
      <c r="AB131" s="1180">
        <v>2</v>
      </c>
      <c r="AC131" s="1180">
        <v>49.6</v>
      </c>
      <c r="AD131" s="1180">
        <v>50.8</v>
      </c>
      <c r="AE131" s="1180">
        <v>52.05</v>
      </c>
      <c r="AF131" s="1180">
        <v>53.25</v>
      </c>
      <c r="AI131" s="824" t="s">
        <v>57</v>
      </c>
      <c r="AJ131" s="824">
        <v>2</v>
      </c>
      <c r="AL131" s="1180"/>
      <c r="CQ131" s="1238">
        <v>18</v>
      </c>
      <c r="CR131" s="1239">
        <v>0.4</v>
      </c>
      <c r="CS131" s="1239">
        <v>0.4</v>
      </c>
      <c r="CT131" s="1239">
        <v>0.45</v>
      </c>
      <c r="CU131" s="1239">
        <v>0.45</v>
      </c>
      <c r="CV131" s="1239">
        <v>0.5</v>
      </c>
      <c r="CW131" s="1239">
        <v>0.5</v>
      </c>
      <c r="CX131" s="1239">
        <v>0.55000000000000004</v>
      </c>
      <c r="CY131" s="1239">
        <v>0.55000000000000004</v>
      </c>
      <c r="CZ131" s="1239">
        <v>0.6</v>
      </c>
      <c r="DA131" s="1239">
        <v>0.65</v>
      </c>
      <c r="DB131" s="1239">
        <v>0.65</v>
      </c>
      <c r="DC131" s="1239">
        <v>0.7</v>
      </c>
      <c r="DD131" s="1239">
        <v>0.7</v>
      </c>
      <c r="DG131" s="1267">
        <v>8</v>
      </c>
      <c r="DH131" s="1268">
        <v>0.1</v>
      </c>
      <c r="DI131" s="1268">
        <v>0.1</v>
      </c>
      <c r="DJ131" s="1269">
        <v>0.15</v>
      </c>
      <c r="DK131" s="1270">
        <v>0.15</v>
      </c>
      <c r="DL131" s="1268">
        <v>0.15</v>
      </c>
      <c r="DM131" s="1268">
        <v>0.15</v>
      </c>
      <c r="DN131" s="1269">
        <v>0.15</v>
      </c>
      <c r="DO131" s="1269">
        <v>0.15</v>
      </c>
      <c r="DP131" s="1268">
        <v>0.15</v>
      </c>
      <c r="DQ131" s="1268">
        <v>0.15</v>
      </c>
      <c r="DR131" s="1269">
        <v>0.15</v>
      </c>
      <c r="DT131" s="1237">
        <v>18</v>
      </c>
      <c r="DU131" s="1260">
        <v>0.8</v>
      </c>
      <c r="DV131" s="1260">
        <v>0.75</v>
      </c>
      <c r="DW131" s="1260">
        <v>0.75</v>
      </c>
      <c r="DX131" s="1260">
        <v>0.7</v>
      </c>
      <c r="DY131" s="1260">
        <v>0.7</v>
      </c>
      <c r="DZ131" s="1260">
        <v>0.7</v>
      </c>
      <c r="EA131" s="1260">
        <v>0.7</v>
      </c>
      <c r="EB131" s="1260">
        <v>0.65</v>
      </c>
      <c r="EC131" s="1260">
        <v>0.65</v>
      </c>
      <c r="ED131" s="1260">
        <v>0.65</v>
      </c>
      <c r="EE131" s="1260">
        <v>0.65</v>
      </c>
      <c r="EF131" s="1260">
        <v>0.65</v>
      </c>
      <c r="EG131" s="1260">
        <v>0.6</v>
      </c>
      <c r="EH131" s="1260">
        <v>0.6</v>
      </c>
      <c r="EI131" s="1260">
        <v>0.6</v>
      </c>
      <c r="EJ131" s="1260">
        <v>0.6</v>
      </c>
      <c r="EK131" s="1260">
        <v>0.6</v>
      </c>
      <c r="EL131" s="1260">
        <v>0.6</v>
      </c>
      <c r="EM131" s="1260">
        <v>0.6</v>
      </c>
      <c r="EN131" s="1260">
        <v>0.6</v>
      </c>
      <c r="EO131" s="1260">
        <v>0.6</v>
      </c>
    </row>
    <row r="132" spans="2:145" ht="15" customHeight="1">
      <c r="B132" s="1254">
        <v>56</v>
      </c>
      <c r="C132" s="1258">
        <v>772.1</v>
      </c>
      <c r="D132" s="1258">
        <v>750.6</v>
      </c>
      <c r="E132" s="1258">
        <v>730.2</v>
      </c>
      <c r="F132" s="1258">
        <v>711</v>
      </c>
      <c r="G132" s="1258">
        <v>692.95</v>
      </c>
      <c r="H132" s="1258">
        <v>676</v>
      </c>
      <c r="I132" s="1258">
        <v>660.15</v>
      </c>
      <c r="J132" s="1258">
        <v>645.45000000000005</v>
      </c>
      <c r="K132" s="1258">
        <v>631.75</v>
      </c>
      <c r="L132" s="1258">
        <v>619.15</v>
      </c>
      <c r="M132" s="1258">
        <v>0</v>
      </c>
      <c r="N132" s="1258">
        <v>0</v>
      </c>
      <c r="O132" s="1258">
        <v>0</v>
      </c>
      <c r="P132" s="1258">
        <v>0</v>
      </c>
      <c r="Q132" s="1258">
        <v>0</v>
      </c>
      <c r="R132" s="1258">
        <v>0</v>
      </c>
      <c r="U132" s="1207">
        <v>3</v>
      </c>
      <c r="V132" s="1220">
        <v>50.9</v>
      </c>
      <c r="AB132" s="1180">
        <v>3</v>
      </c>
      <c r="AC132" s="1180">
        <v>52.55</v>
      </c>
      <c r="AD132" s="1180">
        <v>53.9</v>
      </c>
      <c r="AE132" s="1180">
        <v>55.3</v>
      </c>
      <c r="AF132" s="1180">
        <v>56.65</v>
      </c>
      <c r="AI132" s="824" t="s">
        <v>56</v>
      </c>
      <c r="AJ132" s="824">
        <v>3</v>
      </c>
      <c r="AL132" s="1180"/>
      <c r="CQ132" s="1238">
        <v>19</v>
      </c>
      <c r="CR132" s="1239">
        <v>0.4</v>
      </c>
      <c r="CS132" s="1239">
        <v>0.45</v>
      </c>
      <c r="CT132" s="1239">
        <v>0.45</v>
      </c>
      <c r="CU132" s="1239">
        <v>0.5</v>
      </c>
      <c r="CV132" s="1239">
        <v>0.5</v>
      </c>
      <c r="CW132" s="1239">
        <v>0.55000000000000004</v>
      </c>
      <c r="CX132" s="1239">
        <v>0.55000000000000004</v>
      </c>
      <c r="CY132" s="1239">
        <v>0.6</v>
      </c>
      <c r="CZ132" s="1239">
        <v>0.6</v>
      </c>
      <c r="DA132" s="1239">
        <v>0.65</v>
      </c>
      <c r="DB132" s="1239">
        <v>0.7</v>
      </c>
      <c r="DC132" s="1239">
        <v>0.7</v>
      </c>
      <c r="DD132" s="1239">
        <v>0.75</v>
      </c>
      <c r="DG132" s="1267">
        <v>9</v>
      </c>
      <c r="DH132" s="1268">
        <v>0.1</v>
      </c>
      <c r="DI132" s="1268">
        <v>0.1</v>
      </c>
      <c r="DJ132" s="1269">
        <v>0.15</v>
      </c>
      <c r="DK132" s="1270">
        <v>0.15</v>
      </c>
      <c r="DL132" s="1268">
        <v>0.15</v>
      </c>
      <c r="DM132" s="1268">
        <v>0.15</v>
      </c>
      <c r="DN132" s="1269">
        <v>0.15</v>
      </c>
      <c r="DO132" s="1269">
        <v>0.15</v>
      </c>
      <c r="DP132" s="1268">
        <v>0.15</v>
      </c>
      <c r="DQ132" s="1268">
        <v>0.15</v>
      </c>
      <c r="DR132" s="1269">
        <v>0.15</v>
      </c>
      <c r="DT132" s="1237">
        <v>19</v>
      </c>
      <c r="DU132" s="1260">
        <v>0.85</v>
      </c>
      <c r="DV132" s="1260">
        <v>0.8</v>
      </c>
      <c r="DW132" s="1260">
        <v>0.75</v>
      </c>
      <c r="DX132" s="1260">
        <v>0.75</v>
      </c>
      <c r="DY132" s="1260">
        <v>0.75</v>
      </c>
      <c r="DZ132" s="1260">
        <v>0.7</v>
      </c>
      <c r="EA132" s="1260">
        <v>0.7</v>
      </c>
      <c r="EB132" s="1260">
        <v>0.7</v>
      </c>
      <c r="EC132" s="1260">
        <v>0.65</v>
      </c>
      <c r="ED132" s="1260">
        <v>0.65</v>
      </c>
      <c r="EE132" s="1260">
        <v>0.65</v>
      </c>
      <c r="EF132" s="1260">
        <v>0.65</v>
      </c>
      <c r="EG132" s="1260">
        <v>0.65</v>
      </c>
      <c r="EH132" s="1260">
        <v>0.65</v>
      </c>
      <c r="EI132" s="1260">
        <v>0.65</v>
      </c>
      <c r="EJ132" s="1260">
        <v>0.6</v>
      </c>
      <c r="EK132" s="1260">
        <v>0.6</v>
      </c>
      <c r="EL132" s="1260">
        <v>0.6</v>
      </c>
      <c r="EM132" s="1260">
        <v>0.6</v>
      </c>
      <c r="EN132" s="1260">
        <v>0.6</v>
      </c>
      <c r="EO132" s="1260">
        <v>0.6</v>
      </c>
    </row>
    <row r="133" spans="2:145" ht="15" customHeight="1">
      <c r="B133" s="1254">
        <v>57</v>
      </c>
      <c r="C133" s="1258">
        <v>773.3</v>
      </c>
      <c r="D133" s="1258">
        <v>752.05</v>
      </c>
      <c r="E133" s="1258">
        <v>732</v>
      </c>
      <c r="F133" s="1258">
        <v>713.1</v>
      </c>
      <c r="G133" s="1258">
        <v>695.4</v>
      </c>
      <c r="H133" s="1258">
        <v>678.8</v>
      </c>
      <c r="I133" s="1258">
        <v>663.35</v>
      </c>
      <c r="J133" s="1258">
        <v>649.04999999999995</v>
      </c>
      <c r="K133" s="1258">
        <v>635.79999999999995</v>
      </c>
      <c r="L133" s="1258">
        <v>0</v>
      </c>
      <c r="M133" s="1258">
        <v>0</v>
      </c>
      <c r="N133" s="1258">
        <v>0</v>
      </c>
      <c r="O133" s="1258">
        <v>0</v>
      </c>
      <c r="P133" s="1258">
        <v>0</v>
      </c>
      <c r="Q133" s="1258">
        <v>0</v>
      </c>
      <c r="R133" s="1258">
        <v>0</v>
      </c>
      <c r="U133" s="1207">
        <v>4</v>
      </c>
      <c r="V133" s="1220">
        <v>53.8</v>
      </c>
      <c r="AB133" s="1180">
        <v>4</v>
      </c>
      <c r="AC133" s="1180">
        <v>55.95</v>
      </c>
      <c r="AD133" s="1180">
        <v>57.5</v>
      </c>
      <c r="AE133" s="1180">
        <v>59</v>
      </c>
      <c r="AF133" s="1180">
        <v>60.55</v>
      </c>
      <c r="AI133" s="824" t="s">
        <v>55</v>
      </c>
      <c r="AJ133" s="824">
        <v>4</v>
      </c>
      <c r="AL133" s="1180"/>
      <c r="CQ133" s="1238">
        <v>20</v>
      </c>
      <c r="CR133" s="1239">
        <v>0.4</v>
      </c>
      <c r="CS133" s="1239">
        <v>0.45</v>
      </c>
      <c r="CT133" s="1239">
        <v>0.45</v>
      </c>
      <c r="CU133" s="1239">
        <v>0.5</v>
      </c>
      <c r="CV133" s="1239">
        <v>0.5</v>
      </c>
      <c r="CW133" s="1239">
        <v>0.55000000000000004</v>
      </c>
      <c r="CX133" s="1239">
        <v>0.6</v>
      </c>
      <c r="CY133" s="1239">
        <v>0.6</v>
      </c>
      <c r="CZ133" s="1239">
        <v>0.65</v>
      </c>
      <c r="DA133" s="1239">
        <v>0.65</v>
      </c>
      <c r="DB133" s="1239">
        <v>0.7</v>
      </c>
      <c r="DC133" s="1239">
        <v>0.75</v>
      </c>
      <c r="DD133" s="1239">
        <v>0.75</v>
      </c>
      <c r="DG133" s="1267">
        <v>10</v>
      </c>
      <c r="DH133" s="1268">
        <v>0.1</v>
      </c>
      <c r="DI133" s="1268">
        <v>0.15</v>
      </c>
      <c r="DJ133" s="1269">
        <v>0.15</v>
      </c>
      <c r="DK133" s="1270">
        <v>0.15</v>
      </c>
      <c r="DL133" s="1268">
        <v>0.15</v>
      </c>
      <c r="DM133" s="1268">
        <v>0.15</v>
      </c>
      <c r="DN133" s="1269">
        <v>0.15</v>
      </c>
      <c r="DO133" s="1269">
        <v>0.15</v>
      </c>
      <c r="DP133" s="1268">
        <v>0.15</v>
      </c>
      <c r="DQ133" s="1268">
        <v>0.15</v>
      </c>
      <c r="DR133" s="1269">
        <v>0.15</v>
      </c>
      <c r="DT133" s="1237">
        <v>20</v>
      </c>
      <c r="DU133" s="1260">
        <v>0.85</v>
      </c>
      <c r="DV133" s="1260">
        <v>0.8</v>
      </c>
      <c r="DW133" s="1260">
        <v>0.8</v>
      </c>
      <c r="DX133" s="1260">
        <v>0.75</v>
      </c>
      <c r="DY133" s="1260">
        <v>0.75</v>
      </c>
      <c r="DZ133" s="1260">
        <v>0.75</v>
      </c>
      <c r="EA133" s="1260">
        <v>0.7</v>
      </c>
      <c r="EB133" s="1260">
        <v>0.7</v>
      </c>
      <c r="EC133" s="1260">
        <v>0.7</v>
      </c>
      <c r="ED133" s="1260">
        <v>0.7</v>
      </c>
      <c r="EE133" s="1260">
        <v>0.65</v>
      </c>
      <c r="EF133" s="1260">
        <v>0.65</v>
      </c>
      <c r="EG133" s="1260">
        <v>0.65</v>
      </c>
      <c r="EH133" s="1260">
        <v>0.65</v>
      </c>
      <c r="EI133" s="1260">
        <v>0.65</v>
      </c>
      <c r="EJ133" s="1260">
        <v>0.65</v>
      </c>
      <c r="EK133" s="1260">
        <v>0.65</v>
      </c>
      <c r="EL133" s="1260">
        <v>0.65</v>
      </c>
      <c r="EM133" s="1260">
        <v>0.65</v>
      </c>
      <c r="EN133" s="1260">
        <v>0.65</v>
      </c>
      <c r="EO133" s="1260">
        <v>0.65</v>
      </c>
    </row>
    <row r="134" spans="2:145" ht="15" customHeight="1">
      <c r="B134" s="1254">
        <v>58</v>
      </c>
      <c r="C134" s="1258">
        <v>774.6</v>
      </c>
      <c r="D134" s="1258">
        <v>753.65</v>
      </c>
      <c r="E134" s="1258">
        <v>733.9</v>
      </c>
      <c r="F134" s="1258">
        <v>715.35</v>
      </c>
      <c r="G134" s="1258">
        <v>698</v>
      </c>
      <c r="H134" s="1258">
        <v>681.85</v>
      </c>
      <c r="I134" s="1258">
        <v>666.8</v>
      </c>
      <c r="J134" s="1258">
        <v>652.95000000000005</v>
      </c>
      <c r="K134" s="1258">
        <v>0</v>
      </c>
      <c r="L134" s="1258">
        <v>0</v>
      </c>
      <c r="M134" s="1258">
        <v>0</v>
      </c>
      <c r="N134" s="1258">
        <v>0</v>
      </c>
      <c r="O134" s="1258">
        <v>0</v>
      </c>
      <c r="P134" s="1258">
        <v>0</v>
      </c>
      <c r="Q134" s="1258">
        <v>0</v>
      </c>
      <c r="R134" s="1258">
        <v>0</v>
      </c>
      <c r="U134" s="1207">
        <v>5</v>
      </c>
      <c r="V134" s="1220">
        <v>57</v>
      </c>
      <c r="AB134" s="1180">
        <v>5</v>
      </c>
      <c r="AC134" s="1180">
        <v>59.9</v>
      </c>
      <c r="AD134" s="1180">
        <v>61.6</v>
      </c>
      <c r="AE134" s="1180">
        <v>63.35</v>
      </c>
      <c r="AF134" s="1180">
        <v>65.05</v>
      </c>
      <c r="CQ134" s="1238">
        <v>21</v>
      </c>
      <c r="CR134" s="1239">
        <v>0.4</v>
      </c>
      <c r="CS134" s="1239">
        <v>0.45</v>
      </c>
      <c r="CT134" s="1239">
        <v>0.45</v>
      </c>
      <c r="CU134" s="1239">
        <v>0.5</v>
      </c>
      <c r="CV134" s="1239">
        <v>0.55000000000000004</v>
      </c>
      <c r="CW134" s="1239">
        <v>0.55000000000000004</v>
      </c>
      <c r="CX134" s="1239">
        <v>0.6</v>
      </c>
      <c r="CY134" s="1239">
        <v>0.6</v>
      </c>
      <c r="CZ134" s="1239">
        <v>0.65</v>
      </c>
      <c r="DA134" s="1239">
        <v>0.7</v>
      </c>
      <c r="DB134" s="1239">
        <v>0.7</v>
      </c>
      <c r="DC134" s="1239">
        <v>0.75</v>
      </c>
      <c r="DD134" s="1239">
        <v>0.8</v>
      </c>
      <c r="DG134" s="1267">
        <v>11</v>
      </c>
      <c r="DH134" s="1268">
        <v>0.15</v>
      </c>
      <c r="DI134" s="1268">
        <v>0.15</v>
      </c>
      <c r="DJ134" s="1269">
        <v>0.15</v>
      </c>
      <c r="DK134" s="1270">
        <v>0.15</v>
      </c>
      <c r="DL134" s="1268">
        <v>0.15</v>
      </c>
      <c r="DM134" s="1268">
        <v>0.15</v>
      </c>
      <c r="DN134" s="1269">
        <v>0.15</v>
      </c>
      <c r="DO134" s="1269">
        <v>0.15</v>
      </c>
      <c r="DP134" s="1268">
        <v>0.15</v>
      </c>
      <c r="DQ134" s="1268">
        <v>0.15</v>
      </c>
      <c r="DR134" s="1269">
        <v>0.2</v>
      </c>
      <c r="DT134" s="1237">
        <v>21</v>
      </c>
      <c r="DU134" s="1260">
        <v>0.9</v>
      </c>
      <c r="DV134" s="1260">
        <v>0.85</v>
      </c>
      <c r="DW134" s="1260">
        <v>0.8</v>
      </c>
      <c r="DX134" s="1260">
        <v>0.8</v>
      </c>
      <c r="DY134" s="1260">
        <v>0.8</v>
      </c>
      <c r="DZ134" s="1260">
        <v>0.75</v>
      </c>
      <c r="EA134" s="1260">
        <v>0.75</v>
      </c>
      <c r="EB134" s="1260">
        <v>0.75</v>
      </c>
      <c r="EC134" s="1260">
        <v>0.7</v>
      </c>
      <c r="ED134" s="1260">
        <v>0.7</v>
      </c>
      <c r="EE134" s="1260">
        <v>0.7</v>
      </c>
      <c r="EF134" s="1260">
        <v>0.7</v>
      </c>
      <c r="EG134" s="1260">
        <v>0.7</v>
      </c>
      <c r="EH134" s="1260">
        <v>0.65</v>
      </c>
      <c r="EI134" s="1260">
        <v>0.65</v>
      </c>
      <c r="EJ134" s="1260">
        <v>0.65</v>
      </c>
      <c r="EK134" s="1260">
        <v>0.65</v>
      </c>
      <c r="EL134" s="1260">
        <v>0.65</v>
      </c>
      <c r="EM134" s="1260">
        <v>0.65</v>
      </c>
      <c r="EN134" s="1260">
        <v>0.65</v>
      </c>
      <c r="EO134" s="1260">
        <v>0.65</v>
      </c>
    </row>
    <row r="135" spans="2:145" ht="15" customHeight="1">
      <c r="B135" s="1254">
        <v>59</v>
      </c>
      <c r="C135" s="1258">
        <v>776</v>
      </c>
      <c r="D135" s="1258">
        <v>755.35</v>
      </c>
      <c r="E135" s="1258">
        <v>735.95</v>
      </c>
      <c r="F135" s="1258">
        <v>717.8</v>
      </c>
      <c r="G135" s="1258">
        <v>700.85</v>
      </c>
      <c r="H135" s="1258">
        <v>685.1</v>
      </c>
      <c r="I135" s="1258">
        <v>670.5</v>
      </c>
      <c r="J135" s="1258">
        <v>0</v>
      </c>
      <c r="K135" s="1258">
        <v>0</v>
      </c>
      <c r="L135" s="1258">
        <v>0</v>
      </c>
      <c r="M135" s="1258">
        <v>0</v>
      </c>
      <c r="N135" s="1258">
        <v>0</v>
      </c>
      <c r="O135" s="1258">
        <v>0</v>
      </c>
      <c r="P135" s="1258">
        <v>0</v>
      </c>
      <c r="Q135" s="1258">
        <v>0</v>
      </c>
      <c r="R135" s="1258">
        <v>0</v>
      </c>
      <c r="U135" s="1207">
        <v>6</v>
      </c>
      <c r="V135" s="1220">
        <v>60.65</v>
      </c>
      <c r="AB135" s="1180">
        <v>6</v>
      </c>
      <c r="AC135" s="1180">
        <v>63.65</v>
      </c>
      <c r="AD135" s="1180">
        <v>65.5</v>
      </c>
      <c r="AE135" s="1180">
        <v>67.400000000000006</v>
      </c>
      <c r="AF135" s="1180">
        <v>69.3</v>
      </c>
      <c r="AH135" s="1180"/>
      <c r="CQ135" s="1238">
        <v>22</v>
      </c>
      <c r="CR135" s="1239">
        <v>0.45</v>
      </c>
      <c r="CS135" s="1239">
        <v>0.45</v>
      </c>
      <c r="CT135" s="1239">
        <v>0.5</v>
      </c>
      <c r="CU135" s="1239">
        <v>0.5</v>
      </c>
      <c r="CV135" s="1239">
        <v>0.55000000000000004</v>
      </c>
      <c r="CW135" s="1239">
        <v>0.55000000000000004</v>
      </c>
      <c r="CX135" s="1239">
        <v>0.6</v>
      </c>
      <c r="CY135" s="1239">
        <v>0.65</v>
      </c>
      <c r="CZ135" s="1239">
        <v>0.65</v>
      </c>
      <c r="DA135" s="1239">
        <v>0.7</v>
      </c>
      <c r="DB135" s="1239">
        <v>0.75</v>
      </c>
      <c r="DC135" s="1239">
        <v>0.75</v>
      </c>
      <c r="DD135" s="1239">
        <v>0.8</v>
      </c>
      <c r="DG135" s="1267">
        <v>12</v>
      </c>
      <c r="DH135" s="1268">
        <v>0.15</v>
      </c>
      <c r="DI135" s="1268">
        <v>0.15</v>
      </c>
      <c r="DJ135" s="1269">
        <v>0.15</v>
      </c>
      <c r="DK135" s="1270">
        <v>0.15</v>
      </c>
      <c r="DL135" s="1268">
        <v>0.15</v>
      </c>
      <c r="DM135" s="1268">
        <v>0.15</v>
      </c>
      <c r="DN135" s="1269">
        <v>0.15</v>
      </c>
      <c r="DO135" s="1269">
        <v>0.2</v>
      </c>
      <c r="DP135" s="1268">
        <v>0.2</v>
      </c>
      <c r="DQ135" s="1268">
        <v>0.2</v>
      </c>
      <c r="DR135" s="1269">
        <v>0.2</v>
      </c>
      <c r="DT135" s="1237">
        <v>22</v>
      </c>
      <c r="DU135" s="1260">
        <v>0.9</v>
      </c>
      <c r="DV135" s="1260">
        <v>0.9</v>
      </c>
      <c r="DW135" s="1260">
        <v>0.85</v>
      </c>
      <c r="DX135" s="1260">
        <v>0.8</v>
      </c>
      <c r="DY135" s="1260">
        <v>0.8</v>
      </c>
      <c r="DZ135" s="1260">
        <v>0.8</v>
      </c>
      <c r="EA135" s="1260">
        <v>0.75</v>
      </c>
      <c r="EB135" s="1260">
        <v>0.75</v>
      </c>
      <c r="EC135" s="1260">
        <v>0.75</v>
      </c>
      <c r="ED135" s="1260">
        <v>0.7</v>
      </c>
      <c r="EE135" s="1260">
        <v>0.7</v>
      </c>
      <c r="EF135" s="1260">
        <v>0.7</v>
      </c>
      <c r="EG135" s="1260">
        <v>0.7</v>
      </c>
      <c r="EH135" s="1260">
        <v>0.7</v>
      </c>
      <c r="EI135" s="1260">
        <v>0.7</v>
      </c>
      <c r="EJ135" s="1260">
        <v>0.7</v>
      </c>
      <c r="EK135" s="1260">
        <v>0.65</v>
      </c>
      <c r="EL135" s="1260">
        <v>0.65</v>
      </c>
      <c r="EM135" s="1260">
        <v>0.65</v>
      </c>
      <c r="EN135" s="1260">
        <v>0.65</v>
      </c>
      <c r="EO135" s="1260">
        <v>0.65</v>
      </c>
    </row>
    <row r="136" spans="2:145" ht="15" customHeight="1">
      <c r="B136" s="1254">
        <v>60</v>
      </c>
      <c r="C136" s="1258">
        <v>777.5</v>
      </c>
      <c r="D136" s="1258">
        <v>757.25</v>
      </c>
      <c r="E136" s="1258">
        <v>738.2</v>
      </c>
      <c r="F136" s="1258">
        <v>720.45</v>
      </c>
      <c r="G136" s="1258">
        <v>703.9</v>
      </c>
      <c r="H136" s="1258">
        <v>688.6</v>
      </c>
      <c r="I136" s="1258">
        <v>0</v>
      </c>
      <c r="J136" s="1258">
        <v>0</v>
      </c>
      <c r="K136" s="1258">
        <v>0</v>
      </c>
      <c r="L136" s="1258">
        <v>0</v>
      </c>
      <c r="M136" s="1258">
        <v>0</v>
      </c>
      <c r="N136" s="1258">
        <v>0</v>
      </c>
      <c r="O136" s="1258">
        <v>0</v>
      </c>
      <c r="P136" s="1258">
        <v>0</v>
      </c>
      <c r="Q136" s="1258">
        <v>0</v>
      </c>
      <c r="R136" s="1258">
        <v>0</v>
      </c>
      <c r="U136" s="1207">
        <v>7</v>
      </c>
      <c r="V136" s="1220">
        <v>64.75</v>
      </c>
      <c r="AB136" s="1180">
        <v>7</v>
      </c>
      <c r="AC136" s="1180">
        <v>69.150000000000006</v>
      </c>
      <c r="AD136" s="1180">
        <v>71.25</v>
      </c>
      <c r="AE136" s="1180">
        <v>73.400000000000006</v>
      </c>
      <c r="AF136" s="1180">
        <v>75.5</v>
      </c>
      <c r="AH136" s="1180"/>
      <c r="CQ136" s="1238">
        <v>23</v>
      </c>
      <c r="CR136" s="1239">
        <v>0.45</v>
      </c>
      <c r="CS136" s="1239">
        <v>0.45</v>
      </c>
      <c r="CT136" s="1239">
        <v>0.5</v>
      </c>
      <c r="CU136" s="1239">
        <v>0.5</v>
      </c>
      <c r="CV136" s="1239">
        <v>0.55000000000000004</v>
      </c>
      <c r="CW136" s="1239">
        <v>0.6</v>
      </c>
      <c r="CX136" s="1239">
        <v>0.6</v>
      </c>
      <c r="CY136" s="1239">
        <v>0.65</v>
      </c>
      <c r="CZ136" s="1239">
        <v>0.7</v>
      </c>
      <c r="DA136" s="1239">
        <v>0.7</v>
      </c>
      <c r="DB136" s="1239">
        <v>0.75</v>
      </c>
      <c r="DC136" s="1239">
        <v>0.8</v>
      </c>
      <c r="DD136" s="1239">
        <v>0.85</v>
      </c>
      <c r="DG136" s="1267">
        <v>13</v>
      </c>
      <c r="DH136" s="1268">
        <v>0.15</v>
      </c>
      <c r="DI136" s="1268">
        <v>0.15</v>
      </c>
      <c r="DJ136" s="1269">
        <v>0.15</v>
      </c>
      <c r="DK136" s="1270">
        <v>0.15</v>
      </c>
      <c r="DL136" s="1268">
        <v>0.15</v>
      </c>
      <c r="DM136" s="1268">
        <v>0.2</v>
      </c>
      <c r="DN136" s="1269">
        <v>0.2</v>
      </c>
      <c r="DO136" s="1269">
        <v>0.2</v>
      </c>
      <c r="DP136" s="1268">
        <v>0.2</v>
      </c>
      <c r="DQ136" s="1268">
        <v>0.2</v>
      </c>
      <c r="DR136" s="1269">
        <v>0.2</v>
      </c>
      <c r="DT136" s="1237">
        <v>23</v>
      </c>
      <c r="DU136" s="1260">
        <v>0.95</v>
      </c>
      <c r="DV136" s="1260">
        <v>0.9</v>
      </c>
      <c r="DW136" s="1260">
        <v>0.9</v>
      </c>
      <c r="DX136" s="1260">
        <v>0.85</v>
      </c>
      <c r="DY136" s="1260">
        <v>0.85</v>
      </c>
      <c r="DZ136" s="1260">
        <v>0.8</v>
      </c>
      <c r="EA136" s="1260">
        <v>0.8</v>
      </c>
      <c r="EB136" s="1260">
        <v>0.75</v>
      </c>
      <c r="EC136" s="1260">
        <v>0.75</v>
      </c>
      <c r="ED136" s="1260">
        <v>0.75</v>
      </c>
      <c r="EE136" s="1260">
        <v>0.75</v>
      </c>
      <c r="EF136" s="1260">
        <v>0.7</v>
      </c>
      <c r="EG136" s="1260">
        <v>0.7</v>
      </c>
      <c r="EH136" s="1260">
        <v>0.7</v>
      </c>
      <c r="EI136" s="1260">
        <v>0.7</v>
      </c>
      <c r="EJ136" s="1260">
        <v>0.7</v>
      </c>
      <c r="EK136" s="1260">
        <v>0.7</v>
      </c>
      <c r="EL136" s="1260">
        <v>0.7</v>
      </c>
      <c r="EM136" s="1260">
        <v>0.7</v>
      </c>
      <c r="EN136" s="1260">
        <v>0.7</v>
      </c>
      <c r="EO136" s="1260">
        <v>0.7</v>
      </c>
    </row>
    <row r="137" spans="2:145" ht="15" customHeight="1">
      <c r="B137" s="1254">
        <v>61</v>
      </c>
      <c r="C137" s="1258">
        <v>779.2</v>
      </c>
      <c r="D137" s="1258">
        <v>759.25</v>
      </c>
      <c r="E137" s="1258">
        <v>740.65</v>
      </c>
      <c r="F137" s="1258">
        <v>723.3</v>
      </c>
      <c r="G137" s="1258">
        <v>707.25</v>
      </c>
      <c r="H137" s="1258">
        <v>0</v>
      </c>
      <c r="I137" s="1258">
        <v>0</v>
      </c>
      <c r="J137" s="1258">
        <v>0</v>
      </c>
      <c r="K137" s="1258">
        <v>0</v>
      </c>
      <c r="L137" s="1258">
        <v>0</v>
      </c>
      <c r="M137" s="1258">
        <v>0</v>
      </c>
      <c r="N137" s="1258">
        <v>0</v>
      </c>
      <c r="O137" s="1258">
        <v>0</v>
      </c>
      <c r="P137" s="1258">
        <v>0</v>
      </c>
      <c r="Q137" s="1258">
        <v>0</v>
      </c>
      <c r="R137" s="1258">
        <v>0</v>
      </c>
      <c r="U137" s="1207">
        <v>8</v>
      </c>
      <c r="V137" s="1220">
        <v>69.400000000000006</v>
      </c>
      <c r="AB137" s="1180">
        <v>8</v>
      </c>
      <c r="AC137" s="1180">
        <v>75.650000000000006</v>
      </c>
      <c r="AD137" s="1180">
        <v>78</v>
      </c>
      <c r="AE137" s="1180">
        <v>80.400000000000006</v>
      </c>
      <c r="AF137" s="1180">
        <v>82.75</v>
      </c>
      <c r="AH137" s="1180"/>
      <c r="CQ137" s="1238">
        <v>24</v>
      </c>
      <c r="CR137" s="1239">
        <v>0.45</v>
      </c>
      <c r="CS137" s="1239">
        <v>0.45</v>
      </c>
      <c r="CT137" s="1239">
        <v>0.5</v>
      </c>
      <c r="CU137" s="1239">
        <v>0.55000000000000004</v>
      </c>
      <c r="CV137" s="1239">
        <v>0.55000000000000004</v>
      </c>
      <c r="CW137" s="1239">
        <v>0.6</v>
      </c>
      <c r="CX137" s="1239">
        <v>0.65</v>
      </c>
      <c r="CY137" s="1239">
        <v>0.65</v>
      </c>
      <c r="CZ137" s="1239">
        <v>0.7</v>
      </c>
      <c r="DA137" s="1239">
        <v>0.75</v>
      </c>
      <c r="DB137" s="1239">
        <v>0.8</v>
      </c>
      <c r="DC137" s="1239">
        <v>0.8</v>
      </c>
      <c r="DD137" s="1239">
        <v>0.85</v>
      </c>
      <c r="DG137" s="1267">
        <v>14</v>
      </c>
      <c r="DH137" s="1268">
        <v>0.15</v>
      </c>
      <c r="DI137" s="1268">
        <v>0.15</v>
      </c>
      <c r="DJ137" s="1269">
        <v>0.15</v>
      </c>
      <c r="DK137" s="1270">
        <v>0.2</v>
      </c>
      <c r="DL137" s="1268">
        <v>0.2</v>
      </c>
      <c r="DM137" s="1268">
        <v>0.2</v>
      </c>
      <c r="DN137" s="1269">
        <v>0.2</v>
      </c>
      <c r="DO137" s="1269">
        <v>0.2</v>
      </c>
      <c r="DP137" s="1268">
        <v>0.2</v>
      </c>
      <c r="DQ137" s="1268">
        <v>0.2</v>
      </c>
      <c r="DR137" s="1269">
        <v>0.2</v>
      </c>
      <c r="DT137" s="1237">
        <v>24</v>
      </c>
      <c r="DU137" s="1260">
        <v>0.95</v>
      </c>
      <c r="DV137" s="1260">
        <v>0.95</v>
      </c>
      <c r="DW137" s="1260">
        <v>0.9</v>
      </c>
      <c r="DX137" s="1260">
        <v>0.9</v>
      </c>
      <c r="DY137" s="1260">
        <v>0.85</v>
      </c>
      <c r="DZ137" s="1260">
        <v>0.85</v>
      </c>
      <c r="EA137" s="1260">
        <v>0.8</v>
      </c>
      <c r="EB137" s="1260">
        <v>0.8</v>
      </c>
      <c r="EC137" s="1260">
        <v>0.8</v>
      </c>
      <c r="ED137" s="1260">
        <v>0.75</v>
      </c>
      <c r="EE137" s="1260">
        <v>0.75</v>
      </c>
      <c r="EF137" s="1260">
        <v>0.75</v>
      </c>
      <c r="EG137" s="1260">
        <v>0.75</v>
      </c>
      <c r="EH137" s="1260">
        <v>0.75</v>
      </c>
      <c r="EI137" s="1260">
        <v>0.7</v>
      </c>
      <c r="EJ137" s="1260">
        <v>0.7</v>
      </c>
      <c r="EK137" s="1260">
        <v>0.7</v>
      </c>
      <c r="EL137" s="1260">
        <v>0.7</v>
      </c>
      <c r="EM137" s="1260">
        <v>0.7</v>
      </c>
      <c r="EN137" s="1260">
        <v>0.7</v>
      </c>
      <c r="EO137" s="1260">
        <v>0.7</v>
      </c>
    </row>
    <row r="138" spans="2:145" ht="15" customHeight="1">
      <c r="B138" s="1254">
        <v>62</v>
      </c>
      <c r="C138" s="1258">
        <v>781</v>
      </c>
      <c r="D138" s="1258">
        <v>761.45</v>
      </c>
      <c r="E138" s="1258">
        <v>743.3</v>
      </c>
      <c r="F138" s="1258">
        <v>726.4</v>
      </c>
      <c r="G138" s="1258">
        <v>0</v>
      </c>
      <c r="H138" s="1258">
        <v>0</v>
      </c>
      <c r="I138" s="1258">
        <v>0</v>
      </c>
      <c r="J138" s="1258">
        <v>0</v>
      </c>
      <c r="K138" s="1258">
        <v>0</v>
      </c>
      <c r="L138" s="1258">
        <v>0</v>
      </c>
      <c r="M138" s="1258">
        <v>0</v>
      </c>
      <c r="N138" s="1258">
        <v>0</v>
      </c>
      <c r="O138" s="1258">
        <v>0</v>
      </c>
      <c r="P138" s="1258">
        <v>0</v>
      </c>
      <c r="Q138" s="1258">
        <v>0</v>
      </c>
      <c r="R138" s="1258">
        <v>0</v>
      </c>
      <c r="U138" s="1207">
        <v>9</v>
      </c>
      <c r="V138" s="1220">
        <v>74.650000000000006</v>
      </c>
      <c r="AB138" s="1265">
        <v>9</v>
      </c>
      <c r="AC138" s="1180">
        <v>83.2</v>
      </c>
      <c r="AD138" s="1180">
        <v>85.9</v>
      </c>
      <c r="AE138" s="1180">
        <v>88.55</v>
      </c>
      <c r="AF138" s="1180">
        <v>91.25</v>
      </c>
      <c r="AH138" s="1180"/>
      <c r="CQ138" s="1238">
        <v>25</v>
      </c>
      <c r="CR138" s="1239">
        <v>0.45</v>
      </c>
      <c r="CS138" s="1239">
        <v>0.5</v>
      </c>
      <c r="CT138" s="1239">
        <v>0.5</v>
      </c>
      <c r="CU138" s="1239">
        <v>0.55000000000000004</v>
      </c>
      <c r="CV138" s="1239">
        <v>0.6</v>
      </c>
      <c r="CW138" s="1239">
        <v>0.6</v>
      </c>
      <c r="CX138" s="1239">
        <v>0.65</v>
      </c>
      <c r="CY138" s="1239">
        <v>0.7</v>
      </c>
      <c r="CZ138" s="1239">
        <v>0.75</v>
      </c>
      <c r="DA138" s="1239">
        <v>0.75</v>
      </c>
      <c r="DB138" s="1239">
        <v>0.8</v>
      </c>
      <c r="DC138" s="1239">
        <v>0.85</v>
      </c>
      <c r="DD138" s="1239">
        <v>0.9</v>
      </c>
      <c r="DG138" s="1267">
        <v>15</v>
      </c>
      <c r="DH138" s="1268">
        <v>0.15</v>
      </c>
      <c r="DI138" s="1268">
        <v>0.2</v>
      </c>
      <c r="DJ138" s="1269">
        <v>0.2</v>
      </c>
      <c r="DK138" s="1270">
        <v>0.2</v>
      </c>
      <c r="DL138" s="1268">
        <v>0.2</v>
      </c>
      <c r="DM138" s="1268">
        <v>0.2</v>
      </c>
      <c r="DN138" s="1269">
        <v>0.2</v>
      </c>
      <c r="DO138" s="1269">
        <v>0.2</v>
      </c>
      <c r="DP138" s="1268">
        <v>0.2</v>
      </c>
      <c r="DQ138" s="1268">
        <v>0.2</v>
      </c>
      <c r="DR138" s="1269">
        <v>0.2</v>
      </c>
      <c r="DT138" s="1237">
        <v>25</v>
      </c>
      <c r="DU138" s="1260">
        <v>1</v>
      </c>
      <c r="DV138" s="1260">
        <v>0.95</v>
      </c>
      <c r="DW138" s="1260">
        <v>0.95</v>
      </c>
      <c r="DX138" s="1260">
        <v>0.9</v>
      </c>
      <c r="DY138" s="1260">
        <v>0.9</v>
      </c>
      <c r="DZ138" s="1260">
        <v>0.85</v>
      </c>
      <c r="EA138" s="1260">
        <v>0.85</v>
      </c>
      <c r="EB138" s="1260">
        <v>0.8</v>
      </c>
      <c r="EC138" s="1260">
        <v>0.8</v>
      </c>
      <c r="ED138" s="1260">
        <v>0.8</v>
      </c>
      <c r="EE138" s="1260">
        <v>0.8</v>
      </c>
      <c r="EF138" s="1260">
        <v>0.75</v>
      </c>
      <c r="EG138" s="1260">
        <v>0.75</v>
      </c>
      <c r="EH138" s="1260">
        <v>0.75</v>
      </c>
      <c r="EI138" s="1260">
        <v>0.75</v>
      </c>
      <c r="EJ138" s="1260">
        <v>0.75</v>
      </c>
      <c r="EK138" s="1260">
        <v>0.75</v>
      </c>
      <c r="EL138" s="1260">
        <v>0.75</v>
      </c>
      <c r="EM138" s="1260">
        <v>0.75</v>
      </c>
      <c r="EN138" s="1260">
        <v>0.75</v>
      </c>
      <c r="EO138" s="1260">
        <v>0.75</v>
      </c>
    </row>
    <row r="139" spans="2:145" ht="15" customHeight="1">
      <c r="B139" s="1254">
        <v>63</v>
      </c>
      <c r="C139" s="1258">
        <v>783</v>
      </c>
      <c r="D139" s="1258">
        <v>763.9</v>
      </c>
      <c r="E139" s="1258">
        <v>746.15</v>
      </c>
      <c r="F139" s="1258">
        <v>0</v>
      </c>
      <c r="G139" s="1258">
        <v>0</v>
      </c>
      <c r="H139" s="1258">
        <v>0</v>
      </c>
      <c r="I139" s="1258">
        <v>0</v>
      </c>
      <c r="J139" s="1258">
        <v>0</v>
      </c>
      <c r="K139" s="1258">
        <v>0</v>
      </c>
      <c r="L139" s="1258">
        <v>0</v>
      </c>
      <c r="M139" s="1258">
        <v>0</v>
      </c>
      <c r="N139" s="1258">
        <v>0</v>
      </c>
      <c r="O139" s="1258">
        <v>0</v>
      </c>
      <c r="P139" s="1258">
        <v>0</v>
      </c>
      <c r="Q139" s="1258">
        <v>0</v>
      </c>
      <c r="R139" s="1258">
        <v>0</v>
      </c>
      <c r="U139" s="1207">
        <v>10</v>
      </c>
      <c r="V139" s="1220">
        <v>80.599999999999994</v>
      </c>
      <c r="AB139" s="1271">
        <v>10</v>
      </c>
      <c r="AC139" s="1180">
        <v>92.35</v>
      </c>
      <c r="AD139" s="1180">
        <v>95.4</v>
      </c>
      <c r="AE139" s="1180">
        <v>98.5</v>
      </c>
      <c r="AF139" s="1180">
        <v>101.55</v>
      </c>
      <c r="AH139" s="1180"/>
      <c r="CQ139" s="1238">
        <v>26</v>
      </c>
      <c r="CR139" s="1239">
        <v>0.45</v>
      </c>
      <c r="CS139" s="1239">
        <v>0.5</v>
      </c>
      <c r="CT139" s="1239">
        <v>0.55000000000000004</v>
      </c>
      <c r="CU139" s="1239">
        <v>0.55000000000000004</v>
      </c>
      <c r="CV139" s="1239">
        <v>0.6</v>
      </c>
      <c r="CW139" s="1239">
        <v>0.65</v>
      </c>
      <c r="CX139" s="1239">
        <v>0.65</v>
      </c>
      <c r="CY139" s="1239">
        <v>0.7</v>
      </c>
      <c r="CZ139" s="1239">
        <v>0.75</v>
      </c>
      <c r="DA139" s="1239">
        <v>0.8</v>
      </c>
      <c r="DB139" s="1239">
        <v>0.85</v>
      </c>
      <c r="DC139" s="1239">
        <v>0.9</v>
      </c>
      <c r="DD139" s="1239">
        <v>0.95</v>
      </c>
      <c r="DG139" s="1267">
        <v>16</v>
      </c>
      <c r="DH139" s="1268">
        <v>0.2</v>
      </c>
      <c r="DI139" s="1268">
        <v>0.2</v>
      </c>
      <c r="DJ139" s="1269">
        <v>0.2</v>
      </c>
      <c r="DK139" s="1270">
        <v>0.2</v>
      </c>
      <c r="DL139" s="1268">
        <v>0.2</v>
      </c>
      <c r="DM139" s="1268">
        <v>0.2</v>
      </c>
      <c r="DN139" s="1269">
        <v>0.2</v>
      </c>
      <c r="DO139" s="1269">
        <v>0.2</v>
      </c>
      <c r="DP139" s="1268">
        <v>0.2</v>
      </c>
      <c r="DQ139" s="1268">
        <v>0.25</v>
      </c>
      <c r="DR139" s="1269">
        <v>0.25</v>
      </c>
      <c r="DT139" s="1237">
        <v>26</v>
      </c>
      <c r="DU139" s="1260">
        <v>1.05</v>
      </c>
      <c r="DV139" s="1260">
        <v>1</v>
      </c>
      <c r="DW139" s="1260">
        <v>0.95</v>
      </c>
      <c r="DX139" s="1260">
        <v>0.95</v>
      </c>
      <c r="DY139" s="1260">
        <v>0.9</v>
      </c>
      <c r="DZ139" s="1260">
        <v>0.9</v>
      </c>
      <c r="EA139" s="1260">
        <v>0.85</v>
      </c>
      <c r="EB139" s="1260">
        <v>0.85</v>
      </c>
      <c r="EC139" s="1260">
        <v>0.85</v>
      </c>
      <c r="ED139" s="1260">
        <v>0.8</v>
      </c>
      <c r="EE139" s="1260">
        <v>0.8</v>
      </c>
      <c r="EF139" s="1260">
        <v>0.8</v>
      </c>
      <c r="EG139" s="1260">
        <v>0.8</v>
      </c>
      <c r="EH139" s="1260">
        <v>0.75</v>
      </c>
      <c r="EI139" s="1260">
        <v>0.75</v>
      </c>
      <c r="EJ139" s="1260">
        <v>0.75</v>
      </c>
      <c r="EK139" s="1260">
        <v>0.75</v>
      </c>
      <c r="EL139" s="1260">
        <v>0.75</v>
      </c>
      <c r="EM139" s="1260">
        <v>0.75</v>
      </c>
      <c r="EN139" s="1260">
        <v>0.75</v>
      </c>
      <c r="EO139" s="1260">
        <v>0.75</v>
      </c>
    </row>
    <row r="140" spans="2:145" ht="15" customHeight="1">
      <c r="B140" s="1254">
        <v>64</v>
      </c>
      <c r="C140" s="1258">
        <v>785.15</v>
      </c>
      <c r="D140" s="1258">
        <v>766.5</v>
      </c>
      <c r="E140" s="1258">
        <v>0</v>
      </c>
      <c r="F140" s="1258">
        <v>0</v>
      </c>
      <c r="G140" s="1258">
        <v>0</v>
      </c>
      <c r="H140" s="1258">
        <v>0</v>
      </c>
      <c r="I140" s="1258">
        <v>0</v>
      </c>
      <c r="J140" s="1258">
        <v>0</v>
      </c>
      <c r="K140" s="1258">
        <v>0</v>
      </c>
      <c r="L140" s="1258">
        <v>0</v>
      </c>
      <c r="M140" s="1258">
        <v>0</v>
      </c>
      <c r="N140" s="1258">
        <v>0</v>
      </c>
      <c r="O140" s="1258">
        <v>0</v>
      </c>
      <c r="P140" s="1258">
        <v>0</v>
      </c>
      <c r="Q140" s="1258">
        <v>0</v>
      </c>
      <c r="R140" s="1258">
        <v>0</v>
      </c>
      <c r="U140" s="1207">
        <v>11</v>
      </c>
      <c r="V140" s="1220">
        <v>86.1</v>
      </c>
      <c r="AB140" s="1271">
        <v>11</v>
      </c>
      <c r="AC140" s="1180">
        <v>99.5</v>
      </c>
      <c r="AD140" s="1180">
        <v>102.9</v>
      </c>
      <c r="AE140" s="1180">
        <v>106.3</v>
      </c>
      <c r="AF140" s="1180">
        <v>109.7</v>
      </c>
      <c r="AH140" s="1180"/>
      <c r="CQ140" s="1238">
        <v>27</v>
      </c>
      <c r="CR140" s="1239">
        <v>0.45</v>
      </c>
      <c r="CS140" s="1239">
        <v>0.5</v>
      </c>
      <c r="CT140" s="1239">
        <v>0.55000000000000004</v>
      </c>
      <c r="CU140" s="1239">
        <v>0.6</v>
      </c>
      <c r="CV140" s="1239">
        <v>0.6</v>
      </c>
      <c r="CW140" s="1239">
        <v>0.65</v>
      </c>
      <c r="CX140" s="1239">
        <v>0.7</v>
      </c>
      <c r="CY140" s="1239">
        <v>0.75</v>
      </c>
      <c r="CZ140" s="1239">
        <v>0.8</v>
      </c>
      <c r="DA140" s="1239">
        <v>0.85</v>
      </c>
      <c r="DB140" s="1239">
        <v>0.9</v>
      </c>
      <c r="DC140" s="1239">
        <v>0.95</v>
      </c>
      <c r="DD140" s="1239">
        <v>1</v>
      </c>
      <c r="DG140" s="1267">
        <v>17</v>
      </c>
      <c r="DH140" s="1268">
        <v>0.2</v>
      </c>
      <c r="DI140" s="1268">
        <v>0.2</v>
      </c>
      <c r="DJ140" s="1269">
        <v>0.2</v>
      </c>
      <c r="DK140" s="1270">
        <v>0.2</v>
      </c>
      <c r="DL140" s="1268">
        <v>0.2</v>
      </c>
      <c r="DM140" s="1268">
        <v>0.2</v>
      </c>
      <c r="DN140" s="1269">
        <v>0.2</v>
      </c>
      <c r="DO140" s="1269">
        <v>0.25</v>
      </c>
      <c r="DP140" s="1268">
        <v>0.25</v>
      </c>
      <c r="DQ140" s="1268">
        <v>0.25</v>
      </c>
      <c r="DR140" s="1269">
        <v>0.25</v>
      </c>
      <c r="DT140" s="1237">
        <v>27</v>
      </c>
      <c r="DU140" s="1260">
        <v>1.05</v>
      </c>
      <c r="DV140" s="1260">
        <v>1.05</v>
      </c>
      <c r="DW140" s="1260">
        <v>1</v>
      </c>
      <c r="DX140" s="1260">
        <v>0.95</v>
      </c>
      <c r="DY140" s="1260">
        <v>0.95</v>
      </c>
      <c r="DZ140" s="1260">
        <v>0.9</v>
      </c>
      <c r="EA140" s="1260">
        <v>0.9</v>
      </c>
      <c r="EB140" s="1260">
        <v>0.85</v>
      </c>
      <c r="EC140" s="1260">
        <v>0.85</v>
      </c>
      <c r="ED140" s="1260">
        <v>0.85</v>
      </c>
      <c r="EE140" s="1260">
        <v>0.85</v>
      </c>
      <c r="EF140" s="1260">
        <v>0.8</v>
      </c>
      <c r="EG140" s="1260">
        <v>0.8</v>
      </c>
      <c r="EH140" s="1260">
        <v>0.8</v>
      </c>
      <c r="EI140" s="1260">
        <v>0.8</v>
      </c>
      <c r="EJ140" s="1260">
        <v>0.8</v>
      </c>
      <c r="EK140" s="1260">
        <v>0.8</v>
      </c>
      <c r="EL140" s="1260">
        <v>0.8</v>
      </c>
      <c r="EM140" s="1260">
        <v>0.8</v>
      </c>
      <c r="EN140" s="1260">
        <v>0.8</v>
      </c>
      <c r="EO140" s="1260">
        <v>0.8</v>
      </c>
    </row>
    <row r="141" spans="2:145" ht="15" customHeight="1">
      <c r="B141" s="1254">
        <v>65</v>
      </c>
      <c r="C141" s="1258">
        <v>787.45</v>
      </c>
      <c r="D141" s="1258">
        <v>0</v>
      </c>
      <c r="E141" s="1258">
        <v>0</v>
      </c>
      <c r="F141" s="1258">
        <v>0</v>
      </c>
      <c r="G141" s="1258">
        <v>0</v>
      </c>
      <c r="H141" s="1258">
        <v>0</v>
      </c>
      <c r="I141" s="1258">
        <v>0</v>
      </c>
      <c r="J141" s="1258">
        <v>0</v>
      </c>
      <c r="K141" s="1258">
        <v>0</v>
      </c>
      <c r="L141" s="1258">
        <v>0</v>
      </c>
      <c r="M141" s="1258">
        <v>0</v>
      </c>
      <c r="N141" s="1258">
        <v>0</v>
      </c>
      <c r="O141" s="1258">
        <v>0</v>
      </c>
      <c r="P141" s="1258">
        <v>0</v>
      </c>
      <c r="Q141" s="1258">
        <v>0</v>
      </c>
      <c r="R141" s="1258">
        <v>0</v>
      </c>
      <c r="U141" s="1207">
        <v>12</v>
      </c>
      <c r="V141" s="1220">
        <v>93.9</v>
      </c>
      <c r="AB141" s="1271">
        <v>12</v>
      </c>
      <c r="AC141" s="1180">
        <v>112.7</v>
      </c>
      <c r="AD141" s="1180">
        <v>116.65</v>
      </c>
      <c r="AE141" s="1180">
        <v>120.6</v>
      </c>
      <c r="AF141" s="1180">
        <v>124.6</v>
      </c>
      <c r="CQ141" s="1238">
        <v>28</v>
      </c>
      <c r="CR141" s="1239">
        <v>0.5</v>
      </c>
      <c r="CS141" s="1239">
        <v>0.5</v>
      </c>
      <c r="CT141" s="1239">
        <v>0.55000000000000004</v>
      </c>
      <c r="CU141" s="1239">
        <v>0.6</v>
      </c>
      <c r="CV141" s="1239">
        <v>0.65</v>
      </c>
      <c r="CW141" s="1239">
        <v>0.7</v>
      </c>
      <c r="CX141" s="1239">
        <v>0.75</v>
      </c>
      <c r="CY141" s="1239">
        <v>0.8</v>
      </c>
      <c r="CZ141" s="1239">
        <v>0.8</v>
      </c>
      <c r="DA141" s="1239">
        <v>0.9</v>
      </c>
      <c r="DB141" s="1239">
        <v>0.95</v>
      </c>
      <c r="DC141" s="1239">
        <v>1</v>
      </c>
      <c r="DD141" s="1239">
        <v>1.05</v>
      </c>
      <c r="DG141" s="1267">
        <v>18</v>
      </c>
      <c r="DH141" s="1268">
        <v>0.2</v>
      </c>
      <c r="DI141" s="1268">
        <v>0.2</v>
      </c>
      <c r="DJ141" s="1269">
        <v>0.2</v>
      </c>
      <c r="DK141" s="1270">
        <v>0.2</v>
      </c>
      <c r="DL141" s="1268">
        <v>0.2</v>
      </c>
      <c r="DM141" s="1268">
        <v>0.2</v>
      </c>
      <c r="DN141" s="1269">
        <v>0.25</v>
      </c>
      <c r="DO141" s="1269">
        <v>0.25</v>
      </c>
      <c r="DP141" s="1268">
        <v>0.25</v>
      </c>
      <c r="DQ141" s="1268">
        <v>0.25</v>
      </c>
      <c r="DR141" s="1269">
        <v>0.25</v>
      </c>
      <c r="DT141" s="1237">
        <v>28</v>
      </c>
      <c r="DU141" s="1260">
        <v>1.1000000000000001</v>
      </c>
      <c r="DV141" s="1260">
        <v>1.05</v>
      </c>
      <c r="DW141" s="1260">
        <v>1.05</v>
      </c>
      <c r="DX141" s="1260">
        <v>1</v>
      </c>
      <c r="DY141" s="1260">
        <v>0.95</v>
      </c>
      <c r="DZ141" s="1260">
        <v>0.95</v>
      </c>
      <c r="EA141" s="1260">
        <v>0.9</v>
      </c>
      <c r="EB141" s="1260">
        <v>0.9</v>
      </c>
      <c r="EC141" s="1260">
        <v>0.9</v>
      </c>
      <c r="ED141" s="1260">
        <v>0.85</v>
      </c>
      <c r="EE141" s="1260">
        <v>0.85</v>
      </c>
      <c r="EF141" s="1260">
        <v>0.85</v>
      </c>
      <c r="EG141" s="1260">
        <v>0.85</v>
      </c>
      <c r="EH141" s="1260">
        <v>0.85</v>
      </c>
      <c r="EI141" s="1260">
        <v>0.85</v>
      </c>
      <c r="EJ141" s="1260">
        <v>0.8</v>
      </c>
      <c r="EK141" s="1260">
        <v>0.8</v>
      </c>
      <c r="EL141" s="1260">
        <v>0.85</v>
      </c>
      <c r="EM141" s="1260">
        <v>0.85</v>
      </c>
      <c r="EN141" s="1260">
        <v>0.85</v>
      </c>
      <c r="EO141" s="1260">
        <v>0.85</v>
      </c>
    </row>
    <row r="142" spans="2:145" ht="15" customHeight="1">
      <c r="CQ142" s="1238">
        <v>29</v>
      </c>
      <c r="CR142" s="1239">
        <v>0.5</v>
      </c>
      <c r="CS142" s="1239">
        <v>0.55000000000000004</v>
      </c>
      <c r="CT142" s="1239">
        <v>0.6</v>
      </c>
      <c r="CU142" s="1239">
        <v>0.6</v>
      </c>
      <c r="CV142" s="1239">
        <v>0.65</v>
      </c>
      <c r="CW142" s="1239">
        <v>0.7</v>
      </c>
      <c r="CX142" s="1239">
        <v>0.75</v>
      </c>
      <c r="CY142" s="1239">
        <v>0.8</v>
      </c>
      <c r="CZ142" s="1239">
        <v>0.85</v>
      </c>
      <c r="DA142" s="1239">
        <v>0.95</v>
      </c>
      <c r="DB142" s="1239">
        <v>1</v>
      </c>
      <c r="DC142" s="1239">
        <v>1.05</v>
      </c>
      <c r="DD142" s="1239">
        <v>1.1000000000000001</v>
      </c>
      <c r="DG142" s="1267">
        <v>19</v>
      </c>
      <c r="DH142" s="1268">
        <v>0.2</v>
      </c>
      <c r="DI142" s="1268">
        <v>0.2</v>
      </c>
      <c r="DJ142" s="1269">
        <v>0.2</v>
      </c>
      <c r="DK142" s="1270">
        <v>0.2</v>
      </c>
      <c r="DL142" s="1268">
        <v>0.2</v>
      </c>
      <c r="DM142" s="1268">
        <v>0.25</v>
      </c>
      <c r="DN142" s="1269">
        <v>0.25</v>
      </c>
      <c r="DO142" s="1269">
        <v>0.25</v>
      </c>
      <c r="DP142" s="1268">
        <v>0.25</v>
      </c>
      <c r="DQ142" s="1268">
        <v>0.25</v>
      </c>
      <c r="DR142" s="1269">
        <v>0.25</v>
      </c>
      <c r="DT142" s="1237">
        <v>29</v>
      </c>
      <c r="DU142" s="1260">
        <v>1.1499999999999999</v>
      </c>
      <c r="DV142" s="1260">
        <v>1.1000000000000001</v>
      </c>
      <c r="DW142" s="1260">
        <v>1.05</v>
      </c>
      <c r="DX142" s="1260">
        <v>1.05</v>
      </c>
      <c r="DY142" s="1260">
        <v>1</v>
      </c>
      <c r="DZ142" s="1260">
        <v>1</v>
      </c>
      <c r="EA142" s="1260">
        <v>0.95</v>
      </c>
      <c r="EB142" s="1260">
        <v>0.95</v>
      </c>
      <c r="EC142" s="1260">
        <v>0.9</v>
      </c>
      <c r="ED142" s="1260">
        <v>0.9</v>
      </c>
      <c r="EE142" s="1260">
        <v>0.9</v>
      </c>
      <c r="EF142" s="1260">
        <v>0.9</v>
      </c>
      <c r="EG142" s="1260">
        <v>0.85</v>
      </c>
      <c r="EH142" s="1260">
        <v>0.85</v>
      </c>
      <c r="EI142" s="1260">
        <v>0.85</v>
      </c>
      <c r="EJ142" s="1260">
        <v>0.85</v>
      </c>
      <c r="EK142" s="1260">
        <v>0.85</v>
      </c>
      <c r="EL142" s="1260">
        <v>0.85</v>
      </c>
      <c r="EM142" s="1260">
        <v>0.85</v>
      </c>
      <c r="EN142" s="1260">
        <v>0.85</v>
      </c>
      <c r="EO142" s="1260">
        <v>0.9</v>
      </c>
    </row>
    <row r="143" spans="2:145" ht="15" customHeight="1">
      <c r="CQ143" s="1238">
        <v>30</v>
      </c>
      <c r="CR143" s="1239">
        <v>0.55000000000000004</v>
      </c>
      <c r="CS143" s="1239">
        <v>0.55000000000000004</v>
      </c>
      <c r="CT143" s="1239">
        <v>0.6</v>
      </c>
      <c r="CU143" s="1239">
        <v>0.65</v>
      </c>
      <c r="CV143" s="1239">
        <v>0.7</v>
      </c>
      <c r="CW143" s="1239">
        <v>0.75</v>
      </c>
      <c r="CX143" s="1239">
        <v>0.8</v>
      </c>
      <c r="CY143" s="1239">
        <v>0.85</v>
      </c>
      <c r="CZ143" s="1239">
        <v>0.9</v>
      </c>
      <c r="DA143" s="1239">
        <v>1</v>
      </c>
      <c r="DB143" s="1239">
        <v>1.05</v>
      </c>
      <c r="DC143" s="1239">
        <v>1.1000000000000001</v>
      </c>
      <c r="DD143" s="1239">
        <v>1.2</v>
      </c>
      <c r="DG143" s="1267">
        <v>20</v>
      </c>
      <c r="DH143" s="1268">
        <v>0.2</v>
      </c>
      <c r="DI143" s="1268">
        <v>0.2</v>
      </c>
      <c r="DJ143" s="1269">
        <v>0.2</v>
      </c>
      <c r="DK143" s="1270">
        <v>0.2</v>
      </c>
      <c r="DL143" s="1268">
        <v>0.25</v>
      </c>
      <c r="DM143" s="1268">
        <v>0.25</v>
      </c>
      <c r="DN143" s="1269">
        <v>0.25</v>
      </c>
      <c r="DO143" s="1269">
        <v>0.25</v>
      </c>
      <c r="DP143" s="1268">
        <v>0.25</v>
      </c>
      <c r="DQ143" s="1268">
        <v>0.25</v>
      </c>
      <c r="DR143" s="1269">
        <v>0.25</v>
      </c>
      <c r="DT143" s="1237">
        <v>30</v>
      </c>
      <c r="DU143" s="1260">
        <v>1.2</v>
      </c>
      <c r="DV143" s="1260">
        <v>1.1499999999999999</v>
      </c>
      <c r="DW143" s="1260">
        <v>1.1000000000000001</v>
      </c>
      <c r="DX143" s="1260">
        <v>1.05</v>
      </c>
      <c r="DY143" s="1260">
        <v>1.05</v>
      </c>
      <c r="DZ143" s="1260">
        <v>1</v>
      </c>
      <c r="EA143" s="1260">
        <v>1</v>
      </c>
      <c r="EB143" s="1260">
        <v>0.95</v>
      </c>
      <c r="EC143" s="1260">
        <v>0.95</v>
      </c>
      <c r="ED143" s="1260">
        <v>0.95</v>
      </c>
      <c r="EE143" s="1260">
        <v>0.9</v>
      </c>
      <c r="EF143" s="1260">
        <v>0.9</v>
      </c>
      <c r="EG143" s="1260">
        <v>0.9</v>
      </c>
      <c r="EH143" s="1260">
        <v>0.9</v>
      </c>
      <c r="EI143" s="1260">
        <v>0.9</v>
      </c>
      <c r="EJ143" s="1260">
        <v>0.9</v>
      </c>
      <c r="EK143" s="1260">
        <v>0.9</v>
      </c>
      <c r="EL143" s="1260">
        <v>0.9</v>
      </c>
      <c r="EM143" s="1260">
        <v>0.9</v>
      </c>
      <c r="EN143" s="1260">
        <v>0.9</v>
      </c>
      <c r="EO143" s="1260">
        <v>0.95</v>
      </c>
    </row>
    <row r="144" spans="2:145" ht="15" customHeight="1">
      <c r="CQ144" s="1238">
        <v>31</v>
      </c>
      <c r="CR144" s="1239">
        <v>0.55000000000000004</v>
      </c>
      <c r="CS144" s="1239">
        <v>0.6</v>
      </c>
      <c r="CT144" s="1239">
        <v>0.65</v>
      </c>
      <c r="CU144" s="1239">
        <v>0.7</v>
      </c>
      <c r="CV144" s="1239">
        <v>0.75</v>
      </c>
      <c r="CW144" s="1239">
        <v>0.8</v>
      </c>
      <c r="CX144" s="1239">
        <v>0.85</v>
      </c>
      <c r="CY144" s="1239">
        <v>0.9</v>
      </c>
      <c r="CZ144" s="1239">
        <v>1</v>
      </c>
      <c r="DA144" s="1239">
        <v>1.05</v>
      </c>
      <c r="DB144" s="1239">
        <v>1.1000000000000001</v>
      </c>
      <c r="DC144" s="1239">
        <v>1.2</v>
      </c>
      <c r="DD144" s="1239">
        <v>1.25</v>
      </c>
      <c r="DG144" s="1267">
        <v>21</v>
      </c>
      <c r="DH144" s="1268">
        <v>0.2</v>
      </c>
      <c r="DI144" s="1268">
        <v>0.2</v>
      </c>
      <c r="DJ144" s="1269">
        <v>0.2</v>
      </c>
      <c r="DK144" s="1270">
        <v>0.25</v>
      </c>
      <c r="DL144" s="1268">
        <v>0.25</v>
      </c>
      <c r="DM144" s="1268">
        <v>0.25</v>
      </c>
      <c r="DN144" s="1269">
        <v>0.25</v>
      </c>
      <c r="DO144" s="1269">
        <v>0.25</v>
      </c>
      <c r="DP144" s="1268">
        <v>0.25</v>
      </c>
      <c r="DQ144" s="1268">
        <v>0.25</v>
      </c>
      <c r="DR144" s="1269">
        <v>0.25</v>
      </c>
      <c r="DT144" s="1237">
        <v>31</v>
      </c>
      <c r="DU144" s="1260">
        <v>1.25</v>
      </c>
      <c r="DV144" s="1260">
        <v>1.2</v>
      </c>
      <c r="DW144" s="1260">
        <v>1.1499999999999999</v>
      </c>
      <c r="DX144" s="1260">
        <v>1.1000000000000001</v>
      </c>
      <c r="DY144" s="1260">
        <v>1.05</v>
      </c>
      <c r="DZ144" s="1260">
        <v>1.05</v>
      </c>
      <c r="EA144" s="1260">
        <v>1</v>
      </c>
      <c r="EB144" s="1260">
        <v>1</v>
      </c>
      <c r="EC144" s="1260">
        <v>1</v>
      </c>
      <c r="ED144" s="1260">
        <v>0.95</v>
      </c>
      <c r="EE144" s="1260">
        <v>0.95</v>
      </c>
      <c r="EF144" s="1260">
        <v>0.95</v>
      </c>
      <c r="EG144" s="1260">
        <v>0.95</v>
      </c>
      <c r="EH144" s="1260">
        <v>0.95</v>
      </c>
      <c r="EI144" s="1260">
        <v>0.95</v>
      </c>
      <c r="EJ144" s="1260">
        <v>0.95</v>
      </c>
      <c r="EK144" s="1260">
        <v>0.95</v>
      </c>
      <c r="EL144" s="1260">
        <v>0.95</v>
      </c>
      <c r="EM144" s="1260">
        <v>0.95</v>
      </c>
      <c r="EN144" s="1260">
        <v>0.95</v>
      </c>
      <c r="EO144" s="1260">
        <v>1</v>
      </c>
    </row>
    <row r="145" spans="1:145" ht="15" customHeight="1">
      <c r="CQ145" s="1238">
        <v>32</v>
      </c>
      <c r="CR145" s="1239">
        <v>0.6</v>
      </c>
      <c r="CS145" s="1239">
        <v>0.65</v>
      </c>
      <c r="CT145" s="1239">
        <v>0.7</v>
      </c>
      <c r="CU145" s="1239">
        <v>0.75</v>
      </c>
      <c r="CV145" s="1239">
        <v>0.8</v>
      </c>
      <c r="CW145" s="1239">
        <v>0.85</v>
      </c>
      <c r="CX145" s="1239">
        <v>0.9</v>
      </c>
      <c r="CY145" s="1239">
        <v>1</v>
      </c>
      <c r="CZ145" s="1239">
        <v>1.05</v>
      </c>
      <c r="DA145" s="1239">
        <v>1.1000000000000001</v>
      </c>
      <c r="DB145" s="1239">
        <v>1.2</v>
      </c>
      <c r="DC145" s="1239">
        <v>1.3</v>
      </c>
      <c r="DD145" s="1239">
        <v>1.35</v>
      </c>
      <c r="DG145" s="1267">
        <v>22</v>
      </c>
      <c r="DH145" s="1268">
        <v>0.2</v>
      </c>
      <c r="DI145" s="1268">
        <v>0.2</v>
      </c>
      <c r="DJ145" s="1269">
        <v>0.2</v>
      </c>
      <c r="DK145" s="1270">
        <v>0.25</v>
      </c>
      <c r="DL145" s="1268">
        <v>0.25</v>
      </c>
      <c r="DM145" s="1268">
        <v>0.25</v>
      </c>
      <c r="DN145" s="1269">
        <v>0.25</v>
      </c>
      <c r="DO145" s="1269">
        <v>0.25</v>
      </c>
      <c r="DP145" s="1268">
        <v>0.25</v>
      </c>
      <c r="DQ145" s="1268">
        <v>0.25</v>
      </c>
      <c r="DR145" s="1269">
        <v>0.25</v>
      </c>
      <c r="DT145" s="1237">
        <v>32</v>
      </c>
      <c r="DU145" s="1260">
        <v>1.3</v>
      </c>
      <c r="DV145" s="1260">
        <v>1.25</v>
      </c>
      <c r="DW145" s="1260">
        <v>1.2</v>
      </c>
      <c r="DX145" s="1260">
        <v>1.1499999999999999</v>
      </c>
      <c r="DY145" s="1260">
        <v>1.1000000000000001</v>
      </c>
      <c r="DZ145" s="1260">
        <v>1.1000000000000001</v>
      </c>
      <c r="EA145" s="1260">
        <v>1.05</v>
      </c>
      <c r="EB145" s="1260">
        <v>1.05</v>
      </c>
      <c r="EC145" s="1260">
        <v>1</v>
      </c>
      <c r="ED145" s="1260">
        <v>1</v>
      </c>
      <c r="EE145" s="1260">
        <v>1</v>
      </c>
      <c r="EF145" s="1260">
        <v>1</v>
      </c>
      <c r="EG145" s="1260">
        <v>1</v>
      </c>
      <c r="EH145" s="1260">
        <v>1</v>
      </c>
      <c r="EI145" s="1260">
        <v>1</v>
      </c>
      <c r="EJ145" s="1260">
        <v>1</v>
      </c>
      <c r="EK145" s="1260">
        <v>1</v>
      </c>
      <c r="EL145" s="1260">
        <v>1</v>
      </c>
      <c r="EM145" s="1260">
        <v>1</v>
      </c>
      <c r="EN145" s="1260">
        <v>1</v>
      </c>
      <c r="EO145" s="1260">
        <v>1.05</v>
      </c>
    </row>
    <row r="146" spans="1:145" ht="15" customHeight="1">
      <c r="CQ146" s="1238">
        <v>33</v>
      </c>
      <c r="CR146" s="1239">
        <v>0.6</v>
      </c>
      <c r="CS146" s="1239">
        <v>0.65</v>
      </c>
      <c r="CT146" s="1239">
        <v>0.75</v>
      </c>
      <c r="CU146" s="1239">
        <v>0.8</v>
      </c>
      <c r="CV146" s="1239">
        <v>0.85</v>
      </c>
      <c r="CW146" s="1239">
        <v>0.9</v>
      </c>
      <c r="CX146" s="1239">
        <v>1</v>
      </c>
      <c r="CY146" s="1239">
        <v>1.05</v>
      </c>
      <c r="CZ146" s="1239">
        <v>1.1499999999999999</v>
      </c>
      <c r="DA146" s="1239">
        <v>1.2</v>
      </c>
      <c r="DB146" s="1239">
        <v>1.3</v>
      </c>
      <c r="DC146" s="1239">
        <v>1.4</v>
      </c>
      <c r="DD146" s="1239">
        <v>1.45</v>
      </c>
      <c r="DG146" s="1267">
        <v>23</v>
      </c>
      <c r="DH146" s="1268">
        <v>0.2</v>
      </c>
      <c r="DI146" s="1268">
        <v>0.2</v>
      </c>
      <c r="DJ146" s="1269">
        <v>0.25</v>
      </c>
      <c r="DK146" s="1270">
        <v>0.25</v>
      </c>
      <c r="DL146" s="1268">
        <v>0.25</v>
      </c>
      <c r="DM146" s="1268">
        <v>0.25</v>
      </c>
      <c r="DN146" s="1269">
        <v>0.25</v>
      </c>
      <c r="DO146" s="1269">
        <v>0.25</v>
      </c>
      <c r="DP146" s="1268">
        <v>0.25</v>
      </c>
      <c r="DQ146" s="1268">
        <v>0.25</v>
      </c>
      <c r="DR146" s="1269">
        <v>0.3</v>
      </c>
      <c r="DT146" s="1237">
        <v>33</v>
      </c>
      <c r="DU146" s="1260">
        <v>1.35</v>
      </c>
      <c r="DV146" s="1260">
        <v>1.3</v>
      </c>
      <c r="DW146" s="1260">
        <v>1.25</v>
      </c>
      <c r="DX146" s="1260">
        <v>1.2</v>
      </c>
      <c r="DY146" s="1260">
        <v>1.1499999999999999</v>
      </c>
      <c r="DZ146" s="1260">
        <v>1.1499999999999999</v>
      </c>
      <c r="EA146" s="1260">
        <v>1.1000000000000001</v>
      </c>
      <c r="EB146" s="1260">
        <v>1.1000000000000001</v>
      </c>
      <c r="EC146" s="1260">
        <v>1.05</v>
      </c>
      <c r="ED146" s="1260">
        <v>1.05</v>
      </c>
      <c r="EE146" s="1260">
        <v>1.05</v>
      </c>
      <c r="EF146" s="1260">
        <v>1.05</v>
      </c>
      <c r="EG146" s="1260">
        <v>1.05</v>
      </c>
      <c r="EH146" s="1260">
        <v>1.05</v>
      </c>
      <c r="EI146" s="1260">
        <v>1.05</v>
      </c>
      <c r="EJ146" s="1260">
        <v>1.05</v>
      </c>
      <c r="EK146" s="1260">
        <v>1.05</v>
      </c>
      <c r="EL146" s="1260">
        <v>1.05</v>
      </c>
      <c r="EM146" s="1260">
        <v>1.05</v>
      </c>
      <c r="EN146" s="1260">
        <v>1.1000000000000001</v>
      </c>
      <c r="EO146" s="1260">
        <v>1.1000000000000001</v>
      </c>
    </row>
    <row r="147" spans="1:145" ht="15" customHeight="1">
      <c r="CQ147" s="1238">
        <v>34</v>
      </c>
      <c r="CR147" s="1239">
        <v>0.65</v>
      </c>
      <c r="CS147" s="1239">
        <v>0.7</v>
      </c>
      <c r="CT147" s="1239">
        <v>0.8</v>
      </c>
      <c r="CU147" s="1239">
        <v>0.85</v>
      </c>
      <c r="CV147" s="1239">
        <v>0.9</v>
      </c>
      <c r="CW147" s="1239">
        <v>1</v>
      </c>
      <c r="CX147" s="1239">
        <v>1.05</v>
      </c>
      <c r="CY147" s="1239">
        <v>1.1499999999999999</v>
      </c>
      <c r="CZ147" s="1239">
        <v>1.2</v>
      </c>
      <c r="DA147" s="1239">
        <v>1.3</v>
      </c>
      <c r="DB147" s="1239">
        <v>1.4</v>
      </c>
      <c r="DC147" s="1239">
        <v>1.5</v>
      </c>
      <c r="DD147" s="1239">
        <v>1.6</v>
      </c>
      <c r="DG147" s="1267">
        <v>24</v>
      </c>
      <c r="DH147" s="1268">
        <v>0.2</v>
      </c>
      <c r="DI147" s="1268">
        <v>0.25</v>
      </c>
      <c r="DJ147" s="1269">
        <v>0.25</v>
      </c>
      <c r="DK147" s="1270">
        <v>0.25</v>
      </c>
      <c r="DL147" s="1268">
        <v>0.25</v>
      </c>
      <c r="DM147" s="1268">
        <v>0.25</v>
      </c>
      <c r="DN147" s="1269">
        <v>0.25</v>
      </c>
      <c r="DO147" s="1269">
        <v>0.25</v>
      </c>
      <c r="DP147" s="1268">
        <v>0.25</v>
      </c>
      <c r="DQ147" s="1268">
        <v>0.3</v>
      </c>
      <c r="DR147" s="1269">
        <v>0.3</v>
      </c>
      <c r="DT147" s="1237">
        <v>34</v>
      </c>
      <c r="DU147" s="1260">
        <v>1.4</v>
      </c>
      <c r="DV147" s="1260">
        <v>1.35</v>
      </c>
      <c r="DW147" s="1260">
        <v>1.3</v>
      </c>
      <c r="DX147" s="1260">
        <v>1.25</v>
      </c>
      <c r="DY147" s="1260">
        <v>1.2</v>
      </c>
      <c r="DZ147" s="1260">
        <v>1.1499999999999999</v>
      </c>
      <c r="EA147" s="1260">
        <v>1.1499999999999999</v>
      </c>
      <c r="EB147" s="1260">
        <v>1.1499999999999999</v>
      </c>
      <c r="EC147" s="1260">
        <v>1.1000000000000001</v>
      </c>
      <c r="ED147" s="1260">
        <v>1.1000000000000001</v>
      </c>
      <c r="EE147" s="1260">
        <v>1.1000000000000001</v>
      </c>
      <c r="EF147" s="1260">
        <v>1.1000000000000001</v>
      </c>
      <c r="EG147" s="1260">
        <v>1.1000000000000001</v>
      </c>
      <c r="EH147" s="1260">
        <v>1.1000000000000001</v>
      </c>
      <c r="EI147" s="1260">
        <v>1.1000000000000001</v>
      </c>
      <c r="EJ147" s="1260">
        <v>1.1000000000000001</v>
      </c>
      <c r="EK147" s="1260">
        <v>1.1000000000000001</v>
      </c>
      <c r="EL147" s="1260">
        <v>1.1000000000000001</v>
      </c>
      <c r="EM147" s="1260">
        <v>1.1499999999999999</v>
      </c>
      <c r="EN147" s="1260">
        <v>1.1499999999999999</v>
      </c>
      <c r="EO147" s="1260">
        <v>1.1499999999999999</v>
      </c>
    </row>
    <row r="148" spans="1:145" ht="15" customHeight="1">
      <c r="CQ148" s="1238">
        <v>35</v>
      </c>
      <c r="CR148" s="1239">
        <v>0.7</v>
      </c>
      <c r="CS148" s="1239">
        <v>0.75</v>
      </c>
      <c r="CT148" s="1239">
        <v>0.85</v>
      </c>
      <c r="CU148" s="1239">
        <v>0.9</v>
      </c>
      <c r="CV148" s="1239">
        <v>1</v>
      </c>
      <c r="CW148" s="1239">
        <v>1.05</v>
      </c>
      <c r="CX148" s="1239">
        <v>1.1499999999999999</v>
      </c>
      <c r="CY148" s="1239">
        <v>1.25</v>
      </c>
      <c r="CZ148" s="1239">
        <v>1.3</v>
      </c>
      <c r="DA148" s="1239">
        <v>1.4</v>
      </c>
      <c r="DB148" s="1239">
        <v>1.5</v>
      </c>
      <c r="DC148" s="1239">
        <v>1.6</v>
      </c>
      <c r="DD148" s="1239">
        <v>1.7</v>
      </c>
      <c r="DG148" s="1267">
        <v>25</v>
      </c>
      <c r="DH148" s="1268">
        <v>0.2</v>
      </c>
      <c r="DI148" s="1268">
        <v>0.25</v>
      </c>
      <c r="DJ148" s="1269">
        <v>0.25</v>
      </c>
      <c r="DK148" s="1270">
        <v>0.25</v>
      </c>
      <c r="DL148" s="1268">
        <v>0.25</v>
      </c>
      <c r="DM148" s="1268">
        <v>0.25</v>
      </c>
      <c r="DN148" s="1269">
        <v>0.25</v>
      </c>
      <c r="DO148" s="1269">
        <v>0.25</v>
      </c>
      <c r="DP148" s="1268">
        <v>0.3</v>
      </c>
      <c r="DQ148" s="1268">
        <v>0.3</v>
      </c>
      <c r="DR148" s="1269">
        <v>0.3</v>
      </c>
      <c r="DT148" s="1237">
        <v>35</v>
      </c>
      <c r="DU148" s="1260">
        <v>1.45</v>
      </c>
      <c r="DV148" s="1260">
        <v>1.4</v>
      </c>
      <c r="DW148" s="1260">
        <v>1.35</v>
      </c>
      <c r="DX148" s="1260">
        <v>1.3</v>
      </c>
      <c r="DY148" s="1260">
        <v>1.25</v>
      </c>
      <c r="DZ148" s="1260">
        <v>1.2</v>
      </c>
      <c r="EA148" s="1260">
        <v>1.2</v>
      </c>
      <c r="EB148" s="1260">
        <v>1.2</v>
      </c>
      <c r="EC148" s="1260">
        <v>1.1499999999999999</v>
      </c>
      <c r="ED148" s="1260">
        <v>1.1499999999999999</v>
      </c>
      <c r="EE148" s="1260">
        <v>1.1499999999999999</v>
      </c>
      <c r="EF148" s="1260">
        <v>1.1499999999999999</v>
      </c>
      <c r="EG148" s="1260">
        <v>1.1499999999999999</v>
      </c>
      <c r="EH148" s="1260">
        <v>1.1499999999999999</v>
      </c>
      <c r="EI148" s="1260">
        <v>1.1499999999999999</v>
      </c>
      <c r="EJ148" s="1260">
        <v>1.1499999999999999</v>
      </c>
      <c r="EK148" s="1260">
        <v>1.1499999999999999</v>
      </c>
      <c r="EL148" s="1260">
        <v>1.2</v>
      </c>
      <c r="EM148" s="1260">
        <v>1.2</v>
      </c>
      <c r="EN148" s="1260">
        <v>1.2</v>
      </c>
      <c r="EO148" s="1260">
        <v>1.25</v>
      </c>
    </row>
    <row r="149" spans="1:145" ht="15" customHeight="1">
      <c r="A149" s="824" t="e">
        <f>#REF!</f>
        <v>#REF!</v>
      </c>
      <c r="B149" s="824" t="s">
        <v>54</v>
      </c>
      <c r="C149" s="1205" t="e">
        <f t="shared" ref="C149:O149" si="19">LOOKUP($A$149,$B156:$B188,C156:C188)</f>
        <v>#REF!</v>
      </c>
      <c r="D149" s="1205" t="e">
        <f t="shared" si="19"/>
        <v>#REF!</v>
      </c>
      <c r="E149" s="1205" t="e">
        <f t="shared" si="19"/>
        <v>#REF!</v>
      </c>
      <c r="F149" s="1205" t="e">
        <f t="shared" si="19"/>
        <v>#REF!</v>
      </c>
      <c r="G149" s="1205" t="e">
        <f t="shared" si="19"/>
        <v>#REF!</v>
      </c>
      <c r="H149" s="1205" t="e">
        <f t="shared" si="19"/>
        <v>#REF!</v>
      </c>
      <c r="I149" s="1205" t="e">
        <f t="shared" si="19"/>
        <v>#REF!</v>
      </c>
      <c r="J149" s="1205" t="e">
        <f t="shared" si="19"/>
        <v>#REF!</v>
      </c>
      <c r="K149" s="1205" t="e">
        <f t="shared" si="19"/>
        <v>#REF!</v>
      </c>
      <c r="L149" s="1205" t="e">
        <f t="shared" si="19"/>
        <v>#REF!</v>
      </c>
      <c r="M149" s="1205" t="e">
        <f t="shared" si="19"/>
        <v>#REF!</v>
      </c>
      <c r="N149" s="1205" t="e">
        <f t="shared" si="19"/>
        <v>#REF!</v>
      </c>
      <c r="O149" s="1205" t="e">
        <f t="shared" si="19"/>
        <v>#REF!</v>
      </c>
      <c r="CQ149" s="1238">
        <v>36</v>
      </c>
      <c r="CR149" s="1239">
        <v>0.75</v>
      </c>
      <c r="CS149" s="1239">
        <v>0.85</v>
      </c>
      <c r="CT149" s="1239">
        <v>0.9</v>
      </c>
      <c r="CU149" s="1239">
        <v>1</v>
      </c>
      <c r="CV149" s="1239">
        <v>1.05</v>
      </c>
      <c r="CW149" s="1239">
        <v>1.1499999999999999</v>
      </c>
      <c r="CX149" s="1239">
        <v>1.25</v>
      </c>
      <c r="CY149" s="1239">
        <v>1.35</v>
      </c>
      <c r="CZ149" s="1239">
        <v>1.45</v>
      </c>
      <c r="DA149" s="1239">
        <v>1.55</v>
      </c>
      <c r="DB149" s="1239">
        <v>1.65</v>
      </c>
      <c r="DC149" s="1239">
        <v>1.75</v>
      </c>
      <c r="DD149" s="1239">
        <v>1.85</v>
      </c>
      <c r="DG149" s="1267">
        <v>26</v>
      </c>
      <c r="DH149" s="1268">
        <v>0.25</v>
      </c>
      <c r="DI149" s="1268">
        <v>0.25</v>
      </c>
      <c r="DJ149" s="1269">
        <v>0.25</v>
      </c>
      <c r="DK149" s="1270">
        <v>0.25</v>
      </c>
      <c r="DL149" s="1268">
        <v>0.25</v>
      </c>
      <c r="DM149" s="1268">
        <v>0.25</v>
      </c>
      <c r="DN149" s="1269">
        <v>0.25</v>
      </c>
      <c r="DO149" s="1269">
        <v>0.3</v>
      </c>
      <c r="DP149" s="1268">
        <v>0.3</v>
      </c>
      <c r="DQ149" s="1268">
        <v>0.3</v>
      </c>
      <c r="DR149" s="1269">
        <v>0.3</v>
      </c>
      <c r="DT149" s="1237">
        <v>36</v>
      </c>
      <c r="DU149" s="1260">
        <v>1.5</v>
      </c>
      <c r="DV149" s="1260">
        <v>1.45</v>
      </c>
      <c r="DW149" s="1260">
        <v>1.4</v>
      </c>
      <c r="DX149" s="1260">
        <v>1.35</v>
      </c>
      <c r="DY149" s="1260">
        <v>1.3</v>
      </c>
      <c r="DZ149" s="1260">
        <v>1.25</v>
      </c>
      <c r="EA149" s="1260">
        <v>1.25</v>
      </c>
      <c r="EB149" s="1260">
        <v>1.25</v>
      </c>
      <c r="EC149" s="1260">
        <v>1.2</v>
      </c>
      <c r="ED149" s="1260">
        <v>1.2</v>
      </c>
      <c r="EE149" s="1260">
        <v>1.2</v>
      </c>
      <c r="EF149" s="1260">
        <v>1.2</v>
      </c>
      <c r="EG149" s="1260">
        <v>1.2</v>
      </c>
      <c r="EH149" s="1260">
        <v>1.2</v>
      </c>
      <c r="EI149" s="1260">
        <v>1.2</v>
      </c>
      <c r="EJ149" s="1260">
        <v>1.25</v>
      </c>
      <c r="EK149" s="1260">
        <v>1.25</v>
      </c>
      <c r="EL149" s="1260">
        <v>1.25</v>
      </c>
      <c r="EM149" s="1260">
        <v>1.3</v>
      </c>
      <c r="EN149" s="1260">
        <v>1.3</v>
      </c>
      <c r="EO149" s="1260">
        <v>1.3</v>
      </c>
    </row>
    <row r="150" spans="1:145" ht="15" customHeight="1">
      <c r="A150" s="824" t="e">
        <f>#REF!</f>
        <v>#REF!</v>
      </c>
      <c r="B150" s="824" t="s">
        <v>53</v>
      </c>
      <c r="C150" s="1205" t="e">
        <f t="shared" ref="C150:O150" si="20">LOOKUP($A$150,$B156:$B188,C156:C188)</f>
        <v>#REF!</v>
      </c>
      <c r="D150" s="1205" t="e">
        <f t="shared" si="20"/>
        <v>#REF!</v>
      </c>
      <c r="E150" s="1205" t="e">
        <f t="shared" si="20"/>
        <v>#REF!</v>
      </c>
      <c r="F150" s="1205" t="e">
        <f t="shared" si="20"/>
        <v>#REF!</v>
      </c>
      <c r="G150" s="1205" t="e">
        <f t="shared" si="20"/>
        <v>#REF!</v>
      </c>
      <c r="H150" s="1205" t="e">
        <f t="shared" si="20"/>
        <v>#REF!</v>
      </c>
      <c r="I150" s="1205" t="e">
        <f t="shared" si="20"/>
        <v>#REF!</v>
      </c>
      <c r="J150" s="1205" t="e">
        <f t="shared" si="20"/>
        <v>#REF!</v>
      </c>
      <c r="K150" s="1205" t="e">
        <f t="shared" si="20"/>
        <v>#REF!</v>
      </c>
      <c r="L150" s="1205" t="e">
        <f t="shared" si="20"/>
        <v>#REF!</v>
      </c>
      <c r="M150" s="1205" t="e">
        <f t="shared" si="20"/>
        <v>#REF!</v>
      </c>
      <c r="N150" s="1205" t="e">
        <f t="shared" si="20"/>
        <v>#REF!</v>
      </c>
      <c r="O150" s="1205" t="e">
        <f t="shared" si="20"/>
        <v>#REF!</v>
      </c>
      <c r="CQ150" s="1238">
        <v>37</v>
      </c>
      <c r="CR150" s="1239">
        <v>0.85</v>
      </c>
      <c r="CS150" s="1239">
        <v>0.9</v>
      </c>
      <c r="CT150" s="1239">
        <v>1</v>
      </c>
      <c r="CU150" s="1239">
        <v>1.05</v>
      </c>
      <c r="CV150" s="1239">
        <v>1.1499999999999999</v>
      </c>
      <c r="CW150" s="1239">
        <v>1.25</v>
      </c>
      <c r="CX150" s="1239">
        <v>1.35</v>
      </c>
      <c r="CY150" s="1239">
        <v>1.45</v>
      </c>
      <c r="CZ150" s="1239">
        <v>1.55</v>
      </c>
      <c r="DA150" s="1239">
        <v>1.65</v>
      </c>
      <c r="DB150" s="1239">
        <v>1.8</v>
      </c>
      <c r="DC150" s="1239">
        <v>1.9</v>
      </c>
      <c r="DD150" s="1239">
        <v>2</v>
      </c>
      <c r="DG150" s="1267">
        <v>27</v>
      </c>
      <c r="DH150" s="1268">
        <v>0.25</v>
      </c>
      <c r="DI150" s="1268">
        <v>0.25</v>
      </c>
      <c r="DJ150" s="1269">
        <v>0.25</v>
      </c>
      <c r="DK150" s="1270">
        <v>0.25</v>
      </c>
      <c r="DL150" s="1268">
        <v>0.25</v>
      </c>
      <c r="DM150" s="1268">
        <v>0.25</v>
      </c>
      <c r="DN150" s="1269">
        <v>0.3</v>
      </c>
      <c r="DO150" s="1269">
        <v>0.3</v>
      </c>
      <c r="DP150" s="1268">
        <v>0.3</v>
      </c>
      <c r="DQ150" s="1268">
        <v>0.3</v>
      </c>
      <c r="DR150" s="1269">
        <v>0.3</v>
      </c>
      <c r="DT150" s="1237">
        <v>37</v>
      </c>
      <c r="DU150" s="1260">
        <v>1.55</v>
      </c>
      <c r="DV150" s="1260">
        <v>1.5</v>
      </c>
      <c r="DW150" s="1260">
        <v>1.45</v>
      </c>
      <c r="DX150" s="1260">
        <v>1.4</v>
      </c>
      <c r="DY150" s="1260">
        <v>1.35</v>
      </c>
      <c r="DZ150" s="1260">
        <v>1.35</v>
      </c>
      <c r="EA150" s="1260">
        <v>1.3</v>
      </c>
      <c r="EB150" s="1260">
        <v>1.3</v>
      </c>
      <c r="EC150" s="1260">
        <v>1.3</v>
      </c>
      <c r="ED150" s="1260">
        <v>1.25</v>
      </c>
      <c r="EE150" s="1260">
        <v>1.25</v>
      </c>
      <c r="EF150" s="1260">
        <v>1.25</v>
      </c>
      <c r="EG150" s="1260">
        <v>1.25</v>
      </c>
      <c r="EH150" s="1260">
        <v>1.3</v>
      </c>
      <c r="EI150" s="1260">
        <v>1.3</v>
      </c>
      <c r="EJ150" s="1260">
        <v>1.3</v>
      </c>
      <c r="EK150" s="1260">
        <v>1.3</v>
      </c>
      <c r="EL150" s="1260">
        <v>1.35</v>
      </c>
      <c r="EM150" s="1260">
        <v>1.35</v>
      </c>
      <c r="EN150" s="1260">
        <v>1.4</v>
      </c>
      <c r="EO150" s="1260">
        <v>1.4</v>
      </c>
    </row>
    <row r="151" spans="1:145" ht="15" customHeight="1">
      <c r="A151" s="824" t="e">
        <f>#REF!</f>
        <v>#REF!</v>
      </c>
      <c r="B151" s="824" t="s">
        <v>52</v>
      </c>
      <c r="C151" s="1205" t="e">
        <f t="shared" ref="C151:O151" si="21">LOOKUP($A$151,$B156:$B188,C156:C188)</f>
        <v>#REF!</v>
      </c>
      <c r="D151" s="1205" t="e">
        <f t="shared" si="21"/>
        <v>#REF!</v>
      </c>
      <c r="E151" s="1205" t="e">
        <f t="shared" si="21"/>
        <v>#REF!</v>
      </c>
      <c r="F151" s="1205" t="e">
        <f t="shared" si="21"/>
        <v>#REF!</v>
      </c>
      <c r="G151" s="1205" t="e">
        <f t="shared" si="21"/>
        <v>#REF!</v>
      </c>
      <c r="H151" s="1205" t="e">
        <f t="shared" si="21"/>
        <v>#REF!</v>
      </c>
      <c r="I151" s="1205" t="e">
        <f t="shared" si="21"/>
        <v>#REF!</v>
      </c>
      <c r="J151" s="1205" t="e">
        <f t="shared" si="21"/>
        <v>#REF!</v>
      </c>
      <c r="K151" s="1205" t="e">
        <f t="shared" si="21"/>
        <v>#REF!</v>
      </c>
      <c r="L151" s="1205" t="e">
        <f t="shared" si="21"/>
        <v>#REF!</v>
      </c>
      <c r="M151" s="1205" t="e">
        <f t="shared" si="21"/>
        <v>#REF!</v>
      </c>
      <c r="N151" s="1205" t="e">
        <f t="shared" si="21"/>
        <v>#REF!</v>
      </c>
      <c r="O151" s="1205" t="e">
        <f t="shared" si="21"/>
        <v>#REF!</v>
      </c>
      <c r="CQ151" s="1238">
        <v>38</v>
      </c>
      <c r="CR151" s="1239">
        <v>0.9</v>
      </c>
      <c r="CS151" s="1239">
        <v>1</v>
      </c>
      <c r="CT151" s="1239">
        <v>1.1000000000000001</v>
      </c>
      <c r="CU151" s="1239">
        <v>1.1499999999999999</v>
      </c>
      <c r="CV151" s="1239">
        <v>1.25</v>
      </c>
      <c r="CW151" s="1239">
        <v>1.35</v>
      </c>
      <c r="CX151" s="1239">
        <v>1.5</v>
      </c>
      <c r="CY151" s="1239">
        <v>1.6</v>
      </c>
      <c r="CZ151" s="1239">
        <v>1.7</v>
      </c>
      <c r="DA151" s="1239">
        <v>1.8</v>
      </c>
      <c r="DB151" s="1239">
        <v>1.95</v>
      </c>
      <c r="DC151" s="1239">
        <v>2.0499999999999998</v>
      </c>
      <c r="DD151" s="1239">
        <v>2.2000000000000002</v>
      </c>
      <c r="DG151" s="1267">
        <v>28</v>
      </c>
      <c r="DH151" s="1268">
        <v>0.25</v>
      </c>
      <c r="DI151" s="1268">
        <v>0.25</v>
      </c>
      <c r="DJ151" s="1269">
        <v>0.25</v>
      </c>
      <c r="DK151" s="1270">
        <v>0.25</v>
      </c>
      <c r="DL151" s="1268">
        <v>0.25</v>
      </c>
      <c r="DM151" s="1268">
        <v>0.3</v>
      </c>
      <c r="DN151" s="1269">
        <v>0.3</v>
      </c>
      <c r="DO151" s="1269">
        <v>0.3</v>
      </c>
      <c r="DP151" s="1268">
        <v>0.3</v>
      </c>
      <c r="DQ151" s="1268">
        <v>0.3</v>
      </c>
      <c r="DR151" s="1269">
        <v>0.35</v>
      </c>
      <c r="DT151" s="1237">
        <v>38</v>
      </c>
      <c r="DU151" s="1260">
        <v>1.6</v>
      </c>
      <c r="DV151" s="1260">
        <v>1.55</v>
      </c>
      <c r="DW151" s="1260">
        <v>1.5</v>
      </c>
      <c r="DX151" s="1260">
        <v>1.45</v>
      </c>
      <c r="DY151" s="1260">
        <v>1.4</v>
      </c>
      <c r="DZ151" s="1260">
        <v>1.4</v>
      </c>
      <c r="EA151" s="1260">
        <v>1.35</v>
      </c>
      <c r="EB151" s="1260">
        <v>1.35</v>
      </c>
      <c r="EC151" s="1260">
        <v>1.35</v>
      </c>
      <c r="ED151" s="1260">
        <v>1.35</v>
      </c>
      <c r="EE151" s="1260">
        <v>1.35</v>
      </c>
      <c r="EF151" s="1260">
        <v>1.35</v>
      </c>
      <c r="EG151" s="1260">
        <v>1.35</v>
      </c>
      <c r="EH151" s="1260">
        <v>1.35</v>
      </c>
      <c r="EI151" s="1260">
        <v>1.35</v>
      </c>
      <c r="EJ151" s="1260">
        <v>1.4</v>
      </c>
      <c r="EK151" s="1260">
        <v>1.4</v>
      </c>
      <c r="EL151" s="1260">
        <v>1.45</v>
      </c>
      <c r="EM151" s="1260">
        <v>1.45</v>
      </c>
      <c r="EN151" s="1260">
        <v>1.5</v>
      </c>
      <c r="EO151" s="1260">
        <v>1.5</v>
      </c>
    </row>
    <row r="152" spans="1:145" ht="15" customHeight="1">
      <c r="A152" s="824" t="e">
        <f>#REF!</f>
        <v>#REF!</v>
      </c>
      <c r="B152" s="824" t="s">
        <v>51</v>
      </c>
      <c r="C152" s="1205" t="e">
        <f t="shared" ref="C152:O152" si="22">LOOKUP($A$152,$B156:$B188,C156:C188)</f>
        <v>#REF!</v>
      </c>
      <c r="D152" s="1205" t="e">
        <f t="shared" si="22"/>
        <v>#REF!</v>
      </c>
      <c r="E152" s="1205" t="e">
        <f t="shared" si="22"/>
        <v>#REF!</v>
      </c>
      <c r="F152" s="1205" t="e">
        <f t="shared" si="22"/>
        <v>#REF!</v>
      </c>
      <c r="G152" s="1205" t="e">
        <f t="shared" si="22"/>
        <v>#REF!</v>
      </c>
      <c r="H152" s="1205" t="e">
        <f t="shared" si="22"/>
        <v>#REF!</v>
      </c>
      <c r="I152" s="1205" t="e">
        <f t="shared" si="22"/>
        <v>#REF!</v>
      </c>
      <c r="J152" s="1205" t="e">
        <f t="shared" si="22"/>
        <v>#REF!</v>
      </c>
      <c r="K152" s="1205" t="e">
        <f t="shared" si="22"/>
        <v>#REF!</v>
      </c>
      <c r="L152" s="1205" t="e">
        <f t="shared" si="22"/>
        <v>#REF!</v>
      </c>
      <c r="M152" s="1205" t="e">
        <f t="shared" si="22"/>
        <v>#REF!</v>
      </c>
      <c r="N152" s="1205" t="e">
        <f t="shared" si="22"/>
        <v>#REF!</v>
      </c>
      <c r="O152" s="1205" t="e">
        <f t="shared" si="22"/>
        <v>#REF!</v>
      </c>
      <c r="CQ152" s="1238">
        <v>39</v>
      </c>
      <c r="CR152" s="1239">
        <v>1</v>
      </c>
      <c r="CS152" s="1239">
        <v>1.1000000000000001</v>
      </c>
      <c r="CT152" s="1239">
        <v>1.2</v>
      </c>
      <c r="CU152" s="1239">
        <v>1.3</v>
      </c>
      <c r="CV152" s="1239">
        <v>1.4</v>
      </c>
      <c r="CW152" s="1239">
        <v>1.5</v>
      </c>
      <c r="CX152" s="1239">
        <v>1.6</v>
      </c>
      <c r="CY152" s="1239">
        <v>1.75</v>
      </c>
      <c r="CZ152" s="1239">
        <v>1.85</v>
      </c>
      <c r="DA152" s="1239">
        <v>2</v>
      </c>
      <c r="DB152" s="1239">
        <v>2.1</v>
      </c>
      <c r="DC152" s="1239">
        <v>2.25</v>
      </c>
      <c r="DD152" s="1239">
        <v>2.35</v>
      </c>
      <c r="DG152" s="1267">
        <v>29</v>
      </c>
      <c r="DH152" s="1268">
        <v>0.25</v>
      </c>
      <c r="DI152" s="1268">
        <v>0.25</v>
      </c>
      <c r="DJ152" s="1269">
        <v>0.25</v>
      </c>
      <c r="DK152" s="1270">
        <v>0.25</v>
      </c>
      <c r="DL152" s="1268">
        <v>0.3</v>
      </c>
      <c r="DM152" s="1268">
        <v>0.3</v>
      </c>
      <c r="DN152" s="1269">
        <v>0.3</v>
      </c>
      <c r="DO152" s="1269">
        <v>0.3</v>
      </c>
      <c r="DP152" s="1268">
        <v>0.3</v>
      </c>
      <c r="DQ152" s="1268">
        <v>0.35</v>
      </c>
      <c r="DR152" s="1269">
        <v>0.35</v>
      </c>
      <c r="DT152" s="1237">
        <v>39</v>
      </c>
      <c r="DU152" s="1260">
        <v>1.7</v>
      </c>
      <c r="DV152" s="1260">
        <v>1.6</v>
      </c>
      <c r="DW152" s="1260">
        <v>1.55</v>
      </c>
      <c r="DX152" s="1260">
        <v>1.5</v>
      </c>
      <c r="DY152" s="1260">
        <v>1.5</v>
      </c>
      <c r="DZ152" s="1260">
        <v>1.45</v>
      </c>
      <c r="EA152" s="1260">
        <v>1.45</v>
      </c>
      <c r="EB152" s="1260">
        <v>1.45</v>
      </c>
      <c r="EC152" s="1260">
        <v>1.4</v>
      </c>
      <c r="ED152" s="1260">
        <v>1.4</v>
      </c>
      <c r="EE152" s="1260">
        <v>1.4</v>
      </c>
      <c r="EF152" s="1260">
        <v>1.4</v>
      </c>
      <c r="EG152" s="1260">
        <v>1.45</v>
      </c>
      <c r="EH152" s="1260">
        <v>1.45</v>
      </c>
      <c r="EI152" s="1260">
        <v>1.45</v>
      </c>
      <c r="EJ152" s="1260">
        <v>1.5</v>
      </c>
      <c r="EK152" s="1260">
        <v>1.5</v>
      </c>
      <c r="EL152" s="1260">
        <v>1.55</v>
      </c>
      <c r="EM152" s="1260">
        <v>1.55</v>
      </c>
      <c r="EN152" s="1260">
        <v>1.6</v>
      </c>
      <c r="EO152" s="1260">
        <v>1.6</v>
      </c>
    </row>
    <row r="153" spans="1:145" ht="15" customHeight="1">
      <c r="B153" s="824" t="s">
        <v>38</v>
      </c>
      <c r="C153" s="1205" t="e">
        <f t="shared" ref="C153:O153" si="23">LOOKUP($B$13,$B156:$B188,C156:C188)</f>
        <v>#REF!</v>
      </c>
      <c r="D153" s="1205" t="e">
        <f t="shared" si="23"/>
        <v>#REF!</v>
      </c>
      <c r="E153" s="1205" t="e">
        <f t="shared" si="23"/>
        <v>#REF!</v>
      </c>
      <c r="F153" s="1205" t="e">
        <f t="shared" si="23"/>
        <v>#REF!</v>
      </c>
      <c r="G153" s="1205" t="e">
        <f t="shared" si="23"/>
        <v>#REF!</v>
      </c>
      <c r="H153" s="1205" t="e">
        <f t="shared" si="23"/>
        <v>#REF!</v>
      </c>
      <c r="I153" s="1205" t="e">
        <f t="shared" si="23"/>
        <v>#REF!</v>
      </c>
      <c r="J153" s="1205" t="e">
        <f t="shared" si="23"/>
        <v>#REF!</v>
      </c>
      <c r="K153" s="1205" t="e">
        <f t="shared" si="23"/>
        <v>#REF!</v>
      </c>
      <c r="L153" s="1205" t="e">
        <f t="shared" si="23"/>
        <v>#REF!</v>
      </c>
      <c r="M153" s="1205" t="e">
        <f t="shared" si="23"/>
        <v>#REF!</v>
      </c>
      <c r="N153" s="1205" t="e">
        <f t="shared" si="23"/>
        <v>#REF!</v>
      </c>
      <c r="O153" s="1205" t="e">
        <f t="shared" si="23"/>
        <v>#REF!</v>
      </c>
      <c r="R153" s="1205">
        <f>LOOKUP(R154,PM!S155:U155,PM!S154:U154)</f>
        <v>79.55</v>
      </c>
      <c r="V153" s="1206">
        <f>IF(Main!G12=8,PM!R153,PM!X153)</f>
        <v>79.55</v>
      </c>
      <c r="X153" s="1205">
        <f>LOOKUP(X154,PM!Y155:AA155,PM!Y154:AA154)</f>
        <v>72.650000000000006</v>
      </c>
      <c r="AL153" s="1205">
        <f>LOOKUP(AL154,PM!AM155:AO155,PM!AM154:AO154)</f>
        <v>46.6</v>
      </c>
      <c r="AQ153" s="1205">
        <f>LOOKUP(AQ154,PM!AR155:AT155,PM!AR154:AT154)</f>
        <v>3.78</v>
      </c>
      <c r="AY153" s="1205">
        <f>LOOKUP(AY154,PM!AZ155:BB155,PM!AZ154:BB154)</f>
        <v>4.74</v>
      </c>
      <c r="BC153" s="1206">
        <f>IF(Main!G12=8,PM!AY153,PM!BD153)</f>
        <v>4.74</v>
      </c>
      <c r="BD153" s="1205">
        <f>LOOKUP(BD154,PM!BE155:BG155,PM!BE154:BG154)</f>
        <v>4.32</v>
      </c>
      <c r="BK153" s="1205">
        <f>LOOKUP(BK154,PM!BL155:BN155,PM!BL154:BN154)</f>
        <v>774</v>
      </c>
      <c r="CQ153" s="1238">
        <v>40</v>
      </c>
      <c r="CR153" s="1239">
        <v>1.1000000000000001</v>
      </c>
      <c r="CS153" s="1239">
        <v>1.2</v>
      </c>
      <c r="CT153" s="1239">
        <v>1.3</v>
      </c>
      <c r="CU153" s="1239">
        <v>1.4</v>
      </c>
      <c r="CV153" s="1239">
        <v>1.5</v>
      </c>
      <c r="CW153" s="1239">
        <v>1.65</v>
      </c>
      <c r="CX153" s="1239">
        <v>1.75</v>
      </c>
      <c r="CY153" s="1239">
        <v>1.9</v>
      </c>
      <c r="CZ153" s="1239">
        <v>2</v>
      </c>
      <c r="DA153" s="1239">
        <v>2.15</v>
      </c>
      <c r="DB153" s="1239">
        <v>2.2999999999999998</v>
      </c>
      <c r="DC153" s="1239">
        <v>2.4500000000000002</v>
      </c>
      <c r="DD153" s="1239">
        <v>2.5499999999999998</v>
      </c>
      <c r="DG153" s="1267">
        <v>30</v>
      </c>
      <c r="DH153" s="1268">
        <v>0.25</v>
      </c>
      <c r="DI153" s="1268">
        <v>0.25</v>
      </c>
      <c r="DJ153" s="1269">
        <v>0.25</v>
      </c>
      <c r="DK153" s="1270">
        <v>0.3</v>
      </c>
      <c r="DL153" s="1268">
        <v>0.3</v>
      </c>
      <c r="DM153" s="1268">
        <v>0.3</v>
      </c>
      <c r="DN153" s="1269">
        <v>0.3</v>
      </c>
      <c r="DO153" s="1269">
        <v>0.35</v>
      </c>
      <c r="DP153" s="1268">
        <v>0.35</v>
      </c>
      <c r="DQ153" s="1268">
        <v>0.35</v>
      </c>
      <c r="DR153" s="1269">
        <v>0.35</v>
      </c>
      <c r="DT153" s="1237">
        <v>40</v>
      </c>
      <c r="DU153" s="1260">
        <v>1.75</v>
      </c>
      <c r="DV153" s="1260">
        <v>1.7</v>
      </c>
      <c r="DW153" s="1260">
        <v>1.65</v>
      </c>
      <c r="DX153" s="1260">
        <v>1.6</v>
      </c>
      <c r="DY153" s="1260">
        <v>1.55</v>
      </c>
      <c r="DZ153" s="1260">
        <v>1.55</v>
      </c>
      <c r="EA153" s="1260">
        <v>1.5</v>
      </c>
      <c r="EB153" s="1260">
        <v>1.5</v>
      </c>
      <c r="EC153" s="1260">
        <v>1.5</v>
      </c>
      <c r="ED153" s="1260">
        <v>1.5</v>
      </c>
      <c r="EE153" s="1260">
        <v>1.5</v>
      </c>
      <c r="EF153" s="1260">
        <v>1.5</v>
      </c>
      <c r="EG153" s="1260">
        <v>1.5</v>
      </c>
      <c r="EH153" s="1260">
        <v>1.55</v>
      </c>
      <c r="EI153" s="1260">
        <v>1.55</v>
      </c>
      <c r="EJ153" s="1260">
        <v>1.6</v>
      </c>
      <c r="EK153" s="1260">
        <v>1.6</v>
      </c>
      <c r="EL153" s="1260">
        <v>1.65</v>
      </c>
      <c r="EM153" s="1260">
        <v>1.65</v>
      </c>
      <c r="EN153" s="1260">
        <v>1.7</v>
      </c>
      <c r="EO153" s="1260">
        <v>1.75</v>
      </c>
    </row>
    <row r="154" spans="1:145" ht="15" customHeight="1">
      <c r="C154" s="1205">
        <f t="shared" ref="C154:O154" si="24">LOOKUP($B$1,$B156:$B188,C156:C188)</f>
        <v>101.2</v>
      </c>
      <c r="D154" s="1205">
        <f t="shared" si="24"/>
        <v>91.4</v>
      </c>
      <c r="E154" s="1205">
        <f t="shared" si="24"/>
        <v>83.3</v>
      </c>
      <c r="F154" s="1205">
        <f t="shared" si="24"/>
        <v>76.5</v>
      </c>
      <c r="G154" s="1205">
        <f t="shared" si="24"/>
        <v>70.7</v>
      </c>
      <c r="H154" s="1205">
        <f t="shared" si="24"/>
        <v>66.7</v>
      </c>
      <c r="I154" s="1205">
        <f t="shared" si="24"/>
        <v>62.25</v>
      </c>
      <c r="J154" s="1205">
        <f t="shared" si="24"/>
        <v>58.35</v>
      </c>
      <c r="K154" s="1205">
        <f t="shared" si="24"/>
        <v>54.95</v>
      </c>
      <c r="L154" s="1205">
        <f t="shared" si="24"/>
        <v>51.9</v>
      </c>
      <c r="M154" s="1205">
        <f t="shared" si="24"/>
        <v>49.15</v>
      </c>
      <c r="N154" s="1205">
        <f t="shared" si="24"/>
        <v>46.75</v>
      </c>
      <c r="O154" s="1205">
        <f t="shared" si="24"/>
        <v>44.55</v>
      </c>
      <c r="R154" s="824">
        <f>Main!E11</f>
        <v>25</v>
      </c>
      <c r="S154" s="1205">
        <f>LOOKUP($B$1,$R156:$R197,S156:S197)</f>
        <v>111.55</v>
      </c>
      <c r="T154" s="1205">
        <f>LOOKUP($B$1,$R156:$R197,T156:T197)</f>
        <v>95.9</v>
      </c>
      <c r="U154" s="1205">
        <f>LOOKUP($B$1,$R156:$R197,U156:U197)</f>
        <v>79.55</v>
      </c>
      <c r="X154" s="824">
        <f>Main!E11</f>
        <v>25</v>
      </c>
      <c r="Y154" s="1205">
        <f>LOOKUP($B$1,$X156:$X200,Y156:Y200)</f>
        <v>101.85</v>
      </c>
      <c r="Z154" s="1205">
        <f>LOOKUP($B$1,$X156:$X200,Z156:Z200)</f>
        <v>87.6</v>
      </c>
      <c r="AA154" s="1205">
        <f>LOOKUP($B$1,$X156:$X200,AA156:AA200)</f>
        <v>72.650000000000006</v>
      </c>
      <c r="AG154" s="824">
        <f>Main!E$11</f>
        <v>25</v>
      </c>
      <c r="AH154" s="1205">
        <f>LOOKUP($AG$154,$AG156:$AG168,AH156:AH168)</f>
        <v>1.1000000000000001</v>
      </c>
      <c r="AL154" s="824">
        <f>Main!E$11</f>
        <v>25</v>
      </c>
      <c r="AM154" s="1205">
        <f>LOOKUP($B$1,$AL156:$AL207,AM156:AM207)</f>
        <v>85.5</v>
      </c>
      <c r="AN154" s="1205">
        <f>LOOKUP($B$1,$AL156:$AL207,AN156:AN207)</f>
        <v>54.95</v>
      </c>
      <c r="AO154" s="1205">
        <f>LOOKUP($B$1,$AL156:$AL207,AO156:AO207)</f>
        <v>46.6</v>
      </c>
      <c r="AQ154" s="824">
        <f>Main!E$11</f>
        <v>25</v>
      </c>
      <c r="AR154" s="1205">
        <f>LOOKUP($B$1,$AQ156:$AQ197,AR156:AR197)</f>
        <v>2.97</v>
      </c>
      <c r="AS154" s="1205">
        <f>LOOKUP($B$1,$AQ156:$AQ197,AS156:AS197)</f>
        <v>3.11</v>
      </c>
      <c r="AT154" s="1205">
        <f>LOOKUP($B$1,$AQ156:$AQ197,AT156:AT197)</f>
        <v>3.78</v>
      </c>
      <c r="AU154" s="1206"/>
      <c r="AW154" s="1205">
        <f>LOOKUP($B$1,$AV156:$AV195,AW156:AW195)</f>
        <v>425.8</v>
      </c>
      <c r="AY154" s="824">
        <f>Main!E$11</f>
        <v>25</v>
      </c>
      <c r="AZ154" s="1205">
        <f>LOOKUP($B$1,$AY156:$AY198,AZ156:AZ198)</f>
        <v>2.5499999999999998</v>
      </c>
      <c r="BA154" s="1205">
        <f>LOOKUP($B$1,$AY156:$AY198,BA156:BA198)</f>
        <v>3.42</v>
      </c>
      <c r="BB154" s="1205">
        <f>LOOKUP($B$1,$AY156:$AY198,BB156:BB198)</f>
        <v>4.74</v>
      </c>
      <c r="BD154" s="824">
        <f>Main!E$11</f>
        <v>25</v>
      </c>
      <c r="BE154" s="1205">
        <f>LOOKUP($B$1,$BD156:$BD198,BE156:BE198)</f>
        <v>2.3199999999999998</v>
      </c>
      <c r="BF154" s="1205">
        <f>LOOKUP($B$1,$BD156:$BD198,BF156:BF198)</f>
        <v>3.11</v>
      </c>
      <c r="BG154" s="1205">
        <f>LOOKUP($B$1,$BD156:$BD198,BG156:BG198)</f>
        <v>4.32</v>
      </c>
      <c r="BK154" s="824">
        <f>Main!E$11</f>
        <v>25</v>
      </c>
      <c r="BL154" s="1205">
        <f>LOOKUP($B$1,$BK156:$BK207,BL156:BL207)</f>
        <v>769.75</v>
      </c>
      <c r="BM154" s="1205">
        <f>LOOKUP($B$1,$BK156:$BK207,BM156:BM207)</f>
        <v>773.05</v>
      </c>
      <c r="BN154" s="1205">
        <f>LOOKUP($B$1,$BK156:$BK207,BN156:BN207)</f>
        <v>774</v>
      </c>
      <c r="CQ154" s="1238">
        <v>41</v>
      </c>
      <c r="CR154" s="1239">
        <v>1.2</v>
      </c>
      <c r="CS154" s="1239">
        <v>1.3</v>
      </c>
      <c r="CT154" s="1239">
        <v>1.45</v>
      </c>
      <c r="CU154" s="1239">
        <v>1.55</v>
      </c>
      <c r="CV154" s="1239">
        <v>1.65</v>
      </c>
      <c r="CW154" s="1239">
        <v>1.8</v>
      </c>
      <c r="CX154" s="1239">
        <v>1.95</v>
      </c>
      <c r="CY154" s="1239">
        <v>2.0499999999999998</v>
      </c>
      <c r="CZ154" s="1239">
        <v>2.2000000000000002</v>
      </c>
      <c r="DA154" s="1239">
        <v>2.35</v>
      </c>
      <c r="DB154" s="1239">
        <v>2.5</v>
      </c>
      <c r="DC154" s="1239">
        <v>2.65</v>
      </c>
      <c r="DD154" s="1239" t="s">
        <v>39</v>
      </c>
      <c r="DG154" s="1267">
        <v>31</v>
      </c>
      <c r="DH154" s="1268">
        <v>0.25</v>
      </c>
      <c r="DI154" s="1268">
        <v>0.25</v>
      </c>
      <c r="DJ154" s="1269">
        <v>0.3</v>
      </c>
      <c r="DK154" s="1270">
        <v>0.3</v>
      </c>
      <c r="DL154" s="1268">
        <v>0.3</v>
      </c>
      <c r="DM154" s="1268">
        <v>0.3</v>
      </c>
      <c r="DN154" s="1269">
        <v>0.35</v>
      </c>
      <c r="DO154" s="1269">
        <v>0.35</v>
      </c>
      <c r="DP154" s="1268">
        <v>0.35</v>
      </c>
      <c r="DQ154" s="1268">
        <v>0.35</v>
      </c>
      <c r="DR154" s="1269">
        <v>0.4</v>
      </c>
      <c r="DT154" s="1237">
        <v>41</v>
      </c>
      <c r="DU154" s="1260">
        <v>1.85</v>
      </c>
      <c r="DV154" s="1260">
        <v>1.75</v>
      </c>
      <c r="DW154" s="1260">
        <v>1.7</v>
      </c>
      <c r="DX154" s="1260">
        <v>1.7</v>
      </c>
      <c r="DY154" s="1260">
        <v>1.65</v>
      </c>
      <c r="DZ154" s="1260">
        <v>1.6</v>
      </c>
      <c r="EA154" s="1260">
        <v>1.6</v>
      </c>
      <c r="EB154" s="1260">
        <v>1.6</v>
      </c>
      <c r="EC154" s="1260">
        <v>1.6</v>
      </c>
      <c r="ED154" s="1260">
        <v>1.6</v>
      </c>
      <c r="EE154" s="1260">
        <v>1.6</v>
      </c>
      <c r="EF154" s="1260">
        <v>1.6</v>
      </c>
      <c r="EG154" s="1260">
        <v>1.6</v>
      </c>
      <c r="EH154" s="1260">
        <v>1.65</v>
      </c>
      <c r="EI154" s="1260">
        <v>1.65</v>
      </c>
      <c r="EJ154" s="1260">
        <v>1.7</v>
      </c>
      <c r="EK154" s="1260">
        <v>1.7</v>
      </c>
      <c r="EL154" s="1260">
        <v>1.75</v>
      </c>
      <c r="EM154" s="1260">
        <v>1.8</v>
      </c>
      <c r="EN154" s="1260">
        <v>1.85</v>
      </c>
      <c r="EO154" s="1242" t="s">
        <v>39</v>
      </c>
    </row>
    <row r="155" spans="1:145" ht="15" customHeight="1">
      <c r="B155" s="1207">
        <v>833</v>
      </c>
      <c r="C155" s="826">
        <v>13</v>
      </c>
      <c r="D155" s="826">
        <v>14</v>
      </c>
      <c r="E155" s="826">
        <v>15</v>
      </c>
      <c r="F155" s="826">
        <v>16</v>
      </c>
      <c r="G155" s="826">
        <v>17</v>
      </c>
      <c r="H155" s="826">
        <v>18</v>
      </c>
      <c r="I155" s="826">
        <v>19</v>
      </c>
      <c r="J155" s="826">
        <v>20</v>
      </c>
      <c r="K155" s="826">
        <v>21</v>
      </c>
      <c r="L155" s="826">
        <v>22</v>
      </c>
      <c r="M155" s="826">
        <v>23</v>
      </c>
      <c r="N155" s="826">
        <v>24</v>
      </c>
      <c r="O155" s="826">
        <v>25</v>
      </c>
      <c r="R155" s="688" t="s">
        <v>49</v>
      </c>
      <c r="S155" s="688">
        <v>12</v>
      </c>
      <c r="T155" s="688">
        <v>16</v>
      </c>
      <c r="U155" s="688">
        <v>21</v>
      </c>
      <c r="X155" s="688" t="s">
        <v>48</v>
      </c>
      <c r="Y155" s="688">
        <v>12</v>
      </c>
      <c r="Z155" s="688">
        <v>16</v>
      </c>
      <c r="AA155" s="688">
        <v>21</v>
      </c>
      <c r="AC155" s="1205"/>
      <c r="AG155" s="824" t="s">
        <v>50</v>
      </c>
      <c r="AL155" s="1263">
        <v>836</v>
      </c>
      <c r="AM155" s="1272">
        <v>16</v>
      </c>
      <c r="AN155" s="1272">
        <v>21</v>
      </c>
      <c r="AO155" s="1272">
        <v>25</v>
      </c>
      <c r="AQ155" s="1273"/>
      <c r="AR155" s="1272">
        <v>16</v>
      </c>
      <c r="AS155" s="1272">
        <v>21</v>
      </c>
      <c r="AT155" s="1272">
        <v>25</v>
      </c>
      <c r="AV155" s="1274">
        <v>837</v>
      </c>
      <c r="AW155" s="1274"/>
      <c r="AY155" s="688" t="s">
        <v>49</v>
      </c>
      <c r="AZ155" s="688">
        <v>12</v>
      </c>
      <c r="BA155" s="688">
        <v>16</v>
      </c>
      <c r="BB155" s="688">
        <v>21</v>
      </c>
      <c r="BD155" s="688" t="s">
        <v>48</v>
      </c>
      <c r="BE155" s="688">
        <v>12</v>
      </c>
      <c r="BF155" s="688">
        <v>16</v>
      </c>
      <c r="BG155" s="688">
        <v>21</v>
      </c>
      <c r="BK155" s="1208">
        <v>816</v>
      </c>
      <c r="BL155" s="826">
        <v>9</v>
      </c>
      <c r="BM155" s="826">
        <v>12</v>
      </c>
      <c r="BN155" s="826">
        <v>15</v>
      </c>
      <c r="BQ155" s="1275">
        <f>LOOKUP(BQ156,PM!BR157:BT157,PM!BR156:BT156)</f>
        <v>3</v>
      </c>
      <c r="BW155" s="1275">
        <f>LOOKUP(BQ156,PM!BW157:BY157,PM!BW156:BY156)</f>
        <v>60</v>
      </c>
      <c r="CQ155" s="1238">
        <v>42</v>
      </c>
      <c r="CR155" s="1239">
        <v>1.35</v>
      </c>
      <c r="CS155" s="1239">
        <v>1.45</v>
      </c>
      <c r="CT155" s="1239">
        <v>1.55</v>
      </c>
      <c r="CU155" s="1239">
        <v>1.7</v>
      </c>
      <c r="CV155" s="1239">
        <v>1.85</v>
      </c>
      <c r="CW155" s="1239">
        <v>2</v>
      </c>
      <c r="CX155" s="1239">
        <v>2.1</v>
      </c>
      <c r="CY155" s="1239">
        <v>2.25</v>
      </c>
      <c r="CZ155" s="1239">
        <v>2.4</v>
      </c>
      <c r="DA155" s="1239">
        <v>2.5499999999999998</v>
      </c>
      <c r="DB155" s="1239">
        <v>2.7</v>
      </c>
      <c r="DC155" s="1239" t="s">
        <v>39</v>
      </c>
      <c r="DD155" s="1239" t="s">
        <v>39</v>
      </c>
      <c r="DG155" s="1267">
        <v>32</v>
      </c>
      <c r="DH155" s="1268">
        <v>0.3</v>
      </c>
      <c r="DI155" s="1268">
        <v>0.3</v>
      </c>
      <c r="DJ155" s="1269">
        <v>0.3</v>
      </c>
      <c r="DK155" s="1270">
        <v>0.3</v>
      </c>
      <c r="DL155" s="1268">
        <v>0.3</v>
      </c>
      <c r="DM155" s="1268">
        <v>0.35</v>
      </c>
      <c r="DN155" s="1269">
        <v>0.35</v>
      </c>
      <c r="DO155" s="1269">
        <v>0.35</v>
      </c>
      <c r="DP155" s="1268">
        <v>0.4</v>
      </c>
      <c r="DQ155" s="1268">
        <v>0.4</v>
      </c>
      <c r="DR155" s="1269">
        <v>0.4</v>
      </c>
      <c r="DT155" s="1237">
        <v>42</v>
      </c>
      <c r="DU155" s="1260">
        <v>1.9</v>
      </c>
      <c r="DV155" s="1260">
        <v>1.85</v>
      </c>
      <c r="DW155" s="1260">
        <v>1.8</v>
      </c>
      <c r="DX155" s="1260">
        <v>1.75</v>
      </c>
      <c r="DY155" s="1260">
        <v>1.75</v>
      </c>
      <c r="DZ155" s="1260">
        <v>1.7</v>
      </c>
      <c r="EA155" s="1260">
        <v>1.7</v>
      </c>
      <c r="EB155" s="1260">
        <v>1.7</v>
      </c>
      <c r="EC155" s="1260">
        <v>1.7</v>
      </c>
      <c r="ED155" s="1260">
        <v>1.7</v>
      </c>
      <c r="EE155" s="1260">
        <v>1.7</v>
      </c>
      <c r="EF155" s="1260">
        <v>1.7</v>
      </c>
      <c r="EG155" s="1260">
        <v>1.75</v>
      </c>
      <c r="EH155" s="1260">
        <v>1.75</v>
      </c>
      <c r="EI155" s="1260">
        <v>1.8</v>
      </c>
      <c r="EJ155" s="1260">
        <v>1.8</v>
      </c>
      <c r="EK155" s="1260">
        <v>1.85</v>
      </c>
      <c r="EL155" s="1260">
        <v>1.9</v>
      </c>
      <c r="EM155" s="1260">
        <v>1.9</v>
      </c>
      <c r="EN155" s="1242" t="s">
        <v>39</v>
      </c>
      <c r="EO155" s="1242" t="s">
        <v>39</v>
      </c>
    </row>
    <row r="156" spans="1:145" ht="15" customHeight="1">
      <c r="B156" s="1207">
        <v>18</v>
      </c>
      <c r="C156" s="828">
        <v>100.7</v>
      </c>
      <c r="D156" s="828">
        <v>90.85</v>
      </c>
      <c r="E156" s="828">
        <v>82.75</v>
      </c>
      <c r="F156" s="828">
        <v>75.849999999999994</v>
      </c>
      <c r="G156" s="828">
        <v>70</v>
      </c>
      <c r="H156" s="828">
        <v>65.95</v>
      </c>
      <c r="I156" s="828">
        <v>61.45</v>
      </c>
      <c r="J156" s="828">
        <v>57.5</v>
      </c>
      <c r="K156" s="828">
        <v>54</v>
      </c>
      <c r="L156" s="828">
        <v>50.85</v>
      </c>
      <c r="M156" s="828">
        <v>48.05</v>
      </c>
      <c r="N156" s="828">
        <v>45.55</v>
      </c>
      <c r="O156" s="828">
        <v>43.25</v>
      </c>
      <c r="R156" s="1208">
        <v>18</v>
      </c>
      <c r="S156" s="1258">
        <v>111.15</v>
      </c>
      <c r="T156" s="1258">
        <v>95.3</v>
      </c>
      <c r="U156" s="1258">
        <v>78.45</v>
      </c>
      <c r="X156" s="1208">
        <v>18</v>
      </c>
      <c r="Y156" s="1258">
        <v>101.5</v>
      </c>
      <c r="Z156" s="1258">
        <v>87</v>
      </c>
      <c r="AA156" s="1258">
        <v>71.650000000000006</v>
      </c>
      <c r="AC156" s="824">
        <f>Main!G$12</f>
        <v>8</v>
      </c>
      <c r="AD156" s="968">
        <f>LOOKUP(AC$156,AD$159:AE$159,AD158:AE158)</f>
        <v>1.95</v>
      </c>
      <c r="AG156" s="686">
        <v>13</v>
      </c>
      <c r="AH156" s="1206">
        <v>1.25</v>
      </c>
      <c r="AL156" s="1263">
        <v>8</v>
      </c>
      <c r="AM156" s="1276">
        <v>84.8</v>
      </c>
      <c r="AN156" s="1276">
        <v>54.1</v>
      </c>
      <c r="AO156" s="1276">
        <v>45.5</v>
      </c>
      <c r="AQ156" s="1273">
        <v>18</v>
      </c>
      <c r="AR156" s="1277">
        <v>2.02</v>
      </c>
      <c r="AS156" s="1277">
        <v>1.85</v>
      </c>
      <c r="AT156" s="1277">
        <v>2.0299999999999998</v>
      </c>
      <c r="AV156" s="1254">
        <v>6</v>
      </c>
      <c r="AW156" s="1278">
        <v>392.4</v>
      </c>
      <c r="AY156" s="688">
        <v>18</v>
      </c>
      <c r="AZ156" s="1258">
        <v>1.91</v>
      </c>
      <c r="BA156" s="1258">
        <v>2.33</v>
      </c>
      <c r="BB156" s="1258">
        <v>2.82</v>
      </c>
      <c r="BD156" s="688">
        <v>18</v>
      </c>
      <c r="BE156" s="1258">
        <v>1.74</v>
      </c>
      <c r="BF156" s="1258">
        <v>2.12</v>
      </c>
      <c r="BG156" s="1258">
        <v>2.57</v>
      </c>
      <c r="BK156" s="1208">
        <v>15</v>
      </c>
      <c r="BL156" s="826">
        <v>767.95</v>
      </c>
      <c r="BM156" s="826">
        <v>771</v>
      </c>
      <c r="BN156" s="826">
        <v>771.55</v>
      </c>
      <c r="BQ156" s="824">
        <f>Main!E$11</f>
        <v>25</v>
      </c>
      <c r="BR156" s="968">
        <f>LOOKUP($BQ$157,$BQ158:$BQ162,BR158:BR162)</f>
        <v>8</v>
      </c>
      <c r="BS156" s="968">
        <f>LOOKUP($BQ$157,$BQ158:$BQ162,BS158:BS162)</f>
        <v>4</v>
      </c>
      <c r="BT156" s="968">
        <f>LOOKUP($BQ$157,$BQ158:$BQ162,BT158:BT162)</f>
        <v>3</v>
      </c>
      <c r="BW156" s="824">
        <v>66</v>
      </c>
      <c r="BX156" s="824">
        <v>63</v>
      </c>
      <c r="BY156" s="824">
        <v>60</v>
      </c>
      <c r="CQ156" s="1238">
        <v>43</v>
      </c>
      <c r="CR156" s="1239">
        <v>1.45</v>
      </c>
      <c r="CS156" s="1239">
        <v>1.6</v>
      </c>
      <c r="CT156" s="1239">
        <v>1.75</v>
      </c>
      <c r="CU156" s="1239">
        <v>1.85</v>
      </c>
      <c r="CV156" s="1239">
        <v>2</v>
      </c>
      <c r="CW156" s="1239">
        <v>2.15</v>
      </c>
      <c r="CX156" s="1239">
        <v>2.2999999999999998</v>
      </c>
      <c r="CY156" s="1239">
        <v>2.5</v>
      </c>
      <c r="CZ156" s="1239">
        <v>2.65</v>
      </c>
      <c r="DA156" s="1239">
        <v>2.8</v>
      </c>
      <c r="DB156" s="1239" t="s">
        <v>39</v>
      </c>
      <c r="DC156" s="1239" t="s">
        <v>39</v>
      </c>
      <c r="DD156" s="1239" t="s">
        <v>39</v>
      </c>
      <c r="DG156" s="1267">
        <v>33</v>
      </c>
      <c r="DH156" s="1268">
        <v>0.3</v>
      </c>
      <c r="DI156" s="1268">
        <v>0.3</v>
      </c>
      <c r="DJ156" s="1269">
        <v>0.3</v>
      </c>
      <c r="DK156" s="1270">
        <v>0.35</v>
      </c>
      <c r="DL156" s="1268">
        <v>0.35</v>
      </c>
      <c r="DM156" s="1268">
        <v>0.35</v>
      </c>
      <c r="DN156" s="1269">
        <v>0.4</v>
      </c>
      <c r="DO156" s="1269">
        <v>0.4</v>
      </c>
      <c r="DP156" s="1268">
        <v>0.4</v>
      </c>
      <c r="DQ156" s="1268">
        <v>0.45</v>
      </c>
      <c r="DR156" s="1269">
        <v>0.45</v>
      </c>
      <c r="DT156" s="1237">
        <v>43</v>
      </c>
      <c r="DU156" s="1260">
        <v>2</v>
      </c>
      <c r="DV156" s="1260">
        <v>1.95</v>
      </c>
      <c r="DW156" s="1260">
        <v>1.9</v>
      </c>
      <c r="DX156" s="1260">
        <v>1.85</v>
      </c>
      <c r="DY156" s="1260">
        <v>1.85</v>
      </c>
      <c r="DZ156" s="1260">
        <v>1.8</v>
      </c>
      <c r="EA156" s="1260">
        <v>1.8</v>
      </c>
      <c r="EB156" s="1260">
        <v>1.8</v>
      </c>
      <c r="EC156" s="1260">
        <v>1.8</v>
      </c>
      <c r="ED156" s="1260">
        <v>1.8</v>
      </c>
      <c r="EE156" s="1260">
        <v>1.8</v>
      </c>
      <c r="EF156" s="1260">
        <v>1.85</v>
      </c>
      <c r="EG156" s="1260">
        <v>1.85</v>
      </c>
      <c r="EH156" s="1260">
        <v>1.85</v>
      </c>
      <c r="EI156" s="1260">
        <v>1.9</v>
      </c>
      <c r="EJ156" s="1260">
        <v>1.95</v>
      </c>
      <c r="EK156" s="1260">
        <v>2</v>
      </c>
      <c r="EL156" s="1260">
        <v>2</v>
      </c>
      <c r="EM156" s="1242" t="s">
        <v>39</v>
      </c>
      <c r="EN156" s="1242" t="s">
        <v>39</v>
      </c>
      <c r="EO156" s="1242" t="s">
        <v>39</v>
      </c>
    </row>
    <row r="157" spans="1:145" ht="15" customHeight="1">
      <c r="B157" s="1207">
        <v>19</v>
      </c>
      <c r="C157" s="828">
        <v>100.75</v>
      </c>
      <c r="D157" s="828">
        <v>90.9</v>
      </c>
      <c r="E157" s="828">
        <v>82.75</v>
      </c>
      <c r="F157" s="828">
        <v>75.900000000000006</v>
      </c>
      <c r="G157" s="828">
        <v>70.05</v>
      </c>
      <c r="H157" s="828">
        <v>66</v>
      </c>
      <c r="I157" s="828">
        <v>61.5</v>
      </c>
      <c r="J157" s="828">
        <v>57.55</v>
      </c>
      <c r="K157" s="828">
        <v>54.05</v>
      </c>
      <c r="L157" s="828">
        <v>50.9</v>
      </c>
      <c r="M157" s="828">
        <v>48.1</v>
      </c>
      <c r="N157" s="828">
        <v>45.6</v>
      </c>
      <c r="O157" s="828">
        <v>43.3</v>
      </c>
      <c r="R157" s="1208">
        <f t="shared" ref="R157:R197" si="25">+R156+1</f>
        <v>19</v>
      </c>
      <c r="S157" s="1258">
        <v>111.2</v>
      </c>
      <c r="T157" s="1258">
        <v>95.35</v>
      </c>
      <c r="U157" s="1258">
        <v>78.5</v>
      </c>
      <c r="X157" s="1208">
        <f t="shared" ref="X157:X200" si="26">+X156+1</f>
        <v>19</v>
      </c>
      <c r="Y157" s="1258">
        <v>101.5</v>
      </c>
      <c r="Z157" s="1258">
        <v>87.05</v>
      </c>
      <c r="AA157" s="1258">
        <v>71.7</v>
      </c>
      <c r="AC157" s="824" t="s">
        <v>47</v>
      </c>
      <c r="AD157" s="968"/>
      <c r="AG157" s="686">
        <v>14</v>
      </c>
      <c r="AH157" s="1206">
        <v>1.2</v>
      </c>
      <c r="AL157" s="1263">
        <v>9</v>
      </c>
      <c r="AM157" s="1276">
        <v>84.8</v>
      </c>
      <c r="AN157" s="1276">
        <v>54.15</v>
      </c>
      <c r="AO157" s="1276">
        <v>45.5</v>
      </c>
      <c r="AQ157" s="1273">
        <v>19</v>
      </c>
      <c r="AR157" s="1277">
        <v>2.0699999999999998</v>
      </c>
      <c r="AS157" s="1277">
        <v>1.9</v>
      </c>
      <c r="AT157" s="1277">
        <v>2.1</v>
      </c>
      <c r="AV157" s="1254">
        <f t="shared" ref="AV157:AV195" si="27">+AV156+1</f>
        <v>7</v>
      </c>
      <c r="AW157" s="1278">
        <v>394.7</v>
      </c>
      <c r="AY157" s="688">
        <f t="shared" ref="AY157:AY198" si="28">+AY156+1</f>
        <v>19</v>
      </c>
      <c r="AZ157" s="1258">
        <v>1.95</v>
      </c>
      <c r="BA157" s="1258">
        <v>2.38</v>
      </c>
      <c r="BB157" s="1258">
        <v>2.9</v>
      </c>
      <c r="BD157" s="688">
        <f t="shared" ref="BD157:BD198" si="29">+BD156+1</f>
        <v>19</v>
      </c>
      <c r="BE157" s="1258">
        <v>1.77</v>
      </c>
      <c r="BF157" s="1258">
        <v>2.16</v>
      </c>
      <c r="BG157" s="1258">
        <v>2.64</v>
      </c>
      <c r="BK157" s="1208">
        <v>16</v>
      </c>
      <c r="BL157" s="826">
        <v>768.1</v>
      </c>
      <c r="BM157" s="826">
        <v>771.15</v>
      </c>
      <c r="BN157" s="826">
        <v>771.65</v>
      </c>
      <c r="BQ157" s="824">
        <f>Main!E$10</f>
        <v>2500000</v>
      </c>
      <c r="BR157" s="824">
        <v>9</v>
      </c>
      <c r="BS157" s="824">
        <v>12</v>
      </c>
      <c r="BT157" s="824">
        <v>15</v>
      </c>
      <c r="BW157" s="824">
        <v>9</v>
      </c>
      <c r="BX157" s="824">
        <v>12</v>
      </c>
      <c r="BY157" s="824">
        <v>15</v>
      </c>
      <c r="CQ157" s="1238">
        <v>44</v>
      </c>
      <c r="CR157" s="1239">
        <v>1.65</v>
      </c>
      <c r="CS157" s="1239">
        <v>1.75</v>
      </c>
      <c r="CT157" s="1239">
        <v>1.9</v>
      </c>
      <c r="CU157" s="1239">
        <v>2.0499999999999998</v>
      </c>
      <c r="CV157" s="1239">
        <v>2.2000000000000002</v>
      </c>
      <c r="CW157" s="1239">
        <v>2.4</v>
      </c>
      <c r="CX157" s="1239">
        <v>2.5499999999999998</v>
      </c>
      <c r="CY157" s="1239">
        <v>2.7</v>
      </c>
      <c r="CZ157" s="1239">
        <v>2.9</v>
      </c>
      <c r="DA157" s="1239" t="s">
        <v>39</v>
      </c>
      <c r="DB157" s="1239" t="s">
        <v>39</v>
      </c>
      <c r="DC157" s="1239" t="s">
        <v>39</v>
      </c>
      <c r="DD157" s="1239" t="s">
        <v>39</v>
      </c>
      <c r="DG157" s="1267">
        <v>34</v>
      </c>
      <c r="DH157" s="1268">
        <v>0.3</v>
      </c>
      <c r="DI157" s="1268">
        <v>0.3</v>
      </c>
      <c r="DJ157" s="1269">
        <v>0.35</v>
      </c>
      <c r="DK157" s="1270">
        <v>0.35</v>
      </c>
      <c r="DL157" s="1268">
        <v>0.35</v>
      </c>
      <c r="DM157" s="1268">
        <v>0.4</v>
      </c>
      <c r="DN157" s="1269">
        <v>0.4</v>
      </c>
      <c r="DO157" s="1269">
        <v>0.4</v>
      </c>
      <c r="DP157" s="1268">
        <v>0.45</v>
      </c>
      <c r="DQ157" s="1268">
        <v>0.45</v>
      </c>
      <c r="DR157" s="1269">
        <v>0.5</v>
      </c>
      <c r="DT157" s="1237">
        <v>44</v>
      </c>
      <c r="DU157" s="1260">
        <v>2.1</v>
      </c>
      <c r="DV157" s="1260">
        <v>2.0499999999999998</v>
      </c>
      <c r="DW157" s="1260">
        <v>2</v>
      </c>
      <c r="DX157" s="1260">
        <v>1.95</v>
      </c>
      <c r="DY157" s="1260">
        <v>1.95</v>
      </c>
      <c r="DZ157" s="1260">
        <v>1.9</v>
      </c>
      <c r="EA157" s="1260">
        <v>1.9</v>
      </c>
      <c r="EB157" s="1260">
        <v>1.9</v>
      </c>
      <c r="EC157" s="1260">
        <v>1.9</v>
      </c>
      <c r="ED157" s="1260">
        <v>1.9</v>
      </c>
      <c r="EE157" s="1260">
        <v>1.95</v>
      </c>
      <c r="EF157" s="1260">
        <v>1.95</v>
      </c>
      <c r="EG157" s="1260">
        <v>2</v>
      </c>
      <c r="EH157" s="1260">
        <v>2</v>
      </c>
      <c r="EI157" s="1260">
        <v>2.0499999999999998</v>
      </c>
      <c r="EJ157" s="1260">
        <v>2.1</v>
      </c>
      <c r="EK157" s="1260">
        <v>2.15</v>
      </c>
      <c r="EL157" s="1242" t="s">
        <v>39</v>
      </c>
      <c r="EM157" s="1242" t="s">
        <v>39</v>
      </c>
      <c r="EN157" s="1242" t="s">
        <v>39</v>
      </c>
      <c r="EO157" s="1242" t="s">
        <v>39</v>
      </c>
    </row>
    <row r="158" spans="1:145" ht="15" customHeight="1">
      <c r="B158" s="1207">
        <v>20</v>
      </c>
      <c r="C158" s="828">
        <v>100.75</v>
      </c>
      <c r="D158" s="828">
        <v>90.95</v>
      </c>
      <c r="E158" s="828">
        <v>82.8</v>
      </c>
      <c r="F158" s="828">
        <v>75.95</v>
      </c>
      <c r="G158" s="828">
        <v>70.099999999999994</v>
      </c>
      <c r="H158" s="828">
        <v>66.05</v>
      </c>
      <c r="I158" s="828">
        <v>61.55</v>
      </c>
      <c r="J158" s="828">
        <v>57.6</v>
      </c>
      <c r="K158" s="828">
        <v>54.1</v>
      </c>
      <c r="L158" s="828">
        <v>50.95</v>
      </c>
      <c r="M158" s="828">
        <v>48.15</v>
      </c>
      <c r="N158" s="828">
        <v>45.65</v>
      </c>
      <c r="O158" s="828">
        <v>43.4</v>
      </c>
      <c r="R158" s="1208">
        <f t="shared" si="25"/>
        <v>20</v>
      </c>
      <c r="S158" s="1258">
        <v>111.2</v>
      </c>
      <c r="T158" s="1258">
        <v>95.35</v>
      </c>
      <c r="U158" s="1258">
        <v>78.599999999999994</v>
      </c>
      <c r="X158" s="1208">
        <f t="shared" si="26"/>
        <v>20</v>
      </c>
      <c r="Y158" s="1258">
        <v>101.55</v>
      </c>
      <c r="Z158" s="1258">
        <v>87.1</v>
      </c>
      <c r="AA158" s="1258">
        <v>71.75</v>
      </c>
      <c r="AD158" s="968">
        <f>LOOKUP($X$154,$AC160:$AC162,AD160:AD162)</f>
        <v>1.95</v>
      </c>
      <c r="AE158" s="968">
        <f>LOOKUP($X$154,$AC160:$AC162,AE160:AE162)</f>
        <v>1.8</v>
      </c>
      <c r="AG158" s="686">
        <v>15</v>
      </c>
      <c r="AH158" s="1206">
        <v>1.2</v>
      </c>
      <c r="AL158" s="1263">
        <v>10</v>
      </c>
      <c r="AM158" s="1276">
        <v>84.85</v>
      </c>
      <c r="AN158" s="1276">
        <v>54.15</v>
      </c>
      <c r="AO158" s="1276">
        <v>45.55</v>
      </c>
      <c r="AQ158" s="1273">
        <v>20</v>
      </c>
      <c r="AR158" s="1277">
        <v>2.11</v>
      </c>
      <c r="AS158" s="1277">
        <v>1.95</v>
      </c>
      <c r="AT158" s="1277">
        <v>2.1800000000000002</v>
      </c>
      <c r="AV158" s="1254">
        <f t="shared" si="27"/>
        <v>8</v>
      </c>
      <c r="AW158" s="1278">
        <v>397.2</v>
      </c>
      <c r="AY158" s="688">
        <f t="shared" si="28"/>
        <v>20</v>
      </c>
      <c r="AZ158" s="1258">
        <v>1.98</v>
      </c>
      <c r="BA158" s="1258">
        <v>2.42</v>
      </c>
      <c r="BB158" s="1258">
        <v>2.98</v>
      </c>
      <c r="BD158" s="688">
        <f t="shared" si="29"/>
        <v>20</v>
      </c>
      <c r="BE158" s="1258">
        <v>1.8</v>
      </c>
      <c r="BF158" s="1258">
        <v>2.21</v>
      </c>
      <c r="BG158" s="1258">
        <v>2.71</v>
      </c>
      <c r="BK158" s="1208">
        <v>17</v>
      </c>
      <c r="BL158" s="826">
        <v>768.25</v>
      </c>
      <c r="BM158" s="826">
        <v>771.25</v>
      </c>
      <c r="BN158" s="826">
        <v>771.8</v>
      </c>
      <c r="BP158" s="826"/>
      <c r="BQ158" s="826">
        <v>35000</v>
      </c>
      <c r="BR158" s="826">
        <v>0</v>
      </c>
      <c r="BS158" s="826">
        <v>0</v>
      </c>
      <c r="BT158" s="826">
        <v>0</v>
      </c>
      <c r="BW158" s="1275">
        <f>LOOKUP(BQ156,PM!BW160:BY160,PM!BW159:BY159)</f>
        <v>50</v>
      </c>
      <c r="CQ158" s="1238">
        <v>45</v>
      </c>
      <c r="CR158" s="1239">
        <v>1.8</v>
      </c>
      <c r="CS158" s="1239">
        <v>1.95</v>
      </c>
      <c r="CT158" s="1239">
        <v>2.1</v>
      </c>
      <c r="CU158" s="1239">
        <v>2.25</v>
      </c>
      <c r="CV158" s="1239">
        <v>2.4500000000000002</v>
      </c>
      <c r="CW158" s="1239">
        <v>2.6</v>
      </c>
      <c r="CX158" s="1239">
        <v>2.8</v>
      </c>
      <c r="CY158" s="1239">
        <v>2.95</v>
      </c>
      <c r="CZ158" s="1239" t="s">
        <v>39</v>
      </c>
      <c r="DA158" s="1239" t="s">
        <v>866</v>
      </c>
      <c r="DB158" s="1239" t="s">
        <v>39</v>
      </c>
      <c r="DC158" s="1279"/>
      <c r="DD158" s="1239" t="s">
        <v>39</v>
      </c>
      <c r="DG158" s="1267">
        <v>35</v>
      </c>
      <c r="DH158" s="1268">
        <v>0.35</v>
      </c>
      <c r="DI158" s="1268">
        <v>0.35</v>
      </c>
      <c r="DJ158" s="1269">
        <v>0.35</v>
      </c>
      <c r="DK158" s="1270">
        <v>0.35</v>
      </c>
      <c r="DL158" s="1268">
        <v>0.4</v>
      </c>
      <c r="DM158" s="1268">
        <v>0.4</v>
      </c>
      <c r="DN158" s="1269">
        <v>0.45</v>
      </c>
      <c r="DO158" s="1269">
        <v>0.45</v>
      </c>
      <c r="DP158" s="1268">
        <v>0.5</v>
      </c>
      <c r="DQ158" s="1268">
        <v>0.5</v>
      </c>
      <c r="DR158" s="1269">
        <v>0.5</v>
      </c>
      <c r="DT158" s="1237">
        <v>45</v>
      </c>
      <c r="DU158" s="1260">
        <v>2.2000000000000002</v>
      </c>
      <c r="DV158" s="1260">
        <v>2.15</v>
      </c>
      <c r="DW158" s="1260">
        <v>2.1</v>
      </c>
      <c r="DX158" s="1260">
        <v>2.0499999999999998</v>
      </c>
      <c r="DY158" s="1260">
        <v>2.0499999999999998</v>
      </c>
      <c r="DZ158" s="1260">
        <v>2</v>
      </c>
      <c r="EA158" s="1260">
        <v>2</v>
      </c>
      <c r="EB158" s="1260">
        <v>2</v>
      </c>
      <c r="EC158" s="1260">
        <v>2.0499999999999998</v>
      </c>
      <c r="ED158" s="1260">
        <v>2.0499999999999998</v>
      </c>
      <c r="EE158" s="1260">
        <v>2.0499999999999998</v>
      </c>
      <c r="EF158" s="1260">
        <v>2.1</v>
      </c>
      <c r="EG158" s="1260">
        <v>2.1</v>
      </c>
      <c r="EH158" s="1260">
        <v>2.15</v>
      </c>
      <c r="EI158" s="1260">
        <v>2.2000000000000002</v>
      </c>
      <c r="EJ158" s="1260">
        <v>2.25</v>
      </c>
      <c r="EK158" s="1242" t="s">
        <v>39</v>
      </c>
      <c r="EL158" s="1242" t="s">
        <v>39</v>
      </c>
      <c r="EM158" s="1242" t="s">
        <v>39</v>
      </c>
      <c r="EN158" s="1242" t="s">
        <v>39</v>
      </c>
      <c r="EO158" s="1242" t="s">
        <v>39</v>
      </c>
    </row>
    <row r="159" spans="1:145" ht="15" customHeight="1">
      <c r="B159" s="1207">
        <v>21</v>
      </c>
      <c r="C159" s="828">
        <v>100.8</v>
      </c>
      <c r="D159" s="828">
        <v>91</v>
      </c>
      <c r="E159" s="828">
        <v>82.85</v>
      </c>
      <c r="F159" s="828">
        <v>76</v>
      </c>
      <c r="G159" s="828">
        <v>70.150000000000006</v>
      </c>
      <c r="H159" s="828">
        <v>66.099999999999994</v>
      </c>
      <c r="I159" s="828">
        <v>61.6</v>
      </c>
      <c r="J159" s="828">
        <v>57.65</v>
      </c>
      <c r="K159" s="828">
        <v>54.15</v>
      </c>
      <c r="L159" s="828">
        <v>51</v>
      </c>
      <c r="M159" s="828">
        <v>48.2</v>
      </c>
      <c r="N159" s="828">
        <v>45.7</v>
      </c>
      <c r="O159" s="828">
        <v>43.45</v>
      </c>
      <c r="R159" s="1208">
        <f t="shared" si="25"/>
        <v>21</v>
      </c>
      <c r="S159" s="1258">
        <v>111.25</v>
      </c>
      <c r="T159" s="1258">
        <v>95.4</v>
      </c>
      <c r="U159" s="1258">
        <v>78.650000000000006</v>
      </c>
      <c r="X159" s="1208">
        <f t="shared" si="26"/>
        <v>21</v>
      </c>
      <c r="Y159" s="1258">
        <v>101.55</v>
      </c>
      <c r="Z159" s="1258">
        <v>87.1</v>
      </c>
      <c r="AA159" s="1258">
        <v>71.8</v>
      </c>
      <c r="AC159" s="1207"/>
      <c r="AD159" s="1280">
        <v>8</v>
      </c>
      <c r="AE159" s="1280">
        <v>9</v>
      </c>
      <c r="AG159" s="686">
        <v>16</v>
      </c>
      <c r="AH159" s="1206">
        <v>1.1499999999999999</v>
      </c>
      <c r="AL159" s="1263">
        <v>11</v>
      </c>
      <c r="AM159" s="1276">
        <v>84.85</v>
      </c>
      <c r="AN159" s="1276">
        <v>54.2</v>
      </c>
      <c r="AO159" s="1276">
        <v>45.6</v>
      </c>
      <c r="AQ159" s="1273">
        <v>21</v>
      </c>
      <c r="AR159" s="1277">
        <v>2.15</v>
      </c>
      <c r="AS159" s="1277">
        <v>2.0099999999999998</v>
      </c>
      <c r="AT159" s="1277">
        <v>2.2599999999999998</v>
      </c>
      <c r="AV159" s="1254">
        <f t="shared" si="27"/>
        <v>9</v>
      </c>
      <c r="AW159" s="1278">
        <v>397.65</v>
      </c>
      <c r="AY159" s="688">
        <f t="shared" si="28"/>
        <v>21</v>
      </c>
      <c r="AZ159" s="1258">
        <v>2.0099999999999998</v>
      </c>
      <c r="BA159" s="1258">
        <v>2.4700000000000002</v>
      </c>
      <c r="BB159" s="1258">
        <v>3.07</v>
      </c>
      <c r="BD159" s="688">
        <f t="shared" si="29"/>
        <v>21</v>
      </c>
      <c r="BE159" s="1258">
        <v>1.83</v>
      </c>
      <c r="BF159" s="1258">
        <v>2.25</v>
      </c>
      <c r="BG159" s="1258">
        <v>2.79</v>
      </c>
      <c r="BK159" s="1208">
        <v>18</v>
      </c>
      <c r="BL159" s="826">
        <v>768.4</v>
      </c>
      <c r="BM159" s="826">
        <v>771.35</v>
      </c>
      <c r="BN159" s="826">
        <v>771.9</v>
      </c>
      <c r="BP159" s="826"/>
      <c r="BQ159" s="826">
        <v>70000</v>
      </c>
      <c r="BR159" s="826">
        <v>0</v>
      </c>
      <c r="BS159" s="826">
        <v>0</v>
      </c>
      <c r="BT159" s="826">
        <v>0</v>
      </c>
      <c r="BW159" s="1252">
        <v>59</v>
      </c>
      <c r="BX159" s="1252">
        <v>54</v>
      </c>
      <c r="BY159" s="1252">
        <v>50</v>
      </c>
      <c r="CQ159" s="1238">
        <v>46</v>
      </c>
      <c r="CR159" s="1239">
        <v>2</v>
      </c>
      <c r="CS159" s="1239">
        <v>2.15</v>
      </c>
      <c r="CT159" s="1239">
        <v>2.2999999999999998</v>
      </c>
      <c r="CU159" s="1239">
        <v>2.5</v>
      </c>
      <c r="CV159" s="1239">
        <v>2.7</v>
      </c>
      <c r="CW159" s="1239">
        <v>2.85</v>
      </c>
      <c r="CX159" s="1239">
        <v>3.05</v>
      </c>
      <c r="CY159" s="1239" t="s">
        <v>39</v>
      </c>
      <c r="CZ159" s="1239" t="s">
        <v>39</v>
      </c>
      <c r="DA159" s="1239" t="s">
        <v>39</v>
      </c>
      <c r="DB159" s="1239" t="s">
        <v>39</v>
      </c>
      <c r="DC159" s="1239" t="s">
        <v>39</v>
      </c>
      <c r="DD159" s="1239" t="s">
        <v>39</v>
      </c>
      <c r="DG159" s="1267">
        <v>36</v>
      </c>
      <c r="DH159" s="1268">
        <v>0.35</v>
      </c>
      <c r="DI159" s="1268">
        <v>0.35</v>
      </c>
      <c r="DJ159" s="1269">
        <v>0.4</v>
      </c>
      <c r="DK159" s="1270">
        <v>0.4</v>
      </c>
      <c r="DL159" s="1268">
        <v>0.4</v>
      </c>
      <c r="DM159" s="1268">
        <v>0.45</v>
      </c>
      <c r="DN159" s="1269">
        <v>0.45</v>
      </c>
      <c r="DO159" s="1269">
        <v>0.5</v>
      </c>
      <c r="DP159" s="1268">
        <v>0.5</v>
      </c>
      <c r="DQ159" s="1268">
        <v>0.55000000000000004</v>
      </c>
      <c r="DR159" s="1269">
        <v>0.55000000000000004</v>
      </c>
      <c r="DT159" s="1237">
        <v>46</v>
      </c>
      <c r="DU159" s="1260">
        <v>2.2999999999999998</v>
      </c>
      <c r="DV159" s="1260">
        <v>2.25</v>
      </c>
      <c r="DW159" s="1260">
        <v>2.2000000000000002</v>
      </c>
      <c r="DX159" s="1260">
        <v>2.2000000000000002</v>
      </c>
      <c r="DY159" s="1260">
        <v>2.15</v>
      </c>
      <c r="DZ159" s="1260">
        <v>2.15</v>
      </c>
      <c r="EA159" s="1260">
        <v>2.15</v>
      </c>
      <c r="EB159" s="1260">
        <v>2.15</v>
      </c>
      <c r="EC159" s="1260">
        <v>2.15</v>
      </c>
      <c r="ED159" s="1260">
        <v>2.2000000000000002</v>
      </c>
      <c r="EE159" s="1260">
        <v>2.2000000000000002</v>
      </c>
      <c r="EF159" s="1260">
        <v>2.25</v>
      </c>
      <c r="EG159" s="1260">
        <v>2.25</v>
      </c>
      <c r="EH159" s="1260">
        <v>2.2999999999999998</v>
      </c>
      <c r="EI159" s="1260">
        <v>2.35</v>
      </c>
      <c r="EJ159" s="1242" t="s">
        <v>39</v>
      </c>
      <c r="EK159" s="1242" t="s">
        <v>39</v>
      </c>
      <c r="EL159" s="1242" t="s">
        <v>39</v>
      </c>
      <c r="EM159" s="1242" t="s">
        <v>39</v>
      </c>
      <c r="EN159" s="1242" t="s">
        <v>39</v>
      </c>
      <c r="EO159" s="1242" t="s">
        <v>39</v>
      </c>
    </row>
    <row r="160" spans="1:145" ht="15" customHeight="1">
      <c r="B160" s="1207">
        <v>22</v>
      </c>
      <c r="C160" s="828">
        <v>100.85</v>
      </c>
      <c r="D160" s="828">
        <v>91</v>
      </c>
      <c r="E160" s="828">
        <v>82.85</v>
      </c>
      <c r="F160" s="828">
        <v>76</v>
      </c>
      <c r="G160" s="828">
        <v>70.150000000000006</v>
      </c>
      <c r="H160" s="828">
        <v>66.150000000000006</v>
      </c>
      <c r="I160" s="828">
        <v>61.65</v>
      </c>
      <c r="J160" s="828">
        <v>57.65</v>
      </c>
      <c r="K160" s="828">
        <v>54.15</v>
      </c>
      <c r="L160" s="828">
        <v>51.05</v>
      </c>
      <c r="M160" s="828">
        <v>48.3</v>
      </c>
      <c r="N160" s="828">
        <v>45.75</v>
      </c>
      <c r="O160" s="828">
        <v>43.5</v>
      </c>
      <c r="R160" s="1208">
        <f t="shared" si="25"/>
        <v>22</v>
      </c>
      <c r="S160" s="1258">
        <v>111.25</v>
      </c>
      <c r="T160" s="1258">
        <v>95.45</v>
      </c>
      <c r="U160" s="1258">
        <v>78.7</v>
      </c>
      <c r="X160" s="1208">
        <f t="shared" si="26"/>
        <v>22</v>
      </c>
      <c r="Y160" s="1258">
        <v>101.6</v>
      </c>
      <c r="Z160" s="1258">
        <v>87.15</v>
      </c>
      <c r="AA160" s="1258">
        <v>71.849999999999994</v>
      </c>
      <c r="AC160" s="1280">
        <v>12</v>
      </c>
      <c r="AD160" s="1258">
        <v>1.4</v>
      </c>
      <c r="AE160" s="1258">
        <v>1.25</v>
      </c>
      <c r="AG160" s="686">
        <v>17</v>
      </c>
      <c r="AH160" s="1206">
        <v>1.1499999999999999</v>
      </c>
      <c r="AL160" s="1263">
        <v>12</v>
      </c>
      <c r="AM160" s="1276">
        <v>84.9</v>
      </c>
      <c r="AN160" s="1276">
        <v>54.25</v>
      </c>
      <c r="AO160" s="1276">
        <v>45.65</v>
      </c>
      <c r="AQ160" s="1273">
        <v>22</v>
      </c>
      <c r="AR160" s="1277">
        <v>2.2000000000000002</v>
      </c>
      <c r="AS160" s="1277">
        <v>2.0699999999999998</v>
      </c>
      <c r="AT160" s="1277">
        <v>2.36</v>
      </c>
      <c r="AV160" s="1254">
        <f t="shared" si="27"/>
        <v>10</v>
      </c>
      <c r="AW160" s="1278">
        <v>398.55</v>
      </c>
      <c r="AY160" s="688">
        <f t="shared" si="28"/>
        <v>22</v>
      </c>
      <c r="AZ160" s="1258">
        <v>2.04</v>
      </c>
      <c r="BA160" s="1258">
        <v>2.5299999999999998</v>
      </c>
      <c r="BB160" s="1258">
        <v>3.17</v>
      </c>
      <c r="BD160" s="688">
        <f t="shared" si="29"/>
        <v>22</v>
      </c>
      <c r="BE160" s="1258">
        <v>1.86</v>
      </c>
      <c r="BF160" s="1258">
        <v>2.2999999999999998</v>
      </c>
      <c r="BG160" s="1258">
        <v>2.88</v>
      </c>
      <c r="BK160" s="1208">
        <v>19</v>
      </c>
      <c r="BL160" s="826">
        <v>768.5</v>
      </c>
      <c r="BM160" s="826">
        <v>771.45</v>
      </c>
      <c r="BN160" s="826">
        <v>771.95</v>
      </c>
      <c r="BP160" s="826"/>
      <c r="BQ160" s="826">
        <v>75000</v>
      </c>
      <c r="BR160" s="826">
        <v>6</v>
      </c>
      <c r="BS160" s="826">
        <v>0</v>
      </c>
      <c r="BT160" s="826">
        <v>0</v>
      </c>
      <c r="BW160" s="1252">
        <v>16</v>
      </c>
      <c r="BX160" s="1252">
        <v>21</v>
      </c>
      <c r="BY160" s="1252">
        <v>25</v>
      </c>
      <c r="CQ160" s="1238">
        <v>47</v>
      </c>
      <c r="CR160" s="1239">
        <v>2.2000000000000002</v>
      </c>
      <c r="CS160" s="1239">
        <v>2.35</v>
      </c>
      <c r="CT160" s="1239">
        <v>2.5499999999999998</v>
      </c>
      <c r="CU160" s="1239">
        <v>2.75</v>
      </c>
      <c r="CV160" s="1239">
        <v>2.95</v>
      </c>
      <c r="CW160" s="1239">
        <v>3.15</v>
      </c>
      <c r="CX160" s="1239" t="s">
        <v>39</v>
      </c>
      <c r="CY160" s="1239" t="s">
        <v>39</v>
      </c>
      <c r="CZ160" s="1239" t="s">
        <v>39</v>
      </c>
      <c r="DA160" s="1239" t="s">
        <v>39</v>
      </c>
      <c r="DB160" s="1239" t="s">
        <v>39</v>
      </c>
      <c r="DC160" s="1239" t="s">
        <v>39</v>
      </c>
      <c r="DD160" s="1239" t="s">
        <v>39</v>
      </c>
      <c r="DG160" s="1267">
        <v>37</v>
      </c>
      <c r="DH160" s="1268">
        <v>0.4</v>
      </c>
      <c r="DI160" s="1268">
        <v>0.4</v>
      </c>
      <c r="DJ160" s="1269">
        <v>0.4</v>
      </c>
      <c r="DK160" s="1270">
        <v>0.45</v>
      </c>
      <c r="DL160" s="1268">
        <v>0.45</v>
      </c>
      <c r="DM160" s="1268">
        <v>0.5</v>
      </c>
      <c r="DN160" s="1269">
        <v>0.5</v>
      </c>
      <c r="DO160" s="1269">
        <v>0.55000000000000004</v>
      </c>
      <c r="DP160" s="1268">
        <v>0.55000000000000004</v>
      </c>
      <c r="DQ160" s="1268">
        <v>0.6</v>
      </c>
      <c r="DR160" s="1269">
        <v>0.6</v>
      </c>
      <c r="DT160" s="1237">
        <v>47</v>
      </c>
      <c r="DU160" s="1260">
        <v>2.4500000000000002</v>
      </c>
      <c r="DV160" s="1260">
        <v>2.35</v>
      </c>
      <c r="DW160" s="1260">
        <v>2.35</v>
      </c>
      <c r="DX160" s="1260">
        <v>2.2999999999999998</v>
      </c>
      <c r="DY160" s="1260">
        <v>2.2999999999999998</v>
      </c>
      <c r="DZ160" s="1260">
        <v>2.25</v>
      </c>
      <c r="EA160" s="1260">
        <v>2.25</v>
      </c>
      <c r="EB160" s="1260">
        <v>2.2999999999999998</v>
      </c>
      <c r="EC160" s="1260">
        <v>2.2999999999999998</v>
      </c>
      <c r="ED160" s="1260">
        <v>2.2999999999999998</v>
      </c>
      <c r="EE160" s="1260">
        <v>2.35</v>
      </c>
      <c r="EF160" s="1260">
        <v>2.4</v>
      </c>
      <c r="EG160" s="1260">
        <v>2.4500000000000002</v>
      </c>
      <c r="EH160" s="1260">
        <v>2.5</v>
      </c>
      <c r="EI160" s="1242" t="s">
        <v>39</v>
      </c>
      <c r="EJ160" s="1242" t="s">
        <v>39</v>
      </c>
      <c r="EK160" s="1242" t="s">
        <v>39</v>
      </c>
      <c r="EL160" s="1242" t="s">
        <v>39</v>
      </c>
      <c r="EM160" s="1242" t="s">
        <v>39</v>
      </c>
      <c r="EN160" s="1242" t="s">
        <v>39</v>
      </c>
      <c r="EO160" s="1242" t="s">
        <v>39</v>
      </c>
    </row>
    <row r="161" spans="2:145" ht="15" customHeight="1">
      <c r="B161" s="1207">
        <v>23</v>
      </c>
      <c r="C161" s="828">
        <v>100.85</v>
      </c>
      <c r="D161" s="828">
        <v>91.05</v>
      </c>
      <c r="E161" s="828">
        <v>82.9</v>
      </c>
      <c r="F161" s="828">
        <v>76.05</v>
      </c>
      <c r="G161" s="828">
        <v>70.2</v>
      </c>
      <c r="H161" s="828">
        <v>66.150000000000006</v>
      </c>
      <c r="I161" s="828">
        <v>61.65</v>
      </c>
      <c r="J161" s="828">
        <v>57.7</v>
      </c>
      <c r="K161" s="828">
        <v>54.25</v>
      </c>
      <c r="L161" s="828">
        <v>51.1</v>
      </c>
      <c r="M161" s="828">
        <v>48.35</v>
      </c>
      <c r="N161" s="828">
        <v>45.85</v>
      </c>
      <c r="O161" s="828">
        <v>43.6</v>
      </c>
      <c r="R161" s="1208">
        <f t="shared" si="25"/>
        <v>23</v>
      </c>
      <c r="S161" s="1258">
        <v>111.3</v>
      </c>
      <c r="T161" s="1258">
        <v>95.45</v>
      </c>
      <c r="U161" s="1258">
        <v>78.75</v>
      </c>
      <c r="X161" s="1208">
        <f t="shared" si="26"/>
        <v>23</v>
      </c>
      <c r="Y161" s="1258">
        <v>101.6</v>
      </c>
      <c r="Z161" s="1258">
        <v>87.15</v>
      </c>
      <c r="AA161" s="1258">
        <v>71.900000000000006</v>
      </c>
      <c r="AC161" s="1280">
        <v>16</v>
      </c>
      <c r="AD161" s="1258">
        <v>1.65</v>
      </c>
      <c r="AE161" s="1258">
        <v>1.5</v>
      </c>
      <c r="AG161" s="686">
        <v>18</v>
      </c>
      <c r="AH161" s="1206">
        <v>1.1499999999999999</v>
      </c>
      <c r="AL161" s="1263">
        <v>13</v>
      </c>
      <c r="AM161" s="1276">
        <v>84.95</v>
      </c>
      <c r="AN161" s="1276">
        <v>54.3</v>
      </c>
      <c r="AO161" s="1276">
        <v>45.7</v>
      </c>
      <c r="AQ161" s="1273">
        <v>23</v>
      </c>
      <c r="AR161" s="1277">
        <v>2.25</v>
      </c>
      <c r="AS161" s="1277">
        <v>2.15</v>
      </c>
      <c r="AT161" s="1277">
        <v>2.46</v>
      </c>
      <c r="AV161" s="1254">
        <f t="shared" si="27"/>
        <v>11</v>
      </c>
      <c r="AW161" s="1278">
        <v>399.75</v>
      </c>
      <c r="AY161" s="688">
        <f t="shared" si="28"/>
        <v>23</v>
      </c>
      <c r="AZ161" s="1258">
        <v>2.0699999999999998</v>
      </c>
      <c r="BA161" s="1258">
        <v>2.59</v>
      </c>
      <c r="BB161" s="1258">
        <v>3.28</v>
      </c>
      <c r="BD161" s="688">
        <f t="shared" si="29"/>
        <v>23</v>
      </c>
      <c r="BE161" s="1258">
        <v>1.89</v>
      </c>
      <c r="BF161" s="1258">
        <v>2.35</v>
      </c>
      <c r="BG161" s="1258">
        <v>2.98</v>
      </c>
      <c r="BK161" s="1208">
        <v>20</v>
      </c>
      <c r="BL161" s="826">
        <v>768.55</v>
      </c>
      <c r="BM161" s="826">
        <v>771.55</v>
      </c>
      <c r="BN161" s="826">
        <v>772.05</v>
      </c>
      <c r="BQ161" s="826">
        <v>100000</v>
      </c>
      <c r="BR161" s="826">
        <v>6</v>
      </c>
      <c r="BS161" s="826">
        <v>4</v>
      </c>
      <c r="BT161" s="826">
        <v>0</v>
      </c>
      <c r="BW161" s="1275" t="e">
        <f>LOOKUP(CB153,PM!BW163:BY163,PM!BW162:BY162)</f>
        <v>#N/A</v>
      </c>
      <c r="CQ161" s="1238">
        <v>48</v>
      </c>
      <c r="CR161" s="1239">
        <v>2.4</v>
      </c>
      <c r="CS161" s="1239">
        <v>2.6</v>
      </c>
      <c r="CT161" s="1239">
        <v>2.8</v>
      </c>
      <c r="CU161" s="1239">
        <v>3</v>
      </c>
      <c r="CV161" s="1239">
        <v>3.2</v>
      </c>
      <c r="CW161" s="1279"/>
      <c r="CX161" s="1239" t="s">
        <v>39</v>
      </c>
      <c r="CY161" s="1239" t="s">
        <v>39</v>
      </c>
      <c r="CZ161" s="1239" t="s">
        <v>39</v>
      </c>
      <c r="DA161" s="1239" t="s">
        <v>39</v>
      </c>
      <c r="DB161" s="1239" t="s">
        <v>39</v>
      </c>
      <c r="DC161" s="1239" t="s">
        <v>39</v>
      </c>
      <c r="DD161" s="1279"/>
      <c r="DG161" s="1267">
        <v>38</v>
      </c>
      <c r="DH161" s="1268">
        <v>0.4</v>
      </c>
      <c r="DI161" s="1268">
        <v>0.45</v>
      </c>
      <c r="DJ161" s="1269">
        <v>0.45</v>
      </c>
      <c r="DK161" s="1270">
        <v>0.5</v>
      </c>
      <c r="DL161" s="1268">
        <v>0.5</v>
      </c>
      <c r="DM161" s="1268">
        <v>0.55000000000000004</v>
      </c>
      <c r="DN161" s="1269">
        <v>0.55000000000000004</v>
      </c>
      <c r="DO161" s="1269">
        <v>0.6</v>
      </c>
      <c r="DP161" s="1268">
        <v>0.6</v>
      </c>
      <c r="DQ161" s="1268">
        <v>0.65</v>
      </c>
      <c r="DR161" s="1269">
        <v>0.7</v>
      </c>
      <c r="DT161" s="1237">
        <v>48</v>
      </c>
      <c r="DU161" s="1260">
        <v>2.5499999999999998</v>
      </c>
      <c r="DV161" s="1260">
        <v>2.5</v>
      </c>
      <c r="DW161" s="1260">
        <v>2.4500000000000002</v>
      </c>
      <c r="DX161" s="1260">
        <v>2.4500000000000002</v>
      </c>
      <c r="DY161" s="1260">
        <v>2.4</v>
      </c>
      <c r="DZ161" s="1260">
        <v>2.4</v>
      </c>
      <c r="EA161" s="1260">
        <v>2.4</v>
      </c>
      <c r="EB161" s="1260">
        <v>2.4500000000000002</v>
      </c>
      <c r="EC161" s="1260">
        <v>2.4500000000000002</v>
      </c>
      <c r="ED161" s="1260">
        <v>2.5</v>
      </c>
      <c r="EE161" s="1260">
        <v>2.5</v>
      </c>
      <c r="EF161" s="1260">
        <v>2.5499999999999998</v>
      </c>
      <c r="EG161" s="1260">
        <v>2.6</v>
      </c>
      <c r="EH161" s="1242" t="s">
        <v>39</v>
      </c>
      <c r="EI161" s="1242" t="s">
        <v>39</v>
      </c>
      <c r="EJ161" s="1242" t="s">
        <v>39</v>
      </c>
      <c r="EK161" s="1242" t="s">
        <v>39</v>
      </c>
      <c r="EL161" s="1242" t="s">
        <v>39</v>
      </c>
      <c r="EM161" s="1242" t="s">
        <v>39</v>
      </c>
      <c r="EN161" s="1242" t="s">
        <v>39</v>
      </c>
      <c r="EO161" s="1242" t="s">
        <v>39</v>
      </c>
    </row>
    <row r="162" spans="2:145" ht="15" customHeight="1">
      <c r="B162" s="1207">
        <v>24</v>
      </c>
      <c r="C162" s="828">
        <v>100.9</v>
      </c>
      <c r="D162" s="828">
        <v>91.05</v>
      </c>
      <c r="E162" s="828">
        <v>82.95</v>
      </c>
      <c r="F162" s="828">
        <v>76.099999999999994</v>
      </c>
      <c r="G162" s="828">
        <v>70.25</v>
      </c>
      <c r="H162" s="828">
        <v>66.2</v>
      </c>
      <c r="I162" s="828">
        <v>61.7</v>
      </c>
      <c r="J162" s="828">
        <v>57.75</v>
      </c>
      <c r="K162" s="828">
        <v>54.3</v>
      </c>
      <c r="L162" s="828">
        <v>51.2</v>
      </c>
      <c r="M162" s="828">
        <v>48.4</v>
      </c>
      <c r="N162" s="828">
        <v>45.9</v>
      </c>
      <c r="O162" s="828">
        <v>43.65</v>
      </c>
      <c r="R162" s="1208">
        <f t="shared" si="25"/>
        <v>24</v>
      </c>
      <c r="S162" s="1258">
        <v>111.3</v>
      </c>
      <c r="T162" s="1258">
        <v>95.5</v>
      </c>
      <c r="U162" s="1258">
        <v>78.8</v>
      </c>
      <c r="X162" s="1208">
        <f t="shared" si="26"/>
        <v>24</v>
      </c>
      <c r="Y162" s="1258">
        <v>101.6</v>
      </c>
      <c r="Z162" s="1258">
        <v>87.2</v>
      </c>
      <c r="AA162" s="1258">
        <v>72</v>
      </c>
      <c r="AC162" s="1280">
        <v>21</v>
      </c>
      <c r="AD162" s="1258">
        <v>1.95</v>
      </c>
      <c r="AE162" s="1258">
        <v>1.8</v>
      </c>
      <c r="AG162" s="686">
        <v>19</v>
      </c>
      <c r="AH162" s="1206">
        <v>1.1499999999999999</v>
      </c>
      <c r="AL162" s="1263">
        <v>14</v>
      </c>
      <c r="AM162" s="1276">
        <v>85</v>
      </c>
      <c r="AN162" s="1276">
        <v>54.3</v>
      </c>
      <c r="AO162" s="1276">
        <v>45.75</v>
      </c>
      <c r="AQ162" s="1273">
        <v>24</v>
      </c>
      <c r="AR162" s="1277">
        <v>2.31</v>
      </c>
      <c r="AS162" s="1277">
        <v>2.23</v>
      </c>
      <c r="AT162" s="1277">
        <v>2.58</v>
      </c>
      <c r="AV162" s="1254">
        <f t="shared" si="27"/>
        <v>12</v>
      </c>
      <c r="AW162" s="1278">
        <v>401.1</v>
      </c>
      <c r="AY162" s="688">
        <f t="shared" si="28"/>
        <v>24</v>
      </c>
      <c r="AZ162" s="1258">
        <v>2.11</v>
      </c>
      <c r="BA162" s="1258">
        <v>2.66</v>
      </c>
      <c r="BB162" s="1258">
        <v>3.41</v>
      </c>
      <c r="BD162" s="688">
        <f t="shared" si="29"/>
        <v>24</v>
      </c>
      <c r="BE162" s="1258">
        <v>1.92</v>
      </c>
      <c r="BF162" s="1258">
        <v>2.42</v>
      </c>
      <c r="BG162" s="1258">
        <v>3.1</v>
      </c>
      <c r="BK162" s="1208">
        <v>21</v>
      </c>
      <c r="BL162" s="826">
        <v>768.65</v>
      </c>
      <c r="BM162" s="826">
        <v>771.6</v>
      </c>
      <c r="BN162" s="826">
        <v>772.15</v>
      </c>
      <c r="BQ162" s="826">
        <v>150000</v>
      </c>
      <c r="BR162" s="826">
        <v>8</v>
      </c>
      <c r="BS162" s="826">
        <v>4</v>
      </c>
      <c r="BT162" s="826">
        <v>3</v>
      </c>
      <c r="BW162" s="824">
        <v>50</v>
      </c>
      <c r="BX162" s="824">
        <v>45</v>
      </c>
      <c r="BY162" s="824">
        <v>41</v>
      </c>
      <c r="CQ162" s="1238">
        <v>49</v>
      </c>
      <c r="CR162" s="1239">
        <v>2.65</v>
      </c>
      <c r="CS162" s="1239">
        <v>2.85</v>
      </c>
      <c r="CT162" s="1239">
        <v>3.05</v>
      </c>
      <c r="CU162" s="1239">
        <v>3.3</v>
      </c>
      <c r="CV162" s="1279"/>
      <c r="CW162" s="1239" t="s">
        <v>39</v>
      </c>
      <c r="CX162" s="1239" t="s">
        <v>39</v>
      </c>
      <c r="CY162" s="1279"/>
      <c r="CZ162" s="1239" t="s">
        <v>39</v>
      </c>
      <c r="DA162" s="1239" t="s">
        <v>39</v>
      </c>
      <c r="DB162" s="1239" t="s">
        <v>39</v>
      </c>
      <c r="DC162" s="1279"/>
      <c r="DD162" s="1239" t="s">
        <v>39</v>
      </c>
      <c r="DG162" s="1267">
        <v>39</v>
      </c>
      <c r="DH162" s="1268">
        <v>0.45</v>
      </c>
      <c r="DI162" s="1268">
        <v>0.45</v>
      </c>
      <c r="DJ162" s="1269">
        <v>0.5</v>
      </c>
      <c r="DK162" s="1270">
        <v>0.5</v>
      </c>
      <c r="DL162" s="1268">
        <v>0.55000000000000004</v>
      </c>
      <c r="DM162" s="1268">
        <v>0.6</v>
      </c>
      <c r="DN162" s="1269">
        <v>0.6</v>
      </c>
      <c r="DO162" s="1269">
        <v>0.65</v>
      </c>
      <c r="DP162" s="1268">
        <v>0.7</v>
      </c>
      <c r="DQ162" s="1268">
        <v>0.7</v>
      </c>
      <c r="DR162" s="1269">
        <v>0.75</v>
      </c>
      <c r="DT162" s="1237">
        <v>49</v>
      </c>
      <c r="DU162" s="1260">
        <v>2.7</v>
      </c>
      <c r="DV162" s="1260">
        <v>2.65</v>
      </c>
      <c r="DW162" s="1260">
        <v>2.6</v>
      </c>
      <c r="DX162" s="1260">
        <v>2.5499999999999998</v>
      </c>
      <c r="DY162" s="1260">
        <v>2.5499999999999998</v>
      </c>
      <c r="DZ162" s="1260">
        <v>2.5499999999999998</v>
      </c>
      <c r="EA162" s="1260">
        <v>2.5499999999999998</v>
      </c>
      <c r="EB162" s="1260">
        <v>2.6</v>
      </c>
      <c r="EC162" s="1260">
        <v>2.6</v>
      </c>
      <c r="ED162" s="1260">
        <v>2.65</v>
      </c>
      <c r="EE162" s="1260">
        <v>2.7</v>
      </c>
      <c r="EF162" s="1260">
        <v>2.75</v>
      </c>
      <c r="EG162" s="1242" t="s">
        <v>39</v>
      </c>
      <c r="EH162" s="1242" t="s">
        <v>39</v>
      </c>
      <c r="EI162" s="1242" t="s">
        <v>39</v>
      </c>
      <c r="EJ162" s="1242" t="s">
        <v>39</v>
      </c>
      <c r="EK162" s="1242" t="s">
        <v>39</v>
      </c>
      <c r="EL162" s="1242" t="s">
        <v>39</v>
      </c>
      <c r="EM162" s="1242" t="s">
        <v>39</v>
      </c>
      <c r="EN162" s="1242" t="s">
        <v>39</v>
      </c>
      <c r="EO162" s="1242" t="s">
        <v>39</v>
      </c>
    </row>
    <row r="163" spans="2:145" ht="15" customHeight="1">
      <c r="B163" s="1207">
        <v>25</v>
      </c>
      <c r="C163" s="828">
        <v>100.9</v>
      </c>
      <c r="D163" s="828">
        <v>91.1</v>
      </c>
      <c r="E163" s="828">
        <v>82.95</v>
      </c>
      <c r="F163" s="828">
        <v>76.150000000000006</v>
      </c>
      <c r="G163" s="828">
        <v>70.3</v>
      </c>
      <c r="H163" s="828">
        <v>66.25</v>
      </c>
      <c r="I163" s="828">
        <v>61.75</v>
      </c>
      <c r="J163" s="828">
        <v>57.85</v>
      </c>
      <c r="K163" s="828">
        <v>54.35</v>
      </c>
      <c r="L163" s="828">
        <v>51.25</v>
      </c>
      <c r="M163" s="828">
        <v>48.5</v>
      </c>
      <c r="N163" s="828">
        <v>46</v>
      </c>
      <c r="O163" s="828">
        <v>43.75</v>
      </c>
      <c r="R163" s="1208">
        <f t="shared" si="25"/>
        <v>25</v>
      </c>
      <c r="S163" s="1258">
        <v>111.35</v>
      </c>
      <c r="T163" s="1258">
        <v>95.55</v>
      </c>
      <c r="U163" s="1258">
        <v>78.900000000000006</v>
      </c>
      <c r="X163" s="1208">
        <f t="shared" si="26"/>
        <v>25</v>
      </c>
      <c r="Y163" s="1258">
        <v>101.65</v>
      </c>
      <c r="Z163" s="1258">
        <v>87.25</v>
      </c>
      <c r="AA163" s="1258">
        <v>72.05</v>
      </c>
      <c r="AG163" s="686">
        <v>20</v>
      </c>
      <c r="AH163" s="1206">
        <v>1.1000000000000001</v>
      </c>
      <c r="AL163" s="1263">
        <v>15</v>
      </c>
      <c r="AM163" s="1276">
        <v>85.05</v>
      </c>
      <c r="AN163" s="1276">
        <v>54.35</v>
      </c>
      <c r="AO163" s="1276">
        <v>45.8</v>
      </c>
      <c r="AQ163" s="1273">
        <v>25</v>
      </c>
      <c r="AR163" s="1277">
        <v>2.38</v>
      </c>
      <c r="AS163" s="1277">
        <v>2.33</v>
      </c>
      <c r="AT163" s="1277">
        <v>2.73</v>
      </c>
      <c r="AV163" s="1254">
        <f t="shared" si="27"/>
        <v>13</v>
      </c>
      <c r="AW163" s="1278">
        <v>402.55</v>
      </c>
      <c r="AY163" s="688">
        <f t="shared" si="28"/>
        <v>25</v>
      </c>
      <c r="AZ163" s="1258">
        <v>2.15</v>
      </c>
      <c r="BA163" s="1258">
        <v>2.74</v>
      </c>
      <c r="BB163" s="1258">
        <v>3.55</v>
      </c>
      <c r="BD163" s="688">
        <f t="shared" si="29"/>
        <v>25</v>
      </c>
      <c r="BE163" s="1258">
        <v>1.96</v>
      </c>
      <c r="BF163" s="1258">
        <v>2.4900000000000002</v>
      </c>
      <c r="BG163" s="1258">
        <v>3.23</v>
      </c>
      <c r="BK163" s="1208">
        <v>22</v>
      </c>
      <c r="BL163" s="826">
        <v>768.7</v>
      </c>
      <c r="BM163" s="826">
        <v>771.7</v>
      </c>
      <c r="BN163" s="826">
        <v>772.25</v>
      </c>
      <c r="BQ163" s="826">
        <v>200000</v>
      </c>
      <c r="BR163" s="826">
        <v>8</v>
      </c>
      <c r="BS163" s="826">
        <v>6</v>
      </c>
      <c r="BT163" s="826">
        <v>3</v>
      </c>
      <c r="BW163" s="824">
        <v>16</v>
      </c>
      <c r="BX163" s="824">
        <v>20</v>
      </c>
      <c r="BY163" s="824">
        <v>24</v>
      </c>
      <c r="CQ163" s="1238">
        <v>50</v>
      </c>
      <c r="CR163" s="1239">
        <v>2.9</v>
      </c>
      <c r="CS163" s="1239">
        <v>3.1</v>
      </c>
      <c r="CT163" s="1239">
        <v>3.35</v>
      </c>
      <c r="CU163" s="1239" t="s">
        <v>39</v>
      </c>
      <c r="CV163" s="1239" t="s">
        <v>39</v>
      </c>
      <c r="CW163" s="1239" t="s">
        <v>39</v>
      </c>
      <c r="CX163" s="1239" t="s">
        <v>39</v>
      </c>
      <c r="CY163" s="1239" t="s">
        <v>39</v>
      </c>
      <c r="CZ163" s="1239" t="s">
        <v>39</v>
      </c>
      <c r="DA163" s="1239" t="s">
        <v>39</v>
      </c>
      <c r="DB163" s="1239" t="s">
        <v>39</v>
      </c>
      <c r="DC163" s="1239" t="s">
        <v>39</v>
      </c>
      <c r="DD163" s="1239" t="s">
        <v>39</v>
      </c>
      <c r="DG163" s="1267">
        <v>40</v>
      </c>
      <c r="DH163" s="1268">
        <v>0.5</v>
      </c>
      <c r="DI163" s="1268">
        <v>0.5</v>
      </c>
      <c r="DJ163" s="1269">
        <v>0.55000000000000004</v>
      </c>
      <c r="DK163" s="1270">
        <v>0.55000000000000004</v>
      </c>
      <c r="DL163" s="1268">
        <v>0.6</v>
      </c>
      <c r="DM163" s="1268">
        <v>0.65</v>
      </c>
      <c r="DN163" s="1269">
        <v>0.7</v>
      </c>
      <c r="DO163" s="1269">
        <v>0.7</v>
      </c>
      <c r="DP163" s="1268">
        <v>0.75</v>
      </c>
      <c r="DQ163" s="1268">
        <v>0.8</v>
      </c>
      <c r="DR163" s="1269">
        <v>0.8</v>
      </c>
      <c r="DT163" s="1237">
        <v>50</v>
      </c>
      <c r="DU163" s="1260">
        <v>2.8</v>
      </c>
      <c r="DV163" s="1260">
        <v>2.75</v>
      </c>
      <c r="DW163" s="1260">
        <v>2.75</v>
      </c>
      <c r="DX163" s="1260">
        <v>2.7</v>
      </c>
      <c r="DY163" s="1260">
        <v>2.7</v>
      </c>
      <c r="DZ163" s="1260">
        <v>2.7</v>
      </c>
      <c r="EA163" s="1260">
        <v>2.75</v>
      </c>
      <c r="EB163" s="1260">
        <v>2.75</v>
      </c>
      <c r="EC163" s="1260">
        <v>2.8</v>
      </c>
      <c r="ED163" s="1260">
        <v>2.85</v>
      </c>
      <c r="EE163" s="1260">
        <v>2.9</v>
      </c>
      <c r="EF163" s="1242" t="s">
        <v>39</v>
      </c>
      <c r="EG163" s="1242" t="s">
        <v>39</v>
      </c>
      <c r="EH163" s="1242" t="s">
        <v>39</v>
      </c>
      <c r="EI163" s="1242" t="s">
        <v>39</v>
      </c>
      <c r="EJ163" s="1242" t="s">
        <v>39</v>
      </c>
      <c r="EK163" s="1242" t="s">
        <v>39</v>
      </c>
      <c r="EL163" s="1242" t="s">
        <v>39</v>
      </c>
      <c r="EM163" s="1242" t="s">
        <v>39</v>
      </c>
      <c r="EN163" s="1242" t="s">
        <v>39</v>
      </c>
      <c r="EO163" s="1242" t="s">
        <v>39</v>
      </c>
    </row>
    <row r="164" spans="2:145" ht="15" customHeight="1">
      <c r="B164" s="1207">
        <v>26</v>
      </c>
      <c r="C164" s="828">
        <v>100.95</v>
      </c>
      <c r="D164" s="828">
        <v>91.15</v>
      </c>
      <c r="E164" s="828">
        <v>83</v>
      </c>
      <c r="F164" s="828">
        <v>76.150000000000006</v>
      </c>
      <c r="G164" s="828">
        <v>70.349999999999994</v>
      </c>
      <c r="H164" s="828">
        <v>66.3</v>
      </c>
      <c r="I164" s="828">
        <v>61.85</v>
      </c>
      <c r="J164" s="828">
        <v>57.9</v>
      </c>
      <c r="K164" s="828">
        <v>54.45</v>
      </c>
      <c r="L164" s="828">
        <v>51.35</v>
      </c>
      <c r="M164" s="828">
        <v>48.6</v>
      </c>
      <c r="N164" s="828">
        <v>46.1</v>
      </c>
      <c r="O164" s="828">
        <v>43.9</v>
      </c>
      <c r="R164" s="1208">
        <f t="shared" si="25"/>
        <v>26</v>
      </c>
      <c r="S164" s="1258">
        <v>111.35</v>
      </c>
      <c r="T164" s="1258">
        <v>95.6</v>
      </c>
      <c r="U164" s="1258">
        <v>79</v>
      </c>
      <c r="X164" s="1208">
        <f t="shared" si="26"/>
        <v>26</v>
      </c>
      <c r="Y164" s="1258">
        <v>101.65</v>
      </c>
      <c r="Z164" s="1258">
        <v>87.3</v>
      </c>
      <c r="AA164" s="1258">
        <v>72.150000000000006</v>
      </c>
      <c r="AC164" s="824" t="s">
        <v>46</v>
      </c>
      <c r="AD164" s="968">
        <f>LOOKUP(AC$156,AD$159:AE$159,AD165:AE165)</f>
        <v>2.95</v>
      </c>
      <c r="AG164" s="686">
        <v>21</v>
      </c>
      <c r="AH164" s="1206">
        <v>1.1000000000000001</v>
      </c>
      <c r="AL164" s="1263">
        <v>16</v>
      </c>
      <c r="AM164" s="1276">
        <v>85.1</v>
      </c>
      <c r="AN164" s="1276">
        <v>54.4</v>
      </c>
      <c r="AO164" s="1276">
        <v>45.8</v>
      </c>
      <c r="AQ164" s="1273">
        <v>26</v>
      </c>
      <c r="AR164" s="1277">
        <v>2.46</v>
      </c>
      <c r="AS164" s="1277">
        <v>2.44</v>
      </c>
      <c r="AT164" s="1277">
        <v>2.89</v>
      </c>
      <c r="AV164" s="1254">
        <f t="shared" si="27"/>
        <v>14</v>
      </c>
      <c r="AW164" s="1278">
        <v>403.95</v>
      </c>
      <c r="AY164" s="688">
        <f t="shared" si="28"/>
        <v>26</v>
      </c>
      <c r="AZ164" s="1258">
        <v>2.21</v>
      </c>
      <c r="BA164" s="1258">
        <v>2.83</v>
      </c>
      <c r="BB164" s="1258">
        <v>3.73</v>
      </c>
      <c r="BD164" s="688">
        <f t="shared" si="29"/>
        <v>26</v>
      </c>
      <c r="BE164" s="1258">
        <v>2.0099999999999998</v>
      </c>
      <c r="BF164" s="1258">
        <v>2.58</v>
      </c>
      <c r="BG164" s="1258">
        <v>3.39</v>
      </c>
      <c r="BK164" s="1208">
        <v>23</v>
      </c>
      <c r="BL164" s="826">
        <v>768.8</v>
      </c>
      <c r="BM164" s="826">
        <v>771.8</v>
      </c>
      <c r="BN164" s="826">
        <v>772.4</v>
      </c>
      <c r="BQ164" s="826">
        <v>300000</v>
      </c>
      <c r="BR164" s="826">
        <v>8</v>
      </c>
      <c r="BS164" s="826">
        <v>6</v>
      </c>
      <c r="BT164" s="826">
        <v>5</v>
      </c>
      <c r="BW164" s="1275" t="e">
        <f>LOOKUP(CB153,PM!BW166:BY166,PM!BW165:BY165)</f>
        <v>#N/A</v>
      </c>
      <c r="DG164" s="1267">
        <v>41</v>
      </c>
      <c r="DH164" s="1268">
        <v>0.55000000000000004</v>
      </c>
      <c r="DI164" s="1268">
        <v>0.55000000000000004</v>
      </c>
      <c r="DJ164" s="1269">
        <v>0.6</v>
      </c>
      <c r="DK164" s="1270">
        <v>0.65</v>
      </c>
      <c r="DL164" s="1268">
        <v>0.65</v>
      </c>
      <c r="DM164" s="1268">
        <v>0.7</v>
      </c>
      <c r="DN164" s="1269">
        <v>0.75</v>
      </c>
      <c r="DO164" s="1269">
        <v>0.8</v>
      </c>
      <c r="DP164" s="1268">
        <v>0.85</v>
      </c>
      <c r="DQ164" s="1268">
        <v>0.85</v>
      </c>
      <c r="DR164" s="1269">
        <v>0.9</v>
      </c>
    </row>
    <row r="165" spans="2:145" ht="15" customHeight="1">
      <c r="B165" s="1207">
        <v>27</v>
      </c>
      <c r="C165" s="828">
        <v>101</v>
      </c>
      <c r="D165" s="828">
        <v>91.2</v>
      </c>
      <c r="E165" s="828">
        <v>83.05</v>
      </c>
      <c r="F165" s="828">
        <v>76.25</v>
      </c>
      <c r="G165" s="828">
        <v>70.400000000000006</v>
      </c>
      <c r="H165" s="828">
        <v>66.400000000000006</v>
      </c>
      <c r="I165" s="828">
        <v>61.9</v>
      </c>
      <c r="J165" s="828">
        <v>58</v>
      </c>
      <c r="K165" s="828">
        <v>54.55</v>
      </c>
      <c r="L165" s="828">
        <v>51.45</v>
      </c>
      <c r="M165" s="828">
        <v>48.7</v>
      </c>
      <c r="N165" s="828">
        <v>46.25</v>
      </c>
      <c r="O165" s="828">
        <v>44</v>
      </c>
      <c r="R165" s="1208">
        <f t="shared" si="25"/>
        <v>27</v>
      </c>
      <c r="S165" s="1258">
        <v>111.4</v>
      </c>
      <c r="T165" s="1258">
        <v>95.65</v>
      </c>
      <c r="U165" s="1258">
        <v>79.099999999999994</v>
      </c>
      <c r="X165" s="1208">
        <f t="shared" si="26"/>
        <v>27</v>
      </c>
      <c r="Y165" s="1258">
        <v>101.7</v>
      </c>
      <c r="Z165" s="1258">
        <v>87.35</v>
      </c>
      <c r="AA165" s="1258">
        <v>72.25</v>
      </c>
      <c r="AD165" s="968">
        <f>LOOKUP($X$154,$AC167:$AC169,AD167:AD169)</f>
        <v>2.95</v>
      </c>
      <c r="AE165" s="968">
        <f>LOOKUP($X$154,$AC167:$AC169,AE167:AE169)</f>
        <v>2.65</v>
      </c>
      <c r="AG165" s="686">
        <v>22</v>
      </c>
      <c r="AH165" s="1206">
        <v>1.1000000000000001</v>
      </c>
      <c r="AL165" s="1263">
        <v>17</v>
      </c>
      <c r="AM165" s="1276">
        <v>85.15</v>
      </c>
      <c r="AN165" s="1276">
        <v>54.45</v>
      </c>
      <c r="AO165" s="1276">
        <v>45.85</v>
      </c>
      <c r="AQ165" s="1273">
        <v>27</v>
      </c>
      <c r="AR165" s="1277">
        <v>2.56</v>
      </c>
      <c r="AS165" s="1277">
        <v>2.57</v>
      </c>
      <c r="AT165" s="1277">
        <v>3.07</v>
      </c>
      <c r="AV165" s="1254">
        <f t="shared" si="27"/>
        <v>15</v>
      </c>
      <c r="AW165" s="1278">
        <v>405.3</v>
      </c>
      <c r="AY165" s="688">
        <f t="shared" si="28"/>
        <v>27</v>
      </c>
      <c r="AZ165" s="1258">
        <v>2.27</v>
      </c>
      <c r="BA165" s="1258">
        <v>2.94</v>
      </c>
      <c r="BB165" s="1258">
        <v>3.93</v>
      </c>
      <c r="BD165" s="688">
        <f t="shared" si="29"/>
        <v>27</v>
      </c>
      <c r="BE165" s="1258">
        <v>2.0699999999999998</v>
      </c>
      <c r="BF165" s="1258">
        <v>2.68</v>
      </c>
      <c r="BG165" s="1258">
        <v>3.57</v>
      </c>
      <c r="BK165" s="1208">
        <v>24</v>
      </c>
      <c r="BL165" s="826">
        <v>768.85</v>
      </c>
      <c r="BM165" s="826">
        <v>771.9</v>
      </c>
      <c r="BN165" s="826">
        <v>772.5</v>
      </c>
      <c r="BW165" s="824">
        <v>66</v>
      </c>
      <c r="BX165" s="824">
        <v>65</v>
      </c>
      <c r="BY165" s="824">
        <v>65</v>
      </c>
      <c r="DG165" s="1267">
        <v>42</v>
      </c>
      <c r="DH165" s="1268">
        <v>0.6</v>
      </c>
      <c r="DI165" s="1268">
        <v>0.65</v>
      </c>
      <c r="DJ165" s="1269">
        <v>0.65</v>
      </c>
      <c r="DK165" s="1270">
        <v>0.7</v>
      </c>
      <c r="DL165" s="1268">
        <v>0.75</v>
      </c>
      <c r="DM165" s="1268">
        <v>0.8</v>
      </c>
      <c r="DN165" s="1269">
        <v>0.85</v>
      </c>
      <c r="DO165" s="1269">
        <v>0.85</v>
      </c>
      <c r="DP165" s="1268">
        <v>0.9</v>
      </c>
      <c r="DQ165" s="1268">
        <v>0.95</v>
      </c>
      <c r="DR165" s="1269">
        <v>1</v>
      </c>
    </row>
    <row r="166" spans="2:145" ht="15" customHeight="1">
      <c r="B166" s="1207">
        <v>28</v>
      </c>
      <c r="C166" s="828">
        <v>101.05</v>
      </c>
      <c r="D166" s="828">
        <v>91.25</v>
      </c>
      <c r="E166" s="828">
        <v>83.15</v>
      </c>
      <c r="F166" s="828">
        <v>76.3</v>
      </c>
      <c r="G166" s="828">
        <v>70.5</v>
      </c>
      <c r="H166" s="828">
        <v>66.5</v>
      </c>
      <c r="I166" s="828">
        <v>62</v>
      </c>
      <c r="J166" s="828">
        <v>58.1</v>
      </c>
      <c r="K166" s="828">
        <v>54.65</v>
      </c>
      <c r="L166" s="828">
        <v>51.55</v>
      </c>
      <c r="M166" s="828">
        <v>48.85</v>
      </c>
      <c r="N166" s="828">
        <v>46.4</v>
      </c>
      <c r="O166" s="828">
        <v>44.15</v>
      </c>
      <c r="R166" s="1208">
        <f t="shared" si="25"/>
        <v>28</v>
      </c>
      <c r="S166" s="1258">
        <v>111.45</v>
      </c>
      <c r="T166" s="1258">
        <v>95.7</v>
      </c>
      <c r="U166" s="1258">
        <v>79.2</v>
      </c>
      <c r="X166" s="1208">
        <f t="shared" si="26"/>
        <v>28</v>
      </c>
      <c r="Y166" s="1258">
        <v>101.75</v>
      </c>
      <c r="Z166" s="1258">
        <v>87.4</v>
      </c>
      <c r="AA166" s="1258">
        <v>72.349999999999994</v>
      </c>
      <c r="AD166" s="1280">
        <v>8</v>
      </c>
      <c r="AE166" s="1280">
        <v>9</v>
      </c>
      <c r="AG166" s="686">
        <v>23</v>
      </c>
      <c r="AH166" s="1206">
        <v>1.1000000000000001</v>
      </c>
      <c r="AL166" s="1263">
        <v>18</v>
      </c>
      <c r="AM166" s="1276">
        <v>85.15</v>
      </c>
      <c r="AN166" s="1276">
        <v>54.45</v>
      </c>
      <c r="AO166" s="1276">
        <v>45.9</v>
      </c>
      <c r="AQ166" s="1273">
        <v>28</v>
      </c>
      <c r="AR166" s="1277">
        <v>2.68</v>
      </c>
      <c r="AS166" s="1277">
        <v>2.73</v>
      </c>
      <c r="AT166" s="1277">
        <v>3.28</v>
      </c>
      <c r="AV166" s="1254">
        <f t="shared" si="27"/>
        <v>16</v>
      </c>
      <c r="AW166" s="1278">
        <v>406.5</v>
      </c>
      <c r="AY166" s="688">
        <f t="shared" si="28"/>
        <v>28</v>
      </c>
      <c r="AZ166" s="1258">
        <v>2.35</v>
      </c>
      <c r="BA166" s="1258">
        <v>3.08</v>
      </c>
      <c r="BB166" s="1258">
        <v>4.16</v>
      </c>
      <c r="BD166" s="688">
        <f t="shared" si="29"/>
        <v>28</v>
      </c>
      <c r="BE166" s="1258">
        <v>2.14</v>
      </c>
      <c r="BF166" s="1258">
        <v>2.8</v>
      </c>
      <c r="BG166" s="1258">
        <v>3.79</v>
      </c>
      <c r="BK166" s="1208">
        <v>25</v>
      </c>
      <c r="BL166" s="826">
        <v>768.95</v>
      </c>
      <c r="BM166" s="826">
        <v>772</v>
      </c>
      <c r="BN166" s="826">
        <v>772.7</v>
      </c>
      <c r="BW166" s="824">
        <v>16</v>
      </c>
      <c r="BX166" s="824">
        <v>20</v>
      </c>
      <c r="BY166" s="824">
        <v>24</v>
      </c>
      <c r="CP166" s="1205">
        <f>LOOKUP($B$1,$CO168:$CO233,CP168:CP233)</f>
        <v>0.45</v>
      </c>
      <c r="CQ166" s="1205">
        <f t="shared" ref="CQ166:DE166" si="30">LOOKUP($B$1,$CO168:$CO233,CQ168:CQ233)</f>
        <v>0.55000000000000004</v>
      </c>
      <c r="CR166" s="1205">
        <f t="shared" si="30"/>
        <v>0.7</v>
      </c>
      <c r="CS166" s="1205">
        <f t="shared" si="30"/>
        <v>0.8</v>
      </c>
      <c r="CT166" s="1205">
        <f t="shared" si="30"/>
        <v>0.95</v>
      </c>
      <c r="CU166" s="1205">
        <f t="shared" si="30"/>
        <v>1.05</v>
      </c>
      <c r="CV166" s="1205">
        <f t="shared" si="30"/>
        <v>1.2</v>
      </c>
      <c r="CW166" s="1205">
        <f t="shared" si="30"/>
        <v>1.4</v>
      </c>
      <c r="CX166" s="1205">
        <f t="shared" si="30"/>
        <v>1.55</v>
      </c>
      <c r="CY166" s="1205">
        <f t="shared" si="30"/>
        <v>1.75</v>
      </c>
      <c r="CZ166" s="1205">
        <f t="shared" si="30"/>
        <v>1.95</v>
      </c>
      <c r="DA166" s="1205">
        <f t="shared" si="30"/>
        <v>2.15</v>
      </c>
      <c r="DB166" s="1205">
        <f t="shared" si="30"/>
        <v>2.4</v>
      </c>
      <c r="DC166" s="1205">
        <f t="shared" si="30"/>
        <v>2.65</v>
      </c>
      <c r="DD166" s="1205">
        <f t="shared" si="30"/>
        <v>2.9</v>
      </c>
      <c r="DE166" s="1205">
        <f t="shared" si="30"/>
        <v>3.15</v>
      </c>
      <c r="DG166" s="1267">
        <v>43</v>
      </c>
      <c r="DH166" s="1268">
        <v>0.65</v>
      </c>
      <c r="DI166" s="1268">
        <v>0.7</v>
      </c>
      <c r="DJ166" s="1269">
        <v>0.75</v>
      </c>
      <c r="DK166" s="1270">
        <v>0.75</v>
      </c>
      <c r="DL166" s="1268">
        <v>0.8</v>
      </c>
      <c r="DM166" s="1268">
        <v>0.85</v>
      </c>
      <c r="DN166" s="1269">
        <v>0.9</v>
      </c>
      <c r="DO166" s="1269">
        <v>0.95</v>
      </c>
      <c r="DP166" s="1268">
        <v>1</v>
      </c>
      <c r="DQ166" s="1268">
        <v>1.05</v>
      </c>
      <c r="DR166" s="1269">
        <v>1.1000000000000001</v>
      </c>
    </row>
    <row r="167" spans="2:145" ht="15" customHeight="1">
      <c r="B167" s="1207">
        <v>29</v>
      </c>
      <c r="C167" s="828">
        <v>101.1</v>
      </c>
      <c r="D167" s="828">
        <v>91.3</v>
      </c>
      <c r="E167" s="828">
        <v>83.2</v>
      </c>
      <c r="F167" s="828">
        <v>76.400000000000006</v>
      </c>
      <c r="G167" s="828">
        <v>70.599999999999994</v>
      </c>
      <c r="H167" s="828">
        <v>66.599999999999994</v>
      </c>
      <c r="I167" s="828">
        <v>62.15</v>
      </c>
      <c r="J167" s="828">
        <v>58.2</v>
      </c>
      <c r="K167" s="828">
        <v>54.8</v>
      </c>
      <c r="L167" s="828">
        <v>51.7</v>
      </c>
      <c r="M167" s="828">
        <v>49</v>
      </c>
      <c r="N167" s="828">
        <v>46.55</v>
      </c>
      <c r="O167" s="828">
        <v>44.35</v>
      </c>
      <c r="R167" s="1208">
        <f t="shared" si="25"/>
        <v>29</v>
      </c>
      <c r="S167" s="1258">
        <v>111.5</v>
      </c>
      <c r="T167" s="1258">
        <v>95.8</v>
      </c>
      <c r="U167" s="1258">
        <v>79.349999999999994</v>
      </c>
      <c r="X167" s="1208">
        <f t="shared" si="26"/>
        <v>29</v>
      </c>
      <c r="Y167" s="1258">
        <v>101.8</v>
      </c>
      <c r="Z167" s="1258">
        <v>87.5</v>
      </c>
      <c r="AA167" s="1258">
        <v>72.5</v>
      </c>
      <c r="AC167" s="1280">
        <v>12</v>
      </c>
      <c r="AD167" s="1258">
        <v>2.0499999999999998</v>
      </c>
      <c r="AE167" s="1258">
        <v>1.9</v>
      </c>
      <c r="AG167" s="686">
        <v>24</v>
      </c>
      <c r="AH167" s="1206">
        <v>1.1000000000000001</v>
      </c>
      <c r="AL167" s="1263">
        <v>19</v>
      </c>
      <c r="AM167" s="1276">
        <v>85.2</v>
      </c>
      <c r="AN167" s="1276">
        <v>54.5</v>
      </c>
      <c r="AO167" s="1276">
        <v>45.95</v>
      </c>
      <c r="AQ167" s="1273">
        <v>29</v>
      </c>
      <c r="AR167" s="1277">
        <v>2.81</v>
      </c>
      <c r="AS167" s="1277">
        <v>2.9</v>
      </c>
      <c r="AT167" s="1277">
        <v>3.52</v>
      </c>
      <c r="AV167" s="1254">
        <f t="shared" si="27"/>
        <v>17</v>
      </c>
      <c r="AW167" s="1278">
        <v>407.6</v>
      </c>
      <c r="AY167" s="688">
        <f t="shared" si="28"/>
        <v>29</v>
      </c>
      <c r="AZ167" s="1258">
        <v>2.44</v>
      </c>
      <c r="BA167" s="1258">
        <v>3.23</v>
      </c>
      <c r="BB167" s="1258">
        <v>4.43</v>
      </c>
      <c r="BD167" s="688">
        <f t="shared" si="29"/>
        <v>29</v>
      </c>
      <c r="BE167" s="1258">
        <v>2.2200000000000002</v>
      </c>
      <c r="BF167" s="1258">
        <v>2.94</v>
      </c>
      <c r="BG167" s="1258">
        <v>4.03</v>
      </c>
      <c r="BK167" s="1208">
        <v>26</v>
      </c>
      <c r="BL167" s="826">
        <v>769.05</v>
      </c>
      <c r="BM167" s="826">
        <v>772.15</v>
      </c>
      <c r="BN167" s="826">
        <v>772.85</v>
      </c>
      <c r="BP167" s="824">
        <f>Main!E$11</f>
        <v>25</v>
      </c>
      <c r="BQ167" s="968">
        <f>LOOKUP($BP$167,$BP168:$BP170,BQ168:BQ170)</f>
        <v>2500000</v>
      </c>
      <c r="BW167" s="824">
        <f>Main!E$11</f>
        <v>25</v>
      </c>
      <c r="BX167" s="1205">
        <f>LOOKUP($BW$167,$BW168:$BW170,BX168:BX170)</f>
        <v>1.35</v>
      </c>
      <c r="BY167" s="1205">
        <f>LOOKUP($BW$167,$BW168:$BW170,BY168:BY170)</f>
        <v>2</v>
      </c>
      <c r="CO167" s="1281">
        <v>817</v>
      </c>
      <c r="CP167" s="1282">
        <v>10</v>
      </c>
      <c r="CQ167" s="1282">
        <v>11</v>
      </c>
      <c r="CR167" s="1282">
        <v>12</v>
      </c>
      <c r="CS167" s="1282">
        <v>13</v>
      </c>
      <c r="CT167" s="1282">
        <v>14</v>
      </c>
      <c r="CU167" s="1282">
        <v>15</v>
      </c>
      <c r="CV167" s="1282">
        <v>16</v>
      </c>
      <c r="CW167" s="1282">
        <v>17</v>
      </c>
      <c r="CX167" s="1282">
        <v>18</v>
      </c>
      <c r="CY167" s="1282">
        <v>19</v>
      </c>
      <c r="CZ167" s="1282">
        <v>20</v>
      </c>
      <c r="DA167" s="1282">
        <v>21</v>
      </c>
      <c r="DB167" s="1282">
        <v>22</v>
      </c>
      <c r="DC167" s="1282">
        <v>23</v>
      </c>
      <c r="DD167" s="1282">
        <v>24</v>
      </c>
      <c r="DE167" s="1282">
        <v>25</v>
      </c>
      <c r="DG167" s="1267">
        <v>44</v>
      </c>
      <c r="DH167" s="1268">
        <v>0.75</v>
      </c>
      <c r="DI167" s="1268">
        <v>0.75</v>
      </c>
      <c r="DJ167" s="1269">
        <v>0.8</v>
      </c>
      <c r="DK167" s="1270">
        <v>0.85</v>
      </c>
      <c r="DL167" s="1268">
        <v>0.9</v>
      </c>
      <c r="DM167" s="1268">
        <v>0.95</v>
      </c>
      <c r="DN167" s="1269">
        <v>1</v>
      </c>
      <c r="DO167" s="1269">
        <v>1.05</v>
      </c>
      <c r="DP167" s="1268">
        <v>1.1000000000000001</v>
      </c>
      <c r="DQ167" s="1268">
        <v>1.1499999999999999</v>
      </c>
      <c r="DR167" s="1269">
        <v>1.2</v>
      </c>
    </row>
    <row r="168" spans="2:145" ht="15" customHeight="1">
      <c r="B168" s="1207">
        <v>30</v>
      </c>
      <c r="C168" s="828">
        <v>101.2</v>
      </c>
      <c r="D168" s="828">
        <v>91.4</v>
      </c>
      <c r="E168" s="828">
        <v>83.3</v>
      </c>
      <c r="F168" s="828">
        <v>76.5</v>
      </c>
      <c r="G168" s="828">
        <v>70.7</v>
      </c>
      <c r="H168" s="828">
        <v>66.7</v>
      </c>
      <c r="I168" s="828">
        <v>62.25</v>
      </c>
      <c r="J168" s="828">
        <v>58.35</v>
      </c>
      <c r="K168" s="828">
        <v>54.95</v>
      </c>
      <c r="L168" s="828">
        <v>51.9</v>
      </c>
      <c r="M168" s="828">
        <v>49.15</v>
      </c>
      <c r="N168" s="828">
        <v>46.75</v>
      </c>
      <c r="O168" s="828">
        <v>44.55</v>
      </c>
      <c r="R168" s="1208">
        <f t="shared" si="25"/>
        <v>30</v>
      </c>
      <c r="S168" s="1258">
        <v>111.55</v>
      </c>
      <c r="T168" s="1258">
        <v>95.9</v>
      </c>
      <c r="U168" s="1258">
        <v>79.55</v>
      </c>
      <c r="X168" s="1208">
        <f t="shared" si="26"/>
        <v>30</v>
      </c>
      <c r="Y168" s="1258">
        <v>101.85</v>
      </c>
      <c r="Z168" s="1258">
        <v>87.6</v>
      </c>
      <c r="AA168" s="1258">
        <v>72.650000000000006</v>
      </c>
      <c r="AC168" s="1280">
        <v>16</v>
      </c>
      <c r="AD168" s="1258">
        <v>2.5</v>
      </c>
      <c r="AE168" s="1258">
        <v>2.2999999999999998</v>
      </c>
      <c r="AG168" s="686">
        <v>25</v>
      </c>
      <c r="AH168" s="1206">
        <v>1.1000000000000001</v>
      </c>
      <c r="AL168" s="1263">
        <v>20</v>
      </c>
      <c r="AM168" s="1276">
        <v>85.2</v>
      </c>
      <c r="AN168" s="1276">
        <v>54.5</v>
      </c>
      <c r="AO168" s="1276">
        <v>45.95</v>
      </c>
      <c r="AQ168" s="1273">
        <v>30</v>
      </c>
      <c r="AR168" s="1277">
        <v>2.97</v>
      </c>
      <c r="AS168" s="1277">
        <v>3.11</v>
      </c>
      <c r="AT168" s="1277">
        <v>3.78</v>
      </c>
      <c r="AV168" s="1254">
        <f t="shared" si="27"/>
        <v>18</v>
      </c>
      <c r="AW168" s="1278">
        <v>408.55</v>
      </c>
      <c r="AY168" s="688">
        <f t="shared" si="28"/>
        <v>30</v>
      </c>
      <c r="AZ168" s="1258">
        <v>2.5499999999999998</v>
      </c>
      <c r="BA168" s="1258">
        <v>3.42</v>
      </c>
      <c r="BB168" s="1258">
        <v>4.74</v>
      </c>
      <c r="BD168" s="688">
        <f t="shared" si="29"/>
        <v>30</v>
      </c>
      <c r="BE168" s="1258">
        <v>2.3199999999999998</v>
      </c>
      <c r="BF168" s="1258">
        <v>3.11</v>
      </c>
      <c r="BG168" s="1258">
        <v>4.32</v>
      </c>
      <c r="BK168" s="1208">
        <v>27</v>
      </c>
      <c r="BL168" s="826">
        <v>769.15</v>
      </c>
      <c r="BM168" s="826">
        <v>772.3</v>
      </c>
      <c r="BN168" s="826">
        <v>773.1</v>
      </c>
      <c r="BP168" s="824">
        <v>9</v>
      </c>
      <c r="BQ168" s="1184">
        <f>IF(Main!E$10&lt;35000,0,Main!E10)</f>
        <v>2500000</v>
      </c>
      <c r="BW168" s="1222">
        <v>16</v>
      </c>
      <c r="BX168" s="1251">
        <v>1.4</v>
      </c>
      <c r="BY168" s="1251">
        <v>2.1</v>
      </c>
      <c r="CO168" s="1282">
        <v>0</v>
      </c>
      <c r="CP168" s="1246" t="s">
        <v>39</v>
      </c>
      <c r="CQ168" s="1246" t="s">
        <v>39</v>
      </c>
      <c r="CR168" s="1246" t="s">
        <v>39</v>
      </c>
      <c r="CS168" s="1246" t="s">
        <v>39</v>
      </c>
      <c r="CT168" s="1246" t="s">
        <v>39</v>
      </c>
      <c r="CU168" s="1246" t="s">
        <v>39</v>
      </c>
      <c r="CV168" s="1246"/>
      <c r="CW168" s="1246" t="s">
        <v>844</v>
      </c>
      <c r="CX168" s="1246">
        <v>0.6</v>
      </c>
      <c r="CY168" s="1246">
        <v>0.7</v>
      </c>
      <c r="CZ168" s="1246">
        <v>0.75</v>
      </c>
      <c r="DA168" s="1246">
        <v>0.8</v>
      </c>
      <c r="DB168" s="1246">
        <v>0.9</v>
      </c>
      <c r="DC168" s="1246">
        <v>0.95</v>
      </c>
      <c r="DD168" s="1246">
        <v>1.05</v>
      </c>
      <c r="DE168" s="1246">
        <v>1.1000000000000001</v>
      </c>
      <c r="DG168" s="1267">
        <v>45</v>
      </c>
      <c r="DH168" s="1268">
        <v>0.8</v>
      </c>
      <c r="DI168" s="1268">
        <v>0.85</v>
      </c>
      <c r="DJ168" s="1269">
        <v>0.9</v>
      </c>
      <c r="DK168" s="1270">
        <v>0.95</v>
      </c>
      <c r="DL168" s="1268">
        <v>1</v>
      </c>
      <c r="DM168" s="1268">
        <v>1.05</v>
      </c>
      <c r="DN168" s="1269">
        <v>1.1000000000000001</v>
      </c>
      <c r="DO168" s="1269">
        <v>1.1499999999999999</v>
      </c>
      <c r="DP168" s="1268">
        <v>1.2</v>
      </c>
      <c r="DQ168" s="1268">
        <v>1.3</v>
      </c>
      <c r="DR168" s="1269">
        <v>1.35</v>
      </c>
    </row>
    <row r="169" spans="2:145" ht="15" customHeight="1">
      <c r="B169" s="1207">
        <v>31</v>
      </c>
      <c r="C169" s="828">
        <v>101.3</v>
      </c>
      <c r="D169" s="828">
        <v>91.5</v>
      </c>
      <c r="E169" s="828">
        <v>83.4</v>
      </c>
      <c r="F169" s="828">
        <v>76.599999999999994</v>
      </c>
      <c r="G169" s="828">
        <v>70.849999999999994</v>
      </c>
      <c r="H169" s="828">
        <v>66.849999999999994</v>
      </c>
      <c r="I169" s="828">
        <v>62.4</v>
      </c>
      <c r="J169" s="828">
        <v>58.55</v>
      </c>
      <c r="K169" s="828">
        <v>55.1</v>
      </c>
      <c r="L169" s="828">
        <v>52.1</v>
      </c>
      <c r="M169" s="828">
        <v>49.4</v>
      </c>
      <c r="N169" s="828">
        <v>46.95</v>
      </c>
      <c r="O169" s="828">
        <v>44.8</v>
      </c>
      <c r="R169" s="1208">
        <f t="shared" si="25"/>
        <v>31</v>
      </c>
      <c r="S169" s="1258">
        <v>111.6</v>
      </c>
      <c r="T169" s="1258">
        <v>96</v>
      </c>
      <c r="U169" s="1258">
        <v>79.75</v>
      </c>
      <c r="X169" s="1208">
        <f t="shared" si="26"/>
        <v>31</v>
      </c>
      <c r="Y169" s="1258">
        <v>101.9</v>
      </c>
      <c r="Z169" s="1258">
        <v>87.7</v>
      </c>
      <c r="AA169" s="1258">
        <v>72.849999999999994</v>
      </c>
      <c r="AC169" s="1280">
        <v>21</v>
      </c>
      <c r="AD169" s="1258">
        <v>2.95</v>
      </c>
      <c r="AE169" s="1258">
        <v>2.65</v>
      </c>
      <c r="AL169" s="1263">
        <v>21</v>
      </c>
      <c r="AM169" s="1276">
        <v>85.25</v>
      </c>
      <c r="AN169" s="1276">
        <v>54.55</v>
      </c>
      <c r="AO169" s="1276">
        <v>46</v>
      </c>
      <c r="AQ169" s="1273">
        <v>31</v>
      </c>
      <c r="AR169" s="1277">
        <v>3.16</v>
      </c>
      <c r="AS169" s="1277">
        <v>3.34</v>
      </c>
      <c r="AT169" s="1277">
        <v>4.07</v>
      </c>
      <c r="AV169" s="1254">
        <f t="shared" si="27"/>
        <v>19</v>
      </c>
      <c r="AW169" s="1278">
        <v>409.45</v>
      </c>
      <c r="AY169" s="688">
        <f t="shared" si="28"/>
        <v>31</v>
      </c>
      <c r="AZ169" s="1258">
        <v>2.68</v>
      </c>
      <c r="BA169" s="1258">
        <v>3.63</v>
      </c>
      <c r="BB169" s="1258">
        <v>5.0999999999999996</v>
      </c>
      <c r="BD169" s="688">
        <f t="shared" si="29"/>
        <v>31</v>
      </c>
      <c r="BE169" s="1258">
        <v>2.44</v>
      </c>
      <c r="BF169" s="1258">
        <v>3.3</v>
      </c>
      <c r="BG169" s="1258">
        <v>4.6399999999999997</v>
      </c>
      <c r="BK169" s="1208">
        <v>28</v>
      </c>
      <c r="BL169" s="826">
        <v>769.35</v>
      </c>
      <c r="BM169" s="826">
        <v>772.5</v>
      </c>
      <c r="BN169" s="826">
        <v>773.35</v>
      </c>
      <c r="BP169" s="824">
        <v>12</v>
      </c>
      <c r="BQ169" s="1184">
        <f>IF(Main!E$10&lt;50000,0,Main!E10)</f>
        <v>2500000</v>
      </c>
      <c r="BW169" s="1222">
        <v>20</v>
      </c>
      <c r="BX169" s="1251">
        <v>1.45</v>
      </c>
      <c r="BY169" s="1251">
        <v>2.15</v>
      </c>
      <c r="CO169" s="1283">
        <v>1</v>
      </c>
      <c r="CP169" s="1246" t="s">
        <v>39</v>
      </c>
      <c r="CQ169" s="1246" t="s">
        <v>39</v>
      </c>
      <c r="CR169" s="1246" t="s">
        <v>39</v>
      </c>
      <c r="CS169" s="1246" t="s">
        <v>39</v>
      </c>
      <c r="CT169" s="1246" t="s">
        <v>39</v>
      </c>
      <c r="CU169" s="1246" t="s">
        <v>39</v>
      </c>
      <c r="CV169" s="1246"/>
      <c r="CW169" s="1246">
        <v>0.55000000000000004</v>
      </c>
      <c r="CX169" s="1246">
        <v>0.6</v>
      </c>
      <c r="CY169" s="1246">
        <v>0.7</v>
      </c>
      <c r="CZ169" s="1246">
        <v>0.75</v>
      </c>
      <c r="DA169" s="1246">
        <v>0.8</v>
      </c>
      <c r="DB169" s="1246">
        <v>0.9</v>
      </c>
      <c r="DC169" s="1246">
        <v>0.95</v>
      </c>
      <c r="DD169" s="1246">
        <v>1.05</v>
      </c>
      <c r="DE169" s="1246">
        <v>1.1000000000000001</v>
      </c>
      <c r="DG169" s="1267">
        <v>46</v>
      </c>
      <c r="DH169" s="1268">
        <v>0.9</v>
      </c>
      <c r="DI169" s="1268">
        <v>0.95</v>
      </c>
      <c r="DJ169" s="1269">
        <v>1</v>
      </c>
      <c r="DK169" s="1270">
        <v>1.05</v>
      </c>
      <c r="DL169" s="1268">
        <v>1.1000000000000001</v>
      </c>
      <c r="DM169" s="1268">
        <v>1.2</v>
      </c>
      <c r="DN169" s="1269">
        <v>1.25</v>
      </c>
      <c r="DO169" s="1269">
        <v>1.3</v>
      </c>
      <c r="DP169" s="1268">
        <v>1.35</v>
      </c>
      <c r="DQ169" s="1268">
        <v>1.4</v>
      </c>
      <c r="DR169" s="1269">
        <v>1.45</v>
      </c>
    </row>
    <row r="170" spans="2:145" ht="15" customHeight="1">
      <c r="B170" s="1207">
        <v>32</v>
      </c>
      <c r="C170" s="828">
        <v>101.4</v>
      </c>
      <c r="D170" s="828">
        <v>91.6</v>
      </c>
      <c r="E170" s="828">
        <v>83.55</v>
      </c>
      <c r="F170" s="828">
        <v>76.75</v>
      </c>
      <c r="G170" s="828">
        <v>71</v>
      </c>
      <c r="H170" s="828">
        <v>67.05</v>
      </c>
      <c r="I170" s="828">
        <v>62.6</v>
      </c>
      <c r="J170" s="828">
        <v>58.75</v>
      </c>
      <c r="K170" s="828">
        <v>55.35</v>
      </c>
      <c r="L170" s="828">
        <v>52.3</v>
      </c>
      <c r="M170" s="828">
        <v>49.65</v>
      </c>
      <c r="N170" s="828">
        <v>47.25</v>
      </c>
      <c r="O170" s="828">
        <v>45.1</v>
      </c>
      <c r="R170" s="1208">
        <f t="shared" si="25"/>
        <v>32</v>
      </c>
      <c r="S170" s="1258">
        <v>111.7</v>
      </c>
      <c r="T170" s="1258">
        <v>96.15</v>
      </c>
      <c r="U170" s="1258">
        <v>80</v>
      </c>
      <c r="X170" s="1208">
        <f t="shared" si="26"/>
        <v>32</v>
      </c>
      <c r="Y170" s="1258">
        <v>102</v>
      </c>
      <c r="Z170" s="1258">
        <v>87.8</v>
      </c>
      <c r="AA170" s="1258">
        <v>73.05</v>
      </c>
      <c r="AL170" s="1263">
        <v>22</v>
      </c>
      <c r="AM170" s="1276">
        <v>85.25</v>
      </c>
      <c r="AN170" s="1276">
        <v>54.55</v>
      </c>
      <c r="AO170" s="1276">
        <v>46</v>
      </c>
      <c r="AQ170" s="1273">
        <v>32</v>
      </c>
      <c r="AR170" s="1277">
        <v>3.37</v>
      </c>
      <c r="AS170" s="1277">
        <v>3.61</v>
      </c>
      <c r="AT170" s="1277">
        <v>4.4000000000000004</v>
      </c>
      <c r="AV170" s="1254">
        <f t="shared" si="27"/>
        <v>20</v>
      </c>
      <c r="AW170" s="1278">
        <v>410.25</v>
      </c>
      <c r="AY170" s="688">
        <f t="shared" si="28"/>
        <v>32</v>
      </c>
      <c r="AZ170" s="1258">
        <v>2.83</v>
      </c>
      <c r="BA170" s="1258">
        <v>3.88</v>
      </c>
      <c r="BB170" s="1258">
        <v>5.5</v>
      </c>
      <c r="BD170" s="688">
        <f t="shared" si="29"/>
        <v>32</v>
      </c>
      <c r="BE170" s="1258">
        <v>2.57</v>
      </c>
      <c r="BF170" s="1258">
        <v>3.53</v>
      </c>
      <c r="BG170" s="1258">
        <v>5</v>
      </c>
      <c r="BK170" s="1208">
        <v>29</v>
      </c>
      <c r="BL170" s="826">
        <v>769.55</v>
      </c>
      <c r="BM170" s="826">
        <v>772.75</v>
      </c>
      <c r="BN170" s="826">
        <v>773.65</v>
      </c>
      <c r="BP170" s="824">
        <v>15</v>
      </c>
      <c r="BQ170" s="1184">
        <f>IF(Main!E$10&lt;70000,0,Main!E10)</f>
        <v>2500000</v>
      </c>
      <c r="BW170" s="1222">
        <v>24</v>
      </c>
      <c r="BX170" s="1251">
        <v>1.35</v>
      </c>
      <c r="BY170" s="1251">
        <v>2</v>
      </c>
      <c r="CO170" s="1282">
        <v>2</v>
      </c>
      <c r="CP170" s="1246" t="s">
        <v>39</v>
      </c>
      <c r="CQ170" s="1246" t="s">
        <v>39</v>
      </c>
      <c r="CR170" s="1246" t="s">
        <v>39</v>
      </c>
      <c r="CS170" s="1246" t="s">
        <v>39</v>
      </c>
      <c r="CT170" s="1246" t="s">
        <v>39</v>
      </c>
      <c r="CU170" s="1246" t="s">
        <v>39</v>
      </c>
      <c r="CV170" s="1246">
        <v>0.5</v>
      </c>
      <c r="CW170" s="1246">
        <v>0.55000000000000004</v>
      </c>
      <c r="CX170" s="1246">
        <v>0.6</v>
      </c>
      <c r="CY170" s="1246">
        <v>0.7</v>
      </c>
      <c r="CZ170" s="1246">
        <v>0.75</v>
      </c>
      <c r="DA170" s="1246">
        <v>0.8</v>
      </c>
      <c r="DB170" s="1246">
        <v>0.9</v>
      </c>
      <c r="DC170" s="1246">
        <v>0.95</v>
      </c>
      <c r="DD170" s="1246">
        <v>1.05</v>
      </c>
      <c r="DE170" s="1246">
        <v>1.1000000000000001</v>
      </c>
      <c r="DG170" s="1267">
        <v>47</v>
      </c>
      <c r="DH170" s="1268">
        <v>1</v>
      </c>
      <c r="DI170" s="1268">
        <v>1.05</v>
      </c>
      <c r="DJ170" s="1269">
        <v>1.1000000000000001</v>
      </c>
      <c r="DK170" s="1270">
        <v>1.1499999999999999</v>
      </c>
      <c r="DL170" s="1268">
        <v>1.2</v>
      </c>
      <c r="DM170" s="1268">
        <v>1.3</v>
      </c>
      <c r="DN170" s="1269">
        <v>1.35</v>
      </c>
      <c r="DO170" s="1269">
        <v>1.4</v>
      </c>
      <c r="DP170" s="1268">
        <v>1.5</v>
      </c>
      <c r="DQ170" s="1268">
        <v>1.55</v>
      </c>
      <c r="DR170" s="1269">
        <v>1.6</v>
      </c>
    </row>
    <row r="171" spans="2:145" ht="15" customHeight="1">
      <c r="B171" s="1207">
        <v>33</v>
      </c>
      <c r="C171" s="828">
        <v>101.5</v>
      </c>
      <c r="D171" s="828">
        <v>91.75</v>
      </c>
      <c r="E171" s="828">
        <v>83.7</v>
      </c>
      <c r="F171" s="828">
        <v>76.95</v>
      </c>
      <c r="G171" s="828">
        <v>71.150000000000006</v>
      </c>
      <c r="H171" s="828">
        <v>67.25</v>
      </c>
      <c r="I171" s="828">
        <v>62.8</v>
      </c>
      <c r="J171" s="828">
        <v>58.95</v>
      </c>
      <c r="K171" s="828">
        <v>55.6</v>
      </c>
      <c r="L171" s="828">
        <v>52.6</v>
      </c>
      <c r="M171" s="828">
        <v>49.9</v>
      </c>
      <c r="N171" s="828">
        <v>47.5</v>
      </c>
      <c r="O171" s="828">
        <v>45.4</v>
      </c>
      <c r="R171" s="1208">
        <f t="shared" si="25"/>
        <v>33</v>
      </c>
      <c r="S171" s="1258">
        <v>111.8</v>
      </c>
      <c r="T171" s="1258">
        <v>96.3</v>
      </c>
      <c r="U171" s="1258">
        <v>80.25</v>
      </c>
      <c r="X171" s="1208">
        <f t="shared" si="26"/>
        <v>33</v>
      </c>
      <c r="Y171" s="1258">
        <v>102.1</v>
      </c>
      <c r="Z171" s="1258">
        <v>87.95</v>
      </c>
      <c r="AA171" s="1258">
        <v>73.3</v>
      </c>
      <c r="AL171" s="1263">
        <v>23</v>
      </c>
      <c r="AM171" s="1276">
        <v>85.25</v>
      </c>
      <c r="AN171" s="1276">
        <v>54.6</v>
      </c>
      <c r="AO171" s="1276">
        <v>46.05</v>
      </c>
      <c r="AQ171" s="1273">
        <v>33</v>
      </c>
      <c r="AR171" s="1277">
        <v>3.62</v>
      </c>
      <c r="AS171" s="1277">
        <v>3.9</v>
      </c>
      <c r="AT171" s="1277">
        <v>4.75</v>
      </c>
      <c r="AV171" s="1254">
        <f t="shared" si="27"/>
        <v>21</v>
      </c>
      <c r="AW171" s="1278">
        <v>411.05</v>
      </c>
      <c r="AY171" s="688">
        <f t="shared" si="28"/>
        <v>33</v>
      </c>
      <c r="AZ171" s="1258">
        <v>3</v>
      </c>
      <c r="BA171" s="1258">
        <v>4.16</v>
      </c>
      <c r="BB171" s="1258">
        <v>5.94</v>
      </c>
      <c r="BD171" s="688">
        <f t="shared" si="29"/>
        <v>33</v>
      </c>
      <c r="BE171" s="1258">
        <v>2.73</v>
      </c>
      <c r="BF171" s="1258">
        <v>3.79</v>
      </c>
      <c r="BG171" s="1258">
        <v>5.41</v>
      </c>
      <c r="BK171" s="1208">
        <v>30</v>
      </c>
      <c r="BL171" s="826">
        <v>769.75</v>
      </c>
      <c r="BM171" s="826">
        <v>773.05</v>
      </c>
      <c r="BN171" s="826">
        <v>774</v>
      </c>
      <c r="CO171" s="1283">
        <v>3</v>
      </c>
      <c r="CP171" s="1246" t="s">
        <v>39</v>
      </c>
      <c r="CQ171" s="1246" t="s">
        <v>39</v>
      </c>
      <c r="CR171" s="1246" t="s">
        <v>39</v>
      </c>
      <c r="CS171" s="1246" t="s">
        <v>39</v>
      </c>
      <c r="CT171" s="1246" t="s">
        <v>39</v>
      </c>
      <c r="CU171" s="1246">
        <v>0.45</v>
      </c>
      <c r="CV171" s="1246">
        <v>0.5</v>
      </c>
      <c r="CW171" s="1246">
        <v>0.55000000000000004</v>
      </c>
      <c r="CX171" s="1246">
        <v>0.6</v>
      </c>
      <c r="CY171" s="1246">
        <v>0.7</v>
      </c>
      <c r="CZ171" s="1246">
        <v>0.75</v>
      </c>
      <c r="DA171" s="1246">
        <v>0.8</v>
      </c>
      <c r="DB171" s="1246">
        <v>0.9</v>
      </c>
      <c r="DC171" s="1246">
        <v>0.95</v>
      </c>
      <c r="DD171" s="1246">
        <v>1.05</v>
      </c>
      <c r="DE171" s="1246">
        <v>1.1000000000000001</v>
      </c>
      <c r="DG171" s="1267">
        <v>48</v>
      </c>
      <c r="DH171" s="1268">
        <v>1.1000000000000001</v>
      </c>
      <c r="DI171" s="1268">
        <v>1.1499999999999999</v>
      </c>
      <c r="DJ171" s="1269">
        <v>1.2</v>
      </c>
      <c r="DK171" s="1270">
        <v>1.3</v>
      </c>
      <c r="DL171" s="1268">
        <v>1.35</v>
      </c>
      <c r="DM171" s="1268">
        <v>1.45</v>
      </c>
      <c r="DN171" s="1269">
        <v>1.5</v>
      </c>
      <c r="DO171" s="1269">
        <v>1.55</v>
      </c>
      <c r="DP171" s="1268">
        <v>1.65</v>
      </c>
      <c r="DQ171" s="1268">
        <v>1.7</v>
      </c>
      <c r="DR171" s="1269">
        <v>1.75</v>
      </c>
    </row>
    <row r="172" spans="2:145" ht="15" customHeight="1">
      <c r="B172" s="1207">
        <v>34</v>
      </c>
      <c r="C172" s="828">
        <v>101.7</v>
      </c>
      <c r="D172" s="828">
        <v>91.95</v>
      </c>
      <c r="E172" s="828">
        <v>83.9</v>
      </c>
      <c r="F172" s="828">
        <v>77.099999999999994</v>
      </c>
      <c r="G172" s="828">
        <v>71.349999999999994</v>
      </c>
      <c r="H172" s="828">
        <v>67.45</v>
      </c>
      <c r="I172" s="828">
        <v>63.05</v>
      </c>
      <c r="J172" s="828">
        <v>59.25</v>
      </c>
      <c r="K172" s="828">
        <v>55.85</v>
      </c>
      <c r="L172" s="828">
        <v>52.85</v>
      </c>
      <c r="M172" s="828">
        <v>50.2</v>
      </c>
      <c r="N172" s="828">
        <v>47.85</v>
      </c>
      <c r="O172" s="828">
        <v>45.75</v>
      </c>
      <c r="R172" s="1208">
        <f t="shared" si="25"/>
        <v>34</v>
      </c>
      <c r="S172" s="1258">
        <v>111.9</v>
      </c>
      <c r="T172" s="1258">
        <v>96.5</v>
      </c>
      <c r="U172" s="1258">
        <v>80.55</v>
      </c>
      <c r="X172" s="1208">
        <f t="shared" si="26"/>
        <v>34</v>
      </c>
      <c r="Y172" s="1258">
        <v>102.2</v>
      </c>
      <c r="Z172" s="1258">
        <v>88.15</v>
      </c>
      <c r="AA172" s="1258">
        <v>73.599999999999994</v>
      </c>
      <c r="AL172" s="1263">
        <v>24</v>
      </c>
      <c r="AM172" s="1276">
        <v>85.3</v>
      </c>
      <c r="AN172" s="1276">
        <v>54.6</v>
      </c>
      <c r="AO172" s="1276">
        <v>46.1</v>
      </c>
      <c r="AQ172" s="1273">
        <v>34</v>
      </c>
      <c r="AR172" s="1277">
        <v>3.91</v>
      </c>
      <c r="AS172" s="1277">
        <v>4.2300000000000004</v>
      </c>
      <c r="AT172" s="1277">
        <v>5.14</v>
      </c>
      <c r="AV172" s="1254">
        <f t="shared" si="27"/>
        <v>22</v>
      </c>
      <c r="AW172" s="1278">
        <v>411.85</v>
      </c>
      <c r="AY172" s="688">
        <f t="shared" si="28"/>
        <v>34</v>
      </c>
      <c r="AZ172" s="1258">
        <v>3.21</v>
      </c>
      <c r="BA172" s="1258">
        <v>4.49</v>
      </c>
      <c r="BB172" s="1258">
        <v>6.44</v>
      </c>
      <c r="BD172" s="688">
        <f t="shared" si="29"/>
        <v>34</v>
      </c>
      <c r="BE172" s="1258">
        <v>2.92</v>
      </c>
      <c r="BF172" s="1258">
        <v>4.09</v>
      </c>
      <c r="BG172" s="1258">
        <v>5.86</v>
      </c>
      <c r="BK172" s="1208">
        <v>31</v>
      </c>
      <c r="BL172" s="826">
        <v>770.05</v>
      </c>
      <c r="BM172" s="826">
        <v>773.4</v>
      </c>
      <c r="BN172" s="826">
        <v>774.4</v>
      </c>
      <c r="CO172" s="1282">
        <v>4</v>
      </c>
      <c r="CP172" s="1246" t="s">
        <v>39</v>
      </c>
      <c r="CQ172" s="1246" t="s">
        <v>39</v>
      </c>
      <c r="CR172" s="1246" t="s">
        <v>39</v>
      </c>
      <c r="CS172" s="1246" t="s">
        <v>39</v>
      </c>
      <c r="CT172" s="1246">
        <v>0.35</v>
      </c>
      <c r="CU172" s="1246">
        <v>0.45</v>
      </c>
      <c r="CV172" s="1246">
        <v>0.5</v>
      </c>
      <c r="CW172" s="1246">
        <v>0.55000000000000004</v>
      </c>
      <c r="CX172" s="1246">
        <v>0.6</v>
      </c>
      <c r="CY172" s="1246">
        <v>0.7</v>
      </c>
      <c r="CZ172" s="1246">
        <v>0.75</v>
      </c>
      <c r="DA172" s="1246">
        <v>0.8</v>
      </c>
      <c r="DB172" s="1246">
        <v>0.9</v>
      </c>
      <c r="DC172" s="1246">
        <v>0.95</v>
      </c>
      <c r="DD172" s="1246">
        <v>1.05</v>
      </c>
      <c r="DE172" s="1246">
        <v>1.1000000000000001</v>
      </c>
      <c r="DG172" s="1267">
        <v>49</v>
      </c>
      <c r="DH172" s="1268">
        <v>1.2</v>
      </c>
      <c r="DI172" s="1268">
        <v>1.3</v>
      </c>
      <c r="DJ172" s="1269">
        <v>1.35</v>
      </c>
      <c r="DK172" s="1270">
        <v>1.4</v>
      </c>
      <c r="DL172" s="1268">
        <v>1.5</v>
      </c>
      <c r="DM172" s="1268">
        <v>1.55</v>
      </c>
      <c r="DN172" s="1269">
        <v>1.65</v>
      </c>
      <c r="DO172" s="1269">
        <v>1.7</v>
      </c>
      <c r="DP172" s="1268">
        <v>1.8</v>
      </c>
      <c r="DQ172" s="1268">
        <v>1.85</v>
      </c>
      <c r="DR172" s="1269">
        <v>1.9</v>
      </c>
    </row>
    <row r="173" spans="2:145" ht="15" customHeight="1">
      <c r="B173" s="1207">
        <v>35</v>
      </c>
      <c r="C173" s="828">
        <v>101.85</v>
      </c>
      <c r="D173" s="828">
        <v>92.15</v>
      </c>
      <c r="E173" s="828">
        <v>84.1</v>
      </c>
      <c r="F173" s="828">
        <v>77.349999999999994</v>
      </c>
      <c r="G173" s="828">
        <v>71.599999999999994</v>
      </c>
      <c r="H173" s="828">
        <v>67.7</v>
      </c>
      <c r="I173" s="828">
        <v>63.35</v>
      </c>
      <c r="J173" s="828">
        <v>59.55</v>
      </c>
      <c r="K173" s="828">
        <v>56.2</v>
      </c>
      <c r="L173" s="828">
        <v>53.2</v>
      </c>
      <c r="M173" s="828">
        <v>50.6</v>
      </c>
      <c r="N173" s="828">
        <v>48.25</v>
      </c>
      <c r="O173" s="828">
        <v>46.15</v>
      </c>
      <c r="R173" s="1208">
        <f t="shared" si="25"/>
        <v>35</v>
      </c>
      <c r="S173" s="1258">
        <v>112.05</v>
      </c>
      <c r="T173" s="1258">
        <v>96.7</v>
      </c>
      <c r="U173" s="1258">
        <v>80.900000000000006</v>
      </c>
      <c r="X173" s="1208">
        <f t="shared" si="26"/>
        <v>35</v>
      </c>
      <c r="Y173" s="1258">
        <v>102.35</v>
      </c>
      <c r="Z173" s="1258">
        <v>88.35</v>
      </c>
      <c r="AA173" s="1258">
        <v>73.900000000000006</v>
      </c>
      <c r="AD173" s="824" t="s">
        <v>45</v>
      </c>
      <c r="AL173" s="1263">
        <v>25</v>
      </c>
      <c r="AM173" s="1276">
        <v>85.3</v>
      </c>
      <c r="AN173" s="1276">
        <v>54.65</v>
      </c>
      <c r="AO173" s="1276">
        <v>46.15</v>
      </c>
      <c r="AQ173" s="1273">
        <v>35</v>
      </c>
      <c r="AR173" s="1277">
        <v>4.2300000000000004</v>
      </c>
      <c r="AS173" s="1277">
        <v>4.59</v>
      </c>
      <c r="AT173" s="1277">
        <v>5.57</v>
      </c>
      <c r="AV173" s="1254">
        <f t="shared" si="27"/>
        <v>23</v>
      </c>
      <c r="AW173" s="1278">
        <v>412.75</v>
      </c>
      <c r="AY173" s="688">
        <f t="shared" si="28"/>
        <v>35</v>
      </c>
      <c r="AZ173" s="1258">
        <v>3.44</v>
      </c>
      <c r="BA173" s="1258">
        <v>4.87</v>
      </c>
      <c r="BB173" s="1258">
        <v>6.99</v>
      </c>
      <c r="BD173" s="688">
        <f t="shared" si="29"/>
        <v>35</v>
      </c>
      <c r="BE173" s="1258">
        <v>3.13</v>
      </c>
      <c r="BF173" s="1258">
        <v>4.43</v>
      </c>
      <c r="BG173" s="1258">
        <v>6.36</v>
      </c>
      <c r="BK173" s="1208">
        <v>32</v>
      </c>
      <c r="BL173" s="826">
        <v>770.35</v>
      </c>
      <c r="BM173" s="826">
        <v>773.8</v>
      </c>
      <c r="BN173" s="826">
        <v>774.9</v>
      </c>
      <c r="CO173" s="1283">
        <v>5</v>
      </c>
      <c r="CP173" s="1246" t="s">
        <v>39</v>
      </c>
      <c r="CQ173" s="1246" t="s">
        <v>39</v>
      </c>
      <c r="CR173" s="1246" t="s">
        <v>39</v>
      </c>
      <c r="CS173" s="1246">
        <v>0.25</v>
      </c>
      <c r="CT173" s="1246">
        <v>0.35</v>
      </c>
      <c r="CU173" s="1246">
        <v>0.45</v>
      </c>
      <c r="CV173" s="1246">
        <v>0.5</v>
      </c>
      <c r="CW173" s="1246">
        <v>0.55000000000000004</v>
      </c>
      <c r="CX173" s="1246">
        <v>0.6</v>
      </c>
      <c r="CY173" s="1246">
        <v>0.7</v>
      </c>
      <c r="CZ173" s="1246">
        <v>0.75</v>
      </c>
      <c r="DA173" s="1246">
        <v>0.8</v>
      </c>
      <c r="DB173" s="1246">
        <v>0.9</v>
      </c>
      <c r="DC173" s="1246">
        <v>0.95</v>
      </c>
      <c r="DD173" s="1246">
        <v>1.05</v>
      </c>
      <c r="DE173" s="1246">
        <v>1.1000000000000001</v>
      </c>
      <c r="DG173" s="1267">
        <v>50</v>
      </c>
      <c r="DH173" s="1268">
        <v>1.35</v>
      </c>
      <c r="DI173" s="1268">
        <v>1.4</v>
      </c>
      <c r="DJ173" s="1269">
        <v>1.5</v>
      </c>
      <c r="DK173" s="1270">
        <v>1.55</v>
      </c>
      <c r="DL173" s="1268">
        <v>1.6</v>
      </c>
      <c r="DM173" s="1268">
        <v>1.7</v>
      </c>
      <c r="DN173" s="1269">
        <v>1.8</v>
      </c>
      <c r="DO173" s="1269">
        <v>1.85</v>
      </c>
      <c r="DP173" s="1268">
        <v>1.95</v>
      </c>
      <c r="DQ173" s="1268">
        <v>2</v>
      </c>
      <c r="DR173" s="1269">
        <v>2.1</v>
      </c>
    </row>
    <row r="174" spans="2:145" ht="15" customHeight="1">
      <c r="B174" s="1207">
        <v>36</v>
      </c>
      <c r="C174" s="828">
        <v>102.05</v>
      </c>
      <c r="D174" s="828">
        <v>92.35</v>
      </c>
      <c r="E174" s="828">
        <v>84.35</v>
      </c>
      <c r="F174" s="828">
        <v>77.599999999999994</v>
      </c>
      <c r="G174" s="828">
        <v>71.900000000000006</v>
      </c>
      <c r="H174" s="828">
        <v>68</v>
      </c>
      <c r="I174" s="828">
        <v>63.65</v>
      </c>
      <c r="J174" s="828">
        <v>59.85</v>
      </c>
      <c r="K174" s="828">
        <v>56.55</v>
      </c>
      <c r="L174" s="828">
        <v>53.6</v>
      </c>
      <c r="M174" s="828">
        <v>51</v>
      </c>
      <c r="N174" s="828">
        <v>48.65</v>
      </c>
      <c r="O174" s="828">
        <v>46.55</v>
      </c>
      <c r="R174" s="1208">
        <f t="shared" si="25"/>
        <v>36</v>
      </c>
      <c r="S174" s="1258">
        <v>112.2</v>
      </c>
      <c r="T174" s="1258">
        <v>96.95</v>
      </c>
      <c r="U174" s="1258">
        <v>81.25</v>
      </c>
      <c r="X174" s="1208">
        <f t="shared" si="26"/>
        <v>36</v>
      </c>
      <c r="Y174" s="1258">
        <v>102.5</v>
      </c>
      <c r="Z174" s="1258">
        <v>88.55</v>
      </c>
      <c r="AA174" s="1258">
        <v>74.25</v>
      </c>
      <c r="AD174" s="824">
        <f>Main!E$11</f>
        <v>25</v>
      </c>
      <c r="AE174" s="1205">
        <f>LOOKUP($AD$174,$AD176:$AD178,AE176:AE178)</f>
        <v>1.3</v>
      </c>
      <c r="AF174" s="1205">
        <f>LOOKUP($AD$174,$AD176:$AD178,AF176:AF178)</f>
        <v>1.95</v>
      </c>
      <c r="AL174" s="1263">
        <v>26</v>
      </c>
      <c r="AM174" s="1276">
        <v>85.35</v>
      </c>
      <c r="AN174" s="1276">
        <v>54.7</v>
      </c>
      <c r="AO174" s="1276">
        <v>46.2</v>
      </c>
      <c r="AQ174" s="1273">
        <v>36</v>
      </c>
      <c r="AR174" s="1277">
        <v>4.5999999999999996</v>
      </c>
      <c r="AS174" s="1277">
        <v>4.99</v>
      </c>
      <c r="AT174" s="1277">
        <v>6.03</v>
      </c>
      <c r="AV174" s="1254">
        <f t="shared" si="27"/>
        <v>24</v>
      </c>
      <c r="AW174" s="1278">
        <v>413.8</v>
      </c>
      <c r="AY174" s="688">
        <f t="shared" si="28"/>
        <v>36</v>
      </c>
      <c r="AZ174" s="1258">
        <v>3.71</v>
      </c>
      <c r="BA174" s="1258">
        <v>5.29</v>
      </c>
      <c r="BB174" s="1258">
        <v>7.59</v>
      </c>
      <c r="BD174" s="688">
        <f t="shared" si="29"/>
        <v>36</v>
      </c>
      <c r="BE174" s="1258">
        <v>3.38</v>
      </c>
      <c r="BF174" s="1258">
        <v>4.8099999999999996</v>
      </c>
      <c r="BG174" s="1258">
        <v>6.91</v>
      </c>
      <c r="BK174" s="1208">
        <v>33</v>
      </c>
      <c r="BL174" s="826">
        <v>770.75</v>
      </c>
      <c r="BM174" s="826">
        <v>774.25</v>
      </c>
      <c r="BN174" s="826">
        <v>775.45</v>
      </c>
      <c r="CO174" s="1282">
        <v>6</v>
      </c>
      <c r="CP174" s="1246" t="s">
        <v>39</v>
      </c>
      <c r="CQ174" s="1246" t="s">
        <v>39</v>
      </c>
      <c r="CR174" s="1246">
        <v>0.2</v>
      </c>
      <c r="CS174" s="1246">
        <v>0.25</v>
      </c>
      <c r="CT174" s="1246">
        <v>0.35</v>
      </c>
      <c r="CU174" s="1246">
        <v>0.45</v>
      </c>
      <c r="CV174" s="1246">
        <v>0.5</v>
      </c>
      <c r="CW174" s="1246">
        <v>0.55000000000000004</v>
      </c>
      <c r="CX174" s="1246">
        <v>0.6</v>
      </c>
      <c r="CY174" s="1246">
        <v>0.7</v>
      </c>
      <c r="CZ174" s="1246">
        <v>0.75</v>
      </c>
      <c r="DA174" s="1246">
        <v>0.8</v>
      </c>
      <c r="DB174" s="1246">
        <v>0.9</v>
      </c>
      <c r="DC174" s="1246">
        <v>0.95</v>
      </c>
      <c r="DD174" s="1246">
        <v>1.05</v>
      </c>
      <c r="DE174" s="1246">
        <v>1.1000000000000001</v>
      </c>
      <c r="DG174" s="1267">
        <v>51</v>
      </c>
      <c r="DH174" s="1268">
        <v>1.45</v>
      </c>
      <c r="DI174" s="1268">
        <v>1.55</v>
      </c>
      <c r="DJ174" s="1269">
        <v>1.6</v>
      </c>
      <c r="DK174" s="1270">
        <v>1.7</v>
      </c>
      <c r="DL174" s="1268">
        <v>1.75</v>
      </c>
      <c r="DM174" s="1268">
        <v>1.9</v>
      </c>
      <c r="DN174" s="1269">
        <v>1.95</v>
      </c>
      <c r="DO174" s="1269">
        <v>2.0499999999999998</v>
      </c>
      <c r="DP174" s="1268">
        <v>2.1</v>
      </c>
      <c r="DQ174" s="1268">
        <v>2.2000000000000002</v>
      </c>
      <c r="DR174" s="1284" t="s">
        <v>39</v>
      </c>
    </row>
    <row r="175" spans="2:145" ht="15" customHeight="1">
      <c r="B175" s="1207">
        <v>37</v>
      </c>
      <c r="C175" s="828">
        <v>102.3</v>
      </c>
      <c r="D175" s="828">
        <v>92.6</v>
      </c>
      <c r="E175" s="828">
        <v>84.6</v>
      </c>
      <c r="F175" s="828">
        <v>77.900000000000006</v>
      </c>
      <c r="G175" s="828">
        <v>72.2</v>
      </c>
      <c r="H175" s="828">
        <v>68.349999999999994</v>
      </c>
      <c r="I175" s="828">
        <v>64.05</v>
      </c>
      <c r="J175" s="828">
        <v>60.25</v>
      </c>
      <c r="K175" s="828">
        <v>56.95</v>
      </c>
      <c r="L175" s="828">
        <v>54</v>
      </c>
      <c r="M175" s="828">
        <v>51.45</v>
      </c>
      <c r="N175" s="828">
        <v>49.1</v>
      </c>
      <c r="O175" s="828">
        <v>47.05</v>
      </c>
      <c r="R175" s="1208">
        <f t="shared" si="25"/>
        <v>37</v>
      </c>
      <c r="S175" s="1258">
        <v>112.4</v>
      </c>
      <c r="T175" s="1258">
        <v>97.25</v>
      </c>
      <c r="U175" s="1258">
        <v>81.7</v>
      </c>
      <c r="X175" s="1208">
        <f t="shared" si="26"/>
        <v>37</v>
      </c>
      <c r="Y175" s="1258">
        <v>102.65</v>
      </c>
      <c r="Z175" s="1258">
        <v>88.85</v>
      </c>
      <c r="AA175" s="1258">
        <v>74.650000000000006</v>
      </c>
      <c r="AE175" s="1285" t="s">
        <v>44</v>
      </c>
      <c r="AF175" s="1285" t="s">
        <v>43</v>
      </c>
      <c r="AL175" s="1263">
        <v>27</v>
      </c>
      <c r="AM175" s="1276">
        <v>85.35</v>
      </c>
      <c r="AN175" s="1276">
        <v>54.75</v>
      </c>
      <c r="AO175" s="1276">
        <v>46.3</v>
      </c>
      <c r="AQ175" s="1273">
        <v>37</v>
      </c>
      <c r="AR175" s="1277">
        <v>5.0199999999999996</v>
      </c>
      <c r="AS175" s="1277">
        <v>5.43</v>
      </c>
      <c r="AT175" s="1277">
        <v>6.53</v>
      </c>
      <c r="AV175" s="1254">
        <f t="shared" si="27"/>
        <v>25</v>
      </c>
      <c r="AW175" s="1278">
        <v>415</v>
      </c>
      <c r="AY175" s="688">
        <f t="shared" si="28"/>
        <v>37</v>
      </c>
      <c r="AZ175" s="1258">
        <v>4.0199999999999996</v>
      </c>
      <c r="BA175" s="1258">
        <v>5.76</v>
      </c>
      <c r="BB175" s="1258">
        <v>8.25</v>
      </c>
      <c r="BD175" s="688">
        <f t="shared" si="29"/>
        <v>37</v>
      </c>
      <c r="BE175" s="1258">
        <v>3.66</v>
      </c>
      <c r="BF175" s="1258">
        <v>5.24</v>
      </c>
      <c r="BG175" s="1258">
        <v>7.51</v>
      </c>
      <c r="BK175" s="1208">
        <v>34</v>
      </c>
      <c r="BL175" s="826">
        <v>771.2</v>
      </c>
      <c r="BM175" s="826">
        <v>774.75</v>
      </c>
      <c r="BN175" s="826">
        <v>776.05</v>
      </c>
      <c r="CO175" s="1283">
        <v>7</v>
      </c>
      <c r="CP175" s="1246" t="s">
        <v>39</v>
      </c>
      <c r="CQ175" s="1246">
        <v>0.2</v>
      </c>
      <c r="CR175" s="1246">
        <v>0.25</v>
      </c>
      <c r="CS175" s="1246">
        <v>0.3</v>
      </c>
      <c r="CT175" s="1246">
        <v>0.35</v>
      </c>
      <c r="CU175" s="1246">
        <v>0.45</v>
      </c>
      <c r="CV175" s="1246">
        <v>0.5</v>
      </c>
      <c r="CW175" s="1246">
        <v>0.55000000000000004</v>
      </c>
      <c r="CX175" s="1246">
        <v>0.6</v>
      </c>
      <c r="CY175" s="1246">
        <v>0.7</v>
      </c>
      <c r="CZ175" s="1246">
        <v>0.75</v>
      </c>
      <c r="DA175" s="1246">
        <v>0.8</v>
      </c>
      <c r="DB175" s="1246">
        <v>0.9</v>
      </c>
      <c r="DC175" s="1246">
        <v>0.95</v>
      </c>
      <c r="DD175" s="1246">
        <v>1.05</v>
      </c>
      <c r="DE175" s="1246">
        <v>1.1000000000000001</v>
      </c>
      <c r="DG175" s="1267">
        <v>52</v>
      </c>
      <c r="DH175" s="1268">
        <v>1.6</v>
      </c>
      <c r="DI175" s="1268">
        <v>1.7</v>
      </c>
      <c r="DJ175" s="1269">
        <v>1.75</v>
      </c>
      <c r="DK175" s="1270">
        <v>1.85</v>
      </c>
      <c r="DL175" s="1268">
        <v>1.95</v>
      </c>
      <c r="DM175" s="1268">
        <v>2.0499999999999998</v>
      </c>
      <c r="DN175" s="1269">
        <v>2.15</v>
      </c>
      <c r="DO175" s="1269">
        <v>2.2000000000000002</v>
      </c>
      <c r="DP175" s="1268">
        <v>2.2999999999999998</v>
      </c>
      <c r="DQ175" s="1286" t="s">
        <v>39</v>
      </c>
      <c r="DR175" s="1284" t="s">
        <v>39</v>
      </c>
    </row>
    <row r="176" spans="2:145" ht="15" customHeight="1">
      <c r="B176" s="1207">
        <v>38</v>
      </c>
      <c r="C176" s="828">
        <v>102.6</v>
      </c>
      <c r="D176" s="828">
        <v>92.9</v>
      </c>
      <c r="E176" s="828">
        <v>84.9</v>
      </c>
      <c r="F176" s="828">
        <v>78.25</v>
      </c>
      <c r="G176" s="828">
        <v>72.55</v>
      </c>
      <c r="H176" s="828">
        <v>68.75</v>
      </c>
      <c r="I176" s="828">
        <v>64.45</v>
      </c>
      <c r="J176" s="828">
        <v>60.7</v>
      </c>
      <c r="K176" s="828">
        <v>57.4</v>
      </c>
      <c r="L176" s="828">
        <v>54.5</v>
      </c>
      <c r="M176" s="828">
        <v>51.95</v>
      </c>
      <c r="N176" s="828">
        <v>49.65</v>
      </c>
      <c r="O176" s="828">
        <v>47.6</v>
      </c>
      <c r="R176" s="1208">
        <f t="shared" si="25"/>
        <v>38</v>
      </c>
      <c r="S176" s="1258">
        <v>112.6</v>
      </c>
      <c r="T176" s="1258">
        <v>97.55</v>
      </c>
      <c r="U176" s="1258">
        <v>82.15</v>
      </c>
      <c r="X176" s="1208">
        <f t="shared" si="26"/>
        <v>38</v>
      </c>
      <c r="Y176" s="1258">
        <v>102.9</v>
      </c>
      <c r="Z176" s="1258">
        <v>89.15</v>
      </c>
      <c r="AA176" s="1258">
        <v>75.099999999999994</v>
      </c>
      <c r="AD176" s="1285">
        <v>16</v>
      </c>
      <c r="AE176" s="1287">
        <v>1.4</v>
      </c>
      <c r="AF176" s="1287">
        <v>2.1</v>
      </c>
      <c r="AL176" s="1263">
        <v>28</v>
      </c>
      <c r="AM176" s="1276">
        <v>85.4</v>
      </c>
      <c r="AN176" s="1276">
        <v>54.8</v>
      </c>
      <c r="AO176" s="1276">
        <v>46.35</v>
      </c>
      <c r="AQ176" s="1273">
        <v>38</v>
      </c>
      <c r="AR176" s="1277">
        <v>5.48</v>
      </c>
      <c r="AS176" s="1277">
        <v>5.9</v>
      </c>
      <c r="AT176" s="1277">
        <v>7.07</v>
      </c>
      <c r="AV176" s="1254">
        <f t="shared" si="27"/>
        <v>26</v>
      </c>
      <c r="AW176" s="1278">
        <v>416.45</v>
      </c>
      <c r="AY176" s="688">
        <f t="shared" si="28"/>
        <v>38</v>
      </c>
      <c r="AZ176" s="1258">
        <v>4.38</v>
      </c>
      <c r="BA176" s="1258">
        <v>6.29</v>
      </c>
      <c r="BB176" s="1258">
        <v>8.9600000000000009</v>
      </c>
      <c r="BD176" s="688">
        <f t="shared" si="29"/>
        <v>38</v>
      </c>
      <c r="BE176" s="1258">
        <v>3.98</v>
      </c>
      <c r="BF176" s="1258">
        <v>5.72</v>
      </c>
      <c r="BG176" s="1258">
        <v>8.16</v>
      </c>
      <c r="BK176" s="1208">
        <v>35</v>
      </c>
      <c r="BL176" s="826">
        <v>771.7</v>
      </c>
      <c r="BM176" s="826">
        <v>775.35</v>
      </c>
      <c r="BN176" s="826">
        <v>776.8</v>
      </c>
      <c r="CO176" s="1282">
        <v>8</v>
      </c>
      <c r="CP176" s="1246">
        <v>0.2</v>
      </c>
      <c r="CQ176" s="1246">
        <v>0.25</v>
      </c>
      <c r="CR176" s="1246">
        <v>0.3</v>
      </c>
      <c r="CS176" s="1246">
        <v>0.35</v>
      </c>
      <c r="CT176" s="1246">
        <v>0.4</v>
      </c>
      <c r="CU176" s="1246">
        <v>0.45</v>
      </c>
      <c r="CV176" s="1246">
        <v>0.55000000000000004</v>
      </c>
      <c r="CW176" s="1246">
        <v>0.6</v>
      </c>
      <c r="CX176" s="1246">
        <v>0.7</v>
      </c>
      <c r="CY176" s="1246">
        <v>0.75</v>
      </c>
      <c r="CZ176" s="1246">
        <v>0.85</v>
      </c>
      <c r="DA176" s="1246">
        <v>0.9</v>
      </c>
      <c r="DB176" s="1246">
        <v>1</v>
      </c>
      <c r="DC176" s="1246">
        <v>1.05</v>
      </c>
      <c r="DD176" s="1246">
        <v>1.1499999999999999</v>
      </c>
      <c r="DE176" s="1246">
        <v>1.25</v>
      </c>
      <c r="DG176" s="1267">
        <v>53</v>
      </c>
      <c r="DH176" s="1268">
        <v>1.75</v>
      </c>
      <c r="DI176" s="1268">
        <v>1.85</v>
      </c>
      <c r="DJ176" s="1269">
        <v>1.9</v>
      </c>
      <c r="DK176" s="1270">
        <v>2</v>
      </c>
      <c r="DL176" s="1268">
        <v>2.1</v>
      </c>
      <c r="DM176" s="1268">
        <v>2.25</v>
      </c>
      <c r="DN176" s="1269">
        <v>2.35</v>
      </c>
      <c r="DO176" s="1269">
        <v>2.4</v>
      </c>
      <c r="DP176" s="1286" t="s">
        <v>39</v>
      </c>
      <c r="DQ176" s="1286" t="s">
        <v>39</v>
      </c>
      <c r="DR176" s="1284" t="s">
        <v>39</v>
      </c>
    </row>
    <row r="177" spans="2:140" ht="15" customHeight="1">
      <c r="B177" s="1207">
        <v>39</v>
      </c>
      <c r="C177" s="828">
        <v>102.9</v>
      </c>
      <c r="D177" s="828">
        <v>93.25</v>
      </c>
      <c r="E177" s="828">
        <v>85.3</v>
      </c>
      <c r="F177" s="828">
        <v>78.599999999999994</v>
      </c>
      <c r="G177" s="828">
        <v>72.95</v>
      </c>
      <c r="H177" s="828">
        <v>69.2</v>
      </c>
      <c r="I177" s="828">
        <v>64.900000000000006</v>
      </c>
      <c r="J177" s="828">
        <v>61.15</v>
      </c>
      <c r="K177" s="828">
        <v>57.9</v>
      </c>
      <c r="L177" s="828">
        <v>55.05</v>
      </c>
      <c r="M177" s="828">
        <v>52.5</v>
      </c>
      <c r="N177" s="828">
        <v>50.2</v>
      </c>
      <c r="O177" s="828">
        <v>48.2</v>
      </c>
      <c r="R177" s="1208">
        <f t="shared" si="25"/>
        <v>39</v>
      </c>
      <c r="S177" s="1258">
        <v>112.85</v>
      </c>
      <c r="T177" s="1258">
        <v>97.9</v>
      </c>
      <c r="U177" s="1258">
        <v>82.65</v>
      </c>
      <c r="X177" s="1208">
        <f t="shared" si="26"/>
        <v>39</v>
      </c>
      <c r="Y177" s="1258">
        <v>103.1</v>
      </c>
      <c r="Z177" s="1258">
        <v>89.45</v>
      </c>
      <c r="AA177" s="1258">
        <v>75.55</v>
      </c>
      <c r="AD177" s="1285">
        <v>21</v>
      </c>
      <c r="AE177" s="1287">
        <v>1.25</v>
      </c>
      <c r="AF177" s="1287">
        <v>1.85</v>
      </c>
      <c r="AL177" s="1263">
        <v>29</v>
      </c>
      <c r="AM177" s="1276">
        <v>85.45</v>
      </c>
      <c r="AN177" s="1276">
        <v>54.85</v>
      </c>
      <c r="AO177" s="1276">
        <v>46.45</v>
      </c>
      <c r="AQ177" s="1264">
        <v>39</v>
      </c>
      <c r="AR177" s="1288">
        <v>5.98</v>
      </c>
      <c r="AS177" s="1288">
        <v>6.42</v>
      </c>
      <c r="AT177" s="1288">
        <v>7.66</v>
      </c>
      <c r="AV177" s="1254">
        <f t="shared" si="27"/>
        <v>27</v>
      </c>
      <c r="AW177" s="1278">
        <v>418.2</v>
      </c>
      <c r="AY177" s="688">
        <f t="shared" si="28"/>
        <v>39</v>
      </c>
      <c r="AZ177" s="1258">
        <v>4.78</v>
      </c>
      <c r="BA177" s="1258">
        <v>6.87</v>
      </c>
      <c r="BB177" s="1258">
        <v>9.73</v>
      </c>
      <c r="BD177" s="688">
        <f t="shared" si="29"/>
        <v>39</v>
      </c>
      <c r="BE177" s="1258">
        <v>4.3499999999999996</v>
      </c>
      <c r="BF177" s="1258">
        <v>6.25</v>
      </c>
      <c r="BG177" s="1258">
        <v>8.86</v>
      </c>
      <c r="BK177" s="1208">
        <v>36</v>
      </c>
      <c r="BL177" s="826">
        <v>772.25</v>
      </c>
      <c r="BM177" s="826">
        <v>776.05</v>
      </c>
      <c r="BN177" s="826">
        <v>777.6</v>
      </c>
      <c r="CO177" s="1283">
        <v>9</v>
      </c>
      <c r="CP177" s="1246">
        <v>0.2</v>
      </c>
      <c r="CQ177" s="1246">
        <v>0.25</v>
      </c>
      <c r="CR177" s="1246">
        <v>0.3</v>
      </c>
      <c r="CS177" s="1246">
        <v>0.35</v>
      </c>
      <c r="CT177" s="1246">
        <v>0.4</v>
      </c>
      <c r="CU177" s="1246">
        <v>0.5</v>
      </c>
      <c r="CV177" s="1246">
        <v>0.55000000000000004</v>
      </c>
      <c r="CW177" s="1246">
        <v>0.6</v>
      </c>
      <c r="CX177" s="1246">
        <v>0.7</v>
      </c>
      <c r="CY177" s="1246">
        <v>0.75</v>
      </c>
      <c r="CZ177" s="1246">
        <v>0.85</v>
      </c>
      <c r="DA177" s="1246">
        <v>0.95</v>
      </c>
      <c r="DB177" s="1246">
        <v>1</v>
      </c>
      <c r="DC177" s="1246">
        <v>1.1000000000000001</v>
      </c>
      <c r="DD177" s="1246">
        <v>1.2</v>
      </c>
      <c r="DE177" s="1246">
        <v>1.25</v>
      </c>
      <c r="DG177" s="1267">
        <v>54</v>
      </c>
      <c r="DH177" s="1268">
        <v>1.9</v>
      </c>
      <c r="DI177" s="1268">
        <v>2</v>
      </c>
      <c r="DJ177" s="1269">
        <v>2.1</v>
      </c>
      <c r="DK177" s="1270">
        <v>2.2000000000000002</v>
      </c>
      <c r="DL177" s="1268">
        <v>2.2999999999999998</v>
      </c>
      <c r="DM177" s="1268">
        <v>2.4500000000000002</v>
      </c>
      <c r="DN177" s="1269">
        <v>2.5499999999999998</v>
      </c>
      <c r="DO177" s="1284" t="s">
        <v>39</v>
      </c>
      <c r="DP177" s="1286" t="s">
        <v>39</v>
      </c>
      <c r="DQ177" s="1286" t="s">
        <v>39</v>
      </c>
      <c r="DR177" s="1284" t="s">
        <v>39</v>
      </c>
    </row>
    <row r="178" spans="2:140" ht="15" customHeight="1">
      <c r="B178" s="1207">
        <v>40</v>
      </c>
      <c r="C178" s="828">
        <v>103.25</v>
      </c>
      <c r="D178" s="828">
        <v>93.6</v>
      </c>
      <c r="E178" s="828">
        <v>85.7</v>
      </c>
      <c r="F178" s="828">
        <v>79.05</v>
      </c>
      <c r="G178" s="828">
        <v>73.45</v>
      </c>
      <c r="H178" s="828">
        <v>69.7</v>
      </c>
      <c r="I178" s="828">
        <v>65.400000000000006</v>
      </c>
      <c r="J178" s="828">
        <v>61.7</v>
      </c>
      <c r="K178" s="828">
        <v>58.45</v>
      </c>
      <c r="L178" s="828">
        <v>55.6</v>
      </c>
      <c r="M178" s="828">
        <v>53.1</v>
      </c>
      <c r="N178" s="828">
        <v>50.85</v>
      </c>
      <c r="O178" s="828">
        <v>48.85</v>
      </c>
      <c r="R178" s="1208">
        <f t="shared" si="25"/>
        <v>40</v>
      </c>
      <c r="S178" s="1258">
        <v>113.15</v>
      </c>
      <c r="T178" s="1258">
        <v>98.3</v>
      </c>
      <c r="U178" s="1258">
        <v>83.25</v>
      </c>
      <c r="X178" s="1208">
        <f t="shared" si="26"/>
        <v>40</v>
      </c>
      <c r="Y178" s="1258">
        <v>103.35</v>
      </c>
      <c r="Z178" s="1258">
        <v>89.85</v>
      </c>
      <c r="AA178" s="1258">
        <v>76.099999999999994</v>
      </c>
      <c r="AD178" s="829">
        <v>25</v>
      </c>
      <c r="AE178" s="831">
        <v>1.3</v>
      </c>
      <c r="AF178" s="831">
        <v>1.95</v>
      </c>
      <c r="AL178" s="1263">
        <v>30</v>
      </c>
      <c r="AM178" s="1276">
        <v>85.5</v>
      </c>
      <c r="AN178" s="1276">
        <v>54.95</v>
      </c>
      <c r="AO178" s="1276">
        <v>46.6</v>
      </c>
      <c r="AQ178" s="1264">
        <v>40</v>
      </c>
      <c r="AR178" s="1288">
        <v>6.54</v>
      </c>
      <c r="AS178" s="1288">
        <v>6.98</v>
      </c>
      <c r="AT178" s="1288">
        <v>8.3000000000000007</v>
      </c>
      <c r="AV178" s="1254">
        <f t="shared" si="27"/>
        <v>28</v>
      </c>
      <c r="AW178" s="1278">
        <v>420.3</v>
      </c>
      <c r="AY178" s="688">
        <f t="shared" si="28"/>
        <v>40</v>
      </c>
      <c r="AZ178" s="1258">
        <v>5.24</v>
      </c>
      <c r="BA178" s="1258">
        <v>7.51</v>
      </c>
      <c r="BB178" s="1258">
        <v>10.57</v>
      </c>
      <c r="BD178" s="688">
        <f t="shared" si="29"/>
        <v>40</v>
      </c>
      <c r="BE178" s="1258">
        <v>4.7699999999999996</v>
      </c>
      <c r="BF178" s="1258">
        <v>6.84</v>
      </c>
      <c r="BG178" s="1258">
        <v>9.6199999999999992</v>
      </c>
      <c r="BK178" s="1208">
        <v>37</v>
      </c>
      <c r="BL178" s="826">
        <v>772.95</v>
      </c>
      <c r="BM178" s="826">
        <v>776.85</v>
      </c>
      <c r="BN178" s="826">
        <v>778.5</v>
      </c>
      <c r="CO178" s="1282">
        <v>10</v>
      </c>
      <c r="CP178" s="1246">
        <v>0.2</v>
      </c>
      <c r="CQ178" s="1246">
        <v>0.25</v>
      </c>
      <c r="CR178" s="1246">
        <v>0.3</v>
      </c>
      <c r="CS178" s="1246">
        <v>0.35</v>
      </c>
      <c r="CT178" s="1246">
        <v>0.45</v>
      </c>
      <c r="CU178" s="1246">
        <v>0.5</v>
      </c>
      <c r="CV178" s="1246">
        <v>0.55000000000000004</v>
      </c>
      <c r="CW178" s="1246">
        <v>0.65</v>
      </c>
      <c r="CX178" s="1246">
        <v>0.7</v>
      </c>
      <c r="CY178" s="1246">
        <v>0.8</v>
      </c>
      <c r="CZ178" s="1246">
        <v>0.9</v>
      </c>
      <c r="DA178" s="1246">
        <v>0.95</v>
      </c>
      <c r="DB178" s="1246">
        <v>1.05</v>
      </c>
      <c r="DC178" s="1246">
        <v>1.1499999999999999</v>
      </c>
      <c r="DD178" s="1246">
        <v>1.25</v>
      </c>
      <c r="DE178" s="1246">
        <v>1.3</v>
      </c>
      <c r="DG178" s="1267">
        <v>55</v>
      </c>
      <c r="DH178" s="1268">
        <v>2.0499999999999998</v>
      </c>
      <c r="DI178" s="1268">
        <v>2.15</v>
      </c>
      <c r="DJ178" s="1269">
        <v>2.25</v>
      </c>
      <c r="DK178" s="1270">
        <v>2.35</v>
      </c>
      <c r="DL178" s="1268">
        <v>2.4500000000000002</v>
      </c>
      <c r="DM178" s="1268">
        <v>2.65</v>
      </c>
      <c r="DN178" s="1284" t="s">
        <v>39</v>
      </c>
      <c r="DO178" s="1284" t="s">
        <v>39</v>
      </c>
      <c r="DP178" s="1286" t="s">
        <v>39</v>
      </c>
      <c r="DQ178" s="1286" t="s">
        <v>39</v>
      </c>
      <c r="DR178" s="1284" t="s">
        <v>39</v>
      </c>
    </row>
    <row r="179" spans="2:140" ht="15" customHeight="1">
      <c r="B179" s="1207">
        <v>41</v>
      </c>
      <c r="C179" s="828">
        <v>103.65</v>
      </c>
      <c r="D179" s="828">
        <v>94.05</v>
      </c>
      <c r="E179" s="828">
        <v>86.15</v>
      </c>
      <c r="F179" s="828">
        <v>79.55</v>
      </c>
      <c r="G179" s="828">
        <v>73.95</v>
      </c>
      <c r="H179" s="828">
        <v>70.25</v>
      </c>
      <c r="I179" s="828">
        <v>66</v>
      </c>
      <c r="J179" s="828">
        <v>62.3</v>
      </c>
      <c r="K179" s="828">
        <v>59.1</v>
      </c>
      <c r="L179" s="828">
        <v>56.25</v>
      </c>
      <c r="M179" s="828">
        <v>53.75</v>
      </c>
      <c r="N179" s="828">
        <v>51.55</v>
      </c>
      <c r="O179" s="828" t="s">
        <v>39</v>
      </c>
      <c r="R179" s="1208">
        <f t="shared" si="25"/>
        <v>41</v>
      </c>
      <c r="S179" s="1258">
        <v>113.45</v>
      </c>
      <c r="T179" s="1258">
        <v>98.75</v>
      </c>
      <c r="U179" s="1258">
        <v>83.85</v>
      </c>
      <c r="X179" s="1208">
        <f t="shared" si="26"/>
        <v>41</v>
      </c>
      <c r="Y179" s="1258">
        <v>103.7</v>
      </c>
      <c r="Z179" s="1258">
        <v>90.25</v>
      </c>
      <c r="AA179" s="1258">
        <v>76.650000000000006</v>
      </c>
      <c r="AL179" s="1263">
        <v>31</v>
      </c>
      <c r="AM179" s="1276">
        <v>85.55</v>
      </c>
      <c r="AN179" s="1276">
        <v>55.05</v>
      </c>
      <c r="AO179" s="1276">
        <v>46.7</v>
      </c>
      <c r="AQ179" s="1264">
        <v>41</v>
      </c>
      <c r="AR179" s="1288">
        <v>7.15</v>
      </c>
      <c r="AS179" s="1288">
        <v>7.58</v>
      </c>
      <c r="AT179" s="1288">
        <v>8.99</v>
      </c>
      <c r="AV179" s="1254">
        <f t="shared" si="27"/>
        <v>29</v>
      </c>
      <c r="AW179" s="1278">
        <v>422.8</v>
      </c>
      <c r="AY179" s="688">
        <f t="shared" si="28"/>
        <v>41</v>
      </c>
      <c r="AZ179" s="1258">
        <v>5.74</v>
      </c>
      <c r="BA179" s="1258">
        <v>8.1999999999999993</v>
      </c>
      <c r="BB179" s="1258">
        <v>11.47</v>
      </c>
      <c r="BD179" s="688">
        <f t="shared" si="29"/>
        <v>41</v>
      </c>
      <c r="BE179" s="1258">
        <v>5.23</v>
      </c>
      <c r="BF179" s="1258">
        <v>7.47</v>
      </c>
      <c r="BG179" s="1258">
        <v>10.45</v>
      </c>
      <c r="BK179" s="1208">
        <v>38</v>
      </c>
      <c r="BL179" s="826">
        <v>773.7</v>
      </c>
      <c r="BM179" s="826">
        <v>777.75</v>
      </c>
      <c r="BN179" s="826">
        <v>779.5</v>
      </c>
      <c r="CO179" s="1283">
        <v>11</v>
      </c>
      <c r="CP179" s="1246">
        <v>0.25</v>
      </c>
      <c r="CQ179" s="1246">
        <v>0.3</v>
      </c>
      <c r="CR179" s="1246">
        <v>0.35</v>
      </c>
      <c r="CS179" s="1246">
        <v>0.4</v>
      </c>
      <c r="CT179" s="1246">
        <v>0.45</v>
      </c>
      <c r="CU179" s="1246">
        <v>0.55000000000000004</v>
      </c>
      <c r="CV179" s="1246">
        <v>0.6</v>
      </c>
      <c r="CW179" s="1246">
        <v>0.7</v>
      </c>
      <c r="CX179" s="1246">
        <v>0.75</v>
      </c>
      <c r="CY179" s="1246">
        <v>0.85</v>
      </c>
      <c r="CZ179" s="1246">
        <v>0.95</v>
      </c>
      <c r="DA179" s="1246">
        <v>1</v>
      </c>
      <c r="DB179" s="1246">
        <v>1.1000000000000001</v>
      </c>
      <c r="DC179" s="1246">
        <v>1.2</v>
      </c>
      <c r="DD179" s="1246">
        <v>1.3</v>
      </c>
      <c r="DE179" s="1246">
        <v>1.4</v>
      </c>
    </row>
    <row r="180" spans="2:140" ht="15" customHeight="1">
      <c r="B180" s="1207">
        <v>42</v>
      </c>
      <c r="C180" s="828">
        <v>104.15</v>
      </c>
      <c r="D180" s="828">
        <v>94.55</v>
      </c>
      <c r="E180" s="828">
        <v>86.65</v>
      </c>
      <c r="F180" s="828">
        <v>80.099999999999994</v>
      </c>
      <c r="G180" s="828">
        <v>74.5</v>
      </c>
      <c r="H180" s="828">
        <v>70.849999999999994</v>
      </c>
      <c r="I180" s="828">
        <v>66.599999999999994</v>
      </c>
      <c r="J180" s="828">
        <v>62.95</v>
      </c>
      <c r="K180" s="828">
        <v>59.75</v>
      </c>
      <c r="L180" s="828">
        <v>56.95</v>
      </c>
      <c r="M180" s="828">
        <v>54.5</v>
      </c>
      <c r="N180" s="828" t="s">
        <v>39</v>
      </c>
      <c r="O180" s="828" t="s">
        <v>39</v>
      </c>
      <c r="R180" s="1208">
        <f t="shared" si="25"/>
        <v>42</v>
      </c>
      <c r="S180" s="1258">
        <v>113.8</v>
      </c>
      <c r="T180" s="1258">
        <v>99.2</v>
      </c>
      <c r="U180" s="1258">
        <v>84.55</v>
      </c>
      <c r="X180" s="1208">
        <f t="shared" si="26"/>
        <v>42</v>
      </c>
      <c r="Y180" s="1258">
        <v>104</v>
      </c>
      <c r="Z180" s="1258">
        <v>90.7</v>
      </c>
      <c r="AA180" s="1258">
        <v>77.3</v>
      </c>
      <c r="AD180" s="968">
        <f>LOOKUP(AC$156,AD$182:AE$182,AD181:AE181)</f>
        <v>54</v>
      </c>
      <c r="AL180" s="1263">
        <v>32</v>
      </c>
      <c r="AM180" s="1276">
        <v>85.6</v>
      </c>
      <c r="AN180" s="1276">
        <v>55.15</v>
      </c>
      <c r="AO180" s="1276">
        <v>46.85</v>
      </c>
      <c r="AQ180" s="1264">
        <v>42</v>
      </c>
      <c r="AR180" s="1288">
        <v>7.81</v>
      </c>
      <c r="AS180" s="1288">
        <v>8.24</v>
      </c>
      <c r="AT180" s="1288">
        <v>9.74</v>
      </c>
      <c r="AV180" s="1254">
        <f t="shared" si="27"/>
        <v>30</v>
      </c>
      <c r="AW180" s="1278">
        <v>425.8</v>
      </c>
      <c r="AY180" s="688">
        <f t="shared" si="28"/>
        <v>42</v>
      </c>
      <c r="AZ180" s="1258">
        <v>6.31</v>
      </c>
      <c r="BA180" s="1258">
        <v>8.9600000000000009</v>
      </c>
      <c r="BB180" s="1258">
        <v>12.45</v>
      </c>
      <c r="BD180" s="688">
        <f t="shared" si="29"/>
        <v>42</v>
      </c>
      <c r="BE180" s="1258">
        <v>5.74</v>
      </c>
      <c r="BF180" s="1258">
        <v>8.16</v>
      </c>
      <c r="BG180" s="1258">
        <v>11.34</v>
      </c>
      <c r="BK180" s="1208">
        <v>39</v>
      </c>
      <c r="BL180" s="826">
        <v>774.6</v>
      </c>
      <c r="BM180" s="826">
        <v>778.75</v>
      </c>
      <c r="BN180" s="826">
        <v>780.65</v>
      </c>
      <c r="CO180" s="1282">
        <v>12</v>
      </c>
      <c r="CP180" s="1246">
        <v>0.25</v>
      </c>
      <c r="CQ180" s="1246">
        <v>0.3</v>
      </c>
      <c r="CR180" s="1246">
        <v>0.35</v>
      </c>
      <c r="CS180" s="1246">
        <v>0.45</v>
      </c>
      <c r="CT180" s="1246">
        <v>0.5</v>
      </c>
      <c r="CU180" s="1246">
        <v>0.55000000000000004</v>
      </c>
      <c r="CV180" s="1246">
        <v>0.65</v>
      </c>
      <c r="CW180" s="1246">
        <v>0.75</v>
      </c>
      <c r="CX180" s="1246">
        <v>0.8</v>
      </c>
      <c r="CY180" s="1246">
        <v>0.9</v>
      </c>
      <c r="CZ180" s="1246">
        <v>1</v>
      </c>
      <c r="DA180" s="1246">
        <v>1.1000000000000001</v>
      </c>
      <c r="DB180" s="1246">
        <v>1.1499999999999999</v>
      </c>
      <c r="DC180" s="1246">
        <v>1.25</v>
      </c>
      <c r="DD180" s="1246">
        <v>1.35</v>
      </c>
      <c r="DE180" s="1246">
        <v>1.45</v>
      </c>
    </row>
    <row r="181" spans="2:140" ht="15" customHeight="1">
      <c r="B181" s="1207">
        <v>43</v>
      </c>
      <c r="C181" s="828">
        <v>104.65</v>
      </c>
      <c r="D181" s="828">
        <v>95.1</v>
      </c>
      <c r="E181" s="828">
        <v>87.25</v>
      </c>
      <c r="F181" s="828">
        <v>80.7</v>
      </c>
      <c r="G181" s="828">
        <v>75.150000000000006</v>
      </c>
      <c r="H181" s="828">
        <v>71.5</v>
      </c>
      <c r="I181" s="828">
        <v>67.3</v>
      </c>
      <c r="J181" s="828">
        <v>63.7</v>
      </c>
      <c r="K181" s="828">
        <v>60.5</v>
      </c>
      <c r="L181" s="828">
        <v>57.75</v>
      </c>
      <c r="M181" s="828" t="s">
        <v>39</v>
      </c>
      <c r="N181" s="828" t="s">
        <v>39</v>
      </c>
      <c r="O181" s="828" t="s">
        <v>39</v>
      </c>
      <c r="R181" s="1208">
        <f t="shared" si="25"/>
        <v>43</v>
      </c>
      <c r="S181" s="1258">
        <v>114.2</v>
      </c>
      <c r="T181" s="1258">
        <v>99.75</v>
      </c>
      <c r="U181" s="1258">
        <v>85.3</v>
      </c>
      <c r="X181" s="1208">
        <f t="shared" si="26"/>
        <v>43</v>
      </c>
      <c r="Y181" s="1258">
        <v>104.4</v>
      </c>
      <c r="Z181" s="1258">
        <v>91.2</v>
      </c>
      <c r="AA181" s="1258">
        <v>78</v>
      </c>
      <c r="AD181" s="968">
        <f>LOOKUP($X$154,$AC183:$AC185,AD183:AD185)</f>
        <v>54</v>
      </c>
      <c r="AE181" s="968">
        <f>LOOKUP($X$154,$AC183:$AC185,AE183:AE185)</f>
        <v>54</v>
      </c>
      <c r="AL181" s="1263">
        <v>33</v>
      </c>
      <c r="AM181" s="1276">
        <v>85.7</v>
      </c>
      <c r="AN181" s="1276">
        <v>55.3</v>
      </c>
      <c r="AO181" s="1276">
        <v>47</v>
      </c>
      <c r="AQ181" s="1264">
        <v>43</v>
      </c>
      <c r="AR181" s="1288">
        <v>8.52</v>
      </c>
      <c r="AS181" s="1288">
        <v>8.94</v>
      </c>
      <c r="AT181" s="1288">
        <v>10.55</v>
      </c>
      <c r="AV181" s="1254">
        <f t="shared" si="27"/>
        <v>31</v>
      </c>
      <c r="AW181" s="1278">
        <v>429.45</v>
      </c>
      <c r="AY181" s="688">
        <f t="shared" si="28"/>
        <v>43</v>
      </c>
      <c r="AZ181" s="1258">
        <v>6.92</v>
      </c>
      <c r="BA181" s="1258">
        <v>9.77</v>
      </c>
      <c r="BB181" s="1258">
        <v>13.5</v>
      </c>
      <c r="BD181" s="688">
        <f t="shared" si="29"/>
        <v>43</v>
      </c>
      <c r="BE181" s="1258">
        <v>6.31</v>
      </c>
      <c r="BF181" s="1258">
        <v>8.9</v>
      </c>
      <c r="BG181" s="1258">
        <v>12.29</v>
      </c>
      <c r="BK181" s="1208">
        <v>40</v>
      </c>
      <c r="BL181" s="826">
        <v>775.6</v>
      </c>
      <c r="BM181" s="826">
        <v>779.85</v>
      </c>
      <c r="BN181" s="826">
        <v>781.85</v>
      </c>
      <c r="CO181" s="1283">
        <v>13</v>
      </c>
      <c r="CP181" s="1246">
        <v>0.25</v>
      </c>
      <c r="CQ181" s="1246">
        <v>0.35</v>
      </c>
      <c r="CR181" s="1246">
        <v>0.4</v>
      </c>
      <c r="CS181" s="1246">
        <v>0.45</v>
      </c>
      <c r="CT181" s="1246">
        <v>0.55000000000000004</v>
      </c>
      <c r="CU181" s="1246">
        <v>0.6</v>
      </c>
      <c r="CV181" s="1246">
        <v>0.7</v>
      </c>
      <c r="CW181" s="1246">
        <v>0.8</v>
      </c>
      <c r="CX181" s="1246">
        <v>0.85</v>
      </c>
      <c r="CY181" s="1246">
        <v>0.95</v>
      </c>
      <c r="CZ181" s="1246">
        <v>1.05</v>
      </c>
      <c r="DA181" s="1246">
        <v>1.1499999999999999</v>
      </c>
      <c r="DB181" s="1246">
        <v>1.25</v>
      </c>
      <c r="DC181" s="1246">
        <v>1.35</v>
      </c>
      <c r="DD181" s="1246">
        <v>1.45</v>
      </c>
      <c r="DE181" s="1246">
        <v>1.55</v>
      </c>
      <c r="DH181" s="1205" t="str">
        <f>LOOKUP($B$1,$DG183:$DG223,DH183:DH223)</f>
        <v>-</v>
      </c>
      <c r="DI181" s="1205" t="str">
        <f t="shared" ref="DI181:EJ181" si="31">LOOKUP($B$1,$DG183:$DG223,DI183:DI223)</f>
        <v>-</v>
      </c>
      <c r="DJ181" s="1205" t="str">
        <f t="shared" si="31"/>
        <v>-</v>
      </c>
      <c r="DK181" s="1205" t="str">
        <f t="shared" si="31"/>
        <v>-</v>
      </c>
      <c r="DL181" s="1205" t="str">
        <f t="shared" si="31"/>
        <v>-</v>
      </c>
      <c r="DM181" s="1205" t="str">
        <f t="shared" si="31"/>
        <v>-</v>
      </c>
      <c r="DN181" s="1205" t="str">
        <f t="shared" si="31"/>
        <v>-</v>
      </c>
      <c r="DO181" s="1205" t="str">
        <f t="shared" si="31"/>
        <v>-</v>
      </c>
      <c r="DP181" s="1205" t="str">
        <f t="shared" si="31"/>
        <v>-</v>
      </c>
      <c r="DQ181" s="1205" t="str">
        <f t="shared" si="31"/>
        <v>-</v>
      </c>
      <c r="DR181" s="1205" t="str">
        <f t="shared" si="31"/>
        <v>-</v>
      </c>
      <c r="DS181" s="1205" t="str">
        <f t="shared" si="31"/>
        <v>-</v>
      </c>
      <c r="DT181" s="1205" t="str">
        <f t="shared" si="31"/>
        <v>-</v>
      </c>
      <c r="DU181" s="1205" t="str">
        <f t="shared" si="31"/>
        <v>-</v>
      </c>
      <c r="DV181" s="1205" t="str">
        <f t="shared" si="31"/>
        <v>-</v>
      </c>
      <c r="DW181" s="1205" t="str">
        <f t="shared" si="31"/>
        <v>-</v>
      </c>
      <c r="DX181" s="1205" t="str">
        <f t="shared" si="31"/>
        <v>-</v>
      </c>
      <c r="DY181" s="1205" t="str">
        <f t="shared" si="31"/>
        <v>-</v>
      </c>
      <c r="DZ181" s="1205">
        <f t="shared" si="31"/>
        <v>0.5</v>
      </c>
      <c r="EA181" s="1205">
        <f t="shared" si="31"/>
        <v>0.55000000000000004</v>
      </c>
      <c r="EB181" s="1205">
        <f t="shared" si="31"/>
        <v>0.55000000000000004</v>
      </c>
      <c r="EC181" s="1205">
        <f t="shared" si="31"/>
        <v>0.6</v>
      </c>
      <c r="ED181" s="1205">
        <f t="shared" si="31"/>
        <v>0.6</v>
      </c>
      <c r="EE181" s="1205">
        <f t="shared" si="31"/>
        <v>0.65</v>
      </c>
      <c r="EF181" s="1205">
        <f t="shared" si="31"/>
        <v>0.7</v>
      </c>
      <c r="EG181" s="1205">
        <f t="shared" si="31"/>
        <v>0.7</v>
      </c>
      <c r="EH181" s="1205">
        <f t="shared" si="31"/>
        <v>0.75</v>
      </c>
      <c r="EI181" s="1205">
        <f t="shared" si="31"/>
        <v>0.8</v>
      </c>
      <c r="EJ181" s="1205">
        <f t="shared" si="31"/>
        <v>0.8</v>
      </c>
    </row>
    <row r="182" spans="2:140" ht="15" customHeight="1">
      <c r="B182" s="1207">
        <v>44</v>
      </c>
      <c r="C182" s="828">
        <v>105.25</v>
      </c>
      <c r="D182" s="828">
        <v>95.7</v>
      </c>
      <c r="E182" s="828">
        <v>87.9</v>
      </c>
      <c r="F182" s="828">
        <v>81.349999999999994</v>
      </c>
      <c r="G182" s="828">
        <v>75.849999999999994</v>
      </c>
      <c r="H182" s="828">
        <v>72.25</v>
      </c>
      <c r="I182" s="828">
        <v>68.099999999999994</v>
      </c>
      <c r="J182" s="828">
        <v>64.5</v>
      </c>
      <c r="K182" s="828">
        <v>61.35</v>
      </c>
      <c r="L182" s="828" t="s">
        <v>39</v>
      </c>
      <c r="M182" s="828" t="s">
        <v>39</v>
      </c>
      <c r="N182" s="828" t="s">
        <v>39</v>
      </c>
      <c r="O182" s="828" t="s">
        <v>39</v>
      </c>
      <c r="R182" s="1208">
        <f t="shared" si="25"/>
        <v>44</v>
      </c>
      <c r="S182" s="1258">
        <v>114.65</v>
      </c>
      <c r="T182" s="1258">
        <v>100.35</v>
      </c>
      <c r="U182" s="1258">
        <v>86.1</v>
      </c>
      <c r="X182" s="1208">
        <f t="shared" si="26"/>
        <v>44</v>
      </c>
      <c r="Y182" s="1258">
        <v>104.8</v>
      </c>
      <c r="Z182" s="1258">
        <v>91.75</v>
      </c>
      <c r="AA182" s="1258">
        <v>78.75</v>
      </c>
      <c r="AD182" s="1280">
        <v>8</v>
      </c>
      <c r="AE182" s="1280">
        <v>9</v>
      </c>
      <c r="AL182" s="1263">
        <v>34</v>
      </c>
      <c r="AM182" s="1276">
        <v>85.8</v>
      </c>
      <c r="AN182" s="1276">
        <v>55.45</v>
      </c>
      <c r="AO182" s="1276">
        <v>47.2</v>
      </c>
      <c r="AQ182" s="1264">
        <v>44</v>
      </c>
      <c r="AR182" s="1288">
        <v>9.2899999999999991</v>
      </c>
      <c r="AS182" s="1288">
        <v>9.7100000000000009</v>
      </c>
      <c r="AT182" s="1288">
        <v>11.42</v>
      </c>
      <c r="AV182" s="1254">
        <f t="shared" si="27"/>
        <v>32</v>
      </c>
      <c r="AW182" s="1278">
        <v>433.7</v>
      </c>
      <c r="AY182" s="688">
        <f t="shared" si="28"/>
        <v>44</v>
      </c>
      <c r="AZ182" s="1258">
        <v>7.6</v>
      </c>
      <c r="BA182" s="1258">
        <v>10.65</v>
      </c>
      <c r="BB182" s="1258">
        <v>14.62</v>
      </c>
      <c r="BD182" s="688">
        <f t="shared" si="29"/>
        <v>44</v>
      </c>
      <c r="BE182" s="1258">
        <v>6.92</v>
      </c>
      <c r="BF182" s="1258">
        <v>9.6999999999999993</v>
      </c>
      <c r="BG182" s="1258">
        <v>13.32</v>
      </c>
      <c r="BK182" s="1208">
        <v>41</v>
      </c>
      <c r="BL182" s="826">
        <v>776.75</v>
      </c>
      <c r="BM182" s="826">
        <v>781.1</v>
      </c>
      <c r="BN182" s="826">
        <v>783.15</v>
      </c>
      <c r="CO182" s="1282">
        <v>14</v>
      </c>
      <c r="CP182" s="1246">
        <v>0.3</v>
      </c>
      <c r="CQ182" s="1246">
        <v>0.35</v>
      </c>
      <c r="CR182" s="1246">
        <v>0.4</v>
      </c>
      <c r="CS182" s="1246">
        <v>0.5</v>
      </c>
      <c r="CT182" s="1246">
        <v>0.55000000000000004</v>
      </c>
      <c r="CU182" s="1246">
        <v>0.65</v>
      </c>
      <c r="CV182" s="1246">
        <v>0.75</v>
      </c>
      <c r="CW182" s="1246">
        <v>0.8</v>
      </c>
      <c r="CX182" s="1246">
        <v>0.9</v>
      </c>
      <c r="CY182" s="1246">
        <v>1</v>
      </c>
      <c r="CZ182" s="1246">
        <v>1.1000000000000001</v>
      </c>
      <c r="DA182" s="1246">
        <v>1.2</v>
      </c>
      <c r="DB182" s="1246">
        <v>1.3</v>
      </c>
      <c r="DC182" s="1246">
        <v>1.4</v>
      </c>
      <c r="DD182" s="1246">
        <v>1.5</v>
      </c>
      <c r="DE182" s="1246">
        <v>1.6</v>
      </c>
      <c r="DF182" s="824" t="s">
        <v>847</v>
      </c>
      <c r="DG182" s="1266">
        <v>818</v>
      </c>
      <c r="DH182" s="1289">
        <v>7</v>
      </c>
      <c r="DI182" s="1289">
        <v>8</v>
      </c>
      <c r="DJ182" s="1289">
        <v>9</v>
      </c>
      <c r="DK182" s="1290">
        <v>10</v>
      </c>
      <c r="DL182" s="1291">
        <v>11</v>
      </c>
      <c r="DM182" s="1289">
        <v>12</v>
      </c>
      <c r="DN182" s="1290">
        <v>13</v>
      </c>
      <c r="DO182" s="1289">
        <v>14</v>
      </c>
      <c r="DP182" s="1291">
        <v>15</v>
      </c>
      <c r="DQ182" s="1289">
        <v>16</v>
      </c>
      <c r="DR182" s="1290">
        <v>17</v>
      </c>
      <c r="DS182" s="1289">
        <v>18</v>
      </c>
      <c r="DT182" s="1289">
        <v>19</v>
      </c>
      <c r="DU182" s="1291">
        <v>20</v>
      </c>
      <c r="DV182" s="1262">
        <v>21</v>
      </c>
      <c r="DW182" s="1262">
        <v>22</v>
      </c>
      <c r="DX182" s="1262">
        <v>23</v>
      </c>
      <c r="DY182" s="1262">
        <v>24</v>
      </c>
      <c r="DZ182" s="1262">
        <v>25</v>
      </c>
      <c r="EA182" s="1262">
        <v>26</v>
      </c>
      <c r="EB182" s="1262">
        <v>27</v>
      </c>
      <c r="EC182" s="1262">
        <v>28</v>
      </c>
      <c r="ED182" s="1262">
        <v>29</v>
      </c>
      <c r="EE182" s="1262">
        <v>30</v>
      </c>
      <c r="EF182" s="1262">
        <v>31</v>
      </c>
      <c r="EG182" s="1262">
        <v>32</v>
      </c>
      <c r="EH182" s="1262">
        <v>33</v>
      </c>
      <c r="EI182" s="1262">
        <v>34</v>
      </c>
      <c r="EJ182" s="1262">
        <v>35</v>
      </c>
    </row>
    <row r="183" spans="2:140" ht="15" customHeight="1">
      <c r="B183" s="1207">
        <v>45</v>
      </c>
      <c r="C183" s="828">
        <v>105.85</v>
      </c>
      <c r="D183" s="828">
        <v>96.4</v>
      </c>
      <c r="E183" s="828">
        <v>88.6</v>
      </c>
      <c r="F183" s="828">
        <v>82.05</v>
      </c>
      <c r="G183" s="828">
        <v>76.599999999999994</v>
      </c>
      <c r="H183" s="828">
        <v>73.05</v>
      </c>
      <c r="I183" s="828">
        <v>68.900000000000006</v>
      </c>
      <c r="J183" s="828">
        <v>65.349999999999994</v>
      </c>
      <c r="K183" s="828" t="s">
        <v>39</v>
      </c>
      <c r="L183" s="828" t="s">
        <v>39</v>
      </c>
      <c r="M183" s="828" t="s">
        <v>39</v>
      </c>
      <c r="N183" s="828" t="s">
        <v>39</v>
      </c>
      <c r="O183" s="828" t="s">
        <v>39</v>
      </c>
      <c r="R183" s="1208">
        <f t="shared" si="25"/>
        <v>45</v>
      </c>
      <c r="S183" s="1258">
        <v>115.15</v>
      </c>
      <c r="T183" s="1258">
        <v>101</v>
      </c>
      <c r="U183" s="1258">
        <v>86.95</v>
      </c>
      <c r="X183" s="1208">
        <f t="shared" si="26"/>
        <v>45</v>
      </c>
      <c r="Y183" s="1258">
        <v>105.3</v>
      </c>
      <c r="Z183" s="1258">
        <v>92.35</v>
      </c>
      <c r="AA183" s="1258">
        <v>79.55</v>
      </c>
      <c r="AC183" s="1280">
        <v>12</v>
      </c>
      <c r="AD183" s="1292">
        <v>57</v>
      </c>
      <c r="AE183" s="1292">
        <v>62</v>
      </c>
      <c r="AL183" s="1263">
        <v>35</v>
      </c>
      <c r="AM183" s="1276">
        <v>85.95</v>
      </c>
      <c r="AN183" s="1276">
        <v>55.6</v>
      </c>
      <c r="AO183" s="1276">
        <v>47.4</v>
      </c>
      <c r="AQ183" s="1264">
        <v>45</v>
      </c>
      <c r="AR183" s="1288">
        <v>10.119999999999999</v>
      </c>
      <c r="AS183" s="1288">
        <v>10.53</v>
      </c>
      <c r="AT183" s="1288">
        <v>12.36</v>
      </c>
      <c r="AV183" s="1254">
        <f t="shared" si="27"/>
        <v>33</v>
      </c>
      <c r="AW183" s="1278">
        <v>438.85</v>
      </c>
      <c r="AY183" s="688">
        <f t="shared" si="28"/>
        <v>45</v>
      </c>
      <c r="AZ183" s="1258">
        <v>8.32</v>
      </c>
      <c r="BA183" s="1258">
        <v>11.59</v>
      </c>
      <c r="BB183" s="1258">
        <v>15.83</v>
      </c>
      <c r="BD183" s="688">
        <f t="shared" si="29"/>
        <v>45</v>
      </c>
      <c r="BE183" s="1258">
        <v>7.58</v>
      </c>
      <c r="BF183" s="1258">
        <v>10.56</v>
      </c>
      <c r="BG183" s="1258">
        <v>14.43</v>
      </c>
      <c r="BK183" s="1208">
        <v>42</v>
      </c>
      <c r="BL183" s="826">
        <v>778</v>
      </c>
      <c r="BM183" s="826">
        <v>782.45</v>
      </c>
      <c r="BN183" s="826">
        <v>784.55</v>
      </c>
      <c r="CO183" s="1283">
        <v>15</v>
      </c>
      <c r="CP183" s="1246">
        <v>0.3</v>
      </c>
      <c r="CQ183" s="1246">
        <v>0.4</v>
      </c>
      <c r="CR183" s="1246">
        <v>0.45</v>
      </c>
      <c r="CS183" s="1246">
        <v>0.55000000000000004</v>
      </c>
      <c r="CT183" s="1246">
        <v>0.6</v>
      </c>
      <c r="CU183" s="1246">
        <v>0.7</v>
      </c>
      <c r="CV183" s="1246">
        <v>0.8</v>
      </c>
      <c r="CW183" s="1246">
        <v>0.85</v>
      </c>
      <c r="CX183" s="1246">
        <v>0.95</v>
      </c>
      <c r="CY183" s="1246">
        <v>1.05</v>
      </c>
      <c r="CZ183" s="1246">
        <v>1.1499999999999999</v>
      </c>
      <c r="DA183" s="1246">
        <v>1.25</v>
      </c>
      <c r="DB183" s="1246">
        <v>1.35</v>
      </c>
      <c r="DC183" s="1246">
        <v>1.45</v>
      </c>
      <c r="DD183" s="1246">
        <v>1.55</v>
      </c>
      <c r="DE183" s="1246">
        <v>1.7</v>
      </c>
      <c r="DG183" s="1267">
        <v>20</v>
      </c>
      <c r="DH183" s="1286" t="s">
        <v>39</v>
      </c>
      <c r="DI183" s="1286" t="s">
        <v>39</v>
      </c>
      <c r="DJ183" s="1286" t="s">
        <v>39</v>
      </c>
      <c r="DK183" s="1286" t="s">
        <v>39</v>
      </c>
      <c r="DL183" s="1286" t="s">
        <v>39</v>
      </c>
      <c r="DM183" s="1286" t="s">
        <v>39</v>
      </c>
      <c r="DN183" s="1286" t="s">
        <v>39</v>
      </c>
      <c r="DO183" s="1286" t="s">
        <v>39</v>
      </c>
      <c r="DP183" s="1286" t="s">
        <v>39</v>
      </c>
      <c r="DQ183" s="1286" t="s">
        <v>39</v>
      </c>
      <c r="DR183" s="1286" t="s">
        <v>39</v>
      </c>
      <c r="DS183" s="1286" t="s">
        <v>39</v>
      </c>
      <c r="DT183" s="1286" t="s">
        <v>39</v>
      </c>
      <c r="DU183" s="1286" t="s">
        <v>39</v>
      </c>
      <c r="DV183" s="1242" t="s">
        <v>39</v>
      </c>
      <c r="DW183" s="1242" t="s">
        <v>39</v>
      </c>
      <c r="DX183" s="1242" t="s">
        <v>39</v>
      </c>
      <c r="DY183" s="1242" t="s">
        <v>39</v>
      </c>
      <c r="DZ183" s="1242" t="s">
        <v>39</v>
      </c>
      <c r="EA183" s="1242" t="s">
        <v>39</v>
      </c>
      <c r="EB183" s="1242" t="s">
        <v>39</v>
      </c>
      <c r="EC183" s="1242" t="s">
        <v>39</v>
      </c>
      <c r="ED183" s="1242" t="s">
        <v>39</v>
      </c>
      <c r="EE183" s="1242" t="s">
        <v>39</v>
      </c>
      <c r="EF183" s="1242" t="s">
        <v>39</v>
      </c>
      <c r="EG183" s="1242" t="s">
        <v>39</v>
      </c>
      <c r="EH183" s="1242" t="s">
        <v>39</v>
      </c>
      <c r="EI183" s="1242" t="s">
        <v>39</v>
      </c>
      <c r="EJ183" s="1260">
        <v>0.45</v>
      </c>
    </row>
    <row r="184" spans="2:140" ht="15" customHeight="1">
      <c r="B184" s="1207">
        <v>46</v>
      </c>
      <c r="C184" s="828">
        <v>106.6</v>
      </c>
      <c r="D184" s="828">
        <v>97.1</v>
      </c>
      <c r="E184" s="828">
        <v>89.35</v>
      </c>
      <c r="F184" s="828">
        <v>82.85</v>
      </c>
      <c r="G184" s="828">
        <v>77.400000000000006</v>
      </c>
      <c r="H184" s="828">
        <v>73.900000000000006</v>
      </c>
      <c r="I184" s="828">
        <v>69.8</v>
      </c>
      <c r="J184" s="828" t="s">
        <v>39</v>
      </c>
      <c r="K184" s="828" t="s">
        <v>39</v>
      </c>
      <c r="L184" s="828" t="s">
        <v>39</v>
      </c>
      <c r="M184" s="828" t="s">
        <v>39</v>
      </c>
      <c r="N184" s="828" t="s">
        <v>39</v>
      </c>
      <c r="O184" s="828" t="s">
        <v>39</v>
      </c>
      <c r="R184" s="1208">
        <f t="shared" si="25"/>
        <v>46</v>
      </c>
      <c r="S184" s="1258">
        <v>115.65</v>
      </c>
      <c r="T184" s="1258">
        <v>101.65</v>
      </c>
      <c r="U184" s="1258">
        <v>87.9</v>
      </c>
      <c r="X184" s="1208">
        <f t="shared" si="26"/>
        <v>46</v>
      </c>
      <c r="Y184" s="1258">
        <v>105.8</v>
      </c>
      <c r="Z184" s="1258">
        <v>93</v>
      </c>
      <c r="AA184" s="1258">
        <v>80.45</v>
      </c>
      <c r="AC184" s="1280">
        <v>16</v>
      </c>
      <c r="AD184" s="1292">
        <v>59</v>
      </c>
      <c r="AE184" s="1292">
        <v>59</v>
      </c>
      <c r="AL184" s="1263">
        <v>36</v>
      </c>
      <c r="AM184" s="1276">
        <v>86.05</v>
      </c>
      <c r="AN184" s="1276">
        <v>55.8</v>
      </c>
      <c r="AO184" s="1276">
        <v>47.65</v>
      </c>
      <c r="AQ184" s="1264">
        <v>46</v>
      </c>
      <c r="AR184" s="1288">
        <v>11</v>
      </c>
      <c r="AS184" s="1288">
        <v>11.41</v>
      </c>
      <c r="AT184" s="1288">
        <v>13.37</v>
      </c>
      <c r="AV184" s="1254">
        <f t="shared" si="27"/>
        <v>34</v>
      </c>
      <c r="AW184" s="1278">
        <v>444.95</v>
      </c>
      <c r="AY184" s="688">
        <f t="shared" si="28"/>
        <v>46</v>
      </c>
      <c r="AZ184" s="1258">
        <v>9.1</v>
      </c>
      <c r="BA184" s="1258">
        <v>12.59</v>
      </c>
      <c r="BB184" s="1258">
        <v>17.13</v>
      </c>
      <c r="BD184" s="688">
        <f t="shared" si="29"/>
        <v>46</v>
      </c>
      <c r="BE184" s="1258">
        <v>8.2899999999999991</v>
      </c>
      <c r="BF184" s="1258">
        <v>11.48</v>
      </c>
      <c r="BG184" s="1258">
        <v>15.61</v>
      </c>
      <c r="BK184" s="1208">
        <v>43</v>
      </c>
      <c r="BL184" s="826">
        <v>779.45</v>
      </c>
      <c r="BM184" s="826">
        <v>783.9</v>
      </c>
      <c r="BN184" s="826">
        <v>786</v>
      </c>
      <c r="CO184" s="1282">
        <v>16</v>
      </c>
      <c r="CP184" s="1246">
        <v>0.35</v>
      </c>
      <c r="CQ184" s="1246">
        <v>0.4</v>
      </c>
      <c r="CR184" s="1246">
        <v>0.5</v>
      </c>
      <c r="CS184" s="1246">
        <v>0.55000000000000004</v>
      </c>
      <c r="CT184" s="1246">
        <v>0.65</v>
      </c>
      <c r="CU184" s="1246">
        <v>0.7</v>
      </c>
      <c r="CV184" s="1246">
        <v>0.8</v>
      </c>
      <c r="CW184" s="1246">
        <v>0.9</v>
      </c>
      <c r="CX184" s="1246">
        <v>1</v>
      </c>
      <c r="CY184" s="1246">
        <v>1.1000000000000001</v>
      </c>
      <c r="CZ184" s="1246">
        <v>1.2</v>
      </c>
      <c r="DA184" s="1246">
        <v>1.3</v>
      </c>
      <c r="DB184" s="1246">
        <v>1.4</v>
      </c>
      <c r="DC184" s="1246">
        <v>1.5</v>
      </c>
      <c r="DD184" s="1246">
        <v>1.65</v>
      </c>
      <c r="DE184" s="1246">
        <v>1.75</v>
      </c>
      <c r="DG184" s="1267">
        <v>21</v>
      </c>
      <c r="DH184" s="1286" t="s">
        <v>39</v>
      </c>
      <c r="DI184" s="1286" t="s">
        <v>39</v>
      </c>
      <c r="DJ184" s="1286" t="s">
        <v>39</v>
      </c>
      <c r="DK184" s="1286" t="s">
        <v>39</v>
      </c>
      <c r="DL184" s="1286" t="s">
        <v>39</v>
      </c>
      <c r="DM184" s="1286" t="s">
        <v>39</v>
      </c>
      <c r="DN184" s="1286" t="s">
        <v>39</v>
      </c>
      <c r="DO184" s="1286" t="s">
        <v>39</v>
      </c>
      <c r="DP184" s="1286" t="s">
        <v>39</v>
      </c>
      <c r="DQ184" s="1286" t="s">
        <v>39</v>
      </c>
      <c r="DR184" s="1286" t="s">
        <v>39</v>
      </c>
      <c r="DS184" s="1286" t="s">
        <v>39</v>
      </c>
      <c r="DT184" s="1286" t="s">
        <v>39</v>
      </c>
      <c r="DU184" s="1286" t="s">
        <v>39</v>
      </c>
      <c r="DV184" s="1242" t="s">
        <v>39</v>
      </c>
      <c r="DW184" s="1242" t="s">
        <v>39</v>
      </c>
      <c r="DX184" s="1242" t="s">
        <v>39</v>
      </c>
      <c r="DY184" s="1242" t="s">
        <v>39</v>
      </c>
      <c r="DZ184" s="1242" t="s">
        <v>39</v>
      </c>
      <c r="EA184" s="1242" t="s">
        <v>39</v>
      </c>
      <c r="EB184" s="1242" t="s">
        <v>39</v>
      </c>
      <c r="EC184" s="1242" t="s">
        <v>39</v>
      </c>
      <c r="ED184" s="1242" t="s">
        <v>39</v>
      </c>
      <c r="EE184" s="1242" t="s">
        <v>39</v>
      </c>
      <c r="EF184" s="1242" t="s">
        <v>39</v>
      </c>
      <c r="EG184" s="1242" t="s">
        <v>39</v>
      </c>
      <c r="EH184" s="1242" t="s">
        <v>39</v>
      </c>
      <c r="EI184" s="1260">
        <v>0.45</v>
      </c>
      <c r="EJ184" s="1260">
        <v>0.45</v>
      </c>
    </row>
    <row r="185" spans="2:140" ht="15" customHeight="1">
      <c r="B185" s="1207">
        <v>47</v>
      </c>
      <c r="C185" s="828">
        <v>107.35</v>
      </c>
      <c r="D185" s="828">
        <v>97.9</v>
      </c>
      <c r="E185" s="828">
        <v>90.15</v>
      </c>
      <c r="F185" s="828">
        <v>83.7</v>
      </c>
      <c r="G185" s="828">
        <v>78.3</v>
      </c>
      <c r="H185" s="828">
        <v>74.849999999999994</v>
      </c>
      <c r="I185" s="828" t="s">
        <v>39</v>
      </c>
      <c r="J185" s="828" t="s">
        <v>39</v>
      </c>
      <c r="K185" s="828" t="s">
        <v>39</v>
      </c>
      <c r="L185" s="828" t="s">
        <v>39</v>
      </c>
      <c r="M185" s="828" t="s">
        <v>39</v>
      </c>
      <c r="N185" s="828" t="s">
        <v>39</v>
      </c>
      <c r="O185" s="828" t="s">
        <v>39</v>
      </c>
      <c r="R185" s="1208">
        <f t="shared" si="25"/>
        <v>47</v>
      </c>
      <c r="S185" s="1258">
        <v>116.25</v>
      </c>
      <c r="T185" s="1258">
        <v>102.4</v>
      </c>
      <c r="U185" s="1258">
        <v>88.9</v>
      </c>
      <c r="X185" s="1208">
        <f t="shared" si="26"/>
        <v>47</v>
      </c>
      <c r="Y185" s="1258">
        <v>106.35</v>
      </c>
      <c r="Z185" s="1258">
        <v>93.75</v>
      </c>
      <c r="AA185" s="1258">
        <v>81.400000000000006</v>
      </c>
      <c r="AC185" s="1280">
        <v>21</v>
      </c>
      <c r="AD185" s="1292">
        <v>54</v>
      </c>
      <c r="AE185" s="1292">
        <v>54</v>
      </c>
      <c r="AL185" s="1263">
        <v>37</v>
      </c>
      <c r="AM185" s="1276">
        <v>86.2</v>
      </c>
      <c r="AN185" s="1276">
        <v>56</v>
      </c>
      <c r="AO185" s="1276">
        <v>47.95</v>
      </c>
      <c r="AQ185" s="1264">
        <v>47</v>
      </c>
      <c r="AR185" s="1288">
        <v>11.94</v>
      </c>
      <c r="AS185" s="1288">
        <v>12.36</v>
      </c>
      <c r="AT185" s="1288">
        <v>14.44</v>
      </c>
      <c r="AV185" s="1254">
        <f t="shared" si="27"/>
        <v>35</v>
      </c>
      <c r="AW185" s="1278">
        <v>452.2</v>
      </c>
      <c r="AY185" s="688">
        <f t="shared" si="28"/>
        <v>47</v>
      </c>
      <c r="AZ185" s="1258">
        <v>9.93</v>
      </c>
      <c r="BA185" s="1258">
        <v>13.66</v>
      </c>
      <c r="BB185" s="1258">
        <v>18.52</v>
      </c>
      <c r="BD185" s="688">
        <f t="shared" si="29"/>
        <v>47</v>
      </c>
      <c r="BE185" s="1258">
        <v>9.0500000000000007</v>
      </c>
      <c r="BF185" s="1258">
        <v>12.46</v>
      </c>
      <c r="BG185" s="1258">
        <v>16.88</v>
      </c>
      <c r="BK185" s="1208">
        <v>44</v>
      </c>
      <c r="BL185" s="826">
        <v>780.95</v>
      </c>
      <c r="BM185" s="826">
        <v>785.5</v>
      </c>
      <c r="BN185" s="826">
        <v>787.6</v>
      </c>
      <c r="CO185" s="1283">
        <v>17</v>
      </c>
      <c r="CP185" s="1246">
        <v>0.35</v>
      </c>
      <c r="CQ185" s="1246">
        <v>0.4</v>
      </c>
      <c r="CR185" s="1246">
        <v>0.5</v>
      </c>
      <c r="CS185" s="1246">
        <v>0.6</v>
      </c>
      <c r="CT185" s="1246">
        <v>0.65</v>
      </c>
      <c r="CU185" s="1246">
        <v>0.75</v>
      </c>
      <c r="CV185" s="1246">
        <v>0.85</v>
      </c>
      <c r="CW185" s="1246">
        <v>0.95</v>
      </c>
      <c r="CX185" s="1246">
        <v>1.05</v>
      </c>
      <c r="CY185" s="1246">
        <v>1.1499999999999999</v>
      </c>
      <c r="CZ185" s="1246">
        <v>1.25</v>
      </c>
      <c r="DA185" s="1246">
        <v>1.35</v>
      </c>
      <c r="DB185" s="1246">
        <v>1.45</v>
      </c>
      <c r="DC185" s="1246">
        <v>1.6</v>
      </c>
      <c r="DD185" s="1246">
        <v>1.7</v>
      </c>
      <c r="DE185" s="1246">
        <v>1.8</v>
      </c>
      <c r="DG185" s="1267">
        <v>22</v>
      </c>
      <c r="DH185" s="1286" t="s">
        <v>39</v>
      </c>
      <c r="DI185" s="1286" t="s">
        <v>39</v>
      </c>
      <c r="DJ185" s="1286" t="s">
        <v>39</v>
      </c>
      <c r="DK185" s="1286" t="s">
        <v>39</v>
      </c>
      <c r="DL185" s="1286" t="s">
        <v>39</v>
      </c>
      <c r="DM185" s="1286" t="s">
        <v>39</v>
      </c>
      <c r="DN185" s="1286" t="s">
        <v>39</v>
      </c>
      <c r="DO185" s="1286" t="s">
        <v>39</v>
      </c>
      <c r="DP185" s="1286" t="s">
        <v>39</v>
      </c>
      <c r="DQ185" s="1286" t="s">
        <v>39</v>
      </c>
      <c r="DR185" s="1286" t="s">
        <v>39</v>
      </c>
      <c r="DS185" s="1286" t="s">
        <v>39</v>
      </c>
      <c r="DT185" s="1286" t="s">
        <v>39</v>
      </c>
      <c r="DU185" s="1286" t="s">
        <v>39</v>
      </c>
      <c r="DV185" s="1242" t="s">
        <v>39</v>
      </c>
      <c r="DW185" s="1242" t="s">
        <v>39</v>
      </c>
      <c r="DX185" s="1242" t="s">
        <v>39</v>
      </c>
      <c r="DY185" s="1242" t="s">
        <v>39</v>
      </c>
      <c r="DZ185" s="1242" t="s">
        <v>39</v>
      </c>
      <c r="EA185" s="1242" t="s">
        <v>39</v>
      </c>
      <c r="EB185" s="1242" t="s">
        <v>39</v>
      </c>
      <c r="EC185" s="1242" t="s">
        <v>39</v>
      </c>
      <c r="ED185" s="1242" t="s">
        <v>39</v>
      </c>
      <c r="EE185" s="1242" t="s">
        <v>39</v>
      </c>
      <c r="EF185" s="1242" t="s">
        <v>39</v>
      </c>
      <c r="EG185" s="1242" t="s">
        <v>39</v>
      </c>
      <c r="EH185" s="1260">
        <v>0.45</v>
      </c>
      <c r="EI185" s="1260">
        <v>0.5</v>
      </c>
      <c r="EJ185" s="1260">
        <v>0.5</v>
      </c>
    </row>
    <row r="186" spans="2:140" ht="15" customHeight="1">
      <c r="B186" s="1207">
        <v>48</v>
      </c>
      <c r="C186" s="828">
        <v>108.15</v>
      </c>
      <c r="D186" s="828">
        <v>98.75</v>
      </c>
      <c r="E186" s="828">
        <v>91.05</v>
      </c>
      <c r="F186" s="828">
        <v>84.65</v>
      </c>
      <c r="G186" s="828">
        <v>79.25</v>
      </c>
      <c r="H186" s="828" t="s">
        <v>39</v>
      </c>
      <c r="I186" s="828" t="s">
        <v>39</v>
      </c>
      <c r="J186" s="828" t="s">
        <v>39</v>
      </c>
      <c r="K186" s="828" t="s">
        <v>39</v>
      </c>
      <c r="L186" s="828" t="s">
        <v>39</v>
      </c>
      <c r="M186" s="828" t="s">
        <v>39</v>
      </c>
      <c r="N186" s="828" t="s">
        <v>39</v>
      </c>
      <c r="O186" s="828" t="s">
        <v>39</v>
      </c>
      <c r="R186" s="1208">
        <f t="shared" si="25"/>
        <v>48</v>
      </c>
      <c r="S186" s="1258">
        <v>116.85</v>
      </c>
      <c r="T186" s="1258">
        <v>103.2</v>
      </c>
      <c r="U186" s="1258">
        <v>90</v>
      </c>
      <c r="X186" s="1208">
        <f t="shared" si="26"/>
        <v>48</v>
      </c>
      <c r="Y186" s="1258">
        <v>106.95</v>
      </c>
      <c r="Z186" s="1258">
        <v>94.5</v>
      </c>
      <c r="AA186" s="1258">
        <v>82.4</v>
      </c>
      <c r="AL186" s="1263">
        <v>38</v>
      </c>
      <c r="AM186" s="1276">
        <v>86.4</v>
      </c>
      <c r="AN186" s="1276">
        <v>56.25</v>
      </c>
      <c r="AO186" s="1276">
        <v>48.2</v>
      </c>
      <c r="AQ186" s="1264">
        <v>48</v>
      </c>
      <c r="AR186" s="1288">
        <v>12.95</v>
      </c>
      <c r="AS186" s="1288">
        <v>13.37</v>
      </c>
      <c r="AT186" s="1288">
        <v>15.59</v>
      </c>
      <c r="AV186" s="1254">
        <f t="shared" si="27"/>
        <v>36</v>
      </c>
      <c r="AW186" s="1278">
        <v>460.8</v>
      </c>
      <c r="AY186" s="688">
        <f t="shared" si="28"/>
        <v>48</v>
      </c>
      <c r="AZ186" s="1258">
        <v>10.81</v>
      </c>
      <c r="BA186" s="1258">
        <v>14.8</v>
      </c>
      <c r="BB186" s="1258">
        <v>20</v>
      </c>
      <c r="BD186" s="688">
        <f t="shared" si="29"/>
        <v>48</v>
      </c>
      <c r="BE186" s="1258">
        <v>9.86</v>
      </c>
      <c r="BF186" s="1258">
        <v>13.5</v>
      </c>
      <c r="BG186" s="1258">
        <v>18.23</v>
      </c>
      <c r="BK186" s="1208">
        <v>45</v>
      </c>
      <c r="BL186" s="826">
        <v>782.65</v>
      </c>
      <c r="BM186" s="826">
        <v>787.15</v>
      </c>
      <c r="BN186" s="826">
        <v>789.25</v>
      </c>
      <c r="CO186" s="1282">
        <v>18</v>
      </c>
      <c r="CP186" s="1246">
        <v>0.35</v>
      </c>
      <c r="CQ186" s="1246">
        <v>0.45</v>
      </c>
      <c r="CR186" s="1246">
        <v>0.5</v>
      </c>
      <c r="CS186" s="1246">
        <v>0.6</v>
      </c>
      <c r="CT186" s="1246">
        <v>0.7</v>
      </c>
      <c r="CU186" s="1246">
        <v>0.75</v>
      </c>
      <c r="CV186" s="1246">
        <v>0.85</v>
      </c>
      <c r="CW186" s="1246">
        <v>0.95</v>
      </c>
      <c r="CX186" s="1246">
        <v>1.05</v>
      </c>
      <c r="CY186" s="1246">
        <v>1.2</v>
      </c>
      <c r="CZ186" s="1246">
        <v>1.3</v>
      </c>
      <c r="DA186" s="1246">
        <v>1.4</v>
      </c>
      <c r="DB186" s="1246">
        <v>1.5</v>
      </c>
      <c r="DC186" s="1246">
        <v>1.65</v>
      </c>
      <c r="DD186" s="1246">
        <v>1.75</v>
      </c>
      <c r="DE186" s="1246">
        <v>1.9</v>
      </c>
      <c r="DG186" s="1267">
        <v>23</v>
      </c>
      <c r="DH186" s="1286" t="s">
        <v>39</v>
      </c>
      <c r="DI186" s="1286" t="s">
        <v>39</v>
      </c>
      <c r="DJ186" s="1286" t="s">
        <v>39</v>
      </c>
      <c r="DK186" s="1286" t="s">
        <v>39</v>
      </c>
      <c r="DL186" s="1286" t="s">
        <v>39</v>
      </c>
      <c r="DM186" s="1286" t="s">
        <v>39</v>
      </c>
      <c r="DN186" s="1286" t="s">
        <v>39</v>
      </c>
      <c r="DO186" s="1286" t="s">
        <v>39</v>
      </c>
      <c r="DP186" s="1286" t="s">
        <v>39</v>
      </c>
      <c r="DQ186" s="1286" t="s">
        <v>39</v>
      </c>
      <c r="DR186" s="1286" t="s">
        <v>39</v>
      </c>
      <c r="DS186" s="1286" t="s">
        <v>39</v>
      </c>
      <c r="DT186" s="1286" t="s">
        <v>39</v>
      </c>
      <c r="DU186" s="1286" t="s">
        <v>39</v>
      </c>
      <c r="DV186" s="1242" t="s">
        <v>39</v>
      </c>
      <c r="DW186" s="1242" t="s">
        <v>39</v>
      </c>
      <c r="DX186" s="1242" t="s">
        <v>39</v>
      </c>
      <c r="DY186" s="1242" t="s">
        <v>39</v>
      </c>
      <c r="DZ186" s="1242" t="s">
        <v>39</v>
      </c>
      <c r="EA186" s="1242" t="s">
        <v>39</v>
      </c>
      <c r="EB186" s="1242" t="s">
        <v>39</v>
      </c>
      <c r="EC186" s="1242" t="s">
        <v>39</v>
      </c>
      <c r="ED186" s="1242" t="s">
        <v>39</v>
      </c>
      <c r="EE186" s="1242" t="s">
        <v>39</v>
      </c>
      <c r="EF186" s="1242" t="s">
        <v>39</v>
      </c>
      <c r="EG186" s="1260">
        <v>0.45</v>
      </c>
      <c r="EH186" s="1260">
        <v>0.5</v>
      </c>
      <c r="EI186" s="1260">
        <v>0.5</v>
      </c>
      <c r="EJ186" s="1260">
        <v>0.5</v>
      </c>
    </row>
    <row r="187" spans="2:140" ht="15" customHeight="1">
      <c r="B187" s="1207">
        <v>49</v>
      </c>
      <c r="C187" s="828">
        <v>109.05</v>
      </c>
      <c r="D187" s="828">
        <v>99.65</v>
      </c>
      <c r="E187" s="828">
        <v>92</v>
      </c>
      <c r="F187" s="828">
        <v>85.6</v>
      </c>
      <c r="G187" s="828" t="s">
        <v>39</v>
      </c>
      <c r="H187" s="828" t="s">
        <v>39</v>
      </c>
      <c r="I187" s="828" t="s">
        <v>39</v>
      </c>
      <c r="J187" s="828" t="s">
        <v>39</v>
      </c>
      <c r="K187" s="828" t="s">
        <v>39</v>
      </c>
      <c r="L187" s="828" t="s">
        <v>39</v>
      </c>
      <c r="M187" s="828" t="s">
        <v>39</v>
      </c>
      <c r="N187" s="828" t="s">
        <v>39</v>
      </c>
      <c r="O187" s="828" t="s">
        <v>39</v>
      </c>
      <c r="R187" s="1208">
        <f t="shared" si="25"/>
        <v>49</v>
      </c>
      <c r="S187" s="1258">
        <v>117.5</v>
      </c>
      <c r="T187" s="1258">
        <v>104.05</v>
      </c>
      <c r="U187" s="1258">
        <v>91.15</v>
      </c>
      <c r="X187" s="1208">
        <f t="shared" si="26"/>
        <v>49</v>
      </c>
      <c r="Y187" s="1258">
        <v>107.6</v>
      </c>
      <c r="Z187" s="1258">
        <v>95.3</v>
      </c>
      <c r="AA187" s="1258">
        <v>83.45</v>
      </c>
      <c r="AL187" s="1263">
        <v>39</v>
      </c>
      <c r="AM187" s="1276">
        <v>86.6</v>
      </c>
      <c r="AN187" s="1276">
        <v>56.5</v>
      </c>
      <c r="AO187" s="1276">
        <v>48.55</v>
      </c>
      <c r="AQ187" s="1264">
        <v>49</v>
      </c>
      <c r="AR187" s="1288">
        <v>14.01</v>
      </c>
      <c r="AS187" s="1288">
        <v>14.46</v>
      </c>
      <c r="AT187" s="1288">
        <v>16.82</v>
      </c>
      <c r="AV187" s="1254">
        <f t="shared" si="27"/>
        <v>37</v>
      </c>
      <c r="AW187" s="1278">
        <v>471</v>
      </c>
      <c r="AY187" s="688">
        <f t="shared" si="28"/>
        <v>49</v>
      </c>
      <c r="AZ187" s="1258">
        <v>11.74</v>
      </c>
      <c r="BA187" s="1258">
        <v>16.010000000000002</v>
      </c>
      <c r="BB187" s="1258">
        <v>21.57</v>
      </c>
      <c r="BD187" s="688">
        <f t="shared" si="29"/>
        <v>49</v>
      </c>
      <c r="BE187" s="1258">
        <v>10.7</v>
      </c>
      <c r="BF187" s="1258">
        <v>14.6</v>
      </c>
      <c r="BG187" s="1258">
        <v>19.670000000000002</v>
      </c>
      <c r="BK187" s="1208">
        <v>46</v>
      </c>
      <c r="BL187" s="826">
        <v>784.4</v>
      </c>
      <c r="BM187" s="826">
        <v>788.9</v>
      </c>
      <c r="BN187" s="826">
        <v>791</v>
      </c>
      <c r="CO187" s="1283">
        <v>19</v>
      </c>
      <c r="CP187" s="1246">
        <v>0.4</v>
      </c>
      <c r="CQ187" s="1246">
        <v>0.45</v>
      </c>
      <c r="CR187" s="1246">
        <v>0.55000000000000004</v>
      </c>
      <c r="CS187" s="1246">
        <v>0.6</v>
      </c>
      <c r="CT187" s="1246">
        <v>0.7</v>
      </c>
      <c r="CU187" s="1246">
        <v>0.8</v>
      </c>
      <c r="CV187" s="1246">
        <v>0.9</v>
      </c>
      <c r="CW187" s="1246">
        <v>1</v>
      </c>
      <c r="CX187" s="1246">
        <v>1.1000000000000001</v>
      </c>
      <c r="CY187" s="1246">
        <v>1.2</v>
      </c>
      <c r="CZ187" s="1246">
        <v>1.3</v>
      </c>
      <c r="DA187" s="1246">
        <v>1.45</v>
      </c>
      <c r="DB187" s="1246">
        <v>1.55</v>
      </c>
      <c r="DC187" s="1246">
        <v>1.7</v>
      </c>
      <c r="DD187" s="1246">
        <v>1.8</v>
      </c>
      <c r="DE187" s="1246">
        <v>1.95</v>
      </c>
      <c r="DG187" s="1267">
        <v>24</v>
      </c>
      <c r="DH187" s="1286" t="s">
        <v>39</v>
      </c>
      <c r="DI187" s="1286" t="s">
        <v>39</v>
      </c>
      <c r="DJ187" s="1286" t="s">
        <v>39</v>
      </c>
      <c r="DK187" s="1286" t="s">
        <v>39</v>
      </c>
      <c r="DL187" s="1286" t="s">
        <v>39</v>
      </c>
      <c r="DM187" s="1286" t="s">
        <v>39</v>
      </c>
      <c r="DN187" s="1286" t="s">
        <v>39</v>
      </c>
      <c r="DO187" s="1286" t="s">
        <v>39</v>
      </c>
      <c r="DP187" s="1286" t="s">
        <v>39</v>
      </c>
      <c r="DQ187" s="1286" t="s">
        <v>39</v>
      </c>
      <c r="DR187" s="1286" t="s">
        <v>39</v>
      </c>
      <c r="DS187" s="1286" t="s">
        <v>39</v>
      </c>
      <c r="DT187" s="1286" t="s">
        <v>39</v>
      </c>
      <c r="DU187" s="1286" t="s">
        <v>39</v>
      </c>
      <c r="DV187" s="1242" t="s">
        <v>39</v>
      </c>
      <c r="DW187" s="1242" t="s">
        <v>39</v>
      </c>
      <c r="DX187" s="1242" t="s">
        <v>39</v>
      </c>
      <c r="DY187" s="1242" t="s">
        <v>39</v>
      </c>
      <c r="DZ187" s="1242" t="s">
        <v>39</v>
      </c>
      <c r="EA187" s="1242" t="s">
        <v>39</v>
      </c>
      <c r="EB187" s="1242" t="s">
        <v>39</v>
      </c>
      <c r="EC187" s="1242" t="s">
        <v>39</v>
      </c>
      <c r="ED187" s="1242" t="s">
        <v>39</v>
      </c>
      <c r="EE187" s="1242" t="s">
        <v>39</v>
      </c>
      <c r="EF187" s="1260">
        <v>0.45</v>
      </c>
      <c r="EG187" s="1260">
        <v>0.5</v>
      </c>
      <c r="EH187" s="1260">
        <v>0.5</v>
      </c>
      <c r="EI187" s="1260">
        <v>0.55000000000000004</v>
      </c>
      <c r="EJ187" s="1260">
        <v>0.55000000000000004</v>
      </c>
    </row>
    <row r="188" spans="2:140" ht="15" customHeight="1">
      <c r="B188" s="1207">
        <v>50</v>
      </c>
      <c r="C188" s="828">
        <v>109.95</v>
      </c>
      <c r="D188" s="828">
        <v>100.6</v>
      </c>
      <c r="E188" s="828">
        <v>92.95</v>
      </c>
      <c r="F188" s="828" t="s">
        <v>39</v>
      </c>
      <c r="G188" s="828" t="s">
        <v>39</v>
      </c>
      <c r="H188" s="828" t="s">
        <v>39</v>
      </c>
      <c r="I188" s="828" t="s">
        <v>39</v>
      </c>
      <c r="J188" s="828" t="s">
        <v>39</v>
      </c>
      <c r="K188" s="828" t="s">
        <v>39</v>
      </c>
      <c r="L188" s="828" t="s">
        <v>39</v>
      </c>
      <c r="M188" s="828" t="s">
        <v>42</v>
      </c>
      <c r="N188" s="828" t="s">
        <v>42</v>
      </c>
      <c r="O188" s="828" t="s">
        <v>39</v>
      </c>
      <c r="R188" s="1208">
        <f t="shared" si="25"/>
        <v>50</v>
      </c>
      <c r="S188" s="1258">
        <v>118.2</v>
      </c>
      <c r="T188" s="1258">
        <v>104.95</v>
      </c>
      <c r="U188" s="1258">
        <v>92.35</v>
      </c>
      <c r="X188" s="1208">
        <f t="shared" si="26"/>
        <v>50</v>
      </c>
      <c r="Y188" s="1258">
        <v>108.25</v>
      </c>
      <c r="Z188" s="1258">
        <v>96.15</v>
      </c>
      <c r="AA188" s="1258">
        <v>84.6</v>
      </c>
      <c r="AL188" s="1263">
        <v>40</v>
      </c>
      <c r="AM188" s="1276">
        <v>86.8</v>
      </c>
      <c r="AN188" s="1276">
        <v>56.8</v>
      </c>
      <c r="AO188" s="1276">
        <v>48.9</v>
      </c>
      <c r="AQ188" s="1264">
        <v>50</v>
      </c>
      <c r="AR188" s="1288">
        <v>15.14</v>
      </c>
      <c r="AS188" s="1288">
        <v>15.61</v>
      </c>
      <c r="AT188" s="1288">
        <v>18.12</v>
      </c>
      <c r="AV188" s="1254">
        <f t="shared" si="27"/>
        <v>38</v>
      </c>
      <c r="AW188" s="1278">
        <v>483.15</v>
      </c>
      <c r="AY188" s="688">
        <f t="shared" si="28"/>
        <v>50</v>
      </c>
      <c r="AZ188" s="1258">
        <v>12.71</v>
      </c>
      <c r="BA188" s="1258">
        <v>17.29</v>
      </c>
      <c r="BB188" s="1258">
        <v>23.24</v>
      </c>
      <c r="BD188" s="688">
        <f t="shared" si="29"/>
        <v>50</v>
      </c>
      <c r="BE188" s="1258">
        <v>11.6</v>
      </c>
      <c r="BF188" s="1258">
        <v>15.78</v>
      </c>
      <c r="BG188" s="1258">
        <v>21.21</v>
      </c>
      <c r="BK188" s="1208">
        <v>47</v>
      </c>
      <c r="BL188" s="826">
        <v>786.3</v>
      </c>
      <c r="BM188" s="826">
        <v>790.7</v>
      </c>
      <c r="BN188" s="826">
        <v>792.8</v>
      </c>
      <c r="CO188" s="1282">
        <v>20</v>
      </c>
      <c r="CP188" s="1246">
        <v>0.4</v>
      </c>
      <c r="CQ188" s="1246">
        <v>0.45</v>
      </c>
      <c r="CR188" s="1246">
        <v>0.55000000000000004</v>
      </c>
      <c r="CS188" s="1246">
        <v>0.65</v>
      </c>
      <c r="CT188" s="1246">
        <v>0.7</v>
      </c>
      <c r="CU188" s="1246">
        <v>0.8</v>
      </c>
      <c r="CV188" s="1246">
        <v>0.9</v>
      </c>
      <c r="CW188" s="1246">
        <v>1</v>
      </c>
      <c r="CX188" s="1246">
        <v>1.1000000000000001</v>
      </c>
      <c r="CY188" s="1246">
        <v>1.25</v>
      </c>
      <c r="CZ188" s="1246">
        <v>1.35</v>
      </c>
      <c r="DA188" s="1246">
        <v>1.45</v>
      </c>
      <c r="DB188" s="1246">
        <v>1.6</v>
      </c>
      <c r="DC188" s="1246">
        <v>1.7</v>
      </c>
      <c r="DD188" s="1246">
        <v>1.85</v>
      </c>
      <c r="DE188" s="1246">
        <v>2</v>
      </c>
      <c r="DG188" s="1267">
        <v>25</v>
      </c>
      <c r="DH188" s="1286" t="s">
        <v>39</v>
      </c>
      <c r="DI188" s="1286" t="s">
        <v>39</v>
      </c>
      <c r="DJ188" s="1286" t="s">
        <v>39</v>
      </c>
      <c r="DK188" s="1286" t="s">
        <v>39</v>
      </c>
      <c r="DL188" s="1286" t="s">
        <v>39</v>
      </c>
      <c r="DM188" s="1286" t="s">
        <v>39</v>
      </c>
      <c r="DN188" s="1286" t="s">
        <v>39</v>
      </c>
      <c r="DO188" s="1286" t="s">
        <v>39</v>
      </c>
      <c r="DP188" s="1286" t="s">
        <v>39</v>
      </c>
      <c r="DQ188" s="1286" t="s">
        <v>39</v>
      </c>
      <c r="DR188" s="1286" t="s">
        <v>39</v>
      </c>
      <c r="DS188" s="1286" t="s">
        <v>39</v>
      </c>
      <c r="DT188" s="1286" t="s">
        <v>39</v>
      </c>
      <c r="DU188" s="1286" t="s">
        <v>39</v>
      </c>
      <c r="DV188" s="1242" t="s">
        <v>39</v>
      </c>
      <c r="DW188" s="1242" t="s">
        <v>39</v>
      </c>
      <c r="DX188" s="1242" t="s">
        <v>39</v>
      </c>
      <c r="DY188" s="1242" t="s">
        <v>39</v>
      </c>
      <c r="DZ188" s="1242" t="s">
        <v>39</v>
      </c>
      <c r="EA188" s="1242" t="s">
        <v>39</v>
      </c>
      <c r="EB188" s="1242" t="s">
        <v>39</v>
      </c>
      <c r="EC188" s="1242" t="s">
        <v>39</v>
      </c>
      <c r="ED188" s="1242" t="s">
        <v>39</v>
      </c>
      <c r="EE188" s="1260">
        <v>0.5</v>
      </c>
      <c r="EF188" s="1260">
        <v>0.5</v>
      </c>
      <c r="EG188" s="1260">
        <v>0.5</v>
      </c>
      <c r="EH188" s="1260">
        <v>0.55000000000000004</v>
      </c>
      <c r="EI188" s="1260">
        <v>0.55000000000000004</v>
      </c>
      <c r="EJ188" s="1260">
        <v>0.6</v>
      </c>
    </row>
    <row r="189" spans="2:140" ht="15" customHeight="1">
      <c r="R189" s="1208">
        <f t="shared" si="25"/>
        <v>51</v>
      </c>
      <c r="S189" s="1258">
        <v>118.95</v>
      </c>
      <c r="T189" s="1258">
        <v>105.9</v>
      </c>
      <c r="U189" s="1258">
        <v>93.65</v>
      </c>
      <c r="X189" s="1208">
        <f t="shared" si="26"/>
        <v>51</v>
      </c>
      <c r="Y189" s="1258">
        <v>108.95</v>
      </c>
      <c r="Z189" s="1258">
        <v>97.05</v>
      </c>
      <c r="AA189" s="1258">
        <v>85.8</v>
      </c>
      <c r="AL189" s="1263">
        <v>41</v>
      </c>
      <c r="AM189" s="1276">
        <v>87.1</v>
      </c>
      <c r="AN189" s="1276">
        <v>57.15</v>
      </c>
      <c r="AO189" s="1276">
        <v>49.3</v>
      </c>
      <c r="AQ189" s="1264">
        <v>51</v>
      </c>
      <c r="AR189" s="1288">
        <v>16.350000000000001</v>
      </c>
      <c r="AS189" s="1288">
        <v>16.84</v>
      </c>
      <c r="AT189" s="1288"/>
      <c r="AV189" s="1254">
        <f t="shared" si="27"/>
        <v>39</v>
      </c>
      <c r="AW189" s="1278">
        <v>497.6</v>
      </c>
      <c r="AY189" s="688">
        <f t="shared" si="28"/>
        <v>51</v>
      </c>
      <c r="AZ189" s="1258">
        <v>13.74</v>
      </c>
      <c r="BA189" s="1258">
        <v>18.66</v>
      </c>
      <c r="BB189" s="1258">
        <v>25.02</v>
      </c>
      <c r="BD189" s="688">
        <f t="shared" si="29"/>
        <v>51</v>
      </c>
      <c r="BE189" s="1258">
        <v>12.54</v>
      </c>
      <c r="BF189" s="1258">
        <v>17.03</v>
      </c>
      <c r="BG189" s="1258">
        <v>22.83</v>
      </c>
      <c r="BK189" s="1208">
        <v>48</v>
      </c>
      <c r="BL189" s="826">
        <v>788.25</v>
      </c>
      <c r="BM189" s="826">
        <v>792.6</v>
      </c>
      <c r="BN189" s="826">
        <v>794.75</v>
      </c>
      <c r="CO189" s="1283">
        <v>21</v>
      </c>
      <c r="CP189" s="1246">
        <v>0.4</v>
      </c>
      <c r="CQ189" s="1246">
        <v>0.45</v>
      </c>
      <c r="CR189" s="1246">
        <v>0.55000000000000004</v>
      </c>
      <c r="CS189" s="1246">
        <v>0.65</v>
      </c>
      <c r="CT189" s="1246">
        <v>0.75</v>
      </c>
      <c r="CU189" s="1246">
        <v>0.85</v>
      </c>
      <c r="CV189" s="1246">
        <v>0.95</v>
      </c>
      <c r="CW189" s="1246">
        <v>1.05</v>
      </c>
      <c r="CX189" s="1246">
        <v>1.1499999999999999</v>
      </c>
      <c r="CY189" s="1246">
        <v>1.25</v>
      </c>
      <c r="CZ189" s="1246">
        <v>1.4</v>
      </c>
      <c r="DA189" s="1246">
        <v>1.5</v>
      </c>
      <c r="DB189" s="1246">
        <v>1.65</v>
      </c>
      <c r="DC189" s="1246">
        <v>1.75</v>
      </c>
      <c r="DD189" s="1246">
        <v>1.9</v>
      </c>
      <c r="DE189" s="1246">
        <v>2.0499999999999998</v>
      </c>
      <c r="DG189" s="1267">
        <v>26</v>
      </c>
      <c r="DH189" s="1286" t="s">
        <v>39</v>
      </c>
      <c r="DI189" s="1286" t="s">
        <v>39</v>
      </c>
      <c r="DJ189" s="1286" t="s">
        <v>39</v>
      </c>
      <c r="DK189" s="1286" t="s">
        <v>39</v>
      </c>
      <c r="DL189" s="1286" t="s">
        <v>39</v>
      </c>
      <c r="DM189" s="1286" t="s">
        <v>39</v>
      </c>
      <c r="DN189" s="1286" t="s">
        <v>39</v>
      </c>
      <c r="DO189" s="1286" t="s">
        <v>39</v>
      </c>
      <c r="DP189" s="1286" t="s">
        <v>39</v>
      </c>
      <c r="DQ189" s="1286" t="s">
        <v>39</v>
      </c>
      <c r="DR189" s="1286" t="s">
        <v>39</v>
      </c>
      <c r="DS189" s="1286" t="s">
        <v>39</v>
      </c>
      <c r="DT189" s="1286" t="s">
        <v>39</v>
      </c>
      <c r="DU189" s="1286" t="s">
        <v>39</v>
      </c>
      <c r="DV189" s="1242" t="s">
        <v>39</v>
      </c>
      <c r="DW189" s="1242" t="s">
        <v>39</v>
      </c>
      <c r="DX189" s="1242" t="s">
        <v>39</v>
      </c>
      <c r="DY189" s="1242" t="s">
        <v>39</v>
      </c>
      <c r="DZ189" s="1242" t="s">
        <v>39</v>
      </c>
      <c r="EA189" s="1242" t="s">
        <v>39</v>
      </c>
      <c r="EB189" s="1242" t="s">
        <v>39</v>
      </c>
      <c r="EC189" s="1242" t="s">
        <v>39</v>
      </c>
      <c r="ED189" s="1260">
        <v>0.5</v>
      </c>
      <c r="EE189" s="1260">
        <v>0.5</v>
      </c>
      <c r="EF189" s="1260">
        <v>0.5</v>
      </c>
      <c r="EG189" s="1260">
        <v>0.55000000000000004</v>
      </c>
      <c r="EH189" s="1260">
        <v>0.55000000000000004</v>
      </c>
      <c r="EI189" s="1260">
        <v>0.6</v>
      </c>
      <c r="EJ189" s="1260">
        <v>0.6</v>
      </c>
    </row>
    <row r="190" spans="2:140" ht="15" customHeight="1">
      <c r="R190" s="1208">
        <f t="shared" si="25"/>
        <v>52</v>
      </c>
      <c r="S190" s="1258">
        <v>119.75</v>
      </c>
      <c r="T190" s="1258">
        <v>106.95</v>
      </c>
      <c r="U190" s="1258">
        <v>95</v>
      </c>
      <c r="X190" s="1208">
        <f t="shared" si="26"/>
        <v>52</v>
      </c>
      <c r="Y190" s="1258">
        <v>109.7</v>
      </c>
      <c r="Z190" s="1258">
        <v>98</v>
      </c>
      <c r="AA190" s="1258">
        <v>87.1</v>
      </c>
      <c r="AL190" s="1263">
        <v>42</v>
      </c>
      <c r="AM190" s="1276">
        <v>87.35</v>
      </c>
      <c r="AN190" s="1276">
        <v>57.5</v>
      </c>
      <c r="AO190" s="1276">
        <v>49.75</v>
      </c>
      <c r="AQ190" s="1264">
        <v>52</v>
      </c>
      <c r="AR190" s="1288">
        <v>17.63</v>
      </c>
      <c r="AS190" s="1288">
        <v>18.149999999999999</v>
      </c>
      <c r="AT190" s="1288"/>
      <c r="AV190" s="1254">
        <f t="shared" si="27"/>
        <v>40</v>
      </c>
      <c r="AW190" s="1278">
        <v>514.79999999999995</v>
      </c>
      <c r="AY190" s="688">
        <f t="shared" si="28"/>
        <v>52</v>
      </c>
      <c r="AZ190" s="1258">
        <v>14.83</v>
      </c>
      <c r="BA190" s="1258">
        <v>20.11</v>
      </c>
      <c r="BB190" s="1258">
        <v>26.9</v>
      </c>
      <c r="BD190" s="688">
        <f t="shared" si="29"/>
        <v>52</v>
      </c>
      <c r="BE190" s="1258">
        <v>13.54</v>
      </c>
      <c r="BF190" s="1258">
        <v>18.36</v>
      </c>
      <c r="BG190" s="1258">
        <v>24.56</v>
      </c>
      <c r="BK190" s="1208">
        <v>49</v>
      </c>
      <c r="BL190" s="826">
        <v>790.3</v>
      </c>
      <c r="BM190" s="826">
        <v>794.6</v>
      </c>
      <c r="BN190" s="826">
        <v>796.75</v>
      </c>
      <c r="CO190" s="1282">
        <v>22</v>
      </c>
      <c r="CP190" s="1246">
        <v>0.4</v>
      </c>
      <c r="CQ190" s="1246">
        <v>0.5</v>
      </c>
      <c r="CR190" s="1246">
        <v>0.55000000000000004</v>
      </c>
      <c r="CS190" s="1246">
        <v>0.65</v>
      </c>
      <c r="CT190" s="1246">
        <v>0.75</v>
      </c>
      <c r="CU190" s="1246">
        <v>0.85</v>
      </c>
      <c r="CV190" s="1246">
        <v>0.95</v>
      </c>
      <c r="CW190" s="1246">
        <v>1.05</v>
      </c>
      <c r="CX190" s="1246">
        <v>1.1499999999999999</v>
      </c>
      <c r="CY190" s="1246">
        <v>1.3</v>
      </c>
      <c r="CZ190" s="1246">
        <v>1.4</v>
      </c>
      <c r="DA190" s="1246">
        <v>1.55</v>
      </c>
      <c r="DB190" s="1246">
        <v>1.7</v>
      </c>
      <c r="DC190" s="1246">
        <v>1.8</v>
      </c>
      <c r="DD190" s="1246">
        <v>1.95</v>
      </c>
      <c r="DE190" s="1246">
        <v>2.1</v>
      </c>
      <c r="DG190" s="1267">
        <v>27</v>
      </c>
      <c r="DH190" s="1286" t="s">
        <v>39</v>
      </c>
      <c r="DI190" s="1286" t="s">
        <v>39</v>
      </c>
      <c r="DJ190" s="1286" t="s">
        <v>39</v>
      </c>
      <c r="DK190" s="1286" t="s">
        <v>39</v>
      </c>
      <c r="DL190" s="1286" t="s">
        <v>39</v>
      </c>
      <c r="DM190" s="1286" t="s">
        <v>39</v>
      </c>
      <c r="DN190" s="1286" t="s">
        <v>39</v>
      </c>
      <c r="DO190" s="1286" t="s">
        <v>39</v>
      </c>
      <c r="DP190" s="1286" t="s">
        <v>39</v>
      </c>
      <c r="DQ190" s="1286" t="s">
        <v>39</v>
      </c>
      <c r="DR190" s="1286" t="s">
        <v>39</v>
      </c>
      <c r="DS190" s="1286" t="s">
        <v>39</v>
      </c>
      <c r="DT190" s="1286" t="s">
        <v>39</v>
      </c>
      <c r="DU190" s="1286" t="s">
        <v>39</v>
      </c>
      <c r="DV190" s="1242" t="s">
        <v>39</v>
      </c>
      <c r="DW190" s="1242" t="s">
        <v>39</v>
      </c>
      <c r="DX190" s="1242" t="s">
        <v>39</v>
      </c>
      <c r="DY190" s="1242" t="s">
        <v>39</v>
      </c>
      <c r="DZ190" s="1242" t="s">
        <v>39</v>
      </c>
      <c r="EA190" s="1242" t="s">
        <v>39</v>
      </c>
      <c r="EB190" s="1242" t="s">
        <v>39</v>
      </c>
      <c r="EC190" s="1260">
        <v>0.5</v>
      </c>
      <c r="ED190" s="1260">
        <v>0.5</v>
      </c>
      <c r="EE190" s="1260">
        <v>0.55000000000000004</v>
      </c>
      <c r="EF190" s="1260">
        <v>0.55000000000000004</v>
      </c>
      <c r="EG190" s="1260">
        <v>0.6</v>
      </c>
      <c r="EH190" s="1260">
        <v>0.6</v>
      </c>
      <c r="EI190" s="1260">
        <v>0.65</v>
      </c>
      <c r="EJ190" s="1260">
        <v>0.65</v>
      </c>
    </row>
    <row r="191" spans="2:140" ht="15" customHeight="1">
      <c r="R191" s="1208">
        <f t="shared" si="25"/>
        <v>53</v>
      </c>
      <c r="S191" s="1258">
        <v>120.55</v>
      </c>
      <c r="T191" s="1258">
        <v>108</v>
      </c>
      <c r="U191" s="1258">
        <v>96.45</v>
      </c>
      <c r="X191" s="1208">
        <f t="shared" si="26"/>
        <v>53</v>
      </c>
      <c r="Y191" s="1258">
        <v>110.5</v>
      </c>
      <c r="Z191" s="1258">
        <v>99</v>
      </c>
      <c r="AA191" s="1258">
        <v>88.45</v>
      </c>
      <c r="AL191" s="1263">
        <v>43</v>
      </c>
      <c r="AM191" s="1276">
        <v>87.7</v>
      </c>
      <c r="AN191" s="1276">
        <v>57.9</v>
      </c>
      <c r="AO191" s="1276">
        <v>50.25</v>
      </c>
      <c r="AQ191" s="1264">
        <v>53</v>
      </c>
      <c r="AR191" s="1288">
        <v>19</v>
      </c>
      <c r="AS191" s="1288">
        <v>19.55</v>
      </c>
      <c r="AT191" s="1288"/>
      <c r="AV191" s="1254">
        <f t="shared" si="27"/>
        <v>41</v>
      </c>
      <c r="AW191" s="1278">
        <v>535.4</v>
      </c>
      <c r="AY191" s="688">
        <f t="shared" si="28"/>
        <v>53</v>
      </c>
      <c r="AZ191" s="1258">
        <v>15.99</v>
      </c>
      <c r="BA191" s="1258">
        <v>21.65</v>
      </c>
      <c r="BB191" s="1258">
        <v>28.89</v>
      </c>
      <c r="BD191" s="688">
        <f t="shared" si="29"/>
        <v>53</v>
      </c>
      <c r="BE191" s="1258">
        <v>14.6</v>
      </c>
      <c r="BF191" s="1258">
        <v>19.77</v>
      </c>
      <c r="BG191" s="1258">
        <v>26.39</v>
      </c>
      <c r="BK191" s="1208">
        <v>50</v>
      </c>
      <c r="BL191" s="826">
        <v>792.4</v>
      </c>
      <c r="BM191" s="826">
        <v>796.65</v>
      </c>
      <c r="BN191" s="826">
        <v>798.8</v>
      </c>
      <c r="CO191" s="1283">
        <v>23</v>
      </c>
      <c r="CP191" s="1246">
        <v>0.4</v>
      </c>
      <c r="CQ191" s="1246">
        <v>0.5</v>
      </c>
      <c r="CR191" s="1246">
        <v>0.55000000000000004</v>
      </c>
      <c r="CS191" s="1246">
        <v>0.65</v>
      </c>
      <c r="CT191" s="1246">
        <v>0.75</v>
      </c>
      <c r="CU191" s="1246">
        <v>0.85</v>
      </c>
      <c r="CV191" s="1246">
        <v>0.95</v>
      </c>
      <c r="CW191" s="1246">
        <v>1.1000000000000001</v>
      </c>
      <c r="CX191" s="1246">
        <v>1.2</v>
      </c>
      <c r="CY191" s="1246">
        <v>1.3</v>
      </c>
      <c r="CZ191" s="1246">
        <v>1.45</v>
      </c>
      <c r="DA191" s="1246">
        <v>1.6</v>
      </c>
      <c r="DB191" s="1246">
        <v>1.75</v>
      </c>
      <c r="DC191" s="1246">
        <v>1.9</v>
      </c>
      <c r="DD191" s="1246">
        <v>2.0499999999999998</v>
      </c>
      <c r="DE191" s="1246">
        <v>2.2000000000000002</v>
      </c>
      <c r="DG191" s="1267">
        <v>28</v>
      </c>
      <c r="DH191" s="1286" t="s">
        <v>39</v>
      </c>
      <c r="DI191" s="1286" t="s">
        <v>39</v>
      </c>
      <c r="DJ191" s="1286" t="s">
        <v>39</v>
      </c>
      <c r="DK191" s="1286" t="s">
        <v>39</v>
      </c>
      <c r="DL191" s="1286" t="s">
        <v>39</v>
      </c>
      <c r="DM191" s="1286" t="s">
        <v>39</v>
      </c>
      <c r="DN191" s="1286" t="s">
        <v>39</v>
      </c>
      <c r="DO191" s="1286" t="s">
        <v>39</v>
      </c>
      <c r="DP191" s="1286" t="s">
        <v>39</v>
      </c>
      <c r="DQ191" s="1286" t="s">
        <v>39</v>
      </c>
      <c r="DR191" s="1286" t="s">
        <v>39</v>
      </c>
      <c r="DS191" s="1286" t="s">
        <v>39</v>
      </c>
      <c r="DT191" s="1286" t="s">
        <v>39</v>
      </c>
      <c r="DU191" s="1286" t="s">
        <v>39</v>
      </c>
      <c r="DV191" s="1242" t="s">
        <v>39</v>
      </c>
      <c r="DW191" s="1242" t="s">
        <v>39</v>
      </c>
      <c r="DX191" s="1242" t="s">
        <v>39</v>
      </c>
      <c r="DY191" s="1242" t="s">
        <v>39</v>
      </c>
      <c r="DZ191" s="1242" t="s">
        <v>39</v>
      </c>
      <c r="EA191" s="1242" t="s">
        <v>39</v>
      </c>
      <c r="EB191" s="1260">
        <v>0.5</v>
      </c>
      <c r="EC191" s="1260">
        <v>0.5</v>
      </c>
      <c r="ED191" s="1260">
        <v>0.55000000000000004</v>
      </c>
      <c r="EE191" s="1260">
        <v>0.55000000000000004</v>
      </c>
      <c r="EF191" s="1260">
        <v>0.6</v>
      </c>
      <c r="EG191" s="1260">
        <v>0.6</v>
      </c>
      <c r="EH191" s="1260">
        <v>0.65</v>
      </c>
      <c r="EI191" s="1260">
        <v>0.7</v>
      </c>
      <c r="EJ191" s="1260">
        <v>0.7</v>
      </c>
    </row>
    <row r="192" spans="2:140" ht="15" customHeight="1">
      <c r="R192" s="1208">
        <f t="shared" si="25"/>
        <v>54</v>
      </c>
      <c r="S192" s="1258">
        <v>121.4</v>
      </c>
      <c r="T192" s="1258">
        <v>109.1</v>
      </c>
      <c r="U192" s="1258">
        <v>97.95</v>
      </c>
      <c r="X192" s="1208">
        <f t="shared" si="26"/>
        <v>54</v>
      </c>
      <c r="Y192" s="1258">
        <v>111.3</v>
      </c>
      <c r="Z192" s="1258">
        <v>100.05</v>
      </c>
      <c r="AA192" s="1258">
        <v>89.85</v>
      </c>
      <c r="AL192" s="1263">
        <v>44</v>
      </c>
      <c r="AM192" s="1276">
        <v>88.05</v>
      </c>
      <c r="AN192" s="1276">
        <v>58.35</v>
      </c>
      <c r="AO192" s="1276">
        <v>50.75</v>
      </c>
      <c r="AQ192" s="1264">
        <v>54</v>
      </c>
      <c r="AR192" s="1288">
        <v>20.46</v>
      </c>
      <c r="AS192" s="1288">
        <v>21.05</v>
      </c>
      <c r="AT192" s="1288"/>
      <c r="AV192" s="1254">
        <f t="shared" si="27"/>
        <v>42</v>
      </c>
      <c r="AW192" s="1278">
        <v>560.15</v>
      </c>
      <c r="AY192" s="688">
        <f t="shared" si="28"/>
        <v>54</v>
      </c>
      <c r="AZ192" s="1258">
        <v>17.22</v>
      </c>
      <c r="BA192" s="1258">
        <v>23.29</v>
      </c>
      <c r="BB192" s="1258">
        <v>31.01</v>
      </c>
      <c r="BD192" s="688">
        <f t="shared" si="29"/>
        <v>54</v>
      </c>
      <c r="BE192" s="1258">
        <v>15.73</v>
      </c>
      <c r="BF192" s="1258">
        <v>21.28</v>
      </c>
      <c r="BG192" s="1258">
        <v>28.33</v>
      </c>
      <c r="BK192" s="1208">
        <v>51</v>
      </c>
      <c r="BL192" s="826">
        <v>794.55</v>
      </c>
      <c r="BM192" s="826">
        <v>798.75</v>
      </c>
      <c r="BN192" s="826">
        <v>800.95</v>
      </c>
      <c r="CO192" s="1282">
        <v>24</v>
      </c>
      <c r="CP192" s="1246">
        <v>0.4</v>
      </c>
      <c r="CQ192" s="1246">
        <v>0.5</v>
      </c>
      <c r="CR192" s="1246">
        <v>0.6</v>
      </c>
      <c r="CS192" s="1246">
        <v>0.65</v>
      </c>
      <c r="CT192" s="1246">
        <v>0.75</v>
      </c>
      <c r="CU192" s="1246">
        <v>0.9</v>
      </c>
      <c r="CV192" s="1246">
        <v>1</v>
      </c>
      <c r="CW192" s="1246">
        <v>1.1000000000000001</v>
      </c>
      <c r="CX192" s="1246">
        <v>1.25</v>
      </c>
      <c r="CY192" s="1246">
        <v>1.35</v>
      </c>
      <c r="CZ192" s="1246">
        <v>1.5</v>
      </c>
      <c r="DA192" s="1246">
        <v>1.65</v>
      </c>
      <c r="DB192" s="1246">
        <v>1.8</v>
      </c>
      <c r="DC192" s="1246">
        <v>1.95</v>
      </c>
      <c r="DD192" s="1246">
        <v>2.1</v>
      </c>
      <c r="DE192" s="1246">
        <v>2.2999999999999998</v>
      </c>
      <c r="DG192" s="1267">
        <v>29</v>
      </c>
      <c r="DH192" s="1286" t="s">
        <v>39</v>
      </c>
      <c r="DI192" s="1286" t="s">
        <v>39</v>
      </c>
      <c r="DJ192" s="1286" t="s">
        <v>39</v>
      </c>
      <c r="DK192" s="1286" t="s">
        <v>39</v>
      </c>
      <c r="DL192" s="1286" t="s">
        <v>39</v>
      </c>
      <c r="DM192" s="1286" t="s">
        <v>39</v>
      </c>
      <c r="DN192" s="1286" t="s">
        <v>39</v>
      </c>
      <c r="DO192" s="1286" t="s">
        <v>39</v>
      </c>
      <c r="DP192" s="1286" t="s">
        <v>39</v>
      </c>
      <c r="DQ192" s="1286" t="s">
        <v>39</v>
      </c>
      <c r="DR192" s="1286" t="s">
        <v>39</v>
      </c>
      <c r="DS192" s="1286" t="s">
        <v>39</v>
      </c>
      <c r="DT192" s="1286" t="s">
        <v>39</v>
      </c>
      <c r="DU192" s="1286" t="s">
        <v>39</v>
      </c>
      <c r="DV192" s="1242" t="s">
        <v>39</v>
      </c>
      <c r="DW192" s="1242" t="s">
        <v>39</v>
      </c>
      <c r="DX192" s="1242" t="s">
        <v>39</v>
      </c>
      <c r="DY192" s="1242" t="s">
        <v>39</v>
      </c>
      <c r="DZ192" s="1242" t="s">
        <v>39</v>
      </c>
      <c r="EA192" s="1260">
        <v>0.5</v>
      </c>
      <c r="EB192" s="1260">
        <v>0.55000000000000004</v>
      </c>
      <c r="EC192" s="1260">
        <v>0.55000000000000004</v>
      </c>
      <c r="ED192" s="1260">
        <v>0.6</v>
      </c>
      <c r="EE192" s="1260">
        <v>0.6</v>
      </c>
      <c r="EF192" s="1260">
        <v>0.65</v>
      </c>
      <c r="EG192" s="1260">
        <v>0.65</v>
      </c>
      <c r="EH192" s="1260">
        <v>0.7</v>
      </c>
      <c r="EI192" s="1260">
        <v>0.7</v>
      </c>
      <c r="EJ192" s="1260">
        <v>0.75</v>
      </c>
    </row>
    <row r="193" spans="2:140" ht="15" customHeight="1">
      <c r="R193" s="1208">
        <f t="shared" si="25"/>
        <v>55</v>
      </c>
      <c r="S193" s="1258">
        <v>122.3</v>
      </c>
      <c r="T193" s="1258">
        <v>110.3</v>
      </c>
      <c r="U193" s="1258" t="s">
        <v>39</v>
      </c>
      <c r="X193" s="1208">
        <f t="shared" si="26"/>
        <v>55</v>
      </c>
      <c r="Y193" s="1258">
        <v>112.2</v>
      </c>
      <c r="Z193" s="1258">
        <v>101.2</v>
      </c>
      <c r="AA193" s="1258" t="s">
        <v>39</v>
      </c>
      <c r="AL193" s="1263">
        <v>45</v>
      </c>
      <c r="AM193" s="1276">
        <v>88.45</v>
      </c>
      <c r="AN193" s="1276">
        <v>58.85</v>
      </c>
      <c r="AO193" s="1276">
        <v>51.3</v>
      </c>
      <c r="AQ193" s="1264">
        <v>55</v>
      </c>
      <c r="AR193" s="1288">
        <v>22.03</v>
      </c>
      <c r="AS193" s="1288"/>
      <c r="AT193" s="1288"/>
      <c r="AV193" s="1254">
        <f t="shared" si="27"/>
        <v>43</v>
      </c>
      <c r="AW193" s="1278">
        <v>590.20000000000005</v>
      </c>
      <c r="AY193" s="688">
        <f t="shared" si="28"/>
        <v>55</v>
      </c>
      <c r="AZ193" s="1258">
        <v>18.53</v>
      </c>
      <c r="BA193" s="1258">
        <v>25.05</v>
      </c>
      <c r="BB193" s="1293" t="s">
        <v>41</v>
      </c>
      <c r="BD193" s="688">
        <f t="shared" si="29"/>
        <v>55</v>
      </c>
      <c r="BE193" s="1258">
        <v>16.940000000000001</v>
      </c>
      <c r="BF193" s="1258">
        <v>22.9</v>
      </c>
      <c r="BG193" s="1293" t="s">
        <v>41</v>
      </c>
      <c r="BK193" s="1208">
        <v>52</v>
      </c>
      <c r="BL193" s="826">
        <v>796.75</v>
      </c>
      <c r="BM193" s="826">
        <v>800.95</v>
      </c>
      <c r="BN193" s="826">
        <v>803.25</v>
      </c>
      <c r="CO193" s="1283">
        <v>25</v>
      </c>
      <c r="CP193" s="1246">
        <v>0.4</v>
      </c>
      <c r="CQ193" s="1246">
        <v>0.5</v>
      </c>
      <c r="CR193" s="1246">
        <v>0.6</v>
      </c>
      <c r="CS193" s="1246">
        <v>0.7</v>
      </c>
      <c r="CT193" s="1246">
        <v>0.8</v>
      </c>
      <c r="CU193" s="1246">
        <v>0.9</v>
      </c>
      <c r="CV193" s="1246">
        <v>1</v>
      </c>
      <c r="CW193" s="1246">
        <v>1.1499999999999999</v>
      </c>
      <c r="CX193" s="1246">
        <v>1.25</v>
      </c>
      <c r="CY193" s="1246">
        <v>1.4</v>
      </c>
      <c r="CZ193" s="1246">
        <v>1.55</v>
      </c>
      <c r="DA193" s="1246">
        <v>1.7</v>
      </c>
      <c r="DB193" s="1246">
        <v>1.85</v>
      </c>
      <c r="DC193" s="1246">
        <v>2</v>
      </c>
      <c r="DD193" s="1246">
        <v>2.2000000000000002</v>
      </c>
      <c r="DE193" s="1246">
        <v>2.4</v>
      </c>
      <c r="DG193" s="1267">
        <v>30</v>
      </c>
      <c r="DH193" s="1286" t="s">
        <v>39</v>
      </c>
      <c r="DI193" s="1286" t="s">
        <v>39</v>
      </c>
      <c r="DJ193" s="1286" t="s">
        <v>39</v>
      </c>
      <c r="DK193" s="1286" t="s">
        <v>39</v>
      </c>
      <c r="DL193" s="1286" t="s">
        <v>39</v>
      </c>
      <c r="DM193" s="1286" t="s">
        <v>39</v>
      </c>
      <c r="DN193" s="1286" t="s">
        <v>39</v>
      </c>
      <c r="DO193" s="1286" t="s">
        <v>39</v>
      </c>
      <c r="DP193" s="1286" t="s">
        <v>39</v>
      </c>
      <c r="DQ193" s="1286" t="s">
        <v>39</v>
      </c>
      <c r="DR193" s="1286" t="s">
        <v>39</v>
      </c>
      <c r="DS193" s="1286" t="s">
        <v>39</v>
      </c>
      <c r="DT193" s="1286" t="s">
        <v>39</v>
      </c>
      <c r="DU193" s="1286" t="s">
        <v>39</v>
      </c>
      <c r="DV193" s="1242" t="s">
        <v>39</v>
      </c>
      <c r="DW193" s="1242" t="s">
        <v>39</v>
      </c>
      <c r="DX193" s="1242" t="s">
        <v>39</v>
      </c>
      <c r="DY193" s="1242" t="s">
        <v>39</v>
      </c>
      <c r="DZ193" s="1260">
        <v>0.5</v>
      </c>
      <c r="EA193" s="1260">
        <v>0.55000000000000004</v>
      </c>
      <c r="EB193" s="1260">
        <v>0.55000000000000004</v>
      </c>
      <c r="EC193" s="1260">
        <v>0.6</v>
      </c>
      <c r="ED193" s="1260">
        <v>0.6</v>
      </c>
      <c r="EE193" s="1260">
        <v>0.65</v>
      </c>
      <c r="EF193" s="1260">
        <v>0.7</v>
      </c>
      <c r="EG193" s="1260">
        <v>0.7</v>
      </c>
      <c r="EH193" s="1260">
        <v>0.75</v>
      </c>
      <c r="EI193" s="1260">
        <v>0.8</v>
      </c>
      <c r="EJ193" s="1260">
        <v>0.8</v>
      </c>
    </row>
    <row r="194" spans="2:140" ht="15" customHeight="1">
      <c r="R194" s="1208">
        <f t="shared" si="25"/>
        <v>56</v>
      </c>
      <c r="S194" s="1258">
        <v>123.25</v>
      </c>
      <c r="T194" s="1258">
        <v>111.6</v>
      </c>
      <c r="U194" s="1258" t="s">
        <v>39</v>
      </c>
      <c r="X194" s="1208">
        <f t="shared" si="26"/>
        <v>56</v>
      </c>
      <c r="Y194" s="1258">
        <v>113.1</v>
      </c>
      <c r="Z194" s="1258">
        <v>102.4</v>
      </c>
      <c r="AA194" s="1258" t="s">
        <v>39</v>
      </c>
      <c r="AL194" s="1263">
        <v>46</v>
      </c>
      <c r="AM194" s="1276">
        <v>88.9</v>
      </c>
      <c r="AN194" s="1276">
        <v>59.35</v>
      </c>
      <c r="AO194" s="1276">
        <v>51.9</v>
      </c>
      <c r="AQ194" s="1264">
        <v>56</v>
      </c>
      <c r="AR194" s="1288">
        <v>23.71</v>
      </c>
      <c r="AS194" s="1288"/>
      <c r="AT194" s="1288"/>
      <c r="AV194" s="1254">
        <f t="shared" si="27"/>
        <v>44</v>
      </c>
      <c r="AW194" s="1278">
        <v>627.04999999999995</v>
      </c>
      <c r="AY194" s="688">
        <f t="shared" si="28"/>
        <v>56</v>
      </c>
      <c r="AZ194" s="1258">
        <v>19.95</v>
      </c>
      <c r="BA194" s="1258">
        <v>26.94</v>
      </c>
      <c r="BB194" s="1293" t="s">
        <v>41</v>
      </c>
      <c r="BD194" s="688">
        <f t="shared" si="29"/>
        <v>56</v>
      </c>
      <c r="BE194" s="1258">
        <v>18.239999999999998</v>
      </c>
      <c r="BF194" s="1258">
        <v>24.63</v>
      </c>
      <c r="BG194" s="1293" t="s">
        <v>41</v>
      </c>
      <c r="BK194" s="1208">
        <v>53</v>
      </c>
      <c r="BL194" s="826">
        <v>799</v>
      </c>
      <c r="BM194" s="826">
        <v>803.2</v>
      </c>
      <c r="BN194" s="826">
        <v>805.6</v>
      </c>
      <c r="CO194" s="1282">
        <v>26</v>
      </c>
      <c r="CP194" s="1246">
        <v>0.4</v>
      </c>
      <c r="CQ194" s="1246">
        <v>0.5</v>
      </c>
      <c r="CR194" s="1246">
        <v>0.6</v>
      </c>
      <c r="CS194" s="1246">
        <v>0.7</v>
      </c>
      <c r="CT194" s="1246">
        <v>0.8</v>
      </c>
      <c r="CU194" s="1246">
        <v>0.9</v>
      </c>
      <c r="CV194" s="1246">
        <v>1.05</v>
      </c>
      <c r="CW194" s="1246">
        <v>1.1499999999999999</v>
      </c>
      <c r="CX194" s="1246">
        <v>1.3</v>
      </c>
      <c r="CY194" s="1246">
        <v>1.45</v>
      </c>
      <c r="CZ194" s="1246">
        <v>1.6</v>
      </c>
      <c r="DA194" s="1246">
        <v>1.75</v>
      </c>
      <c r="DB194" s="1246">
        <v>1.95</v>
      </c>
      <c r="DC194" s="1246">
        <v>2.1</v>
      </c>
      <c r="DD194" s="1246">
        <v>2.2999999999999998</v>
      </c>
      <c r="DE194" s="1246">
        <v>2.5</v>
      </c>
      <c r="DG194" s="1267">
        <v>31</v>
      </c>
      <c r="DH194" s="1286" t="s">
        <v>39</v>
      </c>
      <c r="DI194" s="1286" t="s">
        <v>39</v>
      </c>
      <c r="DJ194" s="1286" t="s">
        <v>39</v>
      </c>
      <c r="DK194" s="1286" t="s">
        <v>39</v>
      </c>
      <c r="DL194" s="1286" t="s">
        <v>39</v>
      </c>
      <c r="DM194" s="1286" t="s">
        <v>39</v>
      </c>
      <c r="DN194" s="1286" t="s">
        <v>39</v>
      </c>
      <c r="DO194" s="1286" t="s">
        <v>39</v>
      </c>
      <c r="DP194" s="1286" t="s">
        <v>39</v>
      </c>
      <c r="DQ194" s="1286" t="s">
        <v>39</v>
      </c>
      <c r="DR194" s="1286" t="s">
        <v>39</v>
      </c>
      <c r="DS194" s="1286" t="s">
        <v>39</v>
      </c>
      <c r="DT194" s="1286" t="s">
        <v>39</v>
      </c>
      <c r="DU194" s="1286" t="s">
        <v>39</v>
      </c>
      <c r="DV194" s="1242" t="s">
        <v>39</v>
      </c>
      <c r="DW194" s="1242" t="s">
        <v>39</v>
      </c>
      <c r="DX194" s="1242" t="s">
        <v>39</v>
      </c>
      <c r="DY194" s="1260">
        <v>0.5</v>
      </c>
      <c r="DZ194" s="1260">
        <v>0.55000000000000004</v>
      </c>
      <c r="EA194" s="1260">
        <v>0.6</v>
      </c>
      <c r="EB194" s="1260">
        <v>0.6</v>
      </c>
      <c r="EC194" s="1260">
        <v>0.65</v>
      </c>
      <c r="ED194" s="1260">
        <v>0.65</v>
      </c>
      <c r="EE194" s="1260">
        <v>0.7</v>
      </c>
      <c r="EF194" s="1260">
        <v>0.75</v>
      </c>
      <c r="EG194" s="1260">
        <v>0.75</v>
      </c>
      <c r="EH194" s="1260">
        <v>0.8</v>
      </c>
      <c r="EI194" s="1260">
        <v>0.85</v>
      </c>
      <c r="EJ194" s="1242" t="s">
        <v>39</v>
      </c>
    </row>
    <row r="195" spans="2:140" ht="15" customHeight="1">
      <c r="R195" s="1208">
        <f t="shared" si="25"/>
        <v>57</v>
      </c>
      <c r="S195" s="1258">
        <v>124.3</v>
      </c>
      <c r="T195" s="1258">
        <v>112.95</v>
      </c>
      <c r="U195" s="1258" t="s">
        <v>39</v>
      </c>
      <c r="X195" s="1208">
        <f t="shared" si="26"/>
        <v>57</v>
      </c>
      <c r="Y195" s="1258">
        <v>114.1</v>
      </c>
      <c r="Z195" s="1258">
        <v>103.7</v>
      </c>
      <c r="AA195" s="1258" t="s">
        <v>39</v>
      </c>
      <c r="AL195" s="1263">
        <v>47</v>
      </c>
      <c r="AM195" s="1276">
        <v>89.35</v>
      </c>
      <c r="AN195" s="1276">
        <v>59.95</v>
      </c>
      <c r="AO195" s="1276">
        <v>52.55</v>
      </c>
      <c r="AQ195" s="1264">
        <v>57</v>
      </c>
      <c r="AR195" s="1288">
        <v>25.52</v>
      </c>
      <c r="AS195" s="1288"/>
      <c r="AT195" s="1288"/>
      <c r="AV195" s="1254">
        <f t="shared" si="27"/>
        <v>45</v>
      </c>
      <c r="AW195" s="1278">
        <v>672.85</v>
      </c>
      <c r="AY195" s="688">
        <f t="shared" si="28"/>
        <v>57</v>
      </c>
      <c r="AZ195" s="1258">
        <v>21.48</v>
      </c>
      <c r="BA195" s="1258">
        <v>28.97</v>
      </c>
      <c r="BB195" s="1293" t="s">
        <v>41</v>
      </c>
      <c r="BD195" s="688">
        <f t="shared" si="29"/>
        <v>57</v>
      </c>
      <c r="BE195" s="1258">
        <v>19.64</v>
      </c>
      <c r="BF195" s="1258">
        <v>26.5</v>
      </c>
      <c r="BG195" s="1293" t="s">
        <v>41</v>
      </c>
      <c r="BK195" s="1208">
        <v>54</v>
      </c>
      <c r="BL195" s="826">
        <v>801.35</v>
      </c>
      <c r="BM195" s="826">
        <v>805.6</v>
      </c>
      <c r="BN195" s="826">
        <v>808.1</v>
      </c>
      <c r="CO195" s="1283">
        <v>27</v>
      </c>
      <c r="CP195" s="1246">
        <v>0.45</v>
      </c>
      <c r="CQ195" s="1246">
        <v>0.5</v>
      </c>
      <c r="CR195" s="1246">
        <v>0.6</v>
      </c>
      <c r="CS195" s="1246">
        <v>0.7</v>
      </c>
      <c r="CT195" s="1246">
        <v>0.85</v>
      </c>
      <c r="CU195" s="1246">
        <v>0.95</v>
      </c>
      <c r="CV195" s="1246">
        <v>1.05</v>
      </c>
      <c r="CW195" s="1246">
        <v>1.2</v>
      </c>
      <c r="CX195" s="1246">
        <v>1.35</v>
      </c>
      <c r="CY195" s="1246">
        <v>1.5</v>
      </c>
      <c r="CZ195" s="1246">
        <v>1.65</v>
      </c>
      <c r="DA195" s="1246">
        <v>1.85</v>
      </c>
      <c r="DB195" s="1246">
        <v>2</v>
      </c>
      <c r="DC195" s="1246">
        <v>2.2000000000000002</v>
      </c>
      <c r="DD195" s="1246">
        <v>2.4</v>
      </c>
      <c r="DE195" s="1246">
        <v>2.65</v>
      </c>
      <c r="DG195" s="1267">
        <v>32</v>
      </c>
      <c r="DH195" s="1286" t="s">
        <v>39</v>
      </c>
      <c r="DI195" s="1286" t="s">
        <v>39</v>
      </c>
      <c r="DJ195" s="1286" t="s">
        <v>39</v>
      </c>
      <c r="DK195" s="1286" t="s">
        <v>39</v>
      </c>
      <c r="DL195" s="1286" t="s">
        <v>39</v>
      </c>
      <c r="DM195" s="1286" t="s">
        <v>39</v>
      </c>
      <c r="DN195" s="1286" t="s">
        <v>39</v>
      </c>
      <c r="DO195" s="1286" t="s">
        <v>39</v>
      </c>
      <c r="DP195" s="1286" t="s">
        <v>39</v>
      </c>
      <c r="DQ195" s="1286" t="s">
        <v>39</v>
      </c>
      <c r="DR195" s="1286" t="s">
        <v>39</v>
      </c>
      <c r="DS195" s="1286" t="s">
        <v>39</v>
      </c>
      <c r="DT195" s="1286" t="s">
        <v>39</v>
      </c>
      <c r="DU195" s="1286" t="s">
        <v>39</v>
      </c>
      <c r="DV195" s="1242" t="s">
        <v>39</v>
      </c>
      <c r="DW195" s="1242" t="s">
        <v>39</v>
      </c>
      <c r="DX195" s="1260">
        <v>0.55000000000000004</v>
      </c>
      <c r="DY195" s="1260">
        <v>0.55000000000000004</v>
      </c>
      <c r="DZ195" s="1260">
        <v>0.6</v>
      </c>
      <c r="EA195" s="1260">
        <v>0.6</v>
      </c>
      <c r="EB195" s="1260">
        <v>0.65</v>
      </c>
      <c r="EC195" s="1260">
        <v>0.7</v>
      </c>
      <c r="ED195" s="1260">
        <v>0.7</v>
      </c>
      <c r="EE195" s="1260">
        <v>0.75</v>
      </c>
      <c r="EF195" s="1260">
        <v>0.8</v>
      </c>
      <c r="EG195" s="1260">
        <v>0.85</v>
      </c>
      <c r="EH195" s="1260">
        <v>0.85</v>
      </c>
      <c r="EI195" s="1242" t="s">
        <v>39</v>
      </c>
      <c r="EJ195" s="1242" t="s">
        <v>39</v>
      </c>
    </row>
    <row r="196" spans="2:140" ht="15" customHeight="1">
      <c r="R196" s="1208">
        <f t="shared" si="25"/>
        <v>58</v>
      </c>
      <c r="S196" s="1258" t="s">
        <v>39</v>
      </c>
      <c r="T196" s="1258">
        <v>114.45</v>
      </c>
      <c r="U196" s="1258" t="s">
        <v>39</v>
      </c>
      <c r="X196" s="1208">
        <f t="shared" si="26"/>
        <v>58</v>
      </c>
      <c r="Y196" s="1258">
        <v>115.2</v>
      </c>
      <c r="Z196" s="1258">
        <v>105.1</v>
      </c>
      <c r="AA196" s="1258" t="s">
        <v>39</v>
      </c>
      <c r="AL196" s="1263">
        <v>48</v>
      </c>
      <c r="AM196" s="1276">
        <v>89.85</v>
      </c>
      <c r="AN196" s="1276">
        <v>60.5</v>
      </c>
      <c r="AO196" s="1276">
        <v>53.25</v>
      </c>
      <c r="AQ196" s="1264">
        <v>58</v>
      </c>
      <c r="AR196" s="1288">
        <v>27.47</v>
      </c>
      <c r="AS196" s="1288"/>
      <c r="AT196" s="1288"/>
      <c r="AY196" s="688">
        <f t="shared" si="28"/>
        <v>58</v>
      </c>
      <c r="AZ196" s="1293" t="s">
        <v>41</v>
      </c>
      <c r="BA196" s="1258">
        <v>31.15</v>
      </c>
      <c r="BB196" s="1293" t="s">
        <v>41</v>
      </c>
      <c r="BD196" s="688">
        <f t="shared" si="29"/>
        <v>58</v>
      </c>
      <c r="BE196" s="1258">
        <v>21.17</v>
      </c>
      <c r="BF196" s="1258">
        <v>28.51</v>
      </c>
      <c r="BG196" s="1293" t="s">
        <v>41</v>
      </c>
      <c r="BK196" s="1208">
        <v>55</v>
      </c>
      <c r="BL196" s="826">
        <v>803.8</v>
      </c>
      <c r="BM196" s="826">
        <v>808.1</v>
      </c>
      <c r="BN196" s="826">
        <v>810.7</v>
      </c>
      <c r="CO196" s="1282">
        <v>28</v>
      </c>
      <c r="CP196" s="1246">
        <v>0.45</v>
      </c>
      <c r="CQ196" s="1246">
        <v>0.55000000000000004</v>
      </c>
      <c r="CR196" s="1246">
        <v>0.65</v>
      </c>
      <c r="CS196" s="1246">
        <v>0.75</v>
      </c>
      <c r="CT196" s="1246">
        <v>0.85</v>
      </c>
      <c r="CU196" s="1246">
        <v>1</v>
      </c>
      <c r="CV196" s="1246">
        <v>1.1000000000000001</v>
      </c>
      <c r="CW196" s="1246">
        <v>1.25</v>
      </c>
      <c r="CX196" s="1246">
        <v>1.4</v>
      </c>
      <c r="CY196" s="1246">
        <v>1.55</v>
      </c>
      <c r="CZ196" s="1246">
        <v>1.75</v>
      </c>
      <c r="DA196" s="1246">
        <v>1.95</v>
      </c>
      <c r="DB196" s="1246">
        <v>2.1</v>
      </c>
      <c r="DC196" s="1246">
        <v>2.35</v>
      </c>
      <c r="DD196" s="1246">
        <v>2.5499999999999998</v>
      </c>
      <c r="DE196" s="1246">
        <v>2.8</v>
      </c>
      <c r="DG196" s="1267">
        <v>33</v>
      </c>
      <c r="DH196" s="1286" t="s">
        <v>39</v>
      </c>
      <c r="DI196" s="1286" t="s">
        <v>39</v>
      </c>
      <c r="DJ196" s="1286" t="s">
        <v>39</v>
      </c>
      <c r="DK196" s="1286" t="s">
        <v>39</v>
      </c>
      <c r="DL196" s="1286" t="s">
        <v>39</v>
      </c>
      <c r="DM196" s="1286" t="s">
        <v>39</v>
      </c>
      <c r="DN196" s="1286" t="s">
        <v>39</v>
      </c>
      <c r="DO196" s="1286" t="s">
        <v>39</v>
      </c>
      <c r="DP196" s="1286" t="s">
        <v>39</v>
      </c>
      <c r="DQ196" s="1286" t="s">
        <v>39</v>
      </c>
      <c r="DR196" s="1286" t="s">
        <v>39</v>
      </c>
      <c r="DS196" s="1286" t="s">
        <v>39</v>
      </c>
      <c r="DT196" s="1286" t="s">
        <v>39</v>
      </c>
      <c r="DU196" s="1286" t="s">
        <v>39</v>
      </c>
      <c r="DV196" s="1242" t="s">
        <v>39</v>
      </c>
      <c r="DW196" s="1260">
        <v>0.55000000000000004</v>
      </c>
      <c r="DX196" s="1260">
        <v>0.6</v>
      </c>
      <c r="DY196" s="1260">
        <v>0.6</v>
      </c>
      <c r="DZ196" s="1260">
        <v>0.65</v>
      </c>
      <c r="EA196" s="1260">
        <v>0.7</v>
      </c>
      <c r="EB196" s="1260">
        <v>0.7</v>
      </c>
      <c r="EC196" s="1260">
        <v>0.75</v>
      </c>
      <c r="ED196" s="1260">
        <v>0.8</v>
      </c>
      <c r="EE196" s="1260">
        <v>0.8</v>
      </c>
      <c r="EF196" s="1260">
        <v>0.85</v>
      </c>
      <c r="EG196" s="1260">
        <v>0.9</v>
      </c>
      <c r="EH196" s="1242" t="s">
        <v>39</v>
      </c>
      <c r="EI196" s="1242" t="s">
        <v>39</v>
      </c>
      <c r="EJ196" s="1242" t="s">
        <v>39</v>
      </c>
    </row>
    <row r="197" spans="2:140" ht="15" customHeight="1">
      <c r="R197" s="1208">
        <f t="shared" si="25"/>
        <v>59</v>
      </c>
      <c r="S197" s="1258" t="s">
        <v>39</v>
      </c>
      <c r="T197" s="1258">
        <v>116</v>
      </c>
      <c r="U197" s="1258" t="s">
        <v>39</v>
      </c>
      <c r="X197" s="1208">
        <f t="shared" si="26"/>
        <v>59</v>
      </c>
      <c r="Y197" s="1258">
        <v>116.4</v>
      </c>
      <c r="Z197" s="1258">
        <v>106.65</v>
      </c>
      <c r="AA197" s="1258" t="s">
        <v>39</v>
      </c>
      <c r="AL197" s="1263">
        <v>49</v>
      </c>
      <c r="AM197" s="1276">
        <v>90.4</v>
      </c>
      <c r="AN197" s="1276">
        <v>61.15</v>
      </c>
      <c r="AO197" s="1276">
        <v>54</v>
      </c>
      <c r="AQ197" s="1264">
        <v>59</v>
      </c>
      <c r="AR197" s="1288">
        <v>29.58</v>
      </c>
      <c r="AS197" s="1288"/>
      <c r="AT197" s="1288"/>
      <c r="AY197" s="688">
        <f t="shared" si="28"/>
        <v>59</v>
      </c>
      <c r="AZ197" s="1293" t="s">
        <v>41</v>
      </c>
      <c r="BA197" s="1258">
        <v>33.51</v>
      </c>
      <c r="BB197" s="1293" t="s">
        <v>41</v>
      </c>
      <c r="BD197" s="688">
        <f t="shared" si="29"/>
        <v>59</v>
      </c>
      <c r="BE197" s="1258">
        <v>22.83</v>
      </c>
      <c r="BF197" s="1258">
        <v>30.68</v>
      </c>
      <c r="BG197" s="1293" t="s">
        <v>41</v>
      </c>
      <c r="BK197" s="1208">
        <v>56</v>
      </c>
      <c r="BL197" s="826">
        <v>806.35</v>
      </c>
      <c r="BM197" s="826">
        <v>810.7</v>
      </c>
      <c r="BN197" s="826">
        <v>813.4</v>
      </c>
      <c r="CO197" s="1283">
        <v>29</v>
      </c>
      <c r="CP197" s="1246">
        <v>0.45</v>
      </c>
      <c r="CQ197" s="1246">
        <v>0.55000000000000004</v>
      </c>
      <c r="CR197" s="1246">
        <v>0.65</v>
      </c>
      <c r="CS197" s="1246">
        <v>0.75</v>
      </c>
      <c r="CT197" s="1246">
        <v>0.9</v>
      </c>
      <c r="CU197" s="1246">
        <v>1</v>
      </c>
      <c r="CV197" s="1246">
        <v>1.1499999999999999</v>
      </c>
      <c r="CW197" s="1246">
        <v>1.3</v>
      </c>
      <c r="CX197" s="1246">
        <v>1.5</v>
      </c>
      <c r="CY197" s="1246">
        <v>1.65</v>
      </c>
      <c r="CZ197" s="1246">
        <v>1.85</v>
      </c>
      <c r="DA197" s="1246">
        <v>2.0499999999999998</v>
      </c>
      <c r="DB197" s="1246">
        <v>2.25</v>
      </c>
      <c r="DC197" s="1246">
        <v>2.4500000000000002</v>
      </c>
      <c r="DD197" s="1246">
        <v>2.7</v>
      </c>
      <c r="DE197" s="1246">
        <v>2.95</v>
      </c>
      <c r="DG197" s="1267">
        <v>34</v>
      </c>
      <c r="DH197" s="1286" t="s">
        <v>39</v>
      </c>
      <c r="DI197" s="1286" t="s">
        <v>39</v>
      </c>
      <c r="DJ197" s="1286" t="s">
        <v>39</v>
      </c>
      <c r="DK197" s="1286" t="s">
        <v>39</v>
      </c>
      <c r="DL197" s="1286" t="s">
        <v>39</v>
      </c>
      <c r="DM197" s="1286" t="s">
        <v>39</v>
      </c>
      <c r="DN197" s="1286" t="s">
        <v>39</v>
      </c>
      <c r="DO197" s="1286" t="s">
        <v>39</v>
      </c>
      <c r="DP197" s="1286" t="s">
        <v>39</v>
      </c>
      <c r="DQ197" s="1286" t="s">
        <v>39</v>
      </c>
      <c r="DR197" s="1286" t="s">
        <v>39</v>
      </c>
      <c r="DS197" s="1286" t="s">
        <v>39</v>
      </c>
      <c r="DT197" s="1286" t="s">
        <v>39</v>
      </c>
      <c r="DU197" s="1286" t="s">
        <v>39</v>
      </c>
      <c r="DV197" s="1260">
        <v>0.55000000000000004</v>
      </c>
      <c r="DW197" s="1260">
        <v>0.6</v>
      </c>
      <c r="DX197" s="1260">
        <v>0.65</v>
      </c>
      <c r="DY197" s="1260">
        <v>0.65</v>
      </c>
      <c r="DZ197" s="1260">
        <v>0.7</v>
      </c>
      <c r="EA197" s="1260">
        <v>0.75</v>
      </c>
      <c r="EB197" s="1260">
        <v>0.75</v>
      </c>
      <c r="EC197" s="1260">
        <v>0.8</v>
      </c>
      <c r="ED197" s="1260">
        <v>0.85</v>
      </c>
      <c r="EE197" s="1260">
        <v>0.9</v>
      </c>
      <c r="EF197" s="1260">
        <v>0.95</v>
      </c>
      <c r="EG197" s="1242" t="s">
        <v>39</v>
      </c>
      <c r="EH197" s="1242" t="s">
        <v>39</v>
      </c>
      <c r="EI197" s="1242" t="s">
        <v>39</v>
      </c>
      <c r="EJ197" s="1242" t="s">
        <v>39</v>
      </c>
    </row>
    <row r="198" spans="2:140" ht="15" customHeight="1">
      <c r="R198" s="688"/>
      <c r="S198" s="1293"/>
      <c r="T198" s="1293"/>
      <c r="U198" s="1293"/>
      <c r="X198" s="1208">
        <f t="shared" si="26"/>
        <v>60</v>
      </c>
      <c r="Y198" s="1258">
        <v>117.7</v>
      </c>
      <c r="Z198" s="1258" t="s">
        <v>39</v>
      </c>
      <c r="AA198" s="1258" t="s">
        <v>39</v>
      </c>
      <c r="AL198" s="1263">
        <v>50</v>
      </c>
      <c r="AM198" s="1276">
        <v>90.95</v>
      </c>
      <c r="AN198" s="1276">
        <v>61.85</v>
      </c>
      <c r="AO198" s="1276">
        <v>54.8</v>
      </c>
      <c r="AY198" s="688">
        <f t="shared" si="28"/>
        <v>60</v>
      </c>
      <c r="AZ198" s="1293" t="s">
        <v>41</v>
      </c>
      <c r="BA198" s="1293" t="s">
        <v>41</v>
      </c>
      <c r="BB198" s="1293" t="s">
        <v>41</v>
      </c>
      <c r="BD198" s="688">
        <f t="shared" si="29"/>
        <v>60</v>
      </c>
      <c r="BE198" s="1258">
        <v>24.64</v>
      </c>
      <c r="BF198" s="1293" t="s">
        <v>41</v>
      </c>
      <c r="BG198" s="1293" t="s">
        <v>41</v>
      </c>
      <c r="BK198" s="1208">
        <v>57</v>
      </c>
      <c r="BL198" s="826">
        <v>809.05</v>
      </c>
      <c r="BM198" s="826">
        <v>813.5</v>
      </c>
      <c r="BN198" s="826">
        <v>816.25</v>
      </c>
      <c r="CO198" s="1282">
        <v>30</v>
      </c>
      <c r="CP198" s="1246">
        <v>0.45</v>
      </c>
      <c r="CQ198" s="1246">
        <v>0.55000000000000004</v>
      </c>
      <c r="CR198" s="1246">
        <v>0.7</v>
      </c>
      <c r="CS198" s="1246">
        <v>0.8</v>
      </c>
      <c r="CT198" s="1246">
        <v>0.95</v>
      </c>
      <c r="CU198" s="1246">
        <v>1.05</v>
      </c>
      <c r="CV198" s="1246">
        <v>1.2</v>
      </c>
      <c r="CW198" s="1246">
        <v>1.4</v>
      </c>
      <c r="CX198" s="1246">
        <v>1.55</v>
      </c>
      <c r="CY198" s="1246">
        <v>1.75</v>
      </c>
      <c r="CZ198" s="1246">
        <v>1.95</v>
      </c>
      <c r="DA198" s="1246">
        <v>2.15</v>
      </c>
      <c r="DB198" s="1246">
        <v>2.4</v>
      </c>
      <c r="DC198" s="1246">
        <v>2.65</v>
      </c>
      <c r="DD198" s="1246">
        <v>2.9</v>
      </c>
      <c r="DE198" s="1246">
        <v>3.15</v>
      </c>
      <c r="DG198" s="1267">
        <v>35</v>
      </c>
      <c r="DH198" s="1286" t="s">
        <v>39</v>
      </c>
      <c r="DI198" s="1286" t="s">
        <v>39</v>
      </c>
      <c r="DJ198" s="1286" t="s">
        <v>39</v>
      </c>
      <c r="DK198" s="1286" t="s">
        <v>39</v>
      </c>
      <c r="DL198" s="1286" t="s">
        <v>39</v>
      </c>
      <c r="DM198" s="1286" t="s">
        <v>39</v>
      </c>
      <c r="DN198" s="1286" t="s">
        <v>39</v>
      </c>
      <c r="DO198" s="1286" t="s">
        <v>39</v>
      </c>
      <c r="DP198" s="1286" t="s">
        <v>39</v>
      </c>
      <c r="DQ198" s="1286" t="s">
        <v>39</v>
      </c>
      <c r="DR198" s="1286" t="s">
        <v>39</v>
      </c>
      <c r="DS198" s="1286" t="s">
        <v>39</v>
      </c>
      <c r="DT198" s="1286" t="s">
        <v>39</v>
      </c>
      <c r="DU198" s="1269">
        <v>0.6</v>
      </c>
      <c r="DV198" s="1260">
        <v>0.6</v>
      </c>
      <c r="DW198" s="1260">
        <v>0.65</v>
      </c>
      <c r="DX198" s="1260">
        <v>0.7</v>
      </c>
      <c r="DY198" s="1260">
        <v>0.75</v>
      </c>
      <c r="DZ198" s="1260">
        <v>0.75</v>
      </c>
      <c r="EA198" s="1260">
        <v>0.8</v>
      </c>
      <c r="EB198" s="1260">
        <v>0.85</v>
      </c>
      <c r="EC198" s="1260">
        <v>0.9</v>
      </c>
      <c r="ED198" s="1260">
        <v>0.95</v>
      </c>
      <c r="EE198" s="1260">
        <v>0.95</v>
      </c>
      <c r="EF198" s="1242" t="s">
        <v>39</v>
      </c>
      <c r="EG198" s="1242" t="s">
        <v>39</v>
      </c>
      <c r="EH198" s="1242" t="s">
        <v>39</v>
      </c>
      <c r="EI198" s="1242" t="s">
        <v>39</v>
      </c>
      <c r="EJ198" s="1242" t="s">
        <v>39</v>
      </c>
    </row>
    <row r="199" spans="2:140" ht="15" customHeight="1">
      <c r="X199" s="1208">
        <f t="shared" si="26"/>
        <v>61</v>
      </c>
      <c r="Y199" s="1258">
        <v>119.1</v>
      </c>
      <c r="Z199" s="1208" t="s">
        <v>39</v>
      </c>
      <c r="AA199" s="1208" t="s">
        <v>39</v>
      </c>
      <c r="AL199" s="1263">
        <v>51</v>
      </c>
      <c r="AM199" s="1276">
        <v>91.55</v>
      </c>
      <c r="AN199" s="1276">
        <v>62.55</v>
      </c>
      <c r="AO199" s="1276" t="s">
        <v>39</v>
      </c>
      <c r="BK199" s="1208">
        <v>58</v>
      </c>
      <c r="BL199" s="826">
        <v>811.9</v>
      </c>
      <c r="BM199" s="826">
        <v>816.4</v>
      </c>
      <c r="BN199" s="826">
        <v>819.25</v>
      </c>
      <c r="CO199" s="1283">
        <v>31</v>
      </c>
      <c r="CP199" s="1246">
        <v>0.5</v>
      </c>
      <c r="CQ199" s="1246">
        <v>0.6</v>
      </c>
      <c r="CR199" s="1246">
        <v>0.7</v>
      </c>
      <c r="CS199" s="1246">
        <v>0.85</v>
      </c>
      <c r="CT199" s="1246">
        <v>1</v>
      </c>
      <c r="CU199" s="1246">
        <v>1.1499999999999999</v>
      </c>
      <c r="CV199" s="1246">
        <v>1.3</v>
      </c>
      <c r="CW199" s="1246">
        <v>1.45</v>
      </c>
      <c r="CX199" s="1246">
        <v>1.65</v>
      </c>
      <c r="CY199" s="1246">
        <v>1.85</v>
      </c>
      <c r="CZ199" s="1246">
        <v>2.1</v>
      </c>
      <c r="DA199" s="1246">
        <v>2.2999999999999998</v>
      </c>
      <c r="DB199" s="1246">
        <v>2.5499999999999998</v>
      </c>
      <c r="DC199" s="1246">
        <v>2.8</v>
      </c>
      <c r="DD199" s="1246">
        <v>3.1</v>
      </c>
      <c r="DE199" s="1246">
        <v>3.4</v>
      </c>
      <c r="DG199" s="1267">
        <v>36</v>
      </c>
      <c r="DH199" s="1286" t="s">
        <v>39</v>
      </c>
      <c r="DI199" s="1286" t="s">
        <v>39</v>
      </c>
      <c r="DJ199" s="1286" t="s">
        <v>39</v>
      </c>
      <c r="DK199" s="1286" t="s">
        <v>39</v>
      </c>
      <c r="DL199" s="1286" t="s">
        <v>39</v>
      </c>
      <c r="DM199" s="1286" t="s">
        <v>39</v>
      </c>
      <c r="DN199" s="1286" t="s">
        <v>39</v>
      </c>
      <c r="DO199" s="1286" t="s">
        <v>39</v>
      </c>
      <c r="DP199" s="1286" t="s">
        <v>39</v>
      </c>
      <c r="DQ199" s="1286" t="s">
        <v>39</v>
      </c>
      <c r="DR199" s="1286" t="s">
        <v>39</v>
      </c>
      <c r="DS199" s="1286" t="s">
        <v>39</v>
      </c>
      <c r="DT199" s="1268">
        <v>0.6</v>
      </c>
      <c r="DU199" s="1269">
        <v>0.65</v>
      </c>
      <c r="DV199" s="1260">
        <v>0.7</v>
      </c>
      <c r="DW199" s="1260">
        <v>0.7</v>
      </c>
      <c r="DX199" s="1260">
        <v>0.75</v>
      </c>
      <c r="DY199" s="1260">
        <v>0.8</v>
      </c>
      <c r="DZ199" s="1260">
        <v>0.85</v>
      </c>
      <c r="EA199" s="1260">
        <v>0.9</v>
      </c>
      <c r="EB199" s="1260">
        <v>0.9</v>
      </c>
      <c r="EC199" s="1260">
        <v>0.95</v>
      </c>
      <c r="ED199" s="1260">
        <v>1</v>
      </c>
      <c r="EE199" s="1242" t="s">
        <v>39</v>
      </c>
      <c r="EF199" s="1242" t="s">
        <v>39</v>
      </c>
      <c r="EG199" s="1242" t="s">
        <v>39</v>
      </c>
      <c r="EH199" s="1242" t="s">
        <v>39</v>
      </c>
      <c r="EI199" s="1242" t="s">
        <v>39</v>
      </c>
      <c r="EJ199" s="1242" t="s">
        <v>39</v>
      </c>
    </row>
    <row r="200" spans="2:140" ht="15" customHeight="1">
      <c r="X200" s="1208">
        <f t="shared" si="26"/>
        <v>62</v>
      </c>
      <c r="Y200" s="1258">
        <v>120.65</v>
      </c>
      <c r="Z200" s="1208" t="s">
        <v>39</v>
      </c>
      <c r="AA200" s="1208" t="s">
        <v>39</v>
      </c>
      <c r="AL200" s="1263">
        <v>52</v>
      </c>
      <c r="AM200" s="1276">
        <v>92.2</v>
      </c>
      <c r="AN200" s="1276">
        <v>63.3</v>
      </c>
      <c r="AO200" s="1276" t="s">
        <v>39</v>
      </c>
      <c r="BK200" s="1208">
        <v>59</v>
      </c>
      <c r="BL200" s="826">
        <v>814.9</v>
      </c>
      <c r="BM200" s="826">
        <v>819.5</v>
      </c>
      <c r="BN200" s="826">
        <v>822.4</v>
      </c>
      <c r="CO200" s="1282">
        <v>32</v>
      </c>
      <c r="CP200" s="1246">
        <v>0.5</v>
      </c>
      <c r="CQ200" s="1246">
        <v>0.65</v>
      </c>
      <c r="CR200" s="1246">
        <v>0.75</v>
      </c>
      <c r="CS200" s="1246">
        <v>0.9</v>
      </c>
      <c r="CT200" s="1246">
        <v>1.05</v>
      </c>
      <c r="CU200" s="1246">
        <v>1.2</v>
      </c>
      <c r="CV200" s="1246">
        <v>1.35</v>
      </c>
      <c r="CW200" s="1246">
        <v>1.55</v>
      </c>
      <c r="CX200" s="1246">
        <v>1.75</v>
      </c>
      <c r="CY200" s="1246">
        <v>2</v>
      </c>
      <c r="CZ200" s="1246">
        <v>2.25</v>
      </c>
      <c r="DA200" s="1246">
        <v>2.5</v>
      </c>
      <c r="DB200" s="1246">
        <v>2.75</v>
      </c>
      <c r="DC200" s="1246">
        <v>3.05</v>
      </c>
      <c r="DD200" s="1246">
        <v>3.35</v>
      </c>
      <c r="DE200" s="1246">
        <v>3.65</v>
      </c>
      <c r="DG200" s="1267">
        <v>37</v>
      </c>
      <c r="DH200" s="1286" t="s">
        <v>39</v>
      </c>
      <c r="DI200" s="1286" t="s">
        <v>39</v>
      </c>
      <c r="DJ200" s="1286" t="s">
        <v>39</v>
      </c>
      <c r="DK200" s="1286" t="s">
        <v>39</v>
      </c>
      <c r="DL200" s="1286" t="s">
        <v>39</v>
      </c>
      <c r="DM200" s="1286" t="s">
        <v>39</v>
      </c>
      <c r="DN200" s="1286" t="s">
        <v>39</v>
      </c>
      <c r="DO200" s="1286" t="s">
        <v>39</v>
      </c>
      <c r="DP200" s="1286" t="s">
        <v>39</v>
      </c>
      <c r="DQ200" s="1286" t="s">
        <v>39</v>
      </c>
      <c r="DR200" s="1286" t="s">
        <v>39</v>
      </c>
      <c r="DS200" s="1268">
        <v>0.65</v>
      </c>
      <c r="DT200" s="1268">
        <v>0.65</v>
      </c>
      <c r="DU200" s="1269">
        <v>0.7</v>
      </c>
      <c r="DV200" s="1260">
        <v>0.75</v>
      </c>
      <c r="DW200" s="1260">
        <v>0.8</v>
      </c>
      <c r="DX200" s="1260">
        <v>0.8</v>
      </c>
      <c r="DY200" s="1260">
        <v>0.85</v>
      </c>
      <c r="DZ200" s="1260">
        <v>0.9</v>
      </c>
      <c r="EA200" s="1260">
        <v>0.95</v>
      </c>
      <c r="EB200" s="1260">
        <v>1</v>
      </c>
      <c r="EC200" s="1260">
        <v>1.05</v>
      </c>
      <c r="ED200" s="1242" t="s">
        <v>39</v>
      </c>
      <c r="EE200" s="1242" t="s">
        <v>39</v>
      </c>
      <c r="EF200" s="1242" t="s">
        <v>39</v>
      </c>
      <c r="EG200" s="1242" t="s">
        <v>39</v>
      </c>
      <c r="EH200" s="1242" t="s">
        <v>39</v>
      </c>
      <c r="EI200" s="1242" t="s">
        <v>39</v>
      </c>
      <c r="EJ200" s="1242" t="s">
        <v>39</v>
      </c>
    </row>
    <row r="201" spans="2:140" ht="15" customHeight="1">
      <c r="AL201" s="1263">
        <v>53</v>
      </c>
      <c r="AM201" s="1276">
        <v>92.85</v>
      </c>
      <c r="AN201" s="1276">
        <v>64.150000000000006</v>
      </c>
      <c r="AO201" s="1276" t="s">
        <v>39</v>
      </c>
      <c r="BK201" s="1208">
        <v>60</v>
      </c>
      <c r="BL201" s="826">
        <v>818.1</v>
      </c>
      <c r="BM201" s="826">
        <v>822.75</v>
      </c>
      <c r="BN201" s="826">
        <v>825.7</v>
      </c>
      <c r="CO201" s="1283">
        <v>33</v>
      </c>
      <c r="CP201" s="1246">
        <v>0.55000000000000004</v>
      </c>
      <c r="CQ201" s="1246">
        <v>0.65</v>
      </c>
      <c r="CR201" s="1246">
        <v>0.8</v>
      </c>
      <c r="CS201" s="1246">
        <v>0.95</v>
      </c>
      <c r="CT201" s="1246">
        <v>1.1000000000000001</v>
      </c>
      <c r="CU201" s="1246">
        <v>1.3</v>
      </c>
      <c r="CV201" s="1246">
        <v>1.45</v>
      </c>
      <c r="CW201" s="1246">
        <v>1.65</v>
      </c>
      <c r="CX201" s="1246">
        <v>1.9</v>
      </c>
      <c r="CY201" s="1246">
        <v>2.15</v>
      </c>
      <c r="CZ201" s="1246">
        <v>2.4</v>
      </c>
      <c r="DA201" s="1246">
        <v>2.65</v>
      </c>
      <c r="DB201" s="1246">
        <v>2.95</v>
      </c>
      <c r="DC201" s="1246">
        <v>3.25</v>
      </c>
      <c r="DD201" s="1246">
        <v>3.6</v>
      </c>
      <c r="DE201" s="1246">
        <v>3.95</v>
      </c>
      <c r="DG201" s="1267">
        <v>38</v>
      </c>
      <c r="DH201" s="1286" t="s">
        <v>39</v>
      </c>
      <c r="DI201" s="1286" t="s">
        <v>39</v>
      </c>
      <c r="DJ201" s="1286" t="s">
        <v>39</v>
      </c>
      <c r="DK201" s="1286" t="s">
        <v>39</v>
      </c>
      <c r="DL201" s="1286" t="s">
        <v>39</v>
      </c>
      <c r="DM201" s="1286" t="s">
        <v>39</v>
      </c>
      <c r="DN201" s="1286" t="s">
        <v>39</v>
      </c>
      <c r="DO201" s="1286" t="s">
        <v>39</v>
      </c>
      <c r="DP201" s="1286" t="s">
        <v>39</v>
      </c>
      <c r="DQ201" s="1286" t="s">
        <v>39</v>
      </c>
      <c r="DR201" s="1270">
        <v>0.65</v>
      </c>
      <c r="DS201" s="1268">
        <v>0.7</v>
      </c>
      <c r="DT201" s="1268">
        <v>0.75</v>
      </c>
      <c r="DU201" s="1269">
        <v>0.75</v>
      </c>
      <c r="DV201" s="1260">
        <v>0.8</v>
      </c>
      <c r="DW201" s="1260">
        <v>0.85</v>
      </c>
      <c r="DX201" s="1260">
        <v>0.9</v>
      </c>
      <c r="DY201" s="1260">
        <v>0.95</v>
      </c>
      <c r="DZ201" s="1260">
        <v>1</v>
      </c>
      <c r="EA201" s="1260">
        <v>1.05</v>
      </c>
      <c r="EB201" s="1260">
        <v>1.1000000000000001</v>
      </c>
      <c r="EC201" s="1242" t="s">
        <v>39</v>
      </c>
      <c r="ED201" s="1242" t="s">
        <v>39</v>
      </c>
      <c r="EE201" s="1242" t="s">
        <v>39</v>
      </c>
      <c r="EF201" s="1242" t="s">
        <v>39</v>
      </c>
      <c r="EG201" s="1242" t="s">
        <v>39</v>
      </c>
      <c r="EH201" s="1242" t="s">
        <v>39</v>
      </c>
      <c r="EI201" s="1242" t="s">
        <v>39</v>
      </c>
      <c r="EJ201" s="1242" t="s">
        <v>39</v>
      </c>
    </row>
    <row r="202" spans="2:140" ht="15" customHeight="1">
      <c r="AL202" s="1263">
        <v>54</v>
      </c>
      <c r="AM202" s="1276">
        <v>93.55</v>
      </c>
      <c r="AN202" s="1276">
        <v>65</v>
      </c>
      <c r="AO202" s="1276" t="s">
        <v>39</v>
      </c>
      <c r="BK202" s="1208">
        <v>61</v>
      </c>
      <c r="BL202" s="826">
        <v>821.5</v>
      </c>
      <c r="BM202" s="826">
        <v>826.15</v>
      </c>
      <c r="BN202" s="1207"/>
      <c r="CO202" s="1282">
        <v>34</v>
      </c>
      <c r="CP202" s="1246">
        <v>0.6</v>
      </c>
      <c r="CQ202" s="1246">
        <v>0.7</v>
      </c>
      <c r="CR202" s="1246">
        <v>0.85</v>
      </c>
      <c r="CS202" s="1246">
        <v>1</v>
      </c>
      <c r="CT202" s="1246">
        <v>1.2</v>
      </c>
      <c r="CU202" s="1246">
        <v>1.35</v>
      </c>
      <c r="CV202" s="1246">
        <v>1.6</v>
      </c>
      <c r="CW202" s="1246">
        <v>1.8</v>
      </c>
      <c r="CX202" s="1246">
        <v>2.0499999999999998</v>
      </c>
      <c r="CY202" s="1246">
        <v>2.2999999999999998</v>
      </c>
      <c r="CZ202" s="1246">
        <v>2.6</v>
      </c>
      <c r="DA202" s="1246">
        <v>2.9</v>
      </c>
      <c r="DB202" s="1246">
        <v>3.2</v>
      </c>
      <c r="DC202" s="1246">
        <v>3.55</v>
      </c>
      <c r="DD202" s="1246">
        <v>3.9</v>
      </c>
      <c r="DE202" s="1246">
        <v>4.25</v>
      </c>
      <c r="DG202" s="1267">
        <v>39</v>
      </c>
      <c r="DH202" s="1286" t="s">
        <v>39</v>
      </c>
      <c r="DI202" s="1286" t="s">
        <v>39</v>
      </c>
      <c r="DJ202" s="1286" t="s">
        <v>39</v>
      </c>
      <c r="DK202" s="1286" t="s">
        <v>39</v>
      </c>
      <c r="DL202" s="1286" t="s">
        <v>39</v>
      </c>
      <c r="DM202" s="1286" t="s">
        <v>39</v>
      </c>
      <c r="DN202" s="1286" t="s">
        <v>39</v>
      </c>
      <c r="DO202" s="1286" t="s">
        <v>39</v>
      </c>
      <c r="DP202" s="1286" t="s">
        <v>39</v>
      </c>
      <c r="DQ202" s="1268">
        <v>0.65</v>
      </c>
      <c r="DR202" s="1270">
        <v>0.7</v>
      </c>
      <c r="DS202" s="1268">
        <v>0.75</v>
      </c>
      <c r="DT202" s="1268">
        <v>0.8</v>
      </c>
      <c r="DU202" s="1269">
        <v>0.85</v>
      </c>
      <c r="DV202" s="1260">
        <v>0.9</v>
      </c>
      <c r="DW202" s="1260">
        <v>0.95</v>
      </c>
      <c r="DX202" s="1260">
        <v>1</v>
      </c>
      <c r="DY202" s="1260">
        <v>1.05</v>
      </c>
      <c r="DZ202" s="1260">
        <v>1.1000000000000001</v>
      </c>
      <c r="EA202" s="1260">
        <v>1.1499999999999999</v>
      </c>
      <c r="EB202" s="1242" t="s">
        <v>39</v>
      </c>
      <c r="EC202" s="1242" t="s">
        <v>39</v>
      </c>
      <c r="ED202" s="1242" t="s">
        <v>39</v>
      </c>
      <c r="EE202" s="1242" t="s">
        <v>39</v>
      </c>
      <c r="EF202" s="1242" t="s">
        <v>39</v>
      </c>
      <c r="EG202" s="1242" t="s">
        <v>39</v>
      </c>
      <c r="EH202" s="1242" t="s">
        <v>39</v>
      </c>
      <c r="EI202" s="1242" t="s">
        <v>39</v>
      </c>
      <c r="EJ202" s="1242" t="s">
        <v>39</v>
      </c>
    </row>
    <row r="203" spans="2:140" ht="15" customHeight="1">
      <c r="AL203" s="1263">
        <v>55</v>
      </c>
      <c r="AM203" s="1276">
        <v>94.3</v>
      </c>
      <c r="AN203" s="1276" t="s">
        <v>39</v>
      </c>
      <c r="AO203" s="1276" t="s">
        <v>39</v>
      </c>
      <c r="BK203" s="1208">
        <v>62</v>
      </c>
      <c r="BL203" s="826">
        <v>825.05</v>
      </c>
      <c r="BM203" s="826">
        <v>829.7</v>
      </c>
      <c r="BN203" s="1207"/>
      <c r="CO203" s="1283">
        <v>35</v>
      </c>
      <c r="CP203" s="1246">
        <v>0.6</v>
      </c>
      <c r="CQ203" s="1246">
        <v>0.75</v>
      </c>
      <c r="CR203" s="1246">
        <v>0.9</v>
      </c>
      <c r="CS203" s="1246">
        <v>1.1000000000000001</v>
      </c>
      <c r="CT203" s="1246">
        <v>1.25</v>
      </c>
      <c r="CU203" s="1246">
        <v>1.5</v>
      </c>
      <c r="CV203" s="1246">
        <v>1.7</v>
      </c>
      <c r="CW203" s="1246">
        <v>1.95</v>
      </c>
      <c r="CX203" s="1246">
        <v>2.2000000000000002</v>
      </c>
      <c r="CY203" s="1246">
        <v>2.5</v>
      </c>
      <c r="CZ203" s="1246">
        <v>2.8</v>
      </c>
      <c r="DA203" s="1246">
        <v>3.15</v>
      </c>
      <c r="DB203" s="1246">
        <v>3.5</v>
      </c>
      <c r="DC203" s="1246">
        <v>3.85</v>
      </c>
      <c r="DD203" s="1246">
        <v>4.25</v>
      </c>
      <c r="DE203" s="1246">
        <v>4.6500000000000004</v>
      </c>
      <c r="DG203" s="1267">
        <v>40</v>
      </c>
      <c r="DH203" s="1286" t="s">
        <v>39</v>
      </c>
      <c r="DI203" s="1286" t="s">
        <v>39</v>
      </c>
      <c r="DJ203" s="1286" t="s">
        <v>39</v>
      </c>
      <c r="DK203" s="1286" t="s">
        <v>39</v>
      </c>
      <c r="DL203" s="1286" t="s">
        <v>39</v>
      </c>
      <c r="DM203" s="1286" t="s">
        <v>39</v>
      </c>
      <c r="DN203" s="1286" t="s">
        <v>39</v>
      </c>
      <c r="DO203" s="1286" t="s">
        <v>39</v>
      </c>
      <c r="DP203" s="1269">
        <v>0.7</v>
      </c>
      <c r="DQ203" s="1268">
        <v>0.75</v>
      </c>
      <c r="DR203" s="1270">
        <v>0.8</v>
      </c>
      <c r="DS203" s="1268">
        <v>0.85</v>
      </c>
      <c r="DT203" s="1268">
        <v>0.85</v>
      </c>
      <c r="DU203" s="1269">
        <v>0.9</v>
      </c>
      <c r="DV203" s="1260">
        <v>0.95</v>
      </c>
      <c r="DW203" s="1260">
        <v>1.05</v>
      </c>
      <c r="DX203" s="1260">
        <v>1.1000000000000001</v>
      </c>
      <c r="DY203" s="1260">
        <v>1.1499999999999999</v>
      </c>
      <c r="DZ203" s="1260">
        <v>1.2</v>
      </c>
      <c r="EA203" s="1242" t="s">
        <v>39</v>
      </c>
      <c r="EB203" s="1242" t="s">
        <v>39</v>
      </c>
      <c r="EC203" s="1242" t="s">
        <v>39</v>
      </c>
      <c r="ED203" s="1242" t="s">
        <v>39</v>
      </c>
      <c r="EE203" s="1242" t="s">
        <v>39</v>
      </c>
      <c r="EF203" s="1242" t="s">
        <v>39</v>
      </c>
      <c r="EG203" s="1242" t="s">
        <v>39</v>
      </c>
      <c r="EH203" s="1242" t="s">
        <v>39</v>
      </c>
      <c r="EI203" s="1242" t="s">
        <v>39</v>
      </c>
      <c r="EJ203" s="1242" t="s">
        <v>39</v>
      </c>
    </row>
    <row r="204" spans="2:140" ht="15" customHeight="1">
      <c r="AL204" s="1263">
        <v>56</v>
      </c>
      <c r="AM204" s="1276">
        <v>95.1</v>
      </c>
      <c r="AN204" s="1276" t="s">
        <v>39</v>
      </c>
      <c r="AO204" s="1276" t="s">
        <v>39</v>
      </c>
      <c r="BK204" s="1208">
        <v>63</v>
      </c>
      <c r="BL204" s="826">
        <v>828.8</v>
      </c>
      <c r="BM204" s="826">
        <v>833.4</v>
      </c>
      <c r="BN204" s="1207"/>
      <c r="CO204" s="1282">
        <v>36</v>
      </c>
      <c r="CP204" s="1246">
        <v>0.65</v>
      </c>
      <c r="CQ204" s="1246">
        <v>0.8</v>
      </c>
      <c r="CR204" s="1246">
        <v>1</v>
      </c>
      <c r="CS204" s="1246">
        <v>1.1499999999999999</v>
      </c>
      <c r="CT204" s="1246">
        <v>1.35</v>
      </c>
      <c r="CU204" s="1246">
        <v>1.6</v>
      </c>
      <c r="CV204" s="1246">
        <v>1.8</v>
      </c>
      <c r="CW204" s="1246">
        <v>2.1</v>
      </c>
      <c r="CX204" s="1246">
        <v>2.4</v>
      </c>
      <c r="CY204" s="1246">
        <v>2.7</v>
      </c>
      <c r="CZ204" s="1246">
        <v>3.05</v>
      </c>
      <c r="DA204" s="1246">
        <v>3.4</v>
      </c>
      <c r="DB204" s="1246">
        <v>3.8</v>
      </c>
      <c r="DC204" s="1246">
        <v>4.1500000000000004</v>
      </c>
      <c r="DD204" s="1246">
        <v>4.5999999999999996</v>
      </c>
      <c r="DE204" s="1246">
        <v>5</v>
      </c>
      <c r="DG204" s="1267">
        <v>41</v>
      </c>
      <c r="DH204" s="1286" t="s">
        <v>39</v>
      </c>
      <c r="DI204" s="1286" t="s">
        <v>39</v>
      </c>
      <c r="DJ204" s="1286" t="s">
        <v>39</v>
      </c>
      <c r="DK204" s="1286" t="s">
        <v>39</v>
      </c>
      <c r="DL204" s="1286" t="s">
        <v>39</v>
      </c>
      <c r="DM204" s="1286" t="s">
        <v>39</v>
      </c>
      <c r="DN204" s="1286" t="s">
        <v>39</v>
      </c>
      <c r="DO204" s="1268">
        <v>0.7</v>
      </c>
      <c r="DP204" s="1269">
        <v>0.75</v>
      </c>
      <c r="DQ204" s="1268">
        <v>0.8</v>
      </c>
      <c r="DR204" s="1270">
        <v>0.85</v>
      </c>
      <c r="DS204" s="1268">
        <v>0.9</v>
      </c>
      <c r="DT204" s="1268">
        <v>0.95</v>
      </c>
      <c r="DU204" s="1269">
        <v>1</v>
      </c>
      <c r="DV204" s="1260">
        <v>1.05</v>
      </c>
      <c r="DW204" s="1260">
        <v>1.1000000000000001</v>
      </c>
      <c r="DX204" s="1260">
        <v>1.2</v>
      </c>
      <c r="DY204" s="1260">
        <v>1.25</v>
      </c>
      <c r="DZ204" s="1242" t="s">
        <v>39</v>
      </c>
      <c r="EA204" s="1242" t="s">
        <v>39</v>
      </c>
      <c r="EB204" s="1242" t="s">
        <v>39</v>
      </c>
      <c r="EC204" s="1242" t="s">
        <v>39</v>
      </c>
      <c r="ED204" s="1242" t="s">
        <v>39</v>
      </c>
      <c r="EE204" s="1242" t="s">
        <v>39</v>
      </c>
      <c r="EF204" s="1242" t="s">
        <v>39</v>
      </c>
      <c r="EG204" s="1242" t="s">
        <v>39</v>
      </c>
      <c r="EH204" s="1242" t="s">
        <v>39</v>
      </c>
      <c r="EI204" s="1242" t="s">
        <v>39</v>
      </c>
      <c r="EJ204" s="1242" t="s">
        <v>39</v>
      </c>
    </row>
    <row r="205" spans="2:140" ht="15" customHeight="1">
      <c r="AL205" s="1263">
        <v>57</v>
      </c>
      <c r="AM205" s="1276">
        <v>95.95</v>
      </c>
      <c r="AN205" s="1276" t="s">
        <v>39</v>
      </c>
      <c r="AO205" s="1276" t="s">
        <v>39</v>
      </c>
      <c r="BK205" s="1208">
        <v>64</v>
      </c>
      <c r="BL205" s="826">
        <v>832.75</v>
      </c>
      <c r="BM205" s="1207"/>
      <c r="BN205" s="1207"/>
      <c r="CO205" s="1283">
        <v>37</v>
      </c>
      <c r="CP205" s="1246">
        <v>0.7</v>
      </c>
      <c r="CQ205" s="1246">
        <v>0.9</v>
      </c>
      <c r="CR205" s="1246">
        <v>1.05</v>
      </c>
      <c r="CS205" s="1246">
        <v>1.25</v>
      </c>
      <c r="CT205" s="1246">
        <v>1.5</v>
      </c>
      <c r="CU205" s="1246">
        <v>1.75</v>
      </c>
      <c r="CV205" s="1246">
        <v>2</v>
      </c>
      <c r="CW205" s="1246">
        <v>2.2999999999999998</v>
      </c>
      <c r="CX205" s="1246">
        <v>2.6</v>
      </c>
      <c r="CY205" s="1246">
        <v>2.95</v>
      </c>
      <c r="CZ205" s="1246">
        <v>3.3</v>
      </c>
      <c r="DA205" s="1246">
        <v>3.7</v>
      </c>
      <c r="DB205" s="1246">
        <v>4.0999999999999996</v>
      </c>
      <c r="DC205" s="1246">
        <v>4.55</v>
      </c>
      <c r="DD205" s="1246">
        <v>5</v>
      </c>
      <c r="DE205" s="1246">
        <v>5.45</v>
      </c>
      <c r="DG205" s="1267">
        <v>42</v>
      </c>
      <c r="DH205" s="1286" t="s">
        <v>39</v>
      </c>
      <c r="DI205" s="1286" t="s">
        <v>39</v>
      </c>
      <c r="DJ205" s="1286" t="s">
        <v>39</v>
      </c>
      <c r="DK205" s="1286" t="s">
        <v>39</v>
      </c>
      <c r="DL205" s="1286" t="s">
        <v>39</v>
      </c>
      <c r="DM205" s="1286" t="s">
        <v>39</v>
      </c>
      <c r="DN205" s="1270">
        <v>0.75</v>
      </c>
      <c r="DO205" s="1268">
        <v>0.8</v>
      </c>
      <c r="DP205" s="1269">
        <v>0.85</v>
      </c>
      <c r="DQ205" s="1268">
        <v>0.9</v>
      </c>
      <c r="DR205" s="1270">
        <v>0.95</v>
      </c>
      <c r="DS205" s="1268">
        <v>1</v>
      </c>
      <c r="DT205" s="1268">
        <v>1.05</v>
      </c>
      <c r="DU205" s="1269">
        <v>1.1000000000000001</v>
      </c>
      <c r="DV205" s="1260">
        <v>1.1499999999999999</v>
      </c>
      <c r="DW205" s="1260">
        <v>1.25</v>
      </c>
      <c r="DX205" s="1260">
        <v>1.3</v>
      </c>
      <c r="DY205" s="1242" t="s">
        <v>39</v>
      </c>
      <c r="DZ205" s="1242" t="s">
        <v>39</v>
      </c>
      <c r="EA205" s="1242" t="s">
        <v>39</v>
      </c>
      <c r="EB205" s="1242" t="s">
        <v>39</v>
      </c>
      <c r="EC205" s="1242" t="s">
        <v>39</v>
      </c>
      <c r="ED205" s="1242" t="s">
        <v>39</v>
      </c>
      <c r="EE205" s="1242" t="s">
        <v>39</v>
      </c>
      <c r="EF205" s="1242" t="s">
        <v>39</v>
      </c>
      <c r="EG205" s="1242" t="s">
        <v>39</v>
      </c>
      <c r="EH205" s="1242" t="s">
        <v>39</v>
      </c>
      <c r="EI205" s="1242" t="s">
        <v>39</v>
      </c>
      <c r="EJ205" s="1242" t="s">
        <v>39</v>
      </c>
    </row>
    <row r="206" spans="2:140" ht="15" customHeight="1">
      <c r="C206" s="1205">
        <f t="shared" ref="C206:AG206" si="32">LOOKUP($B$1,$B208:$B248,C208:C248)</f>
        <v>0</v>
      </c>
      <c r="D206" s="1205">
        <f t="shared" si="32"/>
        <v>0</v>
      </c>
      <c r="E206" s="1205">
        <f t="shared" si="32"/>
        <v>0</v>
      </c>
      <c r="F206" s="1205">
        <f t="shared" si="32"/>
        <v>0</v>
      </c>
      <c r="G206" s="1205">
        <f t="shared" si="32"/>
        <v>0</v>
      </c>
      <c r="H206" s="1205">
        <f t="shared" si="32"/>
        <v>0</v>
      </c>
      <c r="I206" s="1205">
        <f t="shared" si="32"/>
        <v>0</v>
      </c>
      <c r="J206" s="1205">
        <f t="shared" si="32"/>
        <v>0</v>
      </c>
      <c r="K206" s="1205">
        <f t="shared" si="32"/>
        <v>0</v>
      </c>
      <c r="L206" s="1205">
        <f t="shared" si="32"/>
        <v>0</v>
      </c>
      <c r="M206" s="1205">
        <f t="shared" si="32"/>
        <v>0</v>
      </c>
      <c r="N206" s="1205">
        <f t="shared" si="32"/>
        <v>0</v>
      </c>
      <c r="O206" s="1205">
        <f t="shared" si="32"/>
        <v>0</v>
      </c>
      <c r="P206" s="1205">
        <f t="shared" si="32"/>
        <v>0</v>
      </c>
      <c r="Q206" s="1205">
        <f t="shared" si="32"/>
        <v>0</v>
      </c>
      <c r="R206" s="1205">
        <f t="shared" si="32"/>
        <v>0</v>
      </c>
      <c r="S206" s="1205">
        <f t="shared" si="32"/>
        <v>0</v>
      </c>
      <c r="T206" s="1205">
        <f t="shared" si="32"/>
        <v>0</v>
      </c>
      <c r="U206" s="1205">
        <f t="shared" si="32"/>
        <v>0</v>
      </c>
      <c r="V206" s="1205">
        <f t="shared" si="32"/>
        <v>0</v>
      </c>
      <c r="W206" s="1205">
        <f t="shared" si="32"/>
        <v>41.05</v>
      </c>
      <c r="X206" s="1205">
        <f t="shared" si="32"/>
        <v>39.25</v>
      </c>
      <c r="Y206" s="1205">
        <f t="shared" si="32"/>
        <v>37.6</v>
      </c>
      <c r="Z206" s="1205">
        <f t="shared" si="32"/>
        <v>36.1</v>
      </c>
      <c r="AA206" s="1205">
        <f t="shared" si="32"/>
        <v>34.75</v>
      </c>
      <c r="AB206" s="1205">
        <f t="shared" si="32"/>
        <v>33.450000000000003</v>
      </c>
      <c r="AC206" s="1205">
        <f t="shared" si="32"/>
        <v>32.25</v>
      </c>
      <c r="AD206" s="1205">
        <f t="shared" si="32"/>
        <v>31.2</v>
      </c>
      <c r="AE206" s="1205">
        <f t="shared" si="32"/>
        <v>30.2</v>
      </c>
      <c r="AF206" s="1205">
        <f t="shared" si="32"/>
        <v>29.25</v>
      </c>
      <c r="AG206" s="1205">
        <f t="shared" si="32"/>
        <v>28.4</v>
      </c>
      <c r="AL206" s="1263">
        <v>58</v>
      </c>
      <c r="AM206" s="1276">
        <v>96.9</v>
      </c>
      <c r="AN206" s="1276" t="s">
        <v>39</v>
      </c>
      <c r="AO206" s="1276" t="s">
        <v>39</v>
      </c>
      <c r="BK206" s="1208">
        <v>65</v>
      </c>
      <c r="BL206" s="826">
        <v>836.85</v>
      </c>
      <c r="BM206" s="1207"/>
      <c r="BN206" s="1207"/>
      <c r="CO206" s="1282">
        <v>38</v>
      </c>
      <c r="CP206" s="1246">
        <v>0.75</v>
      </c>
      <c r="CQ206" s="1246">
        <v>0.95</v>
      </c>
      <c r="CR206" s="1246">
        <v>1.1499999999999999</v>
      </c>
      <c r="CS206" s="1246">
        <v>1.4</v>
      </c>
      <c r="CT206" s="1246">
        <v>1.6</v>
      </c>
      <c r="CU206" s="1246">
        <v>1.9</v>
      </c>
      <c r="CV206" s="1246">
        <v>2.2000000000000002</v>
      </c>
      <c r="CW206" s="1246">
        <v>2.5</v>
      </c>
      <c r="CX206" s="1246">
        <v>2.85</v>
      </c>
      <c r="CY206" s="1246">
        <v>3.25</v>
      </c>
      <c r="CZ206" s="1246">
        <v>3.6</v>
      </c>
      <c r="DA206" s="1246">
        <v>4.05</v>
      </c>
      <c r="DB206" s="1246">
        <v>4.5</v>
      </c>
      <c r="DC206" s="1246">
        <v>4.95</v>
      </c>
      <c r="DD206" s="1246">
        <v>5.4</v>
      </c>
      <c r="DE206" s="1246">
        <v>5.9</v>
      </c>
      <c r="DG206" s="1267">
        <v>43</v>
      </c>
      <c r="DH206" s="1286" t="s">
        <v>39</v>
      </c>
      <c r="DI206" s="1286" t="s">
        <v>39</v>
      </c>
      <c r="DJ206" s="1286" t="s">
        <v>39</v>
      </c>
      <c r="DK206" s="1286" t="s">
        <v>39</v>
      </c>
      <c r="DL206" s="1286" t="s">
        <v>39</v>
      </c>
      <c r="DM206" s="1268">
        <v>0.75</v>
      </c>
      <c r="DN206" s="1270">
        <v>0.8</v>
      </c>
      <c r="DO206" s="1268">
        <v>0.85</v>
      </c>
      <c r="DP206" s="1269">
        <v>0.9</v>
      </c>
      <c r="DQ206" s="1268">
        <v>1</v>
      </c>
      <c r="DR206" s="1270">
        <v>1.05</v>
      </c>
      <c r="DS206" s="1268">
        <v>1.1000000000000001</v>
      </c>
      <c r="DT206" s="1268">
        <v>1.1499999999999999</v>
      </c>
      <c r="DU206" s="1269">
        <v>1.2</v>
      </c>
      <c r="DV206" s="1260">
        <v>1.3</v>
      </c>
      <c r="DW206" s="1260">
        <v>1.35</v>
      </c>
      <c r="DX206" s="1242" t="s">
        <v>39</v>
      </c>
      <c r="DY206" s="1242" t="s">
        <v>39</v>
      </c>
      <c r="DZ206" s="1242" t="s">
        <v>39</v>
      </c>
      <c r="EA206" s="1242" t="s">
        <v>39</v>
      </c>
      <c r="EB206" s="1242" t="s">
        <v>39</v>
      </c>
      <c r="EC206" s="1242" t="s">
        <v>39</v>
      </c>
      <c r="ED206" s="1242" t="s">
        <v>39</v>
      </c>
      <c r="EE206" s="1242" t="s">
        <v>39</v>
      </c>
      <c r="EF206" s="1242" t="s">
        <v>39</v>
      </c>
      <c r="EG206" s="1242" t="s">
        <v>39</v>
      </c>
      <c r="EH206" s="1242" t="s">
        <v>39</v>
      </c>
      <c r="EI206" s="1242" t="s">
        <v>39</v>
      </c>
      <c r="EJ206" s="1242" t="s">
        <v>39</v>
      </c>
    </row>
    <row r="207" spans="2:140" ht="15" customHeight="1">
      <c r="B207" s="1294" t="s">
        <v>40</v>
      </c>
      <c r="C207" s="1294">
        <v>5</v>
      </c>
      <c r="D207" s="1294">
        <v>6</v>
      </c>
      <c r="E207" s="1207">
        <v>7</v>
      </c>
      <c r="F207" s="1207">
        <v>8</v>
      </c>
      <c r="G207" s="1207">
        <v>9</v>
      </c>
      <c r="H207" s="1207">
        <v>10</v>
      </c>
      <c r="I207" s="1207">
        <v>11</v>
      </c>
      <c r="J207" s="1207">
        <v>12</v>
      </c>
      <c r="K207" s="1207">
        <v>13</v>
      </c>
      <c r="L207" s="1207">
        <v>14</v>
      </c>
      <c r="M207" s="1207">
        <v>15</v>
      </c>
      <c r="N207" s="1207">
        <v>16</v>
      </c>
      <c r="O207" s="1207">
        <v>17</v>
      </c>
      <c r="P207" s="1207">
        <v>18</v>
      </c>
      <c r="Q207" s="1207">
        <v>19</v>
      </c>
      <c r="R207" s="1207">
        <v>20</v>
      </c>
      <c r="S207" s="1207">
        <v>21</v>
      </c>
      <c r="T207" s="1207">
        <v>22</v>
      </c>
      <c r="U207" s="1207">
        <v>23</v>
      </c>
      <c r="V207" s="1207">
        <v>24</v>
      </c>
      <c r="W207" s="1207">
        <v>25</v>
      </c>
      <c r="X207" s="1207">
        <v>26</v>
      </c>
      <c r="Y207" s="1207">
        <v>27</v>
      </c>
      <c r="Z207" s="1207">
        <v>28</v>
      </c>
      <c r="AA207" s="1207">
        <v>29</v>
      </c>
      <c r="AB207" s="1207">
        <v>30</v>
      </c>
      <c r="AC207" s="1207">
        <v>31</v>
      </c>
      <c r="AD207" s="1207">
        <v>32</v>
      </c>
      <c r="AE207" s="1207">
        <v>33</v>
      </c>
      <c r="AF207" s="1207">
        <v>34</v>
      </c>
      <c r="AG207" s="1207">
        <v>35</v>
      </c>
      <c r="AL207" s="1263">
        <v>59</v>
      </c>
      <c r="AM207" s="1276">
        <v>97.9</v>
      </c>
      <c r="AN207" s="1276" t="s">
        <v>39</v>
      </c>
      <c r="AO207" s="1276" t="s">
        <v>39</v>
      </c>
      <c r="BK207" s="1208">
        <v>66</v>
      </c>
      <c r="BL207" s="826">
        <v>841.1</v>
      </c>
      <c r="BM207" s="1207"/>
      <c r="BN207" s="1207"/>
      <c r="CO207" s="1283">
        <v>39</v>
      </c>
      <c r="CP207" s="1246">
        <v>0.85</v>
      </c>
      <c r="CQ207" s="1246">
        <v>1.05</v>
      </c>
      <c r="CR207" s="1246">
        <v>1.25</v>
      </c>
      <c r="CS207" s="1246">
        <v>1.5</v>
      </c>
      <c r="CT207" s="1246">
        <v>1.75</v>
      </c>
      <c r="CU207" s="1246">
        <v>2.0499999999999998</v>
      </c>
      <c r="CV207" s="1246">
        <v>2.4</v>
      </c>
      <c r="CW207" s="1246">
        <v>2.75</v>
      </c>
      <c r="CX207" s="1246">
        <v>3.15</v>
      </c>
      <c r="CY207" s="1246">
        <v>3.55</v>
      </c>
      <c r="CZ207" s="1246">
        <v>3.95</v>
      </c>
      <c r="DA207" s="1246">
        <v>4.4000000000000004</v>
      </c>
      <c r="DB207" s="1246">
        <v>4.8499999999999996</v>
      </c>
      <c r="DC207" s="1246">
        <v>5.35</v>
      </c>
      <c r="DD207" s="1246">
        <v>5.85</v>
      </c>
      <c r="DE207" s="1246">
        <v>6.4</v>
      </c>
      <c r="DG207" s="1267">
        <v>44</v>
      </c>
      <c r="DH207" s="1286" t="s">
        <v>39</v>
      </c>
      <c r="DI207" s="1286" t="s">
        <v>39</v>
      </c>
      <c r="DJ207" s="1286" t="s">
        <v>39</v>
      </c>
      <c r="DK207" s="1286" t="s">
        <v>39</v>
      </c>
      <c r="DL207" s="1269">
        <v>0.8</v>
      </c>
      <c r="DM207" s="1268">
        <v>0.85</v>
      </c>
      <c r="DN207" s="1270">
        <v>0.9</v>
      </c>
      <c r="DO207" s="1268">
        <v>0.95</v>
      </c>
      <c r="DP207" s="1269">
        <v>1</v>
      </c>
      <c r="DQ207" s="1268">
        <v>1.1000000000000001</v>
      </c>
      <c r="DR207" s="1270">
        <v>1.1499999999999999</v>
      </c>
      <c r="DS207" s="1268">
        <v>1.2</v>
      </c>
      <c r="DT207" s="1268">
        <v>1.3</v>
      </c>
      <c r="DU207" s="1269">
        <v>1.35</v>
      </c>
      <c r="DV207" s="1260">
        <v>1.4</v>
      </c>
      <c r="DW207" s="1242" t="s">
        <v>39</v>
      </c>
      <c r="DX207" s="1242" t="s">
        <v>39</v>
      </c>
      <c r="DY207" s="1242" t="s">
        <v>39</v>
      </c>
      <c r="DZ207" s="1242" t="s">
        <v>39</v>
      </c>
      <c r="EA207" s="1242" t="s">
        <v>39</v>
      </c>
      <c r="EB207" s="1242" t="s">
        <v>39</v>
      </c>
      <c r="EC207" s="1242" t="s">
        <v>39</v>
      </c>
      <c r="ED207" s="1242" t="s">
        <v>39</v>
      </c>
      <c r="EE207" s="1242" t="s">
        <v>39</v>
      </c>
      <c r="EF207" s="1242" t="s">
        <v>39</v>
      </c>
      <c r="EG207" s="1242" t="s">
        <v>39</v>
      </c>
      <c r="EH207" s="1242" t="s">
        <v>39</v>
      </c>
      <c r="EI207" s="1242" t="s">
        <v>39</v>
      </c>
      <c r="EJ207" s="1242" t="s">
        <v>39</v>
      </c>
    </row>
    <row r="208" spans="2:140" ht="15" customHeight="1">
      <c r="B208" s="1208">
        <v>20</v>
      </c>
      <c r="C208" s="1258">
        <v>0</v>
      </c>
      <c r="D208" s="1258">
        <v>0</v>
      </c>
      <c r="E208" s="1258">
        <v>0</v>
      </c>
      <c r="F208" s="1258">
        <v>0</v>
      </c>
      <c r="G208" s="1258">
        <v>0</v>
      </c>
      <c r="H208" s="1258">
        <v>0</v>
      </c>
      <c r="I208" s="1258">
        <v>0</v>
      </c>
      <c r="J208" s="1258">
        <v>0</v>
      </c>
      <c r="K208" s="1258">
        <v>0</v>
      </c>
      <c r="L208" s="1258">
        <v>0</v>
      </c>
      <c r="M208" s="1258">
        <v>0</v>
      </c>
      <c r="N208" s="1258">
        <v>0</v>
      </c>
      <c r="O208" s="1258">
        <v>0</v>
      </c>
      <c r="P208" s="1258">
        <v>0</v>
      </c>
      <c r="Q208" s="1258">
        <v>0</v>
      </c>
      <c r="R208" s="1258">
        <v>0</v>
      </c>
      <c r="S208" s="1258">
        <v>0</v>
      </c>
      <c r="T208" s="1258">
        <v>0</v>
      </c>
      <c r="U208" s="1258">
        <v>0</v>
      </c>
      <c r="V208" s="1258">
        <v>0</v>
      </c>
      <c r="W208" s="1258">
        <v>0</v>
      </c>
      <c r="X208" s="1258">
        <v>0</v>
      </c>
      <c r="Y208" s="1258">
        <v>0</v>
      </c>
      <c r="Z208" s="1258">
        <v>0</v>
      </c>
      <c r="AA208" s="1258">
        <v>0</v>
      </c>
      <c r="AB208" s="1258">
        <v>0</v>
      </c>
      <c r="AC208" s="1258">
        <v>0</v>
      </c>
      <c r="AD208" s="1258">
        <v>0</v>
      </c>
      <c r="AE208" s="1258">
        <v>0</v>
      </c>
      <c r="AF208" s="1258">
        <v>0</v>
      </c>
      <c r="AG208" s="1258">
        <v>26.9</v>
      </c>
      <c r="CO208" s="1282">
        <v>40</v>
      </c>
      <c r="CP208" s="1246">
        <v>0.9</v>
      </c>
      <c r="CQ208" s="1246">
        <v>1.1499999999999999</v>
      </c>
      <c r="CR208" s="1246">
        <v>1.4</v>
      </c>
      <c r="CS208" s="1246">
        <v>1.65</v>
      </c>
      <c r="CT208" s="1246">
        <v>1.95</v>
      </c>
      <c r="CU208" s="1246">
        <v>2.25</v>
      </c>
      <c r="CV208" s="1246">
        <v>2.65</v>
      </c>
      <c r="CW208" s="1246">
        <v>3</v>
      </c>
      <c r="CX208" s="1246">
        <v>3.4</v>
      </c>
      <c r="CY208" s="1246">
        <v>3.85</v>
      </c>
      <c r="CZ208" s="1246">
        <v>4.3</v>
      </c>
      <c r="DA208" s="1246">
        <v>4.8</v>
      </c>
      <c r="DB208" s="1246">
        <v>5.3</v>
      </c>
      <c r="DC208" s="1246">
        <v>5.85</v>
      </c>
      <c r="DD208" s="1246">
        <v>6.35</v>
      </c>
      <c r="DE208" s="1246">
        <v>6.95</v>
      </c>
      <c r="DG208" s="1267">
        <v>45</v>
      </c>
      <c r="DH208" s="1286" t="s">
        <v>39</v>
      </c>
      <c r="DI208" s="1286" t="s">
        <v>39</v>
      </c>
      <c r="DJ208" s="1286" t="s">
        <v>39</v>
      </c>
      <c r="DK208" s="1270">
        <v>0.8</v>
      </c>
      <c r="DL208" s="1269">
        <v>0.9</v>
      </c>
      <c r="DM208" s="1268">
        <v>0.95</v>
      </c>
      <c r="DN208" s="1270">
        <v>1</v>
      </c>
      <c r="DO208" s="1268">
        <v>1.05</v>
      </c>
      <c r="DP208" s="1269">
        <v>1.1499999999999999</v>
      </c>
      <c r="DQ208" s="1268">
        <v>1.2</v>
      </c>
      <c r="DR208" s="1270">
        <v>1.25</v>
      </c>
      <c r="DS208" s="1268">
        <v>1.35</v>
      </c>
      <c r="DT208" s="1268">
        <v>1.4</v>
      </c>
      <c r="DU208" s="1269">
        <v>1.5</v>
      </c>
      <c r="DV208" s="1242" t="s">
        <v>39</v>
      </c>
      <c r="DW208" s="1242" t="s">
        <v>39</v>
      </c>
      <c r="DX208" s="1242" t="s">
        <v>39</v>
      </c>
      <c r="DY208" s="1242" t="s">
        <v>39</v>
      </c>
      <c r="DZ208" s="1242" t="s">
        <v>39</v>
      </c>
      <c r="EA208" s="1242" t="s">
        <v>39</v>
      </c>
      <c r="EB208" s="1242" t="s">
        <v>39</v>
      </c>
      <c r="EC208" s="1242" t="s">
        <v>39</v>
      </c>
      <c r="ED208" s="1242" t="s">
        <v>39</v>
      </c>
      <c r="EE208" s="1242" t="s">
        <v>39</v>
      </c>
      <c r="EF208" s="1242" t="s">
        <v>39</v>
      </c>
      <c r="EG208" s="1242" t="s">
        <v>39</v>
      </c>
      <c r="EH208" s="1242" t="s">
        <v>39</v>
      </c>
      <c r="EI208" s="1242" t="s">
        <v>39</v>
      </c>
      <c r="EJ208" s="1242" t="s">
        <v>39</v>
      </c>
    </row>
    <row r="209" spans="2:140" ht="15" customHeight="1">
      <c r="B209" s="1208">
        <v>21</v>
      </c>
      <c r="C209" s="1258">
        <v>0</v>
      </c>
      <c r="D209" s="1258">
        <v>0</v>
      </c>
      <c r="E209" s="1258">
        <v>0</v>
      </c>
      <c r="F209" s="1258">
        <v>0</v>
      </c>
      <c r="G209" s="1258">
        <v>0</v>
      </c>
      <c r="H209" s="1258">
        <v>0</v>
      </c>
      <c r="I209" s="1258">
        <v>0</v>
      </c>
      <c r="J209" s="1258">
        <v>0</v>
      </c>
      <c r="K209" s="1258">
        <v>0</v>
      </c>
      <c r="L209" s="1258">
        <v>0</v>
      </c>
      <c r="M209" s="1258">
        <v>0</v>
      </c>
      <c r="N209" s="1258">
        <v>0</v>
      </c>
      <c r="O209" s="1258">
        <v>0</v>
      </c>
      <c r="P209" s="1258">
        <v>0</v>
      </c>
      <c r="Q209" s="1258">
        <v>0</v>
      </c>
      <c r="R209" s="1258">
        <v>0</v>
      </c>
      <c r="S209" s="1258">
        <v>0</v>
      </c>
      <c r="T209" s="1258">
        <v>0</v>
      </c>
      <c r="U209" s="1258">
        <v>0</v>
      </c>
      <c r="V209" s="1258">
        <v>0</v>
      </c>
      <c r="W209" s="1258">
        <v>0</v>
      </c>
      <c r="X209" s="1258">
        <v>0</v>
      </c>
      <c r="Y209" s="1258">
        <v>0</v>
      </c>
      <c r="Z209" s="1258">
        <v>0</v>
      </c>
      <c r="AA209" s="1258">
        <v>0</v>
      </c>
      <c r="AB209" s="1258">
        <v>0</v>
      </c>
      <c r="AC209" s="1258">
        <v>0</v>
      </c>
      <c r="AD209" s="1258">
        <v>0</v>
      </c>
      <c r="AE209" s="1258">
        <v>0</v>
      </c>
      <c r="AF209" s="1258">
        <v>27.9</v>
      </c>
      <c r="AG209" s="1258">
        <v>26.95</v>
      </c>
      <c r="CO209" s="1283">
        <v>41</v>
      </c>
      <c r="CP209" s="1246">
        <v>1</v>
      </c>
      <c r="CQ209" s="1246">
        <v>1.25</v>
      </c>
      <c r="CR209" s="1246">
        <v>1.5</v>
      </c>
      <c r="CS209" s="1246">
        <v>1.8</v>
      </c>
      <c r="CT209" s="1246">
        <v>2.15</v>
      </c>
      <c r="CU209" s="1246">
        <v>2.5</v>
      </c>
      <c r="CV209" s="1246">
        <v>2.9</v>
      </c>
      <c r="CW209" s="1246">
        <v>3.3</v>
      </c>
      <c r="CX209" s="1246">
        <v>3.75</v>
      </c>
      <c r="CY209" s="1246">
        <v>4.2</v>
      </c>
      <c r="CZ209" s="1246">
        <v>4.7</v>
      </c>
      <c r="DA209" s="1246">
        <v>5.25</v>
      </c>
      <c r="DB209" s="1246">
        <v>5.75</v>
      </c>
      <c r="DC209" s="1246">
        <v>6.35</v>
      </c>
      <c r="DD209" s="1246">
        <v>6.9</v>
      </c>
      <c r="DE209" s="1246">
        <v>7.5</v>
      </c>
      <c r="DG209" s="1267">
        <v>46</v>
      </c>
      <c r="DH209" s="1286" t="s">
        <v>39</v>
      </c>
      <c r="DI209" s="1286" t="s">
        <v>39</v>
      </c>
      <c r="DJ209" s="1268">
        <v>0.85</v>
      </c>
      <c r="DK209" s="1270">
        <v>0.9</v>
      </c>
      <c r="DL209" s="1269">
        <v>1</v>
      </c>
      <c r="DM209" s="1268">
        <v>1.05</v>
      </c>
      <c r="DN209" s="1270">
        <v>1.1000000000000001</v>
      </c>
      <c r="DO209" s="1268">
        <v>1.2</v>
      </c>
      <c r="DP209" s="1269">
        <v>1.25</v>
      </c>
      <c r="DQ209" s="1268">
        <v>1.3</v>
      </c>
      <c r="DR209" s="1270">
        <v>1.4</v>
      </c>
      <c r="DS209" s="1268">
        <v>1.45</v>
      </c>
      <c r="DT209" s="1268">
        <v>1.55</v>
      </c>
      <c r="DU209" s="1286" t="s">
        <v>39</v>
      </c>
      <c r="DV209" s="1242" t="s">
        <v>39</v>
      </c>
      <c r="DW209" s="1242" t="s">
        <v>39</v>
      </c>
      <c r="DX209" s="1242" t="s">
        <v>39</v>
      </c>
      <c r="DY209" s="1242" t="s">
        <v>39</v>
      </c>
      <c r="DZ209" s="1242" t="s">
        <v>39</v>
      </c>
      <c r="EA209" s="1242" t="s">
        <v>39</v>
      </c>
      <c r="EB209" s="1242" t="s">
        <v>39</v>
      </c>
      <c r="EC209" s="1242" t="s">
        <v>39</v>
      </c>
      <c r="ED209" s="1242" t="s">
        <v>39</v>
      </c>
      <c r="EE209" s="1242" t="s">
        <v>39</v>
      </c>
      <c r="EF209" s="1242" t="s">
        <v>39</v>
      </c>
      <c r="EG209" s="1242" t="s">
        <v>39</v>
      </c>
      <c r="EH209" s="1242" t="s">
        <v>39</v>
      </c>
      <c r="EI209" s="1242" t="s">
        <v>39</v>
      </c>
      <c r="EJ209" s="1242" t="s">
        <v>39</v>
      </c>
    </row>
    <row r="210" spans="2:140" ht="15" customHeight="1">
      <c r="B210" s="1208">
        <v>22</v>
      </c>
      <c r="C210" s="1258">
        <v>0</v>
      </c>
      <c r="D210" s="1258">
        <v>0</v>
      </c>
      <c r="E210" s="1258">
        <v>0</v>
      </c>
      <c r="F210" s="1258">
        <v>0</v>
      </c>
      <c r="G210" s="1258">
        <v>0</v>
      </c>
      <c r="H210" s="1258">
        <v>0</v>
      </c>
      <c r="I210" s="1258">
        <v>0</v>
      </c>
      <c r="J210" s="1258">
        <v>0</v>
      </c>
      <c r="K210" s="1258">
        <v>0</v>
      </c>
      <c r="L210" s="1258">
        <v>0</v>
      </c>
      <c r="M210" s="1258">
        <v>0</v>
      </c>
      <c r="N210" s="1258">
        <v>0</v>
      </c>
      <c r="O210" s="1258">
        <v>0</v>
      </c>
      <c r="P210" s="1258">
        <v>0</v>
      </c>
      <c r="Q210" s="1258">
        <v>0</v>
      </c>
      <c r="R210" s="1258">
        <v>0</v>
      </c>
      <c r="S210" s="1258">
        <v>0</v>
      </c>
      <c r="T210" s="1258">
        <v>0</v>
      </c>
      <c r="U210" s="1258">
        <v>0</v>
      </c>
      <c r="V210" s="1258">
        <v>0</v>
      </c>
      <c r="W210" s="1258">
        <v>0</v>
      </c>
      <c r="X210" s="1258">
        <v>0</v>
      </c>
      <c r="Y210" s="1258">
        <v>0</v>
      </c>
      <c r="Z210" s="1258">
        <v>0</v>
      </c>
      <c r="AA210" s="1258">
        <v>0</v>
      </c>
      <c r="AB210" s="1258">
        <v>0</v>
      </c>
      <c r="AC210" s="1258">
        <v>0</v>
      </c>
      <c r="AD210" s="1258">
        <v>0</v>
      </c>
      <c r="AE210" s="1258">
        <v>29</v>
      </c>
      <c r="AF210" s="1258">
        <v>28</v>
      </c>
      <c r="AG210" s="1258">
        <v>27.05</v>
      </c>
      <c r="CO210" s="1282">
        <v>42</v>
      </c>
      <c r="CP210" s="1246">
        <v>1.1000000000000001</v>
      </c>
      <c r="CQ210" s="1246">
        <v>1.35</v>
      </c>
      <c r="CR210" s="1246">
        <v>1.65</v>
      </c>
      <c r="CS210" s="1246">
        <v>2</v>
      </c>
      <c r="CT210" s="1246">
        <v>2.35</v>
      </c>
      <c r="CU210" s="1246">
        <v>2.75</v>
      </c>
      <c r="CV210" s="1246">
        <v>3.15</v>
      </c>
      <c r="CW210" s="1246">
        <v>3.6</v>
      </c>
      <c r="CX210" s="1246">
        <v>4.0999999999999996</v>
      </c>
      <c r="CY210" s="1246">
        <v>4.5999999999999996</v>
      </c>
      <c r="CZ210" s="1246">
        <v>5.15</v>
      </c>
      <c r="DA210" s="1246">
        <v>5.7</v>
      </c>
      <c r="DB210" s="1246">
        <v>6.25</v>
      </c>
      <c r="DC210" s="1246">
        <v>6.85</v>
      </c>
      <c r="DD210" s="1246">
        <v>7.5</v>
      </c>
      <c r="DE210" s="1246">
        <v>8.1</v>
      </c>
      <c r="DG210" s="1267">
        <v>47</v>
      </c>
      <c r="DH210" s="1286" t="s">
        <v>39</v>
      </c>
      <c r="DI210" s="1268">
        <v>0.85</v>
      </c>
      <c r="DJ210" s="1268">
        <v>0.95</v>
      </c>
      <c r="DK210" s="1270">
        <v>1</v>
      </c>
      <c r="DL210" s="1269">
        <v>1.1000000000000001</v>
      </c>
      <c r="DM210" s="1268">
        <v>1.1499999999999999</v>
      </c>
      <c r="DN210" s="1270">
        <v>1.25</v>
      </c>
      <c r="DO210" s="1268">
        <v>1.3</v>
      </c>
      <c r="DP210" s="1269">
        <v>1.4</v>
      </c>
      <c r="DQ210" s="1268">
        <v>1.45</v>
      </c>
      <c r="DR210" s="1270">
        <v>1.55</v>
      </c>
      <c r="DS210" s="1268">
        <v>1.6</v>
      </c>
      <c r="DT210" s="1286" t="s">
        <v>39</v>
      </c>
      <c r="DU210" s="1286" t="s">
        <v>39</v>
      </c>
      <c r="DV210" s="1242" t="s">
        <v>39</v>
      </c>
      <c r="DW210" s="1242" t="s">
        <v>39</v>
      </c>
      <c r="DX210" s="1242" t="s">
        <v>39</v>
      </c>
      <c r="DY210" s="1242" t="s">
        <v>39</v>
      </c>
      <c r="DZ210" s="1242" t="s">
        <v>39</v>
      </c>
      <c r="EA210" s="1242" t="s">
        <v>39</v>
      </c>
      <c r="EB210" s="1242" t="s">
        <v>39</v>
      </c>
      <c r="EC210" s="1242" t="s">
        <v>39</v>
      </c>
      <c r="ED210" s="1242" t="s">
        <v>39</v>
      </c>
      <c r="EE210" s="1242" t="s">
        <v>39</v>
      </c>
      <c r="EF210" s="1242" t="s">
        <v>39</v>
      </c>
      <c r="EG210" s="1242" t="s">
        <v>39</v>
      </c>
      <c r="EH210" s="1242" t="s">
        <v>39</v>
      </c>
      <c r="EI210" s="1242" t="s">
        <v>39</v>
      </c>
      <c r="EJ210" s="1242" t="s">
        <v>39</v>
      </c>
    </row>
    <row r="211" spans="2:140" ht="15" customHeight="1">
      <c r="B211" s="1208">
        <v>23</v>
      </c>
      <c r="C211" s="1258">
        <v>0</v>
      </c>
      <c r="D211" s="1258">
        <v>0</v>
      </c>
      <c r="E211" s="1258">
        <v>0</v>
      </c>
      <c r="F211" s="1258">
        <v>0</v>
      </c>
      <c r="G211" s="1258">
        <v>0</v>
      </c>
      <c r="H211" s="1258">
        <v>0</v>
      </c>
      <c r="I211" s="1258">
        <v>0</v>
      </c>
      <c r="J211" s="1258">
        <v>0</v>
      </c>
      <c r="K211" s="1258">
        <v>0</v>
      </c>
      <c r="L211" s="1258">
        <v>0</v>
      </c>
      <c r="M211" s="1258">
        <v>0</v>
      </c>
      <c r="N211" s="1258">
        <v>0</v>
      </c>
      <c r="O211" s="1258">
        <v>0</v>
      </c>
      <c r="P211" s="1258">
        <v>0</v>
      </c>
      <c r="Q211" s="1258">
        <v>0</v>
      </c>
      <c r="R211" s="1258">
        <v>0</v>
      </c>
      <c r="S211" s="1258">
        <v>0</v>
      </c>
      <c r="T211" s="1258">
        <v>0</v>
      </c>
      <c r="U211" s="1258">
        <v>0</v>
      </c>
      <c r="V211" s="1258">
        <v>0</v>
      </c>
      <c r="W211" s="1258">
        <v>0</v>
      </c>
      <c r="X211" s="1258">
        <v>0</v>
      </c>
      <c r="Y211" s="1258">
        <v>0</v>
      </c>
      <c r="Z211" s="1258">
        <v>0</v>
      </c>
      <c r="AA211" s="1258">
        <v>0</v>
      </c>
      <c r="AB211" s="1258">
        <v>0</v>
      </c>
      <c r="AC211" s="1258">
        <v>0</v>
      </c>
      <c r="AD211" s="1258">
        <v>30.15</v>
      </c>
      <c r="AE211" s="1258">
        <v>29.1</v>
      </c>
      <c r="AF211" s="1258">
        <v>28.1</v>
      </c>
      <c r="AG211" s="1258">
        <v>27.15</v>
      </c>
      <c r="CO211" s="1283">
        <v>43</v>
      </c>
      <c r="CP211" s="1246">
        <v>1.2</v>
      </c>
      <c r="CQ211" s="1246">
        <v>1.5</v>
      </c>
      <c r="CR211" s="1246">
        <v>1.85</v>
      </c>
      <c r="CS211" s="1246">
        <v>2.2000000000000002</v>
      </c>
      <c r="CT211" s="1246">
        <v>2.6</v>
      </c>
      <c r="CU211" s="1246">
        <v>3</v>
      </c>
      <c r="CV211" s="1246">
        <v>3.45</v>
      </c>
      <c r="CW211" s="1246">
        <v>3.95</v>
      </c>
      <c r="CX211" s="1246">
        <v>4.5</v>
      </c>
      <c r="CY211" s="1246">
        <v>5</v>
      </c>
      <c r="CZ211" s="1246">
        <v>5.6</v>
      </c>
      <c r="DA211" s="1246">
        <v>6.2</v>
      </c>
      <c r="DB211" s="1246">
        <v>6.8</v>
      </c>
      <c r="DC211" s="1246">
        <v>7.45</v>
      </c>
      <c r="DD211" s="1246">
        <v>8.1</v>
      </c>
      <c r="DE211" s="1246">
        <v>8.75</v>
      </c>
      <c r="DG211" s="1267">
        <v>48</v>
      </c>
      <c r="DH211" s="1268">
        <v>0.9</v>
      </c>
      <c r="DI211" s="1268">
        <v>0.95</v>
      </c>
      <c r="DJ211" s="1268">
        <v>1.05</v>
      </c>
      <c r="DK211" s="1270">
        <v>1.1000000000000001</v>
      </c>
      <c r="DL211" s="1269">
        <v>1.2</v>
      </c>
      <c r="DM211" s="1268">
        <v>1.3</v>
      </c>
      <c r="DN211" s="1270">
        <v>1.35</v>
      </c>
      <c r="DO211" s="1268">
        <v>1.45</v>
      </c>
      <c r="DP211" s="1269">
        <v>1.5</v>
      </c>
      <c r="DQ211" s="1268">
        <v>1.6</v>
      </c>
      <c r="DR211" s="1270">
        <v>1.7</v>
      </c>
      <c r="DS211" s="1286" t="s">
        <v>39</v>
      </c>
      <c r="DT211" s="1286" t="s">
        <v>39</v>
      </c>
      <c r="DU211" s="1286" t="s">
        <v>39</v>
      </c>
      <c r="DV211" s="1242" t="s">
        <v>39</v>
      </c>
      <c r="DW211" s="1242" t="s">
        <v>39</v>
      </c>
      <c r="DX211" s="1242" t="s">
        <v>39</v>
      </c>
      <c r="DY211" s="1242" t="s">
        <v>39</v>
      </c>
      <c r="DZ211" s="1242" t="s">
        <v>39</v>
      </c>
      <c r="EA211" s="1242" t="s">
        <v>39</v>
      </c>
      <c r="EB211" s="1242" t="s">
        <v>39</v>
      </c>
      <c r="EC211" s="1242" t="s">
        <v>39</v>
      </c>
      <c r="ED211" s="1242" t="s">
        <v>39</v>
      </c>
      <c r="EE211" s="1242" t="s">
        <v>39</v>
      </c>
      <c r="EF211" s="1242" t="s">
        <v>39</v>
      </c>
      <c r="EG211" s="1242" t="s">
        <v>39</v>
      </c>
      <c r="EH211" s="1242" t="s">
        <v>39</v>
      </c>
      <c r="EI211" s="1242" t="s">
        <v>39</v>
      </c>
      <c r="EJ211" s="1242" t="s">
        <v>39</v>
      </c>
    </row>
    <row r="212" spans="2:140" ht="15" customHeight="1">
      <c r="B212" s="1208">
        <v>24</v>
      </c>
      <c r="C212" s="1258">
        <v>0</v>
      </c>
      <c r="D212" s="1258">
        <v>0</v>
      </c>
      <c r="E212" s="1258">
        <v>0</v>
      </c>
      <c r="F212" s="1258">
        <v>0</v>
      </c>
      <c r="G212" s="1258">
        <v>0</v>
      </c>
      <c r="H212" s="1258">
        <v>0</v>
      </c>
      <c r="I212" s="1258">
        <v>0</v>
      </c>
      <c r="J212" s="1258">
        <v>0</v>
      </c>
      <c r="K212" s="1258">
        <v>0</v>
      </c>
      <c r="L212" s="1258">
        <v>0</v>
      </c>
      <c r="M212" s="1258">
        <v>0</v>
      </c>
      <c r="N212" s="1258">
        <v>0</v>
      </c>
      <c r="O212" s="1258">
        <v>0</v>
      </c>
      <c r="P212" s="1258">
        <v>0</v>
      </c>
      <c r="Q212" s="1258">
        <v>0</v>
      </c>
      <c r="R212" s="1258">
        <v>0</v>
      </c>
      <c r="S212" s="1258">
        <v>0</v>
      </c>
      <c r="T212" s="1258">
        <v>0</v>
      </c>
      <c r="U212" s="1258">
        <v>0</v>
      </c>
      <c r="V212" s="1258">
        <v>0</v>
      </c>
      <c r="W212" s="1258">
        <v>0</v>
      </c>
      <c r="X212" s="1258">
        <v>0</v>
      </c>
      <c r="Y212" s="1258">
        <v>0</v>
      </c>
      <c r="Z212" s="1258">
        <v>0</v>
      </c>
      <c r="AA212" s="1258">
        <v>0</v>
      </c>
      <c r="AB212" s="1258">
        <v>0</v>
      </c>
      <c r="AC212" s="1258">
        <v>31.4</v>
      </c>
      <c r="AD212" s="1258">
        <v>30.25</v>
      </c>
      <c r="AE212" s="1258">
        <v>29.2</v>
      </c>
      <c r="AF212" s="1258">
        <v>28.2</v>
      </c>
      <c r="AG212" s="1258">
        <v>27.3</v>
      </c>
      <c r="CO212" s="1282">
        <v>44</v>
      </c>
      <c r="CP212" s="1246">
        <v>1.35</v>
      </c>
      <c r="CQ212" s="1246">
        <v>1.65</v>
      </c>
      <c r="CR212" s="1246">
        <v>2.0499999999999998</v>
      </c>
      <c r="CS212" s="1246">
        <v>2.4</v>
      </c>
      <c r="CT212" s="1246">
        <v>2.85</v>
      </c>
      <c r="CU212" s="1246">
        <v>3.3</v>
      </c>
      <c r="CV212" s="1246">
        <v>3.8</v>
      </c>
      <c r="CW212" s="1246">
        <v>4.3499999999999996</v>
      </c>
      <c r="CX212" s="1246">
        <v>4.9000000000000004</v>
      </c>
      <c r="CY212" s="1246">
        <v>5.45</v>
      </c>
      <c r="CZ212" s="1246">
        <v>6.1</v>
      </c>
      <c r="DA212" s="1246">
        <v>6.7</v>
      </c>
      <c r="DB212" s="1246">
        <v>7.35</v>
      </c>
      <c r="DC212" s="1246">
        <v>8.0500000000000007</v>
      </c>
      <c r="DD212" s="1246">
        <v>8.6999999999999993</v>
      </c>
      <c r="DE212" s="1246">
        <v>9.4</v>
      </c>
      <c r="DG212" s="1267">
        <v>49</v>
      </c>
      <c r="DH212" s="1268">
        <v>1</v>
      </c>
      <c r="DI212" s="1268">
        <v>1.05</v>
      </c>
      <c r="DJ212" s="1268">
        <v>1.1499999999999999</v>
      </c>
      <c r="DK212" s="1270">
        <v>1.25</v>
      </c>
      <c r="DL212" s="1269">
        <v>1.3</v>
      </c>
      <c r="DM212" s="1268">
        <v>1.4</v>
      </c>
      <c r="DN212" s="1270">
        <v>1.5</v>
      </c>
      <c r="DO212" s="1268">
        <v>1.6</v>
      </c>
      <c r="DP212" s="1269">
        <v>1.65</v>
      </c>
      <c r="DQ212" s="1268">
        <v>1.75</v>
      </c>
      <c r="DR212" s="1286" t="s">
        <v>39</v>
      </c>
      <c r="DS212" s="1286" t="s">
        <v>39</v>
      </c>
      <c r="DT212" s="1286" t="s">
        <v>39</v>
      </c>
      <c r="DU212" s="1286" t="s">
        <v>39</v>
      </c>
      <c r="DV212" s="1242" t="s">
        <v>39</v>
      </c>
      <c r="DW212" s="1242" t="s">
        <v>39</v>
      </c>
      <c r="DX212" s="1242" t="s">
        <v>39</v>
      </c>
      <c r="DY212" s="1242" t="s">
        <v>39</v>
      </c>
      <c r="DZ212" s="1242" t="s">
        <v>39</v>
      </c>
      <c r="EA212" s="1242" t="s">
        <v>39</v>
      </c>
      <c r="EB212" s="1242" t="s">
        <v>39</v>
      </c>
      <c r="EC212" s="1242" t="s">
        <v>39</v>
      </c>
      <c r="ED212" s="1242" t="s">
        <v>39</v>
      </c>
      <c r="EE212" s="1242" t="s">
        <v>39</v>
      </c>
      <c r="EF212" s="1242" t="s">
        <v>39</v>
      </c>
      <c r="EG212" s="1242" t="s">
        <v>39</v>
      </c>
      <c r="EH212" s="1242" t="s">
        <v>39</v>
      </c>
      <c r="EI212" s="1242" t="s">
        <v>39</v>
      </c>
      <c r="EJ212" s="1242" t="s">
        <v>39</v>
      </c>
    </row>
    <row r="213" spans="2:140" ht="15" customHeight="1">
      <c r="B213" s="1208">
        <v>25</v>
      </c>
      <c r="C213" s="1258">
        <v>0</v>
      </c>
      <c r="D213" s="1258">
        <v>0</v>
      </c>
      <c r="E213" s="1258">
        <v>0</v>
      </c>
      <c r="F213" s="1258">
        <v>0</v>
      </c>
      <c r="G213" s="1258">
        <v>0</v>
      </c>
      <c r="H213" s="1258">
        <v>0</v>
      </c>
      <c r="I213" s="1258">
        <v>0</v>
      </c>
      <c r="J213" s="1258">
        <v>0</v>
      </c>
      <c r="K213" s="1258">
        <v>0</v>
      </c>
      <c r="L213" s="1258">
        <v>0</v>
      </c>
      <c r="M213" s="1258">
        <v>0</v>
      </c>
      <c r="N213" s="1258">
        <v>0</v>
      </c>
      <c r="O213" s="1258">
        <v>0</v>
      </c>
      <c r="P213" s="1258">
        <v>0</v>
      </c>
      <c r="Q213" s="1258">
        <v>0</v>
      </c>
      <c r="R213" s="1258">
        <v>0</v>
      </c>
      <c r="S213" s="1258">
        <v>0</v>
      </c>
      <c r="T213" s="1258">
        <v>0</v>
      </c>
      <c r="U213" s="1258">
        <v>0</v>
      </c>
      <c r="V213" s="1258">
        <v>0</v>
      </c>
      <c r="W213" s="1258">
        <v>0</v>
      </c>
      <c r="X213" s="1258">
        <v>0</v>
      </c>
      <c r="Y213" s="1258">
        <v>0</v>
      </c>
      <c r="Z213" s="1258">
        <v>0</v>
      </c>
      <c r="AA213" s="1258">
        <v>0</v>
      </c>
      <c r="AB213" s="1258">
        <v>32.75</v>
      </c>
      <c r="AC213" s="1258">
        <v>31.5</v>
      </c>
      <c r="AD213" s="1258">
        <v>30.35</v>
      </c>
      <c r="AE213" s="1258">
        <v>29.3</v>
      </c>
      <c r="AF213" s="1258">
        <v>28.35</v>
      </c>
      <c r="AG213" s="1258">
        <v>27.45</v>
      </c>
      <c r="CO213" s="1283">
        <v>45</v>
      </c>
      <c r="CP213" s="1246">
        <v>1.5</v>
      </c>
      <c r="CQ213" s="1246">
        <v>1.85</v>
      </c>
      <c r="CR213" s="1246">
        <v>2.25</v>
      </c>
      <c r="CS213" s="1246">
        <v>2.65</v>
      </c>
      <c r="CT213" s="1246">
        <v>3.15</v>
      </c>
      <c r="CU213" s="1246">
        <v>3.6</v>
      </c>
      <c r="CV213" s="1246">
        <v>4.1500000000000004</v>
      </c>
      <c r="CW213" s="1246">
        <v>4.7</v>
      </c>
      <c r="CX213" s="1246">
        <v>5.3</v>
      </c>
      <c r="CY213" s="1246">
        <v>5.95</v>
      </c>
      <c r="CZ213" s="1246">
        <v>6.6</v>
      </c>
      <c r="DA213" s="1246">
        <v>7.25</v>
      </c>
      <c r="DB213" s="1246">
        <v>7.95</v>
      </c>
      <c r="DC213" s="1246">
        <v>8.65</v>
      </c>
      <c r="DD213" s="1246">
        <v>9.4</v>
      </c>
      <c r="DE213" s="1246">
        <v>10.1</v>
      </c>
      <c r="DG213" s="1267">
        <v>50</v>
      </c>
      <c r="DH213" s="1268">
        <v>1.1000000000000001</v>
      </c>
      <c r="DI213" s="1268">
        <v>1.2</v>
      </c>
      <c r="DJ213" s="1268">
        <v>1.25</v>
      </c>
      <c r="DK213" s="1270">
        <v>1.35</v>
      </c>
      <c r="DL213" s="1269">
        <v>1.45</v>
      </c>
      <c r="DM213" s="1268">
        <v>1.55</v>
      </c>
      <c r="DN213" s="1270">
        <v>1.65</v>
      </c>
      <c r="DO213" s="1268">
        <v>1.75</v>
      </c>
      <c r="DP213" s="1269">
        <v>1.85</v>
      </c>
      <c r="DQ213" s="1286" t="s">
        <v>39</v>
      </c>
      <c r="DR213" s="1286" t="s">
        <v>39</v>
      </c>
      <c r="DS213" s="1286" t="s">
        <v>39</v>
      </c>
      <c r="DT213" s="1286" t="s">
        <v>39</v>
      </c>
      <c r="DU213" s="1286" t="s">
        <v>39</v>
      </c>
      <c r="DV213" s="1242" t="s">
        <v>39</v>
      </c>
      <c r="DW213" s="1242" t="s">
        <v>39</v>
      </c>
      <c r="DX213" s="1242" t="s">
        <v>39</v>
      </c>
      <c r="DY213" s="1242" t="s">
        <v>39</v>
      </c>
      <c r="DZ213" s="1242" t="s">
        <v>39</v>
      </c>
      <c r="EA213" s="1242" t="s">
        <v>39</v>
      </c>
      <c r="EB213" s="1242" t="s">
        <v>39</v>
      </c>
      <c r="EC213" s="1242" t="s">
        <v>39</v>
      </c>
      <c r="ED213" s="1242" t="s">
        <v>39</v>
      </c>
      <c r="EE213" s="1242" t="s">
        <v>39</v>
      </c>
      <c r="EF213" s="1242" t="s">
        <v>39</v>
      </c>
      <c r="EG213" s="1242" t="s">
        <v>39</v>
      </c>
      <c r="EH213" s="1242" t="s">
        <v>39</v>
      </c>
      <c r="EI213" s="1242" t="s">
        <v>39</v>
      </c>
      <c r="EJ213" s="1242" t="s">
        <v>39</v>
      </c>
    </row>
    <row r="214" spans="2:140" ht="15" customHeight="1">
      <c r="B214" s="1208">
        <v>26</v>
      </c>
      <c r="C214" s="1258">
        <v>0</v>
      </c>
      <c r="D214" s="1258">
        <v>0</v>
      </c>
      <c r="E214" s="1258">
        <v>0</v>
      </c>
      <c r="F214" s="1258">
        <v>0</v>
      </c>
      <c r="G214" s="1258">
        <v>0</v>
      </c>
      <c r="H214" s="1258">
        <v>0</v>
      </c>
      <c r="I214" s="1258">
        <v>0</v>
      </c>
      <c r="J214" s="1258">
        <v>0</v>
      </c>
      <c r="K214" s="1258">
        <v>0</v>
      </c>
      <c r="L214" s="1258">
        <v>0</v>
      </c>
      <c r="M214" s="1258">
        <v>0</v>
      </c>
      <c r="N214" s="1258">
        <v>0</v>
      </c>
      <c r="O214" s="1258">
        <v>0</v>
      </c>
      <c r="P214" s="1258">
        <v>0</v>
      </c>
      <c r="Q214" s="1258">
        <v>0</v>
      </c>
      <c r="R214" s="1258">
        <v>0</v>
      </c>
      <c r="S214" s="1258">
        <v>0</v>
      </c>
      <c r="T214" s="1258">
        <v>0</v>
      </c>
      <c r="U214" s="1258">
        <v>0</v>
      </c>
      <c r="V214" s="1258">
        <v>0</v>
      </c>
      <c r="W214" s="1258">
        <v>0</v>
      </c>
      <c r="X214" s="1258">
        <v>0</v>
      </c>
      <c r="Y214" s="1258">
        <v>0</v>
      </c>
      <c r="Z214" s="1258">
        <v>0</v>
      </c>
      <c r="AA214" s="1258">
        <v>34.15</v>
      </c>
      <c r="AB214" s="1258">
        <v>32.85</v>
      </c>
      <c r="AC214" s="1258">
        <v>31.6</v>
      </c>
      <c r="AD214" s="1258">
        <v>30.5</v>
      </c>
      <c r="AE214" s="1258">
        <v>29.45</v>
      </c>
      <c r="AF214" s="1258">
        <v>28.5</v>
      </c>
      <c r="AG214" s="1258">
        <v>27.6</v>
      </c>
      <c r="CO214" s="1282">
        <v>46</v>
      </c>
      <c r="CP214" s="1246">
        <v>1.65</v>
      </c>
      <c r="CQ214" s="1246">
        <v>2.0499999999999998</v>
      </c>
      <c r="CR214" s="1246">
        <v>2.4500000000000002</v>
      </c>
      <c r="CS214" s="1246">
        <v>2.9</v>
      </c>
      <c r="CT214" s="1246">
        <v>3.4</v>
      </c>
      <c r="CU214" s="1246">
        <v>3.95</v>
      </c>
      <c r="CV214" s="1246">
        <v>4.55</v>
      </c>
      <c r="CW214" s="1246">
        <v>5.15</v>
      </c>
      <c r="CX214" s="1246">
        <v>5.8</v>
      </c>
      <c r="CY214" s="1246">
        <v>6.45</v>
      </c>
      <c r="CZ214" s="1246">
        <v>7.15</v>
      </c>
      <c r="DA214" s="1246">
        <v>7.85</v>
      </c>
      <c r="DB214" s="1246">
        <v>8.6</v>
      </c>
      <c r="DC214" s="1246">
        <v>9.35</v>
      </c>
      <c r="DD214" s="1246">
        <v>10.1</v>
      </c>
      <c r="DE214" s="1246">
        <v>10.85</v>
      </c>
      <c r="DG214" s="1267">
        <v>51</v>
      </c>
      <c r="DH214" s="1268">
        <v>1.2</v>
      </c>
      <c r="DI214" s="1268">
        <v>1.3</v>
      </c>
      <c r="DJ214" s="1268">
        <v>1.4</v>
      </c>
      <c r="DK214" s="1270">
        <v>1.5</v>
      </c>
      <c r="DL214" s="1269">
        <v>1.6</v>
      </c>
      <c r="DM214" s="1268">
        <v>1.7</v>
      </c>
      <c r="DN214" s="1270">
        <v>1.8</v>
      </c>
      <c r="DO214" s="1268">
        <v>1.9</v>
      </c>
      <c r="DP214" s="1286" t="s">
        <v>39</v>
      </c>
      <c r="DQ214" s="1286" t="s">
        <v>39</v>
      </c>
      <c r="DR214" s="1286" t="s">
        <v>39</v>
      </c>
      <c r="DS214" s="1286" t="s">
        <v>39</v>
      </c>
      <c r="DT214" s="1286" t="s">
        <v>39</v>
      </c>
      <c r="DU214" s="1286" t="s">
        <v>39</v>
      </c>
      <c r="DV214" s="1242" t="s">
        <v>39</v>
      </c>
      <c r="DW214" s="1242" t="s">
        <v>39</v>
      </c>
      <c r="DX214" s="1242" t="s">
        <v>39</v>
      </c>
      <c r="DY214" s="1242" t="s">
        <v>39</v>
      </c>
      <c r="DZ214" s="1242" t="s">
        <v>39</v>
      </c>
      <c r="EA214" s="1242" t="s">
        <v>39</v>
      </c>
      <c r="EB214" s="1242" t="s">
        <v>39</v>
      </c>
      <c r="EC214" s="1242" t="s">
        <v>39</v>
      </c>
      <c r="ED214" s="1242" t="s">
        <v>39</v>
      </c>
      <c r="EE214" s="1242" t="s">
        <v>39</v>
      </c>
      <c r="EF214" s="1242" t="s">
        <v>39</v>
      </c>
      <c r="EG214" s="1242" t="s">
        <v>39</v>
      </c>
      <c r="EH214" s="1242" t="s">
        <v>39</v>
      </c>
      <c r="EI214" s="1242" t="s">
        <v>39</v>
      </c>
      <c r="EJ214" s="1242" t="s">
        <v>39</v>
      </c>
    </row>
    <row r="215" spans="2:140" ht="15" customHeight="1">
      <c r="B215" s="1208">
        <v>27</v>
      </c>
      <c r="C215" s="1258">
        <v>0</v>
      </c>
      <c r="D215" s="1258">
        <v>0</v>
      </c>
      <c r="E215" s="1258">
        <v>0</v>
      </c>
      <c r="F215" s="1258">
        <v>0</v>
      </c>
      <c r="G215" s="1258">
        <v>0</v>
      </c>
      <c r="H215" s="1258">
        <v>0</v>
      </c>
      <c r="I215" s="1258">
        <v>0</v>
      </c>
      <c r="J215" s="1258">
        <v>0</v>
      </c>
      <c r="K215" s="1258">
        <v>0</v>
      </c>
      <c r="L215" s="1258">
        <v>0</v>
      </c>
      <c r="M215" s="1258">
        <v>0</v>
      </c>
      <c r="N215" s="1258">
        <v>0</v>
      </c>
      <c r="O215" s="1258">
        <v>0</v>
      </c>
      <c r="P215" s="1258">
        <v>0</v>
      </c>
      <c r="Q215" s="1258">
        <v>0</v>
      </c>
      <c r="R215" s="1258">
        <v>0</v>
      </c>
      <c r="S215" s="1258">
        <v>0</v>
      </c>
      <c r="T215" s="1258">
        <v>0</v>
      </c>
      <c r="U215" s="1258">
        <v>0</v>
      </c>
      <c r="V215" s="1258">
        <v>0</v>
      </c>
      <c r="W215" s="1258">
        <v>0</v>
      </c>
      <c r="X215" s="1258">
        <v>0</v>
      </c>
      <c r="Y215" s="1258">
        <v>0</v>
      </c>
      <c r="Z215" s="1258">
        <v>35.700000000000003</v>
      </c>
      <c r="AA215" s="1258">
        <v>34.25</v>
      </c>
      <c r="AB215" s="1258">
        <v>32.950000000000003</v>
      </c>
      <c r="AC215" s="1258">
        <v>31.75</v>
      </c>
      <c r="AD215" s="1258">
        <v>30.65</v>
      </c>
      <c r="AE215" s="1258">
        <v>29.6</v>
      </c>
      <c r="AF215" s="1258">
        <v>28.65</v>
      </c>
      <c r="AG215" s="1258">
        <v>27.75</v>
      </c>
      <c r="CO215" s="1283">
        <v>47</v>
      </c>
      <c r="CP215" s="1246">
        <v>1.8</v>
      </c>
      <c r="CQ215" s="1246">
        <v>2.25</v>
      </c>
      <c r="CR215" s="1246">
        <v>2.7</v>
      </c>
      <c r="CS215" s="1246">
        <v>3.2</v>
      </c>
      <c r="CT215" s="1246">
        <v>3.75</v>
      </c>
      <c r="CU215" s="1246">
        <v>4.3</v>
      </c>
      <c r="CV215" s="1246">
        <v>4.95</v>
      </c>
      <c r="CW215" s="1246">
        <v>5.6</v>
      </c>
      <c r="CX215" s="1246">
        <v>6.25</v>
      </c>
      <c r="CY215" s="1246">
        <v>6.95</v>
      </c>
      <c r="CZ215" s="1246">
        <v>7.7</v>
      </c>
      <c r="DA215" s="1246">
        <v>8.4499999999999993</v>
      </c>
      <c r="DB215" s="1246">
        <v>9.1999999999999993</v>
      </c>
      <c r="DC215" s="1246">
        <v>10</v>
      </c>
      <c r="DD215" s="1246">
        <v>10.8</v>
      </c>
      <c r="DE215" s="1246">
        <v>11.6</v>
      </c>
      <c r="DG215" s="1267">
        <v>52</v>
      </c>
      <c r="DH215" s="1268">
        <v>1.3</v>
      </c>
      <c r="DI215" s="1268">
        <v>1.45</v>
      </c>
      <c r="DJ215" s="1268">
        <v>1.55</v>
      </c>
      <c r="DK215" s="1270">
        <v>1.65</v>
      </c>
      <c r="DL215" s="1269">
        <v>1.75</v>
      </c>
      <c r="DM215" s="1268">
        <v>1.9</v>
      </c>
      <c r="DN215" s="1270">
        <v>2</v>
      </c>
      <c r="DO215" s="1286" t="s">
        <v>39</v>
      </c>
      <c r="DP215" s="1286" t="s">
        <v>39</v>
      </c>
      <c r="DQ215" s="1286" t="s">
        <v>39</v>
      </c>
      <c r="DR215" s="1286" t="s">
        <v>39</v>
      </c>
      <c r="DS215" s="1286" t="s">
        <v>39</v>
      </c>
      <c r="DT215" s="1286" t="s">
        <v>39</v>
      </c>
      <c r="DU215" s="1286" t="s">
        <v>39</v>
      </c>
      <c r="DV215" s="1242" t="s">
        <v>39</v>
      </c>
      <c r="DW215" s="1242" t="s">
        <v>39</v>
      </c>
      <c r="DX215" s="1242" t="s">
        <v>39</v>
      </c>
      <c r="DY215" s="1242" t="s">
        <v>39</v>
      </c>
      <c r="DZ215" s="1242" t="s">
        <v>39</v>
      </c>
      <c r="EA215" s="1242" t="s">
        <v>39</v>
      </c>
      <c r="EB215" s="1242" t="s">
        <v>39</v>
      </c>
      <c r="EC215" s="1242" t="s">
        <v>39</v>
      </c>
      <c r="ED215" s="1242" t="s">
        <v>39</v>
      </c>
      <c r="EE215" s="1242" t="s">
        <v>39</v>
      </c>
      <c r="EF215" s="1242" t="s">
        <v>39</v>
      </c>
      <c r="EG215" s="1242" t="s">
        <v>39</v>
      </c>
      <c r="EH215" s="1242" t="s">
        <v>39</v>
      </c>
      <c r="EI215" s="1242" t="s">
        <v>39</v>
      </c>
      <c r="EJ215" s="1242" t="s">
        <v>39</v>
      </c>
    </row>
    <row r="216" spans="2:140" ht="15" customHeight="1">
      <c r="B216" s="1208">
        <v>28</v>
      </c>
      <c r="C216" s="1258">
        <v>0</v>
      </c>
      <c r="D216" s="1258">
        <v>0</v>
      </c>
      <c r="E216" s="1258">
        <v>0</v>
      </c>
      <c r="F216" s="1258">
        <v>0</v>
      </c>
      <c r="G216" s="1258">
        <v>0</v>
      </c>
      <c r="H216" s="1258">
        <v>0</v>
      </c>
      <c r="I216" s="1258">
        <v>0</v>
      </c>
      <c r="J216" s="1258">
        <v>0</v>
      </c>
      <c r="K216" s="1258">
        <v>0</v>
      </c>
      <c r="L216" s="1258">
        <v>0</v>
      </c>
      <c r="M216" s="1258">
        <v>0</v>
      </c>
      <c r="N216" s="1258">
        <v>0</v>
      </c>
      <c r="O216" s="1258">
        <v>0</v>
      </c>
      <c r="P216" s="1258">
        <v>0</v>
      </c>
      <c r="Q216" s="1258">
        <v>0</v>
      </c>
      <c r="R216" s="1258">
        <v>0</v>
      </c>
      <c r="S216" s="1258">
        <v>0</v>
      </c>
      <c r="T216" s="1258">
        <v>0</v>
      </c>
      <c r="U216" s="1258">
        <v>0</v>
      </c>
      <c r="V216" s="1258">
        <v>0</v>
      </c>
      <c r="W216" s="1258">
        <v>0</v>
      </c>
      <c r="X216" s="1258">
        <v>0</v>
      </c>
      <c r="Y216" s="1258">
        <v>37.35</v>
      </c>
      <c r="Z216" s="1258">
        <v>35.799999999999997</v>
      </c>
      <c r="AA216" s="1258">
        <v>34.4</v>
      </c>
      <c r="AB216" s="1258">
        <v>33.1</v>
      </c>
      <c r="AC216" s="1258">
        <v>31.9</v>
      </c>
      <c r="AD216" s="1258">
        <v>30.8</v>
      </c>
      <c r="AE216" s="1258">
        <v>29.75</v>
      </c>
      <c r="AF216" s="1258">
        <v>28.85</v>
      </c>
      <c r="AG216" s="1258">
        <v>27.95</v>
      </c>
      <c r="CO216" s="1282">
        <v>48</v>
      </c>
      <c r="CP216" s="1246">
        <v>2</v>
      </c>
      <c r="CQ216" s="1246">
        <v>2.4500000000000002</v>
      </c>
      <c r="CR216" s="1246">
        <v>2.95</v>
      </c>
      <c r="CS216" s="1246">
        <v>3.5</v>
      </c>
      <c r="CT216" s="1246">
        <v>4.0999999999999996</v>
      </c>
      <c r="CU216" s="1246">
        <v>4.7</v>
      </c>
      <c r="CV216" s="1246">
        <v>5.35</v>
      </c>
      <c r="CW216" s="1246">
        <v>6.05</v>
      </c>
      <c r="CX216" s="1246">
        <v>6.75</v>
      </c>
      <c r="CY216" s="1246">
        <v>7.5</v>
      </c>
      <c r="CZ216" s="1246">
        <v>8.3000000000000007</v>
      </c>
      <c r="DA216" s="1246">
        <v>9.1</v>
      </c>
      <c r="DB216" s="1246">
        <v>9.9</v>
      </c>
      <c r="DC216" s="1246">
        <v>10.7</v>
      </c>
      <c r="DD216" s="1246">
        <v>11.55</v>
      </c>
      <c r="DE216" s="1246">
        <v>12.4</v>
      </c>
      <c r="DG216" s="1267">
        <v>53</v>
      </c>
      <c r="DH216" s="1268">
        <v>1.45</v>
      </c>
      <c r="DI216" s="1268">
        <v>1.55</v>
      </c>
      <c r="DJ216" s="1268">
        <v>1.7</v>
      </c>
      <c r="DK216" s="1270">
        <v>1.8</v>
      </c>
      <c r="DL216" s="1269">
        <v>1.95</v>
      </c>
      <c r="DM216" s="1268">
        <v>2.0499999999999998</v>
      </c>
      <c r="DN216" s="1286" t="s">
        <v>39</v>
      </c>
      <c r="DO216" s="1286" t="s">
        <v>39</v>
      </c>
      <c r="DP216" s="1286" t="s">
        <v>39</v>
      </c>
      <c r="DQ216" s="1286" t="s">
        <v>39</v>
      </c>
      <c r="DR216" s="1286" t="s">
        <v>39</v>
      </c>
      <c r="DS216" s="1286" t="s">
        <v>39</v>
      </c>
      <c r="DT216" s="1286" t="s">
        <v>39</v>
      </c>
      <c r="DU216" s="1286" t="s">
        <v>39</v>
      </c>
      <c r="DV216" s="1242" t="s">
        <v>39</v>
      </c>
      <c r="DW216" s="1242" t="s">
        <v>39</v>
      </c>
      <c r="DX216" s="1242" t="s">
        <v>39</v>
      </c>
      <c r="DY216" s="1242" t="s">
        <v>39</v>
      </c>
      <c r="DZ216" s="1242" t="s">
        <v>39</v>
      </c>
      <c r="EA216" s="1242" t="s">
        <v>39</v>
      </c>
      <c r="EB216" s="1242" t="s">
        <v>39</v>
      </c>
      <c r="EC216" s="1242" t="s">
        <v>39</v>
      </c>
      <c r="ED216" s="1242" t="s">
        <v>39</v>
      </c>
      <c r="EE216" s="1242" t="s">
        <v>39</v>
      </c>
      <c r="EF216" s="1242" t="s">
        <v>39</v>
      </c>
      <c r="EG216" s="1242" t="s">
        <v>39</v>
      </c>
      <c r="EH216" s="1242" t="s">
        <v>39</v>
      </c>
      <c r="EI216" s="1242" t="s">
        <v>39</v>
      </c>
      <c r="EJ216" s="1242" t="s">
        <v>39</v>
      </c>
    </row>
    <row r="217" spans="2:140" ht="15" customHeight="1">
      <c r="B217" s="1208">
        <v>29</v>
      </c>
      <c r="C217" s="1258">
        <v>0</v>
      </c>
      <c r="D217" s="1258">
        <v>0</v>
      </c>
      <c r="E217" s="1258">
        <v>0</v>
      </c>
      <c r="F217" s="1258">
        <v>0</v>
      </c>
      <c r="G217" s="1258">
        <v>0</v>
      </c>
      <c r="H217" s="1258">
        <v>0</v>
      </c>
      <c r="I217" s="1258">
        <v>0</v>
      </c>
      <c r="J217" s="1258">
        <v>0</v>
      </c>
      <c r="K217" s="1258">
        <v>0</v>
      </c>
      <c r="L217" s="1258">
        <v>0</v>
      </c>
      <c r="M217" s="1258">
        <v>0</v>
      </c>
      <c r="N217" s="1258">
        <v>0</v>
      </c>
      <c r="O217" s="1258">
        <v>0</v>
      </c>
      <c r="P217" s="1258">
        <v>0</v>
      </c>
      <c r="Q217" s="1258">
        <v>0</v>
      </c>
      <c r="R217" s="1258">
        <v>0</v>
      </c>
      <c r="S217" s="1258">
        <v>0</v>
      </c>
      <c r="T217" s="1258">
        <v>0</v>
      </c>
      <c r="U217" s="1258">
        <v>0</v>
      </c>
      <c r="V217" s="1258">
        <v>0</v>
      </c>
      <c r="W217" s="1258">
        <v>0</v>
      </c>
      <c r="X217" s="1258">
        <v>39.1</v>
      </c>
      <c r="Y217" s="1258">
        <v>37.450000000000003</v>
      </c>
      <c r="Z217" s="1258">
        <v>35.950000000000003</v>
      </c>
      <c r="AA217" s="1258">
        <v>34.549999999999997</v>
      </c>
      <c r="AB217" s="1258">
        <v>33.25</v>
      </c>
      <c r="AC217" s="1258">
        <v>32.1</v>
      </c>
      <c r="AD217" s="1258">
        <v>31</v>
      </c>
      <c r="AE217" s="1258">
        <v>29.95</v>
      </c>
      <c r="AF217" s="1258">
        <v>29.05</v>
      </c>
      <c r="AG217" s="1258">
        <v>28.15</v>
      </c>
      <c r="CO217" s="1283">
        <v>49</v>
      </c>
      <c r="CP217" s="1246">
        <v>2.2000000000000002</v>
      </c>
      <c r="CQ217" s="1246">
        <v>2.7</v>
      </c>
      <c r="CR217" s="1246">
        <v>3.2</v>
      </c>
      <c r="CS217" s="1246">
        <v>3.8</v>
      </c>
      <c r="CT217" s="1246">
        <v>4.4000000000000004</v>
      </c>
      <c r="CU217" s="1246">
        <v>5.0999999999999996</v>
      </c>
      <c r="CV217" s="1246">
        <v>5.8</v>
      </c>
      <c r="CW217" s="1246">
        <v>6.5</v>
      </c>
      <c r="CX217" s="1246">
        <v>7.3</v>
      </c>
      <c r="CY217" s="1246">
        <v>8.1</v>
      </c>
      <c r="CZ217" s="1246">
        <v>8.9</v>
      </c>
      <c r="DA217" s="1246">
        <v>9.75</v>
      </c>
      <c r="DB217" s="1246">
        <v>10.6</v>
      </c>
      <c r="DC217" s="1246">
        <v>11.45</v>
      </c>
      <c r="DD217" s="1246">
        <v>12.3</v>
      </c>
      <c r="DE217" s="1246">
        <v>13.15</v>
      </c>
      <c r="DG217" s="1267">
        <v>54</v>
      </c>
      <c r="DH217" s="1268">
        <v>1.6</v>
      </c>
      <c r="DI217" s="1268">
        <v>1.7</v>
      </c>
      <c r="DJ217" s="1268">
        <v>1.85</v>
      </c>
      <c r="DK217" s="1270">
        <v>2</v>
      </c>
      <c r="DL217" s="1269">
        <v>2.15</v>
      </c>
      <c r="DM217" s="1286" t="s">
        <v>39</v>
      </c>
      <c r="DN217" s="1286" t="s">
        <v>39</v>
      </c>
      <c r="DO217" s="1286" t="s">
        <v>39</v>
      </c>
      <c r="DP217" s="1286" t="s">
        <v>39</v>
      </c>
      <c r="DQ217" s="1286" t="s">
        <v>39</v>
      </c>
      <c r="DR217" s="1286" t="s">
        <v>39</v>
      </c>
      <c r="DS217" s="1286" t="s">
        <v>39</v>
      </c>
      <c r="DT217" s="1286" t="s">
        <v>39</v>
      </c>
      <c r="DU217" s="1286" t="s">
        <v>39</v>
      </c>
      <c r="DV217" s="1242" t="s">
        <v>39</v>
      </c>
      <c r="DW217" s="1242" t="s">
        <v>39</v>
      </c>
      <c r="DX217" s="1242" t="s">
        <v>39</v>
      </c>
      <c r="DY217" s="1242" t="s">
        <v>39</v>
      </c>
      <c r="DZ217" s="1242" t="s">
        <v>39</v>
      </c>
      <c r="EA217" s="1242" t="s">
        <v>39</v>
      </c>
      <c r="EB217" s="1242" t="s">
        <v>39</v>
      </c>
      <c r="EC217" s="1242" t="s">
        <v>39</v>
      </c>
      <c r="ED217" s="1242" t="s">
        <v>39</v>
      </c>
      <c r="EE217" s="1242" t="s">
        <v>39</v>
      </c>
      <c r="EF217" s="1242" t="s">
        <v>39</v>
      </c>
      <c r="EG217" s="1242" t="s">
        <v>39</v>
      </c>
      <c r="EH217" s="1242" t="s">
        <v>39</v>
      </c>
      <c r="EI217" s="1242" t="s">
        <v>39</v>
      </c>
      <c r="EJ217" s="1242" t="s">
        <v>39</v>
      </c>
    </row>
    <row r="218" spans="2:140" ht="15" customHeight="1">
      <c r="B218" s="1208">
        <v>30</v>
      </c>
      <c r="C218" s="1258">
        <v>0</v>
      </c>
      <c r="D218" s="1258">
        <v>0</v>
      </c>
      <c r="E218" s="1258">
        <v>0</v>
      </c>
      <c r="F218" s="1258">
        <v>0</v>
      </c>
      <c r="G218" s="1258">
        <v>0</v>
      </c>
      <c r="H218" s="1258">
        <v>0</v>
      </c>
      <c r="I218" s="1258">
        <v>0</v>
      </c>
      <c r="J218" s="1258">
        <v>0</v>
      </c>
      <c r="K218" s="1258">
        <v>0</v>
      </c>
      <c r="L218" s="1258">
        <v>0</v>
      </c>
      <c r="M218" s="1258">
        <v>0</v>
      </c>
      <c r="N218" s="1258">
        <v>0</v>
      </c>
      <c r="O218" s="1258">
        <v>0</v>
      </c>
      <c r="P218" s="1258">
        <v>0</v>
      </c>
      <c r="Q218" s="1258">
        <v>0</v>
      </c>
      <c r="R218" s="1258">
        <v>0</v>
      </c>
      <c r="S218" s="1258">
        <v>0</v>
      </c>
      <c r="T218" s="1258">
        <v>0</v>
      </c>
      <c r="U218" s="1258">
        <v>0</v>
      </c>
      <c r="V218" s="1258">
        <v>0</v>
      </c>
      <c r="W218" s="1258">
        <v>41.05</v>
      </c>
      <c r="X218" s="1258">
        <v>39.25</v>
      </c>
      <c r="Y218" s="1258">
        <v>37.6</v>
      </c>
      <c r="Z218" s="1258">
        <v>36.1</v>
      </c>
      <c r="AA218" s="1258">
        <v>34.75</v>
      </c>
      <c r="AB218" s="1258">
        <v>33.450000000000003</v>
      </c>
      <c r="AC218" s="1258">
        <v>32.25</v>
      </c>
      <c r="AD218" s="1258">
        <v>31.2</v>
      </c>
      <c r="AE218" s="1258">
        <v>30.2</v>
      </c>
      <c r="AF218" s="1258">
        <v>29.25</v>
      </c>
      <c r="AG218" s="1258">
        <v>28.4</v>
      </c>
      <c r="CO218" s="1282">
        <v>50</v>
      </c>
      <c r="CP218" s="1246">
        <v>2.4</v>
      </c>
      <c r="CQ218" s="1246">
        <v>2.9</v>
      </c>
      <c r="CR218" s="1246">
        <v>3.5</v>
      </c>
      <c r="CS218" s="1246">
        <v>4.0999999999999996</v>
      </c>
      <c r="CT218" s="1246">
        <v>4.8</v>
      </c>
      <c r="CU218" s="1246">
        <v>5.5</v>
      </c>
      <c r="CV218" s="1246">
        <v>6.25</v>
      </c>
      <c r="CW218" s="1246">
        <v>7</v>
      </c>
      <c r="CX218" s="1246">
        <v>7.8</v>
      </c>
      <c r="CY218" s="1246">
        <v>8.65</v>
      </c>
      <c r="CZ218" s="1246">
        <v>9.5</v>
      </c>
      <c r="DA218" s="1246">
        <v>10.4</v>
      </c>
      <c r="DB218" s="1246">
        <v>11.3</v>
      </c>
      <c r="DC218" s="1246">
        <v>12.2</v>
      </c>
      <c r="DD218" s="1246">
        <v>13.1</v>
      </c>
      <c r="DE218" s="1246">
        <v>13.95</v>
      </c>
      <c r="DG218" s="1267">
        <v>55</v>
      </c>
      <c r="DH218" s="1268">
        <v>1.75</v>
      </c>
      <c r="DI218" s="1268">
        <v>1.9</v>
      </c>
      <c r="DJ218" s="1268">
        <v>2</v>
      </c>
      <c r="DK218" s="1270">
        <v>2.2000000000000002</v>
      </c>
      <c r="DL218" s="1286" t="s">
        <v>39</v>
      </c>
      <c r="DM218" s="1286" t="s">
        <v>39</v>
      </c>
      <c r="DN218" s="1286" t="s">
        <v>39</v>
      </c>
      <c r="DO218" s="1286" t="s">
        <v>39</v>
      </c>
      <c r="DP218" s="1286" t="s">
        <v>39</v>
      </c>
      <c r="DQ218" s="1286" t="s">
        <v>39</v>
      </c>
      <c r="DR218" s="1286" t="s">
        <v>39</v>
      </c>
      <c r="DS218" s="1286" t="s">
        <v>39</v>
      </c>
      <c r="DT218" s="1286" t="s">
        <v>39</v>
      </c>
      <c r="DU218" s="1286" t="s">
        <v>39</v>
      </c>
      <c r="DV218" s="1242" t="s">
        <v>39</v>
      </c>
      <c r="DW218" s="1242" t="s">
        <v>39</v>
      </c>
      <c r="DX218" s="1242" t="s">
        <v>39</v>
      </c>
      <c r="DY218" s="1242" t="s">
        <v>39</v>
      </c>
      <c r="DZ218" s="1242" t="s">
        <v>39</v>
      </c>
      <c r="EA218" s="1242" t="s">
        <v>39</v>
      </c>
      <c r="EB218" s="1242" t="s">
        <v>39</v>
      </c>
      <c r="EC218" s="1242" t="s">
        <v>39</v>
      </c>
      <c r="ED218" s="1242" t="s">
        <v>39</v>
      </c>
      <c r="EE218" s="1242" t="s">
        <v>39</v>
      </c>
      <c r="EF218" s="1242" t="s">
        <v>39</v>
      </c>
      <c r="EG218" s="1242" t="s">
        <v>39</v>
      </c>
      <c r="EH218" s="1242" t="s">
        <v>39</v>
      </c>
      <c r="EI218" s="1242" t="s">
        <v>39</v>
      </c>
      <c r="EJ218" s="1242" t="s">
        <v>39</v>
      </c>
    </row>
    <row r="219" spans="2:140" ht="15" customHeight="1">
      <c r="B219" s="1208">
        <v>31</v>
      </c>
      <c r="C219" s="1258">
        <v>0</v>
      </c>
      <c r="D219" s="1258">
        <v>0</v>
      </c>
      <c r="E219" s="1258">
        <v>0</v>
      </c>
      <c r="F219" s="1258">
        <v>0</v>
      </c>
      <c r="G219" s="1258">
        <v>0</v>
      </c>
      <c r="H219" s="1258">
        <v>0</v>
      </c>
      <c r="I219" s="1258">
        <v>0</v>
      </c>
      <c r="J219" s="1258">
        <v>0</v>
      </c>
      <c r="K219" s="1258">
        <v>0</v>
      </c>
      <c r="L219" s="1258">
        <v>0</v>
      </c>
      <c r="M219" s="1258">
        <v>0</v>
      </c>
      <c r="N219" s="1258">
        <v>0</v>
      </c>
      <c r="O219" s="1258">
        <v>0</v>
      </c>
      <c r="P219" s="1258">
        <v>0</v>
      </c>
      <c r="Q219" s="1258">
        <v>0</v>
      </c>
      <c r="R219" s="1258">
        <v>0</v>
      </c>
      <c r="S219" s="1258">
        <v>0</v>
      </c>
      <c r="T219" s="1258">
        <v>0</v>
      </c>
      <c r="U219" s="1258">
        <v>0</v>
      </c>
      <c r="V219" s="1258">
        <v>43.15</v>
      </c>
      <c r="W219" s="1258">
        <v>41.2</v>
      </c>
      <c r="X219" s="1258">
        <v>39.4</v>
      </c>
      <c r="Y219" s="1258">
        <v>37.799999999999997</v>
      </c>
      <c r="Z219" s="1258">
        <v>36.299999999999997</v>
      </c>
      <c r="AA219" s="1258">
        <v>34.9</v>
      </c>
      <c r="AB219" s="1258">
        <v>33.65</v>
      </c>
      <c r="AC219" s="1258">
        <v>32.5</v>
      </c>
      <c r="AD219" s="1258">
        <v>31.4</v>
      </c>
      <c r="AE219" s="1258">
        <v>30.45</v>
      </c>
      <c r="AF219" s="1258">
        <v>29.55</v>
      </c>
      <c r="AG219" s="1258">
        <v>0</v>
      </c>
      <c r="CO219" s="1283">
        <v>51</v>
      </c>
      <c r="CP219" s="1246">
        <v>2.6</v>
      </c>
      <c r="CQ219" s="1246">
        <v>3.15</v>
      </c>
      <c r="CR219" s="1246">
        <v>3.8</v>
      </c>
      <c r="CS219" s="1246">
        <v>4.45</v>
      </c>
      <c r="CT219" s="1246">
        <v>5.15</v>
      </c>
      <c r="CU219" s="1246">
        <v>5.9</v>
      </c>
      <c r="CV219" s="1246">
        <v>6.7</v>
      </c>
      <c r="CW219" s="1246">
        <v>7.5</v>
      </c>
      <c r="CX219" s="1246">
        <v>8.4</v>
      </c>
      <c r="CY219" s="1246">
        <v>9.25</v>
      </c>
      <c r="CZ219" s="1246">
        <v>10.15</v>
      </c>
      <c r="DA219" s="1246">
        <v>11.05</v>
      </c>
      <c r="DB219" s="1246">
        <v>12</v>
      </c>
      <c r="DC219" s="1246">
        <v>12.95</v>
      </c>
      <c r="DD219" s="1246">
        <v>13.85</v>
      </c>
      <c r="DE219" s="1246" t="s">
        <v>39</v>
      </c>
      <c r="DG219" s="1267">
        <v>56</v>
      </c>
      <c r="DH219" s="1268">
        <v>1.9</v>
      </c>
      <c r="DI219" s="1268">
        <v>2.0499999999999998</v>
      </c>
      <c r="DJ219" s="1268">
        <v>2.2000000000000002</v>
      </c>
      <c r="DK219" s="1286" t="s">
        <v>39</v>
      </c>
      <c r="DL219" s="1286" t="s">
        <v>39</v>
      </c>
      <c r="DM219" s="1286" t="s">
        <v>39</v>
      </c>
      <c r="DN219" s="1286" t="s">
        <v>39</v>
      </c>
      <c r="DO219" s="1286" t="s">
        <v>39</v>
      </c>
      <c r="DP219" s="1286" t="s">
        <v>39</v>
      </c>
      <c r="DQ219" s="1286" t="s">
        <v>39</v>
      </c>
      <c r="DR219" s="1286" t="s">
        <v>39</v>
      </c>
      <c r="DS219" s="1286" t="s">
        <v>39</v>
      </c>
      <c r="DT219" s="1286" t="s">
        <v>39</v>
      </c>
      <c r="DU219" s="1286" t="s">
        <v>39</v>
      </c>
      <c r="DV219" s="1242" t="s">
        <v>39</v>
      </c>
      <c r="DW219" s="1242" t="s">
        <v>39</v>
      </c>
      <c r="DX219" s="1242" t="s">
        <v>39</v>
      </c>
      <c r="DY219" s="1242" t="s">
        <v>39</v>
      </c>
      <c r="DZ219" s="1242" t="s">
        <v>39</v>
      </c>
      <c r="EA219" s="1242" t="s">
        <v>39</v>
      </c>
      <c r="EB219" s="1242" t="s">
        <v>39</v>
      </c>
      <c r="EC219" s="1242" t="s">
        <v>39</v>
      </c>
      <c r="ED219" s="1242" t="s">
        <v>39</v>
      </c>
      <c r="EE219" s="1242" t="s">
        <v>39</v>
      </c>
      <c r="EF219" s="1242" t="s">
        <v>39</v>
      </c>
      <c r="EG219" s="1242" t="s">
        <v>39</v>
      </c>
      <c r="EH219" s="1242" t="s">
        <v>39</v>
      </c>
      <c r="EI219" s="1242" t="s">
        <v>39</v>
      </c>
      <c r="EJ219" s="1242" t="s">
        <v>39</v>
      </c>
    </row>
    <row r="220" spans="2:140" ht="15" customHeight="1">
      <c r="B220" s="1208">
        <v>32</v>
      </c>
      <c r="C220" s="1258">
        <v>0</v>
      </c>
      <c r="D220" s="1258">
        <v>0</v>
      </c>
      <c r="E220" s="1258">
        <v>0</v>
      </c>
      <c r="F220" s="1258">
        <v>0</v>
      </c>
      <c r="G220" s="1258">
        <v>0</v>
      </c>
      <c r="H220" s="1258">
        <v>0</v>
      </c>
      <c r="I220" s="1258">
        <v>0</v>
      </c>
      <c r="J220" s="1258">
        <v>0</v>
      </c>
      <c r="K220" s="1258">
        <v>0</v>
      </c>
      <c r="L220" s="1258">
        <v>0</v>
      </c>
      <c r="M220" s="1258">
        <v>0</v>
      </c>
      <c r="N220" s="1258">
        <v>0</v>
      </c>
      <c r="O220" s="1258">
        <v>0</v>
      </c>
      <c r="P220" s="1258">
        <v>0</v>
      </c>
      <c r="Q220" s="1258">
        <v>0</v>
      </c>
      <c r="R220" s="1258">
        <v>0</v>
      </c>
      <c r="S220" s="1258">
        <v>0</v>
      </c>
      <c r="T220" s="1258">
        <v>0</v>
      </c>
      <c r="U220" s="1258">
        <v>45.4</v>
      </c>
      <c r="V220" s="1258">
        <v>43.3</v>
      </c>
      <c r="W220" s="1258">
        <v>41.35</v>
      </c>
      <c r="X220" s="1258">
        <v>39.6</v>
      </c>
      <c r="Y220" s="1258">
        <v>38</v>
      </c>
      <c r="Z220" s="1258">
        <v>36.5</v>
      </c>
      <c r="AA220" s="1258">
        <v>35.15</v>
      </c>
      <c r="AB220" s="1258">
        <v>33.9</v>
      </c>
      <c r="AC220" s="1258">
        <v>32.75</v>
      </c>
      <c r="AD220" s="1258">
        <v>31.7</v>
      </c>
      <c r="AE220" s="1258">
        <v>30.7</v>
      </c>
      <c r="AF220" s="1258">
        <v>0</v>
      </c>
      <c r="AG220" s="1258">
        <v>0</v>
      </c>
      <c r="CO220" s="1282">
        <v>52</v>
      </c>
      <c r="CP220" s="1246">
        <v>2.8</v>
      </c>
      <c r="CQ220" s="1246">
        <v>3.4</v>
      </c>
      <c r="CR220" s="1246">
        <v>4.05</v>
      </c>
      <c r="CS220" s="1246">
        <v>4.8</v>
      </c>
      <c r="CT220" s="1246">
        <v>5.55</v>
      </c>
      <c r="CU220" s="1246">
        <v>6.35</v>
      </c>
      <c r="CV220" s="1246">
        <v>7.15</v>
      </c>
      <c r="CW220" s="1246">
        <v>8.0500000000000007</v>
      </c>
      <c r="CX220" s="1246">
        <v>8.9499999999999993</v>
      </c>
      <c r="CY220" s="1246">
        <v>9.85</v>
      </c>
      <c r="CZ220" s="1246">
        <v>10.8</v>
      </c>
      <c r="DA220" s="1246">
        <v>11.75</v>
      </c>
      <c r="DB220" s="1246">
        <v>12.7</v>
      </c>
      <c r="DC220" s="1246">
        <v>13.7</v>
      </c>
      <c r="DD220" s="1246" t="s">
        <v>39</v>
      </c>
      <c r="DE220" s="1246" t="s">
        <v>39</v>
      </c>
      <c r="DG220" s="1267">
        <v>57</v>
      </c>
      <c r="DH220" s="1268">
        <v>2.0499999999999998</v>
      </c>
      <c r="DI220" s="1268">
        <v>2.25</v>
      </c>
      <c r="DJ220" s="1286" t="s">
        <v>39</v>
      </c>
      <c r="DK220" s="1286" t="s">
        <v>39</v>
      </c>
      <c r="DL220" s="1286" t="s">
        <v>39</v>
      </c>
      <c r="DM220" s="1286" t="s">
        <v>39</v>
      </c>
      <c r="DN220" s="1286" t="s">
        <v>39</v>
      </c>
      <c r="DO220" s="1286" t="s">
        <v>39</v>
      </c>
      <c r="DP220" s="1286" t="s">
        <v>39</v>
      </c>
      <c r="DQ220" s="1286" t="s">
        <v>39</v>
      </c>
      <c r="DR220" s="1286" t="s">
        <v>39</v>
      </c>
      <c r="DS220" s="1286" t="s">
        <v>39</v>
      </c>
      <c r="DT220" s="1286" t="s">
        <v>39</v>
      </c>
      <c r="DU220" s="1286" t="s">
        <v>39</v>
      </c>
      <c r="DV220" s="1242" t="s">
        <v>39</v>
      </c>
      <c r="DW220" s="1242" t="s">
        <v>39</v>
      </c>
      <c r="DX220" s="1242" t="s">
        <v>39</v>
      </c>
      <c r="DY220" s="1242" t="s">
        <v>39</v>
      </c>
      <c r="DZ220" s="1242" t="s">
        <v>39</v>
      </c>
      <c r="EA220" s="1242" t="s">
        <v>39</v>
      </c>
      <c r="EB220" s="1242" t="s">
        <v>39</v>
      </c>
      <c r="EC220" s="1242" t="s">
        <v>39</v>
      </c>
      <c r="ED220" s="1242" t="s">
        <v>39</v>
      </c>
      <c r="EE220" s="1242" t="s">
        <v>39</v>
      </c>
      <c r="EF220" s="1242" t="s">
        <v>39</v>
      </c>
      <c r="EG220" s="1242" t="s">
        <v>39</v>
      </c>
      <c r="EH220" s="1242" t="s">
        <v>39</v>
      </c>
      <c r="EI220" s="1242" t="s">
        <v>39</v>
      </c>
      <c r="EJ220" s="1242" t="s">
        <v>39</v>
      </c>
    </row>
    <row r="221" spans="2:140" ht="15" customHeight="1">
      <c r="B221" s="1208">
        <v>33</v>
      </c>
      <c r="C221" s="1258">
        <v>0</v>
      </c>
      <c r="D221" s="1258">
        <v>0</v>
      </c>
      <c r="E221" s="1258">
        <v>0</v>
      </c>
      <c r="F221" s="1258">
        <v>0</v>
      </c>
      <c r="G221" s="1258">
        <v>0</v>
      </c>
      <c r="H221" s="1258">
        <v>0</v>
      </c>
      <c r="I221" s="1258">
        <v>0</v>
      </c>
      <c r="J221" s="1258">
        <v>0</v>
      </c>
      <c r="K221" s="1258">
        <v>0</v>
      </c>
      <c r="L221" s="1258">
        <v>0</v>
      </c>
      <c r="M221" s="1258">
        <v>0</v>
      </c>
      <c r="N221" s="1258">
        <v>0</v>
      </c>
      <c r="O221" s="1258">
        <v>0</v>
      </c>
      <c r="P221" s="1258">
        <v>0</v>
      </c>
      <c r="Q221" s="1258">
        <v>0</v>
      </c>
      <c r="R221" s="1258">
        <v>0</v>
      </c>
      <c r="S221" s="1258">
        <v>0</v>
      </c>
      <c r="T221" s="1258">
        <v>47.9</v>
      </c>
      <c r="U221" s="1258">
        <v>45.6</v>
      </c>
      <c r="V221" s="1258">
        <v>43.5</v>
      </c>
      <c r="W221" s="1258">
        <v>41.55</v>
      </c>
      <c r="X221" s="1258">
        <v>39.799999999999997</v>
      </c>
      <c r="Y221" s="1258">
        <v>38.200000000000003</v>
      </c>
      <c r="Z221" s="1258">
        <v>36.75</v>
      </c>
      <c r="AA221" s="1258">
        <v>35.4</v>
      </c>
      <c r="AB221" s="1258">
        <v>34.15</v>
      </c>
      <c r="AC221" s="1258">
        <v>33.049999999999997</v>
      </c>
      <c r="AD221" s="1258">
        <v>32</v>
      </c>
      <c r="AE221" s="1258">
        <v>0</v>
      </c>
      <c r="AF221" s="1258">
        <v>0</v>
      </c>
      <c r="AG221" s="1258">
        <v>0</v>
      </c>
      <c r="AM221" s="1205"/>
      <c r="AN221" s="1205"/>
      <c r="AO221" s="1205"/>
      <c r="AP221" s="1205"/>
      <c r="AQ221" s="1205"/>
      <c r="AR221" s="1205"/>
      <c r="AS221" s="1205"/>
      <c r="AT221" s="1205"/>
      <c r="AU221" s="1205"/>
      <c r="CO221" s="1283">
        <v>53</v>
      </c>
      <c r="CP221" s="1246">
        <v>3</v>
      </c>
      <c r="CQ221" s="1246">
        <v>3.65</v>
      </c>
      <c r="CR221" s="1246">
        <v>4.4000000000000004</v>
      </c>
      <c r="CS221" s="1246">
        <v>5.15</v>
      </c>
      <c r="CT221" s="1246">
        <v>5.95</v>
      </c>
      <c r="CU221" s="1246">
        <v>6.8</v>
      </c>
      <c r="CV221" s="1246">
        <v>7.65</v>
      </c>
      <c r="CW221" s="1246">
        <v>8.6</v>
      </c>
      <c r="CX221" s="1246">
        <v>9.5</v>
      </c>
      <c r="CY221" s="1246">
        <v>10.5</v>
      </c>
      <c r="CZ221" s="1246">
        <v>11.45</v>
      </c>
      <c r="DA221" s="1246">
        <v>12.45</v>
      </c>
      <c r="DB221" s="1246">
        <v>13.45</v>
      </c>
      <c r="DC221" s="1246" t="s">
        <v>39</v>
      </c>
      <c r="DD221" s="1246" t="s">
        <v>39</v>
      </c>
      <c r="DE221" s="1246" t="s">
        <v>39</v>
      </c>
      <c r="DG221" s="1267">
        <v>58</v>
      </c>
      <c r="DH221" s="1268">
        <v>2.25</v>
      </c>
      <c r="DI221" s="1286" t="s">
        <v>39</v>
      </c>
      <c r="DJ221" s="1286" t="s">
        <v>39</v>
      </c>
      <c r="DK221" s="1286" t="s">
        <v>39</v>
      </c>
      <c r="DL221" s="1286" t="s">
        <v>39</v>
      </c>
      <c r="DM221" s="1286" t="s">
        <v>39</v>
      </c>
      <c r="DN221" s="1286" t="s">
        <v>39</v>
      </c>
      <c r="DO221" s="1286" t="s">
        <v>39</v>
      </c>
      <c r="DP221" s="1286" t="s">
        <v>39</v>
      </c>
      <c r="DQ221" s="1286" t="s">
        <v>39</v>
      </c>
      <c r="DR221" s="1286" t="s">
        <v>39</v>
      </c>
      <c r="DS221" s="1286" t="s">
        <v>39</v>
      </c>
      <c r="DT221" s="1286" t="s">
        <v>39</v>
      </c>
      <c r="DU221" s="1286" t="s">
        <v>39</v>
      </c>
      <c r="DV221" s="1242" t="s">
        <v>39</v>
      </c>
      <c r="DW221" s="1242" t="s">
        <v>39</v>
      </c>
      <c r="DX221" s="1242" t="s">
        <v>39</v>
      </c>
      <c r="DY221" s="1242" t="s">
        <v>39</v>
      </c>
      <c r="DZ221" s="1242" t="s">
        <v>39</v>
      </c>
      <c r="EA221" s="1242" t="s">
        <v>39</v>
      </c>
      <c r="EB221" s="1242" t="s">
        <v>39</v>
      </c>
      <c r="EC221" s="1242" t="s">
        <v>39</v>
      </c>
      <c r="ED221" s="1242" t="s">
        <v>39</v>
      </c>
      <c r="EE221" s="1242" t="s">
        <v>39</v>
      </c>
      <c r="EF221" s="1242" t="s">
        <v>39</v>
      </c>
      <c r="EG221" s="1242" t="s">
        <v>39</v>
      </c>
      <c r="EH221" s="1242" t="s">
        <v>39</v>
      </c>
      <c r="EI221" s="1242" t="s">
        <v>39</v>
      </c>
      <c r="EJ221" s="1242" t="s">
        <v>39</v>
      </c>
    </row>
    <row r="222" spans="2:140" ht="15" customHeight="1">
      <c r="B222" s="1208">
        <v>34</v>
      </c>
      <c r="C222" s="1258">
        <v>0</v>
      </c>
      <c r="D222" s="1258">
        <v>0</v>
      </c>
      <c r="E222" s="1258">
        <v>0</v>
      </c>
      <c r="F222" s="1258">
        <v>0</v>
      </c>
      <c r="G222" s="1258">
        <v>0</v>
      </c>
      <c r="H222" s="1258">
        <v>0</v>
      </c>
      <c r="I222" s="1258">
        <v>0</v>
      </c>
      <c r="J222" s="1258">
        <v>0</v>
      </c>
      <c r="K222" s="1258">
        <v>0</v>
      </c>
      <c r="L222" s="1258">
        <v>0</v>
      </c>
      <c r="M222" s="1258">
        <v>0</v>
      </c>
      <c r="N222" s="1258">
        <v>0</v>
      </c>
      <c r="O222" s="1258">
        <v>0</v>
      </c>
      <c r="P222" s="1258">
        <v>0</v>
      </c>
      <c r="Q222" s="1258">
        <v>0</v>
      </c>
      <c r="R222" s="1258">
        <v>0</v>
      </c>
      <c r="S222" s="1258">
        <v>50.6</v>
      </c>
      <c r="T222" s="1258">
        <v>48.1</v>
      </c>
      <c r="U222" s="1258">
        <v>45.8</v>
      </c>
      <c r="V222" s="1258">
        <v>43.7</v>
      </c>
      <c r="W222" s="1258">
        <v>41.8</v>
      </c>
      <c r="X222" s="1258">
        <v>40.049999999999997</v>
      </c>
      <c r="Y222" s="1258">
        <v>38.5</v>
      </c>
      <c r="Z222" s="1258">
        <v>37</v>
      </c>
      <c r="AA222" s="1258">
        <v>35.700000000000003</v>
      </c>
      <c r="AB222" s="1258">
        <v>34.450000000000003</v>
      </c>
      <c r="AC222" s="1258">
        <v>33.35</v>
      </c>
      <c r="AD222" s="1258">
        <v>0</v>
      </c>
      <c r="AE222" s="1258">
        <v>0</v>
      </c>
      <c r="AF222" s="1258">
        <v>0</v>
      </c>
      <c r="AG222" s="1258">
        <v>0</v>
      </c>
      <c r="AL222" s="824" t="s">
        <v>38</v>
      </c>
      <c r="AM222" s="1205" t="e">
        <f t="shared" ref="AM222:AU222" si="33">LOOKUP($B$13,$AL225:$AL258,AM225:AM258)</f>
        <v>#REF!</v>
      </c>
      <c r="AN222" s="1205" t="e">
        <f t="shared" si="33"/>
        <v>#REF!</v>
      </c>
      <c r="AO222" s="1205" t="e">
        <f t="shared" si="33"/>
        <v>#REF!</v>
      </c>
      <c r="AP222" s="1205" t="e">
        <f t="shared" si="33"/>
        <v>#REF!</v>
      </c>
      <c r="AQ222" s="1205" t="e">
        <f t="shared" si="33"/>
        <v>#REF!</v>
      </c>
      <c r="AR222" s="1205" t="e">
        <f t="shared" si="33"/>
        <v>#REF!</v>
      </c>
      <c r="AS222" s="1205" t="e">
        <f t="shared" si="33"/>
        <v>#REF!</v>
      </c>
      <c r="AT222" s="1205" t="e">
        <f t="shared" si="33"/>
        <v>#REF!</v>
      </c>
      <c r="AU222" s="1205" t="e">
        <f t="shared" si="33"/>
        <v>#REF!</v>
      </c>
      <c r="CO222" s="1282">
        <v>54</v>
      </c>
      <c r="CP222" s="1246">
        <v>3.25</v>
      </c>
      <c r="CQ222" s="1246">
        <v>3.95</v>
      </c>
      <c r="CR222" s="1246">
        <v>4.7</v>
      </c>
      <c r="CS222" s="1246">
        <v>5.5</v>
      </c>
      <c r="CT222" s="1246">
        <v>6.35</v>
      </c>
      <c r="CU222" s="1246">
        <v>7.25</v>
      </c>
      <c r="CV222" s="1246">
        <v>8.15</v>
      </c>
      <c r="CW222" s="1246">
        <v>9.15</v>
      </c>
      <c r="CX222" s="1246">
        <v>10.1</v>
      </c>
      <c r="CY222" s="1246">
        <v>11.15</v>
      </c>
      <c r="CZ222" s="1246">
        <v>12.15</v>
      </c>
      <c r="DA222" s="1246">
        <v>13.15</v>
      </c>
      <c r="DB222" s="1246" t="s">
        <v>39</v>
      </c>
      <c r="DC222" s="1246" t="s">
        <v>39</v>
      </c>
      <c r="DD222" s="1246" t="s">
        <v>39</v>
      </c>
      <c r="DE222" s="1246" t="s">
        <v>39</v>
      </c>
      <c r="DG222" s="1267">
        <v>59</v>
      </c>
      <c r="DH222" s="1286" t="s">
        <v>39</v>
      </c>
      <c r="DI222" s="1286" t="s">
        <v>39</v>
      </c>
      <c r="DJ222" s="1286" t="s">
        <v>39</v>
      </c>
      <c r="DK222" s="1286" t="s">
        <v>39</v>
      </c>
      <c r="DL222" s="1286" t="s">
        <v>39</v>
      </c>
      <c r="DM222" s="1286" t="s">
        <v>39</v>
      </c>
      <c r="DN222" s="1286" t="s">
        <v>39</v>
      </c>
      <c r="DO222" s="1286" t="s">
        <v>39</v>
      </c>
      <c r="DP222" s="1286" t="s">
        <v>39</v>
      </c>
      <c r="DQ222" s="1286" t="s">
        <v>39</v>
      </c>
      <c r="DR222" s="1286" t="s">
        <v>39</v>
      </c>
      <c r="DS222" s="1286" t="s">
        <v>39</v>
      </c>
      <c r="DT222" s="1286" t="s">
        <v>39</v>
      </c>
      <c r="DU222" s="1286" t="s">
        <v>39</v>
      </c>
      <c r="DV222" s="1242" t="s">
        <v>39</v>
      </c>
      <c r="DW222" s="1242" t="s">
        <v>39</v>
      </c>
      <c r="DX222" s="1242" t="s">
        <v>39</v>
      </c>
      <c r="DY222" s="1242" t="s">
        <v>39</v>
      </c>
      <c r="DZ222" s="1242" t="s">
        <v>39</v>
      </c>
      <c r="EA222" s="1242" t="s">
        <v>39</v>
      </c>
      <c r="EB222" s="1242" t="s">
        <v>39</v>
      </c>
      <c r="EC222" s="1242" t="s">
        <v>39</v>
      </c>
      <c r="ED222" s="1242" t="s">
        <v>39</v>
      </c>
      <c r="EE222" s="1242" t="s">
        <v>39</v>
      </c>
      <c r="EF222" s="1242" t="s">
        <v>39</v>
      </c>
      <c r="EG222" s="1242" t="s">
        <v>39</v>
      </c>
      <c r="EH222" s="1242" t="s">
        <v>39</v>
      </c>
      <c r="EI222" s="1242" t="s">
        <v>39</v>
      </c>
      <c r="EJ222" s="1242" t="s">
        <v>39</v>
      </c>
    </row>
    <row r="223" spans="2:140" ht="15" customHeight="1">
      <c r="B223" s="1208">
        <v>35</v>
      </c>
      <c r="C223" s="1258">
        <v>0</v>
      </c>
      <c r="D223" s="1258">
        <v>0</v>
      </c>
      <c r="E223" s="1258">
        <v>0</v>
      </c>
      <c r="F223" s="1258">
        <v>0</v>
      </c>
      <c r="G223" s="1258">
        <v>0</v>
      </c>
      <c r="H223" s="1258">
        <v>0</v>
      </c>
      <c r="I223" s="1258">
        <v>0</v>
      </c>
      <c r="J223" s="1258">
        <v>0</v>
      </c>
      <c r="K223" s="1258">
        <v>0</v>
      </c>
      <c r="L223" s="1258">
        <v>0</v>
      </c>
      <c r="M223" s="1258">
        <v>0</v>
      </c>
      <c r="N223" s="1258">
        <v>0</v>
      </c>
      <c r="O223" s="1258">
        <v>0</v>
      </c>
      <c r="P223" s="1258">
        <v>0</v>
      </c>
      <c r="Q223" s="1258">
        <v>0</v>
      </c>
      <c r="R223" s="1258">
        <v>53.6</v>
      </c>
      <c r="S223" s="1258">
        <v>50.8</v>
      </c>
      <c r="T223" s="1258">
        <v>48.3</v>
      </c>
      <c r="U223" s="1258">
        <v>46</v>
      </c>
      <c r="V223" s="1258">
        <v>43.95</v>
      </c>
      <c r="W223" s="1258">
        <v>42.05</v>
      </c>
      <c r="X223" s="1258">
        <v>40.35</v>
      </c>
      <c r="Y223" s="1258">
        <v>38.75</v>
      </c>
      <c r="Z223" s="1258">
        <v>37.299999999999997</v>
      </c>
      <c r="AA223" s="1258">
        <v>36</v>
      </c>
      <c r="AB223" s="1258">
        <v>34.799999999999997</v>
      </c>
      <c r="AC223" s="1258">
        <v>0</v>
      </c>
      <c r="AD223" s="1258">
        <v>0</v>
      </c>
      <c r="AE223" s="1258">
        <v>0</v>
      </c>
      <c r="AF223" s="1258">
        <v>0</v>
      </c>
      <c r="AG223" s="1258">
        <v>0</v>
      </c>
      <c r="AM223" s="1205">
        <f t="shared" ref="AM223:AU223" si="34">LOOKUP($B$1,$AL225:$AL258,AM225:AM258)</f>
        <v>88.45</v>
      </c>
      <c r="AN223" s="1205">
        <f t="shared" si="34"/>
        <v>80.900000000000006</v>
      </c>
      <c r="AO223" s="1205">
        <f t="shared" si="34"/>
        <v>74.45</v>
      </c>
      <c r="AP223" s="1205">
        <f t="shared" si="34"/>
        <v>70</v>
      </c>
      <c r="AQ223" s="1205">
        <f t="shared" si="34"/>
        <v>65.099999999999994</v>
      </c>
      <c r="AR223" s="1205">
        <f t="shared" si="34"/>
        <v>60.8</v>
      </c>
      <c r="AS223" s="1205">
        <f t="shared" si="34"/>
        <v>57.05</v>
      </c>
      <c r="AT223" s="1205">
        <f t="shared" si="34"/>
        <v>53.7</v>
      </c>
      <c r="AU223" s="1205">
        <f t="shared" si="34"/>
        <v>50.75</v>
      </c>
      <c r="AX223" s="1205">
        <f>LOOKUP($B$1,$AW225:$AW272,AX225:AX272)</f>
        <v>89.65</v>
      </c>
      <c r="AY223" s="1205">
        <f t="shared" ref="AY223:BH223" si="35">LOOKUP($B$1,$AW225:$AW272,AY225:AY272)</f>
        <v>79.5</v>
      </c>
      <c r="AZ223" s="1205">
        <f t="shared" si="35"/>
        <v>71.2</v>
      </c>
      <c r="BA223" s="1205">
        <f t="shared" si="35"/>
        <v>64.25</v>
      </c>
      <c r="BB223" s="1205">
        <f t="shared" si="35"/>
        <v>58.4</v>
      </c>
      <c r="BC223" s="1205">
        <f t="shared" si="35"/>
        <v>54.25</v>
      </c>
      <c r="BD223" s="1205">
        <f t="shared" si="35"/>
        <v>49.85</v>
      </c>
      <c r="BE223" s="1205">
        <f t="shared" si="35"/>
        <v>46.05</v>
      </c>
      <c r="BF223" s="1205">
        <f t="shared" si="35"/>
        <v>42.7</v>
      </c>
      <c r="BG223" s="1205">
        <f t="shared" si="35"/>
        <v>39.799999999999997</v>
      </c>
      <c r="BH223" s="1205">
        <f t="shared" si="35"/>
        <v>37.200000000000003</v>
      </c>
      <c r="BL223" s="1205">
        <f>LOOKUP($B$1,$BK225:$BK272,BL225:BL272)</f>
        <v>89.6</v>
      </c>
      <c r="BM223" s="1205">
        <f t="shared" ref="BM223:BV223" si="36">LOOKUP($B$1,$BK225:$BK272,BM225:BM272)</f>
        <v>79.45</v>
      </c>
      <c r="BN223" s="1205">
        <f t="shared" si="36"/>
        <v>71.150000000000006</v>
      </c>
      <c r="BO223" s="1205">
        <f t="shared" si="36"/>
        <v>64.2</v>
      </c>
      <c r="BP223" s="1205">
        <f t="shared" si="36"/>
        <v>58.35</v>
      </c>
      <c r="BQ223" s="1205">
        <f t="shared" si="36"/>
        <v>54.2</v>
      </c>
      <c r="BR223" s="1205">
        <f t="shared" si="36"/>
        <v>49.8</v>
      </c>
      <c r="BS223" s="1205">
        <f t="shared" si="36"/>
        <v>45.95</v>
      </c>
      <c r="BT223" s="1205">
        <f t="shared" si="36"/>
        <v>42.65</v>
      </c>
      <c r="BU223" s="1205">
        <f t="shared" si="36"/>
        <v>39.700000000000003</v>
      </c>
      <c r="BV223" s="1205">
        <f t="shared" si="36"/>
        <v>37.15</v>
      </c>
      <c r="CO223" s="1283">
        <v>55</v>
      </c>
      <c r="CP223" s="1246">
        <v>3.5</v>
      </c>
      <c r="CQ223" s="1246">
        <v>4.2</v>
      </c>
      <c r="CR223" s="1246">
        <v>5</v>
      </c>
      <c r="CS223" s="1246">
        <v>5.85</v>
      </c>
      <c r="CT223" s="1246">
        <v>6.75</v>
      </c>
      <c r="CU223" s="1246">
        <v>7.7</v>
      </c>
      <c r="CV223" s="1246">
        <v>8.6999999999999993</v>
      </c>
      <c r="CW223" s="1246">
        <v>9.6999999999999993</v>
      </c>
      <c r="CX223" s="1246">
        <v>10.75</v>
      </c>
      <c r="CY223" s="1246">
        <v>11.8</v>
      </c>
      <c r="CZ223" s="1246">
        <v>12.85</v>
      </c>
      <c r="DA223" s="1246" t="s">
        <v>39</v>
      </c>
      <c r="DB223" s="1246" t="s">
        <v>39</v>
      </c>
      <c r="DC223" s="1246" t="s">
        <v>39</v>
      </c>
      <c r="DD223" s="1246" t="s">
        <v>39</v>
      </c>
      <c r="DE223" s="1246" t="s">
        <v>39</v>
      </c>
      <c r="DG223" s="1267">
        <v>60</v>
      </c>
      <c r="DH223" s="1286" t="s">
        <v>39</v>
      </c>
      <c r="DI223" s="1286" t="s">
        <v>39</v>
      </c>
      <c r="DJ223" s="1286" t="s">
        <v>39</v>
      </c>
      <c r="DK223" s="1286" t="s">
        <v>39</v>
      </c>
      <c r="DL223" s="1286" t="s">
        <v>39</v>
      </c>
      <c r="DM223" s="1286" t="s">
        <v>39</v>
      </c>
      <c r="DN223" s="1286" t="s">
        <v>39</v>
      </c>
      <c r="DO223" s="1286" t="s">
        <v>39</v>
      </c>
      <c r="DP223" s="1286" t="s">
        <v>39</v>
      </c>
      <c r="DQ223" s="1286" t="s">
        <v>39</v>
      </c>
      <c r="DR223" s="1286" t="s">
        <v>39</v>
      </c>
      <c r="DS223" s="1286" t="s">
        <v>39</v>
      </c>
      <c r="DT223" s="1286" t="s">
        <v>39</v>
      </c>
      <c r="DU223" s="1286" t="s">
        <v>39</v>
      </c>
      <c r="DV223" s="1242" t="s">
        <v>39</v>
      </c>
      <c r="DW223" s="1242" t="s">
        <v>39</v>
      </c>
      <c r="DX223" s="1242" t="s">
        <v>39</v>
      </c>
      <c r="DY223" s="1242" t="s">
        <v>39</v>
      </c>
      <c r="DZ223" s="1242" t="s">
        <v>39</v>
      </c>
      <c r="EA223" s="1242" t="s">
        <v>39</v>
      </c>
      <c r="EB223" s="1242" t="s">
        <v>39</v>
      </c>
      <c r="EC223" s="1242" t="s">
        <v>39</v>
      </c>
      <c r="ED223" s="1242" t="s">
        <v>39</v>
      </c>
      <c r="EE223" s="1242" t="s">
        <v>39</v>
      </c>
      <c r="EF223" s="1242" t="s">
        <v>39</v>
      </c>
      <c r="EG223" s="1242" t="s">
        <v>39</v>
      </c>
      <c r="EH223" s="1242" t="s">
        <v>39</v>
      </c>
      <c r="EI223" s="1242" t="s">
        <v>39</v>
      </c>
      <c r="EJ223" s="1242" t="s">
        <v>39</v>
      </c>
    </row>
    <row r="224" spans="2:140" ht="15" customHeight="1">
      <c r="B224" s="1208">
        <v>36</v>
      </c>
      <c r="C224" s="1258">
        <v>0</v>
      </c>
      <c r="D224" s="1258">
        <v>0</v>
      </c>
      <c r="E224" s="1258">
        <v>0</v>
      </c>
      <c r="F224" s="1258">
        <v>0</v>
      </c>
      <c r="G224" s="1258">
        <v>0</v>
      </c>
      <c r="H224" s="1258">
        <v>0</v>
      </c>
      <c r="I224" s="1258">
        <v>0</v>
      </c>
      <c r="J224" s="1258">
        <v>0</v>
      </c>
      <c r="K224" s="1258">
        <v>0</v>
      </c>
      <c r="L224" s="1258">
        <v>0</v>
      </c>
      <c r="M224" s="1258">
        <v>0</v>
      </c>
      <c r="N224" s="1258">
        <v>0</v>
      </c>
      <c r="O224" s="1258">
        <v>0</v>
      </c>
      <c r="P224" s="1258">
        <v>0</v>
      </c>
      <c r="Q224" s="1258">
        <v>56.9</v>
      </c>
      <c r="R224" s="1258">
        <v>53.85</v>
      </c>
      <c r="S224" s="1258">
        <v>51.05</v>
      </c>
      <c r="T224" s="1258">
        <v>48.55</v>
      </c>
      <c r="U224" s="1258">
        <v>46.25</v>
      </c>
      <c r="V224" s="1258">
        <v>44.2</v>
      </c>
      <c r="W224" s="1258">
        <v>42.35</v>
      </c>
      <c r="X224" s="1258">
        <v>40.65</v>
      </c>
      <c r="Y224" s="1258">
        <v>39.049999999999997</v>
      </c>
      <c r="Z224" s="1258">
        <v>37.65</v>
      </c>
      <c r="AA224" s="1258">
        <v>36.35</v>
      </c>
      <c r="AB224" s="1258">
        <v>0</v>
      </c>
      <c r="AC224" s="1258">
        <v>0</v>
      </c>
      <c r="AD224" s="1258">
        <v>0</v>
      </c>
      <c r="AE224" s="1258">
        <v>0</v>
      </c>
      <c r="AF224" s="1258">
        <v>0</v>
      </c>
      <c r="AG224" s="1258">
        <v>0</v>
      </c>
      <c r="AL224" s="832">
        <v>838</v>
      </c>
      <c r="AM224" s="832">
        <v>12</v>
      </c>
      <c r="AN224" s="832">
        <v>13</v>
      </c>
      <c r="AO224" s="832">
        <v>14</v>
      </c>
      <c r="AP224" s="832">
        <v>15</v>
      </c>
      <c r="AQ224" s="832">
        <v>16</v>
      </c>
      <c r="AR224" s="832">
        <v>17</v>
      </c>
      <c r="AS224" s="832">
        <v>18</v>
      </c>
      <c r="AT224" s="832">
        <v>19</v>
      </c>
      <c r="AU224" s="832">
        <v>20</v>
      </c>
      <c r="AW224" s="832">
        <v>843</v>
      </c>
      <c r="AX224" s="1295">
        <v>10</v>
      </c>
      <c r="AY224" s="1295">
        <v>11</v>
      </c>
      <c r="AZ224" s="1295">
        <v>12</v>
      </c>
      <c r="BA224" s="1295">
        <v>13</v>
      </c>
      <c r="BB224" s="1295">
        <v>14</v>
      </c>
      <c r="BC224" s="1295">
        <v>15</v>
      </c>
      <c r="BD224" s="1295">
        <v>16</v>
      </c>
      <c r="BE224" s="1295">
        <v>17</v>
      </c>
      <c r="BF224" s="1295">
        <v>18</v>
      </c>
      <c r="BG224" s="1295">
        <v>19</v>
      </c>
      <c r="BH224" s="1295">
        <v>20</v>
      </c>
      <c r="BK224" s="1250">
        <v>844</v>
      </c>
      <c r="BL224" s="1295">
        <v>10</v>
      </c>
      <c r="BM224" s="1295">
        <v>11</v>
      </c>
      <c r="BN224" s="1295">
        <v>12</v>
      </c>
      <c r="BO224" s="1295">
        <v>13</v>
      </c>
      <c r="BP224" s="1295">
        <v>14</v>
      </c>
      <c r="BQ224" s="1295">
        <v>15</v>
      </c>
      <c r="BR224" s="1295">
        <v>16</v>
      </c>
      <c r="BS224" s="1295">
        <v>17</v>
      </c>
      <c r="BT224" s="1295">
        <v>18</v>
      </c>
      <c r="BU224" s="1295">
        <v>19</v>
      </c>
      <c r="BV224" s="1295">
        <v>20</v>
      </c>
      <c r="CO224" s="1282">
        <v>56</v>
      </c>
      <c r="CP224" s="1246">
        <v>3.75</v>
      </c>
      <c r="CQ224" s="1246">
        <v>4.5</v>
      </c>
      <c r="CR224" s="1246">
        <v>5.35</v>
      </c>
      <c r="CS224" s="1246">
        <v>6.25</v>
      </c>
      <c r="CT224" s="1246">
        <v>7.2</v>
      </c>
      <c r="CU224" s="1246">
        <v>8.1999999999999993</v>
      </c>
      <c r="CV224" s="1246">
        <v>9.25</v>
      </c>
      <c r="CW224" s="1246">
        <v>10.3</v>
      </c>
      <c r="CX224" s="1246">
        <v>11.35</v>
      </c>
      <c r="CY224" s="1246">
        <v>12.45</v>
      </c>
      <c r="CZ224" s="1246" t="s">
        <v>39</v>
      </c>
      <c r="DA224" s="1246" t="s">
        <v>39</v>
      </c>
      <c r="DB224" s="1246" t="s">
        <v>39</v>
      </c>
      <c r="DC224" s="1246" t="s">
        <v>39</v>
      </c>
      <c r="DD224" s="1246" t="s">
        <v>39</v>
      </c>
      <c r="DE224" s="1246" t="s">
        <v>39</v>
      </c>
    </row>
    <row r="225" spans="2:138" ht="15" customHeight="1">
      <c r="B225" s="1208">
        <v>37</v>
      </c>
      <c r="C225" s="1258">
        <v>0</v>
      </c>
      <c r="D225" s="1258">
        <v>0</v>
      </c>
      <c r="E225" s="1258">
        <v>0</v>
      </c>
      <c r="F225" s="1258">
        <v>0</v>
      </c>
      <c r="G225" s="1258">
        <v>0</v>
      </c>
      <c r="H225" s="1258">
        <v>0</v>
      </c>
      <c r="I225" s="1258">
        <v>0</v>
      </c>
      <c r="J225" s="1258">
        <v>0</v>
      </c>
      <c r="K225" s="1258">
        <v>0</v>
      </c>
      <c r="L225" s="1258">
        <v>0</v>
      </c>
      <c r="M225" s="1258">
        <v>0</v>
      </c>
      <c r="N225" s="1258">
        <v>0</v>
      </c>
      <c r="O225" s="1258">
        <v>0</v>
      </c>
      <c r="P225" s="1258">
        <v>60.6</v>
      </c>
      <c r="Q225" s="1258">
        <v>57.15</v>
      </c>
      <c r="R225" s="1258">
        <v>54.05</v>
      </c>
      <c r="S225" s="1258">
        <v>51.3</v>
      </c>
      <c r="T225" s="1258">
        <v>48.8</v>
      </c>
      <c r="U225" s="1258">
        <v>46.55</v>
      </c>
      <c r="V225" s="1258">
        <v>44.5</v>
      </c>
      <c r="W225" s="1258">
        <v>42.65</v>
      </c>
      <c r="X225" s="1258">
        <v>40.950000000000003</v>
      </c>
      <c r="Y225" s="1258">
        <v>39.4</v>
      </c>
      <c r="Z225" s="1258">
        <v>38</v>
      </c>
      <c r="AA225" s="1258">
        <v>0</v>
      </c>
      <c r="AB225" s="1258">
        <v>0</v>
      </c>
      <c r="AC225" s="1258">
        <v>0</v>
      </c>
      <c r="AD225" s="1258">
        <v>0</v>
      </c>
      <c r="AE225" s="1258">
        <v>0</v>
      </c>
      <c r="AF225" s="1258">
        <v>0</v>
      </c>
      <c r="AG225" s="1258">
        <v>0</v>
      </c>
      <c r="AL225" s="832">
        <v>12</v>
      </c>
      <c r="AM225" s="1296">
        <v>87.8</v>
      </c>
      <c r="AN225" s="1296">
        <v>80.2</v>
      </c>
      <c r="AO225" s="1296">
        <v>73.7</v>
      </c>
      <c r="AP225" s="1296">
        <v>69.150000000000006</v>
      </c>
      <c r="AQ225" s="1296">
        <v>64.150000000000006</v>
      </c>
      <c r="AR225" s="1296">
        <v>59.8</v>
      </c>
      <c r="AS225" s="1296">
        <v>55.9</v>
      </c>
      <c r="AT225" s="1296">
        <v>52.4</v>
      </c>
      <c r="AU225" s="1296">
        <v>49.3</v>
      </c>
      <c r="AW225" s="1295">
        <v>8</v>
      </c>
      <c r="AX225" s="1297">
        <v>89.1</v>
      </c>
      <c r="AY225" s="1297">
        <v>78.95</v>
      </c>
      <c r="AZ225" s="1297">
        <v>70.599999999999994</v>
      </c>
      <c r="BA225" s="1297">
        <v>63.65</v>
      </c>
      <c r="BB225" s="1297">
        <v>57.8</v>
      </c>
      <c r="BC225" s="1297">
        <v>53.55</v>
      </c>
      <c r="BD225" s="1297">
        <v>49.15</v>
      </c>
      <c r="BE225" s="1297">
        <v>45.3</v>
      </c>
      <c r="BF225" s="1297">
        <v>41.95</v>
      </c>
      <c r="BG225" s="1297">
        <v>39</v>
      </c>
      <c r="BH225" s="1297">
        <v>36.35</v>
      </c>
      <c r="BK225" s="1295">
        <v>8</v>
      </c>
      <c r="BL225" s="1297">
        <v>89.05</v>
      </c>
      <c r="BM225" s="1297">
        <v>78.900000000000006</v>
      </c>
      <c r="BN225" s="1297">
        <v>70.599999999999994</v>
      </c>
      <c r="BO225" s="1297">
        <v>63.65</v>
      </c>
      <c r="BP225" s="1297">
        <v>57.75</v>
      </c>
      <c r="BQ225" s="1297">
        <v>53.55</v>
      </c>
      <c r="BR225" s="1297">
        <v>49.1</v>
      </c>
      <c r="BS225" s="1297">
        <v>45.3</v>
      </c>
      <c r="BT225" s="1297">
        <v>41.9</v>
      </c>
      <c r="BU225" s="1297">
        <v>38.950000000000003</v>
      </c>
      <c r="BV225" s="1297">
        <v>36.35</v>
      </c>
      <c r="CO225" s="1283">
        <v>57</v>
      </c>
      <c r="CP225" s="1246">
        <v>4</v>
      </c>
      <c r="CQ225" s="1246">
        <v>4.8</v>
      </c>
      <c r="CR225" s="1246">
        <v>5.7</v>
      </c>
      <c r="CS225" s="1246">
        <v>6.65</v>
      </c>
      <c r="CT225" s="1246">
        <v>7.65</v>
      </c>
      <c r="CU225" s="1246">
        <v>8.6999999999999993</v>
      </c>
      <c r="CV225" s="1246">
        <v>9.8000000000000007</v>
      </c>
      <c r="CW225" s="1246">
        <v>10.9</v>
      </c>
      <c r="CX225" s="1246">
        <v>12</v>
      </c>
      <c r="CY225" s="1246" t="s">
        <v>39</v>
      </c>
      <c r="CZ225" s="1246" t="s">
        <v>39</v>
      </c>
      <c r="DA225" s="1246" t="s">
        <v>39</v>
      </c>
      <c r="DB225" s="1246" t="s">
        <v>39</v>
      </c>
      <c r="DC225" s="1246" t="s">
        <v>39</v>
      </c>
      <c r="DD225" s="1246" t="s">
        <v>39</v>
      </c>
      <c r="DE225" s="1246" t="s">
        <v>39</v>
      </c>
    </row>
    <row r="226" spans="2:138" ht="15" customHeight="1">
      <c r="B226" s="1208">
        <v>38</v>
      </c>
      <c r="C226" s="1258">
        <v>0</v>
      </c>
      <c r="D226" s="1258">
        <v>0</v>
      </c>
      <c r="E226" s="1258">
        <v>0</v>
      </c>
      <c r="F226" s="1258">
        <v>0</v>
      </c>
      <c r="G226" s="1258">
        <v>0</v>
      </c>
      <c r="H226" s="1258">
        <v>0</v>
      </c>
      <c r="I226" s="1258">
        <v>0</v>
      </c>
      <c r="J226" s="1258">
        <v>0</v>
      </c>
      <c r="K226" s="1258">
        <v>0</v>
      </c>
      <c r="L226" s="1258">
        <v>0</v>
      </c>
      <c r="M226" s="1258">
        <v>0</v>
      </c>
      <c r="N226" s="1258">
        <v>0</v>
      </c>
      <c r="O226" s="1258">
        <v>64.650000000000006</v>
      </c>
      <c r="P226" s="1258">
        <v>60.8</v>
      </c>
      <c r="Q226" s="1258">
        <v>57.4</v>
      </c>
      <c r="R226" s="1258">
        <v>54.35</v>
      </c>
      <c r="S226" s="1258">
        <v>51.6</v>
      </c>
      <c r="T226" s="1258">
        <v>49.1</v>
      </c>
      <c r="U226" s="1258">
        <v>46.85</v>
      </c>
      <c r="V226" s="1258">
        <v>44.85</v>
      </c>
      <c r="W226" s="1258">
        <v>43</v>
      </c>
      <c r="X226" s="1258">
        <v>41.35</v>
      </c>
      <c r="Y226" s="1258">
        <v>39.799999999999997</v>
      </c>
      <c r="Z226" s="1258">
        <v>0</v>
      </c>
      <c r="AA226" s="1258">
        <v>0</v>
      </c>
      <c r="AB226" s="1258">
        <v>0</v>
      </c>
      <c r="AC226" s="1258">
        <v>0</v>
      </c>
      <c r="AD226" s="1258">
        <v>0</v>
      </c>
      <c r="AE226" s="1258">
        <v>0</v>
      </c>
      <c r="AF226" s="1258">
        <v>0</v>
      </c>
      <c r="AG226" s="1258">
        <v>0</v>
      </c>
      <c r="AL226" s="832">
        <v>13</v>
      </c>
      <c r="AM226" s="1296">
        <v>87.85</v>
      </c>
      <c r="AN226" s="1296">
        <v>80.25</v>
      </c>
      <c r="AO226" s="1296">
        <v>73.75</v>
      </c>
      <c r="AP226" s="1296">
        <v>69.2</v>
      </c>
      <c r="AQ226" s="1296">
        <v>64.2</v>
      </c>
      <c r="AR226" s="1296">
        <v>59.85</v>
      </c>
      <c r="AS226" s="1296">
        <v>55.95</v>
      </c>
      <c r="AT226" s="1296">
        <v>52.45</v>
      </c>
      <c r="AU226" s="1296">
        <v>49.35</v>
      </c>
      <c r="AW226" s="1295">
        <v>9</v>
      </c>
      <c r="AX226" s="1297">
        <v>89.1</v>
      </c>
      <c r="AY226" s="1297">
        <v>78.95</v>
      </c>
      <c r="AZ226" s="1297">
        <v>70.599999999999994</v>
      </c>
      <c r="BA226" s="1297">
        <v>63.65</v>
      </c>
      <c r="BB226" s="1297">
        <v>57.8</v>
      </c>
      <c r="BC226" s="1297">
        <v>53.6</v>
      </c>
      <c r="BD226" s="1297">
        <v>49.15</v>
      </c>
      <c r="BE226" s="1297">
        <v>45.3</v>
      </c>
      <c r="BF226" s="1297">
        <v>41.95</v>
      </c>
      <c r="BG226" s="1297">
        <v>39</v>
      </c>
      <c r="BH226" s="1297">
        <v>36.4</v>
      </c>
      <c r="BK226" s="1295">
        <v>9</v>
      </c>
      <c r="BL226" s="1297">
        <v>89.05</v>
      </c>
      <c r="BM226" s="1297">
        <v>78.900000000000006</v>
      </c>
      <c r="BN226" s="1297">
        <v>70.599999999999994</v>
      </c>
      <c r="BO226" s="1297">
        <v>63.65</v>
      </c>
      <c r="BP226" s="1297">
        <v>57.75</v>
      </c>
      <c r="BQ226" s="1297">
        <v>53.55</v>
      </c>
      <c r="BR226" s="1297">
        <v>49.15</v>
      </c>
      <c r="BS226" s="1297">
        <v>45.3</v>
      </c>
      <c r="BT226" s="1297">
        <v>41.9</v>
      </c>
      <c r="BU226" s="1297">
        <v>38.950000000000003</v>
      </c>
      <c r="BV226" s="1297">
        <v>36.35</v>
      </c>
      <c r="CO226" s="1282">
        <v>58</v>
      </c>
      <c r="CP226" s="1246">
        <v>4.25</v>
      </c>
      <c r="CQ226" s="1246">
        <v>5.15</v>
      </c>
      <c r="CR226" s="1246">
        <v>6.1</v>
      </c>
      <c r="CS226" s="1246">
        <v>7.1</v>
      </c>
      <c r="CT226" s="1246">
        <v>8.15</v>
      </c>
      <c r="CU226" s="1246">
        <v>9.25</v>
      </c>
      <c r="CV226" s="1246">
        <v>10.35</v>
      </c>
      <c r="CW226" s="1246">
        <v>11.5</v>
      </c>
      <c r="CX226" s="1246" t="s">
        <v>39</v>
      </c>
      <c r="CY226" s="1246" t="s">
        <v>39</v>
      </c>
      <c r="CZ226" s="1246" t="s">
        <v>39</v>
      </c>
      <c r="DA226" s="1246" t="s">
        <v>39</v>
      </c>
      <c r="DB226" s="1246" t="s">
        <v>39</v>
      </c>
      <c r="DC226" s="1246" t="s">
        <v>39</v>
      </c>
      <c r="DD226" s="1246" t="s">
        <v>39</v>
      </c>
      <c r="DE226" s="1246" t="s">
        <v>39</v>
      </c>
    </row>
    <row r="227" spans="2:138" ht="15" customHeight="1">
      <c r="B227" s="1208">
        <v>39</v>
      </c>
      <c r="C227" s="1258">
        <v>0</v>
      </c>
      <c r="D227" s="1258">
        <v>0</v>
      </c>
      <c r="E227" s="1258">
        <v>0</v>
      </c>
      <c r="F227" s="1258">
        <v>0</v>
      </c>
      <c r="G227" s="1258">
        <v>0</v>
      </c>
      <c r="H227" s="1258">
        <v>0</v>
      </c>
      <c r="I227" s="1258">
        <v>0</v>
      </c>
      <c r="J227" s="1258">
        <v>0</v>
      </c>
      <c r="K227" s="1258">
        <v>0</v>
      </c>
      <c r="L227" s="1258">
        <v>0</v>
      </c>
      <c r="M227" s="1258">
        <v>0</v>
      </c>
      <c r="N227" s="1258">
        <v>69.25</v>
      </c>
      <c r="O227" s="1258">
        <v>64.900000000000006</v>
      </c>
      <c r="P227" s="1258">
        <v>61.05</v>
      </c>
      <c r="Q227" s="1258">
        <v>57.65</v>
      </c>
      <c r="R227" s="1258">
        <v>54.6</v>
      </c>
      <c r="S227" s="1258">
        <v>51.9</v>
      </c>
      <c r="T227" s="1258">
        <v>49.45</v>
      </c>
      <c r="U227" s="1258">
        <v>47.2</v>
      </c>
      <c r="V227" s="1258">
        <v>45.2</v>
      </c>
      <c r="W227" s="1258">
        <v>43.4</v>
      </c>
      <c r="X227" s="1258">
        <v>41.75</v>
      </c>
      <c r="Y227" s="1258">
        <v>0</v>
      </c>
      <c r="Z227" s="1258">
        <v>0</v>
      </c>
      <c r="AA227" s="1258">
        <v>0</v>
      </c>
      <c r="AB227" s="1258">
        <v>0</v>
      </c>
      <c r="AC227" s="1258">
        <v>0</v>
      </c>
      <c r="AD227" s="1258">
        <v>0</v>
      </c>
      <c r="AE227" s="1258">
        <v>0</v>
      </c>
      <c r="AF227" s="1258">
        <v>0</v>
      </c>
      <c r="AG227" s="1258">
        <v>0</v>
      </c>
      <c r="AL227" s="832">
        <v>14</v>
      </c>
      <c r="AM227" s="1296">
        <v>87.9</v>
      </c>
      <c r="AN227" s="1296">
        <v>80.3</v>
      </c>
      <c r="AO227" s="1296">
        <v>73.8</v>
      </c>
      <c r="AP227" s="1296">
        <v>69.25</v>
      </c>
      <c r="AQ227" s="1296">
        <v>64.25</v>
      </c>
      <c r="AR227" s="1296">
        <v>59.9</v>
      </c>
      <c r="AS227" s="1296">
        <v>56</v>
      </c>
      <c r="AT227" s="1296">
        <v>52.5</v>
      </c>
      <c r="AU227" s="1296">
        <v>49.4</v>
      </c>
      <c r="AW227" s="1295">
        <v>10</v>
      </c>
      <c r="AX227" s="1297">
        <v>89.1</v>
      </c>
      <c r="AY227" s="1297">
        <v>78.95</v>
      </c>
      <c r="AZ227" s="1297">
        <v>70.599999999999994</v>
      </c>
      <c r="BA227" s="1297">
        <v>63.65</v>
      </c>
      <c r="BB227" s="1297">
        <v>57.8</v>
      </c>
      <c r="BC227" s="1297">
        <v>53.6</v>
      </c>
      <c r="BD227" s="1297">
        <v>49.2</v>
      </c>
      <c r="BE227" s="1297">
        <v>45.35</v>
      </c>
      <c r="BF227" s="1297">
        <v>42</v>
      </c>
      <c r="BG227" s="1297">
        <v>39.049999999999997</v>
      </c>
      <c r="BH227" s="1297">
        <v>36.4</v>
      </c>
      <c r="BK227" s="1295">
        <v>10</v>
      </c>
      <c r="BL227" s="1297">
        <v>89.1</v>
      </c>
      <c r="BM227" s="1297">
        <v>78.95</v>
      </c>
      <c r="BN227" s="1297">
        <v>70.599999999999994</v>
      </c>
      <c r="BO227" s="1297">
        <v>63.65</v>
      </c>
      <c r="BP227" s="1297">
        <v>57.8</v>
      </c>
      <c r="BQ227" s="1297">
        <v>53.55</v>
      </c>
      <c r="BR227" s="1297">
        <v>49.15</v>
      </c>
      <c r="BS227" s="1297">
        <v>45.3</v>
      </c>
      <c r="BT227" s="1297">
        <v>41.95</v>
      </c>
      <c r="BU227" s="1297">
        <v>39</v>
      </c>
      <c r="BV227" s="1297">
        <v>36.35</v>
      </c>
      <c r="CO227" s="1283">
        <v>59</v>
      </c>
      <c r="CP227" s="1246">
        <v>4.55</v>
      </c>
      <c r="CQ227" s="1246">
        <v>5.5</v>
      </c>
      <c r="CR227" s="1246">
        <v>6.5</v>
      </c>
      <c r="CS227" s="1246">
        <v>7.55</v>
      </c>
      <c r="CT227" s="1246">
        <v>8.65</v>
      </c>
      <c r="CU227" s="1246">
        <v>9.8000000000000007</v>
      </c>
      <c r="CV227" s="1246">
        <v>10.95</v>
      </c>
      <c r="CW227" s="1246" t="s">
        <v>845</v>
      </c>
      <c r="CX227" s="1246" t="s">
        <v>39</v>
      </c>
      <c r="CY227" s="1246" t="s">
        <v>39</v>
      </c>
      <c r="CZ227" s="1246" t="s">
        <v>39</v>
      </c>
      <c r="DA227" s="1246" t="s">
        <v>39</v>
      </c>
      <c r="DB227" s="1246" t="s">
        <v>39</v>
      </c>
      <c r="DC227" s="1246" t="s">
        <v>39</v>
      </c>
      <c r="DD227" s="1246" t="s">
        <v>39</v>
      </c>
      <c r="DE227" s="1246" t="s">
        <v>39</v>
      </c>
    </row>
    <row r="228" spans="2:138" ht="15" customHeight="1">
      <c r="B228" s="1208">
        <v>40</v>
      </c>
      <c r="C228" s="1258">
        <v>0</v>
      </c>
      <c r="D228" s="1258">
        <v>0</v>
      </c>
      <c r="E228" s="1258">
        <v>0</v>
      </c>
      <c r="F228" s="1258">
        <v>0</v>
      </c>
      <c r="G228" s="1258">
        <v>0</v>
      </c>
      <c r="H228" s="1258">
        <v>0</v>
      </c>
      <c r="I228" s="1258">
        <v>0</v>
      </c>
      <c r="J228" s="1258">
        <v>0</v>
      </c>
      <c r="K228" s="1258">
        <v>0</v>
      </c>
      <c r="L228" s="1258">
        <v>0</v>
      </c>
      <c r="M228" s="1258">
        <v>74.400000000000006</v>
      </c>
      <c r="N228" s="1258">
        <v>69.5</v>
      </c>
      <c r="O228" s="1258">
        <v>65.150000000000006</v>
      </c>
      <c r="P228" s="1258">
        <v>61.35</v>
      </c>
      <c r="Q228" s="1258">
        <v>57.95</v>
      </c>
      <c r="R228" s="1258">
        <v>54.95</v>
      </c>
      <c r="S228" s="1258">
        <v>52.25</v>
      </c>
      <c r="T228" s="1258">
        <v>49.8</v>
      </c>
      <c r="U228" s="1258">
        <v>47.6</v>
      </c>
      <c r="V228" s="1258">
        <v>45.6</v>
      </c>
      <c r="W228" s="1258">
        <v>43.8</v>
      </c>
      <c r="X228" s="1258">
        <v>0</v>
      </c>
      <c r="Y228" s="1258">
        <v>0</v>
      </c>
      <c r="Z228" s="1258">
        <v>0</v>
      </c>
      <c r="AA228" s="1258">
        <v>0</v>
      </c>
      <c r="AB228" s="1258">
        <v>0</v>
      </c>
      <c r="AC228" s="1258">
        <v>0</v>
      </c>
      <c r="AD228" s="1258">
        <v>0</v>
      </c>
      <c r="AE228" s="1258">
        <v>0</v>
      </c>
      <c r="AF228" s="1258">
        <v>0</v>
      </c>
      <c r="AG228" s="1258">
        <v>0</v>
      </c>
      <c r="AL228" s="832">
        <v>15</v>
      </c>
      <c r="AM228" s="1296">
        <v>87.95</v>
      </c>
      <c r="AN228" s="1296">
        <v>80.349999999999994</v>
      </c>
      <c r="AO228" s="1296">
        <v>73.849999999999994</v>
      </c>
      <c r="AP228" s="1296">
        <v>69.3</v>
      </c>
      <c r="AQ228" s="1296">
        <v>64.3</v>
      </c>
      <c r="AR228" s="1296">
        <v>59.95</v>
      </c>
      <c r="AS228" s="1296">
        <v>56.05</v>
      </c>
      <c r="AT228" s="1296">
        <v>52.55</v>
      </c>
      <c r="AU228" s="1296">
        <v>49.45</v>
      </c>
      <c r="AW228" s="1295">
        <v>11</v>
      </c>
      <c r="AX228" s="1297">
        <v>89.1</v>
      </c>
      <c r="AY228" s="1297">
        <v>79</v>
      </c>
      <c r="AZ228" s="1297">
        <v>70.650000000000006</v>
      </c>
      <c r="BA228" s="1297">
        <v>63.7</v>
      </c>
      <c r="BB228" s="1297">
        <v>57.85</v>
      </c>
      <c r="BC228" s="1297">
        <v>53.65</v>
      </c>
      <c r="BD228" s="1297">
        <v>49.2</v>
      </c>
      <c r="BE228" s="1297">
        <v>45.4</v>
      </c>
      <c r="BF228" s="1297">
        <v>42</v>
      </c>
      <c r="BG228" s="1297">
        <v>39.049999999999997</v>
      </c>
      <c r="BH228" s="1297">
        <v>36.450000000000003</v>
      </c>
      <c r="BK228" s="1295">
        <v>11</v>
      </c>
      <c r="BL228" s="1297">
        <v>89.1</v>
      </c>
      <c r="BM228" s="1297">
        <v>78.95</v>
      </c>
      <c r="BN228" s="1297" t="s">
        <v>870</v>
      </c>
      <c r="BO228" s="1297">
        <v>63.7</v>
      </c>
      <c r="BP228" s="1297">
        <v>57.8</v>
      </c>
      <c r="BQ228" s="1297">
        <v>53.6</v>
      </c>
      <c r="BR228" s="1297">
        <v>49.2</v>
      </c>
      <c r="BS228" s="1297">
        <v>45.35</v>
      </c>
      <c r="BT228" s="1297">
        <v>42</v>
      </c>
      <c r="BU228" s="1297">
        <v>39</v>
      </c>
      <c r="BV228" s="1297">
        <v>36.4</v>
      </c>
      <c r="CO228" s="1282">
        <v>60</v>
      </c>
      <c r="CP228" s="1246">
        <v>4.8499999999999996</v>
      </c>
      <c r="CQ228" s="1246">
        <v>5.85</v>
      </c>
      <c r="CR228" s="1246">
        <v>6.9</v>
      </c>
      <c r="CS228" s="1246">
        <v>8.0500000000000007</v>
      </c>
      <c r="CT228" s="1246">
        <v>9.1999999999999993</v>
      </c>
      <c r="CU228" s="1246">
        <v>10.4</v>
      </c>
      <c r="CV228" s="1246" t="s">
        <v>846</v>
      </c>
      <c r="CW228" s="1246" t="s">
        <v>844</v>
      </c>
      <c r="CX228" s="1246" t="s">
        <v>39</v>
      </c>
      <c r="CY228" s="1246" t="s">
        <v>39</v>
      </c>
      <c r="CZ228" s="1246" t="s">
        <v>39</v>
      </c>
      <c r="DA228" s="1246" t="s">
        <v>39</v>
      </c>
      <c r="DB228" s="1246" t="s">
        <v>39</v>
      </c>
      <c r="DC228" s="1246" t="s">
        <v>39</v>
      </c>
      <c r="DD228" s="1246" t="s">
        <v>39</v>
      </c>
      <c r="DE228" s="1246" t="s">
        <v>39</v>
      </c>
    </row>
    <row r="229" spans="2:138" ht="15" customHeight="1">
      <c r="B229" s="1208">
        <v>41</v>
      </c>
      <c r="C229" s="1258">
        <v>0</v>
      </c>
      <c r="D229" s="1258">
        <v>0</v>
      </c>
      <c r="E229" s="1258">
        <v>0</v>
      </c>
      <c r="F229" s="1258">
        <v>0</v>
      </c>
      <c r="G229" s="1258">
        <v>0</v>
      </c>
      <c r="H229" s="1258">
        <v>0</v>
      </c>
      <c r="I229" s="1258">
        <v>0</v>
      </c>
      <c r="J229" s="1258">
        <v>0</v>
      </c>
      <c r="K229" s="1258">
        <v>0</v>
      </c>
      <c r="L229" s="1258">
        <v>80.25</v>
      </c>
      <c r="M229" s="1258">
        <v>74.650000000000006</v>
      </c>
      <c r="N229" s="1258">
        <v>69.75</v>
      </c>
      <c r="O229" s="1258">
        <v>65.45</v>
      </c>
      <c r="P229" s="1258">
        <v>61.7</v>
      </c>
      <c r="Q229" s="1258">
        <v>58.3</v>
      </c>
      <c r="R229" s="1258">
        <v>55.3</v>
      </c>
      <c r="S229" s="1258">
        <v>52.6</v>
      </c>
      <c r="T229" s="1258">
        <v>50.2</v>
      </c>
      <c r="U229" s="1258">
        <v>48</v>
      </c>
      <c r="V229" s="1258">
        <v>46.05</v>
      </c>
      <c r="W229" s="1258">
        <v>0</v>
      </c>
      <c r="X229" s="1258">
        <v>0</v>
      </c>
      <c r="Y229" s="1258">
        <v>0</v>
      </c>
      <c r="Z229" s="1258">
        <v>0</v>
      </c>
      <c r="AA229" s="1258">
        <v>0</v>
      </c>
      <c r="AB229" s="1258">
        <v>0</v>
      </c>
      <c r="AC229" s="1258">
        <v>0</v>
      </c>
      <c r="AD229" s="1258">
        <v>0</v>
      </c>
      <c r="AE229" s="1258">
        <v>0</v>
      </c>
      <c r="AF229" s="1258">
        <v>0</v>
      </c>
      <c r="AG229" s="1258">
        <v>0</v>
      </c>
      <c r="AL229" s="832">
        <v>16</v>
      </c>
      <c r="AM229" s="1296">
        <v>88</v>
      </c>
      <c r="AN229" s="1296">
        <v>80.400000000000006</v>
      </c>
      <c r="AO229" s="1296">
        <v>73.900000000000006</v>
      </c>
      <c r="AP229" s="1296">
        <v>69.349999999999994</v>
      </c>
      <c r="AQ229" s="1296">
        <v>64.349999999999994</v>
      </c>
      <c r="AR229" s="1296">
        <v>59.95</v>
      </c>
      <c r="AS229" s="1296">
        <v>56.1</v>
      </c>
      <c r="AT229" s="1296">
        <v>52.6</v>
      </c>
      <c r="AU229" s="1296">
        <v>49.5</v>
      </c>
      <c r="AW229" s="1295">
        <v>12</v>
      </c>
      <c r="AX229" s="1297">
        <v>89.15</v>
      </c>
      <c r="AY229" s="1297">
        <v>79</v>
      </c>
      <c r="AZ229" s="1297">
        <v>70.7</v>
      </c>
      <c r="BA229" s="1297">
        <v>63.75</v>
      </c>
      <c r="BB229" s="1297">
        <v>57.9</v>
      </c>
      <c r="BC229" s="1297">
        <v>53.7</v>
      </c>
      <c r="BD229" s="1297">
        <v>49.25</v>
      </c>
      <c r="BE229" s="1297">
        <v>45.4</v>
      </c>
      <c r="BF229" s="1297">
        <v>42.05</v>
      </c>
      <c r="BG229" s="1297">
        <v>39.1</v>
      </c>
      <c r="BH229" s="1297">
        <v>36.5</v>
      </c>
      <c r="BK229" s="1295">
        <v>12</v>
      </c>
      <c r="BL229" s="1297">
        <v>89.15</v>
      </c>
      <c r="BM229" s="1297">
        <v>79</v>
      </c>
      <c r="BN229" s="1297">
        <v>70.650000000000006</v>
      </c>
      <c r="BO229" s="1297">
        <v>63.7</v>
      </c>
      <c r="BP229" s="1297">
        <v>57.85</v>
      </c>
      <c r="BQ229" s="1297">
        <v>53.65</v>
      </c>
      <c r="BR229" s="1297">
        <v>49.2</v>
      </c>
      <c r="BS229" s="1297">
        <v>45.4</v>
      </c>
      <c r="BT229" s="1297">
        <v>42</v>
      </c>
      <c r="BU229" s="1297">
        <v>39.049999999999997</v>
      </c>
      <c r="BV229" s="1297">
        <v>36.450000000000003</v>
      </c>
      <c r="CO229" s="1283">
        <v>61</v>
      </c>
      <c r="CP229" s="1246">
        <v>5.2</v>
      </c>
      <c r="CQ229" s="1246">
        <v>6.25</v>
      </c>
      <c r="CR229" s="1246">
        <v>7.35</v>
      </c>
      <c r="CS229" s="1246">
        <v>8.5500000000000007</v>
      </c>
      <c r="CT229" s="1246">
        <v>9.75</v>
      </c>
      <c r="CU229" s="1246" t="s">
        <v>39</v>
      </c>
      <c r="CV229" s="1246"/>
      <c r="CW229" s="1246" t="s">
        <v>844</v>
      </c>
      <c r="CX229" s="1246" t="s">
        <v>39</v>
      </c>
      <c r="CY229" s="1246" t="s">
        <v>39</v>
      </c>
      <c r="CZ229" s="1246" t="s">
        <v>39</v>
      </c>
      <c r="DA229" s="1246" t="s">
        <v>39</v>
      </c>
      <c r="DB229" s="1246" t="s">
        <v>39</v>
      </c>
      <c r="DC229" s="1246" t="s">
        <v>39</v>
      </c>
      <c r="DD229" s="1246" t="s">
        <v>39</v>
      </c>
      <c r="DE229" s="1246" t="s">
        <v>39</v>
      </c>
    </row>
    <row r="230" spans="2:138" ht="15" customHeight="1">
      <c r="B230" s="1208">
        <v>42</v>
      </c>
      <c r="C230" s="1258">
        <v>0</v>
      </c>
      <c r="D230" s="1258">
        <v>0</v>
      </c>
      <c r="E230" s="1258">
        <v>0</v>
      </c>
      <c r="F230" s="1258">
        <v>0</v>
      </c>
      <c r="G230" s="1258">
        <v>0</v>
      </c>
      <c r="H230" s="1258">
        <v>0</v>
      </c>
      <c r="I230" s="1258">
        <v>0</v>
      </c>
      <c r="J230" s="1258">
        <v>0</v>
      </c>
      <c r="K230" s="1258">
        <v>87.05</v>
      </c>
      <c r="L230" s="1258">
        <v>80.55</v>
      </c>
      <c r="M230" s="1258">
        <v>74.95</v>
      </c>
      <c r="N230" s="1258">
        <v>70.099999999999994</v>
      </c>
      <c r="O230" s="1258">
        <v>65.8</v>
      </c>
      <c r="P230" s="1258">
        <v>62.05</v>
      </c>
      <c r="Q230" s="1258">
        <v>58.7</v>
      </c>
      <c r="R230" s="1258">
        <v>55.7</v>
      </c>
      <c r="S230" s="1258">
        <v>53.05</v>
      </c>
      <c r="T230" s="1258">
        <v>50.65</v>
      </c>
      <c r="U230" s="1258">
        <v>48.45</v>
      </c>
      <c r="V230" s="1258">
        <v>0</v>
      </c>
      <c r="W230" s="1258">
        <v>0</v>
      </c>
      <c r="X230" s="1258">
        <v>0</v>
      </c>
      <c r="Y230" s="1258">
        <v>0</v>
      </c>
      <c r="Z230" s="1258">
        <v>0</v>
      </c>
      <c r="AA230" s="1258">
        <v>0</v>
      </c>
      <c r="AB230" s="1258">
        <v>0</v>
      </c>
      <c r="AC230" s="1258">
        <v>0</v>
      </c>
      <c r="AD230" s="1258">
        <v>0</v>
      </c>
      <c r="AE230" s="1258">
        <v>0</v>
      </c>
      <c r="AF230" s="1258">
        <v>0</v>
      </c>
      <c r="AG230" s="1258">
        <v>0</v>
      </c>
      <c r="AL230" s="832">
        <v>17</v>
      </c>
      <c r="AM230" s="1296">
        <v>88</v>
      </c>
      <c r="AN230" s="1296">
        <v>80.45</v>
      </c>
      <c r="AO230" s="1296">
        <v>73.95</v>
      </c>
      <c r="AP230" s="1296">
        <v>69.400000000000006</v>
      </c>
      <c r="AQ230" s="1296">
        <v>64.400000000000006</v>
      </c>
      <c r="AR230" s="1296">
        <v>60</v>
      </c>
      <c r="AS230" s="1296">
        <v>56.1</v>
      </c>
      <c r="AT230" s="1296">
        <v>52.65</v>
      </c>
      <c r="AU230" s="1296">
        <v>49.55</v>
      </c>
      <c r="AW230" s="1295">
        <v>13</v>
      </c>
      <c r="AX230" s="1297">
        <v>89.2</v>
      </c>
      <c r="AY230" s="1297">
        <v>79.05</v>
      </c>
      <c r="AZ230" s="1297">
        <v>70.75</v>
      </c>
      <c r="BA230" s="1297">
        <v>63.8</v>
      </c>
      <c r="BB230" s="1297">
        <v>57.9</v>
      </c>
      <c r="BC230" s="1297">
        <v>53.7</v>
      </c>
      <c r="BD230" s="1297">
        <v>49.3</v>
      </c>
      <c r="BE230" s="1297">
        <v>45.45</v>
      </c>
      <c r="BF230" s="1297">
        <v>42.1</v>
      </c>
      <c r="BG230" s="1297">
        <v>39.15</v>
      </c>
      <c r="BH230" s="1297">
        <v>36.549999999999997</v>
      </c>
      <c r="BK230" s="1295">
        <v>13</v>
      </c>
      <c r="BL230" s="1297">
        <v>89.2</v>
      </c>
      <c r="BM230" s="1297">
        <v>79.05</v>
      </c>
      <c r="BN230" s="1297">
        <v>70.7</v>
      </c>
      <c r="BO230" s="1297">
        <v>63.75</v>
      </c>
      <c r="BP230" s="1297">
        <v>57.9</v>
      </c>
      <c r="BQ230" s="1297">
        <v>53.7</v>
      </c>
      <c r="BR230" s="1297">
        <v>49.25</v>
      </c>
      <c r="BS230" s="1297">
        <v>45.4</v>
      </c>
      <c r="BT230" s="1297">
        <v>42.05</v>
      </c>
      <c r="BU230" s="1297">
        <v>39.1</v>
      </c>
      <c r="BV230" s="1297">
        <v>36.5</v>
      </c>
      <c r="CO230" s="1282">
        <v>62</v>
      </c>
      <c r="CP230" s="1246">
        <v>5.55</v>
      </c>
      <c r="CQ230" s="1246">
        <v>6.65</v>
      </c>
      <c r="CR230" s="1246">
        <v>7.85</v>
      </c>
      <c r="CS230" s="1246">
        <v>9.0500000000000007</v>
      </c>
      <c r="CT230" s="1246" t="s">
        <v>39</v>
      </c>
      <c r="CU230" s="1246" t="s">
        <v>39</v>
      </c>
      <c r="CV230" s="1246"/>
      <c r="CW230" s="1246" t="s">
        <v>844</v>
      </c>
      <c r="CX230" s="1246" t="s">
        <v>39</v>
      </c>
      <c r="CY230" s="1246" t="s">
        <v>39</v>
      </c>
      <c r="CZ230" s="1246" t="s">
        <v>39</v>
      </c>
      <c r="DA230" s="1246" t="s">
        <v>39</v>
      </c>
      <c r="DB230" s="1246" t="s">
        <v>39</v>
      </c>
      <c r="DC230" s="1246" t="s">
        <v>39</v>
      </c>
      <c r="DD230" s="1246" t="s">
        <v>39</v>
      </c>
      <c r="DE230" s="1246" t="s">
        <v>39</v>
      </c>
    </row>
    <row r="231" spans="2:138" ht="15" customHeight="1">
      <c r="B231" s="1208">
        <v>43</v>
      </c>
      <c r="C231" s="1258">
        <v>0</v>
      </c>
      <c r="D231" s="1258">
        <v>0</v>
      </c>
      <c r="E231" s="1258">
        <v>0</v>
      </c>
      <c r="F231" s="1258">
        <v>0</v>
      </c>
      <c r="G231" s="1258">
        <v>0</v>
      </c>
      <c r="H231" s="1258">
        <v>0</v>
      </c>
      <c r="I231" s="1258">
        <v>0</v>
      </c>
      <c r="J231" s="1258">
        <v>94.9</v>
      </c>
      <c r="K231" s="1258">
        <v>87.35</v>
      </c>
      <c r="L231" s="1258">
        <v>80.849999999999994</v>
      </c>
      <c r="M231" s="1258">
        <v>75.3</v>
      </c>
      <c r="N231" s="1258">
        <v>70.45</v>
      </c>
      <c r="O231" s="1258">
        <v>66.2</v>
      </c>
      <c r="P231" s="1258">
        <v>62.45</v>
      </c>
      <c r="Q231" s="1258">
        <v>59.1</v>
      </c>
      <c r="R231" s="1258">
        <v>56.15</v>
      </c>
      <c r="S231" s="1258">
        <v>53.5</v>
      </c>
      <c r="T231" s="1258">
        <v>51.1</v>
      </c>
      <c r="U231" s="1258">
        <v>0</v>
      </c>
      <c r="V231" s="1258">
        <v>0</v>
      </c>
      <c r="W231" s="1258">
        <v>0</v>
      </c>
      <c r="X231" s="1258">
        <v>0</v>
      </c>
      <c r="Y231" s="1258">
        <v>0</v>
      </c>
      <c r="Z231" s="1258">
        <v>0</v>
      </c>
      <c r="AA231" s="1258">
        <v>0</v>
      </c>
      <c r="AB231" s="1258">
        <v>0</v>
      </c>
      <c r="AC231" s="1258">
        <v>0</v>
      </c>
      <c r="AD231" s="1258">
        <v>0</v>
      </c>
      <c r="AE231" s="1258">
        <v>0</v>
      </c>
      <c r="AF231" s="1258">
        <v>0</v>
      </c>
      <c r="AG231" s="1258">
        <v>0</v>
      </c>
      <c r="AL231" s="832">
        <v>18</v>
      </c>
      <c r="AM231" s="1296">
        <v>88.05</v>
      </c>
      <c r="AN231" s="1296">
        <v>80.45</v>
      </c>
      <c r="AO231" s="1296">
        <v>73.95</v>
      </c>
      <c r="AP231" s="1296">
        <v>69.400000000000006</v>
      </c>
      <c r="AQ231" s="1296">
        <v>64.45</v>
      </c>
      <c r="AR231" s="1296">
        <v>60.05</v>
      </c>
      <c r="AS231" s="1296">
        <v>56.15</v>
      </c>
      <c r="AT231" s="1296">
        <v>52.7</v>
      </c>
      <c r="AU231" s="1296">
        <v>49.6</v>
      </c>
      <c r="AW231" s="1295">
        <v>14</v>
      </c>
      <c r="AX231" s="1297">
        <v>89.25</v>
      </c>
      <c r="AY231" s="1297">
        <v>79.099999999999994</v>
      </c>
      <c r="AZ231" s="1297">
        <v>70.8</v>
      </c>
      <c r="BA231" s="1297">
        <v>63.85</v>
      </c>
      <c r="BB231" s="1297">
        <v>57.95</v>
      </c>
      <c r="BC231" s="1297">
        <v>53.75</v>
      </c>
      <c r="BD231" s="1297">
        <v>49.35</v>
      </c>
      <c r="BE231" s="1297">
        <v>45.5</v>
      </c>
      <c r="BF231" s="1297">
        <v>42.15</v>
      </c>
      <c r="BG231" s="1297">
        <v>39.200000000000003</v>
      </c>
      <c r="BH231" s="1297">
        <v>36.6</v>
      </c>
      <c r="BK231" s="1295">
        <v>14</v>
      </c>
      <c r="BL231" s="1297">
        <v>89.25</v>
      </c>
      <c r="BM231" s="1297">
        <v>79.099999999999994</v>
      </c>
      <c r="BN231" s="1297">
        <v>70.75</v>
      </c>
      <c r="BO231" s="1297">
        <v>63.8</v>
      </c>
      <c r="BP231" s="1297">
        <v>57.95</v>
      </c>
      <c r="BQ231" s="1297">
        <v>53.75</v>
      </c>
      <c r="BR231" s="1297">
        <v>49.3</v>
      </c>
      <c r="BS231" s="1297">
        <v>45.45</v>
      </c>
      <c r="BT231" s="1297">
        <v>42.1</v>
      </c>
      <c r="BU231" s="1297">
        <v>39.15</v>
      </c>
      <c r="BV231" s="1297">
        <v>36.5</v>
      </c>
      <c r="CO231" s="1283">
        <v>63</v>
      </c>
      <c r="CP231" s="1246">
        <v>5.95</v>
      </c>
      <c r="CQ231" s="1246">
        <v>7.1</v>
      </c>
      <c r="CR231" s="1246">
        <v>8.35</v>
      </c>
      <c r="CS231" s="1246" t="s">
        <v>39</v>
      </c>
      <c r="CT231" s="1246" t="s">
        <v>39</v>
      </c>
      <c r="CU231" s="1246" t="s">
        <v>39</v>
      </c>
      <c r="CV231" s="1246"/>
      <c r="CW231" s="1246" t="s">
        <v>844</v>
      </c>
      <c r="CX231" s="1246" t="s">
        <v>39</v>
      </c>
      <c r="CY231" s="1246" t="s">
        <v>39</v>
      </c>
      <c r="CZ231" s="1246" t="s">
        <v>39</v>
      </c>
      <c r="DA231" s="1246" t="s">
        <v>39</v>
      </c>
      <c r="DB231" s="1246" t="s">
        <v>39</v>
      </c>
      <c r="DC231" s="1246" t="s">
        <v>39</v>
      </c>
      <c r="DD231" s="1246" t="s">
        <v>39</v>
      </c>
      <c r="DE231" s="1246" t="s">
        <v>39</v>
      </c>
    </row>
    <row r="232" spans="2:138" ht="15" customHeight="1">
      <c r="B232" s="1208">
        <v>44</v>
      </c>
      <c r="C232" s="1258">
        <v>0</v>
      </c>
      <c r="D232" s="1258">
        <v>0</v>
      </c>
      <c r="E232" s="1258">
        <v>0</v>
      </c>
      <c r="F232" s="1258">
        <v>0</v>
      </c>
      <c r="G232" s="1258">
        <v>0</v>
      </c>
      <c r="H232" s="1258">
        <v>0</v>
      </c>
      <c r="I232" s="1258">
        <v>104.15</v>
      </c>
      <c r="J232" s="1258">
        <v>95.2</v>
      </c>
      <c r="K232" s="1258">
        <v>87.65</v>
      </c>
      <c r="L232" s="1258">
        <v>81.2</v>
      </c>
      <c r="M232" s="1258">
        <v>75.650000000000006</v>
      </c>
      <c r="N232" s="1258">
        <v>70.849999999999994</v>
      </c>
      <c r="O232" s="1258">
        <v>66.599999999999994</v>
      </c>
      <c r="P232" s="1258">
        <v>62.85</v>
      </c>
      <c r="Q232" s="1258">
        <v>59.55</v>
      </c>
      <c r="R232" s="1258">
        <v>56.6</v>
      </c>
      <c r="S232" s="1258">
        <v>54</v>
      </c>
      <c r="T232" s="1258">
        <v>0</v>
      </c>
      <c r="U232" s="1258">
        <v>0</v>
      </c>
      <c r="V232" s="1258">
        <v>0</v>
      </c>
      <c r="W232" s="1258">
        <v>0</v>
      </c>
      <c r="X232" s="1258">
        <v>0</v>
      </c>
      <c r="Y232" s="1258">
        <v>0</v>
      </c>
      <c r="Z232" s="1258">
        <v>0</v>
      </c>
      <c r="AA232" s="1258">
        <v>0</v>
      </c>
      <c r="AB232" s="1258">
        <v>0</v>
      </c>
      <c r="AC232" s="1258">
        <v>0</v>
      </c>
      <c r="AD232" s="1258">
        <v>0</v>
      </c>
      <c r="AE232" s="1258">
        <v>0</v>
      </c>
      <c r="AF232" s="1258">
        <v>0</v>
      </c>
      <c r="AG232" s="1258">
        <v>0</v>
      </c>
      <c r="AL232" s="832">
        <v>19</v>
      </c>
      <c r="AM232" s="1296">
        <v>88.05</v>
      </c>
      <c r="AN232" s="1296">
        <v>80.5</v>
      </c>
      <c r="AO232" s="1296">
        <v>74</v>
      </c>
      <c r="AP232" s="1296">
        <v>69.45</v>
      </c>
      <c r="AQ232" s="1296">
        <v>64.45</v>
      </c>
      <c r="AR232" s="1296">
        <v>60.1</v>
      </c>
      <c r="AS232" s="1296">
        <v>56.2</v>
      </c>
      <c r="AT232" s="1296">
        <v>52.75</v>
      </c>
      <c r="AU232" s="1296">
        <v>49.65</v>
      </c>
      <c r="AW232" s="1295">
        <v>15</v>
      </c>
      <c r="AX232" s="1297">
        <v>89.3</v>
      </c>
      <c r="AY232" s="1297">
        <v>79.150000000000006</v>
      </c>
      <c r="AZ232" s="1297">
        <v>70.849999999999994</v>
      </c>
      <c r="BA232" s="1297">
        <v>63.9</v>
      </c>
      <c r="BB232" s="1297">
        <v>58</v>
      </c>
      <c r="BC232" s="1297">
        <v>53.8</v>
      </c>
      <c r="BD232" s="1297">
        <v>49.4</v>
      </c>
      <c r="BE232" s="1297">
        <v>45.55</v>
      </c>
      <c r="BF232" s="1297">
        <v>42.2</v>
      </c>
      <c r="BG232" s="1297">
        <v>39.25</v>
      </c>
      <c r="BH232" s="1297">
        <v>36.6</v>
      </c>
      <c r="BK232" s="1295">
        <v>15</v>
      </c>
      <c r="BL232" s="1297">
        <v>89.3</v>
      </c>
      <c r="BM232" s="1297">
        <v>79.099999999999994</v>
      </c>
      <c r="BN232" s="1297">
        <v>70.8</v>
      </c>
      <c r="BO232" s="1297">
        <v>63.85</v>
      </c>
      <c r="BP232" s="1297">
        <v>57.95</v>
      </c>
      <c r="BQ232" s="1297">
        <v>53.75</v>
      </c>
      <c r="BR232" s="1297">
        <v>49.35</v>
      </c>
      <c r="BS232" s="1297">
        <v>45.5</v>
      </c>
      <c r="BT232" s="1297">
        <v>42.15</v>
      </c>
      <c r="BU232" s="1297">
        <v>39.200000000000003</v>
      </c>
      <c r="BV232" s="1297">
        <v>36.549999999999997</v>
      </c>
      <c r="CO232" s="1282">
        <v>64</v>
      </c>
      <c r="CP232" s="1246">
        <v>6.35</v>
      </c>
      <c r="CQ232" s="1246">
        <v>7.55</v>
      </c>
      <c r="CR232" s="1246" t="s">
        <v>39</v>
      </c>
      <c r="CS232" s="1246" t="s">
        <v>39</v>
      </c>
      <c r="CT232" s="1246" t="s">
        <v>39</v>
      </c>
      <c r="CU232" s="1246" t="s">
        <v>39</v>
      </c>
      <c r="CV232" s="1246"/>
      <c r="CW232" s="1246" t="s">
        <v>844</v>
      </c>
      <c r="CX232" s="1246" t="s">
        <v>39</v>
      </c>
      <c r="CY232" s="1246" t="s">
        <v>39</v>
      </c>
      <c r="CZ232" s="1246" t="s">
        <v>39</v>
      </c>
      <c r="DA232" s="1246" t="s">
        <v>39</v>
      </c>
      <c r="DB232" s="1246" t="s">
        <v>39</v>
      </c>
      <c r="DC232" s="1246" t="s">
        <v>39</v>
      </c>
      <c r="DD232" s="1246" t="s">
        <v>39</v>
      </c>
      <c r="DE232" s="1246" t="s">
        <v>39</v>
      </c>
    </row>
    <row r="233" spans="2:138" ht="15" customHeight="1">
      <c r="B233" s="1208">
        <v>45</v>
      </c>
      <c r="C233" s="1258">
        <v>0</v>
      </c>
      <c r="D233" s="1258">
        <v>0</v>
      </c>
      <c r="E233" s="1258">
        <v>0</v>
      </c>
      <c r="F233" s="1258">
        <v>0</v>
      </c>
      <c r="G233" s="1258">
        <v>0</v>
      </c>
      <c r="H233" s="1258">
        <v>115.25</v>
      </c>
      <c r="I233" s="1258">
        <v>104.5</v>
      </c>
      <c r="J233" s="1258">
        <v>95.55</v>
      </c>
      <c r="K233" s="1258">
        <v>88.05</v>
      </c>
      <c r="L233" s="1258">
        <v>81.599999999999994</v>
      </c>
      <c r="M233" s="1258">
        <v>76.099999999999994</v>
      </c>
      <c r="N233" s="1258">
        <v>71.3</v>
      </c>
      <c r="O233" s="1258">
        <v>67.05</v>
      </c>
      <c r="P233" s="1258">
        <v>63.35</v>
      </c>
      <c r="Q233" s="1258">
        <v>60.05</v>
      </c>
      <c r="R233" s="1258">
        <v>57.15</v>
      </c>
      <c r="S233" s="1258">
        <v>0</v>
      </c>
      <c r="T233" s="1258">
        <v>0</v>
      </c>
      <c r="U233" s="1258">
        <v>0</v>
      </c>
      <c r="V233" s="1258">
        <v>0</v>
      </c>
      <c r="W233" s="1258">
        <v>0</v>
      </c>
      <c r="X233" s="1258">
        <v>0</v>
      </c>
      <c r="Y233" s="1258">
        <v>0</v>
      </c>
      <c r="Z233" s="1258">
        <v>0</v>
      </c>
      <c r="AA233" s="1258">
        <v>0</v>
      </c>
      <c r="AB233" s="1258">
        <v>0</v>
      </c>
      <c r="AC233" s="1258">
        <v>0</v>
      </c>
      <c r="AD233" s="1258">
        <v>0</v>
      </c>
      <c r="AE233" s="1258">
        <v>0</v>
      </c>
      <c r="AF233" s="1258">
        <v>0</v>
      </c>
      <c r="AG233" s="1258">
        <v>0</v>
      </c>
      <c r="AL233" s="832">
        <v>20</v>
      </c>
      <c r="AM233" s="1296">
        <v>88.1</v>
      </c>
      <c r="AN233" s="1296">
        <v>80.5</v>
      </c>
      <c r="AO233" s="1296">
        <v>74</v>
      </c>
      <c r="AP233" s="1296">
        <v>69.5</v>
      </c>
      <c r="AQ233" s="1296">
        <v>64.5</v>
      </c>
      <c r="AR233" s="1296">
        <v>60.1</v>
      </c>
      <c r="AS233" s="1296">
        <v>56.25</v>
      </c>
      <c r="AT233" s="1296">
        <v>52.8</v>
      </c>
      <c r="AU233" s="1296">
        <v>49.7</v>
      </c>
      <c r="AW233" s="1295">
        <v>16</v>
      </c>
      <c r="AX233" s="1297">
        <v>89.35</v>
      </c>
      <c r="AY233" s="1297">
        <v>79.2</v>
      </c>
      <c r="AZ233" s="1297">
        <v>70.849999999999994</v>
      </c>
      <c r="BA233" s="1297">
        <v>63.9</v>
      </c>
      <c r="BB233" s="1297">
        <v>58.05</v>
      </c>
      <c r="BC233" s="1297">
        <v>53.85</v>
      </c>
      <c r="BD233" s="1297">
        <v>49.45</v>
      </c>
      <c r="BE233" s="1297">
        <v>45.6</v>
      </c>
      <c r="BF233" s="1297">
        <v>42.25</v>
      </c>
      <c r="BG233" s="1297">
        <v>39.25</v>
      </c>
      <c r="BH233" s="1297">
        <v>36.65</v>
      </c>
      <c r="BK233" s="1295">
        <v>16</v>
      </c>
      <c r="BL233" s="1297">
        <v>89.3</v>
      </c>
      <c r="BM233" s="1297">
        <v>79.150000000000006</v>
      </c>
      <c r="BN233" s="1297">
        <v>70.849999999999994</v>
      </c>
      <c r="BO233" s="1297">
        <v>63.85</v>
      </c>
      <c r="BP233" s="1297">
        <v>58</v>
      </c>
      <c r="BQ233" s="1297">
        <v>53.8</v>
      </c>
      <c r="BR233" s="1297">
        <v>49.35</v>
      </c>
      <c r="BS233" s="1297">
        <v>45.55</v>
      </c>
      <c r="BT233" s="1297">
        <v>42.15</v>
      </c>
      <c r="BU233" s="1297">
        <v>39.200000000000003</v>
      </c>
      <c r="BV233" s="1297">
        <v>36.6</v>
      </c>
      <c r="CO233" s="1283">
        <v>65</v>
      </c>
      <c r="CP233" s="1246">
        <v>6.75</v>
      </c>
      <c r="CQ233" s="1246" t="s">
        <v>39</v>
      </c>
      <c r="CR233" s="1246" t="s">
        <v>39</v>
      </c>
      <c r="CS233" s="1246" t="s">
        <v>39</v>
      </c>
      <c r="CT233" s="1246" t="s">
        <v>39</v>
      </c>
      <c r="CU233" s="1246" t="s">
        <v>39</v>
      </c>
      <c r="CV233" s="1246"/>
      <c r="CW233" s="1246" t="s">
        <v>844</v>
      </c>
      <c r="CX233" s="1246" t="s">
        <v>39</v>
      </c>
      <c r="CY233" s="1246" t="s">
        <v>39</v>
      </c>
      <c r="CZ233" s="1246" t="s">
        <v>39</v>
      </c>
      <c r="DA233" s="1246" t="s">
        <v>39</v>
      </c>
      <c r="DB233" s="1246" t="s">
        <v>39</v>
      </c>
      <c r="DC233" s="1246" t="s">
        <v>39</v>
      </c>
      <c r="DD233" s="1246" t="s">
        <v>39</v>
      </c>
      <c r="DE233" s="1246" t="s">
        <v>39</v>
      </c>
    </row>
    <row r="234" spans="2:138" ht="15" customHeight="1">
      <c r="B234" s="1208">
        <v>46</v>
      </c>
      <c r="C234" s="1258">
        <v>0</v>
      </c>
      <c r="D234" s="1258">
        <v>0</v>
      </c>
      <c r="E234" s="1258">
        <v>0</v>
      </c>
      <c r="F234" s="1258">
        <v>0</v>
      </c>
      <c r="G234" s="1258">
        <v>128.05000000000001</v>
      </c>
      <c r="H234" s="1258">
        <v>115.6</v>
      </c>
      <c r="I234" s="1258">
        <v>104.85</v>
      </c>
      <c r="J234" s="1258">
        <v>95.95</v>
      </c>
      <c r="K234" s="1258">
        <v>88.45</v>
      </c>
      <c r="L234" s="1258">
        <v>82.05</v>
      </c>
      <c r="M234" s="1258">
        <v>76.55</v>
      </c>
      <c r="N234" s="1258">
        <v>71.75</v>
      </c>
      <c r="O234" s="1258">
        <v>67.55</v>
      </c>
      <c r="P234" s="1258">
        <v>63.9</v>
      </c>
      <c r="Q234" s="1258">
        <v>60.65</v>
      </c>
      <c r="R234" s="1258">
        <v>0</v>
      </c>
      <c r="S234" s="1258">
        <v>0</v>
      </c>
      <c r="T234" s="1258">
        <v>0</v>
      </c>
      <c r="U234" s="1258">
        <v>0</v>
      </c>
      <c r="V234" s="1258">
        <v>0</v>
      </c>
      <c r="W234" s="1258">
        <v>0</v>
      </c>
      <c r="X234" s="1258">
        <v>0</v>
      </c>
      <c r="Y234" s="1258">
        <v>0</v>
      </c>
      <c r="Z234" s="1258">
        <v>0</v>
      </c>
      <c r="AA234" s="1258">
        <v>0</v>
      </c>
      <c r="AB234" s="1258">
        <v>0</v>
      </c>
      <c r="AC234" s="1258">
        <v>0</v>
      </c>
      <c r="AD234" s="1258">
        <v>0</v>
      </c>
      <c r="AE234" s="1258">
        <v>0</v>
      </c>
      <c r="AF234" s="1258">
        <v>0</v>
      </c>
      <c r="AG234" s="1258">
        <v>0</v>
      </c>
      <c r="AL234" s="832">
        <v>21</v>
      </c>
      <c r="AM234" s="1296">
        <v>88.1</v>
      </c>
      <c r="AN234" s="1296">
        <v>80.55</v>
      </c>
      <c r="AO234" s="1296">
        <v>74.05</v>
      </c>
      <c r="AP234" s="1296">
        <v>69.5</v>
      </c>
      <c r="AQ234" s="1296">
        <v>64.55</v>
      </c>
      <c r="AR234" s="1296">
        <v>60.15</v>
      </c>
      <c r="AS234" s="1296">
        <v>56.3</v>
      </c>
      <c r="AT234" s="1296">
        <v>52.8</v>
      </c>
      <c r="AU234" s="1296">
        <v>49.75</v>
      </c>
      <c r="AW234" s="1295">
        <v>17</v>
      </c>
      <c r="AX234" s="1297">
        <v>89.4</v>
      </c>
      <c r="AY234" s="1297">
        <v>79.25</v>
      </c>
      <c r="AZ234" s="1297">
        <v>70.900000000000006</v>
      </c>
      <c r="BA234" s="1297">
        <v>63.95</v>
      </c>
      <c r="BB234" s="1297">
        <v>58.1</v>
      </c>
      <c r="BC234" s="1297">
        <v>53.9</v>
      </c>
      <c r="BD234" s="1297">
        <v>49.45</v>
      </c>
      <c r="BE234" s="1297">
        <v>45.6</v>
      </c>
      <c r="BF234" s="1297">
        <v>42.25</v>
      </c>
      <c r="BG234" s="1297">
        <v>39.299999999999997</v>
      </c>
      <c r="BH234" s="1297">
        <v>36.700000000000003</v>
      </c>
      <c r="BK234" s="1295">
        <v>17</v>
      </c>
      <c r="BL234" s="1297">
        <v>89.35</v>
      </c>
      <c r="BM234" s="1297">
        <v>79.2</v>
      </c>
      <c r="BN234" s="1297">
        <v>70.849999999999994</v>
      </c>
      <c r="BO234" s="1297">
        <v>63.9</v>
      </c>
      <c r="BP234" s="1297">
        <v>58.05</v>
      </c>
      <c r="BQ234" s="1297">
        <v>53.85</v>
      </c>
      <c r="BR234" s="1297">
        <v>49.4</v>
      </c>
      <c r="BS234" s="1297">
        <v>45.55</v>
      </c>
      <c r="BT234" s="1297">
        <v>42.2</v>
      </c>
      <c r="BU234" s="1297">
        <v>39.25</v>
      </c>
      <c r="BV234" s="1297">
        <v>36.6</v>
      </c>
    </row>
    <row r="235" spans="2:138" ht="15" customHeight="1">
      <c r="B235" s="1208">
        <v>47</v>
      </c>
      <c r="C235" s="1258">
        <v>0</v>
      </c>
      <c r="D235" s="1258">
        <v>0</v>
      </c>
      <c r="E235" s="1258">
        <v>0</v>
      </c>
      <c r="F235" s="1258">
        <v>144.69999999999999</v>
      </c>
      <c r="G235" s="1258">
        <v>128.4</v>
      </c>
      <c r="H235" s="1258">
        <v>116</v>
      </c>
      <c r="I235" s="1258">
        <v>105.3</v>
      </c>
      <c r="J235" s="1258">
        <v>96.4</v>
      </c>
      <c r="K235" s="1258">
        <v>88.9</v>
      </c>
      <c r="L235" s="1258">
        <v>82.55</v>
      </c>
      <c r="M235" s="1258">
        <v>77.05</v>
      </c>
      <c r="N235" s="1258">
        <v>72.3</v>
      </c>
      <c r="O235" s="1258">
        <v>68.150000000000006</v>
      </c>
      <c r="P235" s="1258">
        <v>64.5</v>
      </c>
      <c r="Q235" s="1258">
        <v>0</v>
      </c>
      <c r="R235" s="1258">
        <v>0</v>
      </c>
      <c r="S235" s="1258">
        <v>0</v>
      </c>
      <c r="T235" s="1258">
        <v>0</v>
      </c>
      <c r="U235" s="1258">
        <v>0</v>
      </c>
      <c r="V235" s="1258">
        <v>0</v>
      </c>
      <c r="W235" s="1258">
        <v>0</v>
      </c>
      <c r="X235" s="1258">
        <v>0</v>
      </c>
      <c r="Y235" s="1258">
        <v>0</v>
      </c>
      <c r="Z235" s="1258">
        <v>0</v>
      </c>
      <c r="AA235" s="1258">
        <v>0</v>
      </c>
      <c r="AB235" s="1258">
        <v>0</v>
      </c>
      <c r="AC235" s="1258">
        <v>0</v>
      </c>
      <c r="AD235" s="1258">
        <v>0</v>
      </c>
      <c r="AE235" s="1258">
        <v>0</v>
      </c>
      <c r="AF235" s="1258">
        <v>0</v>
      </c>
      <c r="AG235" s="1258">
        <v>0</v>
      </c>
      <c r="AL235" s="832">
        <v>22</v>
      </c>
      <c r="AM235" s="1296">
        <v>88.15</v>
      </c>
      <c r="AN235" s="1296">
        <v>80.55</v>
      </c>
      <c r="AO235" s="1296">
        <v>74.05</v>
      </c>
      <c r="AP235" s="1296">
        <v>69.55</v>
      </c>
      <c r="AQ235" s="1296">
        <v>64.55</v>
      </c>
      <c r="AR235" s="1296">
        <v>60.2</v>
      </c>
      <c r="AS235" s="1296">
        <v>56.3</v>
      </c>
      <c r="AT235" s="1296">
        <v>52.9</v>
      </c>
      <c r="AU235" s="1296">
        <v>49.8</v>
      </c>
      <c r="AW235" s="1295">
        <v>18</v>
      </c>
      <c r="AX235" s="1297">
        <v>89.4</v>
      </c>
      <c r="AY235" s="1297">
        <v>79.25</v>
      </c>
      <c r="AZ235" s="1297">
        <v>70.95</v>
      </c>
      <c r="BA235" s="1297">
        <v>64</v>
      </c>
      <c r="BB235" s="1297">
        <v>58.1</v>
      </c>
      <c r="BC235" s="1297">
        <v>53.9</v>
      </c>
      <c r="BD235" s="1297">
        <v>49.5</v>
      </c>
      <c r="BE235" s="1297">
        <v>45.65</v>
      </c>
      <c r="BF235" s="1297">
        <v>42.3</v>
      </c>
      <c r="BG235" s="1297">
        <v>39.35</v>
      </c>
      <c r="BH235" s="1297">
        <v>36.700000000000003</v>
      </c>
      <c r="BK235" s="1295">
        <v>18</v>
      </c>
      <c r="BL235" s="1297">
        <v>89.4</v>
      </c>
      <c r="BM235" s="1297">
        <v>79.2</v>
      </c>
      <c r="BN235" s="1297">
        <v>70.900000000000006</v>
      </c>
      <c r="BO235" s="1297">
        <v>63.95</v>
      </c>
      <c r="BP235" s="1297">
        <v>58.05</v>
      </c>
      <c r="BQ235" s="1297">
        <v>53.85</v>
      </c>
      <c r="BR235" s="1297">
        <v>49.45</v>
      </c>
      <c r="BS235" s="1297">
        <v>45.6</v>
      </c>
      <c r="BT235" s="1297">
        <v>42.25</v>
      </c>
      <c r="BU235" s="1297">
        <v>39.25</v>
      </c>
      <c r="BV235" s="1297">
        <v>36.65</v>
      </c>
    </row>
    <row r="236" spans="2:138" ht="15" customHeight="1">
      <c r="B236" s="1208">
        <v>48</v>
      </c>
      <c r="C236" s="1258">
        <v>0</v>
      </c>
      <c r="D236" s="1258">
        <v>0</v>
      </c>
      <c r="E236" s="1258">
        <v>166.1</v>
      </c>
      <c r="F236" s="1258">
        <v>145.1</v>
      </c>
      <c r="G236" s="1258">
        <v>128.80000000000001</v>
      </c>
      <c r="H236" s="1258">
        <v>116.4</v>
      </c>
      <c r="I236" s="1258">
        <v>105.75</v>
      </c>
      <c r="J236" s="1258">
        <v>96.85</v>
      </c>
      <c r="K236" s="1258">
        <v>89.4</v>
      </c>
      <c r="L236" s="1258">
        <v>83.05</v>
      </c>
      <c r="M236" s="1258">
        <v>77.599999999999994</v>
      </c>
      <c r="N236" s="1258">
        <v>72.849999999999994</v>
      </c>
      <c r="O236" s="1258">
        <v>68.75</v>
      </c>
      <c r="P236" s="1258">
        <v>0</v>
      </c>
      <c r="Q236" s="1258">
        <v>0</v>
      </c>
      <c r="R236" s="1258">
        <v>0</v>
      </c>
      <c r="S236" s="1258">
        <v>0</v>
      </c>
      <c r="T236" s="1258">
        <v>0</v>
      </c>
      <c r="U236" s="1258">
        <v>0</v>
      </c>
      <c r="V236" s="1258">
        <v>0</v>
      </c>
      <c r="W236" s="1258">
        <v>0</v>
      </c>
      <c r="X236" s="1258">
        <v>0</v>
      </c>
      <c r="Y236" s="1258">
        <v>0</v>
      </c>
      <c r="Z236" s="1258">
        <v>0</v>
      </c>
      <c r="AA236" s="1258">
        <v>0</v>
      </c>
      <c r="AB236" s="1258">
        <v>0</v>
      </c>
      <c r="AC236" s="1258">
        <v>0</v>
      </c>
      <c r="AD236" s="1258">
        <v>0</v>
      </c>
      <c r="AE236" s="1258">
        <v>0</v>
      </c>
      <c r="AF236" s="1258">
        <v>0</v>
      </c>
      <c r="AG236" s="1258">
        <v>0</v>
      </c>
      <c r="AL236" s="832">
        <v>23</v>
      </c>
      <c r="AM236" s="1296">
        <v>88.15</v>
      </c>
      <c r="AN236" s="1296">
        <v>80.55</v>
      </c>
      <c r="AO236" s="1296">
        <v>74.099999999999994</v>
      </c>
      <c r="AP236" s="1296">
        <v>69.55</v>
      </c>
      <c r="AQ236" s="1296">
        <v>64.599999999999994</v>
      </c>
      <c r="AR236" s="1296">
        <v>60.25</v>
      </c>
      <c r="AS236" s="1296">
        <v>56.35</v>
      </c>
      <c r="AT236" s="1296">
        <v>52.95</v>
      </c>
      <c r="AU236" s="1296">
        <v>49.85</v>
      </c>
      <c r="AW236" s="1295">
        <v>19</v>
      </c>
      <c r="AX236" s="1297">
        <v>89.45</v>
      </c>
      <c r="AY236" s="1297">
        <v>79.3</v>
      </c>
      <c r="AZ236" s="1297">
        <v>70.95</v>
      </c>
      <c r="BA236" s="1297">
        <v>64</v>
      </c>
      <c r="BB236" s="1297">
        <v>58.15</v>
      </c>
      <c r="BC236" s="1297">
        <v>53.95</v>
      </c>
      <c r="BD236" s="1297">
        <v>49.5</v>
      </c>
      <c r="BE236" s="1297">
        <v>45.7</v>
      </c>
      <c r="BF236" s="1297">
        <v>42.3</v>
      </c>
      <c r="BG236" s="1297">
        <v>39.35</v>
      </c>
      <c r="BH236" s="1297">
        <v>36.75</v>
      </c>
      <c r="BK236" s="1295">
        <v>19</v>
      </c>
      <c r="BL236" s="1297">
        <v>89.4</v>
      </c>
      <c r="BM236" s="1297">
        <v>79.25</v>
      </c>
      <c r="BN236" s="1297">
        <v>70.900000000000006</v>
      </c>
      <c r="BO236" s="1297">
        <v>63.95</v>
      </c>
      <c r="BP236" s="1297">
        <v>58.1</v>
      </c>
      <c r="BQ236" s="1297">
        <v>53.9</v>
      </c>
      <c r="BR236" s="1297">
        <v>49.45</v>
      </c>
      <c r="BS236" s="1297">
        <v>45.6</v>
      </c>
      <c r="BT236" s="1297">
        <v>42.25</v>
      </c>
      <c r="BU236" s="1297">
        <v>39.299999999999997</v>
      </c>
      <c r="BV236" s="1297">
        <v>36.65</v>
      </c>
    </row>
    <row r="237" spans="2:138" ht="15" customHeight="1">
      <c r="B237" s="1208">
        <v>49</v>
      </c>
      <c r="C237" s="1258">
        <v>0</v>
      </c>
      <c r="D237" s="1220">
        <v>194.6</v>
      </c>
      <c r="E237" s="1208">
        <v>166.5</v>
      </c>
      <c r="F237" s="1208">
        <v>145.5</v>
      </c>
      <c r="G237" s="1208">
        <v>129.19999999999999</v>
      </c>
      <c r="H237" s="1208">
        <v>116.9</v>
      </c>
      <c r="I237" s="1208">
        <v>106.2</v>
      </c>
      <c r="J237" s="1208">
        <v>97.4</v>
      </c>
      <c r="K237" s="1208">
        <v>89.95</v>
      </c>
      <c r="L237" s="1208">
        <v>83.65</v>
      </c>
      <c r="M237" s="1208">
        <v>78.2</v>
      </c>
      <c r="N237" s="1208">
        <v>73.5</v>
      </c>
      <c r="O237" s="1258">
        <v>0</v>
      </c>
      <c r="P237" s="1258">
        <v>0</v>
      </c>
      <c r="Q237" s="1258">
        <v>0</v>
      </c>
      <c r="R237" s="1258">
        <v>0</v>
      </c>
      <c r="S237" s="1258">
        <v>0</v>
      </c>
      <c r="T237" s="1258">
        <v>0</v>
      </c>
      <c r="U237" s="1258">
        <v>0</v>
      </c>
      <c r="V237" s="1258">
        <v>0</v>
      </c>
      <c r="W237" s="1258">
        <v>0</v>
      </c>
      <c r="X237" s="1258">
        <v>0</v>
      </c>
      <c r="Y237" s="1258">
        <v>0</v>
      </c>
      <c r="Z237" s="1258">
        <v>0</v>
      </c>
      <c r="AA237" s="1258">
        <v>0</v>
      </c>
      <c r="AB237" s="1258">
        <v>0</v>
      </c>
      <c r="AC237" s="1258">
        <v>0</v>
      </c>
      <c r="AD237" s="1258">
        <v>0</v>
      </c>
      <c r="AE237" s="1258">
        <v>0</v>
      </c>
      <c r="AF237" s="1258">
        <v>0</v>
      </c>
      <c r="AG237" s="1258">
        <v>0</v>
      </c>
      <c r="AL237" s="832">
        <v>24</v>
      </c>
      <c r="AM237" s="1296">
        <v>88.15</v>
      </c>
      <c r="AN237" s="1296">
        <v>80.599999999999994</v>
      </c>
      <c r="AO237" s="1296">
        <v>74.150000000000006</v>
      </c>
      <c r="AP237" s="1296">
        <v>69.599999999999994</v>
      </c>
      <c r="AQ237" s="1296">
        <v>64.650000000000006</v>
      </c>
      <c r="AR237" s="1296">
        <v>60.3</v>
      </c>
      <c r="AS237" s="1296">
        <v>56.45</v>
      </c>
      <c r="AT237" s="1296">
        <v>53</v>
      </c>
      <c r="AU237" s="1296">
        <v>49.95</v>
      </c>
      <c r="AW237" s="1295">
        <v>20</v>
      </c>
      <c r="AX237" s="1297">
        <v>89.45</v>
      </c>
      <c r="AY237" s="1297">
        <v>79.3</v>
      </c>
      <c r="AZ237" s="1297">
        <v>70.95</v>
      </c>
      <c r="BA237" s="1297">
        <v>64.05</v>
      </c>
      <c r="BB237" s="1297">
        <v>58.15</v>
      </c>
      <c r="BC237" s="1297">
        <v>53.95</v>
      </c>
      <c r="BD237" s="1297">
        <v>49.55</v>
      </c>
      <c r="BE237" s="1297">
        <v>45.7</v>
      </c>
      <c r="BF237" s="1297">
        <v>42.35</v>
      </c>
      <c r="BG237" s="1297">
        <v>39.4</v>
      </c>
      <c r="BH237" s="1297">
        <v>36.75</v>
      </c>
      <c r="BK237" s="1295">
        <v>20</v>
      </c>
      <c r="BL237" s="1297">
        <v>89.4</v>
      </c>
      <c r="BM237" s="1297">
        <v>79.25</v>
      </c>
      <c r="BN237" s="1297">
        <v>70.900000000000006</v>
      </c>
      <c r="BO237" s="1297">
        <v>63.95</v>
      </c>
      <c r="BP237" s="1297">
        <v>58.1</v>
      </c>
      <c r="BQ237" s="1297">
        <v>53.9</v>
      </c>
      <c r="BR237" s="1297">
        <v>49.45</v>
      </c>
      <c r="BS237" s="1297">
        <v>45.65</v>
      </c>
      <c r="BT237" s="1297">
        <v>42.25</v>
      </c>
      <c r="BU237" s="1297">
        <v>39.299999999999997</v>
      </c>
      <c r="BV237" s="1297">
        <v>36.700000000000003</v>
      </c>
    </row>
    <row r="238" spans="2:138" ht="15" customHeight="1">
      <c r="B238" s="1208">
        <v>50</v>
      </c>
      <c r="C238" s="1220">
        <v>234.45</v>
      </c>
      <c r="D238" s="1220">
        <v>194.95</v>
      </c>
      <c r="E238" s="1208">
        <v>166.9</v>
      </c>
      <c r="F238" s="1208">
        <v>145.94999999999999</v>
      </c>
      <c r="G238" s="1208">
        <v>129.69999999999999</v>
      </c>
      <c r="H238" s="1208">
        <v>117.4</v>
      </c>
      <c r="I238" s="1208">
        <v>106.75</v>
      </c>
      <c r="J238" s="1208">
        <v>97.95</v>
      </c>
      <c r="K238" s="1208">
        <v>90.55</v>
      </c>
      <c r="L238" s="1208">
        <v>84.25</v>
      </c>
      <c r="M238" s="1208">
        <v>78.849999999999994</v>
      </c>
      <c r="N238" s="1258">
        <v>0</v>
      </c>
      <c r="O238" s="1258">
        <v>0</v>
      </c>
      <c r="P238" s="1258">
        <v>0</v>
      </c>
      <c r="Q238" s="1258">
        <v>0</v>
      </c>
      <c r="R238" s="1258">
        <v>0</v>
      </c>
      <c r="S238" s="1258">
        <v>0</v>
      </c>
      <c r="T238" s="1258">
        <v>0</v>
      </c>
      <c r="U238" s="1258">
        <v>0</v>
      </c>
      <c r="V238" s="1258">
        <v>0</v>
      </c>
      <c r="W238" s="1258">
        <v>0</v>
      </c>
      <c r="X238" s="1258">
        <v>0</v>
      </c>
      <c r="Y238" s="1258">
        <v>0</v>
      </c>
      <c r="Z238" s="1258">
        <v>0</v>
      </c>
      <c r="AA238" s="1258">
        <v>0</v>
      </c>
      <c r="AB238" s="1258">
        <v>0</v>
      </c>
      <c r="AC238" s="1258">
        <v>0</v>
      </c>
      <c r="AD238" s="1258">
        <v>0</v>
      </c>
      <c r="AE238" s="1258">
        <v>0</v>
      </c>
      <c r="AF238" s="1258">
        <v>0</v>
      </c>
      <c r="AG238" s="1258">
        <v>0</v>
      </c>
      <c r="AL238" s="832">
        <v>25</v>
      </c>
      <c r="AM238" s="1296">
        <v>88.2</v>
      </c>
      <c r="AN238" s="1296">
        <v>80.650000000000006</v>
      </c>
      <c r="AO238" s="1296">
        <v>74.150000000000006</v>
      </c>
      <c r="AP238" s="1296">
        <v>69.650000000000006</v>
      </c>
      <c r="AQ238" s="1296">
        <v>64.7</v>
      </c>
      <c r="AR238" s="1296">
        <v>60.35</v>
      </c>
      <c r="AS238" s="1296">
        <v>56.5</v>
      </c>
      <c r="AT238" s="1296">
        <v>53.1</v>
      </c>
      <c r="AU238" s="1296">
        <v>50</v>
      </c>
      <c r="AW238" s="1295">
        <v>21</v>
      </c>
      <c r="AX238" s="1297">
        <v>89.5</v>
      </c>
      <c r="AY238" s="1297">
        <v>79.3</v>
      </c>
      <c r="AZ238" s="1297">
        <v>71</v>
      </c>
      <c r="BA238" s="1297">
        <v>64.05</v>
      </c>
      <c r="BB238" s="1297">
        <v>58.15</v>
      </c>
      <c r="BC238" s="1297">
        <v>54</v>
      </c>
      <c r="BD238" s="1297">
        <v>49.55</v>
      </c>
      <c r="BE238" s="1297">
        <v>45.7</v>
      </c>
      <c r="BF238" s="1297">
        <v>42.35</v>
      </c>
      <c r="BG238" s="1297">
        <v>39.4</v>
      </c>
      <c r="BH238" s="1297">
        <v>36.799999999999997</v>
      </c>
      <c r="BK238" s="1295">
        <v>21</v>
      </c>
      <c r="BL238" s="1297">
        <v>89.45</v>
      </c>
      <c r="BM238" s="1297">
        <v>79.3</v>
      </c>
      <c r="BN238" s="1297">
        <v>70.95</v>
      </c>
      <c r="BO238" s="1297">
        <v>64</v>
      </c>
      <c r="BP238" s="1297">
        <v>58.1</v>
      </c>
      <c r="BQ238" s="1297">
        <v>53.9</v>
      </c>
      <c r="BR238" s="1297">
        <v>49.5</v>
      </c>
      <c r="BS238" s="1297">
        <v>45.65</v>
      </c>
      <c r="BT238" s="1297">
        <v>42.3</v>
      </c>
      <c r="BU238" s="1297">
        <v>39.35</v>
      </c>
      <c r="BV238" s="1297">
        <v>36.700000000000003</v>
      </c>
      <c r="CP238" s="1205" t="str">
        <f>LOOKUP($B$1,$CO240:$CO280,CP240:CP280)</f>
        <v>-</v>
      </c>
      <c r="CQ238" s="1205" t="str">
        <f t="shared" ref="CQ238:DT238" si="37">LOOKUP($B$1,$CO240:$CO280,CQ240:CQ280)</f>
        <v>-</v>
      </c>
      <c r="CR238" s="1205" t="str">
        <f t="shared" si="37"/>
        <v>-</v>
      </c>
      <c r="CS238" s="1205" t="str">
        <f t="shared" si="37"/>
        <v>-</v>
      </c>
      <c r="CT238" s="1205" t="str">
        <f t="shared" si="37"/>
        <v>-</v>
      </c>
      <c r="CU238" s="1205" t="str">
        <f t="shared" si="37"/>
        <v>-</v>
      </c>
      <c r="CV238" s="1205" t="str">
        <f t="shared" si="37"/>
        <v>-</v>
      </c>
      <c r="CW238" s="1205" t="str">
        <f t="shared" si="37"/>
        <v>-</v>
      </c>
      <c r="CX238" s="1205" t="str">
        <f t="shared" si="37"/>
        <v>-</v>
      </c>
      <c r="CY238" s="1205" t="str">
        <f t="shared" si="37"/>
        <v>-</v>
      </c>
      <c r="CZ238" s="1205" t="str">
        <f t="shared" si="37"/>
        <v>-</v>
      </c>
      <c r="DA238" s="1205" t="str">
        <f t="shared" si="37"/>
        <v>-</v>
      </c>
      <c r="DB238" s="1205" t="str">
        <f t="shared" si="37"/>
        <v>-</v>
      </c>
      <c r="DC238" s="1205" t="str">
        <f t="shared" si="37"/>
        <v>-</v>
      </c>
      <c r="DD238" s="1205" t="str">
        <f t="shared" si="37"/>
        <v>-</v>
      </c>
      <c r="DE238" s="1205" t="str">
        <f t="shared" si="37"/>
        <v>-</v>
      </c>
      <c r="DF238" s="1205" t="str">
        <f t="shared" si="37"/>
        <v>-</v>
      </c>
      <c r="DG238" s="1205" t="str">
        <f t="shared" si="37"/>
        <v>-</v>
      </c>
      <c r="DH238" s="1205" t="str">
        <f t="shared" si="37"/>
        <v>-</v>
      </c>
      <c r="DI238" s="1205" t="str">
        <f t="shared" si="37"/>
        <v>-</v>
      </c>
      <c r="DJ238" s="1205">
        <f t="shared" si="37"/>
        <v>3.9</v>
      </c>
      <c r="DK238" s="1205">
        <f t="shared" si="37"/>
        <v>4.3</v>
      </c>
      <c r="DL238" s="1205">
        <f t="shared" si="37"/>
        <v>4.7</v>
      </c>
      <c r="DM238" s="1205">
        <f t="shared" si="37"/>
        <v>5.0999999999999996</v>
      </c>
      <c r="DN238" s="1205">
        <f t="shared" si="37"/>
        <v>5.55</v>
      </c>
      <c r="DO238" s="1205">
        <f t="shared" si="37"/>
        <v>6</v>
      </c>
      <c r="DP238" s="1205">
        <f t="shared" si="37"/>
        <v>6.5</v>
      </c>
      <c r="DQ238" s="1205">
        <f t="shared" si="37"/>
        <v>6.95</v>
      </c>
      <c r="DR238" s="1205">
        <f t="shared" si="37"/>
        <v>7.5</v>
      </c>
      <c r="DS238" s="1205">
        <f t="shared" si="37"/>
        <v>8</v>
      </c>
      <c r="DT238" s="1205">
        <f t="shared" si="37"/>
        <v>8.5500000000000007</v>
      </c>
      <c r="DZ238" s="1205">
        <f>LOOKUP($B$1,$DY240:$DY273,DZ240:DZ273)</f>
        <v>0.35</v>
      </c>
      <c r="EA238" s="1205">
        <f t="shared" ref="EA238:EH238" si="38">LOOKUP($B$1,$DY240:$DY273,EA240:EA273)</f>
        <v>0.4</v>
      </c>
      <c r="EB238" s="1205">
        <f t="shared" si="38"/>
        <v>0.4</v>
      </c>
      <c r="EC238" s="1205">
        <f t="shared" si="38"/>
        <v>0.45</v>
      </c>
      <c r="ED238" s="1205">
        <f t="shared" si="38"/>
        <v>0.5</v>
      </c>
      <c r="EE238" s="1205">
        <f t="shared" si="38"/>
        <v>0.5</v>
      </c>
      <c r="EF238" s="1205">
        <f t="shared" si="38"/>
        <v>0.55000000000000004</v>
      </c>
      <c r="EG238" s="1205">
        <f t="shared" si="38"/>
        <v>0.6</v>
      </c>
      <c r="EH238" s="1205">
        <f t="shared" si="38"/>
        <v>0.65</v>
      </c>
    </row>
    <row r="239" spans="2:138" ht="15" customHeight="1">
      <c r="B239" s="1208">
        <v>51</v>
      </c>
      <c r="C239" s="1220">
        <v>234.8</v>
      </c>
      <c r="D239" s="1220">
        <v>195.35</v>
      </c>
      <c r="E239" s="1208">
        <v>167.35</v>
      </c>
      <c r="F239" s="1208">
        <v>146.4</v>
      </c>
      <c r="G239" s="1208">
        <v>130.19999999999999</v>
      </c>
      <c r="H239" s="1208">
        <v>117.9</v>
      </c>
      <c r="I239" s="1208">
        <v>107.3</v>
      </c>
      <c r="J239" s="1208">
        <v>98.55</v>
      </c>
      <c r="K239" s="1208">
        <v>91.15</v>
      </c>
      <c r="L239" s="1208">
        <v>84.9</v>
      </c>
      <c r="M239" s="1258">
        <v>0</v>
      </c>
      <c r="N239" s="1258">
        <v>0</v>
      </c>
      <c r="O239" s="1258">
        <v>0</v>
      </c>
      <c r="P239" s="1258">
        <v>0</v>
      </c>
      <c r="Q239" s="1258">
        <v>0</v>
      </c>
      <c r="R239" s="1258">
        <v>0</v>
      </c>
      <c r="S239" s="1258">
        <v>0</v>
      </c>
      <c r="T239" s="1258">
        <v>0</v>
      </c>
      <c r="U239" s="1258">
        <v>0</v>
      </c>
      <c r="V239" s="1258">
        <v>0</v>
      </c>
      <c r="W239" s="1258">
        <v>0</v>
      </c>
      <c r="X239" s="1258">
        <v>0</v>
      </c>
      <c r="Y239" s="1258">
        <v>0</v>
      </c>
      <c r="Z239" s="1258">
        <v>0</v>
      </c>
      <c r="AA239" s="1258">
        <v>0</v>
      </c>
      <c r="AB239" s="1258">
        <v>0</v>
      </c>
      <c r="AC239" s="1258">
        <v>0</v>
      </c>
      <c r="AD239" s="1258">
        <v>0</v>
      </c>
      <c r="AE239" s="1258">
        <v>0</v>
      </c>
      <c r="AF239" s="1258">
        <v>0</v>
      </c>
      <c r="AG239" s="1258">
        <v>0</v>
      </c>
      <c r="AL239" s="832">
        <v>26</v>
      </c>
      <c r="AM239" s="1296">
        <v>88.25</v>
      </c>
      <c r="AN239" s="1296">
        <v>80.650000000000006</v>
      </c>
      <c r="AO239" s="1296">
        <v>74.2</v>
      </c>
      <c r="AP239" s="1296">
        <v>69.7</v>
      </c>
      <c r="AQ239" s="1296">
        <v>64.75</v>
      </c>
      <c r="AR239" s="1296">
        <v>60.4</v>
      </c>
      <c r="AS239" s="1296">
        <v>56.6</v>
      </c>
      <c r="AT239" s="1296">
        <v>53.15</v>
      </c>
      <c r="AU239" s="1296">
        <v>50.1</v>
      </c>
      <c r="AW239" s="1295">
        <v>22</v>
      </c>
      <c r="AX239" s="1297">
        <v>89.5</v>
      </c>
      <c r="AY239" s="1297">
        <v>79.349999999999994</v>
      </c>
      <c r="AZ239" s="1297">
        <v>71</v>
      </c>
      <c r="BA239" s="1297">
        <v>64.05</v>
      </c>
      <c r="BB239" s="1297">
        <v>58.2</v>
      </c>
      <c r="BC239" s="1297">
        <v>54</v>
      </c>
      <c r="BD239" s="1297">
        <v>49.55</v>
      </c>
      <c r="BE239" s="1297">
        <v>45.75</v>
      </c>
      <c r="BF239" s="1297">
        <v>42.4</v>
      </c>
      <c r="BG239" s="1297">
        <v>39.450000000000003</v>
      </c>
      <c r="BH239" s="1297">
        <v>36.799999999999997</v>
      </c>
      <c r="BK239" s="1295">
        <v>22</v>
      </c>
      <c r="BL239" s="1297">
        <v>89.45</v>
      </c>
      <c r="BM239" s="1297">
        <v>79.3</v>
      </c>
      <c r="BN239" s="1297">
        <v>70.95</v>
      </c>
      <c r="BO239" s="1297">
        <v>64</v>
      </c>
      <c r="BP239" s="1297">
        <v>58.15</v>
      </c>
      <c r="BQ239" s="1297">
        <v>53.95</v>
      </c>
      <c r="BR239" s="1297">
        <v>49.5</v>
      </c>
      <c r="BS239" s="1297">
        <v>45.65</v>
      </c>
      <c r="BT239" s="1297">
        <v>42.3</v>
      </c>
      <c r="BU239" s="1297">
        <v>39.35</v>
      </c>
      <c r="BV239" s="1297">
        <v>36.75</v>
      </c>
      <c r="CN239" s="824" t="s">
        <v>848</v>
      </c>
      <c r="CO239" s="1266">
        <v>818</v>
      </c>
      <c r="CP239" s="1289">
        <v>5</v>
      </c>
      <c r="CQ239" s="1289">
        <v>6</v>
      </c>
      <c r="CR239" s="1289">
        <v>7</v>
      </c>
      <c r="CS239" s="1289">
        <v>8</v>
      </c>
      <c r="CT239" s="1289">
        <v>9</v>
      </c>
      <c r="CU239" s="1291">
        <v>10</v>
      </c>
      <c r="CV239" s="1289">
        <v>11</v>
      </c>
      <c r="CW239" s="1290">
        <v>12</v>
      </c>
      <c r="CX239" s="1289">
        <v>13</v>
      </c>
      <c r="CY239" s="1291">
        <v>14</v>
      </c>
      <c r="CZ239" s="1289">
        <v>15</v>
      </c>
      <c r="DA239" s="1290">
        <v>16</v>
      </c>
      <c r="DB239" s="1289">
        <v>17</v>
      </c>
      <c r="DC239" s="1289">
        <v>18</v>
      </c>
      <c r="DD239" s="1290">
        <v>19</v>
      </c>
      <c r="DE239" s="1289">
        <v>20</v>
      </c>
      <c r="DF239" s="1237">
        <v>21</v>
      </c>
      <c r="DG239" s="1237">
        <v>22</v>
      </c>
      <c r="DH239" s="1237">
        <v>23</v>
      </c>
      <c r="DI239" s="1237">
        <v>24</v>
      </c>
      <c r="DJ239" s="1237">
        <v>25</v>
      </c>
      <c r="DK239" s="1237">
        <v>26</v>
      </c>
      <c r="DL239" s="1237">
        <v>27</v>
      </c>
      <c r="DM239" s="1237">
        <v>28</v>
      </c>
      <c r="DN239" s="1237">
        <v>29</v>
      </c>
      <c r="DO239" s="1237">
        <v>30</v>
      </c>
      <c r="DP239" s="1237">
        <v>31</v>
      </c>
      <c r="DQ239" s="1237">
        <v>32</v>
      </c>
      <c r="DR239" s="1237">
        <v>33</v>
      </c>
      <c r="DS239" s="1237">
        <v>34</v>
      </c>
      <c r="DT239" s="1237">
        <v>35</v>
      </c>
      <c r="DU239" s="1223"/>
      <c r="DY239" s="1223">
        <v>838</v>
      </c>
      <c r="DZ239" s="1262">
        <v>12</v>
      </c>
      <c r="EA239" s="1262">
        <v>13</v>
      </c>
      <c r="EB239" s="1262">
        <v>14</v>
      </c>
      <c r="EC239" s="1262">
        <v>15</v>
      </c>
      <c r="ED239" s="1262">
        <v>16</v>
      </c>
      <c r="EE239" s="1262">
        <v>17</v>
      </c>
      <c r="EF239" s="1262">
        <v>18</v>
      </c>
      <c r="EG239" s="1262">
        <v>19</v>
      </c>
      <c r="EH239" s="1262">
        <v>20</v>
      </c>
    </row>
    <row r="240" spans="2:138" ht="15" customHeight="1">
      <c r="B240" s="1208">
        <v>52</v>
      </c>
      <c r="C240" s="1220">
        <v>235.2</v>
      </c>
      <c r="D240" s="1220">
        <v>195.8</v>
      </c>
      <c r="E240" s="1208">
        <v>167.8</v>
      </c>
      <c r="F240" s="1208">
        <v>146.9</v>
      </c>
      <c r="G240" s="1208">
        <v>130.69999999999999</v>
      </c>
      <c r="H240" s="1208">
        <v>118.5</v>
      </c>
      <c r="I240" s="1208">
        <v>107.9</v>
      </c>
      <c r="J240" s="1208">
        <v>99.15</v>
      </c>
      <c r="K240" s="1208">
        <v>91.85</v>
      </c>
      <c r="L240" s="1258">
        <v>0</v>
      </c>
      <c r="M240" s="1258">
        <v>0</v>
      </c>
      <c r="N240" s="1258">
        <v>0</v>
      </c>
      <c r="O240" s="1258">
        <v>0</v>
      </c>
      <c r="P240" s="1258">
        <v>0</v>
      </c>
      <c r="Q240" s="1258">
        <v>0</v>
      </c>
      <c r="R240" s="1258">
        <v>0</v>
      </c>
      <c r="S240" s="1258">
        <v>0</v>
      </c>
      <c r="T240" s="1258">
        <v>0</v>
      </c>
      <c r="U240" s="1258">
        <v>0</v>
      </c>
      <c r="V240" s="1258">
        <v>0</v>
      </c>
      <c r="W240" s="1258">
        <v>0</v>
      </c>
      <c r="X240" s="1258">
        <v>0</v>
      </c>
      <c r="Y240" s="1258">
        <v>0</v>
      </c>
      <c r="Z240" s="1258">
        <v>0</v>
      </c>
      <c r="AA240" s="1258">
        <v>0</v>
      </c>
      <c r="AB240" s="1258">
        <v>0</v>
      </c>
      <c r="AC240" s="1258">
        <v>0</v>
      </c>
      <c r="AD240" s="1258">
        <v>0</v>
      </c>
      <c r="AE240" s="1258">
        <v>0</v>
      </c>
      <c r="AF240" s="1258">
        <v>0</v>
      </c>
      <c r="AG240" s="1258">
        <v>0</v>
      </c>
      <c r="AL240" s="832">
        <v>27</v>
      </c>
      <c r="AM240" s="1296">
        <v>88.25</v>
      </c>
      <c r="AN240" s="1296">
        <v>80.7</v>
      </c>
      <c r="AO240" s="1296">
        <v>74.25</v>
      </c>
      <c r="AP240" s="1296">
        <v>69.75</v>
      </c>
      <c r="AQ240" s="1296">
        <v>64.8</v>
      </c>
      <c r="AR240" s="1296">
        <v>60.5</v>
      </c>
      <c r="AS240" s="1296">
        <v>56.65</v>
      </c>
      <c r="AT240" s="1296">
        <v>53.25</v>
      </c>
      <c r="AU240" s="1296">
        <v>50.25</v>
      </c>
      <c r="AW240" s="1295">
        <v>23</v>
      </c>
      <c r="AX240" s="1297">
        <v>89.5</v>
      </c>
      <c r="AY240" s="1297">
        <v>79.349999999999994</v>
      </c>
      <c r="AZ240" s="1297">
        <v>71</v>
      </c>
      <c r="BA240" s="1297">
        <v>64.05</v>
      </c>
      <c r="BB240" s="1297">
        <v>58.2</v>
      </c>
      <c r="BC240" s="1297">
        <v>54</v>
      </c>
      <c r="BD240" s="1297">
        <v>49.6</v>
      </c>
      <c r="BE240" s="1297">
        <v>45.75</v>
      </c>
      <c r="BF240" s="1297">
        <v>42.4</v>
      </c>
      <c r="BG240" s="1297">
        <v>39.450000000000003</v>
      </c>
      <c r="BH240" s="1297">
        <v>36.85</v>
      </c>
      <c r="BK240" s="1295">
        <v>23</v>
      </c>
      <c r="BL240" s="1297">
        <v>89.45</v>
      </c>
      <c r="BM240" s="1297">
        <v>79.3</v>
      </c>
      <c r="BN240" s="1297">
        <v>70.95</v>
      </c>
      <c r="BO240" s="1297">
        <v>64</v>
      </c>
      <c r="BP240" s="1297">
        <v>58.15</v>
      </c>
      <c r="BQ240" s="1297">
        <v>53.95</v>
      </c>
      <c r="BR240" s="1297">
        <v>49.55</v>
      </c>
      <c r="BS240" s="1297">
        <v>45.7</v>
      </c>
      <c r="BT240" s="1297">
        <v>42.35</v>
      </c>
      <c r="BU240" s="1297">
        <v>39.4</v>
      </c>
      <c r="BV240" s="1297">
        <v>36.75</v>
      </c>
      <c r="CO240" s="1267">
        <v>20</v>
      </c>
      <c r="CP240" s="1286" t="s">
        <v>39</v>
      </c>
      <c r="CQ240" s="1286" t="s">
        <v>39</v>
      </c>
      <c r="CR240" s="1286" t="s">
        <v>39</v>
      </c>
      <c r="CS240" s="1286" t="s">
        <v>39</v>
      </c>
      <c r="CT240" s="1286" t="s">
        <v>39</v>
      </c>
      <c r="CU240" s="1286" t="s">
        <v>39</v>
      </c>
      <c r="CV240" s="1286" t="s">
        <v>39</v>
      </c>
      <c r="CW240" s="1286" t="s">
        <v>39</v>
      </c>
      <c r="CX240" s="1286" t="s">
        <v>39</v>
      </c>
      <c r="CY240" s="1286" t="s">
        <v>39</v>
      </c>
      <c r="CZ240" s="1286" t="s">
        <v>39</v>
      </c>
      <c r="DA240" s="1286" t="s">
        <v>39</v>
      </c>
      <c r="DB240" s="1286" t="s">
        <v>39</v>
      </c>
      <c r="DC240" s="1286" t="s">
        <v>39</v>
      </c>
      <c r="DD240" s="1286" t="s">
        <v>39</v>
      </c>
      <c r="DE240" s="1286" t="s">
        <v>39</v>
      </c>
      <c r="DF240" s="1242" t="s">
        <v>39</v>
      </c>
      <c r="DG240" s="1242" t="s">
        <v>39</v>
      </c>
      <c r="DH240" s="1242" t="s">
        <v>39</v>
      </c>
      <c r="DI240" s="1242" t="s">
        <v>39</v>
      </c>
      <c r="DJ240" s="1242" t="s">
        <v>39</v>
      </c>
      <c r="DK240" s="1242" t="s">
        <v>39</v>
      </c>
      <c r="DL240" s="1242" t="s">
        <v>39</v>
      </c>
      <c r="DM240" s="1242" t="s">
        <v>39</v>
      </c>
      <c r="DN240" s="1242" t="s">
        <v>39</v>
      </c>
      <c r="DO240" s="1242" t="s">
        <v>39</v>
      </c>
      <c r="DP240" s="1242" t="s">
        <v>39</v>
      </c>
      <c r="DQ240" s="1242" t="s">
        <v>39</v>
      </c>
      <c r="DR240" s="1242" t="s">
        <v>39</v>
      </c>
      <c r="DS240" s="1242" t="s">
        <v>39</v>
      </c>
      <c r="DT240" s="1260">
        <v>4.8499999999999996</v>
      </c>
      <c r="DU240" s="1223"/>
      <c r="DY240" s="1291">
        <v>12</v>
      </c>
      <c r="DZ240" s="1260">
        <v>0.2</v>
      </c>
      <c r="EA240" s="1260">
        <v>0.2</v>
      </c>
      <c r="EB240" s="1260">
        <v>0.2</v>
      </c>
      <c r="EC240" s="1260">
        <v>0.25</v>
      </c>
      <c r="ED240" s="1260">
        <v>0.25</v>
      </c>
      <c r="EE240" s="1260">
        <v>0.25</v>
      </c>
      <c r="EF240" s="1260">
        <v>0.3</v>
      </c>
      <c r="EG240" s="1260">
        <v>0.3</v>
      </c>
      <c r="EH240" s="1260">
        <v>0.3</v>
      </c>
    </row>
    <row r="241" spans="2:138" ht="15" customHeight="1">
      <c r="B241" s="1208">
        <v>53</v>
      </c>
      <c r="C241" s="1220">
        <v>235.65</v>
      </c>
      <c r="D241" s="1220">
        <v>196.25</v>
      </c>
      <c r="E241" s="1208">
        <v>168.3</v>
      </c>
      <c r="F241" s="1208">
        <v>147.44999999999999</v>
      </c>
      <c r="G241" s="1208">
        <v>131.30000000000001</v>
      </c>
      <c r="H241" s="1208">
        <v>119.1</v>
      </c>
      <c r="I241" s="1208">
        <v>108.55</v>
      </c>
      <c r="J241" s="1208">
        <v>99.85</v>
      </c>
      <c r="K241" s="1258">
        <v>0</v>
      </c>
      <c r="L241" s="1258">
        <v>0</v>
      </c>
      <c r="M241" s="1258">
        <v>0</v>
      </c>
      <c r="N241" s="1258">
        <v>0</v>
      </c>
      <c r="O241" s="1258">
        <v>0</v>
      </c>
      <c r="P241" s="1258">
        <v>0</v>
      </c>
      <c r="Q241" s="1258">
        <v>0</v>
      </c>
      <c r="R241" s="1258">
        <v>0</v>
      </c>
      <c r="S241" s="1258">
        <v>0</v>
      </c>
      <c r="T241" s="1258">
        <v>0</v>
      </c>
      <c r="U241" s="1258">
        <v>0</v>
      </c>
      <c r="V241" s="1258">
        <v>0</v>
      </c>
      <c r="W241" s="1258">
        <v>0</v>
      </c>
      <c r="X241" s="1258">
        <v>0</v>
      </c>
      <c r="Y241" s="1258">
        <v>0</v>
      </c>
      <c r="Z241" s="1258">
        <v>0</v>
      </c>
      <c r="AA241" s="1258">
        <v>0</v>
      </c>
      <c r="AB241" s="1258">
        <v>0</v>
      </c>
      <c r="AC241" s="1258">
        <v>0</v>
      </c>
      <c r="AD241" s="1258">
        <v>0</v>
      </c>
      <c r="AE241" s="1258">
        <v>0</v>
      </c>
      <c r="AF241" s="1258">
        <v>0</v>
      </c>
      <c r="AG241" s="1258">
        <v>0</v>
      </c>
      <c r="AL241" s="832">
        <v>28</v>
      </c>
      <c r="AM241" s="1296">
        <v>88.3</v>
      </c>
      <c r="AN241" s="1296">
        <v>80.75</v>
      </c>
      <c r="AO241" s="1296">
        <v>74.3</v>
      </c>
      <c r="AP241" s="1296">
        <v>69.8</v>
      </c>
      <c r="AQ241" s="1296">
        <v>64.900000000000006</v>
      </c>
      <c r="AR241" s="1296">
        <v>60.6</v>
      </c>
      <c r="AS241" s="1296">
        <v>56.8</v>
      </c>
      <c r="AT241" s="1296">
        <v>53.4</v>
      </c>
      <c r="AU241" s="1296">
        <v>50.4</v>
      </c>
      <c r="AW241" s="1295">
        <v>24</v>
      </c>
      <c r="AX241" s="1297">
        <v>89.5</v>
      </c>
      <c r="AY241" s="1297">
        <v>79.349999999999994</v>
      </c>
      <c r="AZ241" s="1297">
        <v>71.05</v>
      </c>
      <c r="BA241" s="1297">
        <v>64.099999999999994</v>
      </c>
      <c r="BB241" s="1297">
        <v>58.2</v>
      </c>
      <c r="BC241" s="1297">
        <v>54.05</v>
      </c>
      <c r="BD241" s="1297">
        <v>49.6</v>
      </c>
      <c r="BE241" s="1297">
        <v>45.8</v>
      </c>
      <c r="BF241" s="1297">
        <v>42.45</v>
      </c>
      <c r="BG241" s="1297">
        <v>39.5</v>
      </c>
      <c r="BH241" s="1297">
        <v>36.85</v>
      </c>
      <c r="BK241" s="1295">
        <v>24</v>
      </c>
      <c r="BL241" s="1297">
        <v>89.45</v>
      </c>
      <c r="BM241" s="1297">
        <v>79.3</v>
      </c>
      <c r="BN241" s="1297">
        <v>71</v>
      </c>
      <c r="BO241" s="1297">
        <v>64.05</v>
      </c>
      <c r="BP241" s="1297">
        <v>58.15</v>
      </c>
      <c r="BQ241" s="1297">
        <v>53.95</v>
      </c>
      <c r="BR241" s="1297">
        <v>49.55</v>
      </c>
      <c r="BS241" s="1297">
        <v>45.7</v>
      </c>
      <c r="BT241" s="1297">
        <v>42.35</v>
      </c>
      <c r="BU241" s="1297">
        <v>39.4</v>
      </c>
      <c r="BV241" s="1297">
        <v>36.799999999999997</v>
      </c>
      <c r="CO241" s="1267">
        <v>21</v>
      </c>
      <c r="CP241" s="1286" t="s">
        <v>39</v>
      </c>
      <c r="CQ241" s="1286" t="s">
        <v>39</v>
      </c>
      <c r="CR241" s="1286" t="s">
        <v>39</v>
      </c>
      <c r="CS241" s="1286" t="s">
        <v>39</v>
      </c>
      <c r="CT241" s="1286" t="s">
        <v>39</v>
      </c>
      <c r="CU241" s="1286" t="s">
        <v>39</v>
      </c>
      <c r="CV241" s="1286" t="s">
        <v>39</v>
      </c>
      <c r="CW241" s="1286" t="s">
        <v>39</v>
      </c>
      <c r="CX241" s="1286" t="s">
        <v>39</v>
      </c>
      <c r="CY241" s="1286" t="s">
        <v>39</v>
      </c>
      <c r="CZ241" s="1286" t="s">
        <v>39</v>
      </c>
      <c r="DA241" s="1286" t="s">
        <v>39</v>
      </c>
      <c r="DB241" s="1286" t="s">
        <v>39</v>
      </c>
      <c r="DC241" s="1286" t="s">
        <v>39</v>
      </c>
      <c r="DD241" s="1286" t="s">
        <v>39</v>
      </c>
      <c r="DE241" s="1286" t="s">
        <v>39</v>
      </c>
      <c r="DF241" s="1242" t="s">
        <v>39</v>
      </c>
      <c r="DG241" s="1242" t="s">
        <v>39</v>
      </c>
      <c r="DH241" s="1242" t="s">
        <v>39</v>
      </c>
      <c r="DI241" s="1242" t="s">
        <v>39</v>
      </c>
      <c r="DJ241" s="1242" t="s">
        <v>39</v>
      </c>
      <c r="DK241" s="1242" t="s">
        <v>39</v>
      </c>
      <c r="DL241" s="1242" t="s">
        <v>39</v>
      </c>
      <c r="DM241" s="1242" t="s">
        <v>39</v>
      </c>
      <c r="DN241" s="1242" t="s">
        <v>39</v>
      </c>
      <c r="DO241" s="1242" t="s">
        <v>39</v>
      </c>
      <c r="DP241" s="1242" t="s">
        <v>39</v>
      </c>
      <c r="DQ241" s="1242" t="s">
        <v>39</v>
      </c>
      <c r="DR241" s="1242" t="s">
        <v>39</v>
      </c>
      <c r="DS241" s="1260">
        <v>4.75</v>
      </c>
      <c r="DT241" s="1260">
        <v>5.05</v>
      </c>
      <c r="DU241" s="1223"/>
      <c r="DY241" s="1291">
        <v>13</v>
      </c>
      <c r="DZ241" s="1260">
        <v>0.2</v>
      </c>
      <c r="EA241" s="1260">
        <v>0.2</v>
      </c>
      <c r="EB241" s="1260">
        <v>0.25</v>
      </c>
      <c r="EC241" s="1260">
        <v>0.25</v>
      </c>
      <c r="ED241" s="1260">
        <v>0.25</v>
      </c>
      <c r="EE241" s="1260">
        <v>0.3</v>
      </c>
      <c r="EF241" s="1260">
        <v>0.3</v>
      </c>
      <c r="EG241" s="1260">
        <v>0.3</v>
      </c>
      <c r="EH241" s="1260">
        <v>0.3</v>
      </c>
    </row>
    <row r="242" spans="2:138" ht="15" customHeight="1">
      <c r="B242" s="1208">
        <v>54</v>
      </c>
      <c r="C242" s="1220">
        <v>236.1</v>
      </c>
      <c r="D242" s="1220">
        <v>196.75</v>
      </c>
      <c r="E242" s="1208">
        <v>168.85</v>
      </c>
      <c r="F242" s="1208">
        <v>148</v>
      </c>
      <c r="G242" s="1208">
        <v>131.9</v>
      </c>
      <c r="H242" s="1208">
        <v>119.75</v>
      </c>
      <c r="I242" s="1208">
        <v>109.25</v>
      </c>
      <c r="J242" s="1258">
        <v>0</v>
      </c>
      <c r="K242" s="1258">
        <v>0</v>
      </c>
      <c r="L242" s="1258">
        <v>0</v>
      </c>
      <c r="M242" s="1258">
        <v>0</v>
      </c>
      <c r="N242" s="1258">
        <v>0</v>
      </c>
      <c r="O242" s="1258">
        <v>0</v>
      </c>
      <c r="P242" s="1258">
        <v>0</v>
      </c>
      <c r="Q242" s="1258">
        <v>0</v>
      </c>
      <c r="R242" s="1258">
        <v>0</v>
      </c>
      <c r="S242" s="1258">
        <v>0</v>
      </c>
      <c r="T242" s="1258">
        <v>0</v>
      </c>
      <c r="U242" s="1258">
        <v>0</v>
      </c>
      <c r="V242" s="1258">
        <v>0</v>
      </c>
      <c r="W242" s="1258">
        <v>0</v>
      </c>
      <c r="X242" s="1258">
        <v>0</v>
      </c>
      <c r="Y242" s="1258">
        <v>0</v>
      </c>
      <c r="Z242" s="1258">
        <v>0</v>
      </c>
      <c r="AA242" s="1258">
        <v>0</v>
      </c>
      <c r="AB242" s="1258">
        <v>0</v>
      </c>
      <c r="AC242" s="1258">
        <v>0</v>
      </c>
      <c r="AD242" s="1258">
        <v>0</v>
      </c>
      <c r="AE242" s="1258">
        <v>0</v>
      </c>
      <c r="AF242" s="1258">
        <v>0</v>
      </c>
      <c r="AG242" s="1258">
        <v>0</v>
      </c>
      <c r="AL242" s="832">
        <v>29</v>
      </c>
      <c r="AM242" s="1296">
        <v>88.35</v>
      </c>
      <c r="AN242" s="1296">
        <v>80.8</v>
      </c>
      <c r="AO242" s="1296">
        <v>74.400000000000006</v>
      </c>
      <c r="AP242" s="1296">
        <v>69.900000000000006</v>
      </c>
      <c r="AQ242" s="1296">
        <v>65</v>
      </c>
      <c r="AR242" s="1296">
        <v>60.7</v>
      </c>
      <c r="AS242" s="1296">
        <v>56.9</v>
      </c>
      <c r="AT242" s="1296">
        <v>53.55</v>
      </c>
      <c r="AU242" s="1296">
        <v>50.55</v>
      </c>
      <c r="AW242" s="1295">
        <v>25</v>
      </c>
      <c r="AX242" s="1297">
        <v>89.55</v>
      </c>
      <c r="AY242" s="1297">
        <v>79.400000000000006</v>
      </c>
      <c r="AZ242" s="1297">
        <v>71.05</v>
      </c>
      <c r="BA242" s="1297">
        <v>64.099999999999994</v>
      </c>
      <c r="BB242" s="1297">
        <v>58.25</v>
      </c>
      <c r="BC242" s="1297">
        <v>54.05</v>
      </c>
      <c r="BD242" s="1297">
        <v>49.65</v>
      </c>
      <c r="BE242" s="1297">
        <v>45.8</v>
      </c>
      <c r="BF242" s="1297">
        <v>42.45</v>
      </c>
      <c r="BG242" s="1297" t="s">
        <v>869</v>
      </c>
      <c r="BH242" s="1297">
        <v>36.9</v>
      </c>
      <c r="BK242" s="1295">
        <v>25</v>
      </c>
      <c r="BL242" s="1297">
        <v>89.5</v>
      </c>
      <c r="BM242" s="1297">
        <v>79.349999999999994</v>
      </c>
      <c r="BN242" s="1297">
        <v>71</v>
      </c>
      <c r="BO242" s="1297">
        <v>64.05</v>
      </c>
      <c r="BP242" s="1297">
        <v>58.2</v>
      </c>
      <c r="BQ242" s="1297">
        <v>54</v>
      </c>
      <c r="BR242" s="1297">
        <v>49.55</v>
      </c>
      <c r="BS242" s="1297">
        <v>45.75</v>
      </c>
      <c r="BT242" s="1297">
        <v>42.4</v>
      </c>
      <c r="BU242" s="1297">
        <v>39.450000000000003</v>
      </c>
      <c r="BV242" s="1297">
        <v>36.85</v>
      </c>
      <c r="CO242" s="1267">
        <v>22</v>
      </c>
      <c r="CP242" s="1286" t="s">
        <v>39</v>
      </c>
      <c r="CQ242" s="1286" t="s">
        <v>39</v>
      </c>
      <c r="CR242" s="1286" t="s">
        <v>39</v>
      </c>
      <c r="CS242" s="1286" t="s">
        <v>39</v>
      </c>
      <c r="CT242" s="1286" t="s">
        <v>39</v>
      </c>
      <c r="CU242" s="1286" t="s">
        <v>39</v>
      </c>
      <c r="CV242" s="1286" t="s">
        <v>39</v>
      </c>
      <c r="CW242" s="1286" t="s">
        <v>39</v>
      </c>
      <c r="CX242" s="1286" t="s">
        <v>39</v>
      </c>
      <c r="CY242" s="1286" t="s">
        <v>39</v>
      </c>
      <c r="CZ242" s="1286" t="s">
        <v>39</v>
      </c>
      <c r="DA242" s="1286" t="s">
        <v>39</v>
      </c>
      <c r="DB242" s="1286" t="s">
        <v>39</v>
      </c>
      <c r="DC242" s="1286" t="s">
        <v>39</v>
      </c>
      <c r="DD242" s="1286" t="s">
        <v>39</v>
      </c>
      <c r="DE242" s="1286" t="s">
        <v>39</v>
      </c>
      <c r="DF242" s="1242" t="s">
        <v>39</v>
      </c>
      <c r="DG242" s="1242" t="s">
        <v>39</v>
      </c>
      <c r="DH242" s="1242" t="s">
        <v>39</v>
      </c>
      <c r="DI242" s="1242" t="s">
        <v>39</v>
      </c>
      <c r="DJ242" s="1242" t="s">
        <v>39</v>
      </c>
      <c r="DK242" s="1242" t="s">
        <v>39</v>
      </c>
      <c r="DL242" s="1242" t="s">
        <v>39</v>
      </c>
      <c r="DM242" s="1242" t="s">
        <v>39</v>
      </c>
      <c r="DN242" s="1242" t="s">
        <v>39</v>
      </c>
      <c r="DO242" s="1242" t="s">
        <v>39</v>
      </c>
      <c r="DP242" s="1242" t="s">
        <v>39</v>
      </c>
      <c r="DQ242" s="1242" t="s">
        <v>39</v>
      </c>
      <c r="DR242" s="1260">
        <v>4.7</v>
      </c>
      <c r="DS242" s="1260">
        <v>5</v>
      </c>
      <c r="DT242" s="1260">
        <v>5.3</v>
      </c>
      <c r="DU242" s="1223"/>
      <c r="DY242" s="1291">
        <v>14</v>
      </c>
      <c r="DZ242" s="1260">
        <v>0.2</v>
      </c>
      <c r="EA242" s="1260">
        <v>0.25</v>
      </c>
      <c r="EB242" s="1260">
        <v>0.25</v>
      </c>
      <c r="EC242" s="1260">
        <v>0.25</v>
      </c>
      <c r="ED242" s="1260">
        <v>0.25</v>
      </c>
      <c r="EE242" s="1260">
        <v>0.3</v>
      </c>
      <c r="EF242" s="1260">
        <v>0.3</v>
      </c>
      <c r="EG242" s="1260">
        <v>0.3</v>
      </c>
      <c r="EH242" s="1260">
        <v>0.35</v>
      </c>
    </row>
    <row r="243" spans="2:138" ht="15" customHeight="1">
      <c r="B243" s="1208">
        <v>55</v>
      </c>
      <c r="C243" s="1220">
        <v>236.55</v>
      </c>
      <c r="D243" s="1220">
        <v>197.3</v>
      </c>
      <c r="E243" s="1208">
        <v>169.4</v>
      </c>
      <c r="F243" s="1208">
        <v>148.6</v>
      </c>
      <c r="G243" s="1208">
        <v>132.55000000000001</v>
      </c>
      <c r="H243" s="1208">
        <v>120.45</v>
      </c>
      <c r="I243" s="1258">
        <v>0</v>
      </c>
      <c r="J243" s="1258">
        <v>0</v>
      </c>
      <c r="K243" s="1258">
        <v>0</v>
      </c>
      <c r="L243" s="1258">
        <v>0</v>
      </c>
      <c r="M243" s="1258">
        <v>0</v>
      </c>
      <c r="N243" s="1258">
        <v>0</v>
      </c>
      <c r="O243" s="1258">
        <v>0</v>
      </c>
      <c r="P243" s="1258">
        <v>0</v>
      </c>
      <c r="Q243" s="1258">
        <v>0</v>
      </c>
      <c r="R243" s="1258">
        <v>0</v>
      </c>
      <c r="S243" s="1258">
        <v>0</v>
      </c>
      <c r="T243" s="1258">
        <v>0</v>
      </c>
      <c r="U243" s="1258">
        <v>0</v>
      </c>
      <c r="V243" s="1258">
        <v>0</v>
      </c>
      <c r="W243" s="1258">
        <v>0</v>
      </c>
      <c r="X243" s="1258">
        <v>0</v>
      </c>
      <c r="Y243" s="1258">
        <v>0</v>
      </c>
      <c r="Z243" s="1258">
        <v>0</v>
      </c>
      <c r="AA243" s="1258">
        <v>0</v>
      </c>
      <c r="AB243" s="1258">
        <v>0</v>
      </c>
      <c r="AC243" s="1258">
        <v>0</v>
      </c>
      <c r="AD243" s="1258">
        <v>0</v>
      </c>
      <c r="AE243" s="1258">
        <v>0</v>
      </c>
      <c r="AF243" s="1258">
        <v>0</v>
      </c>
      <c r="AG243" s="1258">
        <v>0</v>
      </c>
      <c r="AL243" s="832">
        <v>30</v>
      </c>
      <c r="AM243" s="1296">
        <v>88.45</v>
      </c>
      <c r="AN243" s="1296">
        <v>80.900000000000006</v>
      </c>
      <c r="AO243" s="1296">
        <v>74.45</v>
      </c>
      <c r="AP243" s="1296">
        <v>70</v>
      </c>
      <c r="AQ243" s="1296">
        <v>65.099999999999994</v>
      </c>
      <c r="AR243" s="1296">
        <v>60.8</v>
      </c>
      <c r="AS243" s="1296">
        <v>57.05</v>
      </c>
      <c r="AT243" s="1296">
        <v>53.7</v>
      </c>
      <c r="AU243" s="1296">
        <v>50.75</v>
      </c>
      <c r="AW243" s="1295">
        <v>26</v>
      </c>
      <c r="AX243" s="1297">
        <v>89.55</v>
      </c>
      <c r="AY243" s="1297">
        <v>79.400000000000006</v>
      </c>
      <c r="AZ243" s="1297">
        <v>71.05</v>
      </c>
      <c r="BA243" s="1297">
        <v>64.099999999999994</v>
      </c>
      <c r="BB243" s="1297">
        <v>58.25</v>
      </c>
      <c r="BC243" s="1297">
        <v>54.1</v>
      </c>
      <c r="BD243" s="1297">
        <v>49.65</v>
      </c>
      <c r="BE243" s="1297">
        <v>45.85</v>
      </c>
      <c r="BF243" s="1297">
        <v>42.5</v>
      </c>
      <c r="BG243" s="1297">
        <v>39.549999999999997</v>
      </c>
      <c r="BH243" s="1297">
        <v>36.950000000000003</v>
      </c>
      <c r="BK243" s="1295">
        <v>26</v>
      </c>
      <c r="BL243" s="1297">
        <v>89.5</v>
      </c>
      <c r="BM243" s="1297">
        <v>79.349999999999994</v>
      </c>
      <c r="BN243" s="1297">
        <v>71</v>
      </c>
      <c r="BO243" s="1297">
        <v>64.05</v>
      </c>
      <c r="BP243" s="1297">
        <v>58.2</v>
      </c>
      <c r="BQ243" s="1297">
        <v>54</v>
      </c>
      <c r="BR243" s="1297">
        <v>49.6</v>
      </c>
      <c r="BS243" s="1297">
        <v>45.75</v>
      </c>
      <c r="BT243" s="1297">
        <v>42.4</v>
      </c>
      <c r="BU243" s="1297">
        <v>39.5</v>
      </c>
      <c r="BV243" s="1297">
        <v>36.9</v>
      </c>
      <c r="CO243" s="1267">
        <v>23</v>
      </c>
      <c r="CP243" s="1286" t="s">
        <v>39</v>
      </c>
      <c r="CQ243" s="1286" t="s">
        <v>39</v>
      </c>
      <c r="CR243" s="1286" t="s">
        <v>39</v>
      </c>
      <c r="CS243" s="1286" t="s">
        <v>39</v>
      </c>
      <c r="CT243" s="1286" t="s">
        <v>39</v>
      </c>
      <c r="CU243" s="1286" t="s">
        <v>39</v>
      </c>
      <c r="CV243" s="1286" t="s">
        <v>39</v>
      </c>
      <c r="CW243" s="1286" t="s">
        <v>39</v>
      </c>
      <c r="CX243" s="1286" t="s">
        <v>39</v>
      </c>
      <c r="CY243" s="1286" t="s">
        <v>39</v>
      </c>
      <c r="CZ243" s="1286" t="s">
        <v>39</v>
      </c>
      <c r="DA243" s="1286" t="s">
        <v>39</v>
      </c>
      <c r="DB243" s="1286" t="s">
        <v>39</v>
      </c>
      <c r="DC243" s="1286" t="s">
        <v>39</v>
      </c>
      <c r="DD243" s="1286" t="s">
        <v>39</v>
      </c>
      <c r="DE243" s="1286" t="s">
        <v>39</v>
      </c>
      <c r="DF243" s="1242" t="s">
        <v>39</v>
      </c>
      <c r="DG243" s="1242" t="s">
        <v>39</v>
      </c>
      <c r="DH243" s="1242" t="s">
        <v>39</v>
      </c>
      <c r="DI243" s="1242" t="s">
        <v>39</v>
      </c>
      <c r="DJ243" s="1242" t="s">
        <v>39</v>
      </c>
      <c r="DK243" s="1242" t="s">
        <v>39</v>
      </c>
      <c r="DL243" s="1242" t="s">
        <v>39</v>
      </c>
      <c r="DM243" s="1242" t="s">
        <v>39</v>
      </c>
      <c r="DN243" s="1242" t="s">
        <v>39</v>
      </c>
      <c r="DO243" s="1242" t="s">
        <v>39</v>
      </c>
      <c r="DP243" s="1242" t="s">
        <v>39</v>
      </c>
      <c r="DQ243" s="1260">
        <v>4.5999999999999996</v>
      </c>
      <c r="DR243" s="1260">
        <v>4.9000000000000004</v>
      </c>
      <c r="DS243" s="1260">
        <v>5.25</v>
      </c>
      <c r="DT243" s="1260">
        <v>5.6</v>
      </c>
      <c r="DU243" s="1223"/>
      <c r="DY243" s="1291">
        <v>15</v>
      </c>
      <c r="DZ243" s="1260">
        <v>0.25</v>
      </c>
      <c r="EA243" s="1260">
        <v>0.25</v>
      </c>
      <c r="EB243" s="1260">
        <v>0.25</v>
      </c>
      <c r="EC243" s="1260">
        <v>0.25</v>
      </c>
      <c r="ED243" s="1260">
        <v>0.3</v>
      </c>
      <c r="EE243" s="1260">
        <v>0.3</v>
      </c>
      <c r="EF243" s="1260">
        <v>0.3</v>
      </c>
      <c r="EG243" s="1260">
        <v>0.35</v>
      </c>
      <c r="EH243" s="1260">
        <v>0.35</v>
      </c>
    </row>
    <row r="244" spans="2:138" ht="15" customHeight="1">
      <c r="B244" s="1208">
        <v>56</v>
      </c>
      <c r="C244" s="1220">
        <v>237.05</v>
      </c>
      <c r="D244" s="1220">
        <v>197.85</v>
      </c>
      <c r="E244" s="1208">
        <v>170</v>
      </c>
      <c r="F244" s="1208">
        <v>149.25</v>
      </c>
      <c r="G244" s="1208">
        <v>133.25</v>
      </c>
      <c r="H244" s="1258">
        <v>0</v>
      </c>
      <c r="I244" s="1258">
        <v>0</v>
      </c>
      <c r="J244" s="1258">
        <v>0</v>
      </c>
      <c r="K244" s="1258">
        <v>0</v>
      </c>
      <c r="L244" s="1258">
        <v>0</v>
      </c>
      <c r="M244" s="1258">
        <v>0</v>
      </c>
      <c r="N244" s="1258">
        <v>0</v>
      </c>
      <c r="O244" s="1258">
        <v>0</v>
      </c>
      <c r="P244" s="1258">
        <v>0</v>
      </c>
      <c r="Q244" s="1258">
        <v>0</v>
      </c>
      <c r="R244" s="1258">
        <v>0</v>
      </c>
      <c r="S244" s="1258">
        <v>0</v>
      </c>
      <c r="T244" s="1258">
        <v>0</v>
      </c>
      <c r="U244" s="1258">
        <v>0</v>
      </c>
      <c r="V244" s="1258">
        <v>0</v>
      </c>
      <c r="W244" s="1258">
        <v>0</v>
      </c>
      <c r="X244" s="1258">
        <v>0</v>
      </c>
      <c r="Y244" s="1258">
        <v>0</v>
      </c>
      <c r="Z244" s="1258">
        <v>0</v>
      </c>
      <c r="AA244" s="1258">
        <v>0</v>
      </c>
      <c r="AB244" s="1258">
        <v>0</v>
      </c>
      <c r="AC244" s="1258">
        <v>0</v>
      </c>
      <c r="AD244" s="1258">
        <v>0</v>
      </c>
      <c r="AE244" s="1258">
        <v>0</v>
      </c>
      <c r="AF244" s="1258">
        <v>0</v>
      </c>
      <c r="AG244" s="1258">
        <v>0</v>
      </c>
      <c r="AL244" s="832">
        <v>31</v>
      </c>
      <c r="AM244" s="1296">
        <v>88.5</v>
      </c>
      <c r="AN244" s="1296">
        <v>81</v>
      </c>
      <c r="AO244" s="1296">
        <v>74.55</v>
      </c>
      <c r="AP244" s="1296">
        <v>70.099999999999994</v>
      </c>
      <c r="AQ244" s="1296">
        <v>65.25</v>
      </c>
      <c r="AR244" s="1296">
        <v>60.95</v>
      </c>
      <c r="AS244" s="1296">
        <v>57.25</v>
      </c>
      <c r="AT244" s="1296">
        <v>53.9</v>
      </c>
      <c r="AU244" s="1296">
        <v>50.95</v>
      </c>
      <c r="AW244" s="1295">
        <v>27</v>
      </c>
      <c r="AX244" s="1297">
        <v>89.55</v>
      </c>
      <c r="AY244" s="1297">
        <v>79.400000000000006</v>
      </c>
      <c r="AZ244" s="1297">
        <v>71.099999999999994</v>
      </c>
      <c r="BA244" s="1297">
        <v>64.150000000000006</v>
      </c>
      <c r="BB244" s="1297">
        <v>58.3</v>
      </c>
      <c r="BC244" s="1297">
        <v>54.1</v>
      </c>
      <c r="BD244" s="1297">
        <v>49.7</v>
      </c>
      <c r="BE244" s="1297">
        <v>45.9</v>
      </c>
      <c r="BF244" s="1297">
        <v>42.55</v>
      </c>
      <c r="BG244" s="1297">
        <v>39.6</v>
      </c>
      <c r="BH244" s="1297">
        <v>37</v>
      </c>
      <c r="BK244" s="1295">
        <v>27</v>
      </c>
      <c r="BL244" s="1297">
        <v>89.5</v>
      </c>
      <c r="BM244" s="1297">
        <v>79.349999999999994</v>
      </c>
      <c r="BN244" s="1297">
        <v>71.05</v>
      </c>
      <c r="BO244" s="1297">
        <v>64.099999999999994</v>
      </c>
      <c r="BP244" s="1297">
        <v>58.25</v>
      </c>
      <c r="BQ244" s="1297">
        <v>54.05</v>
      </c>
      <c r="BR244" s="1297">
        <v>49.65</v>
      </c>
      <c r="BS244" s="1297">
        <v>45.8</v>
      </c>
      <c r="BT244" s="1297">
        <v>42.45</v>
      </c>
      <c r="BU244" s="1297">
        <v>39.5</v>
      </c>
      <c r="BV244" s="1297">
        <v>36.9</v>
      </c>
      <c r="CO244" s="1267">
        <v>24</v>
      </c>
      <c r="CP244" s="1286" t="s">
        <v>39</v>
      </c>
      <c r="CQ244" s="1286" t="s">
        <v>39</v>
      </c>
      <c r="CR244" s="1286" t="s">
        <v>39</v>
      </c>
      <c r="CS244" s="1286" t="s">
        <v>39</v>
      </c>
      <c r="CT244" s="1286" t="s">
        <v>39</v>
      </c>
      <c r="CU244" s="1286" t="s">
        <v>39</v>
      </c>
      <c r="CV244" s="1286" t="s">
        <v>39</v>
      </c>
      <c r="CW244" s="1286" t="s">
        <v>39</v>
      </c>
      <c r="CX244" s="1286" t="s">
        <v>39</v>
      </c>
      <c r="CY244" s="1286" t="s">
        <v>39</v>
      </c>
      <c r="CZ244" s="1286" t="s">
        <v>39</v>
      </c>
      <c r="DA244" s="1286" t="s">
        <v>39</v>
      </c>
      <c r="DB244" s="1286" t="s">
        <v>39</v>
      </c>
      <c r="DC244" s="1286" t="s">
        <v>39</v>
      </c>
      <c r="DD244" s="1286" t="s">
        <v>39</v>
      </c>
      <c r="DE244" s="1286" t="s">
        <v>39</v>
      </c>
      <c r="DF244" s="1242" t="s">
        <v>39</v>
      </c>
      <c r="DG244" s="1242" t="s">
        <v>39</v>
      </c>
      <c r="DH244" s="1242" t="s">
        <v>39</v>
      </c>
      <c r="DI244" s="1242" t="s">
        <v>39</v>
      </c>
      <c r="DJ244" s="1242" t="s">
        <v>39</v>
      </c>
      <c r="DK244" s="1242" t="s">
        <v>39</v>
      </c>
      <c r="DL244" s="1242" t="s">
        <v>39</v>
      </c>
      <c r="DM244" s="1242" t="s">
        <v>39</v>
      </c>
      <c r="DN244" s="1242" t="s">
        <v>39</v>
      </c>
      <c r="DO244" s="1242" t="s">
        <v>39</v>
      </c>
      <c r="DP244" s="1260">
        <v>4.5</v>
      </c>
      <c r="DQ244" s="1260">
        <v>4.8499999999999996</v>
      </c>
      <c r="DR244" s="1260">
        <v>5.2</v>
      </c>
      <c r="DS244" s="1260">
        <v>5.55</v>
      </c>
      <c r="DT244" s="1260">
        <v>5.9</v>
      </c>
      <c r="DU244" s="1223"/>
      <c r="DY244" s="1291">
        <v>16</v>
      </c>
      <c r="DZ244" s="1260">
        <v>0.25</v>
      </c>
      <c r="EA244" s="1260">
        <v>0.25</v>
      </c>
      <c r="EB244" s="1260">
        <v>0.25</v>
      </c>
      <c r="EC244" s="1260">
        <v>0.3</v>
      </c>
      <c r="ED244" s="1260">
        <v>0.3</v>
      </c>
      <c r="EE244" s="1260">
        <v>0.3</v>
      </c>
      <c r="EF244" s="1260">
        <v>0.35</v>
      </c>
      <c r="EG244" s="1260">
        <v>0.35</v>
      </c>
      <c r="EH244" s="1260">
        <v>0.35</v>
      </c>
    </row>
    <row r="245" spans="2:138" ht="15" customHeight="1">
      <c r="B245" s="1208">
        <v>57</v>
      </c>
      <c r="C245" s="1220">
        <v>237.55</v>
      </c>
      <c r="D245" s="1220">
        <v>198.4</v>
      </c>
      <c r="E245" s="1208">
        <v>170.65</v>
      </c>
      <c r="F245" s="1208">
        <v>150</v>
      </c>
      <c r="G245" s="1258">
        <v>0</v>
      </c>
      <c r="H245" s="1258">
        <v>0</v>
      </c>
      <c r="I245" s="1258">
        <v>0</v>
      </c>
      <c r="J245" s="1258">
        <v>0</v>
      </c>
      <c r="K245" s="1258">
        <v>0</v>
      </c>
      <c r="L245" s="1258">
        <v>0</v>
      </c>
      <c r="M245" s="1258">
        <v>0</v>
      </c>
      <c r="N245" s="1258">
        <v>0</v>
      </c>
      <c r="O245" s="1258">
        <v>0</v>
      </c>
      <c r="P245" s="1258">
        <v>0</v>
      </c>
      <c r="Q245" s="1258">
        <v>0</v>
      </c>
      <c r="R245" s="1258">
        <v>0</v>
      </c>
      <c r="S245" s="1258">
        <v>0</v>
      </c>
      <c r="T245" s="1258">
        <v>0</v>
      </c>
      <c r="U245" s="1258">
        <v>0</v>
      </c>
      <c r="V245" s="1258">
        <v>0</v>
      </c>
      <c r="W245" s="1258">
        <v>0</v>
      </c>
      <c r="X245" s="1258">
        <v>0</v>
      </c>
      <c r="Y245" s="1258">
        <v>0</v>
      </c>
      <c r="Z245" s="1258">
        <v>0</v>
      </c>
      <c r="AA245" s="1258">
        <v>0</v>
      </c>
      <c r="AB245" s="1258">
        <v>0</v>
      </c>
      <c r="AC245" s="1258">
        <v>0</v>
      </c>
      <c r="AD245" s="1258">
        <v>0</v>
      </c>
      <c r="AE245" s="1258">
        <v>0</v>
      </c>
      <c r="AF245" s="1258">
        <v>0</v>
      </c>
      <c r="AG245" s="1258">
        <v>0</v>
      </c>
      <c r="AL245" s="832">
        <v>32</v>
      </c>
      <c r="AM245" s="1296">
        <v>88.6</v>
      </c>
      <c r="AN245" s="1296">
        <v>81.099999999999994</v>
      </c>
      <c r="AO245" s="1296">
        <v>74.650000000000006</v>
      </c>
      <c r="AP245" s="1296">
        <v>70.2</v>
      </c>
      <c r="AQ245" s="1296">
        <v>65.400000000000006</v>
      </c>
      <c r="AR245" s="1296">
        <v>61.15</v>
      </c>
      <c r="AS245" s="1296">
        <v>57.4</v>
      </c>
      <c r="AT245" s="1296">
        <v>54.15</v>
      </c>
      <c r="AU245" s="1296">
        <v>51.2</v>
      </c>
      <c r="AW245" s="1295">
        <v>28</v>
      </c>
      <c r="AX245" s="1297">
        <v>89.6</v>
      </c>
      <c r="AY245" s="1297">
        <v>79.45</v>
      </c>
      <c r="AZ245" s="1297">
        <v>71.099999999999994</v>
      </c>
      <c r="BA245" s="1297">
        <v>64.2</v>
      </c>
      <c r="BB245" s="1297">
        <v>58.3</v>
      </c>
      <c r="BC245" s="1297">
        <v>54.15</v>
      </c>
      <c r="BD245" s="1297">
        <v>49.75</v>
      </c>
      <c r="BE245" s="1297">
        <v>45.9</v>
      </c>
      <c r="BF245" s="1297">
        <v>42.6</v>
      </c>
      <c r="BG245" s="1297">
        <v>39.65</v>
      </c>
      <c r="BH245" s="1297">
        <v>37.049999999999997</v>
      </c>
      <c r="BK245" s="1295">
        <v>28</v>
      </c>
      <c r="BL245" s="1297">
        <v>89.55</v>
      </c>
      <c r="BM245" s="1297">
        <v>79.400000000000006</v>
      </c>
      <c r="BN245" s="1297">
        <v>71.05</v>
      </c>
      <c r="BO245" s="1297">
        <v>64.150000000000006</v>
      </c>
      <c r="BP245" s="1297">
        <v>58.25</v>
      </c>
      <c r="BQ245" s="1297">
        <v>54.1</v>
      </c>
      <c r="BR245" s="1297">
        <v>49.7</v>
      </c>
      <c r="BS245" s="1297">
        <v>45.85</v>
      </c>
      <c r="BT245" s="1297">
        <v>42.5</v>
      </c>
      <c r="BU245" s="1297">
        <v>39.6</v>
      </c>
      <c r="BV245" s="1297">
        <v>37</v>
      </c>
      <c r="CO245" s="1267">
        <v>25</v>
      </c>
      <c r="CP245" s="1286" t="s">
        <v>39</v>
      </c>
      <c r="CQ245" s="1286" t="s">
        <v>39</v>
      </c>
      <c r="CR245" s="1286" t="s">
        <v>39</v>
      </c>
      <c r="CS245" s="1286" t="s">
        <v>39</v>
      </c>
      <c r="CT245" s="1286" t="s">
        <v>39</v>
      </c>
      <c r="CU245" s="1286" t="s">
        <v>39</v>
      </c>
      <c r="CV245" s="1286" t="s">
        <v>39</v>
      </c>
      <c r="CW245" s="1286" t="s">
        <v>39</v>
      </c>
      <c r="CX245" s="1286" t="s">
        <v>39</v>
      </c>
      <c r="CY245" s="1286" t="s">
        <v>39</v>
      </c>
      <c r="CZ245" s="1286" t="s">
        <v>39</v>
      </c>
      <c r="DA245" s="1286" t="s">
        <v>39</v>
      </c>
      <c r="DB245" s="1286" t="s">
        <v>39</v>
      </c>
      <c r="DC245" s="1286" t="s">
        <v>39</v>
      </c>
      <c r="DD245" s="1286" t="s">
        <v>39</v>
      </c>
      <c r="DE245" s="1286" t="s">
        <v>39</v>
      </c>
      <c r="DF245" s="1242" t="s">
        <v>39</v>
      </c>
      <c r="DG245" s="1242" t="s">
        <v>39</v>
      </c>
      <c r="DH245" s="1242" t="s">
        <v>39</v>
      </c>
      <c r="DI245" s="1242" t="s">
        <v>39</v>
      </c>
      <c r="DJ245" s="1242" t="s">
        <v>39</v>
      </c>
      <c r="DK245" s="1242" t="s">
        <v>39</v>
      </c>
      <c r="DL245" s="1242" t="s">
        <v>39</v>
      </c>
      <c r="DM245" s="1242" t="s">
        <v>39</v>
      </c>
      <c r="DN245" s="1242" t="s">
        <v>39</v>
      </c>
      <c r="DO245" s="1260">
        <v>4.4000000000000004</v>
      </c>
      <c r="DP245" s="1260">
        <v>4.75</v>
      </c>
      <c r="DQ245" s="1260">
        <v>5.0999999999999996</v>
      </c>
      <c r="DR245" s="1260">
        <v>5.45</v>
      </c>
      <c r="DS245" s="1260">
        <v>5.85</v>
      </c>
      <c r="DT245" s="1260">
        <v>6.25</v>
      </c>
      <c r="DU245" s="1223"/>
      <c r="DY245" s="1291">
        <v>17</v>
      </c>
      <c r="DZ245" s="1260">
        <v>0.25</v>
      </c>
      <c r="EA245" s="1260">
        <v>0.25</v>
      </c>
      <c r="EB245" s="1260">
        <v>0.25</v>
      </c>
      <c r="EC245" s="1260">
        <v>0.3</v>
      </c>
      <c r="ED245" s="1260">
        <v>0.3</v>
      </c>
      <c r="EE245" s="1260">
        <v>0.3</v>
      </c>
      <c r="EF245" s="1260">
        <v>0.35</v>
      </c>
      <c r="EG245" s="1260">
        <v>0.35</v>
      </c>
      <c r="EH245" s="1260">
        <v>0.35</v>
      </c>
    </row>
    <row r="246" spans="2:138" ht="15" customHeight="1">
      <c r="B246" s="1208">
        <v>58</v>
      </c>
      <c r="C246" s="1220">
        <v>238.1</v>
      </c>
      <c r="D246" s="1220">
        <v>199.05</v>
      </c>
      <c r="E246" s="1208">
        <v>171.35</v>
      </c>
      <c r="F246" s="1258">
        <v>0</v>
      </c>
      <c r="G246" s="1258">
        <v>0</v>
      </c>
      <c r="H246" s="1258">
        <v>0</v>
      </c>
      <c r="I246" s="1258">
        <v>0</v>
      </c>
      <c r="J246" s="1258">
        <v>0</v>
      </c>
      <c r="K246" s="1258">
        <v>0</v>
      </c>
      <c r="L246" s="1258">
        <v>0</v>
      </c>
      <c r="M246" s="1258">
        <v>0</v>
      </c>
      <c r="N246" s="1258">
        <v>0</v>
      </c>
      <c r="O246" s="1258">
        <v>0</v>
      </c>
      <c r="P246" s="1258">
        <v>0</v>
      </c>
      <c r="Q246" s="1258">
        <v>0</v>
      </c>
      <c r="R246" s="1258">
        <v>0</v>
      </c>
      <c r="S246" s="1258">
        <v>0</v>
      </c>
      <c r="T246" s="1258">
        <v>0</v>
      </c>
      <c r="U246" s="1258">
        <v>0</v>
      </c>
      <c r="V246" s="1258">
        <v>0</v>
      </c>
      <c r="W246" s="1258">
        <v>0</v>
      </c>
      <c r="X246" s="1258">
        <v>0</v>
      </c>
      <c r="Y246" s="1258">
        <v>0</v>
      </c>
      <c r="Z246" s="1258">
        <v>0</v>
      </c>
      <c r="AA246" s="1258">
        <v>0</v>
      </c>
      <c r="AB246" s="1258">
        <v>0</v>
      </c>
      <c r="AC246" s="1258">
        <v>0</v>
      </c>
      <c r="AD246" s="1258">
        <v>0</v>
      </c>
      <c r="AE246" s="1258">
        <v>0</v>
      </c>
      <c r="AF246" s="1258">
        <v>0</v>
      </c>
      <c r="AG246" s="1258">
        <v>0</v>
      </c>
      <c r="AL246" s="832">
        <v>33</v>
      </c>
      <c r="AM246" s="1296">
        <v>88.7</v>
      </c>
      <c r="AN246" s="1296">
        <v>81.2</v>
      </c>
      <c r="AO246" s="1296">
        <v>74.8</v>
      </c>
      <c r="AP246" s="1296">
        <v>70.349999999999994</v>
      </c>
      <c r="AQ246" s="1296">
        <v>65.55</v>
      </c>
      <c r="AR246" s="1296">
        <v>61.35</v>
      </c>
      <c r="AS246" s="1296">
        <v>57.65</v>
      </c>
      <c r="AT246" s="1296">
        <v>54.4</v>
      </c>
      <c r="AU246" s="1296">
        <v>51.45</v>
      </c>
      <c r="AW246" s="1295">
        <v>29</v>
      </c>
      <c r="AX246" s="1297">
        <v>89.6</v>
      </c>
      <c r="AY246" s="1297">
        <v>79.45</v>
      </c>
      <c r="AZ246" s="1297">
        <v>71.150000000000006</v>
      </c>
      <c r="BA246" s="1297">
        <v>64.2</v>
      </c>
      <c r="BB246" s="1297">
        <v>58.35</v>
      </c>
      <c r="BC246" s="1297">
        <v>54.2</v>
      </c>
      <c r="BD246" s="1297">
        <v>49.8</v>
      </c>
      <c r="BE246" s="1297">
        <v>46</v>
      </c>
      <c r="BF246" s="1297">
        <v>42.65</v>
      </c>
      <c r="BG246" s="1297">
        <v>39.700000000000003</v>
      </c>
      <c r="BH246" s="1297">
        <v>37.15</v>
      </c>
      <c r="BK246" s="1295">
        <v>29</v>
      </c>
      <c r="BL246" s="1297">
        <v>89.55</v>
      </c>
      <c r="BM246" s="1297">
        <v>79.400000000000006</v>
      </c>
      <c r="BN246" s="1297">
        <v>71.099999999999994</v>
      </c>
      <c r="BO246" s="1297">
        <v>64.150000000000006</v>
      </c>
      <c r="BP246" s="1297">
        <v>58.3</v>
      </c>
      <c r="BQ246" s="1297">
        <v>54.15</v>
      </c>
      <c r="BR246" s="1297">
        <v>49.75</v>
      </c>
      <c r="BS246" s="1297">
        <v>45.9</v>
      </c>
      <c r="BT246" s="1297">
        <v>42.55</v>
      </c>
      <c r="BU246" s="1297">
        <v>39.65</v>
      </c>
      <c r="BV246" s="1297">
        <v>37.049999999999997</v>
      </c>
      <c r="CO246" s="1267">
        <v>26</v>
      </c>
      <c r="CP246" s="1286" t="s">
        <v>39</v>
      </c>
      <c r="CQ246" s="1286" t="s">
        <v>39</v>
      </c>
      <c r="CR246" s="1286" t="s">
        <v>39</v>
      </c>
      <c r="CS246" s="1286" t="s">
        <v>39</v>
      </c>
      <c r="CT246" s="1286" t="s">
        <v>39</v>
      </c>
      <c r="CU246" s="1286" t="s">
        <v>39</v>
      </c>
      <c r="CV246" s="1286" t="s">
        <v>39</v>
      </c>
      <c r="CW246" s="1286" t="s">
        <v>39</v>
      </c>
      <c r="CX246" s="1286" t="s">
        <v>39</v>
      </c>
      <c r="CY246" s="1286" t="s">
        <v>39</v>
      </c>
      <c r="CZ246" s="1286" t="s">
        <v>39</v>
      </c>
      <c r="DA246" s="1286" t="s">
        <v>39</v>
      </c>
      <c r="DB246" s="1286" t="s">
        <v>39</v>
      </c>
      <c r="DC246" s="1286" t="s">
        <v>39</v>
      </c>
      <c r="DD246" s="1286" t="s">
        <v>39</v>
      </c>
      <c r="DE246" s="1286" t="s">
        <v>39</v>
      </c>
      <c r="DF246" s="1242" t="s">
        <v>39</v>
      </c>
      <c r="DG246" s="1242" t="s">
        <v>39</v>
      </c>
      <c r="DH246" s="1242" t="s">
        <v>39</v>
      </c>
      <c r="DI246" s="1242" t="s">
        <v>39</v>
      </c>
      <c r="DJ246" s="1242" t="s">
        <v>39</v>
      </c>
      <c r="DK246" s="1242" t="s">
        <v>39</v>
      </c>
      <c r="DL246" s="1242" t="s">
        <v>39</v>
      </c>
      <c r="DM246" s="1242" t="s">
        <v>39</v>
      </c>
      <c r="DN246" s="1260">
        <v>4.3</v>
      </c>
      <c r="DO246" s="1260">
        <v>4.6500000000000004</v>
      </c>
      <c r="DP246" s="1260">
        <v>5</v>
      </c>
      <c r="DQ246" s="1260">
        <v>5.4</v>
      </c>
      <c r="DR246" s="1260">
        <v>5.8</v>
      </c>
      <c r="DS246" s="1260">
        <v>6.2</v>
      </c>
      <c r="DT246" s="1260">
        <v>6.6</v>
      </c>
      <c r="DU246" s="1223"/>
      <c r="DY246" s="1291">
        <v>18</v>
      </c>
      <c r="DZ246" s="1260">
        <v>0.25</v>
      </c>
      <c r="EA246" s="1260">
        <v>0.25</v>
      </c>
      <c r="EB246" s="1260">
        <v>0.3</v>
      </c>
      <c r="EC246" s="1260">
        <v>0.3</v>
      </c>
      <c r="ED246" s="1260">
        <v>0.3</v>
      </c>
      <c r="EE246" s="1260">
        <v>0.35</v>
      </c>
      <c r="EF246" s="1260">
        <v>0.35</v>
      </c>
      <c r="EG246" s="1260">
        <v>0.35</v>
      </c>
      <c r="EH246" s="1260">
        <v>0.4</v>
      </c>
    </row>
    <row r="247" spans="2:138" ht="15" customHeight="1">
      <c r="B247" s="1208">
        <v>59</v>
      </c>
      <c r="C247" s="1220">
        <v>238.75</v>
      </c>
      <c r="D247" s="1220">
        <v>199.8</v>
      </c>
      <c r="E247" s="1258">
        <v>0</v>
      </c>
      <c r="F247" s="1258">
        <v>0</v>
      </c>
      <c r="G247" s="1258">
        <v>0</v>
      </c>
      <c r="H247" s="1258">
        <v>0</v>
      </c>
      <c r="I247" s="1258">
        <v>0</v>
      </c>
      <c r="J247" s="1258">
        <v>0</v>
      </c>
      <c r="K247" s="1258">
        <v>0</v>
      </c>
      <c r="L247" s="1258">
        <v>0</v>
      </c>
      <c r="M247" s="1258">
        <v>0</v>
      </c>
      <c r="N247" s="1258">
        <v>0</v>
      </c>
      <c r="O247" s="1258">
        <v>0</v>
      </c>
      <c r="P247" s="1258">
        <v>0</v>
      </c>
      <c r="Q247" s="1258">
        <v>0</v>
      </c>
      <c r="R247" s="1258">
        <v>0</v>
      </c>
      <c r="S247" s="1258">
        <v>0</v>
      </c>
      <c r="T247" s="1258">
        <v>0</v>
      </c>
      <c r="U247" s="1258">
        <v>0</v>
      </c>
      <c r="V247" s="1258">
        <v>0</v>
      </c>
      <c r="W247" s="1258">
        <v>0</v>
      </c>
      <c r="X247" s="1258">
        <v>0</v>
      </c>
      <c r="Y247" s="1258">
        <v>0</v>
      </c>
      <c r="Z247" s="1258">
        <v>0</v>
      </c>
      <c r="AA247" s="1258">
        <v>0</v>
      </c>
      <c r="AB247" s="1258">
        <v>0</v>
      </c>
      <c r="AC247" s="1258">
        <v>0</v>
      </c>
      <c r="AD247" s="1258">
        <v>0</v>
      </c>
      <c r="AE247" s="1258">
        <v>0</v>
      </c>
      <c r="AF247" s="1258">
        <v>0</v>
      </c>
      <c r="AG247" s="1258">
        <v>0</v>
      </c>
      <c r="AL247" s="832">
        <v>34</v>
      </c>
      <c r="AM247" s="1296">
        <v>88.8</v>
      </c>
      <c r="AN247" s="1296">
        <v>81.349999999999994</v>
      </c>
      <c r="AO247" s="1296">
        <v>74.95</v>
      </c>
      <c r="AP247" s="1296">
        <v>70.55</v>
      </c>
      <c r="AQ247" s="1296">
        <v>65.75</v>
      </c>
      <c r="AR247" s="1296">
        <v>61.6</v>
      </c>
      <c r="AS247" s="1296">
        <v>57.9</v>
      </c>
      <c r="AT247" s="1296">
        <v>54.65</v>
      </c>
      <c r="AU247" s="1296">
        <v>51.8</v>
      </c>
      <c r="AW247" s="1295">
        <v>30</v>
      </c>
      <c r="AX247" s="1297">
        <v>89.65</v>
      </c>
      <c r="AY247" s="1297">
        <v>79.5</v>
      </c>
      <c r="AZ247" s="1297">
        <v>71.2</v>
      </c>
      <c r="BA247" s="1297">
        <v>64.25</v>
      </c>
      <c r="BB247" s="1297">
        <v>58.4</v>
      </c>
      <c r="BC247" s="1297">
        <v>54.25</v>
      </c>
      <c r="BD247" s="1297">
        <v>49.85</v>
      </c>
      <c r="BE247" s="1297">
        <v>46.05</v>
      </c>
      <c r="BF247" s="1297">
        <v>42.7</v>
      </c>
      <c r="BG247" s="1297">
        <v>39.799999999999997</v>
      </c>
      <c r="BH247" s="1297">
        <v>37.200000000000003</v>
      </c>
      <c r="BK247" s="1295">
        <v>30</v>
      </c>
      <c r="BL247" s="1297">
        <v>89.6</v>
      </c>
      <c r="BM247" s="1297">
        <v>79.45</v>
      </c>
      <c r="BN247" s="1297">
        <v>71.150000000000006</v>
      </c>
      <c r="BO247" s="1297">
        <v>64.2</v>
      </c>
      <c r="BP247" s="1297">
        <v>58.35</v>
      </c>
      <c r="BQ247" s="1297">
        <v>54.2</v>
      </c>
      <c r="BR247" s="1297">
        <v>49.8</v>
      </c>
      <c r="BS247" s="1297">
        <v>45.95</v>
      </c>
      <c r="BT247" s="1297">
        <v>42.65</v>
      </c>
      <c r="BU247" s="1297">
        <v>39.700000000000003</v>
      </c>
      <c r="BV247" s="1297">
        <v>37.15</v>
      </c>
      <c r="CO247" s="1267">
        <v>27</v>
      </c>
      <c r="CP247" s="1286" t="s">
        <v>39</v>
      </c>
      <c r="CQ247" s="1286" t="s">
        <v>39</v>
      </c>
      <c r="CR247" s="1286" t="s">
        <v>39</v>
      </c>
      <c r="CS247" s="1286" t="s">
        <v>39</v>
      </c>
      <c r="CT247" s="1286" t="s">
        <v>39</v>
      </c>
      <c r="CU247" s="1286" t="s">
        <v>39</v>
      </c>
      <c r="CV247" s="1286" t="s">
        <v>39</v>
      </c>
      <c r="CW247" s="1286" t="s">
        <v>39</v>
      </c>
      <c r="CX247" s="1286" t="s">
        <v>39</v>
      </c>
      <c r="CY247" s="1286" t="s">
        <v>39</v>
      </c>
      <c r="CZ247" s="1286" t="s">
        <v>39</v>
      </c>
      <c r="DA247" s="1286" t="s">
        <v>39</v>
      </c>
      <c r="DB247" s="1286" t="s">
        <v>39</v>
      </c>
      <c r="DC247" s="1286" t="s">
        <v>39</v>
      </c>
      <c r="DD247" s="1286" t="s">
        <v>39</v>
      </c>
      <c r="DE247" s="1286" t="s">
        <v>39</v>
      </c>
      <c r="DF247" s="1242" t="s">
        <v>39</v>
      </c>
      <c r="DG247" s="1242" t="s">
        <v>39</v>
      </c>
      <c r="DH247" s="1242" t="s">
        <v>39</v>
      </c>
      <c r="DI247" s="1242" t="s">
        <v>39</v>
      </c>
      <c r="DJ247" s="1242" t="s">
        <v>39</v>
      </c>
      <c r="DK247" s="1242" t="s">
        <v>39</v>
      </c>
      <c r="DL247" s="1242" t="s">
        <v>39</v>
      </c>
      <c r="DM247" s="1260">
        <v>4.2</v>
      </c>
      <c r="DN247" s="1260">
        <v>4.55</v>
      </c>
      <c r="DO247" s="1260">
        <v>4.95</v>
      </c>
      <c r="DP247" s="1260">
        <v>5.3</v>
      </c>
      <c r="DQ247" s="1260">
        <v>5.75</v>
      </c>
      <c r="DR247" s="1260">
        <v>6.15</v>
      </c>
      <c r="DS247" s="1260">
        <v>6.6</v>
      </c>
      <c r="DT247" s="1260">
        <v>7.05</v>
      </c>
      <c r="DU247" s="1223"/>
      <c r="DY247" s="1291">
        <v>19</v>
      </c>
      <c r="DZ247" s="1260">
        <v>0.25</v>
      </c>
      <c r="EA247" s="1260">
        <v>0.3</v>
      </c>
      <c r="EB247" s="1260">
        <v>0.3</v>
      </c>
      <c r="EC247" s="1260">
        <v>0.3</v>
      </c>
      <c r="ED247" s="1260">
        <v>0.3</v>
      </c>
      <c r="EE247" s="1260">
        <v>0.35</v>
      </c>
      <c r="EF247" s="1260">
        <v>0.35</v>
      </c>
      <c r="EG247" s="1260">
        <v>0.35</v>
      </c>
      <c r="EH247" s="1260">
        <v>0.4</v>
      </c>
    </row>
    <row r="248" spans="2:138" ht="15" customHeight="1">
      <c r="B248" s="1208">
        <v>60</v>
      </c>
      <c r="C248" s="1220">
        <v>239.55</v>
      </c>
      <c r="D248" s="1258">
        <v>0</v>
      </c>
      <c r="E248" s="1258">
        <v>0</v>
      </c>
      <c r="F248" s="1258">
        <v>0</v>
      </c>
      <c r="G248" s="1258">
        <v>0</v>
      </c>
      <c r="H248" s="1258">
        <v>0</v>
      </c>
      <c r="I248" s="1258">
        <v>0</v>
      </c>
      <c r="J248" s="1258">
        <v>0</v>
      </c>
      <c r="K248" s="1258">
        <v>0</v>
      </c>
      <c r="L248" s="1258">
        <v>0</v>
      </c>
      <c r="M248" s="1258">
        <v>0</v>
      </c>
      <c r="N248" s="1258">
        <v>0</v>
      </c>
      <c r="O248" s="1258">
        <v>0</v>
      </c>
      <c r="P248" s="1258">
        <v>0</v>
      </c>
      <c r="Q248" s="1258">
        <v>0</v>
      </c>
      <c r="R248" s="1258">
        <v>0</v>
      </c>
      <c r="S248" s="1258">
        <v>0</v>
      </c>
      <c r="T248" s="1258">
        <v>0</v>
      </c>
      <c r="U248" s="1258">
        <v>0</v>
      </c>
      <c r="V248" s="1258">
        <v>0</v>
      </c>
      <c r="W248" s="1258">
        <v>0</v>
      </c>
      <c r="X248" s="1258">
        <v>0</v>
      </c>
      <c r="Y248" s="1258">
        <v>0</v>
      </c>
      <c r="Z248" s="1258">
        <v>0</v>
      </c>
      <c r="AA248" s="1258">
        <v>0</v>
      </c>
      <c r="AB248" s="1258">
        <v>0</v>
      </c>
      <c r="AC248" s="1258">
        <v>0</v>
      </c>
      <c r="AD248" s="1258">
        <v>0</v>
      </c>
      <c r="AE248" s="1258">
        <v>0</v>
      </c>
      <c r="AF248" s="1258">
        <v>0</v>
      </c>
      <c r="AG248" s="1258">
        <v>0</v>
      </c>
      <c r="AL248" s="832">
        <v>35</v>
      </c>
      <c r="AM248" s="1296">
        <v>88.95</v>
      </c>
      <c r="AN248" s="1296">
        <v>81.5</v>
      </c>
      <c r="AO248" s="1296">
        <v>75.150000000000006</v>
      </c>
      <c r="AP248" s="1296">
        <v>70.75</v>
      </c>
      <c r="AQ248" s="1296">
        <v>66</v>
      </c>
      <c r="AR248" s="1296">
        <v>61.85</v>
      </c>
      <c r="AS248" s="1296">
        <v>58.2</v>
      </c>
      <c r="AT248" s="1296">
        <v>55</v>
      </c>
      <c r="AU248" s="1296">
        <v>52.1</v>
      </c>
      <c r="AW248" s="1295">
        <v>31</v>
      </c>
      <c r="AX248" s="1297">
        <v>89.7</v>
      </c>
      <c r="AY248" s="1297">
        <v>79.55</v>
      </c>
      <c r="AZ248" s="1297">
        <v>71.25</v>
      </c>
      <c r="BA248" s="1297">
        <v>64.3</v>
      </c>
      <c r="BB248" s="1297">
        <v>58.45</v>
      </c>
      <c r="BC248" s="1297">
        <v>54.3</v>
      </c>
      <c r="BD248" s="1297">
        <v>49.9</v>
      </c>
      <c r="BE248" s="1297">
        <v>46.1</v>
      </c>
      <c r="BF248" s="1297">
        <v>42.8</v>
      </c>
      <c r="BG248" s="1297">
        <v>39.9</v>
      </c>
      <c r="BH248" s="1297">
        <v>37.299999999999997</v>
      </c>
      <c r="BK248" s="1295">
        <v>31</v>
      </c>
      <c r="BL248" s="1297">
        <v>89.65</v>
      </c>
      <c r="BM248" s="1297">
        <v>79.5</v>
      </c>
      <c r="BN248" s="1297">
        <v>71.2</v>
      </c>
      <c r="BO248" s="1297">
        <v>64.25</v>
      </c>
      <c r="BP248" s="1297">
        <v>58.4</v>
      </c>
      <c r="BQ248" s="1297">
        <v>54.25</v>
      </c>
      <c r="BR248" s="1297">
        <v>49.85</v>
      </c>
      <c r="BS248" s="1297">
        <v>46.05</v>
      </c>
      <c r="BT248" s="1297">
        <v>42.7</v>
      </c>
      <c r="BU248" s="1297">
        <v>39.799999999999997</v>
      </c>
      <c r="BV248" s="1297">
        <v>37.200000000000003</v>
      </c>
      <c r="CO248" s="1267">
        <v>28</v>
      </c>
      <c r="CP248" s="1286" t="s">
        <v>39</v>
      </c>
      <c r="CQ248" s="1286" t="s">
        <v>39</v>
      </c>
      <c r="CR248" s="1286" t="s">
        <v>39</v>
      </c>
      <c r="CS248" s="1286" t="s">
        <v>39</v>
      </c>
      <c r="CT248" s="1286" t="s">
        <v>39</v>
      </c>
      <c r="CU248" s="1286" t="s">
        <v>39</v>
      </c>
      <c r="CV248" s="1286" t="s">
        <v>39</v>
      </c>
      <c r="CW248" s="1286" t="s">
        <v>39</v>
      </c>
      <c r="CX248" s="1286" t="s">
        <v>39</v>
      </c>
      <c r="CY248" s="1286" t="s">
        <v>39</v>
      </c>
      <c r="CZ248" s="1286" t="s">
        <v>39</v>
      </c>
      <c r="DA248" s="1286" t="s">
        <v>39</v>
      </c>
      <c r="DB248" s="1286" t="s">
        <v>39</v>
      </c>
      <c r="DC248" s="1286" t="s">
        <v>39</v>
      </c>
      <c r="DD248" s="1286" t="s">
        <v>39</v>
      </c>
      <c r="DE248" s="1286" t="s">
        <v>39</v>
      </c>
      <c r="DF248" s="1242" t="s">
        <v>39</v>
      </c>
      <c r="DG248" s="1242" t="s">
        <v>39</v>
      </c>
      <c r="DH248" s="1242" t="s">
        <v>39</v>
      </c>
      <c r="DI248" s="1242" t="s">
        <v>39</v>
      </c>
      <c r="DJ248" s="1242" t="s">
        <v>39</v>
      </c>
      <c r="DK248" s="1242" t="s">
        <v>39</v>
      </c>
      <c r="DL248" s="1260">
        <v>4.0999999999999996</v>
      </c>
      <c r="DM248" s="1260">
        <v>4.5</v>
      </c>
      <c r="DN248" s="1260">
        <v>4.8499999999999996</v>
      </c>
      <c r="DO248" s="1260">
        <v>5.25</v>
      </c>
      <c r="DP248" s="1260">
        <v>5.65</v>
      </c>
      <c r="DQ248" s="1260">
        <v>6.1</v>
      </c>
      <c r="DR248" s="1260">
        <v>6.55</v>
      </c>
      <c r="DS248" s="1260">
        <v>7</v>
      </c>
      <c r="DT248" s="1260">
        <v>7.5</v>
      </c>
      <c r="DU248" s="1223"/>
      <c r="DY248" s="1291">
        <v>20</v>
      </c>
      <c r="DZ248" s="1260">
        <v>0.25</v>
      </c>
      <c r="EA248" s="1260">
        <v>0.3</v>
      </c>
      <c r="EB248" s="1260">
        <v>0.3</v>
      </c>
      <c r="EC248" s="1260">
        <v>0.3</v>
      </c>
      <c r="ED248" s="1260">
        <v>0.35</v>
      </c>
      <c r="EE248" s="1260">
        <v>0.35</v>
      </c>
      <c r="EF248" s="1260">
        <v>0.35</v>
      </c>
      <c r="EG248" s="1260">
        <v>0.4</v>
      </c>
      <c r="EH248" s="1260">
        <v>0.4</v>
      </c>
    </row>
    <row r="249" spans="2:138" ht="15" customHeight="1">
      <c r="AL249" s="832">
        <v>36</v>
      </c>
      <c r="AM249" s="1296">
        <v>89.1</v>
      </c>
      <c r="AN249" s="1296">
        <v>81.650000000000006</v>
      </c>
      <c r="AO249" s="1296">
        <v>75.349999999999994</v>
      </c>
      <c r="AP249" s="1296">
        <v>70.95</v>
      </c>
      <c r="AQ249" s="1296">
        <v>66.25</v>
      </c>
      <c r="AR249" s="1296">
        <v>62.15</v>
      </c>
      <c r="AS249" s="1296">
        <v>58.5</v>
      </c>
      <c r="AT249" s="1296">
        <v>55.35</v>
      </c>
      <c r="AU249" s="1296">
        <v>52.5</v>
      </c>
      <c r="AW249" s="1295">
        <v>32</v>
      </c>
      <c r="AX249" s="1297">
        <v>89.75</v>
      </c>
      <c r="AY249" s="1297">
        <v>79.599999999999994</v>
      </c>
      <c r="AZ249" s="1297">
        <v>71.3</v>
      </c>
      <c r="BA249" s="1297">
        <v>64.400000000000006</v>
      </c>
      <c r="BB249" s="1297">
        <v>58.55</v>
      </c>
      <c r="BC249" s="1297">
        <v>54.4</v>
      </c>
      <c r="BD249" s="1297">
        <v>50</v>
      </c>
      <c r="BE249" s="1297">
        <v>46.2</v>
      </c>
      <c r="BF249" s="1297">
        <v>42.9</v>
      </c>
      <c r="BG249" s="1297">
        <v>40</v>
      </c>
      <c r="BH249" s="1297">
        <v>37.4</v>
      </c>
      <c r="BK249" s="1295">
        <v>32</v>
      </c>
      <c r="BL249" s="1297">
        <v>89.7</v>
      </c>
      <c r="BM249" s="1297">
        <v>79.55</v>
      </c>
      <c r="BN249" s="1297">
        <v>71.25</v>
      </c>
      <c r="BO249" s="1297">
        <v>64.349999999999994</v>
      </c>
      <c r="BP249" s="1297">
        <v>58.5</v>
      </c>
      <c r="BQ249" s="1297">
        <v>54.35</v>
      </c>
      <c r="BR249" s="1297">
        <v>49.95</v>
      </c>
      <c r="BS249" s="1297">
        <v>46.15</v>
      </c>
      <c r="BT249" s="1297">
        <v>42.8</v>
      </c>
      <c r="BU249" s="1297">
        <v>39.9</v>
      </c>
      <c r="BV249" s="1297">
        <v>37.35</v>
      </c>
      <c r="CO249" s="1267">
        <v>29</v>
      </c>
      <c r="CP249" s="1286" t="s">
        <v>39</v>
      </c>
      <c r="CQ249" s="1286" t="s">
        <v>39</v>
      </c>
      <c r="CR249" s="1286" t="s">
        <v>39</v>
      </c>
      <c r="CS249" s="1286" t="s">
        <v>39</v>
      </c>
      <c r="CT249" s="1286" t="s">
        <v>39</v>
      </c>
      <c r="CU249" s="1286" t="s">
        <v>39</v>
      </c>
      <c r="CV249" s="1286" t="s">
        <v>39</v>
      </c>
      <c r="CW249" s="1286" t="s">
        <v>39</v>
      </c>
      <c r="CX249" s="1286" t="s">
        <v>39</v>
      </c>
      <c r="CY249" s="1286" t="s">
        <v>39</v>
      </c>
      <c r="CZ249" s="1286" t="s">
        <v>39</v>
      </c>
      <c r="DA249" s="1286" t="s">
        <v>39</v>
      </c>
      <c r="DB249" s="1286" t="s">
        <v>39</v>
      </c>
      <c r="DC249" s="1286" t="s">
        <v>39</v>
      </c>
      <c r="DD249" s="1286" t="s">
        <v>39</v>
      </c>
      <c r="DE249" s="1286" t="s">
        <v>39</v>
      </c>
      <c r="DF249" s="1242" t="s">
        <v>39</v>
      </c>
      <c r="DG249" s="1242" t="s">
        <v>39</v>
      </c>
      <c r="DH249" s="1242" t="s">
        <v>39</v>
      </c>
      <c r="DI249" s="1242" t="s">
        <v>39</v>
      </c>
      <c r="DJ249" s="1242" t="s">
        <v>39</v>
      </c>
      <c r="DK249" s="1260">
        <v>4</v>
      </c>
      <c r="DL249" s="1260">
        <v>4.4000000000000004</v>
      </c>
      <c r="DM249" s="1260">
        <v>4.75</v>
      </c>
      <c r="DN249" s="1260">
        <v>5.2</v>
      </c>
      <c r="DO249" s="1260">
        <v>5.6</v>
      </c>
      <c r="DP249" s="1260">
        <v>6.05</v>
      </c>
      <c r="DQ249" s="1260">
        <v>6.5</v>
      </c>
      <c r="DR249" s="1260">
        <v>7</v>
      </c>
      <c r="DS249" s="1260">
        <v>7.5</v>
      </c>
      <c r="DT249" s="1260">
        <v>8</v>
      </c>
      <c r="DU249" s="1223"/>
      <c r="DY249" s="1291">
        <v>21</v>
      </c>
      <c r="DZ249" s="1260">
        <v>0.25</v>
      </c>
      <c r="EA249" s="1260">
        <v>0.3</v>
      </c>
      <c r="EB249" s="1260">
        <v>0.3</v>
      </c>
      <c r="EC249" s="1260">
        <v>0.3</v>
      </c>
      <c r="ED249" s="1260">
        <v>0.35</v>
      </c>
      <c r="EE249" s="1260">
        <v>0.35</v>
      </c>
      <c r="EF249" s="1260">
        <v>0.4</v>
      </c>
      <c r="EG249" s="1260">
        <v>0.4</v>
      </c>
      <c r="EH249" s="1260">
        <v>0.4</v>
      </c>
    </row>
    <row r="250" spans="2:138" ht="15" customHeight="1">
      <c r="AL250" s="832">
        <v>37</v>
      </c>
      <c r="AM250" s="1296">
        <v>89.3</v>
      </c>
      <c r="AN250" s="1296">
        <v>81.900000000000006</v>
      </c>
      <c r="AO250" s="1296">
        <v>75.55</v>
      </c>
      <c r="AP250" s="1296">
        <v>71.25</v>
      </c>
      <c r="AQ250" s="1296">
        <v>66.55</v>
      </c>
      <c r="AR250" s="1296">
        <v>62.45</v>
      </c>
      <c r="AS250" s="1296">
        <v>58.9</v>
      </c>
      <c r="AT250" s="1296">
        <v>55.75</v>
      </c>
      <c r="AU250" s="1296">
        <v>52.95</v>
      </c>
      <c r="AW250" s="1295">
        <v>33</v>
      </c>
      <c r="AX250" s="1297">
        <v>89.8</v>
      </c>
      <c r="AY250" s="1297">
        <v>79.7</v>
      </c>
      <c r="AZ250" s="1297">
        <v>71.400000000000006</v>
      </c>
      <c r="BA250" s="1297">
        <v>64.45</v>
      </c>
      <c r="BB250" s="1297">
        <v>58.65</v>
      </c>
      <c r="BC250" s="1297">
        <v>54.5</v>
      </c>
      <c r="BD250" s="1297">
        <v>50.1</v>
      </c>
      <c r="BE250" s="1297">
        <v>46.3</v>
      </c>
      <c r="BF250" s="1297">
        <v>43</v>
      </c>
      <c r="BG250" s="1297">
        <v>40.1</v>
      </c>
      <c r="BH250" s="1297">
        <v>37.549999999999997</v>
      </c>
      <c r="BK250" s="1295">
        <v>33</v>
      </c>
      <c r="BL250" s="1297">
        <v>89.75</v>
      </c>
      <c r="BM250" s="1297">
        <v>79.650000000000006</v>
      </c>
      <c r="BN250" s="1297">
        <v>71.3</v>
      </c>
      <c r="BO250" s="1297">
        <v>64.400000000000006</v>
      </c>
      <c r="BP250" s="1297">
        <v>58.55</v>
      </c>
      <c r="BQ250" s="1297">
        <v>54.4</v>
      </c>
      <c r="BR250" s="1297">
        <v>50.05</v>
      </c>
      <c r="BS250" s="1297">
        <v>46.25</v>
      </c>
      <c r="BT250" s="1297">
        <v>42.95</v>
      </c>
      <c r="BU250" s="1297">
        <v>40</v>
      </c>
      <c r="BV250" s="1297">
        <v>37.450000000000003</v>
      </c>
      <c r="CO250" s="1267">
        <v>30</v>
      </c>
      <c r="CP250" s="1286" t="s">
        <v>39</v>
      </c>
      <c r="CQ250" s="1286" t="s">
        <v>39</v>
      </c>
      <c r="CR250" s="1286" t="s">
        <v>39</v>
      </c>
      <c r="CS250" s="1286" t="s">
        <v>39</v>
      </c>
      <c r="CT250" s="1286" t="s">
        <v>39</v>
      </c>
      <c r="CU250" s="1286" t="s">
        <v>39</v>
      </c>
      <c r="CV250" s="1286" t="s">
        <v>39</v>
      </c>
      <c r="CW250" s="1286" t="s">
        <v>39</v>
      </c>
      <c r="CX250" s="1286" t="s">
        <v>39</v>
      </c>
      <c r="CY250" s="1286" t="s">
        <v>39</v>
      </c>
      <c r="CZ250" s="1286" t="s">
        <v>39</v>
      </c>
      <c r="DA250" s="1286" t="s">
        <v>39</v>
      </c>
      <c r="DB250" s="1286" t="s">
        <v>39</v>
      </c>
      <c r="DC250" s="1286" t="s">
        <v>39</v>
      </c>
      <c r="DD250" s="1286" t="s">
        <v>39</v>
      </c>
      <c r="DE250" s="1286" t="s">
        <v>39</v>
      </c>
      <c r="DF250" s="1242" t="s">
        <v>39</v>
      </c>
      <c r="DG250" s="1242" t="s">
        <v>39</v>
      </c>
      <c r="DH250" s="1242" t="s">
        <v>39</v>
      </c>
      <c r="DI250" s="1242" t="s">
        <v>39</v>
      </c>
      <c r="DJ250" s="1260">
        <v>3.9</v>
      </c>
      <c r="DK250" s="1260">
        <v>4.3</v>
      </c>
      <c r="DL250" s="1260">
        <v>4.7</v>
      </c>
      <c r="DM250" s="1260">
        <v>5.0999999999999996</v>
      </c>
      <c r="DN250" s="1260">
        <v>5.55</v>
      </c>
      <c r="DO250" s="1260">
        <v>6</v>
      </c>
      <c r="DP250" s="1260">
        <v>6.5</v>
      </c>
      <c r="DQ250" s="1260">
        <v>6.95</v>
      </c>
      <c r="DR250" s="1260">
        <v>7.5</v>
      </c>
      <c r="DS250" s="1260">
        <v>8</v>
      </c>
      <c r="DT250" s="1260">
        <v>8.5500000000000007</v>
      </c>
      <c r="DU250" s="1223"/>
      <c r="DY250" s="1291">
        <v>22</v>
      </c>
      <c r="DZ250" s="1260">
        <v>0.25</v>
      </c>
      <c r="EA250" s="1260">
        <v>0.3</v>
      </c>
      <c r="EB250" s="1260">
        <v>0.3</v>
      </c>
      <c r="EC250" s="1260">
        <v>0.3</v>
      </c>
      <c r="ED250" s="1260">
        <v>0.35</v>
      </c>
      <c r="EE250" s="1260">
        <v>0.35</v>
      </c>
      <c r="EF250" s="1260">
        <v>0.4</v>
      </c>
      <c r="EG250" s="1260">
        <v>0.4</v>
      </c>
      <c r="EH250" s="1260">
        <v>0.45</v>
      </c>
    </row>
    <row r="251" spans="2:138" ht="15" customHeight="1">
      <c r="AL251" s="832">
        <v>38</v>
      </c>
      <c r="AM251" s="1296">
        <v>89.5</v>
      </c>
      <c r="AN251" s="1296">
        <v>82.1</v>
      </c>
      <c r="AO251" s="1296">
        <v>75.849999999999994</v>
      </c>
      <c r="AP251" s="1296">
        <v>71.5</v>
      </c>
      <c r="AQ251" s="1296">
        <v>66.849999999999994</v>
      </c>
      <c r="AR251" s="1296">
        <v>62.85</v>
      </c>
      <c r="AS251" s="1296">
        <v>59.3</v>
      </c>
      <c r="AT251" s="1296">
        <v>56.15</v>
      </c>
      <c r="AU251" s="1296">
        <v>53.4</v>
      </c>
      <c r="AW251" s="1295">
        <v>34</v>
      </c>
      <c r="AX251" s="1297">
        <v>89.85</v>
      </c>
      <c r="AY251" s="1297">
        <v>79.75</v>
      </c>
      <c r="AZ251" s="1297">
        <v>71.45</v>
      </c>
      <c r="BA251" s="1297">
        <v>64.55</v>
      </c>
      <c r="BB251" s="1297">
        <v>58.7</v>
      </c>
      <c r="BC251" s="1297">
        <v>54.6</v>
      </c>
      <c r="BD251" s="1297">
        <v>50.2</v>
      </c>
      <c r="BE251" s="1297">
        <v>46.45</v>
      </c>
      <c r="BF251" s="1297">
        <v>43.15</v>
      </c>
      <c r="BG251" s="1297">
        <v>40.25</v>
      </c>
      <c r="BH251" s="1297">
        <v>37.700000000000003</v>
      </c>
      <c r="BK251" s="1295">
        <v>34</v>
      </c>
      <c r="BL251" s="1297">
        <v>89.8</v>
      </c>
      <c r="BM251" s="1297">
        <v>79.7</v>
      </c>
      <c r="BN251" s="1297">
        <v>71.400000000000006</v>
      </c>
      <c r="BO251" s="1297">
        <v>64.5</v>
      </c>
      <c r="BP251" s="1297">
        <v>58.65</v>
      </c>
      <c r="BQ251" s="1297">
        <v>54.5</v>
      </c>
      <c r="BR251" s="1297">
        <v>50.15</v>
      </c>
      <c r="BS251" s="1297">
        <v>46.35</v>
      </c>
      <c r="BT251" s="1297">
        <v>43.05</v>
      </c>
      <c r="BU251" s="1297">
        <v>40.15</v>
      </c>
      <c r="BV251" s="1297">
        <v>37.6</v>
      </c>
      <c r="CO251" s="1267">
        <v>31</v>
      </c>
      <c r="CP251" s="1286" t="s">
        <v>39</v>
      </c>
      <c r="CQ251" s="1286" t="s">
        <v>39</v>
      </c>
      <c r="CR251" s="1286" t="s">
        <v>39</v>
      </c>
      <c r="CS251" s="1286" t="s">
        <v>39</v>
      </c>
      <c r="CT251" s="1286" t="s">
        <v>39</v>
      </c>
      <c r="CU251" s="1286" t="s">
        <v>39</v>
      </c>
      <c r="CV251" s="1286" t="s">
        <v>39</v>
      </c>
      <c r="CW251" s="1286" t="s">
        <v>39</v>
      </c>
      <c r="CX251" s="1286" t="s">
        <v>39</v>
      </c>
      <c r="CY251" s="1286" t="s">
        <v>39</v>
      </c>
      <c r="CZ251" s="1286" t="s">
        <v>39</v>
      </c>
      <c r="DA251" s="1286" t="s">
        <v>39</v>
      </c>
      <c r="DB251" s="1286" t="s">
        <v>39</v>
      </c>
      <c r="DC251" s="1286" t="s">
        <v>39</v>
      </c>
      <c r="DD251" s="1286" t="s">
        <v>39</v>
      </c>
      <c r="DE251" s="1286" t="s">
        <v>39</v>
      </c>
      <c r="DF251" s="1242" t="s">
        <v>39</v>
      </c>
      <c r="DG251" s="1242" t="s">
        <v>39</v>
      </c>
      <c r="DH251" s="1242" t="s">
        <v>39</v>
      </c>
      <c r="DI251" s="1260">
        <v>3.8</v>
      </c>
      <c r="DJ251" s="1260">
        <v>4.2</v>
      </c>
      <c r="DK251" s="1260">
        <v>4.5999999999999996</v>
      </c>
      <c r="DL251" s="1260">
        <v>5.05</v>
      </c>
      <c r="DM251" s="1260">
        <v>5.5</v>
      </c>
      <c r="DN251" s="1260">
        <v>5.95</v>
      </c>
      <c r="DO251" s="1260">
        <v>6.45</v>
      </c>
      <c r="DP251" s="1260">
        <v>6.95</v>
      </c>
      <c r="DQ251" s="1260">
        <v>7.5</v>
      </c>
      <c r="DR251" s="1260">
        <v>8</v>
      </c>
      <c r="DS251" s="1260">
        <v>8.6</v>
      </c>
      <c r="DT251" s="1242" t="s">
        <v>39</v>
      </c>
      <c r="DU251" s="1223"/>
      <c r="DY251" s="1291">
        <v>23</v>
      </c>
      <c r="DZ251" s="1260">
        <v>0.25</v>
      </c>
      <c r="EA251" s="1260">
        <v>0.3</v>
      </c>
      <c r="EB251" s="1260">
        <v>0.3</v>
      </c>
      <c r="EC251" s="1260">
        <v>0.3</v>
      </c>
      <c r="ED251" s="1260">
        <v>0.35</v>
      </c>
      <c r="EE251" s="1260">
        <v>0.4</v>
      </c>
      <c r="EF251" s="1260">
        <v>0.4</v>
      </c>
      <c r="EG251" s="1260">
        <v>0.4</v>
      </c>
      <c r="EH251" s="1260">
        <v>0.45</v>
      </c>
    </row>
    <row r="252" spans="2:138" ht="15" customHeight="1">
      <c r="C252" s="1205">
        <f t="shared" ref="C252:AG252" si="39">LOOKUP($B$1,$B254:$B294,C254:C294)</f>
        <v>0</v>
      </c>
      <c r="D252" s="1205">
        <f t="shared" si="39"/>
        <v>0</v>
      </c>
      <c r="E252" s="1205">
        <f t="shared" si="39"/>
        <v>0</v>
      </c>
      <c r="F252" s="1205">
        <f t="shared" si="39"/>
        <v>0</v>
      </c>
      <c r="G252" s="1205">
        <f t="shared" si="39"/>
        <v>0</v>
      </c>
      <c r="H252" s="1205">
        <f t="shared" si="39"/>
        <v>0</v>
      </c>
      <c r="I252" s="1205">
        <f t="shared" si="39"/>
        <v>0</v>
      </c>
      <c r="J252" s="1205">
        <f t="shared" si="39"/>
        <v>0</v>
      </c>
      <c r="K252" s="1205">
        <f t="shared" si="39"/>
        <v>0</v>
      </c>
      <c r="L252" s="1205">
        <f t="shared" si="39"/>
        <v>0</v>
      </c>
      <c r="M252" s="1205">
        <f t="shared" si="39"/>
        <v>0</v>
      </c>
      <c r="N252" s="1205">
        <f t="shared" si="39"/>
        <v>0</v>
      </c>
      <c r="O252" s="1205">
        <f t="shared" si="39"/>
        <v>0</v>
      </c>
      <c r="P252" s="1205">
        <f t="shared" si="39"/>
        <v>0</v>
      </c>
      <c r="Q252" s="1205">
        <f t="shared" si="39"/>
        <v>0</v>
      </c>
      <c r="R252" s="1205">
        <f t="shared" si="39"/>
        <v>0</v>
      </c>
      <c r="S252" s="1205">
        <f t="shared" si="39"/>
        <v>0</v>
      </c>
      <c r="T252" s="1205">
        <f t="shared" si="39"/>
        <v>0</v>
      </c>
      <c r="U252" s="1205">
        <f t="shared" si="39"/>
        <v>0</v>
      </c>
      <c r="V252" s="1205">
        <f t="shared" si="39"/>
        <v>0</v>
      </c>
      <c r="W252" s="1205">
        <f t="shared" si="39"/>
        <v>516.25</v>
      </c>
      <c r="X252" s="1205">
        <f t="shared" si="39"/>
        <v>500.2</v>
      </c>
      <c r="Y252" s="1205">
        <f t="shared" si="39"/>
        <v>484.85</v>
      </c>
      <c r="Z252" s="1205">
        <f t="shared" si="39"/>
        <v>470.25</v>
      </c>
      <c r="AA252" s="1205">
        <f t="shared" si="39"/>
        <v>456.3</v>
      </c>
      <c r="AB252" s="1205">
        <f t="shared" si="39"/>
        <v>443.05</v>
      </c>
      <c r="AC252" s="1205">
        <f t="shared" si="39"/>
        <v>430.45</v>
      </c>
      <c r="AD252" s="1205">
        <f t="shared" si="39"/>
        <v>418.5</v>
      </c>
      <c r="AE252" s="1205">
        <f t="shared" si="39"/>
        <v>407.2</v>
      </c>
      <c r="AF252" s="1205">
        <f t="shared" si="39"/>
        <v>396.55</v>
      </c>
      <c r="AG252" s="1205">
        <f t="shared" si="39"/>
        <v>386.5</v>
      </c>
      <c r="AL252" s="832">
        <v>39</v>
      </c>
      <c r="AM252" s="1296">
        <v>89.75</v>
      </c>
      <c r="AN252" s="1296">
        <v>82.4</v>
      </c>
      <c r="AO252" s="1296">
        <v>76.099999999999994</v>
      </c>
      <c r="AP252" s="1296">
        <v>71.849999999999994</v>
      </c>
      <c r="AQ252" s="1296">
        <v>67.25</v>
      </c>
      <c r="AR252" s="1296">
        <v>63.25</v>
      </c>
      <c r="AS252" s="1296">
        <v>59.7</v>
      </c>
      <c r="AT252" s="1296">
        <v>56.6</v>
      </c>
      <c r="AU252" s="1296">
        <v>53.9</v>
      </c>
      <c r="AW252" s="1295">
        <v>35</v>
      </c>
      <c r="AX252" s="1297">
        <v>89.95</v>
      </c>
      <c r="AY252" s="1297">
        <v>79.849999999999994</v>
      </c>
      <c r="AZ252" s="1297">
        <v>71.55</v>
      </c>
      <c r="BA252" s="1297">
        <v>64.650000000000006</v>
      </c>
      <c r="BB252" s="1297">
        <v>58.85</v>
      </c>
      <c r="BC252" s="1297">
        <v>54.7</v>
      </c>
      <c r="BD252" s="1297">
        <v>50.35</v>
      </c>
      <c r="BE252" s="1297">
        <v>46.55</v>
      </c>
      <c r="BF252" s="1297">
        <v>43.3</v>
      </c>
      <c r="BG252" s="1297">
        <v>40.4</v>
      </c>
      <c r="BH252" s="1297">
        <v>37.85</v>
      </c>
      <c r="BK252" s="1295">
        <v>35</v>
      </c>
      <c r="BL252" s="1297">
        <v>89.9</v>
      </c>
      <c r="BM252" s="1297">
        <v>79.8</v>
      </c>
      <c r="BN252" s="1297">
        <v>71.5</v>
      </c>
      <c r="BO252" s="1297">
        <v>64.599999999999994</v>
      </c>
      <c r="BP252" s="1297">
        <v>58.75</v>
      </c>
      <c r="BQ252" s="1297">
        <v>54.65</v>
      </c>
      <c r="BR252" s="1297">
        <v>50.25</v>
      </c>
      <c r="BS252" s="1297">
        <v>46.5</v>
      </c>
      <c r="BT252" s="1297">
        <v>43.2</v>
      </c>
      <c r="BU252" s="1297">
        <v>40.299999999999997</v>
      </c>
      <c r="BV252" s="1297">
        <v>37.75</v>
      </c>
      <c r="CO252" s="1267">
        <v>32</v>
      </c>
      <c r="CP252" s="1286" t="s">
        <v>39</v>
      </c>
      <c r="CQ252" s="1286" t="s">
        <v>39</v>
      </c>
      <c r="CR252" s="1286" t="s">
        <v>39</v>
      </c>
      <c r="CS252" s="1286" t="s">
        <v>39</v>
      </c>
      <c r="CT252" s="1286" t="s">
        <v>39</v>
      </c>
      <c r="CU252" s="1286" t="s">
        <v>39</v>
      </c>
      <c r="CV252" s="1286" t="s">
        <v>39</v>
      </c>
      <c r="CW252" s="1286" t="s">
        <v>39</v>
      </c>
      <c r="CX252" s="1286" t="s">
        <v>39</v>
      </c>
      <c r="CY252" s="1286" t="s">
        <v>39</v>
      </c>
      <c r="CZ252" s="1286" t="s">
        <v>39</v>
      </c>
      <c r="DA252" s="1286" t="s">
        <v>39</v>
      </c>
      <c r="DB252" s="1286" t="s">
        <v>39</v>
      </c>
      <c r="DC252" s="1286" t="s">
        <v>39</v>
      </c>
      <c r="DD252" s="1286" t="s">
        <v>39</v>
      </c>
      <c r="DE252" s="1286" t="s">
        <v>39</v>
      </c>
      <c r="DF252" s="1242" t="s">
        <v>39</v>
      </c>
      <c r="DG252" s="1242" t="s">
        <v>39</v>
      </c>
      <c r="DH252" s="1260">
        <v>3.7</v>
      </c>
      <c r="DI252" s="1260">
        <v>4.0999999999999996</v>
      </c>
      <c r="DJ252" s="1260">
        <v>4.5</v>
      </c>
      <c r="DK252" s="1260">
        <v>4.95</v>
      </c>
      <c r="DL252" s="1260">
        <v>5.4</v>
      </c>
      <c r="DM252" s="1260">
        <v>5.9</v>
      </c>
      <c r="DN252" s="1260">
        <v>6.4</v>
      </c>
      <c r="DO252" s="1260">
        <v>6.95</v>
      </c>
      <c r="DP252" s="1260">
        <v>7.5</v>
      </c>
      <c r="DQ252" s="1260">
        <v>8.0500000000000007</v>
      </c>
      <c r="DR252" s="1260">
        <v>8.6</v>
      </c>
      <c r="DS252" s="1242" t="s">
        <v>39</v>
      </c>
      <c r="DT252" s="1242" t="s">
        <v>39</v>
      </c>
      <c r="DU252" s="1223"/>
      <c r="DY252" s="1291">
        <v>24</v>
      </c>
      <c r="DZ252" s="1260">
        <v>0.3</v>
      </c>
      <c r="EA252" s="1260">
        <v>0.3</v>
      </c>
      <c r="EB252" s="1260">
        <v>0.3</v>
      </c>
      <c r="EC252" s="1260">
        <v>0.3</v>
      </c>
      <c r="ED252" s="1260">
        <v>0.35</v>
      </c>
      <c r="EE252" s="1260">
        <v>0.4</v>
      </c>
      <c r="EF252" s="1260">
        <v>0.4</v>
      </c>
      <c r="EG252" s="1260">
        <v>0.45</v>
      </c>
      <c r="EH252" s="1260">
        <v>0.45</v>
      </c>
    </row>
    <row r="253" spans="2:138" ht="15" customHeight="1">
      <c r="B253" s="1294" t="s">
        <v>37</v>
      </c>
      <c r="C253" s="1298">
        <v>5</v>
      </c>
      <c r="D253" s="1298">
        <v>6</v>
      </c>
      <c r="E253" s="1298">
        <v>7</v>
      </c>
      <c r="F253" s="1298">
        <v>8</v>
      </c>
      <c r="G253" s="1298">
        <v>9</v>
      </c>
      <c r="H253" s="1298">
        <v>10</v>
      </c>
      <c r="I253" s="1298">
        <v>11</v>
      </c>
      <c r="J253" s="1298">
        <v>12</v>
      </c>
      <c r="K253" s="1298">
        <v>13</v>
      </c>
      <c r="L253" s="1298">
        <v>14</v>
      </c>
      <c r="M253" s="1298">
        <v>15</v>
      </c>
      <c r="N253" s="1298">
        <v>16</v>
      </c>
      <c r="O253" s="1298">
        <v>17</v>
      </c>
      <c r="P253" s="1298">
        <v>18</v>
      </c>
      <c r="Q253" s="1298">
        <v>19</v>
      </c>
      <c r="R253" s="1298">
        <v>20</v>
      </c>
      <c r="S253" s="1298">
        <v>21</v>
      </c>
      <c r="T253" s="1298">
        <v>22</v>
      </c>
      <c r="U253" s="1298">
        <v>23</v>
      </c>
      <c r="V253" s="1298">
        <v>24</v>
      </c>
      <c r="W253" s="1298">
        <v>25</v>
      </c>
      <c r="X253" s="1298">
        <v>26</v>
      </c>
      <c r="Y253" s="1298">
        <v>27</v>
      </c>
      <c r="Z253" s="1298">
        <v>28</v>
      </c>
      <c r="AA253" s="1298">
        <v>29</v>
      </c>
      <c r="AB253" s="1298">
        <v>30</v>
      </c>
      <c r="AC253" s="1298">
        <v>31</v>
      </c>
      <c r="AD253" s="1298">
        <v>32</v>
      </c>
      <c r="AE253" s="1298">
        <v>33</v>
      </c>
      <c r="AF253" s="1298">
        <v>34</v>
      </c>
      <c r="AG253" s="1298">
        <v>35</v>
      </c>
      <c r="AL253" s="832">
        <v>40</v>
      </c>
      <c r="AM253" s="1296">
        <v>90.05</v>
      </c>
      <c r="AN253" s="1296">
        <v>82.7</v>
      </c>
      <c r="AO253" s="1296">
        <v>76.45</v>
      </c>
      <c r="AP253" s="1296">
        <v>72.2</v>
      </c>
      <c r="AQ253" s="1296">
        <v>67.650000000000006</v>
      </c>
      <c r="AR253" s="1296">
        <v>63.65</v>
      </c>
      <c r="AS253" s="1296">
        <v>60.2</v>
      </c>
      <c r="AT253" s="1296">
        <v>57.15</v>
      </c>
      <c r="AU253" s="1296">
        <v>54.4</v>
      </c>
      <c r="AW253" s="1295">
        <v>36</v>
      </c>
      <c r="AX253" s="1297">
        <v>90.05</v>
      </c>
      <c r="AY253" s="1297">
        <v>79.95</v>
      </c>
      <c r="AZ253" s="1297">
        <v>71.650000000000006</v>
      </c>
      <c r="BA253" s="1297">
        <v>64.8</v>
      </c>
      <c r="BB253" s="1297">
        <v>58.95</v>
      </c>
      <c r="BC253" s="1297">
        <v>54.85</v>
      </c>
      <c r="BD253" s="1297">
        <v>50.5</v>
      </c>
      <c r="BE253" s="1297">
        <v>46.75</v>
      </c>
      <c r="BF253" s="1297">
        <v>43.45</v>
      </c>
      <c r="BG253" s="1297">
        <v>40.6</v>
      </c>
      <c r="BH253" s="1297">
        <v>38.049999999999997</v>
      </c>
      <c r="BK253" s="1295">
        <v>36</v>
      </c>
      <c r="BL253" s="1297">
        <v>90</v>
      </c>
      <c r="BM253" s="1297">
        <v>79.900000000000006</v>
      </c>
      <c r="BN253" s="1297">
        <v>71.599999999999994</v>
      </c>
      <c r="BO253" s="1297">
        <v>64.7</v>
      </c>
      <c r="BP253" s="1297">
        <v>58.9</v>
      </c>
      <c r="BQ253" s="1297">
        <v>54.8</v>
      </c>
      <c r="BR253" s="1297">
        <v>50.4</v>
      </c>
      <c r="BS253" s="1297">
        <v>46.65</v>
      </c>
      <c r="BT253" s="1297">
        <v>43.35</v>
      </c>
      <c r="BU253" s="1297">
        <v>40.5</v>
      </c>
      <c r="BV253" s="1297">
        <v>37.950000000000003</v>
      </c>
      <c r="CO253" s="1267">
        <v>33</v>
      </c>
      <c r="CP253" s="1286" t="s">
        <v>39</v>
      </c>
      <c r="CQ253" s="1286" t="s">
        <v>39</v>
      </c>
      <c r="CR253" s="1286" t="s">
        <v>39</v>
      </c>
      <c r="CS253" s="1286" t="s">
        <v>39</v>
      </c>
      <c r="CT253" s="1286" t="s">
        <v>39</v>
      </c>
      <c r="CU253" s="1286" t="s">
        <v>39</v>
      </c>
      <c r="CV253" s="1286" t="s">
        <v>39</v>
      </c>
      <c r="CW253" s="1286" t="s">
        <v>39</v>
      </c>
      <c r="CX253" s="1286" t="s">
        <v>39</v>
      </c>
      <c r="CY253" s="1286" t="s">
        <v>39</v>
      </c>
      <c r="CZ253" s="1286" t="s">
        <v>39</v>
      </c>
      <c r="DA253" s="1286" t="s">
        <v>39</v>
      </c>
      <c r="DB253" s="1286" t="s">
        <v>39</v>
      </c>
      <c r="DC253" s="1286" t="s">
        <v>39</v>
      </c>
      <c r="DD253" s="1286" t="s">
        <v>39</v>
      </c>
      <c r="DE253" s="1286" t="s">
        <v>39</v>
      </c>
      <c r="DF253" s="1242" t="s">
        <v>39</v>
      </c>
      <c r="DG253" s="1260">
        <v>3.6</v>
      </c>
      <c r="DH253" s="1260">
        <v>4</v>
      </c>
      <c r="DI253" s="1260">
        <v>4.45</v>
      </c>
      <c r="DJ253" s="1260">
        <v>4.9000000000000004</v>
      </c>
      <c r="DK253" s="1260">
        <v>5.35</v>
      </c>
      <c r="DL253" s="1260">
        <v>5.85</v>
      </c>
      <c r="DM253" s="1260">
        <v>6.35</v>
      </c>
      <c r="DN253" s="1260">
        <v>6.9</v>
      </c>
      <c r="DO253" s="1260">
        <v>7.45</v>
      </c>
      <c r="DP253" s="1260">
        <v>8.0500000000000007</v>
      </c>
      <c r="DQ253" s="1260">
        <v>8.65</v>
      </c>
      <c r="DR253" s="1242" t="s">
        <v>39</v>
      </c>
      <c r="DS253" s="1242" t="s">
        <v>39</v>
      </c>
      <c r="DT253" s="1242" t="s">
        <v>39</v>
      </c>
      <c r="DU253" s="1223"/>
      <c r="DY253" s="1291">
        <v>25</v>
      </c>
      <c r="DZ253" s="1260">
        <v>0.3</v>
      </c>
      <c r="EA253" s="1260">
        <v>0.3</v>
      </c>
      <c r="EB253" s="1260">
        <v>0.35</v>
      </c>
      <c r="EC253" s="1260">
        <v>0.35</v>
      </c>
      <c r="ED253" s="1260">
        <v>0.35</v>
      </c>
      <c r="EE253" s="1260">
        <v>0.4</v>
      </c>
      <c r="EF253" s="1260">
        <v>0.45</v>
      </c>
      <c r="EG253" s="1260">
        <v>0.45</v>
      </c>
      <c r="EH253" s="1260">
        <v>0.5</v>
      </c>
    </row>
    <row r="254" spans="2:138" ht="15" customHeight="1">
      <c r="B254" s="1254">
        <v>20</v>
      </c>
      <c r="C254" s="1258">
        <v>0</v>
      </c>
      <c r="D254" s="1258">
        <v>0</v>
      </c>
      <c r="E254" s="1258">
        <v>0</v>
      </c>
      <c r="F254" s="1258">
        <v>0</v>
      </c>
      <c r="G254" s="1258">
        <v>0</v>
      </c>
      <c r="H254" s="1258">
        <v>0</v>
      </c>
      <c r="I254" s="1258">
        <v>0</v>
      </c>
      <c r="J254" s="1258">
        <v>0</v>
      </c>
      <c r="K254" s="1258">
        <v>0</v>
      </c>
      <c r="L254" s="1258">
        <v>0</v>
      </c>
      <c r="M254" s="1258">
        <v>0</v>
      </c>
      <c r="N254" s="1258">
        <v>0</v>
      </c>
      <c r="O254" s="1258">
        <v>0</v>
      </c>
      <c r="P254" s="1258">
        <v>0</v>
      </c>
      <c r="Q254" s="1258">
        <v>0</v>
      </c>
      <c r="R254" s="1258">
        <v>0</v>
      </c>
      <c r="S254" s="1258">
        <v>0</v>
      </c>
      <c r="T254" s="1258">
        <v>0</v>
      </c>
      <c r="U254" s="1258">
        <v>0</v>
      </c>
      <c r="V254" s="1258">
        <v>0</v>
      </c>
      <c r="W254" s="1258">
        <v>0</v>
      </c>
      <c r="X254" s="1258">
        <v>0</v>
      </c>
      <c r="Y254" s="1258">
        <v>0</v>
      </c>
      <c r="Z254" s="1258">
        <v>0</v>
      </c>
      <c r="AA254" s="1258">
        <v>0</v>
      </c>
      <c r="AB254" s="1258">
        <v>0</v>
      </c>
      <c r="AC254" s="1258">
        <v>0</v>
      </c>
      <c r="AD254" s="1258">
        <v>0</v>
      </c>
      <c r="AE254" s="1258">
        <v>0</v>
      </c>
      <c r="AF254" s="1258">
        <v>0</v>
      </c>
      <c r="AG254" s="1258">
        <v>368.7</v>
      </c>
      <c r="AL254" s="832">
        <v>41</v>
      </c>
      <c r="AM254" s="1296">
        <v>90.35</v>
      </c>
      <c r="AN254" s="1296">
        <v>83.05</v>
      </c>
      <c r="AO254" s="1296">
        <v>76.8</v>
      </c>
      <c r="AP254" s="1296">
        <v>72.599999999999994</v>
      </c>
      <c r="AQ254" s="1296">
        <v>68.099999999999994</v>
      </c>
      <c r="AR254" s="1296">
        <v>64.150000000000006</v>
      </c>
      <c r="AS254" s="1296">
        <v>60.7</v>
      </c>
      <c r="AT254" s="1296">
        <v>57.7</v>
      </c>
      <c r="AU254" s="1296">
        <v>55</v>
      </c>
      <c r="AW254" s="1295">
        <v>37</v>
      </c>
      <c r="AX254" s="1297">
        <v>90.15</v>
      </c>
      <c r="AY254" s="1297">
        <v>80.05</v>
      </c>
      <c r="AZ254" s="1297">
        <v>71.8</v>
      </c>
      <c r="BA254" s="1297">
        <v>64.900000000000006</v>
      </c>
      <c r="BB254" s="1297">
        <v>59.1</v>
      </c>
      <c r="BC254" s="1297">
        <v>55</v>
      </c>
      <c r="BD254" s="1297">
        <v>50.7</v>
      </c>
      <c r="BE254" s="1297">
        <v>46.9</v>
      </c>
      <c r="BF254" s="1297">
        <v>43.65</v>
      </c>
      <c r="BG254" s="1297">
        <v>40.799999999999997</v>
      </c>
      <c r="BH254" s="1297">
        <v>38.25</v>
      </c>
      <c r="BK254" s="1295">
        <v>37</v>
      </c>
      <c r="BL254" s="1297">
        <v>90.1</v>
      </c>
      <c r="BM254" s="1297">
        <v>80</v>
      </c>
      <c r="BN254" s="1297">
        <v>71.75</v>
      </c>
      <c r="BO254" s="1297">
        <v>64.849999999999994</v>
      </c>
      <c r="BP254" s="1297">
        <v>59.05</v>
      </c>
      <c r="BQ254" s="1297">
        <v>54.95</v>
      </c>
      <c r="BR254" s="1297">
        <v>50.6</v>
      </c>
      <c r="BS254" s="1297">
        <v>46.85</v>
      </c>
      <c r="BT254" s="1297">
        <v>43.55</v>
      </c>
      <c r="BU254" s="1297">
        <v>40.700000000000003</v>
      </c>
      <c r="BV254" s="1297">
        <v>38.15</v>
      </c>
      <c r="CO254" s="1267">
        <v>34</v>
      </c>
      <c r="CP254" s="1286" t="s">
        <v>39</v>
      </c>
      <c r="CQ254" s="1286" t="s">
        <v>39</v>
      </c>
      <c r="CR254" s="1286" t="s">
        <v>39</v>
      </c>
      <c r="CS254" s="1286" t="s">
        <v>39</v>
      </c>
      <c r="CT254" s="1286" t="s">
        <v>39</v>
      </c>
      <c r="CU254" s="1286" t="s">
        <v>39</v>
      </c>
      <c r="CV254" s="1286" t="s">
        <v>39</v>
      </c>
      <c r="CW254" s="1286" t="s">
        <v>39</v>
      </c>
      <c r="CX254" s="1286" t="s">
        <v>39</v>
      </c>
      <c r="CY254" s="1286" t="s">
        <v>39</v>
      </c>
      <c r="CZ254" s="1286" t="s">
        <v>39</v>
      </c>
      <c r="DA254" s="1286" t="s">
        <v>39</v>
      </c>
      <c r="DB254" s="1286" t="s">
        <v>39</v>
      </c>
      <c r="DC254" s="1286" t="s">
        <v>39</v>
      </c>
      <c r="DD254" s="1286" t="s">
        <v>39</v>
      </c>
      <c r="DE254" s="1286" t="s">
        <v>39</v>
      </c>
      <c r="DF254" s="1260">
        <v>3.5</v>
      </c>
      <c r="DG254" s="1260">
        <v>3.9</v>
      </c>
      <c r="DH254" s="1260">
        <v>4.3499999999999996</v>
      </c>
      <c r="DI254" s="1260">
        <v>4.8</v>
      </c>
      <c r="DJ254" s="1260">
        <v>5.3</v>
      </c>
      <c r="DK254" s="1260">
        <v>5.8</v>
      </c>
      <c r="DL254" s="1260">
        <v>6.35</v>
      </c>
      <c r="DM254" s="1260">
        <v>6.9</v>
      </c>
      <c r="DN254" s="1260">
        <v>7.45</v>
      </c>
      <c r="DO254" s="1260">
        <v>8.0500000000000007</v>
      </c>
      <c r="DP254" s="1260">
        <v>8.6999999999999993</v>
      </c>
      <c r="DQ254" s="1242" t="s">
        <v>39</v>
      </c>
      <c r="DR254" s="1242" t="s">
        <v>39</v>
      </c>
      <c r="DS254" s="1242" t="s">
        <v>39</v>
      </c>
      <c r="DT254" s="1242" t="s">
        <v>39</v>
      </c>
      <c r="DU254" s="1223"/>
      <c r="DY254" s="1291">
        <v>26</v>
      </c>
      <c r="DZ254" s="1260">
        <v>0.3</v>
      </c>
      <c r="EA254" s="1260">
        <v>0.3</v>
      </c>
      <c r="EB254" s="1260">
        <v>0.35</v>
      </c>
      <c r="EC254" s="1260">
        <v>0.35</v>
      </c>
      <c r="ED254" s="1260">
        <v>0.4</v>
      </c>
      <c r="EE254" s="1260">
        <v>0.4</v>
      </c>
      <c r="EF254" s="1260">
        <v>0.45</v>
      </c>
      <c r="EG254" s="1260">
        <v>0.5</v>
      </c>
      <c r="EH254" s="1260">
        <v>0.5</v>
      </c>
    </row>
    <row r="255" spans="2:138" ht="15" customHeight="1">
      <c r="B255" s="1254">
        <v>21</v>
      </c>
      <c r="C255" s="1258">
        <v>0</v>
      </c>
      <c r="D255" s="1258">
        <v>0</v>
      </c>
      <c r="E255" s="1258">
        <v>0</v>
      </c>
      <c r="F255" s="1258">
        <v>0</v>
      </c>
      <c r="G255" s="1258">
        <v>0</v>
      </c>
      <c r="H255" s="1258">
        <v>0</v>
      </c>
      <c r="I255" s="1258">
        <v>0</v>
      </c>
      <c r="J255" s="1258">
        <v>0</v>
      </c>
      <c r="K255" s="1258">
        <v>0</v>
      </c>
      <c r="L255" s="1258">
        <v>0</v>
      </c>
      <c r="M255" s="1258">
        <v>0</v>
      </c>
      <c r="N255" s="1258">
        <v>0</v>
      </c>
      <c r="O255" s="1258">
        <v>0</v>
      </c>
      <c r="P255" s="1258">
        <v>0</v>
      </c>
      <c r="Q255" s="1258">
        <v>0</v>
      </c>
      <c r="R255" s="1258">
        <v>0</v>
      </c>
      <c r="S255" s="1258">
        <v>0</v>
      </c>
      <c r="T255" s="1258">
        <v>0</v>
      </c>
      <c r="U255" s="1258">
        <v>0</v>
      </c>
      <c r="V255" s="1258">
        <v>0</v>
      </c>
      <c r="W255" s="1258">
        <v>0</v>
      </c>
      <c r="X255" s="1258">
        <v>0</v>
      </c>
      <c r="Y255" s="1258">
        <v>0</v>
      </c>
      <c r="Z255" s="1258">
        <v>0</v>
      </c>
      <c r="AA255" s="1258">
        <v>0</v>
      </c>
      <c r="AB255" s="1258">
        <v>0</v>
      </c>
      <c r="AC255" s="1258">
        <v>0</v>
      </c>
      <c r="AD255" s="1258">
        <v>0</v>
      </c>
      <c r="AE255" s="1258">
        <v>0</v>
      </c>
      <c r="AF255" s="1258">
        <v>381.15</v>
      </c>
      <c r="AG255" s="1258">
        <v>369.7</v>
      </c>
      <c r="AL255" s="832">
        <v>42</v>
      </c>
      <c r="AM255" s="1296">
        <v>90.7</v>
      </c>
      <c r="AN255" s="1296">
        <v>83.4</v>
      </c>
      <c r="AO255" s="1296">
        <v>77.25</v>
      </c>
      <c r="AP255" s="1296">
        <v>73.05</v>
      </c>
      <c r="AQ255" s="1296">
        <v>68.599999999999994</v>
      </c>
      <c r="AR255" s="1296">
        <v>64.7</v>
      </c>
      <c r="AS255" s="1296">
        <v>61.25</v>
      </c>
      <c r="AT255" s="1296">
        <v>58.3</v>
      </c>
      <c r="AU255" s="1296">
        <v>55.65</v>
      </c>
      <c r="AW255" s="1295">
        <v>38</v>
      </c>
      <c r="AX255" s="1297">
        <v>90.3</v>
      </c>
      <c r="AY255" s="1297">
        <v>80.2</v>
      </c>
      <c r="AZ255" s="1297">
        <v>71.95</v>
      </c>
      <c r="BA255" s="1297">
        <v>65.05</v>
      </c>
      <c r="BB255" s="1297">
        <v>59.3</v>
      </c>
      <c r="BC255" s="1297">
        <v>55.2</v>
      </c>
      <c r="BD255" s="1297">
        <v>50.85</v>
      </c>
      <c r="BE255" s="1297">
        <v>47.15</v>
      </c>
      <c r="BF255" s="1297">
        <v>43.85</v>
      </c>
      <c r="BG255" s="1297">
        <v>41</v>
      </c>
      <c r="BH255" s="1297">
        <v>38.5</v>
      </c>
      <c r="BK255" s="1295">
        <v>38</v>
      </c>
      <c r="BL255" s="1297">
        <v>90.25</v>
      </c>
      <c r="BM255" s="1297">
        <v>80.150000000000006</v>
      </c>
      <c r="BN255" s="1297">
        <v>71.900000000000006</v>
      </c>
      <c r="BO255" s="1297">
        <v>65</v>
      </c>
      <c r="BP255" s="1297">
        <v>59.2</v>
      </c>
      <c r="BQ255" s="1297">
        <v>55.1</v>
      </c>
      <c r="BR255" s="1297">
        <v>50.8</v>
      </c>
      <c r="BS255" s="1297">
        <v>47.05</v>
      </c>
      <c r="BT255" s="1297">
        <v>43.75</v>
      </c>
      <c r="BU255" s="1297">
        <v>40.9</v>
      </c>
      <c r="BV255" s="1297">
        <v>38.4</v>
      </c>
      <c r="CO255" s="1267">
        <v>35</v>
      </c>
      <c r="CP255" s="1286" t="s">
        <v>39</v>
      </c>
      <c r="CQ255" s="1286" t="s">
        <v>39</v>
      </c>
      <c r="CR255" s="1286" t="s">
        <v>39</v>
      </c>
      <c r="CS255" s="1286" t="s">
        <v>39</v>
      </c>
      <c r="CT255" s="1286" t="s">
        <v>39</v>
      </c>
      <c r="CU255" s="1286" t="s">
        <v>39</v>
      </c>
      <c r="CV255" s="1286" t="s">
        <v>39</v>
      </c>
      <c r="CW255" s="1286" t="s">
        <v>39</v>
      </c>
      <c r="CX255" s="1286" t="s">
        <v>39</v>
      </c>
      <c r="CY255" s="1286" t="s">
        <v>39</v>
      </c>
      <c r="CZ255" s="1286" t="s">
        <v>39</v>
      </c>
      <c r="DA255" s="1286" t="s">
        <v>39</v>
      </c>
      <c r="DB255" s="1286" t="s">
        <v>39</v>
      </c>
      <c r="DC255" s="1286" t="s">
        <v>39</v>
      </c>
      <c r="DD255" s="1286" t="s">
        <v>39</v>
      </c>
      <c r="DE255" s="1268">
        <v>3.4</v>
      </c>
      <c r="DF255" s="1260">
        <v>3.8</v>
      </c>
      <c r="DG255" s="1260">
        <v>4.25</v>
      </c>
      <c r="DH255" s="1260">
        <v>4.7</v>
      </c>
      <c r="DI255" s="1260">
        <v>5.2</v>
      </c>
      <c r="DJ255" s="1260">
        <v>5.75</v>
      </c>
      <c r="DK255" s="1260">
        <v>6.3</v>
      </c>
      <c r="DL255" s="1260">
        <v>6.85</v>
      </c>
      <c r="DM255" s="1260">
        <v>7.45</v>
      </c>
      <c r="DN255" s="1260">
        <v>8.0500000000000007</v>
      </c>
      <c r="DO255" s="1260">
        <v>8.6999999999999993</v>
      </c>
      <c r="DP255" s="1242" t="s">
        <v>39</v>
      </c>
      <c r="DQ255" s="1242" t="s">
        <v>39</v>
      </c>
      <c r="DR255" s="1242" t="s">
        <v>39</v>
      </c>
      <c r="DS255" s="1242" t="s">
        <v>39</v>
      </c>
      <c r="DT255" s="1242" t="s">
        <v>39</v>
      </c>
      <c r="DU255" s="1223"/>
      <c r="DY255" s="1291">
        <v>27</v>
      </c>
      <c r="DZ255" s="1260">
        <v>0.3</v>
      </c>
      <c r="EA255" s="1260">
        <v>0.35</v>
      </c>
      <c r="EB255" s="1260">
        <v>0.35</v>
      </c>
      <c r="EC255" s="1260">
        <v>0.35</v>
      </c>
      <c r="ED255" s="1260">
        <v>0.4</v>
      </c>
      <c r="EE255" s="1260">
        <v>0.45</v>
      </c>
      <c r="EF255" s="1260">
        <v>0.45</v>
      </c>
      <c r="EG255" s="1260">
        <v>0.5</v>
      </c>
      <c r="EH255" s="1260">
        <v>0.55000000000000004</v>
      </c>
    </row>
    <row r="256" spans="2:138" ht="15" customHeight="1">
      <c r="B256" s="1254">
        <v>22</v>
      </c>
      <c r="C256" s="1258">
        <v>0</v>
      </c>
      <c r="D256" s="1258">
        <v>0</v>
      </c>
      <c r="E256" s="1258">
        <v>0</v>
      </c>
      <c r="F256" s="1258">
        <v>0</v>
      </c>
      <c r="G256" s="1258">
        <v>0</v>
      </c>
      <c r="H256" s="1258">
        <v>0</v>
      </c>
      <c r="I256" s="1258">
        <v>0</v>
      </c>
      <c r="J256" s="1258">
        <v>0</v>
      </c>
      <c r="K256" s="1258">
        <v>0</v>
      </c>
      <c r="L256" s="1258">
        <v>0</v>
      </c>
      <c r="M256" s="1258">
        <v>0</v>
      </c>
      <c r="N256" s="1258">
        <v>0</v>
      </c>
      <c r="O256" s="1258">
        <v>0</v>
      </c>
      <c r="P256" s="1258">
        <v>0</v>
      </c>
      <c r="Q256" s="1258">
        <v>0</v>
      </c>
      <c r="R256" s="1258">
        <v>0</v>
      </c>
      <c r="S256" s="1258">
        <v>0</v>
      </c>
      <c r="T256" s="1258">
        <v>0</v>
      </c>
      <c r="U256" s="1258">
        <v>0</v>
      </c>
      <c r="V256" s="1258">
        <v>0</v>
      </c>
      <c r="W256" s="1258">
        <v>0</v>
      </c>
      <c r="X256" s="1258">
        <v>0</v>
      </c>
      <c r="Y256" s="1258">
        <v>0</v>
      </c>
      <c r="Z256" s="1258">
        <v>0</v>
      </c>
      <c r="AA256" s="1258">
        <v>0</v>
      </c>
      <c r="AB256" s="1258">
        <v>0</v>
      </c>
      <c r="AC256" s="1258">
        <v>0</v>
      </c>
      <c r="AD256" s="1258">
        <v>0</v>
      </c>
      <c r="AE256" s="1258">
        <v>394.1</v>
      </c>
      <c r="AF256" s="1258">
        <v>382.2</v>
      </c>
      <c r="AG256" s="1258">
        <v>370.85</v>
      </c>
      <c r="AL256" s="832">
        <v>43</v>
      </c>
      <c r="AM256" s="1296">
        <v>91.1</v>
      </c>
      <c r="AN256" s="1296">
        <v>83.85</v>
      </c>
      <c r="AO256" s="1296">
        <v>77.7</v>
      </c>
      <c r="AP256" s="1296">
        <v>73.55</v>
      </c>
      <c r="AQ256" s="1296">
        <v>69.099999999999994</v>
      </c>
      <c r="AR256" s="1296">
        <v>65.25</v>
      </c>
      <c r="AS256" s="1296">
        <v>61.9</v>
      </c>
      <c r="AT256" s="1296">
        <v>58.95</v>
      </c>
      <c r="AU256" s="1296">
        <v>56.35</v>
      </c>
      <c r="AW256" s="1295">
        <v>39</v>
      </c>
      <c r="AX256" s="1297">
        <v>90.45</v>
      </c>
      <c r="AY256" s="1297">
        <v>80.349999999999994</v>
      </c>
      <c r="AZ256" s="1297">
        <v>72.099999999999994</v>
      </c>
      <c r="BA256" s="1297">
        <v>65.25</v>
      </c>
      <c r="BB256" s="1297">
        <v>59.5</v>
      </c>
      <c r="BC256" s="1297">
        <v>55.4</v>
      </c>
      <c r="BD256" s="1297">
        <v>51.1</v>
      </c>
      <c r="BE256" s="1297">
        <v>47.35</v>
      </c>
      <c r="BF256" s="1297">
        <v>44.1</v>
      </c>
      <c r="BG256" s="1297">
        <v>41.3</v>
      </c>
      <c r="BH256" s="1297">
        <v>38.799999999999997</v>
      </c>
      <c r="BK256" s="1295">
        <v>39</v>
      </c>
      <c r="BL256" s="1297">
        <v>90.4</v>
      </c>
      <c r="BM256" s="1297">
        <v>80.3</v>
      </c>
      <c r="BN256" s="1297">
        <v>72.05</v>
      </c>
      <c r="BO256" s="1297">
        <v>65.2</v>
      </c>
      <c r="BP256" s="1297">
        <v>59.4</v>
      </c>
      <c r="BQ256" s="1297">
        <v>55.3</v>
      </c>
      <c r="BR256" s="1297">
        <v>51</v>
      </c>
      <c r="BS256" s="1297">
        <v>47.25</v>
      </c>
      <c r="BT256" s="1297">
        <v>44</v>
      </c>
      <c r="BU256" s="1297">
        <v>41.15</v>
      </c>
      <c r="BV256" s="1297">
        <v>38.65</v>
      </c>
      <c r="CO256" s="1267">
        <v>36</v>
      </c>
      <c r="CP256" s="1286" t="s">
        <v>39</v>
      </c>
      <c r="CQ256" s="1286" t="s">
        <v>39</v>
      </c>
      <c r="CR256" s="1286" t="s">
        <v>39</v>
      </c>
      <c r="CS256" s="1286" t="s">
        <v>39</v>
      </c>
      <c r="CT256" s="1286" t="s">
        <v>39</v>
      </c>
      <c r="CU256" s="1286" t="s">
        <v>39</v>
      </c>
      <c r="CV256" s="1286" t="s">
        <v>39</v>
      </c>
      <c r="CW256" s="1286" t="s">
        <v>39</v>
      </c>
      <c r="CX256" s="1286" t="s">
        <v>39</v>
      </c>
      <c r="CY256" s="1286" t="s">
        <v>39</v>
      </c>
      <c r="CZ256" s="1286" t="s">
        <v>39</v>
      </c>
      <c r="DA256" s="1286" t="s">
        <v>39</v>
      </c>
      <c r="DB256" s="1286" t="s">
        <v>39</v>
      </c>
      <c r="DC256" s="1286" t="s">
        <v>39</v>
      </c>
      <c r="DD256" s="1270">
        <v>3.25</v>
      </c>
      <c r="DE256" s="1268">
        <v>3.65</v>
      </c>
      <c r="DF256" s="1260">
        <v>4.0999999999999996</v>
      </c>
      <c r="DG256" s="1260">
        <v>4.5999999999999996</v>
      </c>
      <c r="DH256" s="1260">
        <v>5.0999999999999996</v>
      </c>
      <c r="DI256" s="1260">
        <v>5.65</v>
      </c>
      <c r="DJ256" s="1260">
        <v>6.2</v>
      </c>
      <c r="DK256" s="1260">
        <v>6.8</v>
      </c>
      <c r="DL256" s="1260">
        <v>7.4</v>
      </c>
      <c r="DM256" s="1260">
        <v>8.0500000000000007</v>
      </c>
      <c r="DN256" s="1260">
        <v>8.6999999999999993</v>
      </c>
      <c r="DO256" s="1242" t="s">
        <v>39</v>
      </c>
      <c r="DP256" s="1242" t="s">
        <v>39</v>
      </c>
      <c r="DQ256" s="1242" t="s">
        <v>39</v>
      </c>
      <c r="DR256" s="1242" t="s">
        <v>39</v>
      </c>
      <c r="DS256" s="1242" t="s">
        <v>39</v>
      </c>
      <c r="DT256" s="1242" t="s">
        <v>39</v>
      </c>
      <c r="DU256" s="1223"/>
      <c r="DY256" s="1291">
        <v>28</v>
      </c>
      <c r="DZ256" s="1260">
        <v>0.3</v>
      </c>
      <c r="EA256" s="1260">
        <v>0.35</v>
      </c>
      <c r="EB256" s="1260">
        <v>0.35</v>
      </c>
      <c r="EC256" s="1260">
        <v>0.4</v>
      </c>
      <c r="ED256" s="1260">
        <v>0.45</v>
      </c>
      <c r="EE256" s="1260">
        <v>0.45</v>
      </c>
      <c r="EF256" s="1260">
        <v>0.5</v>
      </c>
      <c r="EG256" s="1260">
        <v>0.55000000000000004</v>
      </c>
      <c r="EH256" s="1260">
        <v>0.55000000000000004</v>
      </c>
    </row>
    <row r="257" spans="2:138" ht="15" customHeight="1">
      <c r="B257" s="1254">
        <v>23</v>
      </c>
      <c r="C257" s="1258">
        <v>0</v>
      </c>
      <c r="D257" s="1258">
        <v>0</v>
      </c>
      <c r="E257" s="1258">
        <v>0</v>
      </c>
      <c r="F257" s="1258">
        <v>0</v>
      </c>
      <c r="G257" s="1258">
        <v>0</v>
      </c>
      <c r="H257" s="1258">
        <v>0</v>
      </c>
      <c r="I257" s="1258">
        <v>0</v>
      </c>
      <c r="J257" s="1258">
        <v>0</v>
      </c>
      <c r="K257" s="1258">
        <v>0</v>
      </c>
      <c r="L257" s="1258">
        <v>0</v>
      </c>
      <c r="M257" s="1258">
        <v>0</v>
      </c>
      <c r="N257" s="1258">
        <v>0</v>
      </c>
      <c r="O257" s="1258">
        <v>0</v>
      </c>
      <c r="P257" s="1258">
        <v>0</v>
      </c>
      <c r="Q257" s="1258">
        <v>0</v>
      </c>
      <c r="R257" s="1258">
        <v>0</v>
      </c>
      <c r="S257" s="1258">
        <v>0</v>
      </c>
      <c r="T257" s="1258">
        <v>0</v>
      </c>
      <c r="U257" s="1258">
        <v>0</v>
      </c>
      <c r="V257" s="1258">
        <v>0</v>
      </c>
      <c r="W257" s="1258">
        <v>0</v>
      </c>
      <c r="X257" s="1258">
        <v>0</v>
      </c>
      <c r="Y257" s="1258">
        <v>0</v>
      </c>
      <c r="Z257" s="1258">
        <v>0</v>
      </c>
      <c r="AA257" s="1258">
        <v>0</v>
      </c>
      <c r="AB257" s="1258">
        <v>0</v>
      </c>
      <c r="AC257" s="1258">
        <v>0</v>
      </c>
      <c r="AD257" s="1258">
        <v>407.5</v>
      </c>
      <c r="AE257" s="1258">
        <v>395.15</v>
      </c>
      <c r="AF257" s="1258">
        <v>383.35</v>
      </c>
      <c r="AG257" s="1258">
        <v>372.15</v>
      </c>
      <c r="AL257" s="832">
        <v>44</v>
      </c>
      <c r="AM257" s="1296">
        <v>91.5</v>
      </c>
      <c r="AN257" s="1296">
        <v>84.3</v>
      </c>
      <c r="AO257" s="1296">
        <v>78.150000000000006</v>
      </c>
      <c r="AP257" s="1296">
        <v>74.099999999999994</v>
      </c>
      <c r="AQ257" s="1296">
        <v>69.7</v>
      </c>
      <c r="AR257" s="1296">
        <v>65.849999999999994</v>
      </c>
      <c r="AS257" s="1296">
        <v>62.55</v>
      </c>
      <c r="AT257" s="1296">
        <v>59.65</v>
      </c>
      <c r="AU257" s="1296">
        <v>57.1</v>
      </c>
      <c r="AW257" s="1295">
        <v>40</v>
      </c>
      <c r="AX257" s="1297">
        <v>90.6</v>
      </c>
      <c r="AY257" s="1297">
        <v>80.55</v>
      </c>
      <c r="AZ257" s="1297">
        <v>72.3</v>
      </c>
      <c r="BA257" s="1297">
        <v>65.45</v>
      </c>
      <c r="BB257" s="1297">
        <v>59.7</v>
      </c>
      <c r="BC257" s="1297">
        <v>55.65</v>
      </c>
      <c r="BD257" s="1297">
        <v>51.35</v>
      </c>
      <c r="BE257" s="1297">
        <v>47.65</v>
      </c>
      <c r="BF257" s="1297">
        <v>44.4</v>
      </c>
      <c r="BG257" s="1297">
        <v>41.6</v>
      </c>
      <c r="BH257" s="1297">
        <v>39.1</v>
      </c>
      <c r="BK257" s="1295">
        <v>40</v>
      </c>
      <c r="BL257" s="1297">
        <v>90.55</v>
      </c>
      <c r="BM257" s="1297">
        <v>80.5</v>
      </c>
      <c r="BN257" s="1297">
        <v>72.25</v>
      </c>
      <c r="BO257" s="1297">
        <v>65.400000000000006</v>
      </c>
      <c r="BP257" s="1297">
        <v>59.6</v>
      </c>
      <c r="BQ257" s="1297">
        <v>55.55</v>
      </c>
      <c r="BR257" s="1297">
        <v>51.25</v>
      </c>
      <c r="BS257" s="1297">
        <v>47.5</v>
      </c>
      <c r="BT257" s="1297">
        <v>44.25</v>
      </c>
      <c r="BU257" s="1297">
        <v>41.45</v>
      </c>
      <c r="BV257" s="1297">
        <v>38.950000000000003</v>
      </c>
      <c r="CO257" s="1267">
        <v>37</v>
      </c>
      <c r="CP257" s="1286" t="s">
        <v>39</v>
      </c>
      <c r="CQ257" s="1286" t="s">
        <v>39</v>
      </c>
      <c r="CR257" s="1286" t="s">
        <v>39</v>
      </c>
      <c r="CS257" s="1286" t="s">
        <v>39</v>
      </c>
      <c r="CT257" s="1286" t="s">
        <v>39</v>
      </c>
      <c r="CU257" s="1286" t="s">
        <v>39</v>
      </c>
      <c r="CV257" s="1286" t="s">
        <v>39</v>
      </c>
      <c r="CW257" s="1286" t="s">
        <v>39</v>
      </c>
      <c r="CX257" s="1286" t="s">
        <v>39</v>
      </c>
      <c r="CY257" s="1286" t="s">
        <v>39</v>
      </c>
      <c r="CZ257" s="1286" t="s">
        <v>39</v>
      </c>
      <c r="DA257" s="1286" t="s">
        <v>39</v>
      </c>
      <c r="DB257" s="1286" t="s">
        <v>39</v>
      </c>
      <c r="DC257" s="1268">
        <v>3.1</v>
      </c>
      <c r="DD257" s="1270">
        <v>3.55</v>
      </c>
      <c r="DE257" s="1268">
        <v>4</v>
      </c>
      <c r="DF257" s="1260">
        <v>4.5</v>
      </c>
      <c r="DG257" s="1260">
        <v>5</v>
      </c>
      <c r="DH257" s="1260">
        <v>5.55</v>
      </c>
      <c r="DI257" s="1260">
        <v>6.15</v>
      </c>
      <c r="DJ257" s="1260">
        <v>6.75</v>
      </c>
      <c r="DK257" s="1260">
        <v>7.35</v>
      </c>
      <c r="DL257" s="1260">
        <v>8</v>
      </c>
      <c r="DM257" s="1260">
        <v>8.6999999999999993</v>
      </c>
      <c r="DN257" s="1242" t="s">
        <v>39</v>
      </c>
      <c r="DO257" s="1242" t="s">
        <v>39</v>
      </c>
      <c r="DP257" s="1242" t="s">
        <v>39</v>
      </c>
      <c r="DQ257" s="1242" t="s">
        <v>39</v>
      </c>
      <c r="DR257" s="1242" t="s">
        <v>39</v>
      </c>
      <c r="DS257" s="1242" t="s">
        <v>39</v>
      </c>
      <c r="DT257" s="1242" t="s">
        <v>39</v>
      </c>
      <c r="DU257" s="1223"/>
      <c r="DY257" s="1291">
        <v>29</v>
      </c>
      <c r="DZ257" s="1260">
        <v>0.35</v>
      </c>
      <c r="EA257" s="1260">
        <v>0.35</v>
      </c>
      <c r="EB257" s="1260">
        <v>0.4</v>
      </c>
      <c r="EC257" s="1260">
        <v>0.4</v>
      </c>
      <c r="ED257" s="1260">
        <v>0.45</v>
      </c>
      <c r="EE257" s="1260">
        <v>0.5</v>
      </c>
      <c r="EF257" s="1260">
        <v>0.55000000000000004</v>
      </c>
      <c r="EG257" s="1260">
        <v>0.55000000000000004</v>
      </c>
      <c r="EH257" s="1260">
        <v>0.6</v>
      </c>
    </row>
    <row r="258" spans="2:138" ht="15" customHeight="1">
      <c r="B258" s="1254">
        <v>24</v>
      </c>
      <c r="C258" s="1258">
        <v>0</v>
      </c>
      <c r="D258" s="1258">
        <v>0</v>
      </c>
      <c r="E258" s="1258">
        <v>0</v>
      </c>
      <c r="F258" s="1258">
        <v>0</v>
      </c>
      <c r="G258" s="1258">
        <v>0</v>
      </c>
      <c r="H258" s="1258">
        <v>0</v>
      </c>
      <c r="I258" s="1258">
        <v>0</v>
      </c>
      <c r="J258" s="1258">
        <v>0</v>
      </c>
      <c r="K258" s="1258">
        <v>0</v>
      </c>
      <c r="L258" s="1258">
        <v>0</v>
      </c>
      <c r="M258" s="1258">
        <v>0</v>
      </c>
      <c r="N258" s="1258">
        <v>0</v>
      </c>
      <c r="O258" s="1258">
        <v>0</v>
      </c>
      <c r="P258" s="1258">
        <v>0</v>
      </c>
      <c r="Q258" s="1258">
        <v>0</v>
      </c>
      <c r="R258" s="1258">
        <v>0</v>
      </c>
      <c r="S258" s="1258">
        <v>0</v>
      </c>
      <c r="T258" s="1258">
        <v>0</v>
      </c>
      <c r="U258" s="1258">
        <v>0</v>
      </c>
      <c r="V258" s="1258">
        <v>0</v>
      </c>
      <c r="W258" s="1258">
        <v>0</v>
      </c>
      <c r="X258" s="1258">
        <v>0</v>
      </c>
      <c r="Y258" s="1258">
        <v>0</v>
      </c>
      <c r="Z258" s="1258">
        <v>0</v>
      </c>
      <c r="AA258" s="1258">
        <v>0</v>
      </c>
      <c r="AB258" s="1258">
        <v>0</v>
      </c>
      <c r="AC258" s="1258">
        <v>421.4</v>
      </c>
      <c r="AD258" s="1258">
        <v>408.55</v>
      </c>
      <c r="AE258" s="1258">
        <v>396.3</v>
      </c>
      <c r="AF258" s="1258">
        <v>384.65</v>
      </c>
      <c r="AG258" s="1258">
        <v>373.55</v>
      </c>
      <c r="AL258" s="832">
        <v>45</v>
      </c>
      <c r="AM258" s="1296">
        <v>92</v>
      </c>
      <c r="AN258" s="1296">
        <v>84.8</v>
      </c>
      <c r="AO258" s="1296">
        <v>78.7</v>
      </c>
      <c r="AP258" s="1296">
        <v>74.650000000000006</v>
      </c>
      <c r="AQ258" s="1296">
        <v>70.3</v>
      </c>
      <c r="AR258" s="1296">
        <v>66.55</v>
      </c>
      <c r="AS258" s="1296">
        <v>63.25</v>
      </c>
      <c r="AT258" s="1296">
        <v>60.4</v>
      </c>
      <c r="AU258" s="1296">
        <v>57.85</v>
      </c>
      <c r="AW258" s="1295">
        <v>41</v>
      </c>
      <c r="AX258" s="1297">
        <v>90.8</v>
      </c>
      <c r="AY258" s="1297">
        <v>80.75</v>
      </c>
      <c r="AZ258" s="1297">
        <v>72.55</v>
      </c>
      <c r="BA258" s="1297">
        <v>65.7</v>
      </c>
      <c r="BB258" s="1297">
        <v>59.95</v>
      </c>
      <c r="BC258" s="1297">
        <v>55.95</v>
      </c>
      <c r="BD258" s="1297">
        <v>51.65</v>
      </c>
      <c r="BE258" s="1297">
        <v>47.95</v>
      </c>
      <c r="BF258" s="1297">
        <v>44.7</v>
      </c>
      <c r="BG258" s="1297">
        <v>41.9</v>
      </c>
      <c r="BH258" s="1297">
        <v>39.450000000000003</v>
      </c>
      <c r="BK258" s="1295">
        <v>41</v>
      </c>
      <c r="BL258" s="1297">
        <v>90.75</v>
      </c>
      <c r="BM258" s="1297">
        <v>80.7</v>
      </c>
      <c r="BN258" s="1297">
        <v>72.45</v>
      </c>
      <c r="BO258" s="1297">
        <v>65.599999999999994</v>
      </c>
      <c r="BP258" s="1297">
        <v>59.85</v>
      </c>
      <c r="BQ258" s="1297">
        <v>55.8</v>
      </c>
      <c r="BR258" s="1297">
        <v>51.5</v>
      </c>
      <c r="BS258" s="1297">
        <v>47.8</v>
      </c>
      <c r="BT258" s="1297">
        <v>44.55</v>
      </c>
      <c r="BU258" s="1297">
        <v>41.75</v>
      </c>
      <c r="BV258" s="1297">
        <v>39.25</v>
      </c>
      <c r="CO258" s="1267">
        <v>38</v>
      </c>
      <c r="CP258" s="1286" t="s">
        <v>39</v>
      </c>
      <c r="CQ258" s="1286" t="s">
        <v>39</v>
      </c>
      <c r="CR258" s="1286" t="s">
        <v>39</v>
      </c>
      <c r="CS258" s="1286" t="s">
        <v>39</v>
      </c>
      <c r="CT258" s="1286" t="s">
        <v>39</v>
      </c>
      <c r="CU258" s="1286" t="s">
        <v>39</v>
      </c>
      <c r="CV258" s="1286" t="s">
        <v>39</v>
      </c>
      <c r="CW258" s="1286" t="s">
        <v>39</v>
      </c>
      <c r="CX258" s="1286" t="s">
        <v>39</v>
      </c>
      <c r="CY258" s="1286" t="s">
        <v>39</v>
      </c>
      <c r="CZ258" s="1286" t="s">
        <v>39</v>
      </c>
      <c r="DA258" s="1286" t="s">
        <v>39</v>
      </c>
      <c r="DB258" s="1268">
        <v>2.95</v>
      </c>
      <c r="DC258" s="1268">
        <v>3.4</v>
      </c>
      <c r="DD258" s="1270">
        <v>3.85</v>
      </c>
      <c r="DE258" s="1268">
        <v>4.3499999999999996</v>
      </c>
      <c r="DF258" s="1260">
        <v>4.9000000000000004</v>
      </c>
      <c r="DG258" s="1260">
        <v>5.45</v>
      </c>
      <c r="DH258" s="1260">
        <v>6.05</v>
      </c>
      <c r="DI258" s="1260">
        <v>6.65</v>
      </c>
      <c r="DJ258" s="1260">
        <v>7.3</v>
      </c>
      <c r="DK258" s="1260">
        <v>7.95</v>
      </c>
      <c r="DL258" s="1260">
        <v>8.65</v>
      </c>
      <c r="DM258" s="1242" t="s">
        <v>39</v>
      </c>
      <c r="DN258" s="1242" t="s">
        <v>39</v>
      </c>
      <c r="DO258" s="1242" t="s">
        <v>39</v>
      </c>
      <c r="DP258" s="1242" t="s">
        <v>39</v>
      </c>
      <c r="DQ258" s="1242" t="s">
        <v>39</v>
      </c>
      <c r="DR258" s="1242" t="s">
        <v>39</v>
      </c>
      <c r="DS258" s="1242" t="s">
        <v>39</v>
      </c>
      <c r="DT258" s="1242" t="s">
        <v>39</v>
      </c>
      <c r="DU258" s="1223"/>
      <c r="DY258" s="1291">
        <v>30</v>
      </c>
      <c r="DZ258" s="1260">
        <v>0.35</v>
      </c>
      <c r="EA258" s="1260">
        <v>0.4</v>
      </c>
      <c r="EB258" s="1260">
        <v>0.4</v>
      </c>
      <c r="EC258" s="1260">
        <v>0.45</v>
      </c>
      <c r="ED258" s="1260">
        <v>0.5</v>
      </c>
      <c r="EE258" s="1260">
        <v>0.5</v>
      </c>
      <c r="EF258" s="1260">
        <v>0.55000000000000004</v>
      </c>
      <c r="EG258" s="1260">
        <v>0.6</v>
      </c>
      <c r="EH258" s="1260">
        <v>0.65</v>
      </c>
    </row>
    <row r="259" spans="2:138" ht="15" customHeight="1">
      <c r="B259" s="1254">
        <v>25</v>
      </c>
      <c r="C259" s="1258">
        <v>0</v>
      </c>
      <c r="D259" s="1258">
        <v>0</v>
      </c>
      <c r="E259" s="1258">
        <v>0</v>
      </c>
      <c r="F259" s="1258">
        <v>0</v>
      </c>
      <c r="G259" s="1258">
        <v>0</v>
      </c>
      <c r="H259" s="1258">
        <v>0</v>
      </c>
      <c r="I259" s="1258">
        <v>0</v>
      </c>
      <c r="J259" s="1258">
        <v>0</v>
      </c>
      <c r="K259" s="1258">
        <v>0</v>
      </c>
      <c r="L259" s="1258">
        <v>0</v>
      </c>
      <c r="M259" s="1258">
        <v>0</v>
      </c>
      <c r="N259" s="1258">
        <v>0</v>
      </c>
      <c r="O259" s="1258">
        <v>0</v>
      </c>
      <c r="P259" s="1258">
        <v>0</v>
      </c>
      <c r="Q259" s="1258">
        <v>0</v>
      </c>
      <c r="R259" s="1258">
        <v>0</v>
      </c>
      <c r="S259" s="1258">
        <v>0</v>
      </c>
      <c r="T259" s="1258">
        <v>0</v>
      </c>
      <c r="U259" s="1258">
        <v>0</v>
      </c>
      <c r="V259" s="1258">
        <v>0</v>
      </c>
      <c r="W259" s="1258">
        <v>0</v>
      </c>
      <c r="X259" s="1258">
        <v>0</v>
      </c>
      <c r="Y259" s="1258">
        <v>0</v>
      </c>
      <c r="Z259" s="1258">
        <v>0</v>
      </c>
      <c r="AA259" s="1258">
        <v>0</v>
      </c>
      <c r="AB259" s="1258">
        <v>435.8</v>
      </c>
      <c r="AC259" s="1258">
        <v>422.45</v>
      </c>
      <c r="AD259" s="1258">
        <v>409.75</v>
      </c>
      <c r="AE259" s="1258">
        <v>397.65</v>
      </c>
      <c r="AF259" s="1258">
        <v>386.1</v>
      </c>
      <c r="AG259" s="1258">
        <v>375.15</v>
      </c>
      <c r="AW259" s="1295">
        <v>42</v>
      </c>
      <c r="AX259" s="1297">
        <v>91.05</v>
      </c>
      <c r="AY259" s="1297">
        <v>81</v>
      </c>
      <c r="AZ259" s="1297">
        <v>72.8</v>
      </c>
      <c r="BA259" s="1297">
        <v>66</v>
      </c>
      <c r="BB259" s="1297">
        <v>60.25</v>
      </c>
      <c r="BC259" s="1297">
        <v>56.25</v>
      </c>
      <c r="BD259" s="1297">
        <v>51.95</v>
      </c>
      <c r="BE259" s="1297">
        <v>48.25</v>
      </c>
      <c r="BF259" s="1297">
        <v>45.05</v>
      </c>
      <c r="BG259" s="1297">
        <v>42.25</v>
      </c>
      <c r="BH259" s="1297">
        <v>39.799999999999997</v>
      </c>
      <c r="BK259" s="1295">
        <v>42</v>
      </c>
      <c r="BL259" s="1297">
        <v>90.95</v>
      </c>
      <c r="BM259" s="1297">
        <v>80.900000000000006</v>
      </c>
      <c r="BN259" s="1297">
        <v>72.7</v>
      </c>
      <c r="BO259" s="1297">
        <v>65.849999999999994</v>
      </c>
      <c r="BP259" s="1297">
        <v>60.15</v>
      </c>
      <c r="BQ259" s="1297">
        <v>56.1</v>
      </c>
      <c r="BR259" s="1297">
        <v>51.8</v>
      </c>
      <c r="BS259" s="1297">
        <v>48.1</v>
      </c>
      <c r="BT259" s="1297">
        <v>44.9</v>
      </c>
      <c r="BU259" s="1297">
        <v>42.05</v>
      </c>
      <c r="BV259" s="1297">
        <v>39.6</v>
      </c>
      <c r="CO259" s="1267">
        <v>39</v>
      </c>
      <c r="CP259" s="1286" t="s">
        <v>39</v>
      </c>
      <c r="CQ259" s="1286" t="s">
        <v>39</v>
      </c>
      <c r="CR259" s="1286" t="s">
        <v>39</v>
      </c>
      <c r="CS259" s="1286" t="s">
        <v>39</v>
      </c>
      <c r="CT259" s="1286" t="s">
        <v>39</v>
      </c>
      <c r="CU259" s="1286" t="s">
        <v>39</v>
      </c>
      <c r="CV259" s="1286" t="s">
        <v>39</v>
      </c>
      <c r="CW259" s="1286" t="s">
        <v>39</v>
      </c>
      <c r="CX259" s="1286" t="s">
        <v>39</v>
      </c>
      <c r="CY259" s="1286" t="s">
        <v>39</v>
      </c>
      <c r="CZ259" s="1286" t="s">
        <v>39</v>
      </c>
      <c r="DA259" s="1270">
        <v>2.8</v>
      </c>
      <c r="DB259" s="1268">
        <v>3.25</v>
      </c>
      <c r="DC259" s="1268">
        <v>3.7</v>
      </c>
      <c r="DD259" s="1270">
        <v>4.2</v>
      </c>
      <c r="DE259" s="1268">
        <v>4.75</v>
      </c>
      <c r="DF259" s="1260">
        <v>5.3</v>
      </c>
      <c r="DG259" s="1260">
        <v>5.9</v>
      </c>
      <c r="DH259" s="1260">
        <v>6.55</v>
      </c>
      <c r="DI259" s="1260">
        <v>7.2</v>
      </c>
      <c r="DJ259" s="1260">
        <v>7.9</v>
      </c>
      <c r="DK259" s="1260">
        <v>8.6</v>
      </c>
      <c r="DL259" s="1242" t="s">
        <v>39</v>
      </c>
      <c r="DM259" s="1242" t="s">
        <v>39</v>
      </c>
      <c r="DN259" s="1242" t="s">
        <v>39</v>
      </c>
      <c r="DO259" s="1242" t="s">
        <v>39</v>
      </c>
      <c r="DP259" s="1242" t="s">
        <v>39</v>
      </c>
      <c r="DQ259" s="1242" t="s">
        <v>39</v>
      </c>
      <c r="DR259" s="1242" t="s">
        <v>39</v>
      </c>
      <c r="DS259" s="1242" t="s">
        <v>39</v>
      </c>
      <c r="DT259" s="1242" t="s">
        <v>39</v>
      </c>
      <c r="DU259" s="1223"/>
      <c r="DY259" s="1291">
        <v>31</v>
      </c>
      <c r="DZ259" s="1260">
        <v>0.35</v>
      </c>
      <c r="EA259" s="1260">
        <v>0.4</v>
      </c>
      <c r="EB259" s="1260">
        <v>0.45</v>
      </c>
      <c r="EC259" s="1260">
        <v>0.45</v>
      </c>
      <c r="ED259" s="1260">
        <v>0.5</v>
      </c>
      <c r="EE259" s="1260">
        <v>0.55000000000000004</v>
      </c>
      <c r="EF259" s="1260">
        <v>0.6</v>
      </c>
      <c r="EG259" s="1260">
        <v>0.65</v>
      </c>
      <c r="EH259" s="1260">
        <v>0.7</v>
      </c>
    </row>
    <row r="260" spans="2:138" ht="15" customHeight="1">
      <c r="B260" s="1254">
        <v>26</v>
      </c>
      <c r="C260" s="1258">
        <v>0</v>
      </c>
      <c r="D260" s="1258">
        <v>0</v>
      </c>
      <c r="E260" s="1258">
        <v>0</v>
      </c>
      <c r="F260" s="1258">
        <v>0</v>
      </c>
      <c r="G260" s="1258">
        <v>0</v>
      </c>
      <c r="H260" s="1258">
        <v>0</v>
      </c>
      <c r="I260" s="1258">
        <v>0</v>
      </c>
      <c r="J260" s="1258">
        <v>0</v>
      </c>
      <c r="K260" s="1258">
        <v>0</v>
      </c>
      <c r="L260" s="1258">
        <v>0</v>
      </c>
      <c r="M260" s="1258">
        <v>0</v>
      </c>
      <c r="N260" s="1258">
        <v>0</v>
      </c>
      <c r="O260" s="1258">
        <v>0</v>
      </c>
      <c r="P260" s="1258">
        <v>0</v>
      </c>
      <c r="Q260" s="1258">
        <v>0</v>
      </c>
      <c r="R260" s="1258">
        <v>0</v>
      </c>
      <c r="S260" s="1258">
        <v>0</v>
      </c>
      <c r="T260" s="1258">
        <v>0</v>
      </c>
      <c r="U260" s="1258">
        <v>0</v>
      </c>
      <c r="V260" s="1258">
        <v>0</v>
      </c>
      <c r="W260" s="1258">
        <v>0</v>
      </c>
      <c r="X260" s="1258">
        <v>0</v>
      </c>
      <c r="Y260" s="1258">
        <v>0</v>
      </c>
      <c r="Z260" s="1258">
        <v>0</v>
      </c>
      <c r="AA260" s="1258">
        <v>450.75</v>
      </c>
      <c r="AB260" s="1258">
        <v>436.9</v>
      </c>
      <c r="AC260" s="1258">
        <v>423.7</v>
      </c>
      <c r="AD260" s="1258">
        <v>411.1</v>
      </c>
      <c r="AE260" s="1258">
        <v>399.15</v>
      </c>
      <c r="AF260" s="1258">
        <v>387.75</v>
      </c>
      <c r="AG260" s="1258">
        <v>376.95</v>
      </c>
      <c r="AW260" s="1295">
        <v>43</v>
      </c>
      <c r="AX260" s="1297">
        <v>91.3</v>
      </c>
      <c r="AY260" s="1297">
        <v>81.3</v>
      </c>
      <c r="AZ260" s="1297">
        <v>73.099999999999994</v>
      </c>
      <c r="BA260" s="1297">
        <v>66.3</v>
      </c>
      <c r="BB260" s="1297">
        <v>60.55</v>
      </c>
      <c r="BC260" s="1297">
        <v>56.6</v>
      </c>
      <c r="BD260" s="1297">
        <v>52.3</v>
      </c>
      <c r="BE260" s="1297">
        <v>48.65</v>
      </c>
      <c r="BF260" s="1297">
        <v>45.45</v>
      </c>
      <c r="BG260" s="1297">
        <v>42.65</v>
      </c>
      <c r="BH260" s="1297">
        <v>40.200000000000003</v>
      </c>
      <c r="BK260" s="1295">
        <v>43</v>
      </c>
      <c r="BL260" s="1297">
        <v>91.2</v>
      </c>
      <c r="BM260" s="1297">
        <v>81.2</v>
      </c>
      <c r="BN260" s="1297">
        <v>73</v>
      </c>
      <c r="BO260" s="1297">
        <v>66.150000000000006</v>
      </c>
      <c r="BP260" s="1297">
        <v>60.45</v>
      </c>
      <c r="BQ260" s="1297">
        <v>56.45</v>
      </c>
      <c r="BR260" s="1297">
        <v>52.15</v>
      </c>
      <c r="BS260" s="1297">
        <v>48.45</v>
      </c>
      <c r="BT260" s="1297">
        <v>45.25</v>
      </c>
      <c r="BU260" s="1297">
        <v>42.45</v>
      </c>
      <c r="BV260" s="1297">
        <v>40</v>
      </c>
      <c r="CO260" s="1267">
        <v>40</v>
      </c>
      <c r="CP260" s="1286" t="s">
        <v>39</v>
      </c>
      <c r="CQ260" s="1286" t="s">
        <v>39</v>
      </c>
      <c r="CR260" s="1286" t="s">
        <v>39</v>
      </c>
      <c r="CS260" s="1286" t="s">
        <v>39</v>
      </c>
      <c r="CT260" s="1286" t="s">
        <v>39</v>
      </c>
      <c r="CU260" s="1286" t="s">
        <v>39</v>
      </c>
      <c r="CV260" s="1286" t="s">
        <v>39</v>
      </c>
      <c r="CW260" s="1286" t="s">
        <v>39</v>
      </c>
      <c r="CX260" s="1286" t="s">
        <v>39</v>
      </c>
      <c r="CY260" s="1286" t="s">
        <v>39</v>
      </c>
      <c r="CZ260" s="1268">
        <v>2.6</v>
      </c>
      <c r="DA260" s="1270">
        <v>3.05</v>
      </c>
      <c r="DB260" s="1268">
        <v>3.5</v>
      </c>
      <c r="DC260" s="1268">
        <v>4.05</v>
      </c>
      <c r="DD260" s="1270">
        <v>4.5999999999999996</v>
      </c>
      <c r="DE260" s="1268">
        <v>5.15</v>
      </c>
      <c r="DF260" s="1260">
        <v>5.8</v>
      </c>
      <c r="DG260" s="1260">
        <v>6.4</v>
      </c>
      <c r="DH260" s="1260">
        <v>7.1</v>
      </c>
      <c r="DI260" s="1260">
        <v>7.8</v>
      </c>
      <c r="DJ260" s="1260">
        <v>8.5500000000000007</v>
      </c>
      <c r="DK260" s="1242" t="s">
        <v>39</v>
      </c>
      <c r="DL260" s="1242" t="s">
        <v>39</v>
      </c>
      <c r="DM260" s="1242" t="s">
        <v>39</v>
      </c>
      <c r="DN260" s="1242" t="s">
        <v>39</v>
      </c>
      <c r="DO260" s="1242" t="s">
        <v>39</v>
      </c>
      <c r="DP260" s="1242" t="s">
        <v>39</v>
      </c>
      <c r="DQ260" s="1242" t="s">
        <v>39</v>
      </c>
      <c r="DR260" s="1242" t="s">
        <v>39</v>
      </c>
      <c r="DS260" s="1242" t="s">
        <v>39</v>
      </c>
      <c r="DT260" s="1242" t="s">
        <v>39</v>
      </c>
      <c r="DU260" s="1223"/>
      <c r="DY260" s="1291">
        <v>32</v>
      </c>
      <c r="DZ260" s="1260">
        <v>0.4</v>
      </c>
      <c r="EA260" s="1260">
        <v>0.45</v>
      </c>
      <c r="EB260" s="1260">
        <v>0.45</v>
      </c>
      <c r="EC260" s="1260">
        <v>0.5</v>
      </c>
      <c r="ED260" s="1260">
        <v>0.55000000000000004</v>
      </c>
      <c r="EE260" s="1260">
        <v>0.6</v>
      </c>
      <c r="EF260" s="1260">
        <v>0.65</v>
      </c>
      <c r="EG260" s="1260">
        <v>0.7</v>
      </c>
      <c r="EH260" s="1260">
        <v>0.75</v>
      </c>
    </row>
    <row r="261" spans="2:138" ht="15" customHeight="1">
      <c r="B261" s="1254">
        <v>27</v>
      </c>
      <c r="C261" s="1258">
        <v>0</v>
      </c>
      <c r="D261" s="1258">
        <v>0</v>
      </c>
      <c r="E261" s="1258">
        <v>0</v>
      </c>
      <c r="F261" s="1258">
        <v>0</v>
      </c>
      <c r="G261" s="1258">
        <v>0</v>
      </c>
      <c r="H261" s="1258">
        <v>0</v>
      </c>
      <c r="I261" s="1258">
        <v>0</v>
      </c>
      <c r="J261" s="1258">
        <v>0</v>
      </c>
      <c r="K261" s="1258">
        <v>0</v>
      </c>
      <c r="L261" s="1258">
        <v>0</v>
      </c>
      <c r="M261" s="1258">
        <v>0</v>
      </c>
      <c r="N261" s="1258">
        <v>0</v>
      </c>
      <c r="O261" s="1258">
        <v>0</v>
      </c>
      <c r="P261" s="1258">
        <v>0</v>
      </c>
      <c r="Q261" s="1258">
        <v>0</v>
      </c>
      <c r="R261" s="1258">
        <v>0</v>
      </c>
      <c r="S261" s="1258">
        <v>0</v>
      </c>
      <c r="T261" s="1258">
        <v>0</v>
      </c>
      <c r="U261" s="1258">
        <v>0</v>
      </c>
      <c r="V261" s="1258">
        <v>0</v>
      </c>
      <c r="W261" s="1258">
        <v>0</v>
      </c>
      <c r="X261" s="1258">
        <v>0</v>
      </c>
      <c r="Y261" s="1258">
        <v>0</v>
      </c>
      <c r="Z261" s="1258">
        <v>466.25</v>
      </c>
      <c r="AA261" s="1258">
        <v>451.9</v>
      </c>
      <c r="AB261" s="1258">
        <v>438.15</v>
      </c>
      <c r="AC261" s="1258">
        <v>425.1</v>
      </c>
      <c r="AD261" s="1258">
        <v>412.65</v>
      </c>
      <c r="AE261" s="1258">
        <v>400.8</v>
      </c>
      <c r="AF261" s="1258">
        <v>389.6</v>
      </c>
      <c r="AG261" s="1258">
        <v>378.95</v>
      </c>
      <c r="AW261" s="1295">
        <v>44</v>
      </c>
      <c r="AX261" s="1297">
        <v>91.6</v>
      </c>
      <c r="AY261" s="1297">
        <v>81.599999999999994</v>
      </c>
      <c r="AZ261" s="1297">
        <v>73.400000000000006</v>
      </c>
      <c r="BA261" s="1297">
        <v>66.650000000000006</v>
      </c>
      <c r="BB261" s="1297">
        <v>60.9</v>
      </c>
      <c r="BC261" s="1297">
        <v>56.95</v>
      </c>
      <c r="BD261" s="1297">
        <v>52.7</v>
      </c>
      <c r="BE261" s="1297">
        <v>49.05</v>
      </c>
      <c r="BF261" s="1297">
        <v>45.85</v>
      </c>
      <c r="BG261" s="1297">
        <v>43.1</v>
      </c>
      <c r="BH261" s="1297">
        <v>40.65</v>
      </c>
      <c r="BK261" s="1295">
        <v>44</v>
      </c>
      <c r="BL261" s="1297">
        <v>91.5</v>
      </c>
      <c r="BM261" s="1297">
        <v>81.5</v>
      </c>
      <c r="BN261" s="1297">
        <v>73.3</v>
      </c>
      <c r="BO261" s="1297">
        <v>66.5</v>
      </c>
      <c r="BP261" s="1297">
        <v>60.75</v>
      </c>
      <c r="BQ261" s="1297">
        <v>56.8</v>
      </c>
      <c r="BR261" s="1297">
        <v>52.5</v>
      </c>
      <c r="BS261" s="1297">
        <v>48.85</v>
      </c>
      <c r="BT261" s="1297">
        <v>45.65</v>
      </c>
      <c r="BU261" s="1297">
        <v>42.85</v>
      </c>
      <c r="BV261" s="1297">
        <v>40.4</v>
      </c>
      <c r="CO261" s="1267">
        <v>41</v>
      </c>
      <c r="CP261" s="1286" t="s">
        <v>39</v>
      </c>
      <c r="CQ261" s="1286" t="s">
        <v>39</v>
      </c>
      <c r="CR261" s="1286" t="s">
        <v>39</v>
      </c>
      <c r="CS261" s="1286" t="s">
        <v>39</v>
      </c>
      <c r="CT261" s="1286" t="s">
        <v>39</v>
      </c>
      <c r="CU261" s="1286" t="s">
        <v>39</v>
      </c>
      <c r="CV261" s="1286" t="s">
        <v>39</v>
      </c>
      <c r="CW261" s="1286" t="s">
        <v>39</v>
      </c>
      <c r="CX261" s="1286" t="s">
        <v>39</v>
      </c>
      <c r="CY261" s="1269">
        <v>2.4</v>
      </c>
      <c r="CZ261" s="1268">
        <v>2.85</v>
      </c>
      <c r="DA261" s="1270">
        <v>3.35</v>
      </c>
      <c r="DB261" s="1268">
        <v>3.85</v>
      </c>
      <c r="DC261" s="1268">
        <v>4.4000000000000004</v>
      </c>
      <c r="DD261" s="1270">
        <v>5</v>
      </c>
      <c r="DE261" s="1268">
        <v>5.6</v>
      </c>
      <c r="DF261" s="1260">
        <v>6.3</v>
      </c>
      <c r="DG261" s="1260">
        <v>6.95</v>
      </c>
      <c r="DH261" s="1260">
        <v>7.7</v>
      </c>
      <c r="DI261" s="1260">
        <v>8.4499999999999993</v>
      </c>
      <c r="DJ261" s="1242" t="s">
        <v>39</v>
      </c>
      <c r="DK261" s="1242" t="s">
        <v>39</v>
      </c>
      <c r="DL261" s="1242" t="s">
        <v>39</v>
      </c>
      <c r="DM261" s="1242" t="s">
        <v>39</v>
      </c>
      <c r="DN261" s="1242" t="s">
        <v>39</v>
      </c>
      <c r="DO261" s="1242" t="s">
        <v>39</v>
      </c>
      <c r="DP261" s="1242" t="s">
        <v>39</v>
      </c>
      <c r="DQ261" s="1242" t="s">
        <v>39</v>
      </c>
      <c r="DR261" s="1242" t="s">
        <v>39</v>
      </c>
      <c r="DS261" s="1242" t="s">
        <v>39</v>
      </c>
      <c r="DT261" s="1242" t="s">
        <v>39</v>
      </c>
      <c r="DU261" s="1223"/>
      <c r="DY261" s="1291">
        <v>33</v>
      </c>
      <c r="DZ261" s="1260">
        <v>0.4</v>
      </c>
      <c r="EA261" s="1260">
        <v>0.45</v>
      </c>
      <c r="EB261" s="1260">
        <v>0.5</v>
      </c>
      <c r="EC261" s="1260">
        <v>0.55000000000000004</v>
      </c>
      <c r="ED261" s="1260">
        <v>0.6</v>
      </c>
      <c r="EE261" s="1260">
        <v>0.65</v>
      </c>
      <c r="EF261" s="1260">
        <v>0.7</v>
      </c>
      <c r="EG261" s="1260">
        <v>0.75</v>
      </c>
      <c r="EH261" s="1260">
        <v>0.85</v>
      </c>
    </row>
    <row r="262" spans="2:138" ht="15" customHeight="1">
      <c r="B262" s="1254">
        <v>28</v>
      </c>
      <c r="C262" s="1258">
        <v>0</v>
      </c>
      <c r="D262" s="1258">
        <v>0</v>
      </c>
      <c r="E262" s="1258">
        <v>0</v>
      </c>
      <c r="F262" s="1258">
        <v>0</v>
      </c>
      <c r="G262" s="1258">
        <v>0</v>
      </c>
      <c r="H262" s="1258">
        <v>0</v>
      </c>
      <c r="I262" s="1258">
        <v>0</v>
      </c>
      <c r="J262" s="1258">
        <v>0</v>
      </c>
      <c r="K262" s="1258">
        <v>0</v>
      </c>
      <c r="L262" s="1258">
        <v>0</v>
      </c>
      <c r="M262" s="1258">
        <v>0</v>
      </c>
      <c r="N262" s="1258">
        <v>0</v>
      </c>
      <c r="O262" s="1258">
        <v>0</v>
      </c>
      <c r="P262" s="1258">
        <v>0</v>
      </c>
      <c r="Q262" s="1258">
        <v>0</v>
      </c>
      <c r="R262" s="1258">
        <v>0</v>
      </c>
      <c r="S262" s="1258">
        <v>0</v>
      </c>
      <c r="T262" s="1258">
        <v>0</v>
      </c>
      <c r="U262" s="1258">
        <v>0</v>
      </c>
      <c r="V262" s="1258">
        <v>0</v>
      </c>
      <c r="W262" s="1258">
        <v>0</v>
      </c>
      <c r="X262" s="1258">
        <v>0</v>
      </c>
      <c r="Y262" s="1258">
        <v>482.3</v>
      </c>
      <c r="Z262" s="1258">
        <v>467.4</v>
      </c>
      <c r="AA262" s="1258">
        <v>453.15</v>
      </c>
      <c r="AB262" s="1258">
        <v>439.6</v>
      </c>
      <c r="AC262" s="1258">
        <v>426.65</v>
      </c>
      <c r="AD262" s="1258">
        <v>414.35</v>
      </c>
      <c r="AE262" s="1258">
        <v>402.7</v>
      </c>
      <c r="AF262" s="1258">
        <v>391.65</v>
      </c>
      <c r="AG262" s="1258">
        <v>381.2</v>
      </c>
      <c r="AW262" s="1295">
        <v>45</v>
      </c>
      <c r="AX262" s="1297">
        <v>91.95</v>
      </c>
      <c r="AY262" s="1297">
        <v>81.95</v>
      </c>
      <c r="AZ262" s="1297">
        <v>73.8</v>
      </c>
      <c r="BA262" s="1297">
        <v>67</v>
      </c>
      <c r="BB262" s="1297">
        <v>61.3</v>
      </c>
      <c r="BC262" s="1297">
        <v>57.4</v>
      </c>
      <c r="BD262" s="1297">
        <v>53.15</v>
      </c>
      <c r="BE262" s="1297">
        <v>49.5</v>
      </c>
      <c r="BF262" s="1297">
        <v>46.35</v>
      </c>
      <c r="BG262" s="1297">
        <v>43.55</v>
      </c>
      <c r="BH262" s="1297">
        <v>41.15</v>
      </c>
      <c r="BK262" s="1295">
        <v>45</v>
      </c>
      <c r="BL262" s="1297">
        <v>91.8</v>
      </c>
      <c r="BM262" s="1297">
        <v>81.8</v>
      </c>
      <c r="BN262" s="1297">
        <v>73.650000000000006</v>
      </c>
      <c r="BO262" s="1297">
        <v>66.849999999999994</v>
      </c>
      <c r="BP262" s="1297">
        <v>61.15</v>
      </c>
      <c r="BQ262" s="1297">
        <v>57.15</v>
      </c>
      <c r="BR262" s="1297">
        <v>52.9</v>
      </c>
      <c r="BS262" s="1297">
        <v>49.25</v>
      </c>
      <c r="BT262" s="1297">
        <v>46.05</v>
      </c>
      <c r="BU262" s="1297">
        <v>43.3</v>
      </c>
      <c r="BV262" s="1297">
        <v>40.85</v>
      </c>
      <c r="CO262" s="1267">
        <v>42</v>
      </c>
      <c r="CP262" s="1286" t="s">
        <v>39</v>
      </c>
      <c r="CQ262" s="1286" t="s">
        <v>39</v>
      </c>
      <c r="CR262" s="1286" t="s">
        <v>39</v>
      </c>
      <c r="CS262" s="1286" t="s">
        <v>39</v>
      </c>
      <c r="CT262" s="1286" t="s">
        <v>39</v>
      </c>
      <c r="CU262" s="1286" t="s">
        <v>39</v>
      </c>
      <c r="CV262" s="1286" t="s">
        <v>39</v>
      </c>
      <c r="CW262" s="1286" t="s">
        <v>39</v>
      </c>
      <c r="CX262" s="1268">
        <v>2.2000000000000002</v>
      </c>
      <c r="CY262" s="1269">
        <v>2.65</v>
      </c>
      <c r="CZ262" s="1268">
        <v>3.1</v>
      </c>
      <c r="DA262" s="1270">
        <v>3.65</v>
      </c>
      <c r="DB262" s="1268">
        <v>4.2</v>
      </c>
      <c r="DC262" s="1268">
        <v>4.8</v>
      </c>
      <c r="DD262" s="1270">
        <v>5.45</v>
      </c>
      <c r="DE262" s="1268">
        <v>6.1</v>
      </c>
      <c r="DF262" s="1260">
        <v>6.8</v>
      </c>
      <c r="DG262" s="1260">
        <v>7.55</v>
      </c>
      <c r="DH262" s="1260">
        <v>8.35</v>
      </c>
      <c r="DI262" s="1242" t="s">
        <v>39</v>
      </c>
      <c r="DJ262" s="1242" t="s">
        <v>39</v>
      </c>
      <c r="DK262" s="1242" t="s">
        <v>39</v>
      </c>
      <c r="DL262" s="1242" t="s">
        <v>39</v>
      </c>
      <c r="DM262" s="1242" t="s">
        <v>39</v>
      </c>
      <c r="DN262" s="1242" t="s">
        <v>39</v>
      </c>
      <c r="DO262" s="1242" t="s">
        <v>39</v>
      </c>
      <c r="DP262" s="1242" t="s">
        <v>39</v>
      </c>
      <c r="DQ262" s="1242" t="s">
        <v>39</v>
      </c>
      <c r="DR262" s="1242" t="s">
        <v>39</v>
      </c>
      <c r="DS262" s="1242" t="s">
        <v>39</v>
      </c>
      <c r="DT262" s="1242" t="s">
        <v>39</v>
      </c>
      <c r="DU262" s="1223"/>
      <c r="DY262" s="1291">
        <v>34</v>
      </c>
      <c r="DZ262" s="1260">
        <v>0.45</v>
      </c>
      <c r="EA262" s="1260">
        <v>0.5</v>
      </c>
      <c r="EB262" s="1260">
        <v>0.55000000000000004</v>
      </c>
      <c r="EC262" s="1260">
        <v>0.6</v>
      </c>
      <c r="ED262" s="1260">
        <v>0.65</v>
      </c>
      <c r="EE262" s="1260">
        <v>0.7</v>
      </c>
      <c r="EF262" s="1260">
        <v>0.75</v>
      </c>
      <c r="EG262" s="1260">
        <v>0.85</v>
      </c>
      <c r="EH262" s="1260">
        <v>0.9</v>
      </c>
    </row>
    <row r="263" spans="2:138" ht="15" customHeight="1">
      <c r="B263" s="1254">
        <v>29</v>
      </c>
      <c r="C263" s="1258">
        <v>0</v>
      </c>
      <c r="D263" s="1258">
        <v>0</v>
      </c>
      <c r="E263" s="1258">
        <v>0</v>
      </c>
      <c r="F263" s="1258">
        <v>0</v>
      </c>
      <c r="G263" s="1258">
        <v>0</v>
      </c>
      <c r="H263" s="1258">
        <v>0</v>
      </c>
      <c r="I263" s="1258">
        <v>0</v>
      </c>
      <c r="J263" s="1258">
        <v>0</v>
      </c>
      <c r="K263" s="1258">
        <v>0</v>
      </c>
      <c r="L263" s="1258">
        <v>0</v>
      </c>
      <c r="M263" s="1258">
        <v>0</v>
      </c>
      <c r="N263" s="1258">
        <v>0</v>
      </c>
      <c r="O263" s="1258">
        <v>0</v>
      </c>
      <c r="P263" s="1258">
        <v>0</v>
      </c>
      <c r="Q263" s="1258">
        <v>0</v>
      </c>
      <c r="R263" s="1258">
        <v>0</v>
      </c>
      <c r="S263" s="1258">
        <v>0</v>
      </c>
      <c r="T263" s="1258">
        <v>0</v>
      </c>
      <c r="U263" s="1258">
        <v>0</v>
      </c>
      <c r="V263" s="1258">
        <v>0</v>
      </c>
      <c r="W263" s="1258">
        <v>0</v>
      </c>
      <c r="X263" s="1258">
        <v>499</v>
      </c>
      <c r="Y263" s="1258">
        <v>483.5</v>
      </c>
      <c r="Z263" s="1258">
        <v>468.75</v>
      </c>
      <c r="AA263" s="1258">
        <v>454.65</v>
      </c>
      <c r="AB263" s="1258">
        <v>441.2</v>
      </c>
      <c r="AC263" s="1258">
        <v>428.45</v>
      </c>
      <c r="AD263" s="1258">
        <v>416.35</v>
      </c>
      <c r="AE263" s="1258">
        <v>404.85</v>
      </c>
      <c r="AF263" s="1258">
        <v>393.95</v>
      </c>
      <c r="AG263" s="1258">
        <v>383.7</v>
      </c>
      <c r="AW263" s="1295">
        <v>46</v>
      </c>
      <c r="AX263" s="1297">
        <v>92.3</v>
      </c>
      <c r="AY263" s="1297">
        <v>82.3</v>
      </c>
      <c r="AZ263" s="1297">
        <v>74.150000000000006</v>
      </c>
      <c r="BA263" s="1297">
        <v>67.400000000000006</v>
      </c>
      <c r="BB263" s="1297">
        <v>61.75</v>
      </c>
      <c r="BC263" s="1297">
        <v>57.85</v>
      </c>
      <c r="BD263" s="1297">
        <v>53.6</v>
      </c>
      <c r="BE263" s="1297">
        <v>49.95</v>
      </c>
      <c r="BF263" s="1297">
        <v>46.8</v>
      </c>
      <c r="BG263" s="1297">
        <v>44.1</v>
      </c>
      <c r="BH263" s="1297">
        <v>41.7</v>
      </c>
      <c r="BK263" s="1295">
        <v>46</v>
      </c>
      <c r="BL263" s="1297">
        <v>92.15</v>
      </c>
      <c r="BM263" s="1297">
        <v>82.15</v>
      </c>
      <c r="BN263" s="1297">
        <v>74</v>
      </c>
      <c r="BO263" s="1297">
        <v>67.25</v>
      </c>
      <c r="BP263" s="1297">
        <v>61.55</v>
      </c>
      <c r="BQ263" s="1297">
        <v>57.6</v>
      </c>
      <c r="BR263" s="1297">
        <v>53.35</v>
      </c>
      <c r="BS263" s="1297">
        <v>49.7</v>
      </c>
      <c r="BT263" s="1297">
        <v>46.55</v>
      </c>
      <c r="BU263" s="1297">
        <v>43.75</v>
      </c>
      <c r="BV263" s="1297">
        <v>41.35</v>
      </c>
      <c r="CO263" s="1267">
        <v>43</v>
      </c>
      <c r="CP263" s="1286" t="s">
        <v>39</v>
      </c>
      <c r="CQ263" s="1286" t="s">
        <v>39</v>
      </c>
      <c r="CR263" s="1286" t="s">
        <v>39</v>
      </c>
      <c r="CS263" s="1286" t="s">
        <v>39</v>
      </c>
      <c r="CT263" s="1286" t="s">
        <v>39</v>
      </c>
      <c r="CU263" s="1286" t="s">
        <v>39</v>
      </c>
      <c r="CV263" s="1286" t="s">
        <v>39</v>
      </c>
      <c r="CW263" s="1270">
        <v>2</v>
      </c>
      <c r="CX263" s="1268">
        <v>2.4</v>
      </c>
      <c r="CY263" s="1269">
        <v>2.9</v>
      </c>
      <c r="CZ263" s="1268">
        <v>3.4</v>
      </c>
      <c r="DA263" s="1270">
        <v>3.95</v>
      </c>
      <c r="DB263" s="1268">
        <v>4.5999999999999996</v>
      </c>
      <c r="DC263" s="1268">
        <v>5.2</v>
      </c>
      <c r="DD263" s="1270">
        <v>5.9</v>
      </c>
      <c r="DE263" s="1268">
        <v>6.65</v>
      </c>
      <c r="DF263" s="1260">
        <v>7.4</v>
      </c>
      <c r="DG263" s="1260">
        <v>8.1999999999999993</v>
      </c>
      <c r="DH263" s="1242" t="s">
        <v>39</v>
      </c>
      <c r="DI263" s="1242" t="s">
        <v>39</v>
      </c>
      <c r="DJ263" s="1242" t="s">
        <v>39</v>
      </c>
      <c r="DK263" s="1242" t="s">
        <v>39</v>
      </c>
      <c r="DL263" s="1242" t="s">
        <v>39</v>
      </c>
      <c r="DM263" s="1242" t="s">
        <v>39</v>
      </c>
      <c r="DN263" s="1242" t="s">
        <v>39</v>
      </c>
      <c r="DO263" s="1242" t="s">
        <v>39</v>
      </c>
      <c r="DP263" s="1242" t="s">
        <v>39</v>
      </c>
      <c r="DQ263" s="1242" t="s">
        <v>39</v>
      </c>
      <c r="DR263" s="1242" t="s">
        <v>39</v>
      </c>
      <c r="DS263" s="1242" t="s">
        <v>39</v>
      </c>
      <c r="DT263" s="1242" t="s">
        <v>39</v>
      </c>
      <c r="DU263" s="1223"/>
      <c r="DY263" s="1291">
        <v>35</v>
      </c>
      <c r="DZ263" s="1260">
        <v>0.5</v>
      </c>
      <c r="EA263" s="1260">
        <v>0.55000000000000004</v>
      </c>
      <c r="EB263" s="1260">
        <v>0.55000000000000004</v>
      </c>
      <c r="EC263" s="1260">
        <v>0.6</v>
      </c>
      <c r="ED263" s="1260">
        <v>0.7</v>
      </c>
      <c r="EE263" s="1260">
        <v>0.75</v>
      </c>
      <c r="EF263" s="1260">
        <v>0.85</v>
      </c>
      <c r="EG263" s="1260">
        <v>0.9</v>
      </c>
      <c r="EH263" s="1260">
        <v>1</v>
      </c>
    </row>
    <row r="264" spans="2:138" ht="15" customHeight="1">
      <c r="B264" s="1254">
        <v>30</v>
      </c>
      <c r="C264" s="1258">
        <v>0</v>
      </c>
      <c r="D264" s="1258">
        <v>0</v>
      </c>
      <c r="E264" s="1258">
        <v>0</v>
      </c>
      <c r="F264" s="1258">
        <v>0</v>
      </c>
      <c r="G264" s="1258">
        <v>0</v>
      </c>
      <c r="H264" s="1258">
        <v>0</v>
      </c>
      <c r="I264" s="1258">
        <v>0</v>
      </c>
      <c r="J264" s="1258">
        <v>0</v>
      </c>
      <c r="K264" s="1258">
        <v>0</v>
      </c>
      <c r="L264" s="1258">
        <v>0</v>
      </c>
      <c r="M264" s="1258">
        <v>0</v>
      </c>
      <c r="N264" s="1258">
        <v>0</v>
      </c>
      <c r="O264" s="1258">
        <v>0</v>
      </c>
      <c r="P264" s="1258">
        <v>0</v>
      </c>
      <c r="Q264" s="1258">
        <v>0</v>
      </c>
      <c r="R264" s="1258">
        <v>0</v>
      </c>
      <c r="S264" s="1258">
        <v>0</v>
      </c>
      <c r="T264" s="1258">
        <v>0</v>
      </c>
      <c r="U264" s="1258">
        <v>0</v>
      </c>
      <c r="V264" s="1258">
        <v>0</v>
      </c>
      <c r="W264" s="1258">
        <v>516.25</v>
      </c>
      <c r="X264" s="1258">
        <v>500.2</v>
      </c>
      <c r="Y264" s="1258">
        <v>484.85</v>
      </c>
      <c r="Z264" s="1258">
        <v>470.25</v>
      </c>
      <c r="AA264" s="1258">
        <v>456.3</v>
      </c>
      <c r="AB264" s="1258">
        <v>443.05</v>
      </c>
      <c r="AC264" s="1258">
        <v>430.45</v>
      </c>
      <c r="AD264" s="1258">
        <v>418.5</v>
      </c>
      <c r="AE264" s="1258">
        <v>407.2</v>
      </c>
      <c r="AF264" s="1258">
        <v>396.55</v>
      </c>
      <c r="AG264" s="1258">
        <v>386.5</v>
      </c>
      <c r="AW264" s="1295">
        <v>47</v>
      </c>
      <c r="AX264" s="1297">
        <v>92.7</v>
      </c>
      <c r="AY264" s="1297">
        <v>82.75</v>
      </c>
      <c r="AZ264" s="1297">
        <v>74.599999999999994</v>
      </c>
      <c r="BA264" s="1297">
        <v>67.849999999999994</v>
      </c>
      <c r="BB264" s="1297">
        <v>62.2</v>
      </c>
      <c r="BC264" s="1297">
        <v>58.3</v>
      </c>
      <c r="BD264" s="1297">
        <v>54.1</v>
      </c>
      <c r="BE264" s="1297">
        <v>50.5</v>
      </c>
      <c r="BF264" s="1297">
        <v>47.35</v>
      </c>
      <c r="BG264" s="1297">
        <v>44.65</v>
      </c>
      <c r="BH264" s="1297">
        <v>42.25</v>
      </c>
      <c r="BK264" s="1295">
        <v>47</v>
      </c>
      <c r="BL264" s="1297">
        <v>92.55</v>
      </c>
      <c r="BM264" s="1297">
        <v>82.55</v>
      </c>
      <c r="BN264" s="1297">
        <v>74.400000000000006</v>
      </c>
      <c r="BO264" s="1297">
        <v>67.650000000000006</v>
      </c>
      <c r="BP264" s="1297">
        <v>61.95</v>
      </c>
      <c r="BQ264" s="1297">
        <v>58.05</v>
      </c>
      <c r="BR264" s="1297">
        <v>53.8</v>
      </c>
      <c r="BS264" s="1297">
        <v>50.2</v>
      </c>
      <c r="BT264" s="1297">
        <v>47.05</v>
      </c>
      <c r="BU264" s="1297">
        <v>44.3</v>
      </c>
      <c r="BV264" s="1297">
        <v>41.9</v>
      </c>
      <c r="CO264" s="1267">
        <v>44</v>
      </c>
      <c r="CP264" s="1286" t="s">
        <v>39</v>
      </c>
      <c r="CQ264" s="1286" t="s">
        <v>39</v>
      </c>
      <c r="CR264" s="1286" t="s">
        <v>39</v>
      </c>
      <c r="CS264" s="1286" t="s">
        <v>39</v>
      </c>
      <c r="CT264" s="1286" t="s">
        <v>39</v>
      </c>
      <c r="CU264" s="1286" t="s">
        <v>39</v>
      </c>
      <c r="CV264" s="1268">
        <v>1.75</v>
      </c>
      <c r="CW264" s="1270">
        <v>2.2000000000000002</v>
      </c>
      <c r="CX264" s="1268">
        <v>2.65</v>
      </c>
      <c r="CY264" s="1269">
        <v>3.15</v>
      </c>
      <c r="CZ264" s="1268">
        <v>3.75</v>
      </c>
      <c r="DA264" s="1270">
        <v>4.3499999999999996</v>
      </c>
      <c r="DB264" s="1268">
        <v>5</v>
      </c>
      <c r="DC264" s="1268">
        <v>5.7</v>
      </c>
      <c r="DD264" s="1270">
        <v>6.45</v>
      </c>
      <c r="DE264" s="1268">
        <v>7.2</v>
      </c>
      <c r="DF264" s="1260">
        <v>8</v>
      </c>
      <c r="DG264" s="1242" t="s">
        <v>39</v>
      </c>
      <c r="DH264" s="1242" t="s">
        <v>39</v>
      </c>
      <c r="DI264" s="1242" t="s">
        <v>39</v>
      </c>
      <c r="DJ264" s="1242" t="s">
        <v>39</v>
      </c>
      <c r="DK264" s="1242" t="s">
        <v>39</v>
      </c>
      <c r="DL264" s="1242" t="s">
        <v>39</v>
      </c>
      <c r="DM264" s="1242" t="s">
        <v>39</v>
      </c>
      <c r="DN264" s="1242" t="s">
        <v>39</v>
      </c>
      <c r="DO264" s="1242" t="s">
        <v>39</v>
      </c>
      <c r="DP264" s="1242" t="s">
        <v>39</v>
      </c>
      <c r="DQ264" s="1242" t="s">
        <v>39</v>
      </c>
      <c r="DR264" s="1242" t="s">
        <v>39</v>
      </c>
      <c r="DS264" s="1242" t="s">
        <v>39</v>
      </c>
      <c r="DT264" s="1242" t="s">
        <v>39</v>
      </c>
      <c r="DU264" s="1223"/>
      <c r="DY264" s="1291">
        <v>36</v>
      </c>
      <c r="DZ264" s="1260">
        <v>0.55000000000000004</v>
      </c>
      <c r="EA264" s="1260">
        <v>0.55000000000000004</v>
      </c>
      <c r="EB264" s="1260">
        <v>0.6</v>
      </c>
      <c r="EC264" s="1260">
        <v>0.7</v>
      </c>
      <c r="ED264" s="1260">
        <v>0.75</v>
      </c>
      <c r="EE264" s="1260">
        <v>0.85</v>
      </c>
      <c r="EF264" s="1260">
        <v>0.9</v>
      </c>
      <c r="EG264" s="1260">
        <v>1</v>
      </c>
      <c r="EH264" s="1260">
        <v>1.1000000000000001</v>
      </c>
    </row>
    <row r="265" spans="2:138" ht="15" customHeight="1">
      <c r="B265" s="1254">
        <v>31</v>
      </c>
      <c r="C265" s="1258">
        <v>0</v>
      </c>
      <c r="D265" s="1258">
        <v>0</v>
      </c>
      <c r="E265" s="1258">
        <v>0</v>
      </c>
      <c r="F265" s="1258">
        <v>0</v>
      </c>
      <c r="G265" s="1258">
        <v>0</v>
      </c>
      <c r="H265" s="1258">
        <v>0</v>
      </c>
      <c r="I265" s="1258">
        <v>0</v>
      </c>
      <c r="J265" s="1258">
        <v>0</v>
      </c>
      <c r="K265" s="1258">
        <v>0</v>
      </c>
      <c r="L265" s="1258">
        <v>0</v>
      </c>
      <c r="M265" s="1258">
        <v>0</v>
      </c>
      <c r="N265" s="1258">
        <v>0</v>
      </c>
      <c r="O265" s="1258">
        <v>0</v>
      </c>
      <c r="P265" s="1258">
        <v>0</v>
      </c>
      <c r="Q265" s="1258">
        <v>0</v>
      </c>
      <c r="R265" s="1258">
        <v>0</v>
      </c>
      <c r="S265" s="1258">
        <v>0</v>
      </c>
      <c r="T265" s="1258">
        <v>0</v>
      </c>
      <c r="U265" s="1258">
        <v>0</v>
      </c>
      <c r="V265" s="1258">
        <v>534.15</v>
      </c>
      <c r="W265" s="1258">
        <v>517.5</v>
      </c>
      <c r="X265" s="1258">
        <v>501.6</v>
      </c>
      <c r="Y265" s="1258">
        <v>486.45</v>
      </c>
      <c r="Z265" s="1258">
        <v>472</v>
      </c>
      <c r="AA265" s="1258">
        <v>458.2</v>
      </c>
      <c r="AB265" s="1258">
        <v>445.15</v>
      </c>
      <c r="AC265" s="1258">
        <v>432.75</v>
      </c>
      <c r="AD265" s="1258">
        <v>421</v>
      </c>
      <c r="AE265" s="1258">
        <v>409.9</v>
      </c>
      <c r="AF265" s="1258">
        <v>399.45</v>
      </c>
      <c r="AG265" s="1258">
        <v>0</v>
      </c>
      <c r="AW265" s="1295">
        <v>48</v>
      </c>
      <c r="AX265" s="1297">
        <v>93.15</v>
      </c>
      <c r="AY265" s="1297">
        <v>83.2</v>
      </c>
      <c r="AZ265" s="1297">
        <v>75.05</v>
      </c>
      <c r="BA265" s="1297">
        <v>68.349999999999994</v>
      </c>
      <c r="BB265" s="1297">
        <v>62.7</v>
      </c>
      <c r="BC265" s="1297">
        <v>58.85</v>
      </c>
      <c r="BD265" s="1297">
        <v>54.65</v>
      </c>
      <c r="BE265" s="1297">
        <v>51.05</v>
      </c>
      <c r="BF265" s="1297">
        <v>47.95</v>
      </c>
      <c r="BG265" s="1297">
        <v>45.25</v>
      </c>
      <c r="BH265" s="1297">
        <v>42.85</v>
      </c>
      <c r="BK265" s="1295">
        <v>48</v>
      </c>
      <c r="BL265" s="1297">
        <v>92.95</v>
      </c>
      <c r="BM265" s="1297">
        <v>83</v>
      </c>
      <c r="BN265" s="1297">
        <v>74.849999999999994</v>
      </c>
      <c r="BO265" s="1297">
        <v>68.099999999999994</v>
      </c>
      <c r="BP265" s="1297">
        <v>62.45</v>
      </c>
      <c r="BQ265" s="1297">
        <v>58.55</v>
      </c>
      <c r="BR265" s="1297">
        <v>54.35</v>
      </c>
      <c r="BS265" s="1297">
        <v>50.7</v>
      </c>
      <c r="BT265" s="1297">
        <v>47.55</v>
      </c>
      <c r="BU265" s="1297">
        <v>44.85</v>
      </c>
      <c r="BV265" s="1297">
        <v>42.45</v>
      </c>
      <c r="CO265" s="1267">
        <v>45</v>
      </c>
      <c r="CP265" s="1286" t="s">
        <v>39</v>
      </c>
      <c r="CQ265" s="1286" t="s">
        <v>39</v>
      </c>
      <c r="CR265" s="1286" t="s">
        <v>39</v>
      </c>
      <c r="CS265" s="1286" t="s">
        <v>39</v>
      </c>
      <c r="CT265" s="1286" t="s">
        <v>39</v>
      </c>
      <c r="CU265" s="1269">
        <v>1.5</v>
      </c>
      <c r="CV265" s="1268">
        <v>1.95</v>
      </c>
      <c r="CW265" s="1270">
        <v>2.4</v>
      </c>
      <c r="CX265" s="1268">
        <v>2.9</v>
      </c>
      <c r="CY265" s="1269">
        <v>3.45</v>
      </c>
      <c r="CZ265" s="1268">
        <v>4.0999999999999996</v>
      </c>
      <c r="DA265" s="1270">
        <v>4.75</v>
      </c>
      <c r="DB265" s="1268">
        <v>5.45</v>
      </c>
      <c r="DC265" s="1268">
        <v>6.2</v>
      </c>
      <c r="DD265" s="1270">
        <v>7</v>
      </c>
      <c r="DE265" s="1268">
        <v>7.8</v>
      </c>
      <c r="DF265" s="1242" t="s">
        <v>39</v>
      </c>
      <c r="DG265" s="1242" t="s">
        <v>39</v>
      </c>
      <c r="DH265" s="1242" t="s">
        <v>39</v>
      </c>
      <c r="DI265" s="1242" t="s">
        <v>39</v>
      </c>
      <c r="DJ265" s="1242" t="s">
        <v>39</v>
      </c>
      <c r="DK265" s="1242" t="s">
        <v>39</v>
      </c>
      <c r="DL265" s="1242" t="s">
        <v>39</v>
      </c>
      <c r="DM265" s="1242" t="s">
        <v>39</v>
      </c>
      <c r="DN265" s="1242" t="s">
        <v>39</v>
      </c>
      <c r="DO265" s="1242" t="s">
        <v>39</v>
      </c>
      <c r="DP265" s="1242" t="s">
        <v>39</v>
      </c>
      <c r="DQ265" s="1242" t="s">
        <v>39</v>
      </c>
      <c r="DR265" s="1242" t="s">
        <v>39</v>
      </c>
      <c r="DS265" s="1242" t="s">
        <v>39</v>
      </c>
      <c r="DT265" s="1242" t="s">
        <v>39</v>
      </c>
      <c r="DU265" s="1223"/>
      <c r="DY265" s="1291">
        <v>37</v>
      </c>
      <c r="DZ265" s="1260">
        <v>0.55000000000000004</v>
      </c>
      <c r="EA265" s="1260">
        <v>0.6</v>
      </c>
      <c r="EB265" s="1260">
        <v>0.7</v>
      </c>
      <c r="EC265" s="1260">
        <v>0.75</v>
      </c>
      <c r="ED265" s="1260">
        <v>0.85</v>
      </c>
      <c r="EE265" s="1260">
        <v>0.9</v>
      </c>
      <c r="EF265" s="1260">
        <v>1</v>
      </c>
      <c r="EG265" s="1260">
        <v>1.1000000000000001</v>
      </c>
      <c r="EH265" s="1260">
        <v>1.2</v>
      </c>
    </row>
    <row r="266" spans="2:138" ht="15" customHeight="1">
      <c r="B266" s="1254">
        <v>32</v>
      </c>
      <c r="C266" s="1258">
        <v>0</v>
      </c>
      <c r="D266" s="1258">
        <v>0</v>
      </c>
      <c r="E266" s="1258">
        <v>0</v>
      </c>
      <c r="F266" s="1258">
        <v>0</v>
      </c>
      <c r="G266" s="1258">
        <v>0</v>
      </c>
      <c r="H266" s="1258">
        <v>0</v>
      </c>
      <c r="I266" s="1258">
        <v>0</v>
      </c>
      <c r="J266" s="1258">
        <v>0</v>
      </c>
      <c r="K266" s="1258">
        <v>0</v>
      </c>
      <c r="L266" s="1258">
        <v>0</v>
      </c>
      <c r="M266" s="1258">
        <v>0</v>
      </c>
      <c r="N266" s="1258">
        <v>0</v>
      </c>
      <c r="O266" s="1258">
        <v>0</v>
      </c>
      <c r="P266" s="1258">
        <v>0</v>
      </c>
      <c r="Q266" s="1258">
        <v>0</v>
      </c>
      <c r="R266" s="1258">
        <v>0</v>
      </c>
      <c r="S266" s="1258">
        <v>0</v>
      </c>
      <c r="T266" s="1258">
        <v>0</v>
      </c>
      <c r="U266" s="1258">
        <v>552.65</v>
      </c>
      <c r="V266" s="1258">
        <v>535.4</v>
      </c>
      <c r="W266" s="1258">
        <v>518.95000000000005</v>
      </c>
      <c r="X266" s="1258">
        <v>503.2</v>
      </c>
      <c r="Y266" s="1258">
        <v>488.25</v>
      </c>
      <c r="Z266" s="1258">
        <v>473.95</v>
      </c>
      <c r="AA266" s="1258">
        <v>460.35</v>
      </c>
      <c r="AB266" s="1258">
        <v>447.5</v>
      </c>
      <c r="AC266" s="1258">
        <v>435.3</v>
      </c>
      <c r="AD266" s="1258">
        <v>423.75</v>
      </c>
      <c r="AE266" s="1258">
        <v>412.9</v>
      </c>
      <c r="AF266" s="1258">
        <v>0</v>
      </c>
      <c r="AG266" s="1258">
        <v>0</v>
      </c>
      <c r="AW266" s="1295">
        <v>49</v>
      </c>
      <c r="AX266" s="1297">
        <v>93.6</v>
      </c>
      <c r="AY266" s="1297">
        <v>83.65</v>
      </c>
      <c r="AZ266" s="1297">
        <v>75.55</v>
      </c>
      <c r="BA266" s="1297">
        <v>68.849999999999994</v>
      </c>
      <c r="BB266" s="1297">
        <v>63.2</v>
      </c>
      <c r="BC266" s="1297">
        <v>59.4</v>
      </c>
      <c r="BD266" s="1297">
        <v>55.25</v>
      </c>
      <c r="BE266" s="1297">
        <v>51.65</v>
      </c>
      <c r="BF266" s="1297">
        <v>48.55</v>
      </c>
      <c r="BG266" s="1297">
        <v>45.85</v>
      </c>
      <c r="BH266" s="1297">
        <v>43.5</v>
      </c>
      <c r="BK266" s="1295">
        <v>49</v>
      </c>
      <c r="BL266" s="1297">
        <v>93.4</v>
      </c>
      <c r="BM266" s="1297">
        <v>83.45</v>
      </c>
      <c r="BN266" s="1297">
        <v>75.3</v>
      </c>
      <c r="BO266" s="1297">
        <v>68.55</v>
      </c>
      <c r="BP266" s="1297">
        <v>62.9</v>
      </c>
      <c r="BQ266" s="1297">
        <v>59.05</v>
      </c>
      <c r="BR266" s="1297">
        <v>54.85</v>
      </c>
      <c r="BS266" s="1297">
        <v>51.25</v>
      </c>
      <c r="BT266" s="1297">
        <v>48.15</v>
      </c>
      <c r="BU266" s="1297">
        <v>45.4</v>
      </c>
      <c r="BV266" s="1297">
        <v>43.05</v>
      </c>
      <c r="CO266" s="1267">
        <v>46</v>
      </c>
      <c r="CP266" s="1286" t="s">
        <v>39</v>
      </c>
      <c r="CQ266" s="1286" t="s">
        <v>39</v>
      </c>
      <c r="CR266" s="1286" t="s">
        <v>39</v>
      </c>
      <c r="CS266" s="1286" t="s">
        <v>39</v>
      </c>
      <c r="CT266" s="1268">
        <v>1.25</v>
      </c>
      <c r="CU266" s="1269">
        <v>1.65</v>
      </c>
      <c r="CV266" s="1268">
        <v>2.1</v>
      </c>
      <c r="CW266" s="1270">
        <v>2.65</v>
      </c>
      <c r="CX266" s="1268">
        <v>3.2</v>
      </c>
      <c r="CY266" s="1269">
        <v>3.8</v>
      </c>
      <c r="CZ266" s="1268">
        <v>4.45</v>
      </c>
      <c r="DA266" s="1270">
        <v>5.2</v>
      </c>
      <c r="DB266" s="1268">
        <v>5.95</v>
      </c>
      <c r="DC266" s="1268">
        <v>6.75</v>
      </c>
      <c r="DD266" s="1270">
        <v>7.6</v>
      </c>
      <c r="DE266" s="1286" t="s">
        <v>39</v>
      </c>
      <c r="DF266" s="1242" t="s">
        <v>39</v>
      </c>
      <c r="DG266" s="1242" t="s">
        <v>39</v>
      </c>
      <c r="DH266" s="1242" t="s">
        <v>39</v>
      </c>
      <c r="DI266" s="1242" t="s">
        <v>39</v>
      </c>
      <c r="DJ266" s="1242" t="s">
        <v>39</v>
      </c>
      <c r="DK266" s="1242" t="s">
        <v>39</v>
      </c>
      <c r="DL266" s="1242" t="s">
        <v>39</v>
      </c>
      <c r="DM266" s="1242" t="s">
        <v>39</v>
      </c>
      <c r="DN266" s="1242" t="s">
        <v>39</v>
      </c>
      <c r="DO266" s="1242" t="s">
        <v>39</v>
      </c>
      <c r="DP266" s="1242" t="s">
        <v>39</v>
      </c>
      <c r="DQ266" s="1242" t="s">
        <v>39</v>
      </c>
      <c r="DR266" s="1242" t="s">
        <v>39</v>
      </c>
      <c r="DS266" s="1242" t="s">
        <v>39</v>
      </c>
      <c r="DT266" s="1242" t="s">
        <v>39</v>
      </c>
      <c r="DU266" s="1223"/>
      <c r="DY266" s="1291">
        <v>38</v>
      </c>
      <c r="DZ266" s="1260">
        <v>0.65</v>
      </c>
      <c r="EA266" s="1260">
        <v>0.7</v>
      </c>
      <c r="EB266" s="1260">
        <v>0.75</v>
      </c>
      <c r="EC266" s="1260">
        <v>0.8</v>
      </c>
      <c r="ED266" s="1260">
        <v>0.9</v>
      </c>
      <c r="EE266" s="1260">
        <v>1</v>
      </c>
      <c r="EF266" s="1260">
        <v>1.1000000000000001</v>
      </c>
      <c r="EG266" s="1260">
        <v>1.2</v>
      </c>
      <c r="EH266" s="1260">
        <v>1.3</v>
      </c>
    </row>
    <row r="267" spans="2:138" ht="15" customHeight="1">
      <c r="B267" s="1254">
        <v>33</v>
      </c>
      <c r="C267" s="1258">
        <v>0</v>
      </c>
      <c r="D267" s="1258">
        <v>0</v>
      </c>
      <c r="E267" s="1258">
        <v>0</v>
      </c>
      <c r="F267" s="1258">
        <v>0</v>
      </c>
      <c r="G267" s="1258">
        <v>0</v>
      </c>
      <c r="H267" s="1258">
        <v>0</v>
      </c>
      <c r="I267" s="1258">
        <v>0</v>
      </c>
      <c r="J267" s="1258">
        <v>0</v>
      </c>
      <c r="K267" s="1258">
        <v>0</v>
      </c>
      <c r="L267" s="1258">
        <v>0</v>
      </c>
      <c r="M267" s="1258">
        <v>0</v>
      </c>
      <c r="N267" s="1258">
        <v>0</v>
      </c>
      <c r="O267" s="1258">
        <v>0</v>
      </c>
      <c r="P267" s="1258">
        <v>0</v>
      </c>
      <c r="Q267" s="1258">
        <v>0</v>
      </c>
      <c r="R267" s="1258">
        <v>0</v>
      </c>
      <c r="S267" s="1258">
        <v>0</v>
      </c>
      <c r="T267" s="1258">
        <v>571.79999999999995</v>
      </c>
      <c r="U267" s="1258">
        <v>553.95000000000005</v>
      </c>
      <c r="V267" s="1258">
        <v>536.9</v>
      </c>
      <c r="W267" s="1258">
        <v>520.6</v>
      </c>
      <c r="X267" s="1258">
        <v>505.05</v>
      </c>
      <c r="Y267" s="1258">
        <v>490.25</v>
      </c>
      <c r="Z267" s="1258">
        <v>476.15</v>
      </c>
      <c r="AA267" s="1258">
        <v>462.75</v>
      </c>
      <c r="AB267" s="1258">
        <v>450.1</v>
      </c>
      <c r="AC267" s="1258">
        <v>438.1</v>
      </c>
      <c r="AD267" s="1258">
        <v>426.85</v>
      </c>
      <c r="AE267" s="1258">
        <v>0</v>
      </c>
      <c r="AF267" s="1258">
        <v>0</v>
      </c>
      <c r="AG267" s="1258">
        <v>0</v>
      </c>
      <c r="AW267" s="1295">
        <v>50</v>
      </c>
      <c r="AX267" s="1297">
        <v>94.1</v>
      </c>
      <c r="AY267" s="1297">
        <v>84.15</v>
      </c>
      <c r="AZ267" s="1297">
        <v>76.099999999999994</v>
      </c>
      <c r="BA267" s="1297">
        <v>69.400000000000006</v>
      </c>
      <c r="BB267" s="1297">
        <v>63.8</v>
      </c>
      <c r="BC267" s="1297">
        <v>60</v>
      </c>
      <c r="BD267" s="1297">
        <v>55.85</v>
      </c>
      <c r="BE267" s="1297">
        <v>52.3</v>
      </c>
      <c r="BF267" s="1297">
        <v>49.2</v>
      </c>
      <c r="BG267" s="1297">
        <v>46.55</v>
      </c>
      <c r="BH267" s="1297">
        <v>44.2</v>
      </c>
      <c r="BK267" s="1295">
        <v>50</v>
      </c>
      <c r="BL267" s="1297">
        <v>93.85</v>
      </c>
      <c r="BM267" s="1297">
        <v>83.9</v>
      </c>
      <c r="BN267" s="1297">
        <v>75.8</v>
      </c>
      <c r="BO267" s="1297">
        <v>69.099999999999994</v>
      </c>
      <c r="BP267" s="1297">
        <v>63.45</v>
      </c>
      <c r="BQ267" s="1297">
        <v>59.6</v>
      </c>
      <c r="BR267" s="1297">
        <v>55.45</v>
      </c>
      <c r="BS267" s="1297">
        <v>51.85</v>
      </c>
      <c r="BT267" s="1297">
        <v>48.75</v>
      </c>
      <c r="BU267" s="1297">
        <v>46.05</v>
      </c>
      <c r="BV267" s="1297">
        <v>43.7</v>
      </c>
      <c r="CO267" s="1267">
        <v>47</v>
      </c>
      <c r="CP267" s="1286" t="s">
        <v>39</v>
      </c>
      <c r="CQ267" s="1286" t="s">
        <v>39</v>
      </c>
      <c r="CR267" s="1286" t="s">
        <v>39</v>
      </c>
      <c r="CS267" s="1268">
        <v>1</v>
      </c>
      <c r="CT267" s="1268">
        <v>1.4</v>
      </c>
      <c r="CU267" s="1269">
        <v>1.85</v>
      </c>
      <c r="CV267" s="1268">
        <v>2.35</v>
      </c>
      <c r="CW267" s="1270">
        <v>2.9</v>
      </c>
      <c r="CX267" s="1268">
        <v>3.5</v>
      </c>
      <c r="CY267" s="1269">
        <v>4.1500000000000004</v>
      </c>
      <c r="CZ267" s="1268">
        <v>4.8499999999999996</v>
      </c>
      <c r="DA267" s="1270">
        <v>5.65</v>
      </c>
      <c r="DB267" s="1268">
        <v>6.45</v>
      </c>
      <c r="DC267" s="1268">
        <v>7.3</v>
      </c>
      <c r="DD267" s="1286" t="s">
        <v>39</v>
      </c>
      <c r="DE267" s="1286" t="s">
        <v>39</v>
      </c>
      <c r="DF267" s="1242" t="s">
        <v>39</v>
      </c>
      <c r="DG267" s="1242" t="s">
        <v>39</v>
      </c>
      <c r="DH267" s="1242" t="s">
        <v>39</v>
      </c>
      <c r="DI267" s="1242" t="s">
        <v>39</v>
      </c>
      <c r="DJ267" s="1242" t="s">
        <v>39</v>
      </c>
      <c r="DK267" s="1242" t="s">
        <v>39</v>
      </c>
      <c r="DL267" s="1242" t="s">
        <v>39</v>
      </c>
      <c r="DM267" s="1242" t="s">
        <v>39</v>
      </c>
      <c r="DN267" s="1242" t="s">
        <v>39</v>
      </c>
      <c r="DO267" s="1242" t="s">
        <v>39</v>
      </c>
      <c r="DP267" s="1242" t="s">
        <v>39</v>
      </c>
      <c r="DQ267" s="1242" t="s">
        <v>39</v>
      </c>
      <c r="DR267" s="1242" t="s">
        <v>39</v>
      </c>
      <c r="DS267" s="1242" t="s">
        <v>39</v>
      </c>
      <c r="DT267" s="1242" t="s">
        <v>39</v>
      </c>
      <c r="DU267" s="1223"/>
      <c r="DY267" s="1291">
        <v>39</v>
      </c>
      <c r="DZ267" s="1260">
        <v>0.7</v>
      </c>
      <c r="EA267" s="1260">
        <v>0.75</v>
      </c>
      <c r="EB267" s="1260">
        <v>0.8</v>
      </c>
      <c r="EC267" s="1260">
        <v>0.9</v>
      </c>
      <c r="ED267" s="1260">
        <v>1</v>
      </c>
      <c r="EE267" s="1260">
        <v>1.1000000000000001</v>
      </c>
      <c r="EF267" s="1260">
        <v>1.2</v>
      </c>
      <c r="EG267" s="1260">
        <v>1.3</v>
      </c>
      <c r="EH267" s="1260">
        <v>1.4</v>
      </c>
    </row>
    <row r="268" spans="2:138" ht="15" customHeight="1">
      <c r="B268" s="1254">
        <v>34</v>
      </c>
      <c r="C268" s="1258">
        <v>0</v>
      </c>
      <c r="D268" s="1258">
        <v>0</v>
      </c>
      <c r="E268" s="1258">
        <v>0</v>
      </c>
      <c r="F268" s="1258">
        <v>0</v>
      </c>
      <c r="G268" s="1258">
        <v>0</v>
      </c>
      <c r="H268" s="1258">
        <v>0</v>
      </c>
      <c r="I268" s="1258">
        <v>0</v>
      </c>
      <c r="J268" s="1258">
        <v>0</v>
      </c>
      <c r="K268" s="1258">
        <v>0</v>
      </c>
      <c r="L268" s="1258">
        <v>0</v>
      </c>
      <c r="M268" s="1258">
        <v>0</v>
      </c>
      <c r="N268" s="1258">
        <v>0</v>
      </c>
      <c r="O268" s="1258">
        <v>0</v>
      </c>
      <c r="P268" s="1258">
        <v>0</v>
      </c>
      <c r="Q268" s="1258">
        <v>0</v>
      </c>
      <c r="R268" s="1258">
        <v>0</v>
      </c>
      <c r="S268" s="1258">
        <v>591.6</v>
      </c>
      <c r="T268" s="1258">
        <v>573.1</v>
      </c>
      <c r="U268" s="1258">
        <v>555.45000000000005</v>
      </c>
      <c r="V268" s="1258">
        <v>538.54999999999995</v>
      </c>
      <c r="W268" s="1258">
        <v>522.45000000000005</v>
      </c>
      <c r="X268" s="1258">
        <v>507.05</v>
      </c>
      <c r="Y268" s="1258">
        <v>492.45</v>
      </c>
      <c r="Z268" s="1258">
        <v>478.6</v>
      </c>
      <c r="AA268" s="1258">
        <v>465.4</v>
      </c>
      <c r="AB268" s="1258">
        <v>453</v>
      </c>
      <c r="AC268" s="1258">
        <v>441.25</v>
      </c>
      <c r="AD268" s="1258">
        <v>0</v>
      </c>
      <c r="AE268" s="1258">
        <v>0</v>
      </c>
      <c r="AF268" s="1258">
        <v>0</v>
      </c>
      <c r="AG268" s="1258">
        <v>0</v>
      </c>
      <c r="AW268" s="1295">
        <v>51</v>
      </c>
      <c r="AX268" s="1297">
        <v>94.6</v>
      </c>
      <c r="AY268" s="1297">
        <v>84.7</v>
      </c>
      <c r="AZ268" s="1297">
        <v>76.650000000000006</v>
      </c>
      <c r="BA268" s="1297">
        <v>69.95</v>
      </c>
      <c r="BB268" s="1297">
        <v>64.349999999999994</v>
      </c>
      <c r="BC268" s="1297">
        <v>60.6</v>
      </c>
      <c r="BD268" s="1297">
        <v>56.5</v>
      </c>
      <c r="BE268" s="1297">
        <v>52.95</v>
      </c>
      <c r="BF268" s="1297">
        <v>49.9</v>
      </c>
      <c r="BG268" s="1297">
        <v>47.25</v>
      </c>
      <c r="BH268" s="1299" t="s">
        <v>39</v>
      </c>
      <c r="BK268" s="1295">
        <v>51</v>
      </c>
      <c r="BL268" s="1297">
        <v>94.35</v>
      </c>
      <c r="BM268" s="1297">
        <v>84.4</v>
      </c>
      <c r="BN268" s="1297">
        <v>76.3</v>
      </c>
      <c r="BO268" s="1297">
        <v>69.599999999999994</v>
      </c>
      <c r="BP268" s="1297">
        <v>64</v>
      </c>
      <c r="BQ268" s="1297">
        <v>60.2</v>
      </c>
      <c r="BR268" s="1297">
        <v>-56.05</v>
      </c>
      <c r="BS268" s="1297">
        <v>52.45</v>
      </c>
      <c r="BT268" s="1297">
        <v>49.4</v>
      </c>
      <c r="BU268" s="1297">
        <v>46.7</v>
      </c>
      <c r="BV268" s="1300" t="s">
        <v>871</v>
      </c>
      <c r="CO268" s="1267">
        <v>48</v>
      </c>
      <c r="CP268" s="1286" t="s">
        <v>39</v>
      </c>
      <c r="CQ268" s="1286" t="s">
        <v>39</v>
      </c>
      <c r="CR268" s="1268">
        <v>0.75</v>
      </c>
      <c r="CS268" s="1268">
        <v>1.1000000000000001</v>
      </c>
      <c r="CT268" s="1268">
        <v>1.5</v>
      </c>
      <c r="CU268" s="1269">
        <v>2</v>
      </c>
      <c r="CV268" s="1268">
        <v>2.5499999999999998</v>
      </c>
      <c r="CW268" s="1270">
        <v>3.15</v>
      </c>
      <c r="CX268" s="1268">
        <v>3.8</v>
      </c>
      <c r="CY268" s="1269">
        <v>4.55</v>
      </c>
      <c r="CZ268" s="1268">
        <v>5.3</v>
      </c>
      <c r="DA268" s="1270">
        <v>6.1</v>
      </c>
      <c r="DB268" s="1268">
        <v>7</v>
      </c>
      <c r="DC268" s="1286" t="s">
        <v>39</v>
      </c>
      <c r="DD268" s="1286" t="s">
        <v>39</v>
      </c>
      <c r="DE268" s="1286" t="s">
        <v>39</v>
      </c>
      <c r="DF268" s="1242" t="s">
        <v>39</v>
      </c>
      <c r="DG268" s="1242" t="s">
        <v>39</v>
      </c>
      <c r="DH268" s="1242" t="s">
        <v>39</v>
      </c>
      <c r="DI268" s="1242" t="s">
        <v>39</v>
      </c>
      <c r="DJ268" s="1242" t="s">
        <v>39</v>
      </c>
      <c r="DK268" s="1242" t="s">
        <v>39</v>
      </c>
      <c r="DL268" s="1242" t="s">
        <v>39</v>
      </c>
      <c r="DM268" s="1242" t="s">
        <v>39</v>
      </c>
      <c r="DN268" s="1242" t="s">
        <v>39</v>
      </c>
      <c r="DO268" s="1242" t="s">
        <v>39</v>
      </c>
      <c r="DP268" s="1242" t="s">
        <v>39</v>
      </c>
      <c r="DQ268" s="1242" t="s">
        <v>39</v>
      </c>
      <c r="DR268" s="1242" t="s">
        <v>39</v>
      </c>
      <c r="DS268" s="1242" t="s">
        <v>39</v>
      </c>
      <c r="DT268" s="1242" t="s">
        <v>39</v>
      </c>
      <c r="DU268" s="1223"/>
      <c r="DY268" s="1291">
        <v>40</v>
      </c>
      <c r="DZ268" s="1260">
        <v>0.75</v>
      </c>
      <c r="EA268" s="1260">
        <v>0.85</v>
      </c>
      <c r="EB268" s="1260">
        <v>0.9</v>
      </c>
      <c r="EC268" s="1260">
        <v>0.95</v>
      </c>
      <c r="ED268" s="1260">
        <v>1.1000000000000001</v>
      </c>
      <c r="EE268" s="1260">
        <v>1.2</v>
      </c>
      <c r="EF268" s="1260">
        <v>1.3</v>
      </c>
      <c r="EG268" s="1260">
        <v>1.45</v>
      </c>
      <c r="EH268" s="1260">
        <v>1.55</v>
      </c>
    </row>
    <row r="269" spans="2:138" ht="15" customHeight="1">
      <c r="B269" s="1254">
        <v>35</v>
      </c>
      <c r="C269" s="1258">
        <v>0</v>
      </c>
      <c r="D269" s="1258">
        <v>0</v>
      </c>
      <c r="E269" s="1258">
        <v>0</v>
      </c>
      <c r="F269" s="1258">
        <v>0</v>
      </c>
      <c r="G269" s="1258">
        <v>0</v>
      </c>
      <c r="H269" s="1258">
        <v>0</v>
      </c>
      <c r="I269" s="1258">
        <v>0</v>
      </c>
      <c r="J269" s="1258">
        <v>0</v>
      </c>
      <c r="K269" s="1258">
        <v>0</v>
      </c>
      <c r="L269" s="1258">
        <v>0</v>
      </c>
      <c r="M269" s="1258">
        <v>0</v>
      </c>
      <c r="N269" s="1258">
        <v>0</v>
      </c>
      <c r="O269" s="1258">
        <v>0</v>
      </c>
      <c r="P269" s="1258">
        <v>0</v>
      </c>
      <c r="Q269" s="1258">
        <v>0</v>
      </c>
      <c r="R269" s="1258">
        <v>612</v>
      </c>
      <c r="S269" s="1258">
        <v>592.9</v>
      </c>
      <c r="T269" s="1258">
        <v>574.6</v>
      </c>
      <c r="U269" s="1258">
        <v>557.1</v>
      </c>
      <c r="V269" s="1258">
        <v>540.4</v>
      </c>
      <c r="W269" s="1258">
        <v>524.45000000000005</v>
      </c>
      <c r="X269" s="1258">
        <v>509.3</v>
      </c>
      <c r="Y269" s="1258">
        <v>494.9</v>
      </c>
      <c r="Z269" s="1258">
        <v>481.25</v>
      </c>
      <c r="AA269" s="1258">
        <v>468.35</v>
      </c>
      <c r="AB269" s="1258">
        <v>456.15</v>
      </c>
      <c r="AC269" s="1258">
        <v>0</v>
      </c>
      <c r="AD269" s="1258">
        <v>0</v>
      </c>
      <c r="AE269" s="1258">
        <v>0</v>
      </c>
      <c r="AF269" s="1258">
        <v>0</v>
      </c>
      <c r="AG269" s="1258">
        <v>0</v>
      </c>
      <c r="AW269" s="1295">
        <v>52</v>
      </c>
      <c r="AX269" s="1297">
        <v>95.15</v>
      </c>
      <c r="AY269" s="1297">
        <v>85.25</v>
      </c>
      <c r="AZ269" s="1297">
        <v>77.2</v>
      </c>
      <c r="BA269" s="1297">
        <v>70.55</v>
      </c>
      <c r="BB269" s="1297">
        <v>65</v>
      </c>
      <c r="BC269" s="1297">
        <v>61.3</v>
      </c>
      <c r="BD269" s="1297">
        <v>57.15</v>
      </c>
      <c r="BE269" s="1297">
        <v>53.65</v>
      </c>
      <c r="BF269" s="1297">
        <v>50.65</v>
      </c>
      <c r="BG269" s="1301" t="s">
        <v>39</v>
      </c>
      <c r="BH269" s="1299" t="s">
        <v>39</v>
      </c>
      <c r="BK269" s="1295">
        <v>52</v>
      </c>
      <c r="BL269" s="1297">
        <v>94.85</v>
      </c>
      <c r="BM269" s="1297">
        <v>84.95</v>
      </c>
      <c r="BN269" s="1297">
        <v>76.849999999999994</v>
      </c>
      <c r="BO269" s="1297">
        <v>70.2</v>
      </c>
      <c r="BP269" s="1297">
        <v>64.599999999999994</v>
      </c>
      <c r="BQ269" s="1297">
        <v>60.8</v>
      </c>
      <c r="BR269" s="1297">
        <v>56.7</v>
      </c>
      <c r="BS269" s="1297">
        <v>53.15</v>
      </c>
      <c r="BT269" s="1297">
        <v>50.1</v>
      </c>
      <c r="BU269" s="1302" t="s">
        <v>871</v>
      </c>
      <c r="BV269" s="1303" t="s">
        <v>871</v>
      </c>
      <c r="CO269" s="1267">
        <v>49</v>
      </c>
      <c r="CP269" s="1286" t="s">
        <v>39</v>
      </c>
      <c r="CQ269" s="1268">
        <v>0.45</v>
      </c>
      <c r="CR269" s="1268">
        <v>0.8</v>
      </c>
      <c r="CS269" s="1268">
        <v>1.2</v>
      </c>
      <c r="CT269" s="1268">
        <v>1.65</v>
      </c>
      <c r="CU269" s="1269">
        <v>2.2000000000000002</v>
      </c>
      <c r="CV269" s="1268">
        <v>2.8</v>
      </c>
      <c r="CW269" s="1270">
        <v>3.45</v>
      </c>
      <c r="CX269" s="1268">
        <v>4.1500000000000004</v>
      </c>
      <c r="CY269" s="1269">
        <v>4.95</v>
      </c>
      <c r="CZ269" s="1268">
        <v>5.75</v>
      </c>
      <c r="DA269" s="1270">
        <v>6.65</v>
      </c>
      <c r="DB269" s="1286" t="s">
        <v>39</v>
      </c>
      <c r="DC269" s="1286" t="s">
        <v>39</v>
      </c>
      <c r="DD269" s="1286" t="s">
        <v>39</v>
      </c>
      <c r="DE269" s="1286" t="s">
        <v>39</v>
      </c>
      <c r="DF269" s="1242" t="s">
        <v>39</v>
      </c>
      <c r="DG269" s="1242" t="s">
        <v>39</v>
      </c>
      <c r="DH269" s="1242" t="s">
        <v>39</v>
      </c>
      <c r="DI269" s="1242" t="s">
        <v>39</v>
      </c>
      <c r="DJ269" s="1242" t="s">
        <v>39</v>
      </c>
      <c r="DK269" s="1242" t="s">
        <v>39</v>
      </c>
      <c r="DL269" s="1242" t="s">
        <v>39</v>
      </c>
      <c r="DM269" s="1242" t="s">
        <v>39</v>
      </c>
      <c r="DN269" s="1242" t="s">
        <v>39</v>
      </c>
      <c r="DO269" s="1242" t="s">
        <v>39</v>
      </c>
      <c r="DP269" s="1242" t="s">
        <v>39</v>
      </c>
      <c r="DQ269" s="1242" t="s">
        <v>39</v>
      </c>
      <c r="DR269" s="1242" t="s">
        <v>39</v>
      </c>
      <c r="DS269" s="1242" t="s">
        <v>39</v>
      </c>
      <c r="DT269" s="1242" t="s">
        <v>39</v>
      </c>
      <c r="DU269" s="1223"/>
      <c r="DY269" s="1291">
        <v>41</v>
      </c>
      <c r="DZ269" s="1260">
        <v>0.85</v>
      </c>
      <c r="EA269" s="1260">
        <v>0.9</v>
      </c>
      <c r="EB269" s="1260">
        <v>1</v>
      </c>
      <c r="EC269" s="1260">
        <v>1.1000000000000001</v>
      </c>
      <c r="ED269" s="1260">
        <v>1.2</v>
      </c>
      <c r="EE269" s="1260">
        <v>1.35</v>
      </c>
      <c r="EF269" s="1260">
        <v>1.45</v>
      </c>
      <c r="EG269" s="1260">
        <v>1.55</v>
      </c>
      <c r="EH269" s="1260">
        <v>1.65</v>
      </c>
    </row>
    <row r="270" spans="2:138" ht="15" customHeight="1">
      <c r="B270" s="1254">
        <v>36</v>
      </c>
      <c r="C270" s="1258">
        <v>0</v>
      </c>
      <c r="D270" s="1258">
        <v>0</v>
      </c>
      <c r="E270" s="1258">
        <v>0</v>
      </c>
      <c r="F270" s="1258">
        <v>0</v>
      </c>
      <c r="G270" s="1258">
        <v>0</v>
      </c>
      <c r="H270" s="1258">
        <v>0</v>
      </c>
      <c r="I270" s="1258">
        <v>0</v>
      </c>
      <c r="J270" s="1258">
        <v>0</v>
      </c>
      <c r="K270" s="1258">
        <v>0</v>
      </c>
      <c r="L270" s="1258">
        <v>0</v>
      </c>
      <c r="M270" s="1258">
        <v>0</v>
      </c>
      <c r="N270" s="1258">
        <v>0</v>
      </c>
      <c r="O270" s="1258">
        <v>0</v>
      </c>
      <c r="P270" s="1258">
        <v>0</v>
      </c>
      <c r="Q270" s="1258">
        <v>633.04999999999995</v>
      </c>
      <c r="R270" s="1258">
        <v>613.29999999999995</v>
      </c>
      <c r="S270" s="1258">
        <v>594.35</v>
      </c>
      <c r="T270" s="1258">
        <v>576.25</v>
      </c>
      <c r="U270" s="1258">
        <v>558.95000000000005</v>
      </c>
      <c r="V270" s="1258">
        <v>542.45000000000005</v>
      </c>
      <c r="W270" s="1258">
        <v>526.70000000000005</v>
      </c>
      <c r="X270" s="1258">
        <v>511.8</v>
      </c>
      <c r="Y270" s="1258">
        <v>497.6</v>
      </c>
      <c r="Z270" s="1258">
        <v>484.2</v>
      </c>
      <c r="AA270" s="1258">
        <v>471.55</v>
      </c>
      <c r="AB270" s="1258">
        <v>0</v>
      </c>
      <c r="AC270" s="1258">
        <v>0</v>
      </c>
      <c r="AD270" s="1258">
        <v>0</v>
      </c>
      <c r="AE270" s="1258">
        <v>0</v>
      </c>
      <c r="AF270" s="1258">
        <v>0</v>
      </c>
      <c r="AG270" s="1258">
        <v>0</v>
      </c>
      <c r="AW270" s="1295">
        <v>53</v>
      </c>
      <c r="AX270" s="1297">
        <v>95.7</v>
      </c>
      <c r="AY270" s="1297">
        <v>85.85</v>
      </c>
      <c r="AZ270" s="1297">
        <v>77.8</v>
      </c>
      <c r="BA270" s="1297">
        <v>71.2</v>
      </c>
      <c r="BB270" s="1297">
        <v>65.650000000000006</v>
      </c>
      <c r="BC270" s="1297">
        <v>62</v>
      </c>
      <c r="BD270" s="1297">
        <v>57.9</v>
      </c>
      <c r="BE270" s="1297">
        <v>54.4</v>
      </c>
      <c r="BF270" s="1304" t="s">
        <v>39</v>
      </c>
      <c r="BG270" s="1304" t="s">
        <v>39</v>
      </c>
      <c r="BH270" s="1299" t="s">
        <v>39</v>
      </c>
      <c r="BK270" s="1295">
        <v>53</v>
      </c>
      <c r="BL270" s="1297">
        <v>95.35</v>
      </c>
      <c r="BM270" s="1297">
        <v>85.5</v>
      </c>
      <c r="BN270" s="1297">
        <v>77.45</v>
      </c>
      <c r="BO270" s="1297">
        <v>70.75</v>
      </c>
      <c r="BP270" s="1297">
        <v>65.2</v>
      </c>
      <c r="BQ270" s="1297">
        <v>61.45</v>
      </c>
      <c r="BR270" s="1297">
        <v>57.35</v>
      </c>
      <c r="BS270" s="1297">
        <v>53.85</v>
      </c>
      <c r="BT270" s="1302" t="s">
        <v>871</v>
      </c>
      <c r="BU270" s="1302" t="s">
        <v>871</v>
      </c>
      <c r="BV270" s="1303" t="s">
        <v>871</v>
      </c>
      <c r="CO270" s="1267">
        <v>50</v>
      </c>
      <c r="CP270" s="1268">
        <v>0.2</v>
      </c>
      <c r="CQ270" s="1268">
        <v>0.5</v>
      </c>
      <c r="CR270" s="1268">
        <v>0.9</v>
      </c>
      <c r="CS270" s="1268">
        <v>1.3</v>
      </c>
      <c r="CT270" s="1268">
        <v>1.85</v>
      </c>
      <c r="CU270" s="1269">
        <v>2.4</v>
      </c>
      <c r="CV270" s="1268">
        <v>3.05</v>
      </c>
      <c r="CW270" s="1270">
        <v>3.75</v>
      </c>
      <c r="CX270" s="1268">
        <v>4.5</v>
      </c>
      <c r="CY270" s="1269">
        <v>5.35</v>
      </c>
      <c r="CZ270" s="1268">
        <v>6.25</v>
      </c>
      <c r="DA270" s="1286" t="s">
        <v>39</v>
      </c>
      <c r="DB270" s="1286" t="s">
        <v>39</v>
      </c>
      <c r="DC270" s="1286" t="s">
        <v>39</v>
      </c>
      <c r="DD270" s="1286" t="s">
        <v>39</v>
      </c>
      <c r="DE270" s="1286" t="s">
        <v>39</v>
      </c>
      <c r="DF270" s="1242" t="s">
        <v>39</v>
      </c>
      <c r="DG270" s="1242" t="s">
        <v>39</v>
      </c>
      <c r="DH270" s="1242" t="s">
        <v>39</v>
      </c>
      <c r="DI270" s="1242" t="s">
        <v>39</v>
      </c>
      <c r="DJ270" s="1242" t="s">
        <v>39</v>
      </c>
      <c r="DK270" s="1242" t="s">
        <v>39</v>
      </c>
      <c r="DL270" s="1242" t="s">
        <v>39</v>
      </c>
      <c r="DM270" s="1242" t="s">
        <v>39</v>
      </c>
      <c r="DN270" s="1242" t="s">
        <v>39</v>
      </c>
      <c r="DO270" s="1242" t="s">
        <v>39</v>
      </c>
      <c r="DP270" s="1242" t="s">
        <v>39</v>
      </c>
      <c r="DQ270" s="1242" t="s">
        <v>39</v>
      </c>
      <c r="DR270" s="1242" t="s">
        <v>39</v>
      </c>
      <c r="DS270" s="1242" t="s">
        <v>39</v>
      </c>
      <c r="DT270" s="1242" t="s">
        <v>39</v>
      </c>
      <c r="DU270" s="1223"/>
      <c r="DY270" s="1291">
        <v>42</v>
      </c>
      <c r="DZ270" s="1260">
        <v>0.9</v>
      </c>
      <c r="EA270" s="1260">
        <v>1</v>
      </c>
      <c r="EB270" s="1260">
        <v>1.1000000000000001</v>
      </c>
      <c r="EC270" s="1260">
        <v>1.2</v>
      </c>
      <c r="ED270" s="1260">
        <v>1.35</v>
      </c>
      <c r="EE270" s="1260">
        <v>1.45</v>
      </c>
      <c r="EF270" s="1260">
        <v>1.6</v>
      </c>
      <c r="EG270" s="1260">
        <v>1.7</v>
      </c>
      <c r="EH270" s="1260">
        <v>1.8</v>
      </c>
    </row>
    <row r="271" spans="2:138" ht="15" customHeight="1">
      <c r="B271" s="1254">
        <v>37</v>
      </c>
      <c r="C271" s="1258">
        <v>0</v>
      </c>
      <c r="D271" s="1258">
        <v>0</v>
      </c>
      <c r="E271" s="1258">
        <v>0</v>
      </c>
      <c r="F271" s="1258">
        <v>0</v>
      </c>
      <c r="G271" s="1258">
        <v>0</v>
      </c>
      <c r="H271" s="1258">
        <v>0</v>
      </c>
      <c r="I271" s="1258">
        <v>0</v>
      </c>
      <c r="J271" s="1258">
        <v>0</v>
      </c>
      <c r="K271" s="1258">
        <v>0</v>
      </c>
      <c r="L271" s="1258">
        <v>0</v>
      </c>
      <c r="M271" s="1258">
        <v>0</v>
      </c>
      <c r="N271" s="1258">
        <v>0</v>
      </c>
      <c r="O271" s="1258">
        <v>0</v>
      </c>
      <c r="P271" s="1258">
        <v>654.79999999999995</v>
      </c>
      <c r="Q271" s="1258">
        <v>634.35</v>
      </c>
      <c r="R271" s="1258">
        <v>614.75</v>
      </c>
      <c r="S271" s="1258">
        <v>595.95000000000005</v>
      </c>
      <c r="T271" s="1258">
        <v>578.04999999999995</v>
      </c>
      <c r="U271" s="1258">
        <v>560.95000000000005</v>
      </c>
      <c r="V271" s="1258">
        <v>544.65</v>
      </c>
      <c r="W271" s="1258">
        <v>529.20000000000005</v>
      </c>
      <c r="X271" s="1258">
        <v>514.5</v>
      </c>
      <c r="Y271" s="1258">
        <v>500.6</v>
      </c>
      <c r="Z271" s="1258">
        <v>487.45</v>
      </c>
      <c r="AA271" s="1258">
        <v>0</v>
      </c>
      <c r="AB271" s="1258">
        <v>0</v>
      </c>
      <c r="AC271" s="1258">
        <v>0</v>
      </c>
      <c r="AD271" s="1258">
        <v>0</v>
      </c>
      <c r="AE271" s="1258">
        <v>0</v>
      </c>
      <c r="AF271" s="1258">
        <v>0</v>
      </c>
      <c r="AG271" s="1258">
        <v>0</v>
      </c>
      <c r="AW271" s="1295">
        <v>54</v>
      </c>
      <c r="AX271" s="1297">
        <v>96.3</v>
      </c>
      <c r="AY271" s="1297">
        <v>86.45</v>
      </c>
      <c r="AZ271" s="1297">
        <v>78.45</v>
      </c>
      <c r="BA271" s="1297">
        <v>71.849999999999994</v>
      </c>
      <c r="BB271" s="1297">
        <v>66.349999999999994</v>
      </c>
      <c r="BC271" s="1297">
        <v>62.75</v>
      </c>
      <c r="BD271" s="1297">
        <v>58.7</v>
      </c>
      <c r="BE271" s="1304" t="s">
        <v>39</v>
      </c>
      <c r="BF271" s="1304" t="s">
        <v>39</v>
      </c>
      <c r="BG271" s="1304" t="s">
        <v>39</v>
      </c>
      <c r="BH271" s="1299" t="s">
        <v>39</v>
      </c>
      <c r="BK271" s="1295">
        <v>54</v>
      </c>
      <c r="BL271" s="1297">
        <v>95.95</v>
      </c>
      <c r="BM271" s="1297">
        <v>86.05</v>
      </c>
      <c r="BN271" s="1297">
        <v>78.05</v>
      </c>
      <c r="BO271" s="1297">
        <v>71.400000000000006</v>
      </c>
      <c r="BP271" s="1297">
        <v>65.849999999999994</v>
      </c>
      <c r="BQ271" s="1297">
        <v>62.15</v>
      </c>
      <c r="BR271" s="1297">
        <v>58.1</v>
      </c>
      <c r="BS271" s="1305" t="s">
        <v>39</v>
      </c>
      <c r="BT271" s="1302" t="s">
        <v>871</v>
      </c>
      <c r="BU271" s="1305" t="s">
        <v>39</v>
      </c>
      <c r="BV271" s="1306" t="s">
        <v>39</v>
      </c>
      <c r="CO271" s="1267">
        <v>51</v>
      </c>
      <c r="CP271" s="1268">
        <v>0.2</v>
      </c>
      <c r="CQ271" s="1268">
        <v>0.55000000000000004</v>
      </c>
      <c r="CR271" s="1268">
        <v>0.95</v>
      </c>
      <c r="CS271" s="1268">
        <v>1.45</v>
      </c>
      <c r="CT271" s="1268">
        <v>2</v>
      </c>
      <c r="CU271" s="1269">
        <v>2.6</v>
      </c>
      <c r="CV271" s="1268">
        <v>3.3</v>
      </c>
      <c r="CW271" s="1270">
        <v>4.05</v>
      </c>
      <c r="CX271" s="1268">
        <v>4.9000000000000004</v>
      </c>
      <c r="CY271" s="1269">
        <v>5.8</v>
      </c>
      <c r="CZ271" s="1286" t="s">
        <v>39</v>
      </c>
      <c r="DA271" s="1286" t="s">
        <v>39</v>
      </c>
      <c r="DB271" s="1286" t="s">
        <v>39</v>
      </c>
      <c r="DC271" s="1286" t="s">
        <v>39</v>
      </c>
      <c r="DD271" s="1286" t="s">
        <v>39</v>
      </c>
      <c r="DE271" s="1286" t="s">
        <v>39</v>
      </c>
      <c r="DF271" s="1242" t="s">
        <v>39</v>
      </c>
      <c r="DG271" s="1242" t="s">
        <v>39</v>
      </c>
      <c r="DH271" s="1242" t="s">
        <v>39</v>
      </c>
      <c r="DI271" s="1242" t="s">
        <v>39</v>
      </c>
      <c r="DJ271" s="1242" t="s">
        <v>39</v>
      </c>
      <c r="DK271" s="1242" t="s">
        <v>39</v>
      </c>
      <c r="DL271" s="1242" t="s">
        <v>39</v>
      </c>
      <c r="DM271" s="1242" t="s">
        <v>39</v>
      </c>
      <c r="DN271" s="1242" t="s">
        <v>39</v>
      </c>
      <c r="DO271" s="1242" t="s">
        <v>39</v>
      </c>
      <c r="DP271" s="1242" t="s">
        <v>39</v>
      </c>
      <c r="DQ271" s="1242" t="s">
        <v>39</v>
      </c>
      <c r="DR271" s="1242" t="s">
        <v>39</v>
      </c>
      <c r="DS271" s="1242" t="s">
        <v>39</v>
      </c>
      <c r="DT271" s="1242" t="s">
        <v>39</v>
      </c>
      <c r="DU271" s="1223"/>
      <c r="DY271" s="1291">
        <v>43</v>
      </c>
      <c r="DZ271" s="1260">
        <v>1</v>
      </c>
      <c r="EA271" s="1260">
        <v>1.1000000000000001</v>
      </c>
      <c r="EB271" s="1260">
        <v>1.2</v>
      </c>
      <c r="EC271" s="1260">
        <v>1.3</v>
      </c>
      <c r="ED271" s="1260">
        <v>1.45</v>
      </c>
      <c r="EE271" s="1260">
        <v>1.6</v>
      </c>
      <c r="EF271" s="1260">
        <v>1.75</v>
      </c>
      <c r="EG271" s="1260">
        <v>1.85</v>
      </c>
      <c r="EH271" s="1260">
        <v>2</v>
      </c>
    </row>
    <row r="272" spans="2:138" ht="15" customHeight="1">
      <c r="B272" s="1254">
        <v>38</v>
      </c>
      <c r="C272" s="1258">
        <v>0</v>
      </c>
      <c r="D272" s="1258">
        <v>0</v>
      </c>
      <c r="E272" s="1258">
        <v>0</v>
      </c>
      <c r="F272" s="1258">
        <v>0</v>
      </c>
      <c r="G272" s="1258">
        <v>0</v>
      </c>
      <c r="H272" s="1258">
        <v>0</v>
      </c>
      <c r="I272" s="1258">
        <v>0</v>
      </c>
      <c r="J272" s="1258">
        <v>0</v>
      </c>
      <c r="K272" s="1258">
        <v>0</v>
      </c>
      <c r="L272" s="1258">
        <v>0</v>
      </c>
      <c r="M272" s="1258">
        <v>0</v>
      </c>
      <c r="N272" s="1258">
        <v>0</v>
      </c>
      <c r="O272" s="1258">
        <v>677.15</v>
      </c>
      <c r="P272" s="1258">
        <v>656</v>
      </c>
      <c r="Q272" s="1258">
        <v>635.75</v>
      </c>
      <c r="R272" s="1258">
        <v>616.29999999999995</v>
      </c>
      <c r="S272" s="1258">
        <v>597.75</v>
      </c>
      <c r="T272" s="1258">
        <v>580.04999999999995</v>
      </c>
      <c r="U272" s="1258">
        <v>563.20000000000005</v>
      </c>
      <c r="V272" s="1258">
        <v>547.15</v>
      </c>
      <c r="W272" s="1258">
        <v>531.9</v>
      </c>
      <c r="X272" s="1258">
        <v>517.5</v>
      </c>
      <c r="Y272" s="1258">
        <v>503.85</v>
      </c>
      <c r="Z272" s="1258">
        <v>0</v>
      </c>
      <c r="AA272" s="1258">
        <v>0</v>
      </c>
      <c r="AB272" s="1258">
        <v>0</v>
      </c>
      <c r="AC272" s="1258">
        <v>0</v>
      </c>
      <c r="AD272" s="1258">
        <v>0</v>
      </c>
      <c r="AE272" s="1258">
        <v>0</v>
      </c>
      <c r="AF272" s="1258">
        <v>0</v>
      </c>
      <c r="AG272" s="1258">
        <v>0</v>
      </c>
      <c r="AW272" s="1295">
        <v>55</v>
      </c>
      <c r="AX272" s="1297">
        <v>96.9</v>
      </c>
      <c r="AY272" s="1297">
        <v>87.1</v>
      </c>
      <c r="AZ272" s="1297">
        <v>79.150000000000006</v>
      </c>
      <c r="BA272" s="1297">
        <v>72.599999999999994</v>
      </c>
      <c r="BB272" s="1297">
        <v>67.099999999999994</v>
      </c>
      <c r="BC272" s="1297">
        <v>63.55</v>
      </c>
      <c r="BD272" s="1304" t="s">
        <v>39</v>
      </c>
      <c r="BE272" s="1304" t="s">
        <v>39</v>
      </c>
      <c r="BF272" s="1304" t="s">
        <v>39</v>
      </c>
      <c r="BG272" s="1304" t="s">
        <v>39</v>
      </c>
      <c r="BH272" s="1299" t="s">
        <v>39</v>
      </c>
      <c r="BK272" s="1295">
        <v>55</v>
      </c>
      <c r="BL272" s="1297">
        <v>96.5</v>
      </c>
      <c r="BM272" s="1297">
        <v>86.7</v>
      </c>
      <c r="BN272" s="1297">
        <v>78.7</v>
      </c>
      <c r="BO272" s="1297">
        <v>72.05</v>
      </c>
      <c r="BP272" s="1297">
        <v>66.55</v>
      </c>
      <c r="BQ272" s="1297">
        <v>62.9</v>
      </c>
      <c r="BR272" s="1302" t="s">
        <v>846</v>
      </c>
      <c r="BS272" s="1302" t="s">
        <v>846</v>
      </c>
      <c r="BT272" s="1302" t="s">
        <v>871</v>
      </c>
      <c r="BU272" s="1302" t="s">
        <v>871</v>
      </c>
      <c r="BV272" s="1303" t="s">
        <v>871</v>
      </c>
      <c r="CO272" s="1267">
        <v>52</v>
      </c>
      <c r="CP272" s="1268">
        <v>0.25</v>
      </c>
      <c r="CQ272" s="1268">
        <v>0.6</v>
      </c>
      <c r="CR272" s="1268">
        <v>1.05</v>
      </c>
      <c r="CS272" s="1268">
        <v>1.6</v>
      </c>
      <c r="CT272" s="1268">
        <v>2.15</v>
      </c>
      <c r="CU272" s="1269">
        <v>2.85</v>
      </c>
      <c r="CV272" s="1268">
        <v>3.6</v>
      </c>
      <c r="CW272" s="1270">
        <v>4.4000000000000004</v>
      </c>
      <c r="CX272" s="1268">
        <v>5.3</v>
      </c>
      <c r="CY272" s="1286" t="s">
        <v>39</v>
      </c>
      <c r="CZ272" s="1286" t="s">
        <v>39</v>
      </c>
      <c r="DA272" s="1286" t="s">
        <v>39</v>
      </c>
      <c r="DB272" s="1286" t="s">
        <v>39</v>
      </c>
      <c r="DC272" s="1286" t="s">
        <v>39</v>
      </c>
      <c r="DD272" s="1286" t="s">
        <v>39</v>
      </c>
      <c r="DE272" s="1286" t="s">
        <v>39</v>
      </c>
      <c r="DF272" s="1242" t="s">
        <v>39</v>
      </c>
      <c r="DG272" s="1242" t="s">
        <v>39</v>
      </c>
      <c r="DH272" s="1242" t="s">
        <v>39</v>
      </c>
      <c r="DI272" s="1242" t="s">
        <v>39</v>
      </c>
      <c r="DJ272" s="1242" t="s">
        <v>39</v>
      </c>
      <c r="DK272" s="1242" t="s">
        <v>39</v>
      </c>
      <c r="DL272" s="1242" t="s">
        <v>39</v>
      </c>
      <c r="DM272" s="1242" t="s">
        <v>39</v>
      </c>
      <c r="DN272" s="1242" t="s">
        <v>39</v>
      </c>
      <c r="DO272" s="1242" t="s">
        <v>39</v>
      </c>
      <c r="DP272" s="1242" t="s">
        <v>39</v>
      </c>
      <c r="DQ272" s="1242" t="s">
        <v>39</v>
      </c>
      <c r="DR272" s="1242" t="s">
        <v>39</v>
      </c>
      <c r="DS272" s="1242" t="s">
        <v>39</v>
      </c>
      <c r="DT272" s="1242" t="s">
        <v>39</v>
      </c>
      <c r="DU272" s="1223"/>
      <c r="DY272" s="1291">
        <v>44</v>
      </c>
      <c r="DZ272" s="1260">
        <v>1.1000000000000001</v>
      </c>
      <c r="EA272" s="1260">
        <v>1.25</v>
      </c>
      <c r="EB272" s="1260">
        <v>1.3</v>
      </c>
      <c r="EC272" s="1260">
        <v>1.45</v>
      </c>
      <c r="ED272" s="1260">
        <v>1.6</v>
      </c>
      <c r="EE272" s="1260">
        <v>1.75</v>
      </c>
      <c r="EF272" s="1260">
        <v>1.9</v>
      </c>
      <c r="EG272" s="1260">
        <v>2</v>
      </c>
      <c r="EH272" s="1260">
        <v>2.15</v>
      </c>
    </row>
    <row r="273" spans="2:138" ht="15" customHeight="1">
      <c r="B273" s="1254">
        <v>39</v>
      </c>
      <c r="C273" s="1258">
        <v>0</v>
      </c>
      <c r="D273" s="1258">
        <v>0</v>
      </c>
      <c r="E273" s="1258">
        <v>0</v>
      </c>
      <c r="F273" s="1258">
        <v>0</v>
      </c>
      <c r="G273" s="1258">
        <v>0</v>
      </c>
      <c r="H273" s="1258">
        <v>0</v>
      </c>
      <c r="I273" s="1258">
        <v>0</v>
      </c>
      <c r="J273" s="1258">
        <v>0</v>
      </c>
      <c r="K273" s="1258">
        <v>0</v>
      </c>
      <c r="L273" s="1258">
        <v>0</v>
      </c>
      <c r="M273" s="1258">
        <v>0</v>
      </c>
      <c r="N273" s="1258">
        <v>700.15</v>
      </c>
      <c r="O273" s="1258">
        <v>678.3</v>
      </c>
      <c r="P273" s="1258">
        <v>657.35</v>
      </c>
      <c r="Q273" s="1258">
        <v>637.29999999999995</v>
      </c>
      <c r="R273" s="1258">
        <v>618.1</v>
      </c>
      <c r="S273" s="1258">
        <v>599.75</v>
      </c>
      <c r="T273" s="1258">
        <v>582.25</v>
      </c>
      <c r="U273" s="1258">
        <v>565.65</v>
      </c>
      <c r="V273" s="1258">
        <v>549.85</v>
      </c>
      <c r="W273" s="1258">
        <v>534.85</v>
      </c>
      <c r="X273" s="1258">
        <v>520.75</v>
      </c>
      <c r="Y273" s="1258">
        <v>0</v>
      </c>
      <c r="Z273" s="1258">
        <v>0</v>
      </c>
      <c r="AA273" s="1258">
        <v>0</v>
      </c>
      <c r="AB273" s="1258">
        <v>0</v>
      </c>
      <c r="AC273" s="1258">
        <v>0</v>
      </c>
      <c r="AD273" s="1258">
        <v>0</v>
      </c>
      <c r="AE273" s="1258">
        <v>0</v>
      </c>
      <c r="AF273" s="1258">
        <v>0</v>
      </c>
      <c r="AG273" s="1258">
        <v>0</v>
      </c>
      <c r="CO273" s="1267">
        <v>53</v>
      </c>
      <c r="CP273" s="1268">
        <v>0.25</v>
      </c>
      <c r="CQ273" s="1268">
        <v>0.65</v>
      </c>
      <c r="CR273" s="1268">
        <v>1.1499999999999999</v>
      </c>
      <c r="CS273" s="1268">
        <v>1.7</v>
      </c>
      <c r="CT273" s="1268">
        <v>2.35</v>
      </c>
      <c r="CU273" s="1269">
        <v>3.1</v>
      </c>
      <c r="CV273" s="1268">
        <v>3.9</v>
      </c>
      <c r="CW273" s="1270">
        <v>4.75</v>
      </c>
      <c r="CX273" s="1286" t="s">
        <v>39</v>
      </c>
      <c r="CY273" s="1286" t="s">
        <v>39</v>
      </c>
      <c r="CZ273" s="1286" t="s">
        <v>39</v>
      </c>
      <c r="DA273" s="1286" t="s">
        <v>39</v>
      </c>
      <c r="DB273" s="1286" t="s">
        <v>39</v>
      </c>
      <c r="DC273" s="1286" t="s">
        <v>39</v>
      </c>
      <c r="DD273" s="1286" t="s">
        <v>39</v>
      </c>
      <c r="DE273" s="1286" t="s">
        <v>39</v>
      </c>
      <c r="DF273" s="1242" t="s">
        <v>39</v>
      </c>
      <c r="DG273" s="1242" t="s">
        <v>39</v>
      </c>
      <c r="DH273" s="1242" t="s">
        <v>39</v>
      </c>
      <c r="DI273" s="1242" t="s">
        <v>39</v>
      </c>
      <c r="DJ273" s="1242" t="s">
        <v>39</v>
      </c>
      <c r="DK273" s="1242" t="s">
        <v>39</v>
      </c>
      <c r="DL273" s="1242" t="s">
        <v>39</v>
      </c>
      <c r="DM273" s="1242" t="s">
        <v>39</v>
      </c>
      <c r="DN273" s="1242" t="s">
        <v>39</v>
      </c>
      <c r="DO273" s="1242" t="s">
        <v>39</v>
      </c>
      <c r="DP273" s="1242" t="s">
        <v>39</v>
      </c>
      <c r="DQ273" s="1242" t="s">
        <v>39</v>
      </c>
      <c r="DR273" s="1242" t="s">
        <v>39</v>
      </c>
      <c r="DS273" s="1242" t="s">
        <v>39</v>
      </c>
      <c r="DT273" s="1242" t="s">
        <v>39</v>
      </c>
      <c r="DU273" s="1223"/>
      <c r="DY273" s="1291">
        <v>45</v>
      </c>
      <c r="DZ273" s="1260">
        <v>1.25</v>
      </c>
      <c r="EA273" s="1260">
        <v>1.35</v>
      </c>
      <c r="EB273" s="1260">
        <v>1.45</v>
      </c>
      <c r="EC273" s="1260">
        <v>1.6</v>
      </c>
      <c r="ED273" s="1260">
        <v>1.75</v>
      </c>
      <c r="EE273" s="1260">
        <v>1.9</v>
      </c>
      <c r="EF273" s="1260">
        <v>2.0499999999999998</v>
      </c>
      <c r="EG273" s="1260">
        <v>2.2000000000000002</v>
      </c>
      <c r="EH273" s="1260">
        <v>2.35</v>
      </c>
    </row>
    <row r="274" spans="2:138" ht="15" customHeight="1">
      <c r="B274" s="1254">
        <v>40</v>
      </c>
      <c r="C274" s="1258">
        <v>0</v>
      </c>
      <c r="D274" s="1258">
        <v>0</v>
      </c>
      <c r="E274" s="1258">
        <v>0</v>
      </c>
      <c r="F274" s="1258">
        <v>0</v>
      </c>
      <c r="G274" s="1258">
        <v>0</v>
      </c>
      <c r="H274" s="1258">
        <v>0</v>
      </c>
      <c r="I274" s="1258">
        <v>0</v>
      </c>
      <c r="J274" s="1258">
        <v>0</v>
      </c>
      <c r="K274" s="1258">
        <v>0</v>
      </c>
      <c r="L274" s="1258">
        <v>0</v>
      </c>
      <c r="M274" s="1258">
        <v>723.85</v>
      </c>
      <c r="N274" s="1258">
        <v>701.3</v>
      </c>
      <c r="O274" s="1258">
        <v>679.6</v>
      </c>
      <c r="P274" s="1258">
        <v>658.85</v>
      </c>
      <c r="Q274" s="1258">
        <v>639</v>
      </c>
      <c r="R274" s="1258">
        <v>620</v>
      </c>
      <c r="S274" s="1258">
        <v>601.9</v>
      </c>
      <c r="T274" s="1258">
        <v>584.70000000000005</v>
      </c>
      <c r="U274" s="1258">
        <v>568.29999999999995</v>
      </c>
      <c r="V274" s="1258">
        <v>552.79999999999995</v>
      </c>
      <c r="W274" s="1258">
        <v>538.1</v>
      </c>
      <c r="X274" s="1258">
        <v>0</v>
      </c>
      <c r="Y274" s="1258">
        <v>0</v>
      </c>
      <c r="Z274" s="1258">
        <v>0</v>
      </c>
      <c r="AA274" s="1258">
        <v>0</v>
      </c>
      <c r="AB274" s="1258">
        <v>0</v>
      </c>
      <c r="AC274" s="1258">
        <v>0</v>
      </c>
      <c r="AD274" s="1258">
        <v>0</v>
      </c>
      <c r="AE274" s="1258">
        <v>0</v>
      </c>
      <c r="AF274" s="1258">
        <v>0</v>
      </c>
      <c r="AG274" s="1258">
        <v>0</v>
      </c>
      <c r="CO274" s="1267">
        <v>54</v>
      </c>
      <c r="CP274" s="1268">
        <v>0.3</v>
      </c>
      <c r="CQ274" s="1268">
        <v>0.7</v>
      </c>
      <c r="CR274" s="1268">
        <v>1.25</v>
      </c>
      <c r="CS274" s="1268">
        <v>1.85</v>
      </c>
      <c r="CT274" s="1268">
        <v>2.5499999999999998</v>
      </c>
      <c r="CU274" s="1269">
        <v>3.35</v>
      </c>
      <c r="CV274" s="1268">
        <v>4.2</v>
      </c>
      <c r="CW274" s="1286" t="s">
        <v>39</v>
      </c>
      <c r="CX274" s="1286" t="s">
        <v>39</v>
      </c>
      <c r="CY274" s="1286" t="s">
        <v>39</v>
      </c>
      <c r="CZ274" s="1286" t="s">
        <v>39</v>
      </c>
      <c r="DA274" s="1286" t="s">
        <v>39</v>
      </c>
      <c r="DB274" s="1286" t="s">
        <v>39</v>
      </c>
      <c r="DC274" s="1286" t="s">
        <v>39</v>
      </c>
      <c r="DD274" s="1286" t="s">
        <v>39</v>
      </c>
      <c r="DE274" s="1286" t="s">
        <v>39</v>
      </c>
      <c r="DF274" s="1242" t="s">
        <v>39</v>
      </c>
      <c r="DG274" s="1242" t="s">
        <v>39</v>
      </c>
      <c r="DH274" s="1242" t="s">
        <v>39</v>
      </c>
      <c r="DI274" s="1242" t="s">
        <v>39</v>
      </c>
      <c r="DJ274" s="1242" t="s">
        <v>39</v>
      </c>
      <c r="DK274" s="1242" t="s">
        <v>39</v>
      </c>
      <c r="DL274" s="1242" t="s">
        <v>39</v>
      </c>
      <c r="DM274" s="1242" t="s">
        <v>39</v>
      </c>
      <c r="DN274" s="1242" t="s">
        <v>39</v>
      </c>
      <c r="DO274" s="1242" t="s">
        <v>39</v>
      </c>
      <c r="DP274" s="1242" t="s">
        <v>39</v>
      </c>
      <c r="DQ274" s="1242" t="s">
        <v>39</v>
      </c>
      <c r="DR274" s="1242" t="s">
        <v>39</v>
      </c>
      <c r="DS274" s="1242" t="s">
        <v>39</v>
      </c>
      <c r="DT274" s="1242" t="s">
        <v>39</v>
      </c>
      <c r="DU274" s="1223"/>
    </row>
    <row r="275" spans="2:138" ht="15" customHeight="1">
      <c r="B275" s="1254">
        <v>41</v>
      </c>
      <c r="C275" s="1258">
        <v>0</v>
      </c>
      <c r="D275" s="1258">
        <v>0</v>
      </c>
      <c r="E275" s="1258">
        <v>0</v>
      </c>
      <c r="F275" s="1258">
        <v>0</v>
      </c>
      <c r="G275" s="1258">
        <v>0</v>
      </c>
      <c r="H275" s="1258">
        <v>0</v>
      </c>
      <c r="I275" s="1258">
        <v>0</v>
      </c>
      <c r="J275" s="1258">
        <v>0</v>
      </c>
      <c r="K275" s="1258">
        <v>0</v>
      </c>
      <c r="L275" s="1258">
        <v>748.2</v>
      </c>
      <c r="M275" s="1258">
        <v>724.9</v>
      </c>
      <c r="N275" s="1258">
        <v>702.5</v>
      </c>
      <c r="O275" s="1258">
        <v>681.05</v>
      </c>
      <c r="P275" s="1258">
        <v>660.5</v>
      </c>
      <c r="Q275" s="1258">
        <v>640.85</v>
      </c>
      <c r="R275" s="1258">
        <v>622.15</v>
      </c>
      <c r="S275" s="1258">
        <v>604.29999999999995</v>
      </c>
      <c r="T275" s="1258">
        <v>587.29999999999995</v>
      </c>
      <c r="U275" s="1258">
        <v>571.20000000000005</v>
      </c>
      <c r="V275" s="1258">
        <v>556</v>
      </c>
      <c r="W275" s="1258">
        <v>0</v>
      </c>
      <c r="X275" s="1258">
        <v>0</v>
      </c>
      <c r="Y275" s="1258">
        <v>0</v>
      </c>
      <c r="Z275" s="1258">
        <v>0</v>
      </c>
      <c r="AA275" s="1258">
        <v>0</v>
      </c>
      <c r="AB275" s="1258">
        <v>0</v>
      </c>
      <c r="AC275" s="1258">
        <v>0</v>
      </c>
      <c r="AD275" s="1258">
        <v>0</v>
      </c>
      <c r="AE275" s="1258">
        <v>0</v>
      </c>
      <c r="AF275" s="1258">
        <v>0</v>
      </c>
      <c r="AG275" s="1258">
        <v>0</v>
      </c>
      <c r="CO275" s="1267">
        <v>55</v>
      </c>
      <c r="CP275" s="1268">
        <v>0.3</v>
      </c>
      <c r="CQ275" s="1268">
        <v>0.8</v>
      </c>
      <c r="CR275" s="1268">
        <v>1.35</v>
      </c>
      <c r="CS275" s="1268">
        <v>2</v>
      </c>
      <c r="CT275" s="1268">
        <v>2.75</v>
      </c>
      <c r="CU275" s="1269">
        <v>3.6</v>
      </c>
      <c r="CV275" s="1286" t="s">
        <v>39</v>
      </c>
      <c r="CW275" s="1286" t="s">
        <v>39</v>
      </c>
      <c r="CX275" s="1286" t="s">
        <v>39</v>
      </c>
      <c r="CY275" s="1286" t="s">
        <v>39</v>
      </c>
      <c r="CZ275" s="1286" t="s">
        <v>39</v>
      </c>
      <c r="DA275" s="1286" t="s">
        <v>39</v>
      </c>
      <c r="DB275" s="1286" t="s">
        <v>39</v>
      </c>
      <c r="DC275" s="1286" t="s">
        <v>39</v>
      </c>
      <c r="DD275" s="1286" t="s">
        <v>39</v>
      </c>
      <c r="DE275" s="1286" t="s">
        <v>39</v>
      </c>
      <c r="DF275" s="1242" t="s">
        <v>39</v>
      </c>
      <c r="DG275" s="1242" t="s">
        <v>39</v>
      </c>
      <c r="DH275" s="1242" t="s">
        <v>39</v>
      </c>
      <c r="DI275" s="1242" t="s">
        <v>39</v>
      </c>
      <c r="DJ275" s="1242" t="s">
        <v>39</v>
      </c>
      <c r="DK275" s="1242" t="s">
        <v>39</v>
      </c>
      <c r="DL275" s="1242" t="s">
        <v>39</v>
      </c>
      <c r="DM275" s="1242" t="s">
        <v>39</v>
      </c>
      <c r="DN275" s="1242" t="s">
        <v>39</v>
      </c>
      <c r="DO275" s="1242" t="s">
        <v>39</v>
      </c>
      <c r="DP275" s="1242" t="s">
        <v>39</v>
      </c>
      <c r="DQ275" s="1242" t="s">
        <v>39</v>
      </c>
      <c r="DR275" s="1242" t="s">
        <v>39</v>
      </c>
      <c r="DS275" s="1242" t="s">
        <v>39</v>
      </c>
      <c r="DT275" s="1242" t="s">
        <v>39</v>
      </c>
      <c r="DU275" s="1223"/>
    </row>
    <row r="276" spans="2:138" ht="15" customHeight="1">
      <c r="B276" s="1254">
        <v>42</v>
      </c>
      <c r="C276" s="1258">
        <v>0</v>
      </c>
      <c r="D276" s="1258">
        <v>0</v>
      </c>
      <c r="E276" s="1258">
        <v>0</v>
      </c>
      <c r="F276" s="1258">
        <v>0</v>
      </c>
      <c r="G276" s="1258">
        <v>0</v>
      </c>
      <c r="H276" s="1258">
        <v>0</v>
      </c>
      <c r="I276" s="1258">
        <v>0</v>
      </c>
      <c r="J276" s="1258">
        <v>0</v>
      </c>
      <c r="K276" s="1258">
        <v>773.25</v>
      </c>
      <c r="L276" s="1258">
        <v>749.2</v>
      </c>
      <c r="M276" s="1258">
        <v>726.05</v>
      </c>
      <c r="N276" s="1258">
        <v>703.9</v>
      </c>
      <c r="O276" s="1258">
        <v>682.65</v>
      </c>
      <c r="P276" s="1258">
        <v>662.3</v>
      </c>
      <c r="Q276" s="1258">
        <v>642.9</v>
      </c>
      <c r="R276" s="1258">
        <v>624.45000000000005</v>
      </c>
      <c r="S276" s="1258">
        <v>606.85</v>
      </c>
      <c r="T276" s="1258">
        <v>590.20000000000005</v>
      </c>
      <c r="U276" s="1258">
        <v>574.4</v>
      </c>
      <c r="V276" s="1258">
        <v>0</v>
      </c>
      <c r="W276" s="1258">
        <v>0</v>
      </c>
      <c r="X276" s="1258">
        <v>0</v>
      </c>
      <c r="Y276" s="1258">
        <v>0</v>
      </c>
      <c r="Z276" s="1258">
        <v>0</v>
      </c>
      <c r="AA276" s="1258">
        <v>0</v>
      </c>
      <c r="AB276" s="1258">
        <v>0</v>
      </c>
      <c r="AC276" s="1258">
        <v>0</v>
      </c>
      <c r="AD276" s="1258">
        <v>0</v>
      </c>
      <c r="AE276" s="1258">
        <v>0</v>
      </c>
      <c r="AF276" s="1258">
        <v>0</v>
      </c>
      <c r="AG276" s="1258">
        <v>0</v>
      </c>
      <c r="CO276" s="1267">
        <v>56</v>
      </c>
      <c r="CP276" s="1268">
        <v>0.35</v>
      </c>
      <c r="CQ276" s="1268">
        <v>0.85</v>
      </c>
      <c r="CR276" s="1268">
        <v>1.45</v>
      </c>
      <c r="CS276" s="1268">
        <v>2.15</v>
      </c>
      <c r="CT276" s="1268">
        <v>2.95</v>
      </c>
      <c r="CU276" s="1286" t="s">
        <v>39</v>
      </c>
      <c r="CV276" s="1286" t="s">
        <v>39</v>
      </c>
      <c r="CW276" s="1286" t="s">
        <v>39</v>
      </c>
      <c r="CX276" s="1286" t="s">
        <v>39</v>
      </c>
      <c r="CY276" s="1286" t="s">
        <v>39</v>
      </c>
      <c r="CZ276" s="1286" t="s">
        <v>39</v>
      </c>
      <c r="DA276" s="1286" t="s">
        <v>39</v>
      </c>
      <c r="DB276" s="1286" t="s">
        <v>39</v>
      </c>
      <c r="DC276" s="1286" t="s">
        <v>39</v>
      </c>
      <c r="DD276" s="1286" t="s">
        <v>39</v>
      </c>
      <c r="DE276" s="1286" t="s">
        <v>39</v>
      </c>
      <c r="DF276" s="1242" t="s">
        <v>39</v>
      </c>
      <c r="DG276" s="1242" t="s">
        <v>39</v>
      </c>
      <c r="DH276" s="1242" t="s">
        <v>39</v>
      </c>
      <c r="DI276" s="1242" t="s">
        <v>39</v>
      </c>
      <c r="DJ276" s="1242" t="s">
        <v>39</v>
      </c>
      <c r="DK276" s="1242" t="s">
        <v>39</v>
      </c>
      <c r="DL276" s="1242" t="s">
        <v>39</v>
      </c>
      <c r="DM276" s="1242" t="s">
        <v>39</v>
      </c>
      <c r="DN276" s="1242" t="s">
        <v>39</v>
      </c>
      <c r="DO276" s="1242" t="s">
        <v>39</v>
      </c>
      <c r="DP276" s="1242" t="s">
        <v>39</v>
      </c>
      <c r="DQ276" s="1242" t="s">
        <v>39</v>
      </c>
      <c r="DR276" s="1242" t="s">
        <v>39</v>
      </c>
      <c r="DS276" s="1242" t="s">
        <v>39</v>
      </c>
      <c r="DT276" s="1242" t="s">
        <v>39</v>
      </c>
      <c r="DU276" s="1223"/>
    </row>
    <row r="277" spans="2:138" ht="15" customHeight="1">
      <c r="B277" s="1254">
        <v>43</v>
      </c>
      <c r="C277" s="1258">
        <v>0</v>
      </c>
      <c r="D277" s="1258">
        <v>0</v>
      </c>
      <c r="E277" s="1258">
        <v>0</v>
      </c>
      <c r="F277" s="1258">
        <v>0</v>
      </c>
      <c r="G277" s="1258">
        <v>0</v>
      </c>
      <c r="H277" s="1258">
        <v>0</v>
      </c>
      <c r="I277" s="1258">
        <v>0</v>
      </c>
      <c r="J277" s="1258">
        <v>798.95</v>
      </c>
      <c r="K277" s="1258">
        <v>774.15</v>
      </c>
      <c r="L277" s="1258">
        <v>750.3</v>
      </c>
      <c r="M277" s="1258">
        <v>727.35</v>
      </c>
      <c r="N277" s="1258">
        <v>705.4</v>
      </c>
      <c r="O277" s="1258">
        <v>684.4</v>
      </c>
      <c r="P277" s="1258">
        <v>664.3</v>
      </c>
      <c r="Q277" s="1258">
        <v>645.20000000000005</v>
      </c>
      <c r="R277" s="1258">
        <v>626.95000000000005</v>
      </c>
      <c r="S277" s="1258">
        <v>609.70000000000005</v>
      </c>
      <c r="T277" s="1258">
        <v>593.29999999999995</v>
      </c>
      <c r="U277" s="1258">
        <v>0</v>
      </c>
      <c r="V277" s="1258">
        <v>0</v>
      </c>
      <c r="W277" s="1258">
        <v>0</v>
      </c>
      <c r="X277" s="1258">
        <v>0</v>
      </c>
      <c r="Y277" s="1258">
        <v>0</v>
      </c>
      <c r="Z277" s="1258">
        <v>0</v>
      </c>
      <c r="AA277" s="1258">
        <v>0</v>
      </c>
      <c r="AB277" s="1258">
        <v>0</v>
      </c>
      <c r="AC277" s="1258">
        <v>0</v>
      </c>
      <c r="AD277" s="1258">
        <v>0</v>
      </c>
      <c r="AE277" s="1258">
        <v>0</v>
      </c>
      <c r="AF277" s="1258">
        <v>0</v>
      </c>
      <c r="AG277" s="1258">
        <v>0</v>
      </c>
      <c r="CO277" s="1267">
        <v>57</v>
      </c>
      <c r="CP277" s="1268">
        <v>0.35</v>
      </c>
      <c r="CQ277" s="1268">
        <v>0.9</v>
      </c>
      <c r="CR277" s="1268">
        <v>1.55</v>
      </c>
      <c r="CS277" s="1268">
        <v>2.35</v>
      </c>
      <c r="CT277" s="1286" t="s">
        <v>39</v>
      </c>
      <c r="CU277" s="1286" t="s">
        <v>39</v>
      </c>
      <c r="CV277" s="1286" t="s">
        <v>39</v>
      </c>
      <c r="CW277" s="1286" t="s">
        <v>39</v>
      </c>
      <c r="CX277" s="1286" t="s">
        <v>39</v>
      </c>
      <c r="CY277" s="1286" t="s">
        <v>39</v>
      </c>
      <c r="CZ277" s="1286" t="s">
        <v>39</v>
      </c>
      <c r="DA277" s="1286" t="s">
        <v>39</v>
      </c>
      <c r="DB277" s="1286" t="s">
        <v>39</v>
      </c>
      <c r="DC277" s="1286" t="s">
        <v>39</v>
      </c>
      <c r="DD277" s="1286" t="s">
        <v>39</v>
      </c>
      <c r="DE277" s="1286" t="s">
        <v>39</v>
      </c>
      <c r="DF277" s="1242" t="s">
        <v>39</v>
      </c>
      <c r="DG277" s="1242" t="s">
        <v>39</v>
      </c>
      <c r="DH277" s="1242" t="s">
        <v>39</v>
      </c>
      <c r="DI277" s="1242" t="s">
        <v>39</v>
      </c>
      <c r="DJ277" s="1242" t="s">
        <v>39</v>
      </c>
      <c r="DK277" s="1242" t="s">
        <v>39</v>
      </c>
      <c r="DL277" s="1242" t="s">
        <v>39</v>
      </c>
      <c r="DM277" s="1242" t="s">
        <v>39</v>
      </c>
      <c r="DN277" s="1242" t="s">
        <v>39</v>
      </c>
      <c r="DO277" s="1242" t="s">
        <v>39</v>
      </c>
      <c r="DP277" s="1242" t="s">
        <v>39</v>
      </c>
      <c r="DQ277" s="1242" t="s">
        <v>39</v>
      </c>
      <c r="DR277" s="1242" t="s">
        <v>39</v>
      </c>
      <c r="DS277" s="1242" t="s">
        <v>39</v>
      </c>
      <c r="DT277" s="1242" t="s">
        <v>39</v>
      </c>
      <c r="DU277" s="1223"/>
    </row>
    <row r="278" spans="2:138" ht="15" customHeight="1">
      <c r="B278" s="1254">
        <v>44</v>
      </c>
      <c r="C278" s="1258">
        <v>0</v>
      </c>
      <c r="D278" s="1258">
        <v>0</v>
      </c>
      <c r="E278" s="1258">
        <v>0</v>
      </c>
      <c r="F278" s="1258">
        <v>0</v>
      </c>
      <c r="G278" s="1258">
        <v>0</v>
      </c>
      <c r="H278" s="1258">
        <v>0</v>
      </c>
      <c r="I278" s="1258">
        <v>825.4</v>
      </c>
      <c r="J278" s="1258">
        <v>799.8</v>
      </c>
      <c r="K278" s="1258">
        <v>775.2</v>
      </c>
      <c r="L278" s="1258">
        <v>751.5</v>
      </c>
      <c r="M278" s="1258">
        <v>728.85</v>
      </c>
      <c r="N278" s="1258">
        <v>707.1</v>
      </c>
      <c r="O278" s="1258">
        <v>686.35</v>
      </c>
      <c r="P278" s="1258">
        <v>666.5</v>
      </c>
      <c r="Q278" s="1258">
        <v>647.65</v>
      </c>
      <c r="R278" s="1258">
        <v>629.75</v>
      </c>
      <c r="S278" s="1258">
        <v>612.79999999999995</v>
      </c>
      <c r="T278" s="1258">
        <v>0</v>
      </c>
      <c r="U278" s="1258">
        <v>0</v>
      </c>
      <c r="V278" s="1258">
        <v>0</v>
      </c>
      <c r="W278" s="1258">
        <v>0</v>
      </c>
      <c r="X278" s="1258">
        <v>0</v>
      </c>
      <c r="Y278" s="1258">
        <v>0</v>
      </c>
      <c r="Z278" s="1258">
        <v>0</v>
      </c>
      <c r="AA278" s="1258">
        <v>0</v>
      </c>
      <c r="AB278" s="1258">
        <v>0</v>
      </c>
      <c r="AC278" s="1258">
        <v>0</v>
      </c>
      <c r="AD278" s="1258">
        <v>0</v>
      </c>
      <c r="AE278" s="1258">
        <v>0</v>
      </c>
      <c r="AF278" s="1258">
        <v>0</v>
      </c>
      <c r="AG278" s="1258">
        <v>0</v>
      </c>
      <c r="CO278" s="1267">
        <v>58</v>
      </c>
      <c r="CP278" s="1268">
        <v>0.4</v>
      </c>
      <c r="CQ278" s="1268">
        <v>1</v>
      </c>
      <c r="CR278" s="1268">
        <v>1.7</v>
      </c>
      <c r="CS278" s="1286" t="s">
        <v>39</v>
      </c>
      <c r="CT278" s="1286" t="s">
        <v>39</v>
      </c>
      <c r="CU278" s="1286" t="s">
        <v>39</v>
      </c>
      <c r="CV278" s="1286" t="s">
        <v>39</v>
      </c>
      <c r="CW278" s="1286" t="s">
        <v>39</v>
      </c>
      <c r="CX278" s="1286" t="s">
        <v>39</v>
      </c>
      <c r="CY278" s="1286" t="s">
        <v>39</v>
      </c>
      <c r="CZ278" s="1286" t="s">
        <v>39</v>
      </c>
      <c r="DA278" s="1286" t="s">
        <v>39</v>
      </c>
      <c r="DB278" s="1286" t="s">
        <v>39</v>
      </c>
      <c r="DC278" s="1286" t="s">
        <v>39</v>
      </c>
      <c r="DD278" s="1286" t="s">
        <v>39</v>
      </c>
      <c r="DE278" s="1286" t="s">
        <v>39</v>
      </c>
      <c r="DF278" s="1242" t="s">
        <v>39</v>
      </c>
      <c r="DG278" s="1242" t="s">
        <v>39</v>
      </c>
      <c r="DH278" s="1242" t="s">
        <v>39</v>
      </c>
      <c r="DI278" s="1242" t="s">
        <v>39</v>
      </c>
      <c r="DJ278" s="1242" t="s">
        <v>39</v>
      </c>
      <c r="DK278" s="1242" t="s">
        <v>39</v>
      </c>
      <c r="DL278" s="1242" t="s">
        <v>39</v>
      </c>
      <c r="DM278" s="1242" t="s">
        <v>39</v>
      </c>
      <c r="DN278" s="1242" t="s">
        <v>39</v>
      </c>
      <c r="DO278" s="1242" t="s">
        <v>39</v>
      </c>
      <c r="DP278" s="1242" t="s">
        <v>39</v>
      </c>
      <c r="DQ278" s="1242" t="s">
        <v>39</v>
      </c>
      <c r="DR278" s="1242" t="s">
        <v>39</v>
      </c>
      <c r="DS278" s="1242" t="s">
        <v>39</v>
      </c>
      <c r="DT278" s="1242" t="s">
        <v>39</v>
      </c>
      <c r="DU278" s="1223"/>
    </row>
    <row r="279" spans="2:138" ht="15" customHeight="1">
      <c r="B279" s="1254">
        <v>45</v>
      </c>
      <c r="C279" s="1258">
        <v>0</v>
      </c>
      <c r="D279" s="1258">
        <v>0</v>
      </c>
      <c r="E279" s="1258">
        <v>0</v>
      </c>
      <c r="F279" s="1258">
        <v>0</v>
      </c>
      <c r="G279" s="1258">
        <v>0</v>
      </c>
      <c r="H279" s="1258">
        <v>852.55</v>
      </c>
      <c r="I279" s="1258">
        <v>826.15</v>
      </c>
      <c r="J279" s="1258">
        <v>800.75</v>
      </c>
      <c r="K279" s="1258">
        <v>776.35</v>
      </c>
      <c r="L279" s="1258">
        <v>752.9</v>
      </c>
      <c r="M279" s="1258">
        <v>730.45</v>
      </c>
      <c r="N279" s="1258">
        <v>708.95</v>
      </c>
      <c r="O279" s="1258">
        <v>688.45</v>
      </c>
      <c r="P279" s="1258">
        <v>668.95</v>
      </c>
      <c r="Q279" s="1258">
        <v>650.4</v>
      </c>
      <c r="R279" s="1258">
        <v>632.79999999999995</v>
      </c>
      <c r="S279" s="1258">
        <v>0</v>
      </c>
      <c r="T279" s="1258">
        <v>0</v>
      </c>
      <c r="U279" s="1258">
        <v>0</v>
      </c>
      <c r="V279" s="1258">
        <v>0</v>
      </c>
      <c r="W279" s="1258">
        <v>0</v>
      </c>
      <c r="X279" s="1258">
        <v>0</v>
      </c>
      <c r="Y279" s="1258">
        <v>0</v>
      </c>
      <c r="Z279" s="1258">
        <v>0</v>
      </c>
      <c r="AA279" s="1258">
        <v>0</v>
      </c>
      <c r="AB279" s="1258">
        <v>0</v>
      </c>
      <c r="AC279" s="1258">
        <v>0</v>
      </c>
      <c r="AD279" s="1258">
        <v>0</v>
      </c>
      <c r="AE279" s="1258">
        <v>0</v>
      </c>
      <c r="AF279" s="1258">
        <v>0</v>
      </c>
      <c r="AG279" s="1258">
        <v>0</v>
      </c>
      <c r="CO279" s="1267">
        <v>59</v>
      </c>
      <c r="CP279" s="1268">
        <v>0.4</v>
      </c>
      <c r="CQ279" s="1268">
        <v>1.05</v>
      </c>
      <c r="CR279" s="1286" t="s">
        <v>39</v>
      </c>
      <c r="CS279" s="1286" t="s">
        <v>39</v>
      </c>
      <c r="CT279" s="1286" t="s">
        <v>39</v>
      </c>
      <c r="CU279" s="1286" t="s">
        <v>39</v>
      </c>
      <c r="CV279" s="1286" t="s">
        <v>39</v>
      </c>
      <c r="CW279" s="1286" t="s">
        <v>39</v>
      </c>
      <c r="CX279" s="1286" t="s">
        <v>39</v>
      </c>
      <c r="CY279" s="1286" t="s">
        <v>39</v>
      </c>
      <c r="CZ279" s="1286" t="s">
        <v>39</v>
      </c>
      <c r="DA279" s="1286" t="s">
        <v>39</v>
      </c>
      <c r="DB279" s="1286" t="s">
        <v>39</v>
      </c>
      <c r="DC279" s="1286" t="s">
        <v>39</v>
      </c>
      <c r="DD279" s="1286" t="s">
        <v>39</v>
      </c>
      <c r="DE279" s="1286" t="s">
        <v>39</v>
      </c>
      <c r="DF279" s="1242" t="s">
        <v>39</v>
      </c>
      <c r="DG279" s="1242" t="s">
        <v>39</v>
      </c>
      <c r="DH279" s="1242" t="s">
        <v>39</v>
      </c>
      <c r="DI279" s="1242" t="s">
        <v>39</v>
      </c>
      <c r="DJ279" s="1242" t="s">
        <v>39</v>
      </c>
      <c r="DK279" s="1242" t="s">
        <v>39</v>
      </c>
      <c r="DL279" s="1242" t="s">
        <v>39</v>
      </c>
      <c r="DM279" s="1242" t="s">
        <v>39</v>
      </c>
      <c r="DN279" s="1242" t="s">
        <v>39</v>
      </c>
      <c r="DO279" s="1242" t="s">
        <v>39</v>
      </c>
      <c r="DP279" s="1242" t="s">
        <v>39</v>
      </c>
      <c r="DQ279" s="1242" t="s">
        <v>39</v>
      </c>
      <c r="DR279" s="1242" t="s">
        <v>39</v>
      </c>
      <c r="DS279" s="1242" t="s">
        <v>39</v>
      </c>
      <c r="DT279" s="1242" t="s">
        <v>39</v>
      </c>
      <c r="DU279" s="1223"/>
    </row>
    <row r="280" spans="2:138" ht="15" customHeight="1">
      <c r="B280" s="1254">
        <v>46</v>
      </c>
      <c r="C280" s="1258">
        <v>0</v>
      </c>
      <c r="D280" s="1258">
        <v>0</v>
      </c>
      <c r="E280" s="1258">
        <v>0</v>
      </c>
      <c r="F280" s="1258">
        <v>0</v>
      </c>
      <c r="G280" s="1258">
        <v>880.4</v>
      </c>
      <c r="H280" s="1258">
        <v>853.2</v>
      </c>
      <c r="I280" s="1258">
        <v>827</v>
      </c>
      <c r="J280" s="1258">
        <v>801.8</v>
      </c>
      <c r="K280" s="1258">
        <v>777.6</v>
      </c>
      <c r="L280" s="1258">
        <v>754.4</v>
      </c>
      <c r="M280" s="1258">
        <v>732.2</v>
      </c>
      <c r="N280" s="1258">
        <v>710.95</v>
      </c>
      <c r="O280" s="1258">
        <v>690.75</v>
      </c>
      <c r="P280" s="1258">
        <v>671.55</v>
      </c>
      <c r="Q280" s="1258">
        <v>653.35</v>
      </c>
      <c r="R280" s="1258">
        <v>0</v>
      </c>
      <c r="S280" s="1258">
        <v>0</v>
      </c>
      <c r="T280" s="1258">
        <v>0</v>
      </c>
      <c r="U280" s="1258">
        <v>0</v>
      </c>
      <c r="V280" s="1258">
        <v>0</v>
      </c>
      <c r="W280" s="1258">
        <v>0</v>
      </c>
      <c r="X280" s="1258">
        <v>0</v>
      </c>
      <c r="Y280" s="1258">
        <v>0</v>
      </c>
      <c r="Z280" s="1258">
        <v>0</v>
      </c>
      <c r="AA280" s="1258">
        <v>0</v>
      </c>
      <c r="AB280" s="1258">
        <v>0</v>
      </c>
      <c r="AC280" s="1258">
        <v>0</v>
      </c>
      <c r="AD280" s="1258">
        <v>0</v>
      </c>
      <c r="AE280" s="1258">
        <v>0</v>
      </c>
      <c r="AF280" s="1258">
        <v>0</v>
      </c>
      <c r="AG280" s="1258">
        <v>0</v>
      </c>
      <c r="CO280" s="1267">
        <v>60</v>
      </c>
      <c r="CP280" s="1268">
        <v>0.45</v>
      </c>
      <c r="CQ280" s="1286" t="s">
        <v>39</v>
      </c>
      <c r="CR280" s="1286" t="s">
        <v>39</v>
      </c>
      <c r="CS280" s="1286" t="s">
        <v>39</v>
      </c>
      <c r="CT280" s="1286" t="s">
        <v>39</v>
      </c>
      <c r="CU280" s="1286" t="s">
        <v>39</v>
      </c>
      <c r="CV280" s="1286" t="s">
        <v>39</v>
      </c>
      <c r="CW280" s="1286" t="s">
        <v>39</v>
      </c>
      <c r="CX280" s="1286" t="s">
        <v>39</v>
      </c>
      <c r="CY280" s="1286" t="s">
        <v>39</v>
      </c>
      <c r="CZ280" s="1286" t="s">
        <v>39</v>
      </c>
      <c r="DA280" s="1286" t="s">
        <v>39</v>
      </c>
      <c r="DB280" s="1286" t="s">
        <v>39</v>
      </c>
      <c r="DC280" s="1286" t="s">
        <v>39</v>
      </c>
      <c r="DD280" s="1286" t="s">
        <v>39</v>
      </c>
      <c r="DE280" s="1286" t="s">
        <v>39</v>
      </c>
      <c r="DF280" s="1242" t="s">
        <v>39</v>
      </c>
      <c r="DG280" s="1242" t="s">
        <v>39</v>
      </c>
      <c r="DH280" s="1242" t="s">
        <v>39</v>
      </c>
      <c r="DI280" s="1242" t="s">
        <v>39</v>
      </c>
      <c r="DJ280" s="1242" t="s">
        <v>39</v>
      </c>
      <c r="DK280" s="1242" t="s">
        <v>39</v>
      </c>
      <c r="DL280" s="1242" t="s">
        <v>39</v>
      </c>
      <c r="DM280" s="1242" t="s">
        <v>39</v>
      </c>
      <c r="DN280" s="1242" t="s">
        <v>39</v>
      </c>
      <c r="DO280" s="1242" t="s">
        <v>39</v>
      </c>
      <c r="DP280" s="1242" t="s">
        <v>39</v>
      </c>
      <c r="DQ280" s="1242" t="s">
        <v>39</v>
      </c>
      <c r="DR280" s="1242" t="s">
        <v>39</v>
      </c>
      <c r="DS280" s="1242" t="s">
        <v>39</v>
      </c>
      <c r="DT280" s="1242" t="s">
        <v>39</v>
      </c>
      <c r="DU280" s="1223"/>
    </row>
    <row r="281" spans="2:138" ht="15" customHeight="1">
      <c r="B281" s="1254">
        <v>47</v>
      </c>
      <c r="C281" s="1258">
        <v>0</v>
      </c>
      <c r="D281" s="1258">
        <v>0</v>
      </c>
      <c r="E281" s="1258">
        <v>0</v>
      </c>
      <c r="F281" s="1258">
        <v>908.9</v>
      </c>
      <c r="G281" s="1258">
        <v>880.9</v>
      </c>
      <c r="H281" s="1258">
        <v>853.9</v>
      </c>
      <c r="I281" s="1258">
        <v>827.9</v>
      </c>
      <c r="J281" s="1258">
        <v>802.95</v>
      </c>
      <c r="K281" s="1258">
        <v>778.95</v>
      </c>
      <c r="L281" s="1258">
        <v>756</v>
      </c>
      <c r="M281" s="1258">
        <v>734.05</v>
      </c>
      <c r="N281" s="1258">
        <v>713.15</v>
      </c>
      <c r="O281" s="1258">
        <v>693.25</v>
      </c>
      <c r="P281" s="1258">
        <v>674.4</v>
      </c>
      <c r="Q281" s="1258">
        <v>0</v>
      </c>
      <c r="R281" s="1258">
        <v>0</v>
      </c>
      <c r="S281" s="1258">
        <v>0</v>
      </c>
      <c r="T281" s="1258">
        <v>0</v>
      </c>
      <c r="U281" s="1258">
        <v>0</v>
      </c>
      <c r="V281" s="1258">
        <v>0</v>
      </c>
      <c r="W281" s="1258">
        <v>0</v>
      </c>
      <c r="X281" s="1258">
        <v>0</v>
      </c>
      <c r="Y281" s="1258">
        <v>0</v>
      </c>
      <c r="Z281" s="1258">
        <v>0</v>
      </c>
      <c r="AA281" s="1258">
        <v>0</v>
      </c>
      <c r="AB281" s="1258">
        <v>0</v>
      </c>
      <c r="AC281" s="1258">
        <v>0</v>
      </c>
      <c r="AD281" s="1258">
        <v>0</v>
      </c>
      <c r="AE281" s="1258">
        <v>0</v>
      </c>
      <c r="AF281" s="1258">
        <v>0</v>
      </c>
      <c r="AG281" s="1258">
        <v>0</v>
      </c>
    </row>
    <row r="282" spans="2:138" ht="15" customHeight="1">
      <c r="B282" s="1254">
        <v>48</v>
      </c>
      <c r="C282" s="1258">
        <v>0</v>
      </c>
      <c r="D282" s="1258">
        <v>0</v>
      </c>
      <c r="E282" s="1258">
        <v>938.2</v>
      </c>
      <c r="F282" s="1258">
        <v>909.35</v>
      </c>
      <c r="G282" s="1258">
        <v>881.5</v>
      </c>
      <c r="H282" s="1258">
        <v>854.7</v>
      </c>
      <c r="I282" s="1258">
        <v>828.9</v>
      </c>
      <c r="J282" s="1258">
        <v>804.15</v>
      </c>
      <c r="K282" s="1258">
        <v>780.45</v>
      </c>
      <c r="L282" s="1258">
        <v>757.75</v>
      </c>
      <c r="M282" s="1258">
        <v>736.1</v>
      </c>
      <c r="N282" s="1258">
        <v>715.5</v>
      </c>
      <c r="O282" s="1258">
        <v>695.95</v>
      </c>
      <c r="P282" s="1258">
        <v>0</v>
      </c>
      <c r="Q282" s="1258">
        <v>0</v>
      </c>
      <c r="R282" s="1258">
        <v>0</v>
      </c>
      <c r="S282" s="1258">
        <v>0</v>
      </c>
      <c r="T282" s="1258">
        <v>0</v>
      </c>
      <c r="U282" s="1258">
        <v>0</v>
      </c>
      <c r="V282" s="1258">
        <v>0</v>
      </c>
      <c r="W282" s="1258">
        <v>0</v>
      </c>
      <c r="X282" s="1258">
        <v>0</v>
      </c>
      <c r="Y282" s="1258">
        <v>0</v>
      </c>
      <c r="Z282" s="1258">
        <v>0</v>
      </c>
      <c r="AA282" s="1258">
        <v>0</v>
      </c>
      <c r="AB282" s="1258">
        <v>0</v>
      </c>
      <c r="AC282" s="1258">
        <v>0</v>
      </c>
      <c r="AD282" s="1258">
        <v>0</v>
      </c>
      <c r="AE282" s="1258">
        <v>0</v>
      </c>
      <c r="AF282" s="1258">
        <v>0</v>
      </c>
      <c r="AG282" s="1258">
        <v>0</v>
      </c>
    </row>
    <row r="283" spans="2:138" ht="15" customHeight="1">
      <c r="B283" s="1254">
        <v>49</v>
      </c>
      <c r="C283" s="1258">
        <v>0</v>
      </c>
      <c r="D283" s="1258">
        <v>968.15</v>
      </c>
      <c r="E283" s="1258">
        <v>938.5</v>
      </c>
      <c r="F283" s="1258">
        <v>909.8</v>
      </c>
      <c r="G283" s="1258">
        <v>882.15</v>
      </c>
      <c r="H283" s="1258">
        <v>855.55</v>
      </c>
      <c r="I283" s="1258">
        <v>830</v>
      </c>
      <c r="J283" s="1258">
        <v>805.45</v>
      </c>
      <c r="K283" s="1258">
        <v>782</v>
      </c>
      <c r="L283" s="1258">
        <v>759.6</v>
      </c>
      <c r="M283" s="1258">
        <v>738.3</v>
      </c>
      <c r="N283" s="1258">
        <v>718</v>
      </c>
      <c r="O283" s="1258">
        <v>0</v>
      </c>
      <c r="P283" s="1258">
        <v>0</v>
      </c>
      <c r="Q283" s="1258">
        <v>0</v>
      </c>
      <c r="R283" s="1258">
        <v>0</v>
      </c>
      <c r="S283" s="1258">
        <v>0</v>
      </c>
      <c r="T283" s="1258">
        <v>0</v>
      </c>
      <c r="U283" s="1258">
        <v>0</v>
      </c>
      <c r="V283" s="1258">
        <v>0</v>
      </c>
      <c r="W283" s="1258">
        <v>0</v>
      </c>
      <c r="X283" s="1258">
        <v>0</v>
      </c>
      <c r="Y283" s="1258">
        <v>0</v>
      </c>
      <c r="Z283" s="1258">
        <v>0</v>
      </c>
      <c r="AA283" s="1258">
        <v>0</v>
      </c>
      <c r="AB283" s="1258">
        <v>0</v>
      </c>
      <c r="AC283" s="1258">
        <v>0</v>
      </c>
      <c r="AD283" s="1258">
        <v>0</v>
      </c>
      <c r="AE283" s="1258">
        <v>0</v>
      </c>
      <c r="AF283" s="1258">
        <v>0</v>
      </c>
      <c r="AG283" s="1258">
        <v>0</v>
      </c>
    </row>
    <row r="284" spans="2:138" ht="15" customHeight="1">
      <c r="B284" s="1254">
        <v>50</v>
      </c>
      <c r="C284" s="1258">
        <v>998.9</v>
      </c>
      <c r="D284" s="1258">
        <v>968.35</v>
      </c>
      <c r="E284" s="1258">
        <v>938.85</v>
      </c>
      <c r="F284" s="1258">
        <v>910.35</v>
      </c>
      <c r="G284" s="1258">
        <v>882.85</v>
      </c>
      <c r="H284" s="1258">
        <v>856.5</v>
      </c>
      <c r="I284" s="1258">
        <v>831.15</v>
      </c>
      <c r="J284" s="1258">
        <v>806.9</v>
      </c>
      <c r="K284" s="1258">
        <v>783.7</v>
      </c>
      <c r="L284" s="1258">
        <v>761.6</v>
      </c>
      <c r="M284" s="1258">
        <v>740.65</v>
      </c>
      <c r="N284" s="1258">
        <v>0</v>
      </c>
      <c r="O284" s="1258">
        <v>0</v>
      </c>
      <c r="P284" s="1258">
        <v>0</v>
      </c>
      <c r="Q284" s="1258">
        <v>0</v>
      </c>
      <c r="R284" s="1258">
        <v>0</v>
      </c>
      <c r="S284" s="1258">
        <v>0</v>
      </c>
      <c r="T284" s="1258">
        <v>0</v>
      </c>
      <c r="U284" s="1258">
        <v>0</v>
      </c>
      <c r="V284" s="1258">
        <v>0</v>
      </c>
      <c r="W284" s="1258">
        <v>0</v>
      </c>
      <c r="X284" s="1258">
        <v>0</v>
      </c>
      <c r="Y284" s="1258">
        <v>0</v>
      </c>
      <c r="Z284" s="1258">
        <v>0</v>
      </c>
      <c r="AA284" s="1258">
        <v>0</v>
      </c>
      <c r="AB284" s="1258">
        <v>0</v>
      </c>
      <c r="AC284" s="1258">
        <v>0</v>
      </c>
      <c r="AD284" s="1258">
        <v>0</v>
      </c>
      <c r="AE284" s="1258">
        <v>0</v>
      </c>
      <c r="AF284" s="1258">
        <v>0</v>
      </c>
      <c r="AG284" s="1258">
        <v>0</v>
      </c>
    </row>
    <row r="285" spans="2:138" ht="15" customHeight="1">
      <c r="B285" s="1254">
        <v>51</v>
      </c>
      <c r="C285" s="1258">
        <v>998.95</v>
      </c>
      <c r="D285" s="1258">
        <v>968.55</v>
      </c>
      <c r="E285" s="1258">
        <v>939.2</v>
      </c>
      <c r="F285" s="1258">
        <v>910.85</v>
      </c>
      <c r="G285" s="1258">
        <v>883.6</v>
      </c>
      <c r="H285" s="1258">
        <v>857.45</v>
      </c>
      <c r="I285" s="1258">
        <v>832.35</v>
      </c>
      <c r="J285" s="1258">
        <v>808.35</v>
      </c>
      <c r="K285" s="1258">
        <v>785.5</v>
      </c>
      <c r="L285" s="1258">
        <v>763.75</v>
      </c>
      <c r="M285" s="1258">
        <v>0</v>
      </c>
      <c r="N285" s="1258">
        <v>0</v>
      </c>
      <c r="O285" s="1258">
        <v>0</v>
      </c>
      <c r="P285" s="1258">
        <v>0</v>
      </c>
      <c r="Q285" s="1258">
        <v>0</v>
      </c>
      <c r="R285" s="1258">
        <v>0</v>
      </c>
      <c r="S285" s="1258">
        <v>0</v>
      </c>
      <c r="T285" s="1258">
        <v>0</v>
      </c>
      <c r="U285" s="1258">
        <v>0</v>
      </c>
      <c r="V285" s="1258">
        <v>0</v>
      </c>
      <c r="W285" s="1258">
        <v>0</v>
      </c>
      <c r="X285" s="1258">
        <v>0</v>
      </c>
      <c r="Y285" s="1258">
        <v>0</v>
      </c>
      <c r="Z285" s="1258">
        <v>0</v>
      </c>
      <c r="AA285" s="1258">
        <v>0</v>
      </c>
      <c r="AB285" s="1258">
        <v>0</v>
      </c>
      <c r="AC285" s="1258">
        <v>0</v>
      </c>
      <c r="AD285" s="1258">
        <v>0</v>
      </c>
      <c r="AE285" s="1258">
        <v>0</v>
      </c>
      <c r="AF285" s="1258">
        <v>0</v>
      </c>
      <c r="AG285" s="1258">
        <v>0</v>
      </c>
    </row>
    <row r="286" spans="2:138" ht="15" customHeight="1">
      <c r="B286" s="1254">
        <v>52</v>
      </c>
      <c r="C286" s="1258">
        <v>999.05</v>
      </c>
      <c r="D286" s="1258">
        <v>968.8</v>
      </c>
      <c r="E286" s="1258">
        <v>939.6</v>
      </c>
      <c r="F286" s="1258">
        <v>911.45</v>
      </c>
      <c r="G286" s="1258">
        <v>884.4</v>
      </c>
      <c r="H286" s="1258">
        <v>858.45</v>
      </c>
      <c r="I286" s="1258">
        <v>833.65</v>
      </c>
      <c r="J286" s="1258">
        <v>809.95</v>
      </c>
      <c r="K286" s="1258">
        <v>787.45</v>
      </c>
      <c r="L286" s="1258">
        <v>0</v>
      </c>
      <c r="M286" s="1258">
        <v>0</v>
      </c>
      <c r="N286" s="1258">
        <v>0</v>
      </c>
      <c r="O286" s="1258">
        <v>0</v>
      </c>
      <c r="P286" s="1258">
        <v>0</v>
      </c>
      <c r="Q286" s="1258">
        <v>0</v>
      </c>
      <c r="R286" s="1258">
        <v>0</v>
      </c>
      <c r="S286" s="1258">
        <v>0</v>
      </c>
      <c r="T286" s="1258">
        <v>0</v>
      </c>
      <c r="U286" s="1258">
        <v>0</v>
      </c>
      <c r="V286" s="1258">
        <v>0</v>
      </c>
      <c r="W286" s="1258">
        <v>0</v>
      </c>
      <c r="X286" s="1258">
        <v>0</v>
      </c>
      <c r="Y286" s="1258">
        <v>0</v>
      </c>
      <c r="Z286" s="1258">
        <v>0</v>
      </c>
      <c r="AA286" s="1258">
        <v>0</v>
      </c>
      <c r="AB286" s="1258">
        <v>0</v>
      </c>
      <c r="AC286" s="1258">
        <v>0</v>
      </c>
      <c r="AD286" s="1258">
        <v>0</v>
      </c>
      <c r="AE286" s="1258">
        <v>0</v>
      </c>
      <c r="AF286" s="1258">
        <v>0</v>
      </c>
      <c r="AG286" s="1258">
        <v>0</v>
      </c>
      <c r="CQ286" s="1205">
        <f>LOOKUP($B$1,$CP288:$CP330,CQ288:CQ330)</f>
        <v>0.22</v>
      </c>
      <c r="CR286" s="1205">
        <f t="shared" ref="CR286:DU286" si="40">LOOKUP($B$1,$CP288:$CP330,CR288:CR330)</f>
        <v>0.22</v>
      </c>
      <c r="CS286" s="1205">
        <f t="shared" si="40"/>
        <v>0.22</v>
      </c>
      <c r="CT286" s="1205">
        <f t="shared" si="40"/>
        <v>0.22</v>
      </c>
      <c r="CU286" s="1205">
        <f t="shared" si="40"/>
        <v>0.22</v>
      </c>
      <c r="CV286" s="1205">
        <f t="shared" si="40"/>
        <v>0.24</v>
      </c>
      <c r="CW286" s="1205">
        <f t="shared" si="40"/>
        <v>0.24</v>
      </c>
      <c r="CX286" s="1205">
        <f t="shared" si="40"/>
        <v>0.25</v>
      </c>
      <c r="CY286" s="1205">
        <f t="shared" si="40"/>
        <v>0.26</v>
      </c>
      <c r="CZ286" s="1205">
        <f t="shared" si="40"/>
        <v>0.26</v>
      </c>
      <c r="DA286" s="1205">
        <f t="shared" si="40"/>
        <v>0.28000000000000003</v>
      </c>
      <c r="DB286" s="1205">
        <f t="shared" si="40"/>
        <v>0.28999999999999998</v>
      </c>
      <c r="DC286" s="1205">
        <f t="shared" si="40"/>
        <v>0.3</v>
      </c>
      <c r="DD286" s="1205">
        <f t="shared" si="40"/>
        <v>0.31</v>
      </c>
      <c r="DE286" s="1205">
        <f t="shared" si="40"/>
        <v>0.32</v>
      </c>
      <c r="DF286" s="1205">
        <f t="shared" si="40"/>
        <v>0.33</v>
      </c>
      <c r="DG286" s="1205">
        <f t="shared" si="40"/>
        <v>0.35</v>
      </c>
      <c r="DH286" s="1205">
        <f t="shared" si="40"/>
        <v>0.36</v>
      </c>
      <c r="DI286" s="1205">
        <f t="shared" si="40"/>
        <v>0.38</v>
      </c>
      <c r="DJ286" s="1205">
        <f t="shared" si="40"/>
        <v>0.39</v>
      </c>
      <c r="DK286" s="1205">
        <f t="shared" si="40"/>
        <v>0.41</v>
      </c>
      <c r="DL286" s="1205">
        <f t="shared" si="40"/>
        <v>0.43</v>
      </c>
      <c r="DM286" s="1205">
        <f t="shared" si="40"/>
        <v>0.44</v>
      </c>
      <c r="DN286" s="1205">
        <f t="shared" si="40"/>
        <v>0.46</v>
      </c>
      <c r="DO286" s="1205">
        <f t="shared" si="40"/>
        <v>0.48</v>
      </c>
      <c r="DP286" s="1205">
        <f t="shared" si="40"/>
        <v>0.49</v>
      </c>
      <c r="DQ286" s="1205">
        <f t="shared" si="40"/>
        <v>0.51</v>
      </c>
      <c r="DR286" s="1205">
        <f t="shared" si="40"/>
        <v>0.53</v>
      </c>
      <c r="DS286" s="1205">
        <f t="shared" si="40"/>
        <v>0.54</v>
      </c>
      <c r="DT286" s="1205">
        <f t="shared" si="40"/>
        <v>0.56000000000000005</v>
      </c>
      <c r="DU286" s="1205">
        <f t="shared" si="40"/>
        <v>0.57999999999999996</v>
      </c>
    </row>
    <row r="287" spans="2:138" ht="15" customHeight="1">
      <c r="B287" s="1254">
        <v>53</v>
      </c>
      <c r="C287" s="1258">
        <v>999.15</v>
      </c>
      <c r="D287" s="1258">
        <v>969</v>
      </c>
      <c r="E287" s="1258">
        <v>940</v>
      </c>
      <c r="F287" s="1258">
        <v>912.05</v>
      </c>
      <c r="G287" s="1258">
        <v>885.25</v>
      </c>
      <c r="H287" s="1258">
        <v>859.55</v>
      </c>
      <c r="I287" s="1258">
        <v>835.05</v>
      </c>
      <c r="J287" s="1258">
        <v>811.7</v>
      </c>
      <c r="K287" s="1258">
        <v>0</v>
      </c>
      <c r="L287" s="1258">
        <v>0</v>
      </c>
      <c r="M287" s="1258">
        <v>0</v>
      </c>
      <c r="N287" s="1258">
        <v>0</v>
      </c>
      <c r="O287" s="1258">
        <v>0</v>
      </c>
      <c r="P287" s="1258">
        <v>0</v>
      </c>
      <c r="Q287" s="1258">
        <v>0</v>
      </c>
      <c r="R287" s="1258">
        <v>0</v>
      </c>
      <c r="S287" s="1258">
        <v>0</v>
      </c>
      <c r="T287" s="1258">
        <v>0</v>
      </c>
      <c r="U287" s="1258">
        <v>0</v>
      </c>
      <c r="V287" s="1258">
        <v>0</v>
      </c>
      <c r="W287" s="1258">
        <v>0</v>
      </c>
      <c r="X287" s="1258">
        <v>0</v>
      </c>
      <c r="Y287" s="1258">
        <v>0</v>
      </c>
      <c r="Z287" s="1258">
        <v>0</v>
      </c>
      <c r="AA287" s="1258">
        <v>0</v>
      </c>
      <c r="AB287" s="1258">
        <v>0</v>
      </c>
      <c r="AC287" s="1258">
        <v>0</v>
      </c>
      <c r="AD287" s="1258">
        <v>0</v>
      </c>
      <c r="AE287" s="1258">
        <v>0</v>
      </c>
      <c r="AF287" s="1258">
        <v>0</v>
      </c>
      <c r="AG287" s="1258">
        <v>0</v>
      </c>
      <c r="CP287" s="1266">
        <v>823</v>
      </c>
      <c r="CQ287" s="1238">
        <v>5</v>
      </c>
      <c r="CR287" s="1238">
        <v>6</v>
      </c>
      <c r="CS287" s="1238">
        <v>7</v>
      </c>
      <c r="CT287" s="1238">
        <v>8</v>
      </c>
      <c r="CU287" s="1238">
        <v>9</v>
      </c>
      <c r="CV287" s="1238">
        <v>10</v>
      </c>
      <c r="CW287" s="1238">
        <v>11</v>
      </c>
      <c r="CX287" s="1238">
        <v>12</v>
      </c>
      <c r="CY287" s="1238">
        <v>13</v>
      </c>
      <c r="CZ287" s="1238">
        <v>14</v>
      </c>
      <c r="DA287" s="1238">
        <v>15</v>
      </c>
      <c r="DB287" s="1238">
        <v>16</v>
      </c>
      <c r="DC287" s="1238">
        <v>17</v>
      </c>
      <c r="DD287" s="1238">
        <v>18</v>
      </c>
      <c r="DE287" s="1238">
        <v>19</v>
      </c>
      <c r="DF287" s="1238">
        <v>20</v>
      </c>
      <c r="DG287" s="1238">
        <v>21</v>
      </c>
      <c r="DH287" s="1238">
        <v>22</v>
      </c>
      <c r="DI287" s="1238">
        <v>23</v>
      </c>
      <c r="DJ287" s="1238">
        <v>24</v>
      </c>
      <c r="DK287" s="1238">
        <v>25</v>
      </c>
      <c r="DL287" s="1238">
        <v>26</v>
      </c>
      <c r="DM287" s="1238">
        <v>27</v>
      </c>
      <c r="DN287" s="1238">
        <v>28</v>
      </c>
      <c r="DO287" s="1238">
        <v>29</v>
      </c>
      <c r="DP287" s="1238">
        <v>30</v>
      </c>
      <c r="DQ287" s="1238">
        <v>31</v>
      </c>
      <c r="DR287" s="1238">
        <v>32</v>
      </c>
      <c r="DS287" s="1238">
        <v>33</v>
      </c>
      <c r="DT287" s="1238">
        <v>34</v>
      </c>
      <c r="DU287" s="1238">
        <v>35</v>
      </c>
    </row>
    <row r="288" spans="2:138" ht="15" customHeight="1">
      <c r="B288" s="1254">
        <v>54</v>
      </c>
      <c r="C288" s="1258">
        <v>999.2</v>
      </c>
      <c r="D288" s="1258">
        <v>969.25</v>
      </c>
      <c r="E288" s="1258">
        <v>940.4</v>
      </c>
      <c r="F288" s="1258">
        <v>912.65</v>
      </c>
      <c r="G288" s="1258">
        <v>886.1</v>
      </c>
      <c r="H288" s="1258">
        <v>860.7</v>
      </c>
      <c r="I288" s="1258">
        <v>836.5</v>
      </c>
      <c r="J288" s="1258">
        <v>0</v>
      </c>
      <c r="K288" s="1258">
        <v>0</v>
      </c>
      <c r="L288" s="1258">
        <v>0</v>
      </c>
      <c r="M288" s="1258">
        <v>0</v>
      </c>
      <c r="N288" s="1258">
        <v>0</v>
      </c>
      <c r="O288" s="1258">
        <v>0</v>
      </c>
      <c r="P288" s="1258">
        <v>0</v>
      </c>
      <c r="Q288" s="1258">
        <v>0</v>
      </c>
      <c r="R288" s="1258">
        <v>0</v>
      </c>
      <c r="S288" s="1258">
        <v>0</v>
      </c>
      <c r="T288" s="1258">
        <v>0</v>
      </c>
      <c r="U288" s="1258">
        <v>0</v>
      </c>
      <c r="V288" s="1258">
        <v>0</v>
      </c>
      <c r="W288" s="1258">
        <v>0</v>
      </c>
      <c r="X288" s="1258">
        <v>0</v>
      </c>
      <c r="Y288" s="1258">
        <v>0</v>
      </c>
      <c r="Z288" s="1258">
        <v>0</v>
      </c>
      <c r="AA288" s="1258">
        <v>0</v>
      </c>
      <c r="AB288" s="1258">
        <v>0</v>
      </c>
      <c r="AC288" s="1258">
        <v>0</v>
      </c>
      <c r="AD288" s="1258">
        <v>0</v>
      </c>
      <c r="AE288" s="1258">
        <v>0</v>
      </c>
      <c r="AF288" s="1258">
        <v>0</v>
      </c>
      <c r="AG288" s="1258">
        <v>0</v>
      </c>
      <c r="CP288" s="1238">
        <v>18</v>
      </c>
      <c r="CQ288" s="1239">
        <v>0.17</v>
      </c>
      <c r="CR288" s="1239">
        <v>0.17</v>
      </c>
      <c r="CS288" s="1239">
        <v>0.17</v>
      </c>
      <c r="CT288" s="1239">
        <v>0.17</v>
      </c>
      <c r="CU288" s="1239">
        <v>0.17</v>
      </c>
      <c r="CV288" s="1239">
        <v>0.17</v>
      </c>
      <c r="CW288" s="1239">
        <v>0.17</v>
      </c>
      <c r="CX288" s="1239">
        <v>0.17</v>
      </c>
      <c r="CY288" s="1239">
        <v>0.18</v>
      </c>
      <c r="CZ288" s="1239">
        <v>0.18</v>
      </c>
      <c r="DA288" s="1239">
        <v>0.18</v>
      </c>
      <c r="DB288" s="1239">
        <v>0.18</v>
      </c>
      <c r="DC288" s="1239">
        <v>0.18</v>
      </c>
      <c r="DD288" s="1239">
        <v>0.18</v>
      </c>
      <c r="DE288" s="1239">
        <v>0.18</v>
      </c>
      <c r="DF288" s="1239">
        <v>0.19</v>
      </c>
      <c r="DG288" s="1239">
        <v>0.19</v>
      </c>
      <c r="DH288" s="1239">
        <v>0.19</v>
      </c>
      <c r="DI288" s="1239">
        <v>0.2</v>
      </c>
      <c r="DJ288" s="1239">
        <v>0.2</v>
      </c>
      <c r="DK288" s="1239">
        <v>0.2</v>
      </c>
      <c r="DL288" s="1239">
        <v>0.2</v>
      </c>
      <c r="DM288" s="1239">
        <v>0.21</v>
      </c>
      <c r="DN288" s="1239">
        <v>0.22</v>
      </c>
      <c r="DO288" s="1239">
        <v>0.22</v>
      </c>
      <c r="DP288" s="1239">
        <v>0.22</v>
      </c>
      <c r="DQ288" s="1239">
        <v>0.23</v>
      </c>
      <c r="DR288" s="1239">
        <v>0.24</v>
      </c>
      <c r="DS288" s="1239">
        <v>0.24</v>
      </c>
      <c r="DT288" s="1239">
        <v>0.25</v>
      </c>
      <c r="DU288" s="1239">
        <v>0.26</v>
      </c>
    </row>
    <row r="289" spans="2:125" ht="15" customHeight="1">
      <c r="B289" s="1254">
        <v>55</v>
      </c>
      <c r="C289" s="1258">
        <v>999.3</v>
      </c>
      <c r="D289" s="1258">
        <v>969.5</v>
      </c>
      <c r="E289" s="1258">
        <v>940.85</v>
      </c>
      <c r="F289" s="1258">
        <v>913.35</v>
      </c>
      <c r="G289" s="1258">
        <v>887.05</v>
      </c>
      <c r="H289" s="1258">
        <v>861.95</v>
      </c>
      <c r="I289" s="1258">
        <v>0</v>
      </c>
      <c r="J289" s="1258">
        <v>0</v>
      </c>
      <c r="K289" s="1258">
        <v>0</v>
      </c>
      <c r="L289" s="1258">
        <v>0</v>
      </c>
      <c r="M289" s="1258">
        <v>0</v>
      </c>
      <c r="N289" s="1258">
        <v>0</v>
      </c>
      <c r="O289" s="1258">
        <v>0</v>
      </c>
      <c r="P289" s="1258">
        <v>0</v>
      </c>
      <c r="Q289" s="1258">
        <v>0</v>
      </c>
      <c r="R289" s="1258">
        <v>0</v>
      </c>
      <c r="S289" s="1258">
        <v>0</v>
      </c>
      <c r="T289" s="1258">
        <v>0</v>
      </c>
      <c r="U289" s="1258">
        <v>0</v>
      </c>
      <c r="V289" s="1258">
        <v>0</v>
      </c>
      <c r="W289" s="1258">
        <v>0</v>
      </c>
      <c r="X289" s="1258">
        <v>0</v>
      </c>
      <c r="Y289" s="1258">
        <v>0</v>
      </c>
      <c r="Z289" s="1258">
        <v>0</v>
      </c>
      <c r="AA289" s="1258">
        <v>0</v>
      </c>
      <c r="AB289" s="1258">
        <v>0</v>
      </c>
      <c r="AC289" s="1258">
        <v>0</v>
      </c>
      <c r="AD289" s="1258">
        <v>0</v>
      </c>
      <c r="AE289" s="1258">
        <v>0</v>
      </c>
      <c r="AF289" s="1258">
        <v>0</v>
      </c>
      <c r="AG289" s="1258">
        <v>0</v>
      </c>
      <c r="CP289" s="1238">
        <v>19</v>
      </c>
      <c r="CQ289" s="1239">
        <v>0.18</v>
      </c>
      <c r="CR289" s="1239">
        <v>0.18</v>
      </c>
      <c r="CS289" s="1239">
        <v>0.18</v>
      </c>
      <c r="CT289" s="1239">
        <v>0.18</v>
      </c>
      <c r="CU289" s="1239">
        <v>0.18</v>
      </c>
      <c r="CV289" s="1239">
        <v>0.18</v>
      </c>
      <c r="CW289" s="1239">
        <v>0.18</v>
      </c>
      <c r="CX289" s="1239">
        <v>0.18</v>
      </c>
      <c r="CY289" s="1239">
        <v>0.18</v>
      </c>
      <c r="CZ289" s="1239">
        <v>0.18</v>
      </c>
      <c r="DA289" s="1239">
        <v>0.19</v>
      </c>
      <c r="DB289" s="1239">
        <v>0.19</v>
      </c>
      <c r="DC289" s="1239">
        <v>0.19</v>
      </c>
      <c r="DD289" s="1239">
        <v>0.19</v>
      </c>
      <c r="DE289" s="1239">
        <v>0.19</v>
      </c>
      <c r="DF289" s="1239">
        <v>0.19</v>
      </c>
      <c r="DG289" s="1239">
        <v>0.2</v>
      </c>
      <c r="DH289" s="1239">
        <v>0.2</v>
      </c>
      <c r="DI289" s="1239">
        <v>0.2</v>
      </c>
      <c r="DJ289" s="1239">
        <v>0.21</v>
      </c>
      <c r="DK289" s="1239">
        <v>0.21</v>
      </c>
      <c r="DL289" s="1239">
        <v>0.22</v>
      </c>
      <c r="DM289" s="1239">
        <v>0.22</v>
      </c>
      <c r="DN289" s="1239">
        <v>0.22</v>
      </c>
      <c r="DO289" s="1239">
        <v>0.23</v>
      </c>
      <c r="DP289" s="1239">
        <v>0.24</v>
      </c>
      <c r="DQ289" s="1239">
        <v>0.24</v>
      </c>
      <c r="DR289" s="1239">
        <v>0.25</v>
      </c>
      <c r="DS289" s="1239">
        <v>0.26</v>
      </c>
      <c r="DT289" s="1239">
        <v>0.27</v>
      </c>
      <c r="DU289" s="1239">
        <v>0.28000000000000003</v>
      </c>
    </row>
    <row r="290" spans="2:125" ht="15" customHeight="1">
      <c r="B290" s="1254">
        <v>56</v>
      </c>
      <c r="C290" s="1258">
        <v>999.4</v>
      </c>
      <c r="D290" s="1258">
        <v>969.8</v>
      </c>
      <c r="E290" s="1258">
        <v>941.3</v>
      </c>
      <c r="F290" s="1258">
        <v>914.1</v>
      </c>
      <c r="G290" s="1258">
        <v>888.05</v>
      </c>
      <c r="H290" s="1258">
        <v>0</v>
      </c>
      <c r="I290" s="1258">
        <v>0</v>
      </c>
      <c r="J290" s="1258">
        <v>0</v>
      </c>
      <c r="K290" s="1258">
        <v>0</v>
      </c>
      <c r="L290" s="1258">
        <v>0</v>
      </c>
      <c r="M290" s="1258">
        <v>0</v>
      </c>
      <c r="N290" s="1258">
        <v>0</v>
      </c>
      <c r="O290" s="1258">
        <v>0</v>
      </c>
      <c r="P290" s="1258">
        <v>0</v>
      </c>
      <c r="Q290" s="1258">
        <v>0</v>
      </c>
      <c r="R290" s="1258">
        <v>0</v>
      </c>
      <c r="S290" s="1258">
        <v>0</v>
      </c>
      <c r="T290" s="1258">
        <v>0</v>
      </c>
      <c r="U290" s="1258">
        <v>0</v>
      </c>
      <c r="V290" s="1258">
        <v>0</v>
      </c>
      <c r="W290" s="1258">
        <v>0</v>
      </c>
      <c r="X290" s="1258">
        <v>0</v>
      </c>
      <c r="Y290" s="1258">
        <v>0</v>
      </c>
      <c r="Z290" s="1258">
        <v>0</v>
      </c>
      <c r="AA290" s="1258">
        <v>0</v>
      </c>
      <c r="AB290" s="1258">
        <v>0</v>
      </c>
      <c r="AC290" s="1258">
        <v>0</v>
      </c>
      <c r="AD290" s="1258">
        <v>0</v>
      </c>
      <c r="AE290" s="1258">
        <v>0</v>
      </c>
      <c r="AF290" s="1258">
        <v>0</v>
      </c>
      <c r="AG290" s="1258">
        <v>0</v>
      </c>
      <c r="CP290" s="1238">
        <v>20</v>
      </c>
      <c r="CQ290" s="1239">
        <v>0.19</v>
      </c>
      <c r="CR290" s="1239">
        <v>0.19</v>
      </c>
      <c r="CS290" s="1239">
        <v>0.19</v>
      </c>
      <c r="CT290" s="1239">
        <v>0.19</v>
      </c>
      <c r="CU290" s="1239">
        <v>0.19</v>
      </c>
      <c r="CV290" s="1239">
        <v>0.19</v>
      </c>
      <c r="CW290" s="1239">
        <v>0.19</v>
      </c>
      <c r="CX290" s="1239">
        <v>0.19</v>
      </c>
      <c r="CY290" s="1239">
        <v>0.19</v>
      </c>
      <c r="CZ290" s="1239">
        <v>0.19</v>
      </c>
      <c r="DA290" s="1239">
        <v>0.19</v>
      </c>
      <c r="DB290" s="1239">
        <v>0.19</v>
      </c>
      <c r="DC290" s="1239">
        <v>0.19</v>
      </c>
      <c r="DD290" s="1239">
        <v>0.19</v>
      </c>
      <c r="DE290" s="1239">
        <v>0.2</v>
      </c>
      <c r="DF290" s="1239">
        <v>0.2</v>
      </c>
      <c r="DG290" s="1239">
        <v>0.2</v>
      </c>
      <c r="DH290" s="1239">
        <v>0.21</v>
      </c>
      <c r="DI290" s="1239">
        <v>0.21</v>
      </c>
      <c r="DJ290" s="1239">
        <v>0.22</v>
      </c>
      <c r="DK290" s="1239">
        <v>0.22</v>
      </c>
      <c r="DL290" s="1239">
        <v>0.23</v>
      </c>
      <c r="DM290" s="1239">
        <v>0.23</v>
      </c>
      <c r="DN290" s="1239">
        <v>0.24</v>
      </c>
      <c r="DO290" s="1239">
        <v>0.24</v>
      </c>
      <c r="DP290" s="1239">
        <v>0.25</v>
      </c>
      <c r="DQ290" s="1239">
        <v>0.26</v>
      </c>
      <c r="DR290" s="1239">
        <v>0.27</v>
      </c>
      <c r="DS290" s="1239">
        <v>0.27</v>
      </c>
      <c r="DT290" s="1239">
        <v>0.28000000000000003</v>
      </c>
      <c r="DU290" s="1239">
        <v>0.28999999999999998</v>
      </c>
    </row>
    <row r="291" spans="2:125" ht="15" customHeight="1">
      <c r="B291" s="1254">
        <v>57</v>
      </c>
      <c r="C291" s="1258">
        <v>999.5</v>
      </c>
      <c r="D291" s="1258">
        <v>970.05</v>
      </c>
      <c r="E291" s="1258">
        <v>941.85</v>
      </c>
      <c r="F291" s="1258">
        <v>914.9</v>
      </c>
      <c r="G291" s="1258">
        <v>0</v>
      </c>
      <c r="H291" s="1258">
        <v>0</v>
      </c>
      <c r="I291" s="1258">
        <v>0</v>
      </c>
      <c r="J291" s="1258">
        <v>0</v>
      </c>
      <c r="K291" s="1258">
        <v>0</v>
      </c>
      <c r="L291" s="1258">
        <v>0</v>
      </c>
      <c r="M291" s="1258">
        <v>0</v>
      </c>
      <c r="N291" s="1258">
        <v>0</v>
      </c>
      <c r="O291" s="1258">
        <v>0</v>
      </c>
      <c r="P291" s="1258">
        <v>0</v>
      </c>
      <c r="Q291" s="1258">
        <v>0</v>
      </c>
      <c r="R291" s="1258">
        <v>0</v>
      </c>
      <c r="S291" s="1258">
        <v>0</v>
      </c>
      <c r="T291" s="1258">
        <v>0</v>
      </c>
      <c r="U291" s="1258">
        <v>0</v>
      </c>
      <c r="V291" s="1258">
        <v>0</v>
      </c>
      <c r="W291" s="1258">
        <v>0</v>
      </c>
      <c r="X291" s="1258">
        <v>0</v>
      </c>
      <c r="Y291" s="1258">
        <v>0</v>
      </c>
      <c r="Z291" s="1258">
        <v>0</v>
      </c>
      <c r="AA291" s="1258">
        <v>0</v>
      </c>
      <c r="AB291" s="1258">
        <v>0</v>
      </c>
      <c r="AC291" s="1258">
        <v>0</v>
      </c>
      <c r="AD291" s="1258">
        <v>0</v>
      </c>
      <c r="AE291" s="1258">
        <v>0</v>
      </c>
      <c r="AF291" s="1258">
        <v>0</v>
      </c>
      <c r="AG291" s="1258">
        <v>0</v>
      </c>
      <c r="CP291" s="1238">
        <v>21</v>
      </c>
      <c r="CQ291" s="1239">
        <v>0.2</v>
      </c>
      <c r="CR291" s="1239">
        <v>0.2</v>
      </c>
      <c r="CS291" s="1239">
        <v>0.2</v>
      </c>
      <c r="CT291" s="1239">
        <v>0.2</v>
      </c>
      <c r="CU291" s="1239">
        <v>0.2</v>
      </c>
      <c r="CV291" s="1239">
        <v>0.2</v>
      </c>
      <c r="CW291" s="1239">
        <v>0.2</v>
      </c>
      <c r="CX291" s="1239">
        <v>0.2</v>
      </c>
      <c r="CY291" s="1239">
        <v>0.2</v>
      </c>
      <c r="CZ291" s="1239">
        <v>0.2</v>
      </c>
      <c r="DA291" s="1239">
        <v>0.2</v>
      </c>
      <c r="DB291" s="1239">
        <v>0.2</v>
      </c>
      <c r="DC291" s="1239">
        <v>0.2</v>
      </c>
      <c r="DD291" s="1239">
        <v>0.2</v>
      </c>
      <c r="DE291" s="1239">
        <v>0.2</v>
      </c>
      <c r="DF291" s="1239">
        <v>0.21</v>
      </c>
      <c r="DG291" s="1239">
        <v>0.21</v>
      </c>
      <c r="DH291" s="1239">
        <v>0.21</v>
      </c>
      <c r="DI291" s="1239">
        <v>0.22</v>
      </c>
      <c r="DJ291" s="1239">
        <v>0.22</v>
      </c>
      <c r="DK291" s="1239">
        <v>0.23</v>
      </c>
      <c r="DL291" s="1239">
        <v>0.23</v>
      </c>
      <c r="DM291" s="1239">
        <v>0.24</v>
      </c>
      <c r="DN291" s="1239">
        <v>0.25</v>
      </c>
      <c r="DO291" s="1239">
        <v>0.26</v>
      </c>
      <c r="DP291" s="1239">
        <v>0.27</v>
      </c>
      <c r="DQ291" s="1239">
        <v>0.27</v>
      </c>
      <c r="DR291" s="1239">
        <v>0.28000000000000003</v>
      </c>
      <c r="DS291" s="1239">
        <v>0.28999999999999998</v>
      </c>
      <c r="DT291" s="1239">
        <v>0.3</v>
      </c>
      <c r="DU291" s="1239">
        <v>0.31</v>
      </c>
    </row>
    <row r="292" spans="2:125" ht="15" customHeight="1">
      <c r="B292" s="1254">
        <v>58</v>
      </c>
      <c r="C292" s="1258">
        <v>999.65</v>
      </c>
      <c r="D292" s="1258">
        <v>970.4</v>
      </c>
      <c r="E292" s="1258">
        <v>942.45</v>
      </c>
      <c r="F292" s="1258">
        <v>0</v>
      </c>
      <c r="G292" s="1258">
        <v>0</v>
      </c>
      <c r="H292" s="1258">
        <v>0</v>
      </c>
      <c r="I292" s="1258">
        <v>0</v>
      </c>
      <c r="J292" s="1258">
        <v>0</v>
      </c>
      <c r="K292" s="1258">
        <v>0</v>
      </c>
      <c r="L292" s="1258">
        <v>0</v>
      </c>
      <c r="M292" s="1258">
        <v>0</v>
      </c>
      <c r="N292" s="1258">
        <v>0</v>
      </c>
      <c r="O292" s="1258">
        <v>0</v>
      </c>
      <c r="P292" s="1258">
        <v>0</v>
      </c>
      <c r="Q292" s="1258">
        <v>0</v>
      </c>
      <c r="R292" s="1258">
        <v>0</v>
      </c>
      <c r="S292" s="1258">
        <v>0</v>
      </c>
      <c r="T292" s="1258">
        <v>0</v>
      </c>
      <c r="U292" s="1258">
        <v>0</v>
      </c>
      <c r="V292" s="1258">
        <v>0</v>
      </c>
      <c r="W292" s="1258">
        <v>0</v>
      </c>
      <c r="X292" s="1258">
        <v>0</v>
      </c>
      <c r="Y292" s="1258">
        <v>0</v>
      </c>
      <c r="Z292" s="1258">
        <v>0</v>
      </c>
      <c r="AA292" s="1258">
        <v>0</v>
      </c>
      <c r="AB292" s="1258">
        <v>0</v>
      </c>
      <c r="AC292" s="1258">
        <v>0</v>
      </c>
      <c r="AD292" s="1258">
        <v>0</v>
      </c>
      <c r="AE292" s="1258">
        <v>0</v>
      </c>
      <c r="AF292" s="1258">
        <v>0</v>
      </c>
      <c r="AG292" s="1258">
        <v>0</v>
      </c>
      <c r="CP292" s="1238">
        <v>22</v>
      </c>
      <c r="CQ292" s="1239">
        <v>0.2</v>
      </c>
      <c r="CR292" s="1239">
        <v>0.2</v>
      </c>
      <c r="CS292" s="1239">
        <v>0.2</v>
      </c>
      <c r="CT292" s="1239">
        <v>0.2</v>
      </c>
      <c r="CU292" s="1239">
        <v>0.2</v>
      </c>
      <c r="CV292" s="1239">
        <v>0.2</v>
      </c>
      <c r="CW292" s="1239">
        <v>0.2</v>
      </c>
      <c r="CX292" s="1239">
        <v>0.2</v>
      </c>
      <c r="CY292" s="1239">
        <v>0.2</v>
      </c>
      <c r="CZ292" s="1239">
        <v>0.2</v>
      </c>
      <c r="DA292" s="1239">
        <v>0.2</v>
      </c>
      <c r="DB292" s="1239">
        <v>0.2</v>
      </c>
      <c r="DC292" s="1239">
        <v>0.2</v>
      </c>
      <c r="DD292" s="1239">
        <v>0.21</v>
      </c>
      <c r="DE292" s="1239">
        <v>0.21</v>
      </c>
      <c r="DF292" s="1239">
        <v>0.21</v>
      </c>
      <c r="DG292" s="1239">
        <v>0.22</v>
      </c>
      <c r="DH292" s="1239">
        <v>0.22</v>
      </c>
      <c r="DI292" s="1239">
        <v>0.23</v>
      </c>
      <c r="DJ292" s="1239">
        <v>0.23</v>
      </c>
      <c r="DK292" s="1239">
        <v>0.24</v>
      </c>
      <c r="DL292" s="1239">
        <v>0.25</v>
      </c>
      <c r="DM292" s="1239">
        <v>0.25</v>
      </c>
      <c r="DN292" s="1239">
        <v>0.26</v>
      </c>
      <c r="DO292" s="1239">
        <v>0.27</v>
      </c>
      <c r="DP292" s="1239">
        <v>0.28000000000000003</v>
      </c>
      <c r="DQ292" s="1239">
        <v>0.28999999999999998</v>
      </c>
      <c r="DR292" s="1239">
        <v>0.3</v>
      </c>
      <c r="DS292" s="1239">
        <v>0.31</v>
      </c>
      <c r="DT292" s="1239">
        <v>0.32</v>
      </c>
      <c r="DU292" s="1239">
        <v>0.33</v>
      </c>
    </row>
    <row r="293" spans="2:125" ht="15" customHeight="1">
      <c r="B293" s="1254">
        <v>59</v>
      </c>
      <c r="C293" s="1258">
        <v>999.75</v>
      </c>
      <c r="D293" s="1258">
        <v>970.75</v>
      </c>
      <c r="E293" s="1258">
        <v>0</v>
      </c>
      <c r="F293" s="1258">
        <v>0</v>
      </c>
      <c r="G293" s="1258">
        <v>0</v>
      </c>
      <c r="H293" s="1258">
        <v>0</v>
      </c>
      <c r="I293" s="1258">
        <v>0</v>
      </c>
      <c r="J293" s="1258">
        <v>0</v>
      </c>
      <c r="K293" s="1258">
        <v>0</v>
      </c>
      <c r="L293" s="1258">
        <v>0</v>
      </c>
      <c r="M293" s="1258">
        <v>0</v>
      </c>
      <c r="N293" s="1258">
        <v>0</v>
      </c>
      <c r="O293" s="1258">
        <v>0</v>
      </c>
      <c r="P293" s="1258">
        <v>0</v>
      </c>
      <c r="Q293" s="1258">
        <v>0</v>
      </c>
      <c r="R293" s="1258">
        <v>0</v>
      </c>
      <c r="S293" s="1258">
        <v>0</v>
      </c>
      <c r="T293" s="1258">
        <v>0</v>
      </c>
      <c r="U293" s="1258">
        <v>0</v>
      </c>
      <c r="V293" s="1258">
        <v>0</v>
      </c>
      <c r="W293" s="1258">
        <v>0</v>
      </c>
      <c r="X293" s="1258">
        <v>0</v>
      </c>
      <c r="Y293" s="1258">
        <v>0</v>
      </c>
      <c r="Z293" s="1258">
        <v>0</v>
      </c>
      <c r="AA293" s="1258">
        <v>0</v>
      </c>
      <c r="AB293" s="1258">
        <v>0</v>
      </c>
      <c r="AC293" s="1258">
        <v>0</v>
      </c>
      <c r="AD293" s="1258">
        <v>0</v>
      </c>
      <c r="AE293" s="1258">
        <v>0</v>
      </c>
      <c r="AF293" s="1258">
        <v>0</v>
      </c>
      <c r="AG293" s="1258">
        <v>0</v>
      </c>
      <c r="CP293" s="1238">
        <v>23</v>
      </c>
      <c r="CQ293" s="1239">
        <v>0.2</v>
      </c>
      <c r="CR293" s="1239">
        <v>0.2</v>
      </c>
      <c r="CS293" s="1239">
        <v>0.2</v>
      </c>
      <c r="CT293" s="1239">
        <v>0.2</v>
      </c>
      <c r="CU293" s="1239">
        <v>0.2</v>
      </c>
      <c r="CV293" s="1239">
        <v>0.2</v>
      </c>
      <c r="CW293" s="1239">
        <v>0.2</v>
      </c>
      <c r="CX293" s="1239">
        <v>0.2</v>
      </c>
      <c r="CY293" s="1239">
        <v>0.2</v>
      </c>
      <c r="CZ293" s="1239">
        <v>0.2</v>
      </c>
      <c r="DA293" s="1239">
        <v>0.2</v>
      </c>
      <c r="DB293" s="1239">
        <v>0.2</v>
      </c>
      <c r="DC293" s="1239">
        <v>0.21</v>
      </c>
      <c r="DD293" s="1239">
        <v>0.21</v>
      </c>
      <c r="DE293" s="1239">
        <v>0.22</v>
      </c>
      <c r="DF293" s="1239">
        <v>0.22</v>
      </c>
      <c r="DG293" s="1239">
        <v>0.23</v>
      </c>
      <c r="DH293" s="1239">
        <v>0.23</v>
      </c>
      <c r="DI293" s="1239">
        <v>0.24</v>
      </c>
      <c r="DJ293" s="1239">
        <v>0.25</v>
      </c>
      <c r="DK293" s="1239">
        <v>0.25</v>
      </c>
      <c r="DL293" s="1239">
        <v>0.26</v>
      </c>
      <c r="DM293" s="1239">
        <v>0.27</v>
      </c>
      <c r="DN293" s="1239">
        <v>0.28000000000000003</v>
      </c>
      <c r="DO293" s="1239">
        <v>0.28999999999999998</v>
      </c>
      <c r="DP293" s="1239">
        <v>0.3</v>
      </c>
      <c r="DQ293" s="1239">
        <v>0.31</v>
      </c>
      <c r="DR293" s="1239">
        <v>0.32</v>
      </c>
      <c r="DS293" s="1239">
        <v>0.33</v>
      </c>
      <c r="DT293" s="1239">
        <v>0.34</v>
      </c>
      <c r="DU293" s="1239">
        <v>0.35</v>
      </c>
    </row>
    <row r="294" spans="2:125" ht="15" customHeight="1">
      <c r="B294" s="1254">
        <v>60</v>
      </c>
      <c r="C294" s="1258">
        <v>999.95</v>
      </c>
      <c r="D294" s="1258">
        <v>0</v>
      </c>
      <c r="E294" s="1258">
        <v>0</v>
      </c>
      <c r="F294" s="1258">
        <v>0</v>
      </c>
      <c r="G294" s="1258">
        <v>0</v>
      </c>
      <c r="H294" s="1258">
        <v>0</v>
      </c>
      <c r="I294" s="1258">
        <v>0</v>
      </c>
      <c r="J294" s="1258">
        <v>0</v>
      </c>
      <c r="K294" s="1258">
        <v>0</v>
      </c>
      <c r="L294" s="1258">
        <v>0</v>
      </c>
      <c r="M294" s="1258">
        <v>0</v>
      </c>
      <c r="N294" s="1258">
        <v>0</v>
      </c>
      <c r="O294" s="1258">
        <v>0</v>
      </c>
      <c r="P294" s="1258">
        <v>0</v>
      </c>
      <c r="Q294" s="1258">
        <v>0</v>
      </c>
      <c r="R294" s="1258">
        <v>0</v>
      </c>
      <c r="S294" s="1258">
        <v>0</v>
      </c>
      <c r="T294" s="1258">
        <v>0</v>
      </c>
      <c r="U294" s="1258">
        <v>0</v>
      </c>
      <c r="V294" s="1258">
        <v>0</v>
      </c>
      <c r="W294" s="1258">
        <v>0</v>
      </c>
      <c r="X294" s="1258">
        <v>0</v>
      </c>
      <c r="Y294" s="1258">
        <v>0</v>
      </c>
      <c r="Z294" s="1258">
        <v>0</v>
      </c>
      <c r="AA294" s="1258">
        <v>0</v>
      </c>
      <c r="AB294" s="1258">
        <v>0</v>
      </c>
      <c r="AC294" s="1258">
        <v>0</v>
      </c>
      <c r="AD294" s="1258">
        <v>0</v>
      </c>
      <c r="AE294" s="1258">
        <v>0</v>
      </c>
      <c r="AF294" s="1258">
        <v>0</v>
      </c>
      <c r="AG294" s="1258">
        <v>0</v>
      </c>
      <c r="CP294" s="1238">
        <v>24</v>
      </c>
      <c r="CQ294" s="1239">
        <v>0.21</v>
      </c>
      <c r="CR294" s="1239">
        <v>0.21</v>
      </c>
      <c r="CS294" s="1239">
        <v>0.21</v>
      </c>
      <c r="CT294" s="1239">
        <v>0.21</v>
      </c>
      <c r="CU294" s="1239">
        <v>0.21</v>
      </c>
      <c r="CV294" s="1239">
        <v>0.21</v>
      </c>
      <c r="CW294" s="1239">
        <v>0.21</v>
      </c>
      <c r="CX294" s="1239">
        <v>0.21</v>
      </c>
      <c r="CY294" s="1239">
        <v>0.21</v>
      </c>
      <c r="CZ294" s="1239">
        <v>0.21</v>
      </c>
      <c r="DA294" s="1239">
        <v>0.21</v>
      </c>
      <c r="DB294" s="1239">
        <v>0.21</v>
      </c>
      <c r="DC294" s="1239">
        <v>0.22</v>
      </c>
      <c r="DD294" s="1239">
        <v>0.22</v>
      </c>
      <c r="DE294" s="1239">
        <v>0.23</v>
      </c>
      <c r="DF294" s="1239">
        <v>0.23</v>
      </c>
      <c r="DG294" s="1239">
        <v>0.24</v>
      </c>
      <c r="DH294" s="1239">
        <v>0.25</v>
      </c>
      <c r="DI294" s="1239">
        <v>0.25</v>
      </c>
      <c r="DJ294" s="1239">
        <v>0.26</v>
      </c>
      <c r="DK294" s="1239">
        <v>0.27</v>
      </c>
      <c r="DL294" s="1239">
        <v>0.28000000000000003</v>
      </c>
      <c r="DM294" s="1239">
        <v>0.28999999999999998</v>
      </c>
      <c r="DN294" s="1239">
        <v>0.3</v>
      </c>
      <c r="DO294" s="1239">
        <v>0.31</v>
      </c>
      <c r="DP294" s="1239">
        <v>0.32</v>
      </c>
      <c r="DQ294" s="1239">
        <v>0.33</v>
      </c>
      <c r="DR294" s="1239">
        <v>0.34</v>
      </c>
      <c r="DS294" s="1239">
        <v>0.35</v>
      </c>
      <c r="DT294" s="1239">
        <v>0.37</v>
      </c>
      <c r="DU294" s="1239">
        <v>0.38</v>
      </c>
    </row>
    <row r="295" spans="2:125" ht="15" customHeight="1">
      <c r="CP295" s="1238">
        <v>25</v>
      </c>
      <c r="CQ295" s="1239">
        <v>0.21</v>
      </c>
      <c r="CR295" s="1239">
        <v>0.21</v>
      </c>
      <c r="CS295" s="1239">
        <v>0.21</v>
      </c>
      <c r="CT295" s="1239">
        <v>0.21</v>
      </c>
      <c r="CU295" s="1239">
        <v>0.21</v>
      </c>
      <c r="CV295" s="1239">
        <v>0.21</v>
      </c>
      <c r="CW295" s="1239">
        <v>0.21</v>
      </c>
      <c r="CX295" s="1239">
        <v>0.21</v>
      </c>
      <c r="CY295" s="1239">
        <v>0.21</v>
      </c>
      <c r="CZ295" s="1239">
        <v>0.21</v>
      </c>
      <c r="DA295" s="1239">
        <v>0.22</v>
      </c>
      <c r="DB295" s="1239">
        <v>0.22</v>
      </c>
      <c r="DC295" s="1239">
        <v>0.23</v>
      </c>
      <c r="DD295" s="1239">
        <v>0.23</v>
      </c>
      <c r="DE295" s="1239">
        <v>0.24</v>
      </c>
      <c r="DF295" s="1239">
        <v>0.24</v>
      </c>
      <c r="DG295" s="1239">
        <v>0.25</v>
      </c>
      <c r="DH295" s="1239">
        <v>0.26</v>
      </c>
      <c r="DI295" s="1239">
        <v>0.27</v>
      </c>
      <c r="DJ295" s="1239">
        <v>0.27</v>
      </c>
      <c r="DK295" s="1239">
        <v>0.28000000000000003</v>
      </c>
      <c r="DL295" s="1239">
        <v>0.3</v>
      </c>
      <c r="DM295" s="1239">
        <v>0.31</v>
      </c>
      <c r="DN295" s="1239">
        <v>0.32</v>
      </c>
      <c r="DO295" s="1239">
        <v>0.33</v>
      </c>
      <c r="DP295" s="1239">
        <v>0.34</v>
      </c>
      <c r="DQ295" s="1239">
        <v>0.35</v>
      </c>
      <c r="DR295" s="1239">
        <v>0.37</v>
      </c>
      <c r="DS295" s="1239">
        <v>0.38</v>
      </c>
      <c r="DT295" s="1239">
        <v>0.39</v>
      </c>
      <c r="DU295" s="1239">
        <v>0.4</v>
      </c>
    </row>
    <row r="296" spans="2:125" ht="15" customHeight="1">
      <c r="CP296" s="1238">
        <v>26</v>
      </c>
      <c r="CQ296" s="1239">
        <v>0.21</v>
      </c>
      <c r="CR296" s="1239">
        <v>0.21</v>
      </c>
      <c r="CS296" s="1239">
        <v>0.21</v>
      </c>
      <c r="CT296" s="1239">
        <v>0.21</v>
      </c>
      <c r="CU296" s="1239">
        <v>0.21</v>
      </c>
      <c r="CV296" s="1239">
        <v>0.21</v>
      </c>
      <c r="CW296" s="1239">
        <v>0.21</v>
      </c>
      <c r="CX296" s="1239">
        <v>0.21</v>
      </c>
      <c r="CY296" s="1239">
        <v>0.21</v>
      </c>
      <c r="CZ296" s="1239">
        <v>0.22</v>
      </c>
      <c r="DA296" s="1239">
        <v>0.22</v>
      </c>
      <c r="DB296" s="1239">
        <v>0.23</v>
      </c>
      <c r="DC296" s="1239">
        <v>0.24</v>
      </c>
      <c r="DD296" s="1239">
        <v>0.24</v>
      </c>
      <c r="DE296" s="1239">
        <v>0.25</v>
      </c>
      <c r="DF296" s="1239">
        <v>0.26</v>
      </c>
      <c r="DG296" s="1239">
        <v>0.27</v>
      </c>
      <c r="DH296" s="1239">
        <v>0.27</v>
      </c>
      <c r="DI296" s="1239">
        <v>0.28000000000000003</v>
      </c>
      <c r="DJ296" s="1239">
        <v>0.28999999999999998</v>
      </c>
      <c r="DK296" s="1239">
        <v>0.3</v>
      </c>
      <c r="DL296" s="1239">
        <v>0.31</v>
      </c>
      <c r="DM296" s="1239">
        <v>0.33</v>
      </c>
      <c r="DN296" s="1239">
        <v>0.34</v>
      </c>
      <c r="DO296" s="1239">
        <v>0.35</v>
      </c>
      <c r="DP296" s="1239">
        <v>0.37</v>
      </c>
      <c r="DQ296" s="1239">
        <v>0.38</v>
      </c>
      <c r="DR296" s="1239">
        <v>0.39</v>
      </c>
      <c r="DS296" s="1239">
        <v>0.41</v>
      </c>
      <c r="DT296" s="1239">
        <v>0.42</v>
      </c>
      <c r="DU296" s="1239">
        <v>0.43</v>
      </c>
    </row>
    <row r="297" spans="2:125" ht="15" customHeight="1">
      <c r="CP297" s="1238">
        <v>27</v>
      </c>
      <c r="CQ297" s="1239">
        <v>0.21</v>
      </c>
      <c r="CR297" s="1239">
        <v>0.21</v>
      </c>
      <c r="CS297" s="1239">
        <v>0.21</v>
      </c>
      <c r="CT297" s="1239">
        <v>0.21</v>
      </c>
      <c r="CU297" s="1239">
        <v>0.21</v>
      </c>
      <c r="CV297" s="1239">
        <v>0.21</v>
      </c>
      <c r="CW297" s="1239">
        <v>0.21</v>
      </c>
      <c r="CX297" s="1239">
        <v>0.22</v>
      </c>
      <c r="CY297" s="1239">
        <v>0.22</v>
      </c>
      <c r="CZ297" s="1239">
        <v>0.23</v>
      </c>
      <c r="DA297" s="1239">
        <v>0.23</v>
      </c>
      <c r="DB297" s="1239">
        <v>0.24</v>
      </c>
      <c r="DC297" s="1239">
        <v>0.25</v>
      </c>
      <c r="DD297" s="1239">
        <v>0.25</v>
      </c>
      <c r="DE297" s="1239">
        <v>0.26</v>
      </c>
      <c r="DF297" s="1239">
        <v>0.27</v>
      </c>
      <c r="DG297" s="1239">
        <v>0.28000000000000003</v>
      </c>
      <c r="DH297" s="1239">
        <v>0.28999999999999998</v>
      </c>
      <c r="DI297" s="1239">
        <v>0.3</v>
      </c>
      <c r="DJ297" s="1239">
        <v>0.31</v>
      </c>
      <c r="DK297" s="1239">
        <v>0.33</v>
      </c>
      <c r="DL297" s="1239">
        <v>0.34</v>
      </c>
      <c r="DM297" s="1239">
        <v>0.35</v>
      </c>
      <c r="DN297" s="1239">
        <v>0.37</v>
      </c>
      <c r="DO297" s="1239">
        <v>0.38</v>
      </c>
      <c r="DP297" s="1239">
        <v>0.39</v>
      </c>
      <c r="DQ297" s="1239">
        <v>0.41</v>
      </c>
      <c r="DR297" s="1239">
        <v>0.42</v>
      </c>
      <c r="DS297" s="1239">
        <v>0.44</v>
      </c>
      <c r="DT297" s="1239">
        <v>0.45</v>
      </c>
      <c r="DU297" s="1239">
        <v>0.47</v>
      </c>
    </row>
    <row r="298" spans="2:125" ht="15" customHeight="1">
      <c r="CP298" s="1238">
        <v>28</v>
      </c>
      <c r="CQ298" s="1239">
        <v>0.21</v>
      </c>
      <c r="CR298" s="1239">
        <v>0.21</v>
      </c>
      <c r="CS298" s="1239">
        <v>0.21</v>
      </c>
      <c r="CT298" s="1239">
        <v>0.21</v>
      </c>
      <c r="CU298" s="1239">
        <v>0.21</v>
      </c>
      <c r="CV298" s="1239">
        <v>0.21</v>
      </c>
      <c r="CW298" s="1239">
        <v>0.22</v>
      </c>
      <c r="CX298" s="1239">
        <v>0.22</v>
      </c>
      <c r="CY298" s="1239">
        <v>0.23</v>
      </c>
      <c r="CZ298" s="1239">
        <v>0.24</v>
      </c>
      <c r="DA298" s="1239">
        <v>0.25</v>
      </c>
      <c r="DB298" s="1239">
        <v>0.25</v>
      </c>
      <c r="DC298" s="1239">
        <v>0.26</v>
      </c>
      <c r="DD298" s="1239">
        <v>0.27</v>
      </c>
      <c r="DE298" s="1239">
        <v>0.28000000000000003</v>
      </c>
      <c r="DF298" s="1239">
        <v>0.28999999999999998</v>
      </c>
      <c r="DG298" s="1239">
        <v>0.3</v>
      </c>
      <c r="DH298" s="1239">
        <v>0.31</v>
      </c>
      <c r="DI298" s="1239">
        <v>0.32</v>
      </c>
      <c r="DJ298" s="1239">
        <v>0.34</v>
      </c>
      <c r="DK298" s="1239">
        <v>0.35</v>
      </c>
      <c r="DL298" s="1239">
        <v>0.37</v>
      </c>
      <c r="DM298" s="1239">
        <v>0.38</v>
      </c>
      <c r="DN298" s="1239">
        <v>0.39</v>
      </c>
      <c r="DO298" s="1239">
        <v>0.41</v>
      </c>
      <c r="DP298" s="1239">
        <v>0.42</v>
      </c>
      <c r="DQ298" s="1239">
        <v>0.44</v>
      </c>
      <c r="DR298" s="1239">
        <v>0.46</v>
      </c>
      <c r="DS298" s="1239">
        <v>0.47</v>
      </c>
      <c r="DT298" s="1239">
        <v>0.49</v>
      </c>
      <c r="DU298" s="1239">
        <v>0.5</v>
      </c>
    </row>
    <row r="299" spans="2:125" ht="15" customHeight="1">
      <c r="CP299" s="1238">
        <v>29</v>
      </c>
      <c r="CQ299" s="1239">
        <v>0.22</v>
      </c>
      <c r="CR299" s="1239">
        <v>0.22</v>
      </c>
      <c r="CS299" s="1239">
        <v>0.22</v>
      </c>
      <c r="CT299" s="1239">
        <v>0.22</v>
      </c>
      <c r="CU299" s="1239">
        <v>0.22</v>
      </c>
      <c r="CV299" s="1239">
        <v>0.23</v>
      </c>
      <c r="CW299" s="1239">
        <v>0.23</v>
      </c>
      <c r="CX299" s="1239">
        <v>0.24</v>
      </c>
      <c r="CY299" s="1239">
        <v>0.24</v>
      </c>
      <c r="CZ299" s="1239">
        <v>0.25</v>
      </c>
      <c r="DA299" s="1239">
        <v>0.26</v>
      </c>
      <c r="DB299" s="1239">
        <v>0.27</v>
      </c>
      <c r="DC299" s="1239">
        <v>0.28000000000000003</v>
      </c>
      <c r="DD299" s="1239">
        <v>0.28999999999999998</v>
      </c>
      <c r="DE299" s="1239">
        <v>0.3</v>
      </c>
      <c r="DF299" s="1239">
        <v>0.31</v>
      </c>
      <c r="DG299" s="1239">
        <v>0.32</v>
      </c>
      <c r="DH299" s="1239">
        <v>0.33</v>
      </c>
      <c r="DI299" s="1239">
        <v>0.35</v>
      </c>
      <c r="DJ299" s="1239">
        <v>0.37</v>
      </c>
      <c r="DK299" s="1239">
        <v>0.38</v>
      </c>
      <c r="DL299" s="1239">
        <v>0.4</v>
      </c>
      <c r="DM299" s="1239">
        <v>0.41</v>
      </c>
      <c r="DN299" s="1239">
        <v>0.43</v>
      </c>
      <c r="DO299" s="1239">
        <v>0.44</v>
      </c>
      <c r="DP299" s="1239">
        <v>0.46</v>
      </c>
      <c r="DQ299" s="1239">
        <v>0.47</v>
      </c>
      <c r="DR299" s="1239">
        <v>0.49</v>
      </c>
      <c r="DS299" s="1239">
        <v>0.5</v>
      </c>
      <c r="DT299" s="1239">
        <v>0.52</v>
      </c>
      <c r="DU299" s="1239">
        <v>0.54</v>
      </c>
    </row>
    <row r="300" spans="2:125" ht="15" customHeight="1">
      <c r="CP300" s="1238">
        <v>30</v>
      </c>
      <c r="CQ300" s="1239">
        <v>0.22</v>
      </c>
      <c r="CR300" s="1239">
        <v>0.22</v>
      </c>
      <c r="CS300" s="1239">
        <v>0.22</v>
      </c>
      <c r="CT300" s="1239">
        <v>0.22</v>
      </c>
      <c r="CU300" s="1239">
        <v>0.22</v>
      </c>
      <c r="CV300" s="1239">
        <v>0.24</v>
      </c>
      <c r="CW300" s="1239">
        <v>0.24</v>
      </c>
      <c r="CX300" s="1239">
        <v>0.25</v>
      </c>
      <c r="CY300" s="1239">
        <v>0.26</v>
      </c>
      <c r="CZ300" s="1239">
        <v>0.26</v>
      </c>
      <c r="DA300" s="1239">
        <v>0.28000000000000003</v>
      </c>
      <c r="DB300" s="1239">
        <v>0.28999999999999998</v>
      </c>
      <c r="DC300" s="1239">
        <v>0.3</v>
      </c>
      <c r="DD300" s="1239">
        <v>0.31</v>
      </c>
      <c r="DE300" s="1239">
        <v>0.32</v>
      </c>
      <c r="DF300" s="1239">
        <v>0.33</v>
      </c>
      <c r="DG300" s="1239">
        <v>0.35</v>
      </c>
      <c r="DH300" s="1239">
        <v>0.36</v>
      </c>
      <c r="DI300" s="1239">
        <v>0.38</v>
      </c>
      <c r="DJ300" s="1239">
        <v>0.39</v>
      </c>
      <c r="DK300" s="1239">
        <v>0.41</v>
      </c>
      <c r="DL300" s="1239">
        <v>0.43</v>
      </c>
      <c r="DM300" s="1239">
        <v>0.44</v>
      </c>
      <c r="DN300" s="1239">
        <v>0.46</v>
      </c>
      <c r="DO300" s="1239">
        <v>0.48</v>
      </c>
      <c r="DP300" s="1239">
        <v>0.49</v>
      </c>
      <c r="DQ300" s="1239">
        <v>0.51</v>
      </c>
      <c r="DR300" s="1239">
        <v>0.53</v>
      </c>
      <c r="DS300" s="1239">
        <v>0.54</v>
      </c>
      <c r="DT300" s="1239">
        <v>0.56000000000000005</v>
      </c>
      <c r="DU300" s="1239">
        <v>0.57999999999999996</v>
      </c>
    </row>
    <row r="301" spans="2:125" ht="15" customHeight="1">
      <c r="CP301" s="1238">
        <v>31</v>
      </c>
      <c r="CQ301" s="1239">
        <v>0.23</v>
      </c>
      <c r="CR301" s="1239">
        <v>0.23</v>
      </c>
      <c r="CS301" s="1239">
        <v>0.23</v>
      </c>
      <c r="CT301" s="1239">
        <v>0.23</v>
      </c>
      <c r="CU301" s="1239">
        <v>0.23</v>
      </c>
      <c r="CV301" s="1239">
        <v>0.25</v>
      </c>
      <c r="CW301" s="1239">
        <v>0.26</v>
      </c>
      <c r="CX301" s="1239">
        <v>0.26</v>
      </c>
      <c r="CY301" s="1239">
        <v>0.27</v>
      </c>
      <c r="CZ301" s="1239">
        <v>0.28000000000000003</v>
      </c>
      <c r="DA301" s="1239">
        <v>0.3</v>
      </c>
      <c r="DB301" s="1239">
        <v>0.31</v>
      </c>
      <c r="DC301" s="1239">
        <v>0.32</v>
      </c>
      <c r="DD301" s="1239">
        <v>0.33</v>
      </c>
      <c r="DE301" s="1239">
        <v>0.35</v>
      </c>
      <c r="DF301" s="1239">
        <v>0.36</v>
      </c>
      <c r="DG301" s="1239">
        <v>0.38</v>
      </c>
      <c r="DH301" s="1239">
        <v>0.39</v>
      </c>
      <c r="DI301" s="1239">
        <v>0.41</v>
      </c>
      <c r="DJ301" s="1239">
        <v>0.43</v>
      </c>
      <c r="DK301" s="1239">
        <v>0.45</v>
      </c>
      <c r="DL301" s="1239">
        <v>0.46</v>
      </c>
      <c r="DM301" s="1239">
        <v>0.48</v>
      </c>
      <c r="DN301" s="1239">
        <v>0.5</v>
      </c>
      <c r="DO301" s="1239">
        <v>0.52</v>
      </c>
      <c r="DP301" s="1239">
        <v>0.53</v>
      </c>
      <c r="DQ301" s="1239">
        <v>0.55000000000000004</v>
      </c>
      <c r="DR301" s="1239">
        <v>0.56999999999999995</v>
      </c>
      <c r="DS301" s="1239">
        <v>0.59</v>
      </c>
      <c r="DT301" s="1239">
        <v>0.61</v>
      </c>
      <c r="DU301" s="1239">
        <v>0.62</v>
      </c>
    </row>
    <row r="302" spans="2:125" ht="15" customHeight="1">
      <c r="CP302" s="1238">
        <v>32</v>
      </c>
      <c r="CQ302" s="1239">
        <v>0.24</v>
      </c>
      <c r="CR302" s="1239">
        <v>0.24</v>
      </c>
      <c r="CS302" s="1239">
        <v>0.24</v>
      </c>
      <c r="CT302" s="1239">
        <v>0.24</v>
      </c>
      <c r="CU302" s="1239">
        <v>0.25</v>
      </c>
      <c r="CV302" s="1239">
        <v>0.27</v>
      </c>
      <c r="CW302" s="1239">
        <v>0.27</v>
      </c>
      <c r="CX302" s="1239">
        <v>0.28000000000000003</v>
      </c>
      <c r="CY302" s="1239">
        <v>0.28999999999999998</v>
      </c>
      <c r="CZ302" s="1239">
        <v>0.3</v>
      </c>
      <c r="DA302" s="1239">
        <v>0.32</v>
      </c>
      <c r="DB302" s="1239">
        <v>0.33</v>
      </c>
      <c r="DC302" s="1239">
        <v>0.35</v>
      </c>
      <c r="DD302" s="1239">
        <v>0.36</v>
      </c>
      <c r="DE302" s="1239">
        <v>0.38</v>
      </c>
      <c r="DF302" s="1239">
        <v>0.39</v>
      </c>
      <c r="DG302" s="1239">
        <v>0.41</v>
      </c>
      <c r="DH302" s="1239">
        <v>0.43</v>
      </c>
      <c r="DI302" s="1239">
        <v>0.45</v>
      </c>
      <c r="DJ302" s="1239">
        <v>0.47</v>
      </c>
      <c r="DK302" s="1239">
        <v>0.48</v>
      </c>
      <c r="DL302" s="1239">
        <v>0.5</v>
      </c>
      <c r="DM302" s="1239">
        <v>0.52</v>
      </c>
      <c r="DN302" s="1239">
        <v>0.54</v>
      </c>
      <c r="DO302" s="1239">
        <v>0.56000000000000005</v>
      </c>
      <c r="DP302" s="1239">
        <v>0.57999999999999996</v>
      </c>
      <c r="DQ302" s="1239">
        <v>0.6</v>
      </c>
      <c r="DR302" s="1239">
        <v>0.62</v>
      </c>
      <c r="DS302" s="1239">
        <v>0.63</v>
      </c>
      <c r="DT302" s="1239">
        <v>0.65</v>
      </c>
      <c r="DU302" s="1239">
        <v>0.67</v>
      </c>
    </row>
    <row r="303" spans="2:125" ht="15" customHeight="1">
      <c r="CP303" s="1238">
        <v>33</v>
      </c>
      <c r="CQ303" s="1239">
        <v>0.25</v>
      </c>
      <c r="CR303" s="1239">
        <v>0.25</v>
      </c>
      <c r="CS303" s="1239">
        <v>0.25</v>
      </c>
      <c r="CT303" s="1239">
        <v>0.26</v>
      </c>
      <c r="CU303" s="1239">
        <v>0.26</v>
      </c>
      <c r="CV303" s="1239">
        <v>0.28000000000000003</v>
      </c>
      <c r="CW303" s="1239">
        <v>0.28999999999999998</v>
      </c>
      <c r="CX303" s="1239">
        <v>0.3</v>
      </c>
      <c r="CY303" s="1239">
        <v>0.31</v>
      </c>
      <c r="CZ303" s="1239">
        <v>0.33</v>
      </c>
      <c r="DA303" s="1239">
        <v>0.35</v>
      </c>
      <c r="DB303" s="1239">
        <v>0.36</v>
      </c>
      <c r="DC303" s="1239">
        <v>0.38</v>
      </c>
      <c r="DD303" s="1239">
        <v>0.39</v>
      </c>
      <c r="DE303" s="1239">
        <v>0.41</v>
      </c>
      <c r="DF303" s="1239">
        <v>0.43</v>
      </c>
      <c r="DG303" s="1239">
        <v>0.45</v>
      </c>
      <c r="DH303" s="1239">
        <v>0.47</v>
      </c>
      <c r="DI303" s="1239">
        <v>0.49</v>
      </c>
      <c r="DJ303" s="1239">
        <v>0.51</v>
      </c>
      <c r="DK303" s="1239">
        <v>0.53</v>
      </c>
      <c r="DL303" s="1239">
        <v>0.55000000000000004</v>
      </c>
      <c r="DM303" s="1239">
        <v>0.56999999999999995</v>
      </c>
      <c r="DN303" s="1239">
        <v>0.59</v>
      </c>
      <c r="DO303" s="1239">
        <v>0.6</v>
      </c>
      <c r="DP303" s="1239">
        <v>0.62</v>
      </c>
      <c r="DQ303" s="1239">
        <v>0.65</v>
      </c>
      <c r="DR303" s="1239">
        <v>0.66</v>
      </c>
      <c r="DS303" s="1239">
        <v>0.68</v>
      </c>
      <c r="DT303" s="1239">
        <v>0.7</v>
      </c>
      <c r="DU303" s="1239">
        <v>0.72</v>
      </c>
    </row>
    <row r="304" spans="2:125" ht="15" customHeight="1">
      <c r="CP304" s="1238">
        <v>34</v>
      </c>
      <c r="CQ304" s="1239">
        <v>0.26</v>
      </c>
      <c r="CR304" s="1239">
        <v>0.26</v>
      </c>
      <c r="CS304" s="1239">
        <v>0.26</v>
      </c>
      <c r="CT304" s="1239">
        <v>0.27</v>
      </c>
      <c r="CU304" s="1239">
        <v>0.28000000000000003</v>
      </c>
      <c r="CV304" s="1239">
        <v>0.3</v>
      </c>
      <c r="CW304" s="1239">
        <v>0.31</v>
      </c>
      <c r="CX304" s="1239">
        <v>0.33</v>
      </c>
      <c r="CY304" s="1239">
        <v>0.34</v>
      </c>
      <c r="CZ304" s="1239">
        <v>0.35</v>
      </c>
      <c r="DA304" s="1239">
        <v>0.37</v>
      </c>
      <c r="DB304" s="1239">
        <v>0.39</v>
      </c>
      <c r="DC304" s="1239">
        <v>0.41</v>
      </c>
      <c r="DD304" s="1239">
        <v>0.43</v>
      </c>
      <c r="DE304" s="1239">
        <v>0.45</v>
      </c>
      <c r="DF304" s="1239">
        <v>0.47</v>
      </c>
      <c r="DG304" s="1239">
        <v>0.49</v>
      </c>
      <c r="DH304" s="1239">
        <v>0.51</v>
      </c>
      <c r="DI304" s="1239">
        <v>0.53</v>
      </c>
      <c r="DJ304" s="1239">
        <v>0.55000000000000004</v>
      </c>
      <c r="DK304" s="1239">
        <v>0.56999999999999995</v>
      </c>
      <c r="DL304" s="1239">
        <v>0.59</v>
      </c>
      <c r="DM304" s="1239">
        <v>0.61</v>
      </c>
      <c r="DN304" s="1239">
        <v>0.63</v>
      </c>
      <c r="DO304" s="1239">
        <v>0.66</v>
      </c>
      <c r="DP304" s="1239">
        <v>0.68</v>
      </c>
      <c r="DQ304" s="1239">
        <v>0.7</v>
      </c>
      <c r="DR304" s="1239">
        <v>0.72</v>
      </c>
      <c r="DS304" s="1239">
        <v>0.74</v>
      </c>
      <c r="DT304" s="1239">
        <v>0.76</v>
      </c>
      <c r="DU304" s="1239">
        <v>0.78</v>
      </c>
    </row>
    <row r="305" spans="2:125" ht="15" customHeight="1">
      <c r="CP305" s="1238">
        <v>35</v>
      </c>
      <c r="CQ305" s="1239">
        <v>0.27</v>
      </c>
      <c r="CR305" s="1239">
        <v>0.27</v>
      </c>
      <c r="CS305" s="1239">
        <v>0.28000000000000003</v>
      </c>
      <c r="CT305" s="1239">
        <v>0.28999999999999998</v>
      </c>
      <c r="CU305" s="1239">
        <v>0.3</v>
      </c>
      <c r="CV305" s="1239">
        <v>0.33</v>
      </c>
      <c r="CW305" s="1239">
        <v>0.34</v>
      </c>
      <c r="CX305" s="1239">
        <v>0.35</v>
      </c>
      <c r="CY305" s="1239">
        <v>0.37</v>
      </c>
      <c r="CZ305" s="1239">
        <v>0.39</v>
      </c>
      <c r="DA305" s="1239">
        <v>0.41</v>
      </c>
      <c r="DB305" s="1239">
        <v>0.43</v>
      </c>
      <c r="DC305" s="1239">
        <v>0.45</v>
      </c>
      <c r="DD305" s="1239">
        <v>0.47</v>
      </c>
      <c r="DE305" s="1239">
        <v>0.49</v>
      </c>
      <c r="DF305" s="1239">
        <v>0.51</v>
      </c>
      <c r="DG305" s="1239">
        <v>0.53</v>
      </c>
      <c r="DH305" s="1239">
        <v>0.56000000000000005</v>
      </c>
      <c r="DI305" s="1239">
        <v>0.57999999999999996</v>
      </c>
      <c r="DJ305" s="1239">
        <v>0.6</v>
      </c>
      <c r="DK305" s="1239">
        <v>0.62</v>
      </c>
      <c r="DL305" s="1239">
        <v>0.65</v>
      </c>
      <c r="DM305" s="1239">
        <v>0.67</v>
      </c>
      <c r="DN305" s="1239">
        <v>0.69</v>
      </c>
      <c r="DO305" s="1239">
        <v>0.71</v>
      </c>
      <c r="DP305" s="1239">
        <v>0.73</v>
      </c>
      <c r="DQ305" s="1239">
        <v>0.75</v>
      </c>
      <c r="DR305" s="1239">
        <v>0.78</v>
      </c>
      <c r="DS305" s="1239">
        <v>0.8</v>
      </c>
      <c r="DT305" s="1239">
        <v>0.82</v>
      </c>
      <c r="DU305" s="1239">
        <v>0.84</v>
      </c>
    </row>
    <row r="306" spans="2:125" ht="15" customHeight="1">
      <c r="CP306" s="1238">
        <v>36</v>
      </c>
      <c r="CQ306" s="1239">
        <v>0.28999999999999998</v>
      </c>
      <c r="CR306" s="1239">
        <v>0.28999999999999998</v>
      </c>
      <c r="CS306" s="1239">
        <v>0.3</v>
      </c>
      <c r="CT306" s="1239">
        <v>0.32</v>
      </c>
      <c r="CU306" s="1239">
        <v>0.33</v>
      </c>
      <c r="CV306" s="1239">
        <v>0.35</v>
      </c>
      <c r="CW306" s="1239">
        <v>0.37</v>
      </c>
      <c r="CX306" s="1239">
        <v>0.39</v>
      </c>
      <c r="CY306" s="1239">
        <v>0.4</v>
      </c>
      <c r="CZ306" s="1239">
        <v>0.42</v>
      </c>
      <c r="DA306" s="1239">
        <v>0.45</v>
      </c>
      <c r="DB306" s="1239">
        <v>0.47</v>
      </c>
      <c r="DC306" s="1239">
        <v>0.49</v>
      </c>
      <c r="DD306" s="1239">
        <v>0.51</v>
      </c>
      <c r="DE306" s="1239">
        <v>0.54</v>
      </c>
      <c r="DF306" s="1239">
        <v>0.56000000000000005</v>
      </c>
      <c r="DG306" s="1239">
        <v>0.57999999999999996</v>
      </c>
      <c r="DH306" s="1239">
        <v>0.61</v>
      </c>
      <c r="DI306" s="1239">
        <v>0.63</v>
      </c>
      <c r="DJ306" s="1239">
        <v>0.65</v>
      </c>
      <c r="DK306" s="1239">
        <v>0.68</v>
      </c>
      <c r="DL306" s="1239">
        <v>0.7</v>
      </c>
      <c r="DM306" s="1239">
        <v>0.72</v>
      </c>
      <c r="DN306" s="1239">
        <v>0.75</v>
      </c>
      <c r="DO306" s="1239">
        <v>0.77</v>
      </c>
      <c r="DP306" s="1239">
        <v>0.8</v>
      </c>
      <c r="DQ306" s="1239">
        <v>0.82</v>
      </c>
      <c r="DR306" s="1239">
        <v>0.84</v>
      </c>
      <c r="DS306" s="1239">
        <v>0.86</v>
      </c>
      <c r="DT306" s="1239">
        <v>0.89</v>
      </c>
      <c r="DU306" s="1279"/>
    </row>
    <row r="307" spans="2:125" ht="15" customHeight="1">
      <c r="CP307" s="1238">
        <v>37</v>
      </c>
      <c r="CQ307" s="1239">
        <v>0.31</v>
      </c>
      <c r="CR307" s="1239">
        <v>0.32</v>
      </c>
      <c r="CS307" s="1239">
        <v>0.33</v>
      </c>
      <c r="CT307" s="1239">
        <v>0.34</v>
      </c>
      <c r="CU307" s="1239">
        <v>0.36</v>
      </c>
      <c r="CV307" s="1239">
        <v>0.39</v>
      </c>
      <c r="CW307" s="1239">
        <v>0.4</v>
      </c>
      <c r="CX307" s="1239">
        <v>0.42</v>
      </c>
      <c r="CY307" s="1239">
        <v>0.44</v>
      </c>
      <c r="CZ307" s="1239">
        <v>0.46</v>
      </c>
      <c r="DA307" s="1239">
        <v>0.49</v>
      </c>
      <c r="DB307" s="1239">
        <v>0.52</v>
      </c>
      <c r="DC307" s="1239">
        <v>0.54</v>
      </c>
      <c r="DD307" s="1239">
        <v>0.56000000000000005</v>
      </c>
      <c r="DE307" s="1239">
        <v>0.59</v>
      </c>
      <c r="DF307" s="1239">
        <v>0.61</v>
      </c>
      <c r="DG307" s="1239">
        <v>0.64</v>
      </c>
      <c r="DH307" s="1239">
        <v>0.66</v>
      </c>
      <c r="DI307" s="1239">
        <v>0.69</v>
      </c>
      <c r="DJ307" s="1239">
        <v>0.71</v>
      </c>
      <c r="DK307" s="1239">
        <v>0.74</v>
      </c>
      <c r="DL307" s="1239">
        <v>0.76</v>
      </c>
      <c r="DM307" s="1239">
        <v>0.79</v>
      </c>
      <c r="DN307" s="1239">
        <v>0.81</v>
      </c>
      <c r="DO307" s="1239">
        <v>0.84</v>
      </c>
      <c r="DP307" s="1239">
        <v>0.86</v>
      </c>
      <c r="DQ307" s="1239">
        <v>0.89</v>
      </c>
      <c r="DR307" s="1239">
        <v>0.91</v>
      </c>
      <c r="DS307" s="1239">
        <v>0.93</v>
      </c>
      <c r="DT307" s="1279"/>
      <c r="DU307" s="1279"/>
    </row>
    <row r="308" spans="2:125" ht="15" customHeight="1">
      <c r="C308" s="1205">
        <f t="shared" ref="C308:W308" si="41">LOOKUP($B$1,$B310:$B347,C310:C347)</f>
        <v>2.31</v>
      </c>
      <c r="D308" s="1205">
        <f t="shared" si="41"/>
        <v>2.31</v>
      </c>
      <c r="E308" s="1205">
        <f t="shared" si="41"/>
        <v>2.31</v>
      </c>
      <c r="F308" s="1205">
        <f t="shared" si="41"/>
        <v>2.31</v>
      </c>
      <c r="G308" s="1205">
        <f t="shared" si="41"/>
        <v>2.31</v>
      </c>
      <c r="H308" s="1205">
        <f t="shared" si="41"/>
        <v>2.37</v>
      </c>
      <c r="I308" s="1205">
        <f t="shared" si="41"/>
        <v>2.4</v>
      </c>
      <c r="J308" s="1205">
        <f t="shared" si="41"/>
        <v>2.44</v>
      </c>
      <c r="K308" s="1205">
        <f t="shared" si="41"/>
        <v>2.48</v>
      </c>
      <c r="L308" s="1205">
        <f t="shared" si="41"/>
        <v>2.5299999999999998</v>
      </c>
      <c r="M308" s="1205">
        <f t="shared" si="41"/>
        <v>2.65</v>
      </c>
      <c r="N308" s="1205">
        <f t="shared" si="41"/>
        <v>2.71</v>
      </c>
      <c r="O308" s="1205">
        <f t="shared" si="41"/>
        <v>2.77</v>
      </c>
      <c r="P308" s="1205">
        <f t="shared" si="41"/>
        <v>2.85</v>
      </c>
      <c r="Q308" s="1205">
        <f t="shared" si="41"/>
        <v>2.93</v>
      </c>
      <c r="R308" s="1205">
        <f t="shared" si="41"/>
        <v>3.02</v>
      </c>
      <c r="S308" s="1205">
        <f t="shared" si="41"/>
        <v>3.11</v>
      </c>
      <c r="T308" s="1205">
        <f t="shared" si="41"/>
        <v>3.21</v>
      </c>
      <c r="U308" s="1205">
        <f t="shared" si="41"/>
        <v>3.32</v>
      </c>
      <c r="V308" s="1205">
        <f t="shared" si="41"/>
        <v>3.43</v>
      </c>
      <c r="W308" s="1205">
        <f t="shared" si="41"/>
        <v>3.54</v>
      </c>
      <c r="X308" s="1206"/>
      <c r="Y308" s="1206"/>
      <c r="Z308" s="1205">
        <f t="shared" ref="Z308:BD308" si="42">LOOKUP($B$1,$Y310:$Y352,Z310:Z352)</f>
        <v>1.28</v>
      </c>
      <c r="AA308" s="1205">
        <f t="shared" si="42"/>
        <v>1.28</v>
      </c>
      <c r="AB308" s="1205">
        <f t="shared" si="42"/>
        <v>1.28</v>
      </c>
      <c r="AC308" s="1205">
        <f t="shared" si="42"/>
        <v>1.28</v>
      </c>
      <c r="AD308" s="1205">
        <f t="shared" si="42"/>
        <v>1.28</v>
      </c>
      <c r="AE308" s="1205">
        <f t="shared" si="42"/>
        <v>1.29</v>
      </c>
      <c r="AF308" s="1205">
        <f t="shared" si="42"/>
        <v>1.3</v>
      </c>
      <c r="AG308" s="1205">
        <f t="shared" si="42"/>
        <v>1.32</v>
      </c>
      <c r="AH308" s="1205">
        <f t="shared" si="42"/>
        <v>1.34</v>
      </c>
      <c r="AI308" s="1205">
        <f t="shared" si="42"/>
        <v>1.37</v>
      </c>
      <c r="AJ308" s="1205">
        <f t="shared" si="42"/>
        <v>1.42</v>
      </c>
      <c r="AK308" s="1205">
        <f t="shared" si="42"/>
        <v>1.45</v>
      </c>
      <c r="AL308" s="1205">
        <f t="shared" si="42"/>
        <v>1.49</v>
      </c>
      <c r="AM308" s="1205">
        <f t="shared" si="42"/>
        <v>1.54</v>
      </c>
      <c r="AN308" s="1205">
        <f t="shared" si="42"/>
        <v>1.59</v>
      </c>
      <c r="AO308" s="1205">
        <f t="shared" si="42"/>
        <v>1.64</v>
      </c>
      <c r="AP308" s="1205">
        <f t="shared" si="42"/>
        <v>1.7</v>
      </c>
      <c r="AQ308" s="1205">
        <f t="shared" si="42"/>
        <v>1.76</v>
      </c>
      <c r="AR308" s="1205">
        <f t="shared" si="42"/>
        <v>1.82</v>
      </c>
      <c r="AS308" s="1205">
        <f t="shared" si="42"/>
        <v>1.89</v>
      </c>
      <c r="AT308" s="1205">
        <f t="shared" si="42"/>
        <v>1.96</v>
      </c>
      <c r="AU308" s="1205">
        <f t="shared" si="42"/>
        <v>2.0299999999999998</v>
      </c>
      <c r="AV308" s="1205">
        <f t="shared" si="42"/>
        <v>2.1</v>
      </c>
      <c r="AW308" s="1205">
        <f t="shared" si="42"/>
        <v>2.17</v>
      </c>
      <c r="AX308" s="1205">
        <f t="shared" si="42"/>
        <v>2.25</v>
      </c>
      <c r="AY308" s="1205">
        <f t="shared" si="42"/>
        <v>2.33</v>
      </c>
      <c r="AZ308" s="1205">
        <f t="shared" si="42"/>
        <v>2.4</v>
      </c>
      <c r="BA308" s="1205">
        <f t="shared" si="42"/>
        <v>2.48</v>
      </c>
      <c r="BB308" s="1205">
        <f t="shared" si="42"/>
        <v>2.56</v>
      </c>
      <c r="BC308" s="1205">
        <f t="shared" si="42"/>
        <v>2.64</v>
      </c>
      <c r="BD308" s="1205">
        <f t="shared" si="42"/>
        <v>2.72</v>
      </c>
      <c r="CP308" s="1238">
        <v>38</v>
      </c>
      <c r="CQ308" s="1239">
        <v>0.33</v>
      </c>
      <c r="CR308" s="1239">
        <v>0.34</v>
      </c>
      <c r="CS308" s="1239">
        <v>0.36</v>
      </c>
      <c r="CT308" s="1239">
        <v>0.37</v>
      </c>
      <c r="CU308" s="1239">
        <v>0.39</v>
      </c>
      <c r="CV308" s="1239">
        <v>0.42</v>
      </c>
      <c r="CW308" s="1239">
        <v>0.44</v>
      </c>
      <c r="CX308" s="1239">
        <v>0.46</v>
      </c>
      <c r="CY308" s="1239">
        <v>0.49</v>
      </c>
      <c r="CZ308" s="1239">
        <v>0.51</v>
      </c>
      <c r="DA308" s="1239">
        <v>0.54</v>
      </c>
      <c r="DB308" s="1239">
        <v>0.56999999999999995</v>
      </c>
      <c r="DC308" s="1239">
        <v>0.59</v>
      </c>
      <c r="DD308" s="1239">
        <v>0.62</v>
      </c>
      <c r="DE308" s="1239">
        <v>0.64</v>
      </c>
      <c r="DF308" s="1239">
        <v>0.67</v>
      </c>
      <c r="DG308" s="1239">
        <v>0.7</v>
      </c>
      <c r="DH308" s="1239">
        <v>0.72</v>
      </c>
      <c r="DI308" s="1239">
        <v>0.75</v>
      </c>
      <c r="DJ308" s="1239">
        <v>0.78</v>
      </c>
      <c r="DK308" s="1239">
        <v>0.8</v>
      </c>
      <c r="DL308" s="1239">
        <v>0.83</v>
      </c>
      <c r="DM308" s="1239">
        <v>0.85</v>
      </c>
      <c r="DN308" s="1239">
        <v>0.88</v>
      </c>
      <c r="DO308" s="1239">
        <v>0.91</v>
      </c>
      <c r="DP308" s="1239">
        <v>0.93</v>
      </c>
      <c r="DQ308" s="1239">
        <v>0.96</v>
      </c>
      <c r="DR308" s="1239">
        <v>0.98</v>
      </c>
      <c r="DS308" s="1279"/>
      <c r="DT308" s="1279"/>
      <c r="DU308" s="1279"/>
    </row>
    <row r="309" spans="2:125" ht="15" customHeight="1">
      <c r="B309" s="1207">
        <v>822</v>
      </c>
      <c r="C309" s="1207">
        <v>5</v>
      </c>
      <c r="D309" s="1207">
        <v>6</v>
      </c>
      <c r="E309" s="1207">
        <v>7</v>
      </c>
      <c r="F309" s="1207">
        <v>8</v>
      </c>
      <c r="G309" s="1207">
        <v>9</v>
      </c>
      <c r="H309" s="1207">
        <v>10</v>
      </c>
      <c r="I309" s="1207">
        <v>11</v>
      </c>
      <c r="J309" s="1207">
        <v>12</v>
      </c>
      <c r="K309" s="1207">
        <v>13</v>
      </c>
      <c r="L309" s="1207">
        <v>14</v>
      </c>
      <c r="M309" s="1207">
        <v>15</v>
      </c>
      <c r="N309" s="1207">
        <v>16</v>
      </c>
      <c r="O309" s="1207">
        <v>17</v>
      </c>
      <c r="P309" s="1207">
        <v>18</v>
      </c>
      <c r="Q309" s="1207">
        <v>19</v>
      </c>
      <c r="R309" s="1207">
        <v>20</v>
      </c>
      <c r="S309" s="1207">
        <v>21</v>
      </c>
      <c r="T309" s="1207">
        <v>22</v>
      </c>
      <c r="U309" s="1207">
        <v>23</v>
      </c>
      <c r="V309" s="1207">
        <v>24</v>
      </c>
      <c r="W309" s="1207">
        <v>25</v>
      </c>
      <c r="Y309" s="1207">
        <v>823</v>
      </c>
      <c r="Z309" s="1207">
        <v>5</v>
      </c>
      <c r="AA309" s="1207">
        <v>6</v>
      </c>
      <c r="AB309" s="1207">
        <v>7</v>
      </c>
      <c r="AC309" s="1207">
        <v>8</v>
      </c>
      <c r="AD309" s="1207">
        <v>9</v>
      </c>
      <c r="AE309" s="1207">
        <v>10</v>
      </c>
      <c r="AF309" s="1207">
        <v>11</v>
      </c>
      <c r="AG309" s="1207">
        <v>12</v>
      </c>
      <c r="AH309" s="1207">
        <v>13</v>
      </c>
      <c r="AI309" s="1207">
        <v>14</v>
      </c>
      <c r="AJ309" s="1207">
        <v>15</v>
      </c>
      <c r="AK309" s="1207">
        <v>16</v>
      </c>
      <c r="AL309" s="1207">
        <v>17</v>
      </c>
      <c r="AM309" s="1207">
        <v>18</v>
      </c>
      <c r="AN309" s="1207">
        <v>19</v>
      </c>
      <c r="AO309" s="1207">
        <v>20</v>
      </c>
      <c r="AP309" s="1207">
        <v>21</v>
      </c>
      <c r="AQ309" s="1207">
        <v>22</v>
      </c>
      <c r="AR309" s="1207">
        <v>23</v>
      </c>
      <c r="AS309" s="1207">
        <v>24</v>
      </c>
      <c r="AT309" s="1207">
        <v>25</v>
      </c>
      <c r="AU309" s="1207">
        <v>26</v>
      </c>
      <c r="AV309" s="1207">
        <v>27</v>
      </c>
      <c r="AW309" s="1207">
        <v>28</v>
      </c>
      <c r="AX309" s="1207">
        <v>29</v>
      </c>
      <c r="AY309" s="1207">
        <v>30</v>
      </c>
      <c r="AZ309" s="1207">
        <v>31</v>
      </c>
      <c r="BA309" s="1207">
        <v>32</v>
      </c>
      <c r="BB309" s="1207">
        <v>33</v>
      </c>
      <c r="BC309" s="1207">
        <v>34</v>
      </c>
      <c r="BD309" s="1207">
        <v>35</v>
      </c>
      <c r="CP309" s="1238">
        <v>39</v>
      </c>
      <c r="CQ309" s="1239">
        <v>0.36</v>
      </c>
      <c r="CR309" s="1239">
        <v>0.38</v>
      </c>
      <c r="CS309" s="1239">
        <v>0.39</v>
      </c>
      <c r="CT309" s="1239">
        <v>0.41</v>
      </c>
      <c r="CU309" s="1239">
        <v>0.43</v>
      </c>
      <c r="CV309" s="1239">
        <v>0.47</v>
      </c>
      <c r="CW309" s="1239">
        <v>0.49</v>
      </c>
      <c r="CX309" s="1239">
        <v>0.51</v>
      </c>
      <c r="CY309" s="1239">
        <v>0.54</v>
      </c>
      <c r="CZ309" s="1239">
        <v>0.56000000000000005</v>
      </c>
      <c r="DA309" s="1239">
        <v>0.6</v>
      </c>
      <c r="DB309" s="1239">
        <v>0.63</v>
      </c>
      <c r="DC309" s="1239">
        <v>0.65</v>
      </c>
      <c r="DD309" s="1239">
        <v>0.68</v>
      </c>
      <c r="DE309" s="1239">
        <v>0.71</v>
      </c>
      <c r="DF309" s="1239">
        <v>0.74</v>
      </c>
      <c r="DG309" s="1239">
        <v>0.76</v>
      </c>
      <c r="DH309" s="1239">
        <v>0.79</v>
      </c>
      <c r="DI309" s="1239">
        <v>0.82</v>
      </c>
      <c r="DJ309" s="1239">
        <v>0.85</v>
      </c>
      <c r="DK309" s="1239">
        <v>0.87</v>
      </c>
      <c r="DL309" s="1239">
        <v>0.9</v>
      </c>
      <c r="DM309" s="1239">
        <v>0.93</v>
      </c>
      <c r="DN309" s="1239">
        <v>0.95</v>
      </c>
      <c r="DO309" s="1239">
        <v>0.98</v>
      </c>
      <c r="DP309" s="1239">
        <v>1.01</v>
      </c>
      <c r="DQ309" s="1239">
        <v>1.04</v>
      </c>
      <c r="DR309" s="1279"/>
      <c r="DS309" s="1279"/>
      <c r="DT309" s="1279"/>
      <c r="DU309" s="1279"/>
    </row>
    <row r="310" spans="2:125" ht="15" customHeight="1">
      <c r="B310" s="1207">
        <v>18</v>
      </c>
      <c r="C310" s="1220">
        <v>2.02</v>
      </c>
      <c r="D310" s="1220">
        <v>2.02</v>
      </c>
      <c r="E310" s="1220">
        <v>2.02</v>
      </c>
      <c r="F310" s="1220">
        <v>2.02</v>
      </c>
      <c r="G310" s="1220">
        <v>2.02</v>
      </c>
      <c r="H310" s="1220">
        <v>2.02</v>
      </c>
      <c r="I310" s="1220">
        <v>2.02</v>
      </c>
      <c r="J310" s="1220">
        <v>2.02</v>
      </c>
      <c r="K310" s="1220">
        <v>2.02</v>
      </c>
      <c r="L310" s="1220">
        <v>2.02</v>
      </c>
      <c r="M310" s="1220">
        <v>2.0299999999999998</v>
      </c>
      <c r="N310" s="1220">
        <v>2.0299999999999998</v>
      </c>
      <c r="O310" s="1220">
        <v>2.04</v>
      </c>
      <c r="P310" s="1220">
        <v>2.06</v>
      </c>
      <c r="Q310" s="1220">
        <v>2.0699999999999998</v>
      </c>
      <c r="R310" s="1220">
        <v>2.09</v>
      </c>
      <c r="S310" s="1220">
        <v>2.11</v>
      </c>
      <c r="T310" s="1220">
        <v>2.13</v>
      </c>
      <c r="U310" s="1220">
        <v>2.15</v>
      </c>
      <c r="V310" s="1220">
        <v>2.17</v>
      </c>
      <c r="W310" s="1220">
        <v>2.2000000000000002</v>
      </c>
      <c r="Y310" s="1207">
        <v>18</v>
      </c>
      <c r="Z310" s="1220">
        <v>1.1000000000000001</v>
      </c>
      <c r="AA310" s="1220">
        <v>1.1000000000000001</v>
      </c>
      <c r="AB310" s="1220">
        <v>1.1000000000000001</v>
      </c>
      <c r="AC310" s="1220">
        <v>1.1000000000000001</v>
      </c>
      <c r="AD310" s="1220">
        <v>1.1000000000000001</v>
      </c>
      <c r="AE310" s="1220">
        <v>1.1000000000000001</v>
      </c>
      <c r="AF310" s="1220">
        <v>1.1000000000000001</v>
      </c>
      <c r="AG310" s="1220">
        <v>1.1000000000000001</v>
      </c>
      <c r="AH310" s="1220">
        <v>1.1000000000000001</v>
      </c>
      <c r="AI310" s="1220">
        <v>1.1000000000000001</v>
      </c>
      <c r="AJ310" s="1220">
        <v>1.1000000000000001</v>
      </c>
      <c r="AK310" s="1220">
        <v>1.1000000000000001</v>
      </c>
      <c r="AL310" s="1220">
        <v>1.1000000000000001</v>
      </c>
      <c r="AM310" s="1220">
        <v>1.1000000000000001</v>
      </c>
      <c r="AN310" s="1220">
        <v>1.1000000000000001</v>
      </c>
      <c r="AO310" s="1220">
        <v>1.1000000000000001</v>
      </c>
      <c r="AP310" s="1220">
        <v>1.1000000000000001</v>
      </c>
      <c r="AQ310" s="1220">
        <v>1.1000000000000001</v>
      </c>
      <c r="AR310" s="1220">
        <v>1.1000000000000001</v>
      </c>
      <c r="AS310" s="1220">
        <v>1.1000000000000001</v>
      </c>
      <c r="AT310" s="1220">
        <v>1.1000000000000001</v>
      </c>
      <c r="AU310" s="1207">
        <v>1.1200000000000001</v>
      </c>
      <c r="AV310" s="1207">
        <v>1.1299999999999999</v>
      </c>
      <c r="AW310" s="1207">
        <v>1.1499999999999999</v>
      </c>
      <c r="AX310" s="1207">
        <v>1.17</v>
      </c>
      <c r="AY310" s="1207">
        <v>1.2</v>
      </c>
      <c r="AZ310" s="1207">
        <v>1.22</v>
      </c>
      <c r="BA310" s="1207">
        <v>1.25</v>
      </c>
      <c r="BB310" s="1207">
        <v>1.28</v>
      </c>
      <c r="BC310" s="1207">
        <v>1.31</v>
      </c>
      <c r="BD310" s="1220">
        <v>1.35</v>
      </c>
      <c r="CP310" s="1238">
        <v>40</v>
      </c>
      <c r="CQ310" s="1239">
        <v>0.39</v>
      </c>
      <c r="CR310" s="1239">
        <v>0.41</v>
      </c>
      <c r="CS310" s="1239">
        <v>0.43</v>
      </c>
      <c r="CT310" s="1239">
        <v>0.45</v>
      </c>
      <c r="CU310" s="1239">
        <v>0.47</v>
      </c>
      <c r="CV310" s="1239">
        <v>0.51</v>
      </c>
      <c r="CW310" s="1239">
        <v>0.54</v>
      </c>
      <c r="CX310" s="1239">
        <v>0.56000000000000005</v>
      </c>
      <c r="CY310" s="1239">
        <v>0.59</v>
      </c>
      <c r="CZ310" s="1239">
        <v>0.62</v>
      </c>
      <c r="DA310" s="1239">
        <v>0.66</v>
      </c>
      <c r="DB310" s="1239">
        <v>0.69</v>
      </c>
      <c r="DC310" s="1239">
        <v>0.72</v>
      </c>
      <c r="DD310" s="1239">
        <v>0.75</v>
      </c>
      <c r="DE310" s="1239">
        <v>0.78</v>
      </c>
      <c r="DF310" s="1239">
        <v>0.81</v>
      </c>
      <c r="DG310" s="1239">
        <v>0.83</v>
      </c>
      <c r="DH310" s="1239">
        <v>0.86</v>
      </c>
      <c r="DI310" s="1239">
        <v>0.89</v>
      </c>
      <c r="DJ310" s="1239">
        <v>0.92</v>
      </c>
      <c r="DK310" s="1239">
        <v>0.95</v>
      </c>
      <c r="DL310" s="1239">
        <v>0.98</v>
      </c>
      <c r="DM310" s="1239">
        <v>1.01</v>
      </c>
      <c r="DN310" s="1239">
        <v>1.04</v>
      </c>
      <c r="DO310" s="1239">
        <v>1.07</v>
      </c>
      <c r="DP310" s="1239">
        <v>1.0900000000000001</v>
      </c>
      <c r="DQ310" s="1279"/>
      <c r="DR310" s="1279"/>
      <c r="DS310" s="1279"/>
      <c r="DT310" s="1279"/>
      <c r="DU310" s="1279"/>
    </row>
    <row r="311" spans="2:125" ht="15" customHeight="1">
      <c r="B311" s="1207">
        <v>19</v>
      </c>
      <c r="C311" s="1220">
        <v>2.06</v>
      </c>
      <c r="D311" s="1220">
        <v>2.06</v>
      </c>
      <c r="E311" s="1220">
        <v>2.06</v>
      </c>
      <c r="F311" s="1220">
        <v>2.06</v>
      </c>
      <c r="G311" s="1220">
        <v>2.06</v>
      </c>
      <c r="H311" s="1220">
        <v>2.06</v>
      </c>
      <c r="I311" s="1220">
        <v>2.06</v>
      </c>
      <c r="J311" s="1220">
        <v>2.06</v>
      </c>
      <c r="K311" s="1220">
        <v>2.06</v>
      </c>
      <c r="L311" s="1220">
        <v>2.06</v>
      </c>
      <c r="M311" s="1220">
        <v>2.06</v>
      </c>
      <c r="N311" s="1220">
        <v>2.0699999999999998</v>
      </c>
      <c r="O311" s="1220">
        <v>2.08</v>
      </c>
      <c r="P311" s="1220">
        <v>2.09</v>
      </c>
      <c r="Q311" s="1220">
        <v>2.11</v>
      </c>
      <c r="R311" s="1220">
        <v>2.13</v>
      </c>
      <c r="S311" s="1220">
        <v>2.15</v>
      </c>
      <c r="T311" s="1220">
        <v>2.17</v>
      </c>
      <c r="U311" s="1220">
        <v>2.2000000000000002</v>
      </c>
      <c r="V311" s="1220">
        <v>2.2200000000000002</v>
      </c>
      <c r="W311" s="1220">
        <v>2.2599999999999998</v>
      </c>
      <c r="Y311" s="1207">
        <v>19</v>
      </c>
      <c r="Z311" s="1220">
        <v>1.1299999999999999</v>
      </c>
      <c r="AA311" s="1220">
        <v>1.1299999999999999</v>
      </c>
      <c r="AB311" s="1220">
        <v>1.1299999999999999</v>
      </c>
      <c r="AC311" s="1220">
        <v>1.1299999999999999</v>
      </c>
      <c r="AD311" s="1220">
        <v>1.1299999999999999</v>
      </c>
      <c r="AE311" s="1220">
        <v>1.1299999999999999</v>
      </c>
      <c r="AF311" s="1220">
        <v>1.1299999999999999</v>
      </c>
      <c r="AG311" s="1220">
        <v>1.1299999999999999</v>
      </c>
      <c r="AH311" s="1220">
        <v>1.1299999999999999</v>
      </c>
      <c r="AI311" s="1220">
        <v>1.1299999999999999</v>
      </c>
      <c r="AJ311" s="1220">
        <v>1.1299999999999999</v>
      </c>
      <c r="AK311" s="1220">
        <v>1.1299999999999999</v>
      </c>
      <c r="AL311" s="1220">
        <v>1.1299999999999999</v>
      </c>
      <c r="AM311" s="1220">
        <v>1.1299999999999999</v>
      </c>
      <c r="AN311" s="1220">
        <v>1.1299999999999999</v>
      </c>
      <c r="AO311" s="1220">
        <v>1.1299999999999999</v>
      </c>
      <c r="AP311" s="1220">
        <v>1.1299999999999999</v>
      </c>
      <c r="AQ311" s="1220">
        <v>1.1299999999999999</v>
      </c>
      <c r="AR311" s="1220">
        <v>1.1299999999999999</v>
      </c>
      <c r="AS311" s="1220">
        <v>1.1299999999999999</v>
      </c>
      <c r="AT311" s="1220">
        <v>1.1299999999999999</v>
      </c>
      <c r="AU311" s="1207">
        <v>1.1499999999999999</v>
      </c>
      <c r="AV311" s="1207">
        <v>1.17</v>
      </c>
      <c r="AW311" s="1207">
        <v>1.2</v>
      </c>
      <c r="AX311" s="1207">
        <v>1.22</v>
      </c>
      <c r="AY311" s="1207">
        <v>1.25</v>
      </c>
      <c r="AZ311" s="1207">
        <v>1.28</v>
      </c>
      <c r="BA311" s="1207">
        <v>1.31</v>
      </c>
      <c r="BB311" s="1220">
        <v>1.34</v>
      </c>
      <c r="BC311" s="1220">
        <v>1.38</v>
      </c>
      <c r="BD311" s="1220">
        <v>1.41</v>
      </c>
      <c r="CP311" s="1238">
        <v>41</v>
      </c>
      <c r="CQ311" s="1239">
        <v>0.43</v>
      </c>
      <c r="CR311" s="1239">
        <v>0.45</v>
      </c>
      <c r="CS311" s="1239">
        <v>0.47</v>
      </c>
      <c r="CT311" s="1239">
        <v>0.5</v>
      </c>
      <c r="CU311" s="1239">
        <v>0.52</v>
      </c>
      <c r="CV311" s="1239">
        <v>0.56999999999999995</v>
      </c>
      <c r="CW311" s="1239">
        <v>0.6</v>
      </c>
      <c r="CX311" s="1239">
        <v>0.63</v>
      </c>
      <c r="CY311" s="1239">
        <v>0.66</v>
      </c>
      <c r="CZ311" s="1239">
        <v>0.69</v>
      </c>
      <c r="DA311" s="1239">
        <v>0.73</v>
      </c>
      <c r="DB311" s="1239">
        <v>0.76</v>
      </c>
      <c r="DC311" s="1239">
        <v>0.79</v>
      </c>
      <c r="DD311" s="1239">
        <v>0.82</v>
      </c>
      <c r="DE311" s="1239">
        <v>0.85</v>
      </c>
      <c r="DF311" s="1239">
        <v>0.88</v>
      </c>
      <c r="DG311" s="1239">
        <v>0.91</v>
      </c>
      <c r="DH311" s="1239">
        <v>0.94</v>
      </c>
      <c r="DI311" s="1239">
        <v>0.97</v>
      </c>
      <c r="DJ311" s="1239">
        <v>1</v>
      </c>
      <c r="DK311" s="1239">
        <v>1.03</v>
      </c>
      <c r="DL311" s="1239">
        <v>1.06</v>
      </c>
      <c r="DM311" s="1239">
        <v>1.0900000000000001</v>
      </c>
      <c r="DN311" s="1239">
        <v>1.1200000000000001</v>
      </c>
      <c r="DO311" s="1239">
        <v>1.1499999999999999</v>
      </c>
      <c r="DP311" s="1279"/>
      <c r="DQ311" s="1279"/>
      <c r="DR311" s="1279"/>
      <c r="DS311" s="1279"/>
      <c r="DT311" s="1279"/>
      <c r="DU311" s="1279"/>
    </row>
    <row r="312" spans="2:125" ht="15" customHeight="1">
      <c r="B312" s="1207">
        <v>20</v>
      </c>
      <c r="C312" s="1220">
        <v>2.09</v>
      </c>
      <c r="D312" s="1220">
        <v>2.09</v>
      </c>
      <c r="E312" s="1220">
        <v>2.09</v>
      </c>
      <c r="F312" s="1220">
        <v>2.09</v>
      </c>
      <c r="G312" s="1220">
        <v>2.09</v>
      </c>
      <c r="H312" s="1220">
        <v>2.09</v>
      </c>
      <c r="I312" s="1220">
        <v>2.09</v>
      </c>
      <c r="J312" s="1220">
        <v>2.09</v>
      </c>
      <c r="K312" s="1220">
        <v>2.09</v>
      </c>
      <c r="L312" s="1220">
        <v>2.09</v>
      </c>
      <c r="M312" s="1220">
        <v>2.09</v>
      </c>
      <c r="N312" s="1220">
        <v>2.1</v>
      </c>
      <c r="O312" s="1220">
        <v>2.11</v>
      </c>
      <c r="P312" s="1220">
        <v>2.12</v>
      </c>
      <c r="Q312" s="1220">
        <v>2.14</v>
      </c>
      <c r="R312" s="1220">
        <v>2.16</v>
      </c>
      <c r="S312" s="1220">
        <v>2.19</v>
      </c>
      <c r="T312" s="1220">
        <v>2.2200000000000002</v>
      </c>
      <c r="U312" s="1220">
        <v>2.25</v>
      </c>
      <c r="V312" s="1220">
        <v>2.2799999999999998</v>
      </c>
      <c r="W312" s="1220">
        <v>2.31</v>
      </c>
      <c r="Y312" s="1207">
        <v>20</v>
      </c>
      <c r="Z312" s="1220">
        <v>1.1499999999999999</v>
      </c>
      <c r="AA312" s="1220">
        <v>1.1499999999999999</v>
      </c>
      <c r="AB312" s="1220">
        <v>1.1499999999999999</v>
      </c>
      <c r="AC312" s="1220">
        <v>1.1499999999999999</v>
      </c>
      <c r="AD312" s="1220">
        <v>1.1499999999999999</v>
      </c>
      <c r="AE312" s="1220">
        <v>1.1499999999999999</v>
      </c>
      <c r="AF312" s="1220">
        <v>1.1499999999999999</v>
      </c>
      <c r="AG312" s="1220">
        <v>1.1499999999999999</v>
      </c>
      <c r="AH312" s="1220">
        <v>1.1499999999999999</v>
      </c>
      <c r="AI312" s="1220">
        <v>1.1499999999999999</v>
      </c>
      <c r="AJ312" s="1220">
        <v>1.1499999999999999</v>
      </c>
      <c r="AK312" s="1220">
        <v>1.1499999999999999</v>
      </c>
      <c r="AL312" s="1220">
        <v>1.1499999999999999</v>
      </c>
      <c r="AM312" s="1220">
        <v>1.1499999999999999</v>
      </c>
      <c r="AN312" s="1220">
        <v>1.1499999999999999</v>
      </c>
      <c r="AO312" s="1220">
        <v>1.1499999999999999</v>
      </c>
      <c r="AP312" s="1220">
        <v>1.1499999999999999</v>
      </c>
      <c r="AQ312" s="1220">
        <v>1.1499999999999999</v>
      </c>
      <c r="AR312" s="1220">
        <v>1.1499999999999999</v>
      </c>
      <c r="AS312" s="1220">
        <v>1.1499999999999999</v>
      </c>
      <c r="AT312" s="1220">
        <v>1.17</v>
      </c>
      <c r="AU312" s="1220">
        <v>1.19</v>
      </c>
      <c r="AV312" s="1220">
        <v>1.22</v>
      </c>
      <c r="AW312" s="1220">
        <v>1.24</v>
      </c>
      <c r="AX312" s="1220">
        <v>1.27</v>
      </c>
      <c r="AY312" s="1220">
        <v>1.3</v>
      </c>
      <c r="AZ312" s="1220">
        <v>1.33</v>
      </c>
      <c r="BA312" s="1220">
        <v>1.37</v>
      </c>
      <c r="BB312" s="1220">
        <v>1.41</v>
      </c>
      <c r="BC312" s="1220">
        <v>1.44</v>
      </c>
      <c r="BD312" s="1220">
        <v>1.49</v>
      </c>
      <c r="CP312" s="1238">
        <v>42</v>
      </c>
      <c r="CQ312" s="1239">
        <v>0.48</v>
      </c>
      <c r="CR312" s="1239">
        <v>0.5</v>
      </c>
      <c r="CS312" s="1239">
        <v>0.52</v>
      </c>
      <c r="CT312" s="1239">
        <v>0.55000000000000004</v>
      </c>
      <c r="CU312" s="1239">
        <v>0.57999999999999996</v>
      </c>
      <c r="CV312" s="1239">
        <v>0.63</v>
      </c>
      <c r="CW312" s="1239">
        <v>0.66</v>
      </c>
      <c r="CX312" s="1239">
        <v>0.69</v>
      </c>
      <c r="CY312" s="1239">
        <v>0.72</v>
      </c>
      <c r="CZ312" s="1239">
        <v>0.76</v>
      </c>
      <c r="DA312" s="1239">
        <v>0.8</v>
      </c>
      <c r="DB312" s="1239">
        <v>0.83</v>
      </c>
      <c r="DC312" s="1239">
        <v>0.87</v>
      </c>
      <c r="DD312" s="1239">
        <v>0.9</v>
      </c>
      <c r="DE312" s="1239">
        <v>0.93</v>
      </c>
      <c r="DF312" s="1239">
        <v>0.96</v>
      </c>
      <c r="DG312" s="1239">
        <v>0.99</v>
      </c>
      <c r="DH312" s="1239">
        <v>1.02</v>
      </c>
      <c r="DI312" s="1239">
        <v>1.05</v>
      </c>
      <c r="DJ312" s="1239">
        <v>1.0900000000000001</v>
      </c>
      <c r="DK312" s="1239">
        <v>1.1200000000000001</v>
      </c>
      <c r="DL312" s="1239">
        <v>1.1499999999999999</v>
      </c>
      <c r="DM312" s="1239">
        <v>1.19</v>
      </c>
      <c r="DN312" s="1239">
        <v>1.22</v>
      </c>
      <c r="DO312" s="1279"/>
      <c r="DP312" s="1279"/>
      <c r="DQ312" s="1279"/>
      <c r="DR312" s="1279"/>
      <c r="DS312" s="1279"/>
      <c r="DT312" s="1279"/>
      <c r="DU312" s="1279"/>
    </row>
    <row r="313" spans="2:125" ht="15" customHeight="1">
      <c r="B313" s="1207">
        <v>21</v>
      </c>
      <c r="C313" s="1220">
        <v>2.11</v>
      </c>
      <c r="D313" s="1220">
        <v>2.11</v>
      </c>
      <c r="E313" s="1220">
        <v>2.11</v>
      </c>
      <c r="F313" s="1220">
        <v>2.11</v>
      </c>
      <c r="G313" s="1220">
        <v>2.11</v>
      </c>
      <c r="H313" s="1220">
        <v>2.11</v>
      </c>
      <c r="I313" s="1220">
        <v>2.11</v>
      </c>
      <c r="J313" s="1220">
        <v>2.11</v>
      </c>
      <c r="K313" s="1220">
        <v>2.11</v>
      </c>
      <c r="L313" s="1220">
        <v>2.11</v>
      </c>
      <c r="M313" s="1220">
        <v>2.11</v>
      </c>
      <c r="N313" s="1220">
        <v>2.13</v>
      </c>
      <c r="O313" s="1220">
        <v>2.14</v>
      </c>
      <c r="P313" s="1220">
        <v>2.16</v>
      </c>
      <c r="Q313" s="1220">
        <v>2.1800000000000002</v>
      </c>
      <c r="R313" s="1220">
        <v>2.21</v>
      </c>
      <c r="S313" s="1220">
        <v>2.23</v>
      </c>
      <c r="T313" s="1220">
        <v>2.27</v>
      </c>
      <c r="U313" s="1220">
        <v>2.2999999999999998</v>
      </c>
      <c r="V313" s="1220">
        <v>2.34</v>
      </c>
      <c r="W313" s="1220">
        <v>2.38</v>
      </c>
      <c r="Y313" s="1207">
        <v>21</v>
      </c>
      <c r="Z313" s="1220">
        <v>1.1599999999999999</v>
      </c>
      <c r="AA313" s="1220">
        <v>1.1599999999999999</v>
      </c>
      <c r="AB313" s="1220">
        <v>1.1599999999999999</v>
      </c>
      <c r="AC313" s="1220">
        <v>1.1599999999999999</v>
      </c>
      <c r="AD313" s="1220">
        <v>1.1599999999999999</v>
      </c>
      <c r="AE313" s="1220">
        <v>1.1599999999999999</v>
      </c>
      <c r="AF313" s="1220">
        <v>1.1599999999999999</v>
      </c>
      <c r="AG313" s="1220">
        <v>1.1599999999999999</v>
      </c>
      <c r="AH313" s="1220">
        <v>1.1599999999999999</v>
      </c>
      <c r="AI313" s="1220">
        <v>1.1599999999999999</v>
      </c>
      <c r="AJ313" s="1220">
        <v>1.1599999999999999</v>
      </c>
      <c r="AK313" s="1220">
        <v>1.1599999999999999</v>
      </c>
      <c r="AL313" s="1220">
        <v>1.1599999999999999</v>
      </c>
      <c r="AM313" s="1220">
        <v>1.1599999999999999</v>
      </c>
      <c r="AN313" s="1220">
        <v>1.1599999999999999</v>
      </c>
      <c r="AO313" s="1220">
        <v>1.1599999999999999</v>
      </c>
      <c r="AP313" s="1220">
        <v>1.1599999999999999</v>
      </c>
      <c r="AQ313" s="1220">
        <v>1.1599999999999999</v>
      </c>
      <c r="AR313" s="1220">
        <v>1.17</v>
      </c>
      <c r="AS313" s="1220">
        <v>1.19</v>
      </c>
      <c r="AT313" s="1220">
        <v>1.21</v>
      </c>
      <c r="AU313" s="1220">
        <v>1.24</v>
      </c>
      <c r="AV313" s="1220">
        <v>1.26</v>
      </c>
      <c r="AW313" s="1220">
        <v>1.29</v>
      </c>
      <c r="AX313" s="1220">
        <v>1.33</v>
      </c>
      <c r="AY313" s="1220">
        <v>1.36</v>
      </c>
      <c r="AZ313" s="1220">
        <v>1.4</v>
      </c>
      <c r="BA313" s="1220">
        <v>1.44</v>
      </c>
      <c r="BB313" s="1220">
        <v>1.48</v>
      </c>
      <c r="BC313" s="1220">
        <v>1.52</v>
      </c>
      <c r="BD313" s="1220">
        <v>1.56</v>
      </c>
      <c r="CP313" s="1238">
        <v>43</v>
      </c>
      <c r="CQ313" s="1239">
        <v>0.53</v>
      </c>
      <c r="CR313" s="1239">
        <v>0.55000000000000004</v>
      </c>
      <c r="CS313" s="1239">
        <v>0.57999999999999996</v>
      </c>
      <c r="CT313" s="1239">
        <v>0.61</v>
      </c>
      <c r="CU313" s="1239">
        <v>0.64</v>
      </c>
      <c r="CV313" s="1239">
        <v>0.7</v>
      </c>
      <c r="CW313" s="1239">
        <v>0.73</v>
      </c>
      <c r="CX313" s="1239">
        <v>0.77</v>
      </c>
      <c r="CY313" s="1239">
        <v>0.8</v>
      </c>
      <c r="CZ313" s="1239">
        <v>0.83</v>
      </c>
      <c r="DA313" s="1239">
        <v>0.88</v>
      </c>
      <c r="DB313" s="1239">
        <v>0.91</v>
      </c>
      <c r="DC313" s="1239">
        <v>0.95</v>
      </c>
      <c r="DD313" s="1239">
        <v>0.98</v>
      </c>
      <c r="DE313" s="1239">
        <v>1.01</v>
      </c>
      <c r="DF313" s="1239">
        <v>1.05</v>
      </c>
      <c r="DG313" s="1239">
        <v>1.08</v>
      </c>
      <c r="DH313" s="1239">
        <v>1.1100000000000001</v>
      </c>
      <c r="DI313" s="1239">
        <v>1.1499999999999999</v>
      </c>
      <c r="DJ313" s="1239">
        <v>1.18</v>
      </c>
      <c r="DK313" s="1239">
        <v>1.22</v>
      </c>
      <c r="DL313" s="1239">
        <v>1.25</v>
      </c>
      <c r="DM313" s="1239">
        <v>1.29</v>
      </c>
      <c r="DN313" s="1279"/>
      <c r="DO313" s="1279"/>
      <c r="DP313" s="1279"/>
      <c r="DQ313" s="1279"/>
      <c r="DR313" s="1279"/>
      <c r="DS313" s="1279"/>
      <c r="DT313" s="1279"/>
      <c r="DU313" s="1279"/>
    </row>
    <row r="314" spans="2:125" ht="15" customHeight="1">
      <c r="B314" s="1207">
        <v>22</v>
      </c>
      <c r="C314" s="1220">
        <v>2.13</v>
      </c>
      <c r="D314" s="1220">
        <v>2.13</v>
      </c>
      <c r="E314" s="1220">
        <v>2.13</v>
      </c>
      <c r="F314" s="1220">
        <v>2.13</v>
      </c>
      <c r="G314" s="1220">
        <v>2.13</v>
      </c>
      <c r="H314" s="1220">
        <v>2.13</v>
      </c>
      <c r="I314" s="1220">
        <v>2.13</v>
      </c>
      <c r="J314" s="1220">
        <v>2.13</v>
      </c>
      <c r="K314" s="1220">
        <v>2.13</v>
      </c>
      <c r="L314" s="1220">
        <v>2.13</v>
      </c>
      <c r="M314" s="1220">
        <v>2.14</v>
      </c>
      <c r="N314" s="1220">
        <v>2.16</v>
      </c>
      <c r="O314" s="1220">
        <v>2.1800000000000002</v>
      </c>
      <c r="P314" s="1220">
        <v>2.2000000000000002</v>
      </c>
      <c r="Q314" s="1220">
        <v>2.23</v>
      </c>
      <c r="R314" s="1220">
        <v>2.25</v>
      </c>
      <c r="S314" s="1220">
        <v>2.29</v>
      </c>
      <c r="T314" s="1220">
        <v>2.3199999999999998</v>
      </c>
      <c r="U314" s="1220">
        <v>2.36</v>
      </c>
      <c r="V314" s="1220">
        <v>2.4</v>
      </c>
      <c r="W314" s="1220">
        <v>2.4500000000000002</v>
      </c>
      <c r="Y314" s="1207">
        <v>22</v>
      </c>
      <c r="Z314" s="1220">
        <v>1.17</v>
      </c>
      <c r="AA314" s="1220">
        <v>1.17</v>
      </c>
      <c r="AB314" s="1220">
        <v>1.17</v>
      </c>
      <c r="AC314" s="1220">
        <v>1.17</v>
      </c>
      <c r="AD314" s="1220">
        <v>1.17</v>
      </c>
      <c r="AE314" s="1220">
        <v>1.17</v>
      </c>
      <c r="AF314" s="1220">
        <v>1.17</v>
      </c>
      <c r="AG314" s="1220">
        <v>1.17</v>
      </c>
      <c r="AH314" s="1220">
        <v>1.17</v>
      </c>
      <c r="AI314" s="1220">
        <v>1.17</v>
      </c>
      <c r="AJ314" s="1220">
        <v>1.17</v>
      </c>
      <c r="AK314" s="1220">
        <v>1.17</v>
      </c>
      <c r="AL314" s="1220">
        <v>1.17</v>
      </c>
      <c r="AM314" s="1220">
        <v>1.17</v>
      </c>
      <c r="AN314" s="1220">
        <v>1.17</v>
      </c>
      <c r="AO314" s="1220">
        <v>1.17</v>
      </c>
      <c r="AP314" s="1220">
        <v>1.17</v>
      </c>
      <c r="AQ314" s="1220">
        <v>1.19</v>
      </c>
      <c r="AR314" s="1220">
        <v>1.21</v>
      </c>
      <c r="AS314" s="1220">
        <v>1.23</v>
      </c>
      <c r="AT314" s="1220">
        <v>1.26</v>
      </c>
      <c r="AU314" s="1220">
        <v>1.29</v>
      </c>
      <c r="AV314" s="1220">
        <v>1.32</v>
      </c>
      <c r="AW314" s="1220">
        <v>1.35</v>
      </c>
      <c r="AX314" s="1220">
        <v>1.39</v>
      </c>
      <c r="AY314" s="1220">
        <v>1.43</v>
      </c>
      <c r="AZ314" s="1220">
        <v>1.47</v>
      </c>
      <c r="BA314" s="1220">
        <v>1.51</v>
      </c>
      <c r="BB314" s="1220">
        <v>1.56</v>
      </c>
      <c r="BC314" s="1220">
        <v>1.6</v>
      </c>
      <c r="BD314" s="1220">
        <v>1.65</v>
      </c>
      <c r="CP314" s="1238">
        <v>44</v>
      </c>
      <c r="CQ314" s="1239">
        <v>0.59</v>
      </c>
      <c r="CR314" s="1239">
        <v>0.61</v>
      </c>
      <c r="CS314" s="1239">
        <v>0.65</v>
      </c>
      <c r="CT314" s="1239">
        <v>0.68</v>
      </c>
      <c r="CU314" s="1239">
        <v>0.71</v>
      </c>
      <c r="CV314" s="1239">
        <v>0.78</v>
      </c>
      <c r="CW314" s="1239">
        <v>0.81</v>
      </c>
      <c r="CX314" s="1239">
        <v>0.84</v>
      </c>
      <c r="CY314" s="1239">
        <v>0.88</v>
      </c>
      <c r="CZ314" s="1239">
        <v>0.91</v>
      </c>
      <c r="DA314" s="1239">
        <v>0.97</v>
      </c>
      <c r="DB314" s="1239">
        <v>1</v>
      </c>
      <c r="DC314" s="1239">
        <v>1.03</v>
      </c>
      <c r="DD314" s="1239">
        <v>1.07</v>
      </c>
      <c r="DE314" s="1239">
        <v>1.1100000000000001</v>
      </c>
      <c r="DF314" s="1239">
        <v>1.1399999999999999</v>
      </c>
      <c r="DG314" s="1239">
        <v>1.18</v>
      </c>
      <c r="DH314" s="1239">
        <v>1.21</v>
      </c>
      <c r="DI314" s="1239">
        <v>1.25</v>
      </c>
      <c r="DJ314" s="1239">
        <v>1.29</v>
      </c>
      <c r="DK314" s="1239">
        <v>1.32</v>
      </c>
      <c r="DL314" s="1239">
        <v>1.36</v>
      </c>
      <c r="DM314" s="1279"/>
      <c r="DN314" s="1279"/>
      <c r="DO314" s="1279"/>
      <c r="DP314" s="1279"/>
      <c r="DQ314" s="1279"/>
      <c r="DR314" s="1279"/>
      <c r="DS314" s="1279"/>
      <c r="DT314" s="1279"/>
      <c r="DU314" s="1279"/>
    </row>
    <row r="315" spans="2:125" ht="15" customHeight="1">
      <c r="B315" s="1207">
        <v>23</v>
      </c>
      <c r="C315" s="1220">
        <v>2.14</v>
      </c>
      <c r="D315" s="1220">
        <v>2.14</v>
      </c>
      <c r="E315" s="1220">
        <v>2.14</v>
      </c>
      <c r="F315" s="1220">
        <v>2.14</v>
      </c>
      <c r="G315" s="1220">
        <v>2.14</v>
      </c>
      <c r="H315" s="1220">
        <v>2.14</v>
      </c>
      <c r="I315" s="1220">
        <v>2.14</v>
      </c>
      <c r="J315" s="1220">
        <v>2.14</v>
      </c>
      <c r="K315" s="1220">
        <v>2.14</v>
      </c>
      <c r="L315" s="1220">
        <v>2.14</v>
      </c>
      <c r="M315" s="1220">
        <v>2.1800000000000002</v>
      </c>
      <c r="N315" s="1220">
        <v>2.2000000000000002</v>
      </c>
      <c r="O315" s="1220">
        <v>2.2200000000000002</v>
      </c>
      <c r="P315" s="1220">
        <v>2.2400000000000002</v>
      </c>
      <c r="Q315" s="1220">
        <v>2.27</v>
      </c>
      <c r="R315" s="1220">
        <v>2.31</v>
      </c>
      <c r="S315" s="1220">
        <v>2.34</v>
      </c>
      <c r="T315" s="1220">
        <v>2.38</v>
      </c>
      <c r="U315" s="1220">
        <v>2.4300000000000002</v>
      </c>
      <c r="V315" s="1220">
        <v>2.48</v>
      </c>
      <c r="W315" s="1220">
        <v>2.5299999999999998</v>
      </c>
      <c r="Y315" s="1207">
        <v>23</v>
      </c>
      <c r="Z315" s="1220">
        <v>1.18</v>
      </c>
      <c r="AA315" s="1220">
        <v>1.18</v>
      </c>
      <c r="AB315" s="1220">
        <v>1.18</v>
      </c>
      <c r="AC315" s="1220">
        <v>1.18</v>
      </c>
      <c r="AD315" s="1220">
        <v>1.18</v>
      </c>
      <c r="AE315" s="1220">
        <v>1.18</v>
      </c>
      <c r="AF315" s="1220">
        <v>1.18</v>
      </c>
      <c r="AG315" s="1220">
        <v>1.18</v>
      </c>
      <c r="AH315" s="1220">
        <v>1.18</v>
      </c>
      <c r="AI315" s="1220">
        <v>1.18</v>
      </c>
      <c r="AJ315" s="1220">
        <v>1.18</v>
      </c>
      <c r="AK315" s="1220">
        <v>1.18</v>
      </c>
      <c r="AL315" s="1220">
        <v>1.18</v>
      </c>
      <c r="AM315" s="1220">
        <v>1.18</v>
      </c>
      <c r="AN315" s="1220">
        <v>1.18</v>
      </c>
      <c r="AO315" s="1220">
        <v>1.18</v>
      </c>
      <c r="AP315" s="1220">
        <v>1.2</v>
      </c>
      <c r="AQ315" s="1220">
        <v>1.23</v>
      </c>
      <c r="AR315" s="1220">
        <v>1.25</v>
      </c>
      <c r="AS315" s="1220">
        <v>1.28</v>
      </c>
      <c r="AT315" s="1220">
        <v>1.31</v>
      </c>
      <c r="AU315" s="1220">
        <v>1.34</v>
      </c>
      <c r="AV315" s="1220">
        <v>1.38</v>
      </c>
      <c r="AW315" s="1220">
        <v>1.42</v>
      </c>
      <c r="AX315" s="1220">
        <v>1.46</v>
      </c>
      <c r="AY315" s="1220">
        <v>1.5</v>
      </c>
      <c r="AZ315" s="1220">
        <v>1.55</v>
      </c>
      <c r="BA315" s="1220">
        <v>1.6</v>
      </c>
      <c r="BB315" s="1220">
        <v>1.64</v>
      </c>
      <c r="BC315" s="1220">
        <v>1.69</v>
      </c>
      <c r="BD315" s="1220">
        <v>1.74</v>
      </c>
      <c r="CP315" s="1238">
        <v>45</v>
      </c>
      <c r="CQ315" s="1239">
        <v>0.65</v>
      </c>
      <c r="CR315" s="1239">
        <v>0.68</v>
      </c>
      <c r="CS315" s="1239">
        <v>0.72</v>
      </c>
      <c r="CT315" s="1239">
        <v>0.75</v>
      </c>
      <c r="CU315" s="1239">
        <v>0.79</v>
      </c>
      <c r="CV315" s="1239">
        <v>0.86</v>
      </c>
      <c r="CW315" s="1239">
        <v>0.9</v>
      </c>
      <c r="CX315" s="1239">
        <v>0.93</v>
      </c>
      <c r="CY315" s="1239">
        <v>0.97</v>
      </c>
      <c r="CZ315" s="1239">
        <v>1</v>
      </c>
      <c r="DA315" s="1239">
        <v>1.06</v>
      </c>
      <c r="DB315" s="1239">
        <v>1.0900000000000001</v>
      </c>
      <c r="DC315" s="1239">
        <v>1.1299999999999999</v>
      </c>
      <c r="DD315" s="1239">
        <v>1.17</v>
      </c>
      <c r="DE315" s="1239">
        <v>1.2</v>
      </c>
      <c r="DF315" s="1239">
        <v>1.24</v>
      </c>
      <c r="DG315" s="1239">
        <v>1.28</v>
      </c>
      <c r="DH315" s="1239">
        <v>1.32</v>
      </c>
      <c r="DI315" s="1239">
        <v>1.36</v>
      </c>
      <c r="DJ315" s="1239">
        <v>1.39</v>
      </c>
      <c r="DK315" s="1239">
        <v>1.43</v>
      </c>
      <c r="DL315" s="1279"/>
      <c r="DM315" s="1279"/>
      <c r="DN315" s="1279"/>
      <c r="DO315" s="1279"/>
      <c r="DP315" s="1279"/>
      <c r="DQ315" s="1279"/>
      <c r="DR315" s="1279"/>
      <c r="DS315" s="1279"/>
      <c r="DT315" s="1279"/>
      <c r="DU315" s="1279"/>
    </row>
    <row r="316" spans="2:125" ht="15" customHeight="1">
      <c r="B316" s="1207">
        <v>24</v>
      </c>
      <c r="C316" s="1220">
        <v>2.16</v>
      </c>
      <c r="D316" s="1220">
        <v>2.16</v>
      </c>
      <c r="E316" s="1220">
        <v>2.16</v>
      </c>
      <c r="F316" s="1220">
        <v>2.16</v>
      </c>
      <c r="G316" s="1220">
        <v>2.16</v>
      </c>
      <c r="H316" s="1220">
        <v>2.16</v>
      </c>
      <c r="I316" s="1220">
        <v>2.16</v>
      </c>
      <c r="J316" s="1220">
        <v>2.16</v>
      </c>
      <c r="K316" s="1220">
        <v>2.16</v>
      </c>
      <c r="L316" s="1220">
        <v>2.16</v>
      </c>
      <c r="M316" s="1220">
        <v>2.21</v>
      </c>
      <c r="N316" s="1220">
        <v>2.2400000000000002</v>
      </c>
      <c r="O316" s="1220">
        <v>2.2599999999999998</v>
      </c>
      <c r="P316" s="1220">
        <v>2.29</v>
      </c>
      <c r="Q316" s="1220">
        <v>2.33</v>
      </c>
      <c r="R316" s="1220">
        <v>2.37</v>
      </c>
      <c r="S316" s="1220">
        <v>2.41</v>
      </c>
      <c r="T316" s="1220">
        <v>2.46</v>
      </c>
      <c r="U316" s="1220">
        <v>2.5099999999999998</v>
      </c>
      <c r="V316" s="1220">
        <v>2.56</v>
      </c>
      <c r="W316" s="1220">
        <v>2.62</v>
      </c>
      <c r="Y316" s="1207">
        <v>24</v>
      </c>
      <c r="Z316" s="1220">
        <v>1.19</v>
      </c>
      <c r="AA316" s="1220">
        <v>1.19</v>
      </c>
      <c r="AB316" s="1220">
        <v>1.19</v>
      </c>
      <c r="AC316" s="1220">
        <v>1.19</v>
      </c>
      <c r="AD316" s="1220">
        <v>1.19</v>
      </c>
      <c r="AE316" s="1220">
        <v>1.19</v>
      </c>
      <c r="AF316" s="1220">
        <v>1.19</v>
      </c>
      <c r="AG316" s="1220">
        <v>1.19</v>
      </c>
      <c r="AH316" s="1220">
        <v>1.19</v>
      </c>
      <c r="AI316" s="1220">
        <v>1.19</v>
      </c>
      <c r="AJ316" s="1220">
        <v>1.19</v>
      </c>
      <c r="AK316" s="1220">
        <v>1.19</v>
      </c>
      <c r="AL316" s="1220">
        <v>1.19</v>
      </c>
      <c r="AM316" s="1220">
        <v>1.19</v>
      </c>
      <c r="AN316" s="1220">
        <v>1.2</v>
      </c>
      <c r="AO316" s="1220">
        <v>1.22</v>
      </c>
      <c r="AP316" s="1220">
        <v>1.25</v>
      </c>
      <c r="AQ316" s="1220">
        <v>1.27</v>
      </c>
      <c r="AR316" s="1220">
        <v>1.3</v>
      </c>
      <c r="AS316" s="1220">
        <v>1.33</v>
      </c>
      <c r="AT316" s="1220">
        <v>1.37</v>
      </c>
      <c r="AU316" s="1220">
        <v>1.41</v>
      </c>
      <c r="AV316" s="1220">
        <v>1.45</v>
      </c>
      <c r="AW316" s="1220">
        <v>1.49</v>
      </c>
      <c r="AX316" s="1220">
        <v>1.54</v>
      </c>
      <c r="AY316" s="1220">
        <v>1.59</v>
      </c>
      <c r="AZ316" s="1220">
        <v>1.64</v>
      </c>
      <c r="BA316" s="1220">
        <v>1.69</v>
      </c>
      <c r="BB316" s="1220">
        <v>1.74</v>
      </c>
      <c r="BC316" s="1220">
        <v>1.79</v>
      </c>
      <c r="BD316" s="1307">
        <v>1.85</v>
      </c>
      <c r="CP316" s="1238">
        <v>46</v>
      </c>
      <c r="CQ316" s="1239">
        <v>0.73</v>
      </c>
      <c r="CR316" s="1239">
        <v>0.76</v>
      </c>
      <c r="CS316" s="1239">
        <v>0.8</v>
      </c>
      <c r="CT316" s="1239">
        <v>0.84</v>
      </c>
      <c r="CU316" s="1239">
        <v>0.87</v>
      </c>
      <c r="CV316" s="1239">
        <v>0.95</v>
      </c>
      <c r="CW316" s="1239">
        <v>0.99</v>
      </c>
      <c r="CX316" s="1239">
        <v>1.02</v>
      </c>
      <c r="CY316" s="1239">
        <v>1.06</v>
      </c>
      <c r="CZ316" s="1239">
        <v>1.1000000000000001</v>
      </c>
      <c r="DA316" s="1239">
        <v>1.1599999999999999</v>
      </c>
      <c r="DB316" s="1239">
        <v>1.2</v>
      </c>
      <c r="DC316" s="1239">
        <v>1.23</v>
      </c>
      <c r="DD316" s="1239">
        <v>1.27</v>
      </c>
      <c r="DE316" s="1239">
        <v>1.31</v>
      </c>
      <c r="DF316" s="1239">
        <v>1.35</v>
      </c>
      <c r="DG316" s="1239">
        <v>1.39</v>
      </c>
      <c r="DH316" s="1239">
        <v>1.43</v>
      </c>
      <c r="DI316" s="1239">
        <v>1.47</v>
      </c>
      <c r="DJ316" s="1239">
        <v>1.51</v>
      </c>
      <c r="DK316" s="1279"/>
      <c r="DL316" s="1279"/>
      <c r="DM316" s="1279"/>
      <c r="DN316" s="1279"/>
      <c r="DO316" s="1279"/>
      <c r="DP316" s="1279"/>
      <c r="DQ316" s="1279"/>
      <c r="DR316" s="1279"/>
      <c r="DS316" s="1279"/>
      <c r="DT316" s="1279"/>
      <c r="DU316" s="1279"/>
    </row>
    <row r="317" spans="2:125" ht="15" customHeight="1">
      <c r="B317" s="1207">
        <v>25</v>
      </c>
      <c r="C317" s="1220">
        <v>2.17</v>
      </c>
      <c r="D317" s="1220">
        <v>2.17</v>
      </c>
      <c r="E317" s="1220">
        <v>2.17</v>
      </c>
      <c r="F317" s="1220">
        <v>2.17</v>
      </c>
      <c r="G317" s="1220">
        <v>2.17</v>
      </c>
      <c r="H317" s="1220">
        <v>2.17</v>
      </c>
      <c r="I317" s="1220">
        <v>2.17</v>
      </c>
      <c r="J317" s="1220">
        <v>2.17</v>
      </c>
      <c r="K317" s="1220">
        <v>2.17</v>
      </c>
      <c r="L317" s="1220">
        <v>2.1800000000000002</v>
      </c>
      <c r="M317" s="1220">
        <v>2.2599999999999998</v>
      </c>
      <c r="N317" s="1220">
        <v>2.29</v>
      </c>
      <c r="O317" s="1220">
        <v>2.3199999999999998</v>
      </c>
      <c r="P317" s="1220">
        <v>2.35</v>
      </c>
      <c r="Q317" s="1220">
        <v>2.39</v>
      </c>
      <c r="R317" s="1220">
        <v>2.44</v>
      </c>
      <c r="S317" s="1220">
        <v>2.4900000000000002</v>
      </c>
      <c r="T317" s="1220">
        <v>2.54</v>
      </c>
      <c r="U317" s="1220">
        <v>2.6</v>
      </c>
      <c r="V317" s="1220">
        <v>2.66</v>
      </c>
      <c r="W317" s="1220">
        <v>2.73</v>
      </c>
      <c r="Y317" s="1207">
        <v>25</v>
      </c>
      <c r="Z317" s="1220">
        <v>1.2</v>
      </c>
      <c r="AA317" s="1220">
        <v>1.2</v>
      </c>
      <c r="AB317" s="1220">
        <v>1.2</v>
      </c>
      <c r="AC317" s="1220">
        <v>1.2</v>
      </c>
      <c r="AD317" s="1220">
        <v>1.2</v>
      </c>
      <c r="AE317" s="1220">
        <v>1.2</v>
      </c>
      <c r="AF317" s="1220">
        <v>1.2</v>
      </c>
      <c r="AG317" s="1220">
        <v>1.2</v>
      </c>
      <c r="AH317" s="1220">
        <v>1.2</v>
      </c>
      <c r="AI317" s="1220">
        <v>1.2</v>
      </c>
      <c r="AJ317" s="1220">
        <v>1.2</v>
      </c>
      <c r="AK317" s="1220">
        <v>1.2</v>
      </c>
      <c r="AL317" s="1220">
        <v>1.2</v>
      </c>
      <c r="AM317" s="1220">
        <v>1.22</v>
      </c>
      <c r="AN317" s="1220">
        <v>1.24</v>
      </c>
      <c r="AO317" s="1220">
        <v>1.27</v>
      </c>
      <c r="AP317" s="1220">
        <v>1.3</v>
      </c>
      <c r="AQ317" s="1220">
        <v>1.33</v>
      </c>
      <c r="AR317" s="1220">
        <v>1.36</v>
      </c>
      <c r="AS317" s="1220">
        <v>1.4</v>
      </c>
      <c r="AT317" s="1220">
        <v>1.44</v>
      </c>
      <c r="AU317" s="1220">
        <v>1.48</v>
      </c>
      <c r="AV317" s="1220">
        <v>1.53</v>
      </c>
      <c r="AW317" s="1220">
        <v>1.58</v>
      </c>
      <c r="AX317" s="1220">
        <v>1.63</v>
      </c>
      <c r="AY317" s="1220">
        <v>1.68</v>
      </c>
      <c r="AZ317" s="1220">
        <v>1.73</v>
      </c>
      <c r="BA317" s="1220">
        <v>1.79</v>
      </c>
      <c r="BB317" s="1220">
        <v>1.85</v>
      </c>
      <c r="BC317" s="1220">
        <v>1.9</v>
      </c>
      <c r="BD317" s="1220">
        <v>1.96</v>
      </c>
      <c r="CP317" s="1238">
        <v>47</v>
      </c>
      <c r="CQ317" s="1239">
        <v>0.81</v>
      </c>
      <c r="CR317" s="1239">
        <v>0.85</v>
      </c>
      <c r="CS317" s="1239">
        <v>0.89</v>
      </c>
      <c r="CT317" s="1239">
        <v>0.93</v>
      </c>
      <c r="CU317" s="1239">
        <v>0.97</v>
      </c>
      <c r="CV317" s="1239">
        <v>1.05</v>
      </c>
      <c r="CW317" s="1239">
        <v>1.08</v>
      </c>
      <c r="CX317" s="1239">
        <v>1.1200000000000001</v>
      </c>
      <c r="CY317" s="1239">
        <v>1.1599999999999999</v>
      </c>
      <c r="CZ317" s="1239">
        <v>1.2</v>
      </c>
      <c r="DA317" s="1239">
        <v>1.26</v>
      </c>
      <c r="DB317" s="1239">
        <v>1.3</v>
      </c>
      <c r="DC317" s="1239">
        <v>1.34</v>
      </c>
      <c r="DD317" s="1239">
        <v>1.38</v>
      </c>
      <c r="DE317" s="1239">
        <v>1.43</v>
      </c>
      <c r="DF317" s="1239">
        <v>1.47</v>
      </c>
      <c r="DG317" s="1239">
        <v>1.51</v>
      </c>
      <c r="DH317" s="1239">
        <v>1.55</v>
      </c>
      <c r="DI317" s="1239">
        <v>1.6</v>
      </c>
      <c r="DJ317" s="1279"/>
      <c r="DK317" s="1279"/>
      <c r="DL317" s="1279"/>
      <c r="DM317" s="1279"/>
      <c r="DN317" s="1279"/>
      <c r="DO317" s="1279"/>
      <c r="DP317" s="1279"/>
      <c r="DQ317" s="1279"/>
      <c r="DR317" s="1279"/>
      <c r="DS317" s="1279"/>
      <c r="DT317" s="1279"/>
      <c r="DU317" s="1279"/>
    </row>
    <row r="318" spans="2:125" ht="15" customHeight="1">
      <c r="B318" s="1207">
        <v>26</v>
      </c>
      <c r="C318" s="1220">
        <v>2.19</v>
      </c>
      <c r="D318" s="1220">
        <v>2.19</v>
      </c>
      <c r="E318" s="1220">
        <v>2.19</v>
      </c>
      <c r="F318" s="1220">
        <v>2.19</v>
      </c>
      <c r="G318" s="1220">
        <v>2.19</v>
      </c>
      <c r="H318" s="1220">
        <v>2.19</v>
      </c>
      <c r="I318" s="1220">
        <v>2.19</v>
      </c>
      <c r="J318" s="1220">
        <v>2.19</v>
      </c>
      <c r="K318" s="1220">
        <v>2.21</v>
      </c>
      <c r="L318" s="1220">
        <v>2.23</v>
      </c>
      <c r="M318" s="1220">
        <v>2.31</v>
      </c>
      <c r="N318" s="1220">
        <v>2.35</v>
      </c>
      <c r="O318" s="1220">
        <v>2.38</v>
      </c>
      <c r="P318" s="1220">
        <v>2.42</v>
      </c>
      <c r="Q318" s="1220">
        <v>2.4700000000000002</v>
      </c>
      <c r="R318" s="1220">
        <v>2.52</v>
      </c>
      <c r="S318" s="1220">
        <v>2.58</v>
      </c>
      <c r="T318" s="1220">
        <v>2.64</v>
      </c>
      <c r="U318" s="1220">
        <v>2.71</v>
      </c>
      <c r="V318" s="1220">
        <v>2.78</v>
      </c>
      <c r="W318" s="1220">
        <v>2.85</v>
      </c>
      <c r="Y318" s="1207">
        <v>26</v>
      </c>
      <c r="Z318" s="1220">
        <v>1.21</v>
      </c>
      <c r="AA318" s="1220">
        <v>1.21</v>
      </c>
      <c r="AB318" s="1220">
        <v>1.21</v>
      </c>
      <c r="AC318" s="1220">
        <v>1.21</v>
      </c>
      <c r="AD318" s="1220">
        <v>1.21</v>
      </c>
      <c r="AE318" s="1220">
        <v>1.21</v>
      </c>
      <c r="AF318" s="1220">
        <v>1.21</v>
      </c>
      <c r="AG318" s="1220">
        <v>1.21</v>
      </c>
      <c r="AH318" s="1220">
        <v>1.21</v>
      </c>
      <c r="AI318" s="1220">
        <v>1.21</v>
      </c>
      <c r="AJ318" s="1220">
        <v>1.21</v>
      </c>
      <c r="AK318" s="1220">
        <v>1.23</v>
      </c>
      <c r="AL318" s="1220">
        <v>1.24</v>
      </c>
      <c r="AM318" s="1220">
        <v>1.27</v>
      </c>
      <c r="AN318" s="1220">
        <v>1.29</v>
      </c>
      <c r="AO318" s="1220">
        <v>1.32</v>
      </c>
      <c r="AP318" s="1220">
        <v>1.35</v>
      </c>
      <c r="AQ318" s="1220">
        <v>1.39</v>
      </c>
      <c r="AR318" s="1220">
        <v>1.43</v>
      </c>
      <c r="AS318" s="1220">
        <v>1.47</v>
      </c>
      <c r="AT318" s="1220">
        <v>1.52</v>
      </c>
      <c r="AU318" s="1220">
        <v>1.57</v>
      </c>
      <c r="AV318" s="1220">
        <v>1.62</v>
      </c>
      <c r="AW318" s="1220">
        <v>1.67</v>
      </c>
      <c r="AX318" s="1220">
        <v>1.73</v>
      </c>
      <c r="AY318" s="1220">
        <v>1.78</v>
      </c>
      <c r="AZ318" s="1220">
        <v>1.84</v>
      </c>
      <c r="BA318" s="1220">
        <v>1.9</v>
      </c>
      <c r="BB318" s="1220">
        <v>1.96</v>
      </c>
      <c r="BC318" s="1220">
        <v>2.02</v>
      </c>
      <c r="BD318" s="1220">
        <v>2.09</v>
      </c>
      <c r="CP318" s="1238">
        <v>48</v>
      </c>
      <c r="CQ318" s="1239">
        <v>0.9</v>
      </c>
      <c r="CR318" s="1239">
        <v>0.94</v>
      </c>
      <c r="CS318" s="1239">
        <v>0.98</v>
      </c>
      <c r="CT318" s="1239">
        <v>1.02</v>
      </c>
      <c r="CU318" s="1239">
        <v>1.06</v>
      </c>
      <c r="CV318" s="1239">
        <v>1.1499999999999999</v>
      </c>
      <c r="CW318" s="1239">
        <v>1.19</v>
      </c>
      <c r="CX318" s="1239">
        <v>1.23</v>
      </c>
      <c r="CY318" s="1239">
        <v>1.27</v>
      </c>
      <c r="CZ318" s="1239">
        <v>1.31</v>
      </c>
      <c r="DA318" s="1239">
        <v>1.38</v>
      </c>
      <c r="DB318" s="1239">
        <v>1.42</v>
      </c>
      <c r="DC318" s="1239">
        <v>1.46</v>
      </c>
      <c r="DD318" s="1239">
        <v>1.5</v>
      </c>
      <c r="DE318" s="1239">
        <v>1.55</v>
      </c>
      <c r="DF318" s="1239">
        <v>1.59</v>
      </c>
      <c r="DG318" s="1239">
        <v>1.64</v>
      </c>
      <c r="DH318" s="1239">
        <v>1.68</v>
      </c>
      <c r="DI318" s="1279"/>
      <c r="DJ318" s="1279"/>
      <c r="DK318" s="1279"/>
      <c r="DL318" s="1279"/>
      <c r="DM318" s="1279"/>
      <c r="DN318" s="1279"/>
      <c r="DO318" s="1279"/>
      <c r="DP318" s="1279"/>
      <c r="DQ318" s="1279"/>
      <c r="DR318" s="1279"/>
      <c r="DS318" s="1279"/>
      <c r="DT318" s="1279"/>
      <c r="DU318" s="1279"/>
    </row>
    <row r="319" spans="2:125" ht="15" customHeight="1">
      <c r="B319" s="1207">
        <v>27</v>
      </c>
      <c r="C319" s="1220">
        <v>2.21</v>
      </c>
      <c r="D319" s="1220">
        <v>2.21</v>
      </c>
      <c r="E319" s="1220">
        <v>2.21</v>
      </c>
      <c r="F319" s="1220">
        <v>2.21</v>
      </c>
      <c r="G319" s="1220">
        <v>2.21</v>
      </c>
      <c r="H319" s="1220">
        <v>2.21</v>
      </c>
      <c r="I319" s="1220">
        <v>2.21</v>
      </c>
      <c r="J319" s="1220">
        <v>2.23</v>
      </c>
      <c r="K319" s="1220">
        <v>2.2599999999999998</v>
      </c>
      <c r="L319" s="1220">
        <v>2.29</v>
      </c>
      <c r="M319" s="1220">
        <v>2.38</v>
      </c>
      <c r="N319" s="1220">
        <v>2.42</v>
      </c>
      <c r="O319" s="1220">
        <v>2.46</v>
      </c>
      <c r="P319" s="1220">
        <v>2.5099999999999998</v>
      </c>
      <c r="Q319" s="1220">
        <v>2.56</v>
      </c>
      <c r="R319" s="1220">
        <v>2.62</v>
      </c>
      <c r="S319" s="1220">
        <v>2.68</v>
      </c>
      <c r="T319" s="1220">
        <v>2.75</v>
      </c>
      <c r="U319" s="1220">
        <v>2.83</v>
      </c>
      <c r="V319" s="1220">
        <v>2.91</v>
      </c>
      <c r="W319" s="1220">
        <v>2.99</v>
      </c>
      <c r="Y319" s="1207">
        <v>27</v>
      </c>
      <c r="Z319" s="1220">
        <v>1.22</v>
      </c>
      <c r="AA319" s="1220">
        <v>1.22</v>
      </c>
      <c r="AB319" s="1220">
        <v>1.22</v>
      </c>
      <c r="AC319" s="1220">
        <v>1.22</v>
      </c>
      <c r="AD319" s="1220">
        <v>1.22</v>
      </c>
      <c r="AE319" s="1220">
        <v>1.22</v>
      </c>
      <c r="AF319" s="1220">
        <v>1.22</v>
      </c>
      <c r="AG319" s="1220">
        <v>1.22</v>
      </c>
      <c r="AH319" s="1220">
        <v>1.22</v>
      </c>
      <c r="AI319" s="1220">
        <v>1.22</v>
      </c>
      <c r="AJ319" s="1220">
        <v>1.25</v>
      </c>
      <c r="AK319" s="1220">
        <v>1.27</v>
      </c>
      <c r="AL319" s="1220">
        <v>1.29</v>
      </c>
      <c r="AM319" s="1220">
        <v>1.32</v>
      </c>
      <c r="AN319" s="1220">
        <v>1.35</v>
      </c>
      <c r="AO319" s="1220">
        <v>1.38</v>
      </c>
      <c r="AP319" s="1220">
        <v>1.42</v>
      </c>
      <c r="AQ319" s="1220">
        <v>1.46</v>
      </c>
      <c r="AR319" s="1220">
        <v>1.51</v>
      </c>
      <c r="AS319" s="1220">
        <v>1.56</v>
      </c>
      <c r="AT319" s="1220">
        <v>1.61</v>
      </c>
      <c r="AU319" s="1220">
        <v>1.66</v>
      </c>
      <c r="AV319" s="1220">
        <v>1.72</v>
      </c>
      <c r="AW319" s="1220">
        <v>1.78</v>
      </c>
      <c r="AX319" s="1220">
        <v>1.84</v>
      </c>
      <c r="AY319" s="1220">
        <v>1.9</v>
      </c>
      <c r="AZ319" s="1220">
        <v>1.96</v>
      </c>
      <c r="BA319" s="1220">
        <v>2.0299999999999998</v>
      </c>
      <c r="BB319" s="1220">
        <v>2.09</v>
      </c>
      <c r="BC319" s="1220">
        <v>2.16</v>
      </c>
      <c r="BD319" s="1220">
        <v>2.2200000000000002</v>
      </c>
      <c r="CP319" s="1238">
        <v>49</v>
      </c>
      <c r="CQ319" s="1239">
        <v>1</v>
      </c>
      <c r="CR319" s="1239">
        <v>1.04</v>
      </c>
      <c r="CS319" s="1239">
        <v>1.08</v>
      </c>
      <c r="CT319" s="1239">
        <v>1.1200000000000001</v>
      </c>
      <c r="CU319" s="1239">
        <v>1.17</v>
      </c>
      <c r="CV319" s="1239">
        <v>1.26</v>
      </c>
      <c r="CW319" s="1239">
        <v>1.3</v>
      </c>
      <c r="CX319" s="1239">
        <v>1.34</v>
      </c>
      <c r="CY319" s="1239">
        <v>1.38</v>
      </c>
      <c r="CZ319" s="1239">
        <v>1.43</v>
      </c>
      <c r="DA319" s="1239">
        <v>1.5</v>
      </c>
      <c r="DB319" s="1239">
        <v>1.54</v>
      </c>
      <c r="DC319" s="1239">
        <v>1.58</v>
      </c>
      <c r="DD319" s="1239">
        <v>1.63</v>
      </c>
      <c r="DE319" s="1239">
        <v>1.68</v>
      </c>
      <c r="DF319" s="1239">
        <v>1.73</v>
      </c>
      <c r="DG319" s="1239">
        <v>1.78</v>
      </c>
      <c r="DH319" s="1279"/>
      <c r="DI319" s="1279"/>
      <c r="DJ319" s="1279"/>
      <c r="DK319" s="1279"/>
      <c r="DL319" s="1279"/>
      <c r="DM319" s="1279"/>
      <c r="DN319" s="1279"/>
      <c r="DO319" s="1279"/>
      <c r="DP319" s="1279"/>
      <c r="DQ319" s="1279"/>
      <c r="DR319" s="1279"/>
      <c r="DS319" s="1279"/>
      <c r="DT319" s="1279"/>
      <c r="DU319" s="1279"/>
    </row>
    <row r="320" spans="2:125" ht="15" customHeight="1">
      <c r="B320" s="1207">
        <v>28</v>
      </c>
      <c r="C320" s="1220">
        <v>2.23</v>
      </c>
      <c r="D320" s="1220">
        <v>2.23</v>
      </c>
      <c r="E320" s="1220">
        <v>2.23</v>
      </c>
      <c r="F320" s="1220">
        <v>2.23</v>
      </c>
      <c r="G320" s="1220">
        <v>2.23</v>
      </c>
      <c r="H320" s="1220">
        <v>2.25</v>
      </c>
      <c r="I320" s="1220">
        <v>2.27</v>
      </c>
      <c r="J320" s="1220">
        <v>2.29</v>
      </c>
      <c r="K320" s="1220">
        <v>2.3199999999999998</v>
      </c>
      <c r="L320" s="1220">
        <v>2.36</v>
      </c>
      <c r="M320" s="1220">
        <v>2.4500000000000002</v>
      </c>
      <c r="N320" s="1220">
        <v>2.5</v>
      </c>
      <c r="O320" s="1220">
        <v>2.5499999999999998</v>
      </c>
      <c r="P320" s="1220">
        <v>2.6</v>
      </c>
      <c r="Q320" s="1220">
        <v>2.67</v>
      </c>
      <c r="R320" s="1220">
        <v>2.73</v>
      </c>
      <c r="S320" s="1220">
        <v>2.81</v>
      </c>
      <c r="T320" s="1220">
        <v>2.89</v>
      </c>
      <c r="U320" s="1220">
        <v>2.97</v>
      </c>
      <c r="V320" s="1220">
        <v>3.06</v>
      </c>
      <c r="W320" s="1220">
        <v>3.15</v>
      </c>
      <c r="Y320" s="1207">
        <v>28</v>
      </c>
      <c r="Z320" s="1220">
        <v>1.24</v>
      </c>
      <c r="AA320" s="1220">
        <v>1.24</v>
      </c>
      <c r="AB320" s="1220">
        <v>1.24</v>
      </c>
      <c r="AC320" s="1220">
        <v>1.24</v>
      </c>
      <c r="AD320" s="1220">
        <v>1.24</v>
      </c>
      <c r="AE320" s="1220">
        <v>1.24</v>
      </c>
      <c r="AF320" s="1220">
        <v>1.24</v>
      </c>
      <c r="AG320" s="1220">
        <v>1.24</v>
      </c>
      <c r="AH320" s="1220">
        <v>1.24</v>
      </c>
      <c r="AI320" s="1220">
        <v>1.26</v>
      </c>
      <c r="AJ320" s="1220">
        <v>1.3</v>
      </c>
      <c r="AK320" s="1220">
        <v>1.32</v>
      </c>
      <c r="AL320" s="1220">
        <v>1.35</v>
      </c>
      <c r="AM320" s="1220">
        <v>1.38</v>
      </c>
      <c r="AN320" s="1220">
        <v>1.42</v>
      </c>
      <c r="AO320" s="1220">
        <v>1.46</v>
      </c>
      <c r="AP320" s="1220">
        <v>1.5</v>
      </c>
      <c r="AQ320" s="1220">
        <v>1.55</v>
      </c>
      <c r="AR320" s="1220">
        <v>1.6</v>
      </c>
      <c r="AS320" s="1220">
        <v>1.65</v>
      </c>
      <c r="AT320" s="1220">
        <v>1.71</v>
      </c>
      <c r="AU320" s="1220">
        <v>1.77</v>
      </c>
      <c r="AV320" s="1220">
        <v>1.83</v>
      </c>
      <c r="AW320" s="1220">
        <v>1.9</v>
      </c>
      <c r="AX320" s="1220">
        <v>1.96</v>
      </c>
      <c r="AY320" s="1220">
        <v>2.0299999999999998</v>
      </c>
      <c r="AZ320" s="1220">
        <v>2.1</v>
      </c>
      <c r="BA320" s="1220">
        <v>2.16</v>
      </c>
      <c r="BB320" s="1220">
        <v>2.23</v>
      </c>
      <c r="BC320" s="1220">
        <v>2.2999999999999998</v>
      </c>
      <c r="BD320" s="1220">
        <v>2.38</v>
      </c>
      <c r="CP320" s="1238">
        <v>50</v>
      </c>
      <c r="CQ320" s="1239">
        <v>1.1000000000000001</v>
      </c>
      <c r="CR320" s="1239">
        <v>1.1399999999999999</v>
      </c>
      <c r="CS320" s="1239">
        <v>1.18</v>
      </c>
      <c r="CT320" s="1239">
        <v>1.23</v>
      </c>
      <c r="CU320" s="1239">
        <v>1.27</v>
      </c>
      <c r="CV320" s="1239">
        <v>1.37</v>
      </c>
      <c r="CW320" s="1239">
        <v>1.41</v>
      </c>
      <c r="CX320" s="1239">
        <v>1.46</v>
      </c>
      <c r="CY320" s="1239">
        <v>1.5</v>
      </c>
      <c r="CZ320" s="1239">
        <v>1.55</v>
      </c>
      <c r="DA320" s="1239">
        <v>1.62</v>
      </c>
      <c r="DB320" s="1239">
        <v>1.67</v>
      </c>
      <c r="DC320" s="1239">
        <v>1.72</v>
      </c>
      <c r="DD320" s="1239">
        <v>1.77</v>
      </c>
      <c r="DE320" s="1239">
        <v>1.82</v>
      </c>
      <c r="DF320" s="1239">
        <v>1.87</v>
      </c>
      <c r="DG320" s="1279"/>
      <c r="DH320" s="1279"/>
      <c r="DI320" s="1279"/>
      <c r="DJ320" s="1279"/>
      <c r="DK320" s="1279"/>
      <c r="DL320" s="1279"/>
      <c r="DM320" s="1279"/>
      <c r="DN320" s="1279"/>
      <c r="DO320" s="1279"/>
      <c r="DP320" s="1279"/>
      <c r="DQ320" s="1279"/>
      <c r="DR320" s="1279"/>
      <c r="DS320" s="1279"/>
      <c r="DT320" s="1279"/>
      <c r="DU320" s="1279"/>
    </row>
    <row r="321" spans="2:125" ht="15" customHeight="1">
      <c r="B321" s="1207">
        <v>29</v>
      </c>
      <c r="C321" s="1220">
        <v>2.2599999999999998</v>
      </c>
      <c r="D321" s="1220">
        <v>2.2599999999999998</v>
      </c>
      <c r="E321" s="1220">
        <v>2.2599999999999998</v>
      </c>
      <c r="F321" s="1220">
        <v>2.2599999999999998</v>
      </c>
      <c r="G321" s="1220">
        <v>2.2599999999999998</v>
      </c>
      <c r="H321" s="1220">
        <v>2.2999999999999998</v>
      </c>
      <c r="I321" s="1220">
        <v>2.33</v>
      </c>
      <c r="J321" s="1220">
        <v>2.36</v>
      </c>
      <c r="K321" s="1220">
        <v>2.39</v>
      </c>
      <c r="L321" s="1220">
        <v>2.44</v>
      </c>
      <c r="M321" s="1220">
        <v>2.54</v>
      </c>
      <c r="N321" s="1220">
        <v>2.59</v>
      </c>
      <c r="O321" s="1220">
        <v>2.65</v>
      </c>
      <c r="P321" s="1220">
        <v>2.72</v>
      </c>
      <c r="Q321" s="1220">
        <v>2.79</v>
      </c>
      <c r="R321" s="1220">
        <v>2.87</v>
      </c>
      <c r="S321" s="1220">
        <v>2.95</v>
      </c>
      <c r="T321" s="1220">
        <v>3.04</v>
      </c>
      <c r="U321" s="1220">
        <v>3.13</v>
      </c>
      <c r="V321" s="1220">
        <v>3.23</v>
      </c>
      <c r="W321" s="1220">
        <v>3.33</v>
      </c>
      <c r="Y321" s="1207">
        <v>29</v>
      </c>
      <c r="Z321" s="1220">
        <v>1.26</v>
      </c>
      <c r="AA321" s="1220">
        <v>1.26</v>
      </c>
      <c r="AB321" s="1220">
        <v>1.26</v>
      </c>
      <c r="AC321" s="1220">
        <v>1.26</v>
      </c>
      <c r="AD321" s="1220">
        <v>1.26</v>
      </c>
      <c r="AE321" s="1220">
        <v>1.26</v>
      </c>
      <c r="AF321" s="1220">
        <v>1.26</v>
      </c>
      <c r="AG321" s="1220">
        <v>1.27</v>
      </c>
      <c r="AH321" s="1220">
        <v>1.29</v>
      </c>
      <c r="AI321" s="1220">
        <v>1.31</v>
      </c>
      <c r="AJ321" s="1220">
        <v>1.35</v>
      </c>
      <c r="AK321" s="1220">
        <v>1.38</v>
      </c>
      <c r="AL321" s="1220">
        <v>1.42</v>
      </c>
      <c r="AM321" s="1220">
        <v>1.45</v>
      </c>
      <c r="AN321" s="1220">
        <v>1.5</v>
      </c>
      <c r="AO321" s="1220">
        <v>1.54</v>
      </c>
      <c r="AP321" s="1220">
        <v>1.59</v>
      </c>
      <c r="AQ321" s="1220">
        <v>1.65</v>
      </c>
      <c r="AR321" s="1220">
        <v>1.7</v>
      </c>
      <c r="AS321" s="1220">
        <v>1.76</v>
      </c>
      <c r="AT321" s="1220">
        <v>1.83</v>
      </c>
      <c r="AU321" s="1220">
        <v>1.89</v>
      </c>
      <c r="AV321" s="1220">
        <v>1.96</v>
      </c>
      <c r="AW321" s="1220">
        <v>2.0299999999999998</v>
      </c>
      <c r="AX321" s="1220">
        <v>2.1</v>
      </c>
      <c r="AY321" s="1220">
        <v>2.17</v>
      </c>
      <c r="AZ321" s="1220">
        <v>2.2400000000000002</v>
      </c>
      <c r="BA321" s="1220">
        <v>2.31</v>
      </c>
      <c r="BB321" s="1220">
        <v>2.39</v>
      </c>
      <c r="BC321" s="1220">
        <v>2.46</v>
      </c>
      <c r="BD321" s="1220">
        <v>2.54</v>
      </c>
      <c r="CP321" s="1238">
        <v>51</v>
      </c>
      <c r="CQ321" s="1239">
        <v>1.21</v>
      </c>
      <c r="CR321" s="1239">
        <v>1.25</v>
      </c>
      <c r="CS321" s="1239">
        <v>1.29</v>
      </c>
      <c r="CT321" s="1239">
        <v>1.34</v>
      </c>
      <c r="CU321" s="1239">
        <v>1.38</v>
      </c>
      <c r="CV321" s="1239">
        <v>1.49</v>
      </c>
      <c r="CW321" s="1239">
        <v>1.53</v>
      </c>
      <c r="CX321" s="1239">
        <v>1.58</v>
      </c>
      <c r="CY321" s="1239">
        <v>1.63</v>
      </c>
      <c r="CZ321" s="1239">
        <v>1.68</v>
      </c>
      <c r="DA321" s="1239">
        <v>1.76</v>
      </c>
      <c r="DB321" s="1239">
        <v>1.81</v>
      </c>
      <c r="DC321" s="1239">
        <v>1.86</v>
      </c>
      <c r="DD321" s="1239">
        <v>1.91</v>
      </c>
      <c r="DE321" s="1239">
        <v>1.97</v>
      </c>
      <c r="DF321" s="1279"/>
      <c r="DG321" s="1279"/>
      <c r="DH321" s="1279"/>
      <c r="DI321" s="1279"/>
      <c r="DJ321" s="1279"/>
      <c r="DK321" s="1279"/>
      <c r="DL321" s="1279"/>
      <c r="DM321" s="1279"/>
      <c r="DN321" s="1279"/>
      <c r="DO321" s="1279"/>
      <c r="DP321" s="1279"/>
      <c r="DQ321" s="1279"/>
      <c r="DR321" s="1279"/>
      <c r="DS321" s="1279"/>
      <c r="DT321" s="1279"/>
      <c r="DU321" s="1279"/>
    </row>
    <row r="322" spans="2:125" ht="15" customHeight="1">
      <c r="B322" s="1207">
        <v>30</v>
      </c>
      <c r="C322" s="1220">
        <v>2.31</v>
      </c>
      <c r="D322" s="1220">
        <v>2.31</v>
      </c>
      <c r="E322" s="1220">
        <v>2.31</v>
      </c>
      <c r="F322" s="1220">
        <v>2.31</v>
      </c>
      <c r="G322" s="1220">
        <v>2.31</v>
      </c>
      <c r="H322" s="1220">
        <v>2.37</v>
      </c>
      <c r="I322" s="1220">
        <v>2.4</v>
      </c>
      <c r="J322" s="1220">
        <v>2.44</v>
      </c>
      <c r="K322" s="1220">
        <v>2.48</v>
      </c>
      <c r="L322" s="1220">
        <v>2.5299999999999998</v>
      </c>
      <c r="M322" s="1220">
        <v>2.65</v>
      </c>
      <c r="N322" s="1220">
        <v>2.71</v>
      </c>
      <c r="O322" s="1220">
        <v>2.77</v>
      </c>
      <c r="P322" s="1220">
        <v>2.85</v>
      </c>
      <c r="Q322" s="1220">
        <v>2.93</v>
      </c>
      <c r="R322" s="1220">
        <v>3.02</v>
      </c>
      <c r="S322" s="1220">
        <v>3.11</v>
      </c>
      <c r="T322" s="1220">
        <v>3.21</v>
      </c>
      <c r="U322" s="1220">
        <v>3.32</v>
      </c>
      <c r="V322" s="1220">
        <v>3.43</v>
      </c>
      <c r="W322" s="1220">
        <v>3.54</v>
      </c>
      <c r="Y322" s="1207">
        <v>30</v>
      </c>
      <c r="Z322" s="1220">
        <v>1.28</v>
      </c>
      <c r="AA322" s="1220">
        <v>1.28</v>
      </c>
      <c r="AB322" s="1220">
        <v>1.28</v>
      </c>
      <c r="AC322" s="1220">
        <v>1.28</v>
      </c>
      <c r="AD322" s="1220">
        <v>1.28</v>
      </c>
      <c r="AE322" s="1220">
        <v>1.29</v>
      </c>
      <c r="AF322" s="1220">
        <v>1.3</v>
      </c>
      <c r="AG322" s="1220">
        <v>1.32</v>
      </c>
      <c r="AH322" s="1220">
        <v>1.34</v>
      </c>
      <c r="AI322" s="1220">
        <v>1.37</v>
      </c>
      <c r="AJ322" s="1220">
        <v>1.42</v>
      </c>
      <c r="AK322" s="1220">
        <v>1.45</v>
      </c>
      <c r="AL322" s="1220">
        <v>1.49</v>
      </c>
      <c r="AM322" s="1220">
        <v>1.54</v>
      </c>
      <c r="AN322" s="1220">
        <v>1.59</v>
      </c>
      <c r="AO322" s="1220">
        <v>1.64</v>
      </c>
      <c r="AP322" s="1220">
        <v>1.7</v>
      </c>
      <c r="AQ322" s="1220">
        <v>1.76</v>
      </c>
      <c r="AR322" s="1220">
        <v>1.82</v>
      </c>
      <c r="AS322" s="1220">
        <v>1.89</v>
      </c>
      <c r="AT322" s="1220">
        <v>1.96</v>
      </c>
      <c r="AU322" s="1220">
        <v>2.0299999999999998</v>
      </c>
      <c r="AV322" s="1220">
        <v>2.1</v>
      </c>
      <c r="AW322" s="1220">
        <v>2.17</v>
      </c>
      <c r="AX322" s="1220">
        <v>2.25</v>
      </c>
      <c r="AY322" s="1220">
        <v>2.33</v>
      </c>
      <c r="AZ322" s="1220">
        <v>2.4</v>
      </c>
      <c r="BA322" s="1220">
        <v>2.48</v>
      </c>
      <c r="BB322" s="1220">
        <v>2.56</v>
      </c>
      <c r="BC322" s="1220">
        <v>2.64</v>
      </c>
      <c r="BD322" s="1220">
        <v>2.72</v>
      </c>
      <c r="CP322" s="1238">
        <v>52</v>
      </c>
      <c r="CQ322" s="1239">
        <v>1.32</v>
      </c>
      <c r="CR322" s="1239">
        <v>1.36</v>
      </c>
      <c r="CS322" s="1239">
        <v>1.41</v>
      </c>
      <c r="CT322" s="1239">
        <v>1.45</v>
      </c>
      <c r="CU322" s="1239">
        <v>1.5</v>
      </c>
      <c r="CV322" s="1239">
        <v>1.61</v>
      </c>
      <c r="CW322" s="1239">
        <v>1.66</v>
      </c>
      <c r="CX322" s="1239">
        <v>1.71</v>
      </c>
      <c r="CY322" s="1239">
        <v>1.76</v>
      </c>
      <c r="CZ322" s="1239">
        <v>1.82</v>
      </c>
      <c r="DA322" s="1239">
        <v>1.9</v>
      </c>
      <c r="DB322" s="1239">
        <v>1.96</v>
      </c>
      <c r="DC322" s="1239">
        <v>2.0099999999999998</v>
      </c>
      <c r="DD322" s="1239">
        <v>2.0699999999999998</v>
      </c>
      <c r="DE322" s="1279"/>
      <c r="DF322" s="1279"/>
      <c r="DG322" s="1279"/>
      <c r="DH322" s="1279"/>
      <c r="DI322" s="1279"/>
      <c r="DJ322" s="1279"/>
      <c r="DK322" s="1279"/>
      <c r="DL322" s="1279"/>
      <c r="DM322" s="1279"/>
      <c r="DN322" s="1279"/>
      <c r="DO322" s="1279"/>
      <c r="DP322" s="1279"/>
      <c r="DQ322" s="1279"/>
      <c r="DR322" s="1279"/>
      <c r="DS322" s="1279"/>
      <c r="DT322" s="1279"/>
      <c r="DU322" s="1279"/>
    </row>
    <row r="323" spans="2:125" ht="15" customHeight="1">
      <c r="B323" s="1207">
        <v>31</v>
      </c>
      <c r="C323" s="1220">
        <v>2.36</v>
      </c>
      <c r="D323" s="1220">
        <v>2.36</v>
      </c>
      <c r="E323" s="1220">
        <v>2.36</v>
      </c>
      <c r="F323" s="1220">
        <v>2.36</v>
      </c>
      <c r="G323" s="1220">
        <v>2.36</v>
      </c>
      <c r="H323" s="1220">
        <v>2.4500000000000002</v>
      </c>
      <c r="I323" s="1220">
        <v>2.4900000000000002</v>
      </c>
      <c r="J323" s="1220">
        <v>2.5299999999999998</v>
      </c>
      <c r="K323" s="1220">
        <v>2.58</v>
      </c>
      <c r="L323" s="1220">
        <v>2.64</v>
      </c>
      <c r="M323" s="1220">
        <v>2.77</v>
      </c>
      <c r="N323" s="1220">
        <v>2.84</v>
      </c>
      <c r="O323" s="1220">
        <v>2.92</v>
      </c>
      <c r="P323" s="1220">
        <v>3</v>
      </c>
      <c r="Q323" s="1220">
        <v>3.09</v>
      </c>
      <c r="R323" s="1220">
        <v>3.19</v>
      </c>
      <c r="S323" s="1220">
        <v>3.3</v>
      </c>
      <c r="T323" s="1220">
        <v>3.41</v>
      </c>
      <c r="U323" s="1220">
        <v>3.52</v>
      </c>
      <c r="V323" s="1220">
        <v>3.64</v>
      </c>
      <c r="W323" s="1220">
        <v>3.76</v>
      </c>
      <c r="Y323" s="1207">
        <v>31</v>
      </c>
      <c r="Z323" s="1220">
        <v>1.32</v>
      </c>
      <c r="AA323" s="1220">
        <v>1.32</v>
      </c>
      <c r="AB323" s="1220">
        <v>1.32</v>
      </c>
      <c r="AC323" s="1220">
        <v>1.32</v>
      </c>
      <c r="AD323" s="1220">
        <v>1.32</v>
      </c>
      <c r="AE323" s="1220">
        <v>1.34</v>
      </c>
      <c r="AF323" s="1220">
        <v>1.36</v>
      </c>
      <c r="AG323" s="1220">
        <v>1.38</v>
      </c>
      <c r="AH323" s="1220">
        <v>1.41</v>
      </c>
      <c r="AI323" s="1220">
        <v>1.44</v>
      </c>
      <c r="AJ323" s="1220">
        <v>1.5</v>
      </c>
      <c r="AK323" s="1220">
        <v>1.54</v>
      </c>
      <c r="AL323" s="1220">
        <v>1.59</v>
      </c>
      <c r="AM323" s="1220">
        <v>1.64</v>
      </c>
      <c r="AN323" s="1220">
        <v>1.69</v>
      </c>
      <c r="AO323" s="1220">
        <v>1.75</v>
      </c>
      <c r="AP323" s="1220">
        <v>1.82</v>
      </c>
      <c r="AQ323" s="1220">
        <v>1.88</v>
      </c>
      <c r="AR323" s="1220">
        <v>1.95</v>
      </c>
      <c r="AS323" s="1220">
        <v>2.0299999999999998</v>
      </c>
      <c r="AT323" s="1220">
        <v>2.1</v>
      </c>
      <c r="AU323" s="1220">
        <v>2.1800000000000002</v>
      </c>
      <c r="AV323" s="1220">
        <v>2.2599999999999998</v>
      </c>
      <c r="AW323" s="1220">
        <v>2.33</v>
      </c>
      <c r="AX323" s="1220">
        <v>2.41</v>
      </c>
      <c r="AY323" s="1220">
        <v>2.5</v>
      </c>
      <c r="AZ323" s="1220">
        <v>2.58</v>
      </c>
      <c r="BA323" s="1220">
        <v>2.66</v>
      </c>
      <c r="BB323" s="1220">
        <v>2.75</v>
      </c>
      <c r="BC323" s="1220">
        <v>2.83</v>
      </c>
      <c r="BD323" s="1220">
        <v>2.92</v>
      </c>
      <c r="CP323" s="1238">
        <v>53</v>
      </c>
      <c r="CQ323" s="1239">
        <v>1.43</v>
      </c>
      <c r="CR323" s="1239">
        <v>1.48</v>
      </c>
      <c r="CS323" s="1239">
        <v>1.53</v>
      </c>
      <c r="CT323" s="1239">
        <v>1.57</v>
      </c>
      <c r="CU323" s="1239">
        <v>1.63</v>
      </c>
      <c r="CV323" s="1239">
        <v>1.74</v>
      </c>
      <c r="CW323" s="1239">
        <v>1.8</v>
      </c>
      <c r="CX323" s="1239">
        <v>1.85</v>
      </c>
      <c r="CY323" s="1239">
        <v>1.91</v>
      </c>
      <c r="CZ323" s="1239">
        <v>1.96</v>
      </c>
      <c r="DA323" s="1239">
        <v>2.06</v>
      </c>
      <c r="DB323" s="1239">
        <v>2.12</v>
      </c>
      <c r="DC323" s="1239">
        <v>2.17</v>
      </c>
      <c r="DD323" s="1279"/>
      <c r="DE323" s="1279"/>
      <c r="DF323" s="1279"/>
      <c r="DG323" s="1279"/>
      <c r="DH323" s="1279"/>
      <c r="DI323" s="1279"/>
      <c r="DJ323" s="1279"/>
      <c r="DK323" s="1279"/>
      <c r="DL323" s="1279"/>
      <c r="DM323" s="1279"/>
      <c r="DN323" s="1279"/>
      <c r="DO323" s="1279"/>
      <c r="DP323" s="1279"/>
      <c r="DQ323" s="1279"/>
      <c r="DR323" s="1279"/>
      <c r="DS323" s="1279"/>
      <c r="DT323" s="1279"/>
      <c r="DU323" s="1279"/>
    </row>
    <row r="324" spans="2:125" ht="15" customHeight="1">
      <c r="B324" s="1207">
        <v>32</v>
      </c>
      <c r="C324" s="1220">
        <v>2.42</v>
      </c>
      <c r="D324" s="1220">
        <v>2.42</v>
      </c>
      <c r="E324" s="1220">
        <v>2.42</v>
      </c>
      <c r="F324" s="1220">
        <v>2.42</v>
      </c>
      <c r="G324" s="1220">
        <v>2.44</v>
      </c>
      <c r="H324" s="1220">
        <v>2.5499999999999998</v>
      </c>
      <c r="I324" s="1220">
        <v>2.59</v>
      </c>
      <c r="J324" s="1220">
        <v>2.64</v>
      </c>
      <c r="K324" s="1220">
        <v>2.7</v>
      </c>
      <c r="L324" s="1220">
        <v>2.77</v>
      </c>
      <c r="M324" s="1220">
        <v>2.91</v>
      </c>
      <c r="N324" s="1220">
        <v>2.99</v>
      </c>
      <c r="O324" s="1220">
        <v>3.08</v>
      </c>
      <c r="P324" s="1220">
        <v>3.18</v>
      </c>
      <c r="Q324" s="1220">
        <v>3.28</v>
      </c>
      <c r="R324" s="1220">
        <v>3.39</v>
      </c>
      <c r="S324" s="1220">
        <v>3.51</v>
      </c>
      <c r="T324" s="1220">
        <v>3.63</v>
      </c>
      <c r="U324" s="1220">
        <v>3.75</v>
      </c>
      <c r="V324" s="1220">
        <v>3.88</v>
      </c>
      <c r="W324" s="1220">
        <v>4.01</v>
      </c>
      <c r="Y324" s="1207">
        <v>32</v>
      </c>
      <c r="Z324" s="1220">
        <v>1.36</v>
      </c>
      <c r="AA324" s="1220">
        <v>1.36</v>
      </c>
      <c r="AB324" s="1220">
        <v>1.36</v>
      </c>
      <c r="AC324" s="1220">
        <v>1.36</v>
      </c>
      <c r="AD324" s="1220">
        <v>1.36</v>
      </c>
      <c r="AE324" s="1220">
        <v>1.4</v>
      </c>
      <c r="AF324" s="1220">
        <v>1.42</v>
      </c>
      <c r="AG324" s="1220">
        <v>1.45</v>
      </c>
      <c r="AH324" s="1220">
        <v>1.48</v>
      </c>
      <c r="AI324" s="1220">
        <v>1.52</v>
      </c>
      <c r="AJ324" s="1220">
        <v>1.59</v>
      </c>
      <c r="AK324" s="1220">
        <v>1.64</v>
      </c>
      <c r="AL324" s="1220">
        <v>1.69</v>
      </c>
      <c r="AM324" s="1220">
        <v>1.75</v>
      </c>
      <c r="AN324" s="1220">
        <v>1.81</v>
      </c>
      <c r="AO324" s="1220">
        <v>1.88</v>
      </c>
      <c r="AP324" s="1220">
        <v>1.95</v>
      </c>
      <c r="AQ324" s="1220">
        <v>2.0299999999999998</v>
      </c>
      <c r="AR324" s="1220">
        <v>2.1</v>
      </c>
      <c r="AS324" s="1220">
        <v>2.1800000000000002</v>
      </c>
      <c r="AT324" s="1220">
        <v>2.2599999999999998</v>
      </c>
      <c r="AU324" s="1220">
        <v>2.34</v>
      </c>
      <c r="AV324" s="1220">
        <v>2.4300000000000002</v>
      </c>
      <c r="AW324" s="1220">
        <v>2.5099999999999998</v>
      </c>
      <c r="AX324" s="1220">
        <v>2.6</v>
      </c>
      <c r="AY324" s="1220">
        <v>2.68</v>
      </c>
      <c r="AZ324" s="1220">
        <v>2.77</v>
      </c>
      <c r="BA324" s="1220">
        <v>2.86</v>
      </c>
      <c r="BB324" s="1220">
        <v>2.95</v>
      </c>
      <c r="BC324" s="1220">
        <v>3.05</v>
      </c>
      <c r="BD324" s="1220">
        <v>3.14</v>
      </c>
      <c r="CP324" s="1238">
        <v>54</v>
      </c>
      <c r="CQ324" s="1239">
        <v>1.55</v>
      </c>
      <c r="CR324" s="1239">
        <v>1.6</v>
      </c>
      <c r="CS324" s="1239">
        <v>1.65</v>
      </c>
      <c r="CT324" s="1239">
        <v>1.7</v>
      </c>
      <c r="CU324" s="1239">
        <v>1.76</v>
      </c>
      <c r="CV324" s="1239">
        <v>1.89</v>
      </c>
      <c r="CW324" s="1239">
        <v>1.94</v>
      </c>
      <c r="CX324" s="1239">
        <v>2</v>
      </c>
      <c r="CY324" s="1239">
        <v>2.06</v>
      </c>
      <c r="CZ324" s="1239">
        <v>2.12</v>
      </c>
      <c r="DA324" s="1239">
        <v>2.2200000000000002</v>
      </c>
      <c r="DB324" s="1239">
        <v>2.2799999999999998</v>
      </c>
      <c r="DC324" s="1279"/>
      <c r="DD324" s="1279"/>
      <c r="DE324" s="1279"/>
      <c r="DF324" s="1279"/>
      <c r="DG324" s="1279"/>
      <c r="DH324" s="1279"/>
      <c r="DI324" s="1279"/>
      <c r="DJ324" s="1279"/>
      <c r="DK324" s="1279"/>
      <c r="DL324" s="1279"/>
      <c r="DM324" s="1279"/>
      <c r="DN324" s="1279"/>
      <c r="DO324" s="1279"/>
      <c r="DP324" s="1279"/>
      <c r="DQ324" s="1279"/>
      <c r="DR324" s="1279"/>
      <c r="DS324" s="1279"/>
      <c r="DT324" s="1279"/>
      <c r="DU324" s="1279"/>
    </row>
    <row r="325" spans="2:125" ht="15" customHeight="1">
      <c r="B325" s="1207">
        <v>33</v>
      </c>
      <c r="C325" s="1220">
        <v>2.4900000000000002</v>
      </c>
      <c r="D325" s="1220">
        <v>2.4900000000000002</v>
      </c>
      <c r="E325" s="1220">
        <v>2.4900000000000002</v>
      </c>
      <c r="F325" s="1220">
        <v>2.5099999999999998</v>
      </c>
      <c r="G325" s="1220">
        <v>2.54</v>
      </c>
      <c r="H325" s="1220">
        <v>2.66</v>
      </c>
      <c r="I325" s="1220">
        <v>2.71</v>
      </c>
      <c r="J325" s="1220">
        <v>2.77</v>
      </c>
      <c r="K325" s="1220">
        <v>2.84</v>
      </c>
      <c r="L325" s="1220">
        <v>2.92</v>
      </c>
      <c r="M325" s="1220">
        <v>3.07</v>
      </c>
      <c r="N325" s="1220">
        <v>3.17</v>
      </c>
      <c r="O325" s="1220">
        <v>3.27</v>
      </c>
      <c r="P325" s="1220">
        <v>3.38</v>
      </c>
      <c r="Q325" s="1220">
        <v>3.5</v>
      </c>
      <c r="R325" s="1220">
        <v>3.62</v>
      </c>
      <c r="S325" s="1220">
        <v>3.75</v>
      </c>
      <c r="T325" s="1220">
        <v>3.88</v>
      </c>
      <c r="U325" s="1220">
        <v>4.01</v>
      </c>
      <c r="V325" s="1220">
        <v>4.1500000000000004</v>
      </c>
      <c r="W325" s="1220">
        <v>4.28</v>
      </c>
      <c r="Y325" s="1207">
        <v>33</v>
      </c>
      <c r="Z325" s="1220">
        <v>1.4</v>
      </c>
      <c r="AA325" s="1220">
        <v>1.4</v>
      </c>
      <c r="AB325" s="1220">
        <v>1.4</v>
      </c>
      <c r="AC325" s="1220">
        <v>1.4</v>
      </c>
      <c r="AD325" s="1220">
        <v>1.4</v>
      </c>
      <c r="AE325" s="1220">
        <v>1.47</v>
      </c>
      <c r="AF325" s="1220">
        <v>1.5</v>
      </c>
      <c r="AG325" s="1220">
        <v>1.53</v>
      </c>
      <c r="AH325" s="1220">
        <v>1.57</v>
      </c>
      <c r="AI325" s="1220">
        <v>1.62</v>
      </c>
      <c r="AJ325" s="1220">
        <v>1.69</v>
      </c>
      <c r="AK325" s="1220">
        <v>1.75</v>
      </c>
      <c r="AL325" s="1220">
        <v>1.81</v>
      </c>
      <c r="AM325" s="1220">
        <v>1.88</v>
      </c>
      <c r="AN325" s="1220">
        <v>1.95</v>
      </c>
      <c r="AO325" s="1220">
        <v>2.02</v>
      </c>
      <c r="AP325" s="1220">
        <v>2.1</v>
      </c>
      <c r="AQ325" s="1220">
        <v>2.1800000000000002</v>
      </c>
      <c r="AR325" s="1220">
        <v>2.27</v>
      </c>
      <c r="AS325" s="1220">
        <v>2.35</v>
      </c>
      <c r="AT325" s="1220">
        <v>2.44</v>
      </c>
      <c r="AU325" s="1220">
        <v>2.5299999999999998</v>
      </c>
      <c r="AV325" s="1220">
        <v>2.61</v>
      </c>
      <c r="AW325" s="1220">
        <v>2.7</v>
      </c>
      <c r="AX325" s="1220">
        <v>2.8</v>
      </c>
      <c r="AY325" s="1220">
        <v>2.89</v>
      </c>
      <c r="AZ325" s="1220">
        <v>2.98</v>
      </c>
      <c r="BA325" s="1220">
        <v>3.08</v>
      </c>
      <c r="BB325" s="1220">
        <v>3.18</v>
      </c>
      <c r="BC325" s="1220">
        <v>3.28</v>
      </c>
      <c r="BD325" s="1220">
        <v>3.38</v>
      </c>
      <c r="CP325" s="1238">
        <v>55</v>
      </c>
      <c r="CQ325" s="1239">
        <v>1.68</v>
      </c>
      <c r="CR325" s="1239">
        <v>1.73</v>
      </c>
      <c r="CS325" s="1239">
        <v>1.78</v>
      </c>
      <c r="CT325" s="1239">
        <v>1.84</v>
      </c>
      <c r="CU325" s="1239">
        <v>1.9</v>
      </c>
      <c r="CV325" s="1239">
        <v>2.04</v>
      </c>
      <c r="CW325" s="1239">
        <v>2.1</v>
      </c>
      <c r="CX325" s="1239">
        <v>2.16</v>
      </c>
      <c r="CY325" s="1239">
        <v>2.2200000000000002</v>
      </c>
      <c r="CZ325" s="1239">
        <v>2.29</v>
      </c>
      <c r="DA325" s="1239">
        <v>2.4</v>
      </c>
      <c r="DB325" s="1279"/>
      <c r="DC325" s="1279"/>
      <c r="DD325" s="1279"/>
      <c r="DE325" s="1279"/>
      <c r="DF325" s="1279"/>
      <c r="DG325" s="1279"/>
      <c r="DH325" s="1279"/>
      <c r="DI325" s="1279"/>
      <c r="DJ325" s="1279"/>
      <c r="DK325" s="1279"/>
      <c r="DL325" s="1279"/>
      <c r="DM325" s="1279"/>
      <c r="DN325" s="1279"/>
      <c r="DO325" s="1279"/>
      <c r="DP325" s="1279"/>
      <c r="DQ325" s="1279"/>
      <c r="DR325" s="1279"/>
      <c r="DS325" s="1279"/>
      <c r="DT325" s="1279"/>
      <c r="DU325" s="1279"/>
    </row>
    <row r="326" spans="2:125" ht="15" customHeight="1">
      <c r="B326" s="1207">
        <v>34</v>
      </c>
      <c r="C326" s="1220">
        <v>2.58</v>
      </c>
      <c r="D326" s="1220">
        <v>2.58</v>
      </c>
      <c r="E326" s="1220">
        <v>2.59</v>
      </c>
      <c r="F326" s="1220">
        <v>2.62</v>
      </c>
      <c r="G326" s="1220">
        <v>2.66</v>
      </c>
      <c r="H326" s="1220">
        <v>2.79</v>
      </c>
      <c r="I326" s="1220">
        <v>2.85</v>
      </c>
      <c r="J326" s="1220">
        <v>2.92</v>
      </c>
      <c r="K326" s="1220">
        <v>3</v>
      </c>
      <c r="L326" s="1220">
        <v>3.09</v>
      </c>
      <c r="M326" s="1220">
        <v>3.27</v>
      </c>
      <c r="N326" s="1220">
        <v>3.37</v>
      </c>
      <c r="O326" s="1220">
        <v>3.49</v>
      </c>
      <c r="P326" s="1220">
        <v>3.61</v>
      </c>
      <c r="Q326" s="1220">
        <v>3.74</v>
      </c>
      <c r="R326" s="1220">
        <v>3.87</v>
      </c>
      <c r="S326" s="1220">
        <v>4.01</v>
      </c>
      <c r="T326" s="1220">
        <v>4.1500000000000004</v>
      </c>
      <c r="U326" s="1220">
        <v>4.29</v>
      </c>
      <c r="V326" s="1220">
        <v>4.4400000000000004</v>
      </c>
      <c r="W326" s="1220">
        <v>4.58</v>
      </c>
      <c r="Y326" s="1207">
        <v>34</v>
      </c>
      <c r="Z326" s="1220">
        <v>1.46</v>
      </c>
      <c r="AA326" s="1220">
        <v>1.46</v>
      </c>
      <c r="AB326" s="1220">
        <v>1.46</v>
      </c>
      <c r="AC326" s="1220">
        <v>1.46</v>
      </c>
      <c r="AD326" s="1220">
        <v>1.47</v>
      </c>
      <c r="AE326" s="1220">
        <v>1.56</v>
      </c>
      <c r="AF326" s="1220">
        <v>1.59</v>
      </c>
      <c r="AG326" s="1220">
        <v>1.63</v>
      </c>
      <c r="AH326" s="1220">
        <v>1.68</v>
      </c>
      <c r="AI326" s="1220">
        <v>1.73</v>
      </c>
      <c r="AJ326" s="1220">
        <v>1.82</v>
      </c>
      <c r="AK326" s="1220">
        <v>1.88</v>
      </c>
      <c r="AL326" s="1220">
        <v>1.95</v>
      </c>
      <c r="AM326" s="1220">
        <v>2.0299999999999998</v>
      </c>
      <c r="AN326" s="1220">
        <v>2.1</v>
      </c>
      <c r="AO326" s="1220">
        <v>2.19</v>
      </c>
      <c r="AP326" s="1220">
        <v>2.27</v>
      </c>
      <c r="AQ326" s="1220">
        <v>2.36</v>
      </c>
      <c r="AR326" s="1220">
        <v>2.4500000000000002</v>
      </c>
      <c r="AS326" s="1220">
        <v>2.54</v>
      </c>
      <c r="AT326" s="1220">
        <v>2.63</v>
      </c>
      <c r="AU326" s="1220">
        <v>2.73</v>
      </c>
      <c r="AV326" s="1220">
        <v>2.82</v>
      </c>
      <c r="AW326" s="1220">
        <v>2.92</v>
      </c>
      <c r="AX326" s="1220">
        <v>3.01</v>
      </c>
      <c r="AY326" s="1220">
        <v>3.11</v>
      </c>
      <c r="AZ326" s="1220">
        <v>3.21</v>
      </c>
      <c r="BA326" s="1220">
        <v>3.32</v>
      </c>
      <c r="BB326" s="1220">
        <v>3.42</v>
      </c>
      <c r="BC326" s="1220">
        <v>3.53</v>
      </c>
      <c r="BD326" s="1220">
        <v>3.64</v>
      </c>
      <c r="CP326" s="1238">
        <v>56</v>
      </c>
      <c r="CQ326" s="1239">
        <v>1.81</v>
      </c>
      <c r="CR326" s="1239">
        <v>1.86</v>
      </c>
      <c r="CS326" s="1239">
        <v>1.92</v>
      </c>
      <c r="CT326" s="1239">
        <v>1.98</v>
      </c>
      <c r="CU326" s="1239">
        <v>2.04</v>
      </c>
      <c r="CV326" s="1239">
        <v>2.2000000000000002</v>
      </c>
      <c r="CW326" s="1239">
        <v>2.2599999999999998</v>
      </c>
      <c r="CX326" s="1239">
        <v>2.33</v>
      </c>
      <c r="CY326" s="1239">
        <v>2.4</v>
      </c>
      <c r="CZ326" s="1239">
        <v>2.4700000000000002</v>
      </c>
      <c r="DA326" s="1279"/>
      <c r="DB326" s="1279"/>
      <c r="DC326" s="1279"/>
      <c r="DD326" s="1279"/>
      <c r="DE326" s="1279"/>
      <c r="DF326" s="1279"/>
      <c r="DG326" s="1279"/>
      <c r="DH326" s="1279"/>
      <c r="DI326" s="1279"/>
      <c r="DJ326" s="1279"/>
      <c r="DK326" s="1279"/>
      <c r="DL326" s="1279"/>
      <c r="DM326" s="1279"/>
      <c r="DN326" s="1279"/>
      <c r="DO326" s="1279"/>
      <c r="DP326" s="1279"/>
      <c r="DQ326" s="1279"/>
      <c r="DR326" s="1279"/>
      <c r="DS326" s="1279"/>
      <c r="DT326" s="1279"/>
      <c r="DU326" s="1279"/>
    </row>
    <row r="327" spans="2:125" ht="15" customHeight="1">
      <c r="B327" s="1207">
        <v>35</v>
      </c>
      <c r="C327" s="1220">
        <v>2.68</v>
      </c>
      <c r="D327" s="1220">
        <v>2.68</v>
      </c>
      <c r="E327" s="1220">
        <v>2.7</v>
      </c>
      <c r="F327" s="1220">
        <v>2.74</v>
      </c>
      <c r="G327" s="1220">
        <v>2.8</v>
      </c>
      <c r="H327" s="1220">
        <v>2.94</v>
      </c>
      <c r="I327" s="1220">
        <v>3.01</v>
      </c>
      <c r="J327" s="1220">
        <v>3.09</v>
      </c>
      <c r="K327" s="1220">
        <v>3.19</v>
      </c>
      <c r="L327" s="1220">
        <v>3.29</v>
      </c>
      <c r="M327" s="1220">
        <v>3.48</v>
      </c>
      <c r="N327" s="1220">
        <v>3.6</v>
      </c>
      <c r="O327" s="1220">
        <v>3.73</v>
      </c>
      <c r="P327" s="1220">
        <v>3.87</v>
      </c>
      <c r="Q327" s="1220">
        <v>4.01</v>
      </c>
      <c r="R327" s="1220">
        <v>4.1500000000000004</v>
      </c>
      <c r="S327" s="1220">
        <v>4.3</v>
      </c>
      <c r="T327" s="1220">
        <v>4.45</v>
      </c>
      <c r="U327" s="1220">
        <v>4.5999999999999996</v>
      </c>
      <c r="V327" s="1220">
        <v>4.76</v>
      </c>
      <c r="W327" s="1220">
        <v>4.91</v>
      </c>
      <c r="Y327" s="1207">
        <v>35</v>
      </c>
      <c r="Z327" s="1220">
        <v>1.52</v>
      </c>
      <c r="AA327" s="1220">
        <v>1.52</v>
      </c>
      <c r="AB327" s="1220">
        <v>1.52</v>
      </c>
      <c r="AC327" s="1220">
        <v>1.53</v>
      </c>
      <c r="AD327" s="1220">
        <v>1.56</v>
      </c>
      <c r="AE327" s="1220">
        <v>1.65</v>
      </c>
      <c r="AF327" s="1220">
        <v>1.69</v>
      </c>
      <c r="AG327" s="1220">
        <v>1.74</v>
      </c>
      <c r="AH327" s="1220">
        <v>1.8</v>
      </c>
      <c r="AI327" s="1220">
        <v>1.86</v>
      </c>
      <c r="AJ327" s="1220">
        <v>1.96</v>
      </c>
      <c r="AK327" s="1220">
        <v>2.0299999999999998</v>
      </c>
      <c r="AL327" s="1220">
        <v>2.11</v>
      </c>
      <c r="AM327" s="1220">
        <v>2.19</v>
      </c>
      <c r="AN327" s="1220">
        <v>2.2799999999999998</v>
      </c>
      <c r="AO327" s="1220">
        <v>2.37</v>
      </c>
      <c r="AP327" s="1220">
        <v>2.46</v>
      </c>
      <c r="AQ327" s="1220">
        <v>2.5499999999999998</v>
      </c>
      <c r="AR327" s="1220">
        <v>2.65</v>
      </c>
      <c r="AS327" s="1220">
        <v>2.75</v>
      </c>
      <c r="AT327" s="1220">
        <v>2.84</v>
      </c>
      <c r="AU327" s="1220">
        <v>2.94</v>
      </c>
      <c r="AV327" s="1220">
        <v>3.04</v>
      </c>
      <c r="AW327" s="1220">
        <v>3.15</v>
      </c>
      <c r="AX327" s="1220">
        <v>3.25</v>
      </c>
      <c r="AY327" s="1220">
        <v>3.36</v>
      </c>
      <c r="AZ327" s="1220">
        <v>3.47</v>
      </c>
      <c r="BA327" s="1220">
        <v>3.58</v>
      </c>
      <c r="BB327" s="1220">
        <v>3.69</v>
      </c>
      <c r="BC327" s="1220">
        <v>3.81</v>
      </c>
      <c r="BD327" s="1220">
        <v>3.92</v>
      </c>
      <c r="CP327" s="1238">
        <v>57</v>
      </c>
      <c r="CQ327" s="1239">
        <v>1.95</v>
      </c>
      <c r="CR327" s="1239">
        <v>2.0099999999999998</v>
      </c>
      <c r="CS327" s="1239">
        <v>2.0699999999999998</v>
      </c>
      <c r="CT327" s="1239">
        <v>2.14</v>
      </c>
      <c r="CU327" s="1239">
        <v>2.21</v>
      </c>
      <c r="CV327" s="1239">
        <v>2.37</v>
      </c>
      <c r="CW327" s="1239">
        <v>2.44</v>
      </c>
      <c r="CX327" s="1239">
        <v>2.52</v>
      </c>
      <c r="CY327" s="1239">
        <v>2.59</v>
      </c>
      <c r="CZ327" s="1279"/>
      <c r="DA327" s="1279"/>
      <c r="DB327" s="1279"/>
      <c r="DC327" s="1279"/>
      <c r="DD327" s="1279"/>
      <c r="DE327" s="1279"/>
      <c r="DF327" s="1279"/>
      <c r="DG327" s="1279"/>
      <c r="DH327" s="1279"/>
      <c r="DI327" s="1279"/>
      <c r="DJ327" s="1279"/>
      <c r="DK327" s="1279"/>
      <c r="DL327" s="1279"/>
      <c r="DM327" s="1279"/>
      <c r="DN327" s="1279"/>
      <c r="DO327" s="1279"/>
      <c r="DP327" s="1279"/>
      <c r="DQ327" s="1279"/>
      <c r="DR327" s="1279"/>
      <c r="DS327" s="1279"/>
      <c r="DT327" s="1279"/>
      <c r="DU327" s="1279"/>
    </row>
    <row r="328" spans="2:125" ht="15" customHeight="1">
      <c r="B328" s="1207">
        <v>36</v>
      </c>
      <c r="C328" s="1220">
        <v>2.8</v>
      </c>
      <c r="D328" s="1220">
        <v>2.8</v>
      </c>
      <c r="E328" s="1220">
        <v>2.84</v>
      </c>
      <c r="F328" s="1220">
        <v>2.89</v>
      </c>
      <c r="G328" s="1220">
        <v>2.95</v>
      </c>
      <c r="H328" s="1220">
        <v>3.11</v>
      </c>
      <c r="I328" s="1220">
        <v>3.19</v>
      </c>
      <c r="J328" s="1220">
        <v>3.29</v>
      </c>
      <c r="K328" s="1220">
        <v>3.4</v>
      </c>
      <c r="L328" s="1220">
        <v>3.52</v>
      </c>
      <c r="M328" s="1220">
        <v>3.73</v>
      </c>
      <c r="N328" s="1220">
        <v>3.87</v>
      </c>
      <c r="O328" s="1220">
        <v>4.01</v>
      </c>
      <c r="P328" s="1220">
        <v>4.16</v>
      </c>
      <c r="Q328" s="1220">
        <v>4.3099999999999996</v>
      </c>
      <c r="R328" s="1220">
        <v>4.47</v>
      </c>
      <c r="S328" s="1220">
        <v>4.62</v>
      </c>
      <c r="T328" s="1220">
        <v>4.78</v>
      </c>
      <c r="U328" s="1220">
        <v>4.9400000000000004</v>
      </c>
      <c r="V328" s="1220">
        <v>5.1100000000000003</v>
      </c>
      <c r="W328" s="1220">
        <v>5.27</v>
      </c>
      <c r="Y328" s="1207">
        <v>36</v>
      </c>
      <c r="Z328" s="1220">
        <v>1.6</v>
      </c>
      <c r="AA328" s="1220">
        <v>1.6</v>
      </c>
      <c r="AB328" s="1220">
        <v>1.6</v>
      </c>
      <c r="AC328" s="1220">
        <v>1.62</v>
      </c>
      <c r="AD328" s="1220">
        <v>1.66</v>
      </c>
      <c r="AE328" s="1220">
        <v>1.77</v>
      </c>
      <c r="AF328" s="1220">
        <v>1.81</v>
      </c>
      <c r="AG328" s="1220">
        <v>1.87</v>
      </c>
      <c r="AH328" s="1220">
        <v>1.93</v>
      </c>
      <c r="AI328" s="1220">
        <v>2.0099999999999998</v>
      </c>
      <c r="AJ328" s="1220">
        <v>2.11</v>
      </c>
      <c r="AK328" s="1220">
        <v>2.2000000000000002</v>
      </c>
      <c r="AL328" s="1220">
        <v>2.2799999999999998</v>
      </c>
      <c r="AM328" s="1220">
        <v>2.38</v>
      </c>
      <c r="AN328" s="1220">
        <v>2.4700000000000002</v>
      </c>
      <c r="AO328" s="1220">
        <v>2.57</v>
      </c>
      <c r="AP328" s="1220">
        <v>2.67</v>
      </c>
      <c r="AQ328" s="1220">
        <v>2.77</v>
      </c>
      <c r="AR328" s="1220">
        <v>2.87</v>
      </c>
      <c r="AS328" s="1220">
        <v>2.97</v>
      </c>
      <c r="AT328" s="1220">
        <v>3.08</v>
      </c>
      <c r="AU328" s="1220">
        <v>3.18</v>
      </c>
      <c r="AV328" s="1220">
        <v>3.29</v>
      </c>
      <c r="AW328" s="1220">
        <v>3.4</v>
      </c>
      <c r="AX328" s="1220">
        <v>3.51</v>
      </c>
      <c r="AY328" s="1220">
        <v>3.62</v>
      </c>
      <c r="AZ328" s="1220">
        <v>3.74</v>
      </c>
      <c r="BA328" s="1220">
        <v>3.86</v>
      </c>
      <c r="BB328" s="1220">
        <v>3.98</v>
      </c>
      <c r="BC328" s="1220">
        <v>4.1100000000000003</v>
      </c>
      <c r="BD328" s="1220"/>
      <c r="CP328" s="1238">
        <v>58</v>
      </c>
      <c r="CQ328" s="1239">
        <v>2.1</v>
      </c>
      <c r="CR328" s="1239">
        <v>2.16</v>
      </c>
      <c r="CS328" s="1239">
        <v>2.23</v>
      </c>
      <c r="CT328" s="1239">
        <v>2.2999999999999998</v>
      </c>
      <c r="CU328" s="1239">
        <v>2.38</v>
      </c>
      <c r="CV328" s="1239">
        <v>2.56</v>
      </c>
      <c r="CW328" s="1239">
        <v>2.64</v>
      </c>
      <c r="CX328" s="1239">
        <v>2.72</v>
      </c>
      <c r="CY328" s="1279"/>
      <c r="CZ328" s="1279"/>
      <c r="DA328" s="1279"/>
      <c r="DB328" s="1279"/>
      <c r="DC328" s="1279"/>
      <c r="DD328" s="1279"/>
      <c r="DE328" s="1279"/>
      <c r="DF328" s="1279"/>
      <c r="DG328" s="1279"/>
      <c r="DH328" s="1279"/>
      <c r="DI328" s="1279"/>
      <c r="DJ328" s="1279"/>
      <c r="DK328" s="1279"/>
      <c r="DL328" s="1279"/>
      <c r="DM328" s="1279"/>
      <c r="DN328" s="1279"/>
      <c r="DO328" s="1279"/>
      <c r="DP328" s="1279"/>
      <c r="DQ328" s="1279"/>
      <c r="DR328" s="1279"/>
      <c r="DS328" s="1279"/>
      <c r="DT328" s="1279"/>
      <c r="DU328" s="1279"/>
    </row>
    <row r="329" spans="2:125" ht="15" customHeight="1">
      <c r="B329" s="1207">
        <v>37</v>
      </c>
      <c r="C329" s="1220">
        <v>2.93</v>
      </c>
      <c r="D329" s="1220">
        <v>2.95</v>
      </c>
      <c r="E329" s="1220">
        <v>2.99</v>
      </c>
      <c r="F329" s="1220">
        <v>3.05</v>
      </c>
      <c r="G329" s="1220">
        <v>3.13</v>
      </c>
      <c r="H329" s="1220">
        <v>3.31</v>
      </c>
      <c r="I329" s="1220">
        <v>3.41</v>
      </c>
      <c r="J329" s="1220">
        <v>3.52</v>
      </c>
      <c r="K329" s="1220">
        <v>3.64</v>
      </c>
      <c r="L329" s="1220">
        <v>3.78</v>
      </c>
      <c r="M329" s="1220">
        <v>4.01</v>
      </c>
      <c r="N329" s="1220">
        <v>4.16</v>
      </c>
      <c r="O329" s="1220">
        <v>4.32</v>
      </c>
      <c r="P329" s="1220">
        <v>4.4800000000000004</v>
      </c>
      <c r="Q329" s="1220">
        <v>4.6399999999999997</v>
      </c>
      <c r="R329" s="1220">
        <v>4.8099999999999996</v>
      </c>
      <c r="S329" s="1220">
        <v>4.97</v>
      </c>
      <c r="T329" s="1220">
        <v>5.14</v>
      </c>
      <c r="U329" s="1220">
        <v>5.31</v>
      </c>
      <c r="V329" s="1220">
        <v>5.49</v>
      </c>
      <c r="W329" s="1220">
        <v>5.66</v>
      </c>
      <c r="Y329" s="1207">
        <v>37</v>
      </c>
      <c r="Z329" s="1220">
        <v>1.68</v>
      </c>
      <c r="AA329" s="1220">
        <v>1.68</v>
      </c>
      <c r="AB329" s="1220">
        <v>1.7</v>
      </c>
      <c r="AC329" s="1220">
        <v>1.73</v>
      </c>
      <c r="AD329" s="1220">
        <v>1.77</v>
      </c>
      <c r="AE329" s="1220">
        <v>1.89</v>
      </c>
      <c r="AF329" s="1220">
        <v>1.95</v>
      </c>
      <c r="AG329" s="1220">
        <v>2.02</v>
      </c>
      <c r="AH329" s="1220">
        <v>2.09</v>
      </c>
      <c r="AI329" s="1220">
        <v>2.17</v>
      </c>
      <c r="AJ329" s="1220">
        <v>2.29</v>
      </c>
      <c r="AK329" s="1220">
        <v>2.39</v>
      </c>
      <c r="AL329" s="1220">
        <v>2.48</v>
      </c>
      <c r="AM329" s="1220">
        <v>2.58</v>
      </c>
      <c r="AN329" s="1220">
        <v>2.68</v>
      </c>
      <c r="AO329" s="1220">
        <v>2.79</v>
      </c>
      <c r="AP329" s="1220">
        <v>2.89</v>
      </c>
      <c r="AQ329" s="1220">
        <v>3</v>
      </c>
      <c r="AR329" s="1220">
        <v>3.11</v>
      </c>
      <c r="AS329" s="1220">
        <v>3.22</v>
      </c>
      <c r="AT329" s="1220">
        <v>3.33</v>
      </c>
      <c r="AU329" s="1220">
        <v>3.44</v>
      </c>
      <c r="AV329" s="1220">
        <v>3.56</v>
      </c>
      <c r="AW329" s="1220">
        <v>3.67</v>
      </c>
      <c r="AX329" s="1220">
        <v>3.79</v>
      </c>
      <c r="AY329" s="1220">
        <v>3.92</v>
      </c>
      <c r="AZ329" s="1220">
        <v>4.04</v>
      </c>
      <c r="BA329" s="1220">
        <v>4.17</v>
      </c>
      <c r="BB329" s="1220">
        <v>4.3</v>
      </c>
      <c r="BC329" s="1220"/>
      <c r="BD329" s="1220"/>
      <c r="CP329" s="1238">
        <v>59</v>
      </c>
      <c r="CQ329" s="1239">
        <v>2.2599999999999998</v>
      </c>
      <c r="CR329" s="1239">
        <v>2.33</v>
      </c>
      <c r="CS329" s="1239">
        <v>2.41</v>
      </c>
      <c r="CT329" s="1239">
        <v>2.4900000000000002</v>
      </c>
      <c r="CU329" s="1239">
        <v>2.57</v>
      </c>
      <c r="CV329" s="1239">
        <v>2.77</v>
      </c>
      <c r="CW329" s="1239">
        <v>2.85</v>
      </c>
      <c r="CX329" s="1279"/>
      <c r="CY329" s="1279"/>
      <c r="CZ329" s="1279"/>
      <c r="DA329" s="1279"/>
      <c r="DB329" s="1279"/>
      <c r="DC329" s="1279"/>
      <c r="DD329" s="1279"/>
      <c r="DE329" s="1279"/>
      <c r="DF329" s="1279"/>
      <c r="DG329" s="1279"/>
      <c r="DH329" s="1279"/>
      <c r="DI329" s="1279"/>
      <c r="DJ329" s="1279"/>
      <c r="DK329" s="1279"/>
      <c r="DL329" s="1279"/>
      <c r="DM329" s="1279"/>
      <c r="DN329" s="1279"/>
      <c r="DO329" s="1279"/>
      <c r="DP329" s="1279"/>
      <c r="DQ329" s="1279"/>
      <c r="DR329" s="1279"/>
      <c r="DS329" s="1279"/>
      <c r="DT329" s="1279"/>
      <c r="DU329" s="1279"/>
    </row>
    <row r="330" spans="2:125" ht="15" customHeight="1">
      <c r="B330" s="1207">
        <v>38</v>
      </c>
      <c r="C330" s="1220">
        <v>3.09</v>
      </c>
      <c r="D330" s="1220">
        <v>3.12</v>
      </c>
      <c r="E330" s="1220">
        <v>3.17</v>
      </c>
      <c r="F330" s="1220">
        <v>3.25</v>
      </c>
      <c r="G330" s="1220">
        <v>3.34</v>
      </c>
      <c r="H330" s="1220">
        <v>3.54</v>
      </c>
      <c r="I330" s="1220">
        <v>3.65</v>
      </c>
      <c r="J330" s="1220">
        <v>3.78</v>
      </c>
      <c r="K330" s="1220">
        <v>3.92</v>
      </c>
      <c r="L330" s="1220">
        <v>4.07</v>
      </c>
      <c r="M330" s="1220">
        <v>4.33</v>
      </c>
      <c r="N330" s="1220">
        <v>4.49</v>
      </c>
      <c r="O330" s="1220">
        <v>4.66</v>
      </c>
      <c r="P330" s="1220">
        <v>4.83</v>
      </c>
      <c r="Q330" s="1220">
        <v>5</v>
      </c>
      <c r="R330" s="1220">
        <v>5.18</v>
      </c>
      <c r="S330" s="1220">
        <v>5.36</v>
      </c>
      <c r="T330" s="1220">
        <v>5.54</v>
      </c>
      <c r="U330" s="1220">
        <v>5.72</v>
      </c>
      <c r="V330" s="1220">
        <v>5.9</v>
      </c>
      <c r="W330" s="1220">
        <v>6.09</v>
      </c>
      <c r="Y330" s="1207">
        <v>38</v>
      </c>
      <c r="Z330" s="1220">
        <v>1.78</v>
      </c>
      <c r="AA330" s="1220">
        <v>1.79</v>
      </c>
      <c r="AB330" s="1220">
        <v>1.81</v>
      </c>
      <c r="AC330" s="1220">
        <v>1.85</v>
      </c>
      <c r="AD330" s="1220">
        <v>1.91</v>
      </c>
      <c r="AE330" s="1220">
        <v>2.04</v>
      </c>
      <c r="AF330" s="1220">
        <v>2.11</v>
      </c>
      <c r="AG330" s="1220">
        <v>2.19</v>
      </c>
      <c r="AH330" s="1220">
        <v>2.27</v>
      </c>
      <c r="AI330" s="1220">
        <v>2.36</v>
      </c>
      <c r="AJ330" s="1220">
        <v>2.5</v>
      </c>
      <c r="AK330" s="1220">
        <v>2.6</v>
      </c>
      <c r="AL330" s="1220">
        <v>2.7</v>
      </c>
      <c r="AM330" s="1220">
        <v>2.81</v>
      </c>
      <c r="AN330" s="1220">
        <v>2.92</v>
      </c>
      <c r="AO330" s="1220">
        <v>3.03</v>
      </c>
      <c r="AP330" s="1220">
        <v>3.14</v>
      </c>
      <c r="AQ330" s="1220">
        <v>3.25</v>
      </c>
      <c r="AR330" s="1220">
        <v>3.37</v>
      </c>
      <c r="AS330" s="1220">
        <v>3.48</v>
      </c>
      <c r="AT330" s="1220">
        <v>3.6</v>
      </c>
      <c r="AU330" s="1220">
        <v>3.72</v>
      </c>
      <c r="AV330" s="1220">
        <v>3.85</v>
      </c>
      <c r="AW330" s="1220">
        <v>3.97</v>
      </c>
      <c r="AX330" s="1220">
        <v>4.0999999999999996</v>
      </c>
      <c r="AY330" s="1220">
        <v>4.2300000000000004</v>
      </c>
      <c r="AZ330" s="1220">
        <v>4.37</v>
      </c>
      <c r="BA330" s="1220">
        <v>4.3</v>
      </c>
      <c r="BB330" s="1220"/>
      <c r="BC330" s="1220"/>
      <c r="BD330" s="1220"/>
      <c r="CP330" s="1238">
        <v>60</v>
      </c>
      <c r="CQ330" s="1239">
        <v>2.44</v>
      </c>
      <c r="CR330" s="1239">
        <v>2.52</v>
      </c>
      <c r="CS330" s="1239">
        <v>2.6</v>
      </c>
      <c r="CT330" s="1239">
        <v>2.69</v>
      </c>
      <c r="CU330" s="1239">
        <v>2.78</v>
      </c>
      <c r="CV330" s="1239">
        <v>2.99</v>
      </c>
      <c r="CW330" s="1279"/>
      <c r="CX330" s="1279"/>
      <c r="CY330" s="1279"/>
      <c r="CZ330" s="1279"/>
      <c r="DA330" s="1279"/>
      <c r="DB330" s="1279"/>
      <c r="DC330" s="1279"/>
      <c r="DD330" s="1279"/>
      <c r="DE330" s="1279"/>
      <c r="DF330" s="1279"/>
      <c r="DG330" s="1279"/>
      <c r="DH330" s="1279"/>
      <c r="DI330" s="1279"/>
      <c r="DJ330" s="1279"/>
      <c r="DK330" s="1279"/>
      <c r="DL330" s="1279"/>
      <c r="DM330" s="1279"/>
      <c r="DN330" s="1279"/>
      <c r="DO330" s="1279"/>
      <c r="DP330" s="1279"/>
      <c r="DQ330" s="1279"/>
      <c r="DR330" s="1279"/>
      <c r="DS330" s="1279"/>
      <c r="DT330" s="1279"/>
      <c r="DU330" s="1279"/>
    </row>
    <row r="331" spans="2:125" ht="15" customHeight="1">
      <c r="B331" s="1207">
        <v>39</v>
      </c>
      <c r="C331" s="1220">
        <v>3.27</v>
      </c>
      <c r="D331" s="1220">
        <v>3.31</v>
      </c>
      <c r="E331" s="1220">
        <v>3.38</v>
      </c>
      <c r="F331" s="1220">
        <v>3.47</v>
      </c>
      <c r="G331" s="1220">
        <v>3.58</v>
      </c>
      <c r="H331" s="1220">
        <v>3.8</v>
      </c>
      <c r="I331" s="1220">
        <v>3.94</v>
      </c>
      <c r="J331" s="1220">
        <v>4.08</v>
      </c>
      <c r="K331" s="1220">
        <v>4.24</v>
      </c>
      <c r="L331" s="1220">
        <v>4.4000000000000004</v>
      </c>
      <c r="M331" s="1220">
        <v>4.68</v>
      </c>
      <c r="N331" s="1220">
        <v>4.8600000000000003</v>
      </c>
      <c r="O331" s="1220">
        <v>5.04</v>
      </c>
      <c r="P331" s="1220">
        <v>5.22</v>
      </c>
      <c r="Q331" s="1220">
        <v>5.4</v>
      </c>
      <c r="R331" s="1220">
        <v>5.59</v>
      </c>
      <c r="S331" s="1220">
        <v>5.78</v>
      </c>
      <c r="T331" s="1220">
        <v>5.97</v>
      </c>
      <c r="U331" s="1220">
        <v>6.16</v>
      </c>
      <c r="V331" s="1220">
        <v>6.35</v>
      </c>
      <c r="W331" s="1220">
        <v>6.55</v>
      </c>
      <c r="Y331" s="1207">
        <v>39</v>
      </c>
      <c r="Z331" s="1220">
        <v>1.9</v>
      </c>
      <c r="AA331" s="1220">
        <v>1.91</v>
      </c>
      <c r="AB331" s="1220">
        <v>1.96</v>
      </c>
      <c r="AC331" s="1220">
        <v>2</v>
      </c>
      <c r="AD331" s="1220">
        <v>2.06</v>
      </c>
      <c r="AE331" s="1220">
        <v>2.21</v>
      </c>
      <c r="AF331" s="1220">
        <v>2.29</v>
      </c>
      <c r="AG331" s="1220">
        <v>2.38</v>
      </c>
      <c r="AH331" s="1220">
        <v>2.4700000000000002</v>
      </c>
      <c r="AI331" s="1220">
        <v>2.57</v>
      </c>
      <c r="AJ331" s="1220">
        <v>2.72</v>
      </c>
      <c r="AK331" s="1220">
        <v>2.83</v>
      </c>
      <c r="AL331" s="1220">
        <v>2.94</v>
      </c>
      <c r="AM331" s="1220">
        <v>3.06</v>
      </c>
      <c r="AN331" s="1220">
        <v>3.17</v>
      </c>
      <c r="AO331" s="1220">
        <v>3.29</v>
      </c>
      <c r="AP331" s="1220">
        <v>3.41</v>
      </c>
      <c r="AQ331" s="1220">
        <v>3.53</v>
      </c>
      <c r="AR331" s="1220">
        <v>3.65</v>
      </c>
      <c r="AS331" s="1220">
        <v>3.77</v>
      </c>
      <c r="AT331" s="1220">
        <v>3.9</v>
      </c>
      <c r="AU331" s="1220">
        <v>4.03</v>
      </c>
      <c r="AV331" s="1220">
        <v>4.16</v>
      </c>
      <c r="AW331" s="1220">
        <v>4.3</v>
      </c>
      <c r="AX331" s="1220">
        <v>4.4400000000000004</v>
      </c>
      <c r="AY331" s="1220">
        <v>4.58</v>
      </c>
      <c r="AZ331" s="1220">
        <v>4.7300000000000004</v>
      </c>
      <c r="BA331" s="1220"/>
      <c r="BB331" s="1220"/>
      <c r="BC331" s="1220"/>
      <c r="BD331" s="1220"/>
    </row>
    <row r="332" spans="2:125" ht="15" customHeight="1">
      <c r="B332" s="1207">
        <v>40</v>
      </c>
      <c r="C332" s="1220">
        <v>3.48</v>
      </c>
      <c r="D332" s="1220">
        <v>3.64</v>
      </c>
      <c r="E332" s="1220">
        <v>3.62</v>
      </c>
      <c r="F332" s="1220">
        <v>3.73</v>
      </c>
      <c r="G332" s="1220">
        <v>3.86</v>
      </c>
      <c r="H332" s="1220">
        <v>4.0999999999999996</v>
      </c>
      <c r="I332" s="1220">
        <v>4.26</v>
      </c>
      <c r="J332" s="1220">
        <v>4.42</v>
      </c>
      <c r="K332" s="1220">
        <v>4.59</v>
      </c>
      <c r="L332" s="1220">
        <v>4.7699999999999996</v>
      </c>
      <c r="M332" s="1220">
        <v>5.07</v>
      </c>
      <c r="N332" s="1220">
        <v>5.26</v>
      </c>
      <c r="O332" s="1220">
        <v>5.45</v>
      </c>
      <c r="P332" s="1220">
        <v>5.64</v>
      </c>
      <c r="Q332" s="1220">
        <v>5.84</v>
      </c>
      <c r="R332" s="1220">
        <v>6.03</v>
      </c>
      <c r="S332" s="1220">
        <v>6.23</v>
      </c>
      <c r="T332" s="1220">
        <v>6.43</v>
      </c>
      <c r="U332" s="1220">
        <v>6.63</v>
      </c>
      <c r="V332" s="1220">
        <v>6.84</v>
      </c>
      <c r="W332" s="1220">
        <v>7.05</v>
      </c>
      <c r="Y332" s="1207">
        <v>40</v>
      </c>
      <c r="Z332" s="1220">
        <v>2.0299999999999998</v>
      </c>
      <c r="AA332" s="1220">
        <v>2.06</v>
      </c>
      <c r="AB332" s="1220">
        <v>2.1</v>
      </c>
      <c r="AC332" s="1220">
        <v>2.16</v>
      </c>
      <c r="AD332" s="1220">
        <v>2.23</v>
      </c>
      <c r="AE332" s="1220">
        <v>2.41</v>
      </c>
      <c r="AF332" s="1220">
        <v>2.5</v>
      </c>
      <c r="AG332" s="1220">
        <v>2.6</v>
      </c>
      <c r="AH332" s="1220">
        <v>2.7</v>
      </c>
      <c r="AI332" s="1220">
        <v>2.81</v>
      </c>
      <c r="AJ332" s="1220">
        <v>2.97</v>
      </c>
      <c r="AK332" s="1220">
        <v>3.09</v>
      </c>
      <c r="AL332" s="1220">
        <v>3.2</v>
      </c>
      <c r="AM332" s="1220">
        <v>3.33</v>
      </c>
      <c r="AN332" s="1220">
        <v>3.45</v>
      </c>
      <c r="AO332" s="1220">
        <v>3.57</v>
      </c>
      <c r="AP332" s="1220">
        <v>3.7</v>
      </c>
      <c r="AQ332" s="1220">
        <v>3.83</v>
      </c>
      <c r="AR332" s="1220">
        <v>3.96</v>
      </c>
      <c r="AS332" s="1220">
        <v>4.09</v>
      </c>
      <c r="AT332" s="1220">
        <v>4.2300000000000004</v>
      </c>
      <c r="AU332" s="1220">
        <v>4.37</v>
      </c>
      <c r="AV332" s="1220">
        <v>4.51</v>
      </c>
      <c r="AW332" s="1220">
        <v>4.6500000000000004</v>
      </c>
      <c r="AX332" s="1220">
        <v>4.8</v>
      </c>
      <c r="AY332" s="1220">
        <v>4.96</v>
      </c>
      <c r="AZ332" s="1220"/>
      <c r="BA332" s="1220"/>
      <c r="BB332" s="1220"/>
      <c r="BC332" s="1220"/>
      <c r="BD332" s="1220"/>
    </row>
    <row r="333" spans="2:125" ht="15" customHeight="1">
      <c r="B333" s="1207">
        <v>41</v>
      </c>
      <c r="C333" s="1220">
        <v>3.72</v>
      </c>
      <c r="D333" s="1220">
        <v>3.8</v>
      </c>
      <c r="E333" s="1220">
        <v>3.9</v>
      </c>
      <c r="F333" s="1220">
        <v>4.03</v>
      </c>
      <c r="G333" s="1220">
        <v>4.17</v>
      </c>
      <c r="H333" s="1220">
        <v>4.45</v>
      </c>
      <c r="I333" s="1220">
        <v>4.62</v>
      </c>
      <c r="J333" s="1220">
        <v>4.79</v>
      </c>
      <c r="K333" s="1220">
        <v>4.9800000000000004</v>
      </c>
      <c r="L333" s="1220">
        <v>5.17</v>
      </c>
      <c r="M333" s="1220">
        <v>5.5</v>
      </c>
      <c r="N333" s="1220">
        <v>5.7</v>
      </c>
      <c r="O333" s="1220">
        <v>5.9</v>
      </c>
      <c r="P333" s="1220">
        <v>6.1</v>
      </c>
      <c r="Q333" s="1220">
        <v>6.31</v>
      </c>
      <c r="R333" s="1220">
        <v>6.51</v>
      </c>
      <c r="S333" s="1220">
        <v>6.72</v>
      </c>
      <c r="T333" s="1220">
        <v>6.94</v>
      </c>
      <c r="U333" s="1220">
        <v>7.15</v>
      </c>
      <c r="V333" s="1220">
        <v>7.37</v>
      </c>
      <c r="W333" s="1258">
        <v>0</v>
      </c>
      <c r="Y333" s="1207">
        <v>41</v>
      </c>
      <c r="Z333" s="1220">
        <v>2.19</v>
      </c>
      <c r="AA333" s="1220">
        <v>2.2200000000000002</v>
      </c>
      <c r="AB333" s="1220">
        <v>2.2799999999999998</v>
      </c>
      <c r="AC333" s="1220">
        <v>2.35</v>
      </c>
      <c r="AD333" s="1220">
        <v>2.44</v>
      </c>
      <c r="AE333" s="1220">
        <v>2.63</v>
      </c>
      <c r="AF333" s="1220">
        <v>2.73</v>
      </c>
      <c r="AG333" s="1220">
        <v>2.84</v>
      </c>
      <c r="AH333" s="1220">
        <v>2.95</v>
      </c>
      <c r="AI333" s="1220">
        <v>3.07</v>
      </c>
      <c r="AJ333" s="1220">
        <v>3.24</v>
      </c>
      <c r="AK333" s="1220">
        <v>3.37</v>
      </c>
      <c r="AL333" s="1220">
        <v>3.49</v>
      </c>
      <c r="AM333" s="1220">
        <v>3.62</v>
      </c>
      <c r="AN333" s="1220">
        <v>3.75</v>
      </c>
      <c r="AO333" s="1220">
        <v>3.88</v>
      </c>
      <c r="AP333" s="1220">
        <v>4.0199999999999996</v>
      </c>
      <c r="AQ333" s="1220">
        <v>4.1500000000000004</v>
      </c>
      <c r="AR333" s="1220">
        <v>4.29</v>
      </c>
      <c r="AS333" s="1220">
        <v>4.43</v>
      </c>
      <c r="AT333" s="1220">
        <v>4.58</v>
      </c>
      <c r="AU333" s="1220">
        <v>4.7300000000000004</v>
      </c>
      <c r="AV333" s="1220">
        <v>4.88</v>
      </c>
      <c r="AW333" s="1220">
        <v>5.04</v>
      </c>
      <c r="AX333" s="1220">
        <v>5.2</v>
      </c>
      <c r="AY333" s="1220"/>
      <c r="AZ333" s="1220"/>
      <c r="BA333" s="1220"/>
      <c r="BB333" s="1220"/>
      <c r="BC333" s="1220"/>
      <c r="BD333" s="1220"/>
    </row>
    <row r="334" spans="2:125" ht="15" customHeight="1">
      <c r="B334" s="1207">
        <v>42</v>
      </c>
      <c r="C334" s="1220">
        <v>4</v>
      </c>
      <c r="D334" s="1220">
        <v>4.09</v>
      </c>
      <c r="E334" s="1220">
        <v>4.22</v>
      </c>
      <c r="F334" s="1220">
        <v>4.37</v>
      </c>
      <c r="G334" s="1220">
        <v>4.53</v>
      </c>
      <c r="H334" s="1220">
        <v>4.83</v>
      </c>
      <c r="I334" s="1220">
        <v>5.0199999999999996</v>
      </c>
      <c r="J334" s="1220">
        <v>5.21</v>
      </c>
      <c r="K334" s="1220">
        <v>5.41</v>
      </c>
      <c r="L334" s="1220">
        <v>5.62</v>
      </c>
      <c r="M334" s="1220">
        <v>5.96</v>
      </c>
      <c r="N334" s="1220">
        <v>6.17</v>
      </c>
      <c r="O334" s="1220">
        <v>6.38</v>
      </c>
      <c r="P334" s="1220">
        <v>6.6</v>
      </c>
      <c r="Q334" s="1220">
        <v>6.81</v>
      </c>
      <c r="R334" s="1220">
        <v>7.03</v>
      </c>
      <c r="S334" s="1220">
        <v>7.26</v>
      </c>
      <c r="T334" s="1220">
        <v>7.48</v>
      </c>
      <c r="U334" s="1220">
        <v>7.71</v>
      </c>
      <c r="V334" s="1258">
        <v>0</v>
      </c>
      <c r="W334" s="1258">
        <v>0</v>
      </c>
      <c r="Y334" s="1207">
        <v>42</v>
      </c>
      <c r="Z334" s="1220">
        <v>2.36</v>
      </c>
      <c r="AA334" s="1220">
        <v>2.41</v>
      </c>
      <c r="AB334" s="1220">
        <v>2.48</v>
      </c>
      <c r="AC334" s="1220">
        <v>2.57</v>
      </c>
      <c r="AD334" s="1220">
        <v>2.66</v>
      </c>
      <c r="AE334" s="1220">
        <v>2.88</v>
      </c>
      <c r="AF334" s="1220">
        <v>2.99</v>
      </c>
      <c r="AG334" s="1220">
        <v>3.11</v>
      </c>
      <c r="AH334" s="1220">
        <v>3.23</v>
      </c>
      <c r="AI334" s="1220">
        <v>3.36</v>
      </c>
      <c r="AJ334" s="1220">
        <v>3.54</v>
      </c>
      <c r="AK334" s="1220">
        <v>3.67</v>
      </c>
      <c r="AL334" s="1220">
        <v>3.8</v>
      </c>
      <c r="AM334" s="1220">
        <v>3.94</v>
      </c>
      <c r="AN334" s="1220">
        <v>4.08</v>
      </c>
      <c r="AO334" s="1220">
        <v>4.22</v>
      </c>
      <c r="AP334" s="1220">
        <v>4.3600000000000003</v>
      </c>
      <c r="AQ334" s="1220">
        <v>4.51</v>
      </c>
      <c r="AR334" s="1220">
        <v>4.66</v>
      </c>
      <c r="AS334" s="1220">
        <v>4.8099999999999996</v>
      </c>
      <c r="AT334" s="1220">
        <v>4.96</v>
      </c>
      <c r="AU334" s="1220">
        <v>5.13</v>
      </c>
      <c r="AV334" s="1220">
        <v>5.29</v>
      </c>
      <c r="AW334" s="1220">
        <v>5.46</v>
      </c>
      <c r="AX334" s="1220"/>
      <c r="AY334" s="1220"/>
      <c r="AZ334" s="1220"/>
      <c r="BA334" s="1220"/>
      <c r="BB334" s="1220"/>
      <c r="BC334" s="1220"/>
      <c r="BD334" s="1220"/>
    </row>
    <row r="335" spans="2:125" ht="15" customHeight="1">
      <c r="B335" s="1207">
        <v>43</v>
      </c>
      <c r="C335" s="1220">
        <v>4.32</v>
      </c>
      <c r="D335" s="1220">
        <v>4.4400000000000004</v>
      </c>
      <c r="E335" s="1220">
        <v>4.58</v>
      </c>
      <c r="F335" s="1220">
        <v>4.75</v>
      </c>
      <c r="G335" s="1220">
        <v>4.93</v>
      </c>
      <c r="H335" s="1220">
        <v>5.26</v>
      </c>
      <c r="I335" s="1220">
        <v>5.46</v>
      </c>
      <c r="J335" s="1220">
        <v>5.67</v>
      </c>
      <c r="K335" s="1220">
        <v>5.88</v>
      </c>
      <c r="L335" s="1220">
        <v>6.1</v>
      </c>
      <c r="M335" s="1220">
        <v>6.47</v>
      </c>
      <c r="N335" s="1220">
        <v>6.69</v>
      </c>
      <c r="O335" s="1220">
        <v>6.91</v>
      </c>
      <c r="P335" s="1220">
        <v>7.14</v>
      </c>
      <c r="Q335" s="1220">
        <v>7.37</v>
      </c>
      <c r="R335" s="1220">
        <v>7.6</v>
      </c>
      <c r="S335" s="1220">
        <v>7.83</v>
      </c>
      <c r="T335" s="1220">
        <v>8.07</v>
      </c>
      <c r="U335" s="1258">
        <v>0</v>
      </c>
      <c r="V335" s="1258">
        <v>0</v>
      </c>
      <c r="W335" s="1258">
        <v>0</v>
      </c>
      <c r="Y335" s="1207">
        <v>43</v>
      </c>
      <c r="Z335" s="1220">
        <v>2.57</v>
      </c>
      <c r="AA335" s="1220">
        <v>2.63</v>
      </c>
      <c r="AB335" s="1220">
        <v>2.71</v>
      </c>
      <c r="AC335" s="1220">
        <v>2.81</v>
      </c>
      <c r="AD335" s="1220">
        <v>2.92</v>
      </c>
      <c r="AE335" s="1220">
        <v>3.15</v>
      </c>
      <c r="AF335" s="1220">
        <v>3.28</v>
      </c>
      <c r="AG335" s="1220">
        <v>3.4</v>
      </c>
      <c r="AH335" s="1220">
        <v>3.53</v>
      </c>
      <c r="AI335" s="1220">
        <v>3.67</v>
      </c>
      <c r="AJ335" s="1220">
        <v>3.86</v>
      </c>
      <c r="AK335" s="1220">
        <v>4</v>
      </c>
      <c r="AL335" s="1220">
        <v>4.1399999999999997</v>
      </c>
      <c r="AM335" s="1220">
        <v>4.29</v>
      </c>
      <c r="AN335" s="1220">
        <v>4.43</v>
      </c>
      <c r="AO335" s="1220">
        <v>4.58</v>
      </c>
      <c r="AP335" s="1220">
        <v>4.7300000000000004</v>
      </c>
      <c r="AQ335" s="1220">
        <v>4.8899999999999997</v>
      </c>
      <c r="AR335" s="1220">
        <v>5.05</v>
      </c>
      <c r="AS335" s="1220">
        <v>5.21</v>
      </c>
      <c r="AT335" s="1220">
        <v>5.38</v>
      </c>
      <c r="AU335" s="1220">
        <v>5.55</v>
      </c>
      <c r="AV335" s="1220">
        <v>5.73</v>
      </c>
      <c r="AW335" s="1220"/>
      <c r="AX335" s="1220"/>
      <c r="AY335" s="1220"/>
      <c r="AZ335" s="1220"/>
      <c r="BA335" s="1220"/>
      <c r="BB335" s="1220"/>
      <c r="BC335" s="1220"/>
      <c r="BD335" s="1220"/>
    </row>
    <row r="336" spans="2:125" ht="15" customHeight="1">
      <c r="B336" s="1207">
        <v>44</v>
      </c>
      <c r="C336" s="1220">
        <v>4.6900000000000004</v>
      </c>
      <c r="D336" s="1220">
        <v>4.83</v>
      </c>
      <c r="E336" s="1220">
        <v>4.99</v>
      </c>
      <c r="F336" s="1220">
        <v>5.18</v>
      </c>
      <c r="G336" s="1220">
        <v>5.38</v>
      </c>
      <c r="H336" s="1220">
        <v>5.74</v>
      </c>
      <c r="I336" s="1220">
        <v>5.95</v>
      </c>
      <c r="J336" s="1220">
        <v>6.17</v>
      </c>
      <c r="K336" s="1220">
        <v>6.39</v>
      </c>
      <c r="L336" s="1220">
        <v>6.62</v>
      </c>
      <c r="M336" s="1220">
        <v>7.02</v>
      </c>
      <c r="N336" s="1220">
        <v>7.25</v>
      </c>
      <c r="O336" s="1220">
        <v>7.48</v>
      </c>
      <c r="P336" s="1220">
        <v>7.72</v>
      </c>
      <c r="Q336" s="1220">
        <v>7.96</v>
      </c>
      <c r="R336" s="1220">
        <v>8.2100000000000009</v>
      </c>
      <c r="S336" s="1220">
        <v>8.4600000000000009</v>
      </c>
      <c r="T336" s="1258">
        <v>0</v>
      </c>
      <c r="U336" s="1258">
        <v>0</v>
      </c>
      <c r="V336" s="1258">
        <v>0</v>
      </c>
      <c r="W336" s="1258">
        <v>0</v>
      </c>
      <c r="Y336" s="1207">
        <v>44</v>
      </c>
      <c r="Z336" s="1220">
        <v>2.8</v>
      </c>
      <c r="AA336" s="1220">
        <v>2.88</v>
      </c>
      <c r="AB336" s="1220">
        <v>2.97</v>
      </c>
      <c r="AC336" s="1220">
        <v>3.08</v>
      </c>
      <c r="AD336" s="1220">
        <v>3.2</v>
      </c>
      <c r="AE336" s="1220">
        <v>3.46</v>
      </c>
      <c r="AF336" s="1220">
        <v>3.59</v>
      </c>
      <c r="AG336" s="1220">
        <v>3.73</v>
      </c>
      <c r="AH336" s="1220">
        <v>3.86</v>
      </c>
      <c r="AI336" s="1220">
        <v>4.01</v>
      </c>
      <c r="AJ336" s="1220">
        <v>4.21</v>
      </c>
      <c r="AK336" s="1220">
        <v>4.3600000000000003</v>
      </c>
      <c r="AL336" s="1220">
        <v>4.51</v>
      </c>
      <c r="AM336" s="1220">
        <v>4.66</v>
      </c>
      <c r="AN336" s="1220">
        <v>4.8099999999999996</v>
      </c>
      <c r="AO336" s="1220">
        <v>4.97</v>
      </c>
      <c r="AP336" s="1220">
        <v>5.14</v>
      </c>
      <c r="AQ336" s="1220">
        <v>5.3</v>
      </c>
      <c r="AR336" s="1220">
        <v>5.47</v>
      </c>
      <c r="AS336" s="1220">
        <v>5.65</v>
      </c>
      <c r="AT336" s="1220">
        <v>5.83</v>
      </c>
      <c r="AU336" s="1220">
        <v>6.02</v>
      </c>
      <c r="AV336" s="1220"/>
      <c r="AW336" s="1220"/>
      <c r="AX336" s="1220"/>
      <c r="AY336" s="1220"/>
      <c r="AZ336" s="1220"/>
      <c r="BA336" s="1220"/>
      <c r="BB336" s="1220"/>
      <c r="BC336" s="1220"/>
      <c r="BD336" s="1220"/>
    </row>
    <row r="337" spans="2:56" ht="15" customHeight="1">
      <c r="B337" s="1207">
        <v>45</v>
      </c>
      <c r="C337" s="1220">
        <v>5.1100000000000003</v>
      </c>
      <c r="D337" s="1220">
        <v>5.27</v>
      </c>
      <c r="E337" s="1220">
        <v>5.45</v>
      </c>
      <c r="F337" s="1220">
        <v>5.65</v>
      </c>
      <c r="G337" s="1220">
        <v>5.87</v>
      </c>
      <c r="H337" s="1220">
        <v>6.25</v>
      </c>
      <c r="I337" s="1220">
        <v>6.48</v>
      </c>
      <c r="J337" s="1220">
        <v>6.71</v>
      </c>
      <c r="K337" s="1220">
        <v>6.95</v>
      </c>
      <c r="L337" s="1220">
        <v>7.18</v>
      </c>
      <c r="M337" s="1220">
        <v>7.6</v>
      </c>
      <c r="N337" s="1220">
        <v>7.85</v>
      </c>
      <c r="O337" s="1220">
        <v>8.09</v>
      </c>
      <c r="P337" s="1220">
        <v>8.34</v>
      </c>
      <c r="Q337" s="1220">
        <v>8.6</v>
      </c>
      <c r="R337" s="1220">
        <v>8.86</v>
      </c>
      <c r="S337" s="1258">
        <v>0</v>
      </c>
      <c r="T337" s="1258">
        <v>0</v>
      </c>
      <c r="U337" s="1258">
        <v>0</v>
      </c>
      <c r="V337" s="1258">
        <v>0</v>
      </c>
      <c r="W337" s="1258">
        <v>0</v>
      </c>
      <c r="Y337" s="1207">
        <v>45</v>
      </c>
      <c r="Z337" s="1220">
        <v>3.07</v>
      </c>
      <c r="AA337" s="1220">
        <v>3.16</v>
      </c>
      <c r="AB337" s="1220">
        <v>3.26</v>
      </c>
      <c r="AC337" s="1220">
        <v>3.39</v>
      </c>
      <c r="AD337" s="1220">
        <v>3.52</v>
      </c>
      <c r="AE337" s="1220">
        <v>3.79</v>
      </c>
      <c r="AF337" s="1220">
        <v>3.93</v>
      </c>
      <c r="AG337" s="1220">
        <v>4.07</v>
      </c>
      <c r="AH337" s="1220">
        <v>4.22</v>
      </c>
      <c r="AI337" s="1220">
        <v>4.37</v>
      </c>
      <c r="AJ337" s="1220">
        <v>4.59</v>
      </c>
      <c r="AK337" s="1220">
        <v>4.74</v>
      </c>
      <c r="AL337" s="1220">
        <v>4.9000000000000004</v>
      </c>
      <c r="AM337" s="1220">
        <v>5.0599999999999996</v>
      </c>
      <c r="AN337" s="1220">
        <v>5.23</v>
      </c>
      <c r="AO337" s="1220">
        <v>5.4</v>
      </c>
      <c r="AP337" s="1220">
        <v>5.57</v>
      </c>
      <c r="AQ337" s="1220">
        <v>5.75</v>
      </c>
      <c r="AR337" s="1220">
        <v>5.94</v>
      </c>
      <c r="AS337" s="1220">
        <v>6.13</v>
      </c>
      <c r="AT337" s="1220">
        <v>6.32</v>
      </c>
      <c r="AU337" s="1220"/>
      <c r="AV337" s="1220"/>
      <c r="AW337" s="1220"/>
      <c r="AX337" s="1220"/>
      <c r="AY337" s="1220"/>
      <c r="AZ337" s="1220"/>
      <c r="BA337" s="1220"/>
      <c r="BB337" s="1220"/>
      <c r="BC337" s="1220"/>
      <c r="BD337" s="1220"/>
    </row>
    <row r="338" spans="2:56" ht="15" customHeight="1">
      <c r="B338" s="1207">
        <v>46</v>
      </c>
      <c r="C338" s="1220">
        <v>5.58</v>
      </c>
      <c r="D338" s="1220">
        <v>5.75</v>
      </c>
      <c r="E338" s="1220">
        <v>5.95</v>
      </c>
      <c r="F338" s="1220">
        <v>6.17</v>
      </c>
      <c r="G338" s="1220">
        <v>6.4</v>
      </c>
      <c r="H338" s="1220">
        <v>6.81</v>
      </c>
      <c r="I338" s="1220">
        <v>7.05</v>
      </c>
      <c r="J338" s="1220">
        <v>7.29</v>
      </c>
      <c r="K338" s="1220">
        <v>7.54</v>
      </c>
      <c r="L338" s="1220">
        <v>7.79</v>
      </c>
      <c r="M338" s="1220">
        <v>8.23</v>
      </c>
      <c r="N338" s="1220">
        <v>8.49</v>
      </c>
      <c r="O338" s="1220">
        <v>8.75</v>
      </c>
      <c r="P338" s="1220">
        <v>9.02</v>
      </c>
      <c r="Q338" s="1220">
        <v>9.2899999999999991</v>
      </c>
      <c r="R338" s="1258">
        <v>0</v>
      </c>
      <c r="S338" s="1258">
        <v>0</v>
      </c>
      <c r="T338" s="1258">
        <v>0</v>
      </c>
      <c r="U338" s="1258">
        <v>0</v>
      </c>
      <c r="V338" s="1258">
        <v>0</v>
      </c>
      <c r="W338" s="1258">
        <v>0</v>
      </c>
      <c r="Y338" s="1207">
        <v>46</v>
      </c>
      <c r="Z338" s="1220">
        <v>3.37</v>
      </c>
      <c r="AA338" s="1220">
        <v>3.47</v>
      </c>
      <c r="AB338" s="1220">
        <v>3.59</v>
      </c>
      <c r="AC338" s="1220">
        <v>3.72</v>
      </c>
      <c r="AD338" s="1220">
        <v>3.86</v>
      </c>
      <c r="AE338" s="1220">
        <v>4.16</v>
      </c>
      <c r="AF338" s="1220">
        <v>4.3</v>
      </c>
      <c r="AG338" s="1220">
        <v>4.45</v>
      </c>
      <c r="AH338" s="1220">
        <v>4.5999999999999996</v>
      </c>
      <c r="AI338" s="1220">
        <v>4.76</v>
      </c>
      <c r="AJ338" s="1220">
        <v>4.99</v>
      </c>
      <c r="AK338" s="1220">
        <v>5.15</v>
      </c>
      <c r="AL338" s="1220">
        <v>5.32</v>
      </c>
      <c r="AM338" s="1220">
        <v>5.49</v>
      </c>
      <c r="AN338" s="1220">
        <v>5.67</v>
      </c>
      <c r="AO338" s="1220">
        <v>5.85</v>
      </c>
      <c r="AP338" s="1220">
        <v>6.04</v>
      </c>
      <c r="AQ338" s="1220">
        <v>6.23</v>
      </c>
      <c r="AR338" s="1220">
        <v>6.43</v>
      </c>
      <c r="AS338" s="1220">
        <v>6.94</v>
      </c>
      <c r="AT338" s="1220"/>
      <c r="AU338" s="1220"/>
      <c r="AV338" s="1220"/>
      <c r="AW338" s="1220"/>
      <c r="AX338" s="1220"/>
      <c r="AY338" s="1220"/>
      <c r="AZ338" s="1220"/>
      <c r="BA338" s="1220"/>
      <c r="BB338" s="1220"/>
      <c r="BC338" s="1220"/>
      <c r="BD338" s="1220"/>
    </row>
    <row r="339" spans="2:56" ht="15" customHeight="1">
      <c r="B339" s="1207">
        <v>47</v>
      </c>
      <c r="C339" s="1220">
        <v>6.1</v>
      </c>
      <c r="D339" s="1220">
        <v>6.29</v>
      </c>
      <c r="E339" s="1220">
        <v>6.5</v>
      </c>
      <c r="F339" s="1220">
        <v>6.73</v>
      </c>
      <c r="G339" s="1220">
        <v>6.98</v>
      </c>
      <c r="H339" s="1220">
        <v>7.41</v>
      </c>
      <c r="I339" s="1220">
        <v>7.66</v>
      </c>
      <c r="J339" s="1220">
        <v>7.91</v>
      </c>
      <c r="K339" s="1220">
        <v>8.17</v>
      </c>
      <c r="L339" s="1220">
        <v>8.43</v>
      </c>
      <c r="M339" s="1220">
        <v>8.91</v>
      </c>
      <c r="N339" s="1220">
        <v>9.18</v>
      </c>
      <c r="O339" s="1220">
        <v>9.4600000000000009</v>
      </c>
      <c r="P339" s="1220">
        <v>9.74</v>
      </c>
      <c r="Q339" s="1258">
        <v>0</v>
      </c>
      <c r="R339" s="1258">
        <v>0</v>
      </c>
      <c r="S339" s="1258">
        <v>0</v>
      </c>
      <c r="T339" s="1258">
        <v>0</v>
      </c>
      <c r="U339" s="1258">
        <v>0</v>
      </c>
      <c r="V339" s="1258">
        <v>0</v>
      </c>
      <c r="W339" s="1258">
        <v>0</v>
      </c>
      <c r="Y339" s="1207">
        <v>47</v>
      </c>
      <c r="Z339" s="1220">
        <v>3.7</v>
      </c>
      <c r="AA339" s="1220">
        <v>3.81</v>
      </c>
      <c r="AB339" s="1220">
        <v>3.94</v>
      </c>
      <c r="AC339" s="1220">
        <v>4.07</v>
      </c>
      <c r="AD339" s="1220">
        <v>4.22</v>
      </c>
      <c r="AE339" s="1220">
        <v>4.54</v>
      </c>
      <c r="AF339" s="1220">
        <v>4.6900000000000004</v>
      </c>
      <c r="AG339" s="1220">
        <v>4.8499999999999996</v>
      </c>
      <c r="AH339" s="1220">
        <v>5.01</v>
      </c>
      <c r="AI339" s="1220">
        <v>5.17</v>
      </c>
      <c r="AJ339" s="1220">
        <v>5.42</v>
      </c>
      <c r="AK339" s="1220">
        <v>5.6</v>
      </c>
      <c r="AL339" s="1220">
        <v>5.77</v>
      </c>
      <c r="AM339" s="1220">
        <v>5.96</v>
      </c>
      <c r="AN339" s="1220">
        <v>6.15</v>
      </c>
      <c r="AO339" s="1220">
        <v>6.34</v>
      </c>
      <c r="AP339" s="1220">
        <v>6.55</v>
      </c>
      <c r="AQ339" s="1220">
        <v>6.76</v>
      </c>
      <c r="AR339" s="1220">
        <v>6.97</v>
      </c>
      <c r="AS339" s="1220"/>
      <c r="AT339" s="1220"/>
      <c r="AU339" s="1220"/>
      <c r="AV339" s="1220"/>
      <c r="AW339" s="1220"/>
      <c r="AX339" s="1220"/>
      <c r="AY339" s="1220"/>
      <c r="AZ339" s="1220"/>
      <c r="BA339" s="1220"/>
      <c r="BB339" s="1220"/>
      <c r="BC339" s="1220"/>
      <c r="BD339" s="1220"/>
    </row>
    <row r="340" spans="2:56" ht="15" customHeight="1">
      <c r="B340" s="1207">
        <v>48</v>
      </c>
      <c r="C340" s="1220">
        <v>6.67</v>
      </c>
      <c r="D340" s="1220">
        <v>6.87</v>
      </c>
      <c r="E340" s="1220">
        <v>7.09</v>
      </c>
      <c r="F340" s="1220">
        <v>7.34</v>
      </c>
      <c r="G340" s="1220">
        <v>7.59</v>
      </c>
      <c r="H340" s="1220">
        <v>8.0500000000000007</v>
      </c>
      <c r="I340" s="1220">
        <v>8.31</v>
      </c>
      <c r="J340" s="1220">
        <v>8.57</v>
      </c>
      <c r="K340" s="1220">
        <v>8.84</v>
      </c>
      <c r="L340" s="1220">
        <v>9.11</v>
      </c>
      <c r="M340" s="1220">
        <v>9.6300000000000008</v>
      </c>
      <c r="N340" s="1220">
        <v>9.91</v>
      </c>
      <c r="O340" s="1220">
        <v>10.210000000000001</v>
      </c>
      <c r="P340" s="1258">
        <v>0</v>
      </c>
      <c r="Q340" s="1258">
        <v>0</v>
      </c>
      <c r="R340" s="1258">
        <v>0</v>
      </c>
      <c r="S340" s="1258">
        <v>0</v>
      </c>
      <c r="T340" s="1258">
        <v>0</v>
      </c>
      <c r="U340" s="1258">
        <v>0</v>
      </c>
      <c r="V340" s="1258">
        <v>0</v>
      </c>
      <c r="W340" s="1258">
        <v>0</v>
      </c>
      <c r="Y340" s="1207">
        <v>48</v>
      </c>
      <c r="Z340" s="1220">
        <v>4.0599999999999996</v>
      </c>
      <c r="AA340" s="1220">
        <v>4.18</v>
      </c>
      <c r="AB340" s="1220">
        <v>4.3099999999999996</v>
      </c>
      <c r="AC340" s="1220">
        <v>4.46</v>
      </c>
      <c r="AD340" s="1220">
        <v>4.6100000000000003</v>
      </c>
      <c r="AE340" s="1220">
        <v>4.95</v>
      </c>
      <c r="AF340" s="1220">
        <v>5.1100000000000003</v>
      </c>
      <c r="AG340" s="1220">
        <v>5.27</v>
      </c>
      <c r="AH340" s="1220">
        <v>5.44</v>
      </c>
      <c r="AI340" s="1220">
        <v>5.62</v>
      </c>
      <c r="AJ340" s="1220">
        <v>5.88</v>
      </c>
      <c r="AK340" s="1220">
        <v>6.07</v>
      </c>
      <c r="AL340" s="1220">
        <v>6.26</v>
      </c>
      <c r="AM340" s="1220">
        <v>6.46</v>
      </c>
      <c r="AN340" s="1220">
        <v>6.66</v>
      </c>
      <c r="AO340" s="1220">
        <v>6.87</v>
      </c>
      <c r="AP340" s="1220">
        <v>7.09</v>
      </c>
      <c r="AQ340" s="1220">
        <v>7.32</v>
      </c>
      <c r="AR340" s="1220"/>
      <c r="AS340" s="1220"/>
      <c r="AT340" s="1220"/>
      <c r="AU340" s="1220"/>
      <c r="AV340" s="1220"/>
      <c r="AW340" s="1220"/>
      <c r="AX340" s="1220"/>
      <c r="AY340" s="1220"/>
      <c r="AZ340" s="1220"/>
      <c r="BA340" s="1220"/>
      <c r="BB340" s="1220"/>
      <c r="BC340" s="1220"/>
      <c r="BD340" s="1220"/>
    </row>
    <row r="341" spans="2:56" ht="15" customHeight="1">
      <c r="B341" s="1207">
        <v>49</v>
      </c>
      <c r="C341" s="1220">
        <v>7.27</v>
      </c>
      <c r="D341" s="1220">
        <v>7.48</v>
      </c>
      <c r="E341" s="1220">
        <v>7.72</v>
      </c>
      <c r="F341" s="1220">
        <v>7.97</v>
      </c>
      <c r="G341" s="1220">
        <v>8.23</v>
      </c>
      <c r="H341" s="1220">
        <v>8.73</v>
      </c>
      <c r="I341" s="1220">
        <v>8.99</v>
      </c>
      <c r="J341" s="1220">
        <v>9.27</v>
      </c>
      <c r="K341" s="1220">
        <v>9.5500000000000007</v>
      </c>
      <c r="L341" s="1220">
        <v>9.84</v>
      </c>
      <c r="M341" s="1220">
        <v>10.39</v>
      </c>
      <c r="N341" s="1220">
        <v>10.7</v>
      </c>
      <c r="O341" s="1258">
        <v>0</v>
      </c>
      <c r="P341" s="1258">
        <v>0</v>
      </c>
      <c r="Q341" s="1258">
        <v>0</v>
      </c>
      <c r="R341" s="1258">
        <v>0</v>
      </c>
      <c r="S341" s="1258">
        <v>0</v>
      </c>
      <c r="T341" s="1258">
        <v>0</v>
      </c>
      <c r="U341" s="1258">
        <v>0</v>
      </c>
      <c r="V341" s="1258">
        <v>0</v>
      </c>
      <c r="W341" s="1258">
        <v>0</v>
      </c>
      <c r="Y341" s="1207">
        <v>49</v>
      </c>
      <c r="Z341" s="1220">
        <v>4.45</v>
      </c>
      <c r="AA341" s="1220">
        <v>4.57</v>
      </c>
      <c r="AB341" s="1220">
        <v>4.71</v>
      </c>
      <c r="AC341" s="1220">
        <v>4.8600000000000003</v>
      </c>
      <c r="AD341" s="1220">
        <v>5.0199999999999996</v>
      </c>
      <c r="AE341" s="1220">
        <v>5.39</v>
      </c>
      <c r="AF341" s="1220">
        <v>5.55</v>
      </c>
      <c r="AG341" s="1220">
        <v>5.72</v>
      </c>
      <c r="AH341" s="1220">
        <v>5.9</v>
      </c>
      <c r="AI341" s="1220">
        <v>6.09</v>
      </c>
      <c r="AJ341" s="1220">
        <v>6.37</v>
      </c>
      <c r="AK341" s="1220">
        <v>6.57</v>
      </c>
      <c r="AL341" s="1220">
        <v>6.78</v>
      </c>
      <c r="AM341" s="1220">
        <v>6.99</v>
      </c>
      <c r="AN341" s="1220">
        <v>7.21</v>
      </c>
      <c r="AO341" s="1220">
        <v>7.44</v>
      </c>
      <c r="AP341" s="1220">
        <v>7.67</v>
      </c>
      <c r="AQ341" s="1220"/>
      <c r="AR341" s="1220"/>
      <c r="AS341" s="1220"/>
      <c r="AT341" s="1220"/>
      <c r="AU341" s="1220"/>
      <c r="AV341" s="1220"/>
      <c r="AW341" s="1220"/>
      <c r="AX341" s="1220"/>
      <c r="AY341" s="1220"/>
      <c r="AZ341" s="1220"/>
      <c r="BA341" s="1220"/>
      <c r="BB341" s="1220"/>
      <c r="BC341" s="1220"/>
      <c r="BD341" s="1220"/>
    </row>
    <row r="342" spans="2:56" ht="15" customHeight="1">
      <c r="B342" s="1207">
        <v>50</v>
      </c>
      <c r="C342" s="1220">
        <v>7.91</v>
      </c>
      <c r="D342" s="1220">
        <v>8.1300000000000008</v>
      </c>
      <c r="E342" s="1220">
        <v>8.3800000000000008</v>
      </c>
      <c r="F342" s="1220">
        <v>8.64</v>
      </c>
      <c r="G342" s="1220">
        <v>8.91</v>
      </c>
      <c r="H342" s="1220">
        <v>9.44</v>
      </c>
      <c r="I342" s="1220">
        <v>9.7100000000000009</v>
      </c>
      <c r="J342" s="1220">
        <v>10</v>
      </c>
      <c r="K342" s="1220">
        <v>10.3</v>
      </c>
      <c r="L342" s="1220">
        <v>10.62</v>
      </c>
      <c r="M342" s="1220">
        <v>11.21</v>
      </c>
      <c r="N342" s="1258">
        <v>0</v>
      </c>
      <c r="O342" s="1258">
        <v>0</v>
      </c>
      <c r="P342" s="1258">
        <v>0</v>
      </c>
      <c r="Q342" s="1258">
        <v>0</v>
      </c>
      <c r="R342" s="1258">
        <v>0</v>
      </c>
      <c r="S342" s="1258">
        <v>0</v>
      </c>
      <c r="T342" s="1258">
        <v>0</v>
      </c>
      <c r="U342" s="1258">
        <v>0</v>
      </c>
      <c r="V342" s="1258">
        <v>0</v>
      </c>
      <c r="W342" s="1258">
        <v>0</v>
      </c>
      <c r="Y342" s="1207">
        <v>50</v>
      </c>
      <c r="Z342" s="1220">
        <v>4.8499999999999996</v>
      </c>
      <c r="AA342" s="1220">
        <v>4.9800000000000004</v>
      </c>
      <c r="AB342" s="1220">
        <v>5.13</v>
      </c>
      <c r="AC342" s="1220">
        <v>5.29</v>
      </c>
      <c r="AD342" s="1220">
        <v>5.46</v>
      </c>
      <c r="AE342" s="1220">
        <v>5.85</v>
      </c>
      <c r="AF342" s="1220">
        <v>6.02</v>
      </c>
      <c r="AG342" s="1220">
        <v>6.2</v>
      </c>
      <c r="AH342" s="1220">
        <v>6.39</v>
      </c>
      <c r="AI342" s="1220">
        <v>6.58</v>
      </c>
      <c r="AJ342" s="1220">
        <v>6.89</v>
      </c>
      <c r="AK342" s="1220">
        <v>7.11</v>
      </c>
      <c r="AL342" s="1220">
        <v>7.33</v>
      </c>
      <c r="AM342" s="1220">
        <v>7.56</v>
      </c>
      <c r="AN342" s="1220">
        <v>7.8</v>
      </c>
      <c r="AO342" s="1220">
        <v>8.0500000000000007</v>
      </c>
      <c r="AP342" s="1220"/>
      <c r="AQ342" s="1220"/>
      <c r="AR342" s="1220"/>
      <c r="AS342" s="1220"/>
      <c r="AT342" s="1220"/>
      <c r="AU342" s="1220"/>
      <c r="AV342" s="1220"/>
      <c r="AW342" s="1220"/>
      <c r="AX342" s="1220"/>
      <c r="AY342" s="1220"/>
      <c r="AZ342" s="1220"/>
      <c r="BA342" s="1220"/>
      <c r="BB342" s="1220"/>
      <c r="BC342" s="1220"/>
      <c r="BD342" s="1220"/>
    </row>
    <row r="343" spans="2:56" ht="15" customHeight="1">
      <c r="B343" s="1207">
        <v>51</v>
      </c>
      <c r="C343" s="1220">
        <v>8.59</v>
      </c>
      <c r="D343" s="1220">
        <v>8.81</v>
      </c>
      <c r="E343" s="1220">
        <v>9.07</v>
      </c>
      <c r="F343" s="1220">
        <v>9.34</v>
      </c>
      <c r="G343" s="1220">
        <v>9.6199999999999992</v>
      </c>
      <c r="H343" s="1220">
        <v>10.18</v>
      </c>
      <c r="I343" s="1220">
        <v>10.47</v>
      </c>
      <c r="J343" s="1220">
        <v>10.78</v>
      </c>
      <c r="K343" s="1220">
        <v>11.1</v>
      </c>
      <c r="L343" s="1220">
        <v>11.44</v>
      </c>
      <c r="M343" s="1258">
        <v>0</v>
      </c>
      <c r="N343" s="1258">
        <v>0</v>
      </c>
      <c r="O343" s="1258">
        <v>0</v>
      </c>
      <c r="P343" s="1258">
        <v>0</v>
      </c>
      <c r="Q343" s="1258">
        <v>0</v>
      </c>
      <c r="R343" s="1258">
        <v>0</v>
      </c>
      <c r="S343" s="1258">
        <v>0</v>
      </c>
      <c r="T343" s="1258">
        <v>0</v>
      </c>
      <c r="U343" s="1258">
        <v>0</v>
      </c>
      <c r="V343" s="1258">
        <v>0</v>
      </c>
      <c r="W343" s="1258">
        <v>0</v>
      </c>
      <c r="Y343" s="1207">
        <v>51</v>
      </c>
      <c r="Z343" s="1220">
        <v>5.28</v>
      </c>
      <c r="AA343" s="1220">
        <v>5.41</v>
      </c>
      <c r="AB343" s="1220">
        <v>5.57</v>
      </c>
      <c r="AC343" s="1220">
        <v>5.73</v>
      </c>
      <c r="AD343" s="1220">
        <v>5.91</v>
      </c>
      <c r="AE343" s="1220">
        <v>6.33</v>
      </c>
      <c r="AF343" s="1220">
        <v>6.51</v>
      </c>
      <c r="AG343" s="1220">
        <v>6.7</v>
      </c>
      <c r="AH343" s="1220">
        <v>6.9</v>
      </c>
      <c r="AI343" s="1220">
        <v>7.12</v>
      </c>
      <c r="AJ343" s="1220">
        <v>7.45</v>
      </c>
      <c r="AK343" s="1220">
        <v>7.68</v>
      </c>
      <c r="AL343" s="1220">
        <v>7.92</v>
      </c>
      <c r="AM343" s="1220">
        <v>8.17</v>
      </c>
      <c r="AN343" s="1220">
        <v>8.43</v>
      </c>
      <c r="AO343" s="1220"/>
      <c r="AP343" s="1220"/>
      <c r="AQ343" s="1220"/>
      <c r="AR343" s="1220"/>
      <c r="AS343" s="1220"/>
      <c r="AT343" s="1220"/>
      <c r="AU343" s="1220"/>
      <c r="AV343" s="1220"/>
      <c r="AW343" s="1220"/>
      <c r="AX343" s="1220"/>
      <c r="AY343" s="1220"/>
      <c r="AZ343" s="1220"/>
      <c r="BA343" s="1220"/>
      <c r="BB343" s="1220"/>
      <c r="BC343" s="1220"/>
      <c r="BD343" s="1220"/>
    </row>
    <row r="344" spans="2:56" ht="15" customHeight="1">
      <c r="B344" s="1207">
        <v>52</v>
      </c>
      <c r="C344" s="1220">
        <v>9.2899999999999991</v>
      </c>
      <c r="D344" s="1220">
        <v>9.52</v>
      </c>
      <c r="E344" s="1220">
        <v>9.7799999999999994</v>
      </c>
      <c r="F344" s="1220">
        <v>10.07</v>
      </c>
      <c r="G344" s="1220">
        <v>10.37</v>
      </c>
      <c r="H344" s="1220">
        <v>10.96</v>
      </c>
      <c r="I344" s="1220">
        <v>11.28</v>
      </c>
      <c r="J344" s="1220">
        <v>11.61</v>
      </c>
      <c r="K344" s="1220">
        <v>11.95</v>
      </c>
      <c r="L344" s="1258">
        <v>0</v>
      </c>
      <c r="M344" s="1258">
        <v>0</v>
      </c>
      <c r="N344" s="1258">
        <v>0</v>
      </c>
      <c r="O344" s="1258">
        <v>0</v>
      </c>
      <c r="P344" s="1258">
        <v>0</v>
      </c>
      <c r="Q344" s="1258">
        <v>0</v>
      </c>
      <c r="R344" s="1258">
        <v>0</v>
      </c>
      <c r="S344" s="1258">
        <v>0</v>
      </c>
      <c r="T344" s="1258">
        <v>0</v>
      </c>
      <c r="U344" s="1258">
        <v>0</v>
      </c>
      <c r="V344" s="1258">
        <v>0</v>
      </c>
      <c r="W344" s="1258">
        <v>0</v>
      </c>
      <c r="Y344" s="1207">
        <v>52</v>
      </c>
      <c r="Z344" s="1220">
        <v>5.73</v>
      </c>
      <c r="AA344" s="1220">
        <v>5.87</v>
      </c>
      <c r="AB344" s="1220">
        <v>6.02</v>
      </c>
      <c r="AC344" s="1220">
        <v>6.2</v>
      </c>
      <c r="AD344" s="1220">
        <v>6.38</v>
      </c>
      <c r="AE344" s="1220">
        <v>6.83</v>
      </c>
      <c r="AF344" s="1220">
        <v>7.03</v>
      </c>
      <c r="AG344" s="1220">
        <v>7.23</v>
      </c>
      <c r="AH344" s="1220">
        <v>7.45</v>
      </c>
      <c r="AI344" s="1220">
        <v>7.68</v>
      </c>
      <c r="AJ344" s="1220">
        <v>8.0399999999999991</v>
      </c>
      <c r="AK344" s="1220">
        <v>8.2899999999999991</v>
      </c>
      <c r="AL344" s="1220">
        <v>8.56</v>
      </c>
      <c r="AM344" s="1220">
        <v>8.83</v>
      </c>
      <c r="AN344" s="1220"/>
      <c r="AO344" s="1220"/>
      <c r="AP344" s="1220"/>
      <c r="AQ344" s="1220"/>
      <c r="AR344" s="1220"/>
      <c r="AS344" s="1220"/>
      <c r="AT344" s="1220"/>
      <c r="AU344" s="1220"/>
      <c r="AV344" s="1220"/>
      <c r="AW344" s="1220"/>
      <c r="AX344" s="1220"/>
      <c r="AY344" s="1220"/>
      <c r="AZ344" s="1220"/>
      <c r="BA344" s="1220"/>
      <c r="BB344" s="1220"/>
      <c r="BC344" s="1220"/>
      <c r="BD344" s="1220"/>
    </row>
    <row r="345" spans="2:56" ht="15" customHeight="1">
      <c r="B345" s="1207">
        <v>53</v>
      </c>
      <c r="C345" s="1220">
        <v>10.01</v>
      </c>
      <c r="D345" s="1220">
        <v>10.26</v>
      </c>
      <c r="E345" s="1220">
        <v>10.53</v>
      </c>
      <c r="F345" s="1220">
        <v>10.83</v>
      </c>
      <c r="G345" s="1220">
        <v>11.15</v>
      </c>
      <c r="H345" s="1220">
        <v>11.79</v>
      </c>
      <c r="I345" s="1220">
        <v>12.13</v>
      </c>
      <c r="J345" s="1220">
        <v>12.48</v>
      </c>
      <c r="K345" s="1258">
        <v>0</v>
      </c>
      <c r="L345" s="1258">
        <v>0</v>
      </c>
      <c r="M345" s="1258">
        <v>0</v>
      </c>
      <c r="N345" s="1258">
        <v>0</v>
      </c>
      <c r="O345" s="1258">
        <v>0</v>
      </c>
      <c r="P345" s="1258">
        <v>0</v>
      </c>
      <c r="Q345" s="1258">
        <v>0</v>
      </c>
      <c r="R345" s="1258">
        <v>0</v>
      </c>
      <c r="S345" s="1258">
        <v>0</v>
      </c>
      <c r="T345" s="1258">
        <v>0</v>
      </c>
      <c r="U345" s="1258">
        <v>0</v>
      </c>
      <c r="V345" s="1258">
        <v>0</v>
      </c>
      <c r="W345" s="1258">
        <v>0</v>
      </c>
      <c r="Y345" s="1207">
        <v>53</v>
      </c>
      <c r="Z345" s="1220">
        <v>6.19</v>
      </c>
      <c r="AA345" s="1220">
        <v>6.33</v>
      </c>
      <c r="AB345" s="1220">
        <v>6.5</v>
      </c>
      <c r="AC345" s="1220">
        <v>6.69</v>
      </c>
      <c r="AD345" s="1220">
        <v>6.88</v>
      </c>
      <c r="AE345" s="1220">
        <v>7.37</v>
      </c>
      <c r="AF345" s="1220">
        <v>7.58</v>
      </c>
      <c r="AG345" s="1220">
        <v>7.8</v>
      </c>
      <c r="AH345" s="1220">
        <v>8.0399999999999991</v>
      </c>
      <c r="AI345" s="1220">
        <v>8.2899999999999991</v>
      </c>
      <c r="AJ345" s="1220">
        <v>8.68</v>
      </c>
      <c r="AK345" s="1220">
        <v>8.9499999999999993</v>
      </c>
      <c r="AL345" s="1220">
        <v>9.24</v>
      </c>
      <c r="AM345" s="1220"/>
      <c r="AN345" s="1220"/>
      <c r="AO345" s="1220"/>
      <c r="AP345" s="1220"/>
      <c r="AQ345" s="1220"/>
      <c r="AR345" s="1220"/>
      <c r="AS345" s="1220"/>
      <c r="AT345" s="1220"/>
      <c r="AU345" s="1220"/>
      <c r="AV345" s="1220"/>
      <c r="AW345" s="1220"/>
      <c r="AX345" s="1220"/>
      <c r="AY345" s="1220"/>
      <c r="AZ345" s="1220"/>
      <c r="BA345" s="1220"/>
      <c r="BB345" s="1220"/>
      <c r="BC345" s="1220"/>
      <c r="BD345" s="1220"/>
    </row>
    <row r="346" spans="2:56" ht="15" customHeight="1">
      <c r="B346" s="1207">
        <v>54</v>
      </c>
      <c r="C346" s="1220">
        <v>10.77</v>
      </c>
      <c r="D346" s="1220">
        <v>11.02</v>
      </c>
      <c r="E346" s="1220">
        <v>11.32</v>
      </c>
      <c r="F346" s="1220">
        <v>11.63</v>
      </c>
      <c r="G346" s="1220">
        <v>11.98</v>
      </c>
      <c r="H346" s="1220">
        <v>12.67</v>
      </c>
      <c r="I346" s="1220">
        <v>13.03</v>
      </c>
      <c r="J346" s="1258">
        <v>0</v>
      </c>
      <c r="K346" s="1258">
        <v>0</v>
      </c>
      <c r="L346" s="1258">
        <v>0</v>
      </c>
      <c r="M346" s="1258">
        <v>0</v>
      </c>
      <c r="N346" s="1258">
        <v>0</v>
      </c>
      <c r="O346" s="1258">
        <v>0</v>
      </c>
      <c r="P346" s="1258">
        <v>0</v>
      </c>
      <c r="Q346" s="1258">
        <v>0</v>
      </c>
      <c r="R346" s="1258">
        <v>0</v>
      </c>
      <c r="S346" s="1258">
        <v>0</v>
      </c>
      <c r="T346" s="1258">
        <v>0</v>
      </c>
      <c r="U346" s="1258">
        <v>0</v>
      </c>
      <c r="V346" s="1258">
        <v>0</v>
      </c>
      <c r="W346" s="1258">
        <v>0</v>
      </c>
      <c r="Y346" s="1207">
        <v>54</v>
      </c>
      <c r="Z346" s="1220">
        <v>6.67</v>
      </c>
      <c r="AA346" s="1220">
        <v>6.82</v>
      </c>
      <c r="AB346" s="1220">
        <v>7</v>
      </c>
      <c r="AC346" s="1220">
        <v>7.2</v>
      </c>
      <c r="AD346" s="1220">
        <v>7.41</v>
      </c>
      <c r="AE346" s="1220">
        <v>7.93</v>
      </c>
      <c r="AF346" s="1220">
        <v>8.16</v>
      </c>
      <c r="AG346" s="1220">
        <v>8.4</v>
      </c>
      <c r="AH346" s="1220">
        <v>8.66</v>
      </c>
      <c r="AI346" s="1220">
        <v>8.94</v>
      </c>
      <c r="AJ346" s="1220">
        <v>9.36</v>
      </c>
      <c r="AK346" s="1220">
        <v>9.66</v>
      </c>
      <c r="AL346" s="1220"/>
      <c r="AM346" s="1220"/>
      <c r="AN346" s="1220"/>
      <c r="AO346" s="1220"/>
      <c r="AP346" s="1220"/>
      <c r="AQ346" s="1220"/>
      <c r="AR346" s="1220"/>
      <c r="AS346" s="1220"/>
      <c r="AT346" s="1220"/>
      <c r="AU346" s="1220"/>
      <c r="AV346" s="1220"/>
      <c r="AW346" s="1220"/>
      <c r="AX346" s="1220"/>
      <c r="AY346" s="1220"/>
      <c r="AZ346" s="1220"/>
      <c r="BA346" s="1220"/>
      <c r="BB346" s="1220"/>
      <c r="BC346" s="1220"/>
      <c r="BD346" s="1220"/>
    </row>
    <row r="347" spans="2:56" ht="15" customHeight="1">
      <c r="B347" s="1207">
        <v>55</v>
      </c>
      <c r="C347" s="1220">
        <v>11.55</v>
      </c>
      <c r="D347" s="1220">
        <v>11.83</v>
      </c>
      <c r="E347" s="1220">
        <v>12.14</v>
      </c>
      <c r="F347" s="1220">
        <v>12.49</v>
      </c>
      <c r="G347" s="1220">
        <v>12.86</v>
      </c>
      <c r="H347" s="1220">
        <v>13.6</v>
      </c>
      <c r="I347" s="1258">
        <v>0</v>
      </c>
      <c r="J347" s="1258">
        <v>0</v>
      </c>
      <c r="K347" s="1258">
        <v>0</v>
      </c>
      <c r="L347" s="1258">
        <v>0</v>
      </c>
      <c r="M347" s="1258">
        <v>0</v>
      </c>
      <c r="N347" s="1258">
        <v>0</v>
      </c>
      <c r="O347" s="1258">
        <v>0</v>
      </c>
      <c r="P347" s="1258">
        <v>0</v>
      </c>
      <c r="Q347" s="1258">
        <v>0</v>
      </c>
      <c r="R347" s="1258">
        <v>0</v>
      </c>
      <c r="S347" s="1258">
        <v>0</v>
      </c>
      <c r="T347" s="1258">
        <v>0</v>
      </c>
      <c r="U347" s="1258">
        <v>0</v>
      </c>
      <c r="V347" s="1258">
        <v>0</v>
      </c>
      <c r="W347" s="1258">
        <v>0</v>
      </c>
      <c r="Y347" s="1207">
        <v>55</v>
      </c>
      <c r="Z347" s="1220">
        <v>7.17</v>
      </c>
      <c r="AA347" s="1220">
        <v>7.33</v>
      </c>
      <c r="AB347" s="1220">
        <v>7.53</v>
      </c>
      <c r="AC347" s="1220">
        <v>7.74</v>
      </c>
      <c r="AD347" s="1220">
        <v>7.97</v>
      </c>
      <c r="AE347" s="1220">
        <v>8.5399999999999991</v>
      </c>
      <c r="AF347" s="1220">
        <v>8.7899999999999991</v>
      </c>
      <c r="AG347" s="1220">
        <v>9.06</v>
      </c>
      <c r="AH347" s="1220">
        <v>9.34</v>
      </c>
      <c r="AI347" s="1220">
        <v>9.64</v>
      </c>
      <c r="AJ347" s="1220">
        <v>10.1</v>
      </c>
      <c r="AK347" s="1220"/>
      <c r="AL347" s="1220"/>
      <c r="AM347" s="1220"/>
      <c r="AN347" s="1220"/>
      <c r="AO347" s="1220"/>
      <c r="AP347" s="1220"/>
      <c r="AQ347" s="1220"/>
      <c r="AR347" s="1220"/>
      <c r="AS347" s="1220"/>
      <c r="AT347" s="1220"/>
      <c r="AU347" s="1220"/>
      <c r="AV347" s="1220"/>
      <c r="AW347" s="1220"/>
      <c r="AX347" s="1220"/>
      <c r="AY347" s="1220"/>
      <c r="AZ347" s="1220"/>
      <c r="BA347" s="1220"/>
      <c r="BB347" s="1220"/>
      <c r="BC347" s="1220"/>
      <c r="BD347" s="1220"/>
    </row>
    <row r="348" spans="2:56" ht="15" customHeight="1">
      <c r="Y348" s="1207">
        <v>56</v>
      </c>
      <c r="Z348" s="1220">
        <v>7.7</v>
      </c>
      <c r="AA348" s="1220">
        <v>7.88</v>
      </c>
      <c r="AB348" s="1220">
        <v>8.09</v>
      </c>
      <c r="AC348" s="1220">
        <v>8.32</v>
      </c>
      <c r="AD348" s="1220">
        <v>8.58</v>
      </c>
      <c r="AE348" s="1220">
        <v>9.19</v>
      </c>
      <c r="AF348" s="1220">
        <v>9.4600000000000009</v>
      </c>
      <c r="AG348" s="1220">
        <v>9.76</v>
      </c>
      <c r="AH348" s="1220">
        <v>10.07</v>
      </c>
      <c r="AI348" s="1220">
        <v>10.39</v>
      </c>
      <c r="AJ348" s="1220"/>
      <c r="AK348" s="1220"/>
      <c r="AL348" s="1220"/>
      <c r="AM348" s="1220"/>
      <c r="AN348" s="1220"/>
      <c r="AO348" s="1220"/>
      <c r="AP348" s="1220"/>
      <c r="AQ348" s="1220"/>
      <c r="AR348" s="1220"/>
      <c r="AS348" s="1220"/>
      <c r="AT348" s="1220"/>
      <c r="AU348" s="1220"/>
      <c r="AV348" s="1220"/>
      <c r="AW348" s="1220"/>
      <c r="AX348" s="1220"/>
      <c r="AY348" s="1220"/>
      <c r="AZ348" s="1220"/>
      <c r="BA348" s="1220"/>
      <c r="BB348" s="1220"/>
      <c r="BC348" s="1220"/>
      <c r="BD348" s="1220"/>
    </row>
    <row r="349" spans="2:56" ht="15" customHeight="1">
      <c r="Y349" s="1207">
        <v>57</v>
      </c>
      <c r="Z349" s="1220">
        <v>8.26</v>
      </c>
      <c r="AA349" s="1220">
        <v>8.4600000000000009</v>
      </c>
      <c r="AB349" s="1220">
        <v>8.69</v>
      </c>
      <c r="AC349" s="1220">
        <v>8.9499999999999993</v>
      </c>
      <c r="AD349" s="1220">
        <v>9.23</v>
      </c>
      <c r="AE349" s="1220">
        <v>9.9</v>
      </c>
      <c r="AF349" s="1220">
        <v>10.199999999999999</v>
      </c>
      <c r="AG349" s="1220">
        <v>10.52</v>
      </c>
      <c r="AH349" s="1220">
        <v>10.86</v>
      </c>
      <c r="AI349" s="1220"/>
      <c r="AJ349" s="1220"/>
      <c r="AK349" s="1220"/>
      <c r="AL349" s="1220"/>
      <c r="AM349" s="1220"/>
      <c r="AN349" s="1220"/>
      <c r="AO349" s="1220"/>
      <c r="AP349" s="1220"/>
      <c r="AQ349" s="1220"/>
      <c r="AR349" s="1220"/>
      <c r="AS349" s="1220"/>
      <c r="AT349" s="1220"/>
      <c r="AU349" s="1220"/>
      <c r="AV349" s="1220"/>
      <c r="AW349" s="1220"/>
      <c r="AX349" s="1220"/>
      <c r="AY349" s="1220"/>
      <c r="AZ349" s="1220"/>
      <c r="BA349" s="1220"/>
      <c r="BB349" s="1220"/>
      <c r="BC349" s="1220"/>
      <c r="BD349" s="1220"/>
    </row>
    <row r="350" spans="2:56" ht="15" customHeight="1">
      <c r="Y350" s="1207">
        <v>58</v>
      </c>
      <c r="Z350" s="1220">
        <v>8.8699999999999992</v>
      </c>
      <c r="AA350" s="1220">
        <v>9.09</v>
      </c>
      <c r="AB350" s="1220">
        <v>9.35</v>
      </c>
      <c r="AC350" s="1220">
        <v>9.6300000000000008</v>
      </c>
      <c r="AD350" s="1220">
        <v>9.94</v>
      </c>
      <c r="AE350" s="1220">
        <v>10.67</v>
      </c>
      <c r="AF350" s="1220">
        <v>11</v>
      </c>
      <c r="AG350" s="1220">
        <v>11.35</v>
      </c>
      <c r="AH350" s="1220"/>
      <c r="AI350" s="1220"/>
      <c r="AJ350" s="1220"/>
      <c r="AK350" s="1220"/>
      <c r="AL350" s="1220"/>
      <c r="AM350" s="1220"/>
      <c r="AN350" s="1220"/>
      <c r="AO350" s="1220"/>
      <c r="AP350" s="1220"/>
      <c r="AQ350" s="1220"/>
      <c r="AR350" s="1220"/>
      <c r="AS350" s="1220"/>
      <c r="AT350" s="1220"/>
      <c r="AU350" s="1220"/>
      <c r="AV350" s="1220"/>
      <c r="AW350" s="1220"/>
      <c r="AX350" s="1220"/>
      <c r="AY350" s="1220"/>
      <c r="AZ350" s="1220"/>
      <c r="BA350" s="1220"/>
      <c r="BB350" s="1220"/>
      <c r="BC350" s="1220"/>
      <c r="BD350" s="1220"/>
    </row>
    <row r="351" spans="2:56" ht="15" customHeight="1">
      <c r="Y351" s="1207">
        <v>59</v>
      </c>
      <c r="Z351" s="1220">
        <v>9.5299999999999994</v>
      </c>
      <c r="AA351" s="1220">
        <v>9.77</v>
      </c>
      <c r="AB351" s="1220">
        <v>10.06</v>
      </c>
      <c r="AC351" s="1220">
        <v>10.37</v>
      </c>
      <c r="AD351" s="1220">
        <v>10.72</v>
      </c>
      <c r="AE351" s="1220">
        <v>11.51</v>
      </c>
      <c r="AF351" s="1220">
        <v>11.87</v>
      </c>
      <c r="AG351" s="1220"/>
      <c r="AH351" s="1220"/>
      <c r="AI351" s="1220"/>
      <c r="AJ351" s="1220"/>
      <c r="AK351" s="1220"/>
      <c r="AL351" s="1220"/>
      <c r="AM351" s="1220"/>
      <c r="AN351" s="1220"/>
      <c r="AO351" s="1220"/>
      <c r="AP351" s="1220"/>
      <c r="AQ351" s="1220"/>
      <c r="AR351" s="1220"/>
      <c r="AS351" s="1220"/>
      <c r="AT351" s="1220"/>
      <c r="AU351" s="1220"/>
      <c r="AV351" s="1220"/>
      <c r="AW351" s="1220"/>
      <c r="AX351" s="1220"/>
      <c r="AY351" s="1220"/>
      <c r="AZ351" s="1220"/>
      <c r="BA351" s="1220"/>
      <c r="BB351" s="1220"/>
      <c r="BC351" s="1220"/>
      <c r="BD351" s="1220"/>
    </row>
    <row r="352" spans="2:56" ht="15" customHeight="1">
      <c r="Y352" s="1207">
        <v>60</v>
      </c>
      <c r="Z352" s="1220">
        <v>10.25</v>
      </c>
      <c r="AA352" s="1220">
        <v>10.52</v>
      </c>
      <c r="AB352" s="1220">
        <v>10.84</v>
      </c>
      <c r="AC352" s="1220">
        <v>11.19</v>
      </c>
      <c r="AD352" s="1220">
        <v>11.57</v>
      </c>
      <c r="AE352" s="1220">
        <v>12.43</v>
      </c>
      <c r="AF352" s="1207"/>
      <c r="AG352" s="1207"/>
      <c r="AH352" s="1207"/>
      <c r="AI352" s="1207"/>
      <c r="AJ352" s="1207"/>
      <c r="AK352" s="1207"/>
      <c r="AL352" s="1207"/>
      <c r="AM352" s="1207"/>
      <c r="AN352" s="1207"/>
      <c r="AO352" s="1207"/>
      <c r="AP352" s="1207"/>
      <c r="AQ352" s="1207"/>
      <c r="AR352" s="1207"/>
      <c r="AS352" s="1207"/>
      <c r="AT352" s="1207"/>
      <c r="AU352" s="1207"/>
      <c r="AV352" s="1207"/>
      <c r="AW352" s="1207"/>
      <c r="AX352" s="1207"/>
      <c r="AY352" s="1207"/>
      <c r="AZ352" s="1207"/>
      <c r="BA352" s="1207"/>
      <c r="BB352" s="1207"/>
      <c r="BC352" s="1207"/>
      <c r="BD352" s="1207"/>
    </row>
    <row r="353" spans="2:67" ht="15" customHeight="1">
      <c r="BK353" s="825">
        <f>'NEW JEEVAN NIDHI'!K45</f>
        <v>5540000</v>
      </c>
    </row>
    <row r="354" spans="2:67" ht="15" customHeight="1">
      <c r="AF354" s="824" t="e">
        <f>#REF!+35</f>
        <v>#REF!</v>
      </c>
      <c r="AG354" s="1205" t="e">
        <f>LOOKUP($AF$354,$B361:$B416,AG361:AG416)</f>
        <v>#REF!</v>
      </c>
      <c r="AH354" s="1205" t="e">
        <f t="shared" ref="AH354:AJ354" si="43">LOOKUP($AF$354,$B361:$B416,AH361:AH416)</f>
        <v>#REF!</v>
      </c>
      <c r="AI354" s="1205" t="e">
        <f t="shared" si="43"/>
        <v>#REF!</v>
      </c>
      <c r="AJ354" s="1205" t="e">
        <f t="shared" si="43"/>
        <v>#REF!</v>
      </c>
      <c r="BK354" s="824">
        <f>IF(Main!L14="YES",BK353*1/3,0)</f>
        <v>1846666.6666666667</v>
      </c>
    </row>
    <row r="355" spans="2:67" ht="15" customHeight="1">
      <c r="AF355" s="824">
        <f>'NEW JEEVAN NIDHI'!I39</f>
        <v>52</v>
      </c>
      <c r="AG355" s="1205">
        <f>LOOKUP($AF$355,$B361:$B416,AG361:AG416)</f>
        <v>65.3</v>
      </c>
      <c r="AH355" s="1205">
        <f>LOOKUP($AF$355,$B361:$B416,AH361:AH416)</f>
        <v>64</v>
      </c>
      <c r="AI355" s="1205">
        <f>LOOKUP($AF$355,$B361:$B416,AI361:AI416)</f>
        <v>63.3</v>
      </c>
      <c r="AJ355" s="1205">
        <f>LOOKUP($AF$355,$B361:$B416,AJ361:AJ416)</f>
        <v>62.9</v>
      </c>
      <c r="BK355" s="825">
        <f>BK353-BK354</f>
        <v>3693333.333333333</v>
      </c>
    </row>
    <row r="356" spans="2:67" ht="15" customHeight="1">
      <c r="B356" s="1206" t="e">
        <f>#REF!</f>
        <v>#REF!</v>
      </c>
      <c r="C356" s="1205" t="e">
        <f>LOOKUP($B$356,$B361:$B416,C361:C416)</f>
        <v>#REF!</v>
      </c>
      <c r="D356" s="1205" t="e">
        <f>LOOKUP($B$356,$B361:$B416,D361:D416)</f>
        <v>#REF!</v>
      </c>
      <c r="E356" s="1205" t="e">
        <f>LOOKUP($B$356,$B361:$B416,E361:E416)</f>
        <v>#REF!</v>
      </c>
      <c r="F356" s="1205" t="e">
        <f>LOOKUP($B$356,$B361:$B416,F361:F416)</f>
        <v>#REF!</v>
      </c>
      <c r="G356" s="1205"/>
      <c r="H356" s="1205"/>
      <c r="I356" s="1205" t="e">
        <f>LOOKUP($B$356,$B361:$B416,I361:I416)</f>
        <v>#REF!</v>
      </c>
      <c r="J356" s="1205" t="e">
        <f>LOOKUP($B$356,$B361:$B416,J361:J416)</f>
        <v>#REF!</v>
      </c>
      <c r="K356" s="1205" t="e">
        <f>LOOKUP($B$356,$B361:$B416,K361:K416)</f>
        <v>#REF!</v>
      </c>
      <c r="L356" s="1205" t="e">
        <f>LOOKUP($B$356,$B361:$B416,L361:L416)</f>
        <v>#REF!</v>
      </c>
      <c r="M356" s="1205"/>
      <c r="N356" s="1205"/>
      <c r="O356" s="1205" t="e">
        <f>LOOKUP($B$356,$B361:$B416,O361:O416)</f>
        <v>#REF!</v>
      </c>
      <c r="P356" s="1205" t="e">
        <f>LOOKUP($B$356,$B361:$B416,P361:P416)</f>
        <v>#REF!</v>
      </c>
      <c r="Q356" s="1205" t="e">
        <f>LOOKUP($B$356,$B361:$B416,Q361:Q416)</f>
        <v>#REF!</v>
      </c>
      <c r="R356" s="1205" t="e">
        <f>LOOKUP($B$356,$B361:$B416,R361:R416)</f>
        <v>#REF!</v>
      </c>
      <c r="S356" s="1205"/>
      <c r="T356" s="1205"/>
      <c r="U356" s="1205" t="e">
        <f>LOOKUP($B$356,$B361:$B416,U361:U416)</f>
        <v>#REF!</v>
      </c>
      <c r="V356" s="1205" t="e">
        <f>LOOKUP($B$356,$B361:$B416,V361:V416)</f>
        <v>#REF!</v>
      </c>
      <c r="W356" s="1205" t="e">
        <f>LOOKUP($B$356,$B361:$B416,W361:W416)</f>
        <v>#REF!</v>
      </c>
      <c r="X356" s="1205" t="e">
        <f>LOOKUP($B$356,$B361:$B416,X361:X416)</f>
        <v>#REF!</v>
      </c>
      <c r="Y356" s="1205"/>
      <c r="Z356" s="1205"/>
      <c r="AA356" s="1205" t="e">
        <f>LOOKUP($B$356,$B361:$B416,AA361:AA416)</f>
        <v>#REF!</v>
      </c>
      <c r="AB356" s="1205" t="e">
        <f>LOOKUP($B$356,$B361:$B416,AB361:AB416)</f>
        <v>#REF!</v>
      </c>
      <c r="AC356" s="1205" t="e">
        <f>LOOKUP($B$356,$B361:$B416,AC361:AC416)</f>
        <v>#REF!</v>
      </c>
      <c r="AD356" s="1205" t="e">
        <f>LOOKUP($B$356,$B361:$B416,AD361:AD416)</f>
        <v>#REF!</v>
      </c>
      <c r="AE356" s="1205"/>
      <c r="AF356" s="1205"/>
      <c r="AG356" s="1205" t="e">
        <f>LOOKUP($B$356,$B361:$B431,AG361:AG431)</f>
        <v>#REF!</v>
      </c>
      <c r="AH356" s="1205" t="e">
        <f>LOOKUP($B$356,$B361:$B431,AH361:AH431)</f>
        <v>#REF!</v>
      </c>
      <c r="AI356" s="1205" t="e">
        <f>LOOKUP($B$356,$B361:$B431,AI361:AI431)</f>
        <v>#REF!</v>
      </c>
      <c r="AJ356" s="1205" t="e">
        <f>LOOKUP($B$356,$B361:$B431,AJ361:AJ431)</f>
        <v>#REF!</v>
      </c>
      <c r="AK356" s="1205"/>
      <c r="AL356" s="1205"/>
      <c r="AM356" s="1205" t="e">
        <f>LOOKUP($B$356,$B361:$B416,AM361:AM416)</f>
        <v>#REF!</v>
      </c>
      <c r="AN356" s="1205" t="e">
        <f>LOOKUP($B$356,$B361:$B416,AN361:AN416)</f>
        <v>#REF!</v>
      </c>
      <c r="AO356" s="1205" t="e">
        <f>LOOKUP($B$356,$B361:$B416,AO361:AO416)</f>
        <v>#REF!</v>
      </c>
      <c r="AP356" s="1205" t="e">
        <f>LOOKUP($B$356,$B361:$B416,AP361:AP416)</f>
        <v>#REF!</v>
      </c>
      <c r="AQ356" s="1205"/>
      <c r="AR356" s="1205"/>
      <c r="AS356" s="1205" t="e">
        <f>LOOKUP($B$356,$B361:$B416,AS361:AS416)</f>
        <v>#REF!</v>
      </c>
      <c r="AT356" s="1205" t="e">
        <f>LOOKUP($B$356,$B361:$B416,AT361:AT416)</f>
        <v>#REF!</v>
      </c>
      <c r="AU356" s="1205" t="e">
        <f>LOOKUP($B$356,$B361:$B416,AU361:AU416)</f>
        <v>#REF!</v>
      </c>
      <c r="AV356" s="1205" t="e">
        <f>LOOKUP($B$356,$B361:$B416,AV361:AV416)</f>
        <v>#REF!</v>
      </c>
      <c r="AW356" s="1205"/>
      <c r="AX356" s="1205"/>
      <c r="AY356" s="1205" t="e">
        <f>LOOKUP($B$356,$B361:$B416,AY361:AY416)</f>
        <v>#REF!</v>
      </c>
      <c r="AZ356" s="1205" t="e">
        <f>LOOKUP($B$356,$B361:$B416,AZ361:AZ416)</f>
        <v>#REF!</v>
      </c>
      <c r="BA356" s="1205" t="e">
        <f>LOOKUP($B$356,$B361:$B416,BA361:BA416)</f>
        <v>#REF!</v>
      </c>
      <c r="BB356" s="1205" t="e">
        <f>LOOKUP($B$356,$B361:$B416,BB361:BB416)</f>
        <v>#REF!</v>
      </c>
      <c r="BC356" s="1205"/>
      <c r="BD356" s="1205"/>
      <c r="BE356" s="1205" t="e">
        <f>LOOKUP($B$356,$B361:$B416,BE361:BE416)</f>
        <v>#REF!</v>
      </c>
      <c r="BF356" s="1205" t="e">
        <f>LOOKUP($B$356,$B361:$B416,BF361:BF416)</f>
        <v>#REF!</v>
      </c>
      <c r="BG356" s="1205" t="e">
        <f>LOOKUP($B$356,$B361:$B416,BG361:BG416)</f>
        <v>#REF!</v>
      </c>
      <c r="BH356" s="1205" t="e">
        <f>LOOKUP($B$356,$B361:$B416,BH361:BH416)</f>
        <v>#REF!</v>
      </c>
    </row>
    <row r="357" spans="2:67" ht="15" customHeight="1">
      <c r="B357" s="824">
        <v>189</v>
      </c>
      <c r="D357" s="824" t="s">
        <v>12</v>
      </c>
      <c r="J357" s="824" t="s">
        <v>36</v>
      </c>
      <c r="P357" s="824" t="s">
        <v>35</v>
      </c>
      <c r="V357" s="824" t="s">
        <v>34</v>
      </c>
      <c r="AB357" s="824" t="s">
        <v>33</v>
      </c>
      <c r="AG357" s="1308"/>
      <c r="AH357" s="1308" t="s">
        <v>32</v>
      </c>
      <c r="AI357" s="1308"/>
      <c r="AJ357" s="1308"/>
      <c r="AL357" s="1308"/>
      <c r="AM357" s="1308"/>
      <c r="AN357" s="1308" t="s">
        <v>31</v>
      </c>
      <c r="AO357" s="1308"/>
      <c r="AP357" s="1308"/>
      <c r="AQ357" s="1308"/>
      <c r="AR357" s="1308"/>
      <c r="AS357" s="1308"/>
      <c r="AT357" s="1308" t="s">
        <v>30</v>
      </c>
      <c r="AU357" s="1308"/>
      <c r="AV357" s="1308"/>
      <c r="AY357" s="1308"/>
      <c r="AZ357" s="1308" t="s">
        <v>29</v>
      </c>
      <c r="BA357" s="1308"/>
      <c r="BB357" s="1308"/>
      <c r="BE357" s="1308"/>
      <c r="BF357" s="1308" t="s">
        <v>28</v>
      </c>
      <c r="BG357" s="1308"/>
      <c r="BH357" s="1308"/>
    </row>
    <row r="358" spans="2:67" ht="15" customHeight="1">
      <c r="B358" s="2353" t="s">
        <v>27</v>
      </c>
      <c r="C358" s="2353"/>
      <c r="D358" s="2353"/>
      <c r="E358" s="2353"/>
      <c r="F358" s="2353"/>
      <c r="G358" s="1309"/>
      <c r="H358" s="2353" t="s">
        <v>26</v>
      </c>
      <c r="I358" s="2353"/>
      <c r="J358" s="2353"/>
      <c r="K358" s="2353"/>
      <c r="L358" s="2353"/>
      <c r="M358" s="1309"/>
      <c r="N358" s="2353" t="s">
        <v>25</v>
      </c>
      <c r="O358" s="2353"/>
      <c r="P358" s="2353"/>
      <c r="Q358" s="2353"/>
      <c r="R358" s="2353"/>
      <c r="S358" s="1309"/>
      <c r="T358" s="2353" t="s">
        <v>24</v>
      </c>
      <c r="U358" s="2353"/>
      <c r="V358" s="2353"/>
      <c r="W358" s="2353"/>
      <c r="X358" s="2353"/>
      <c r="Y358" s="1309"/>
      <c r="Z358" s="2353" t="s">
        <v>23</v>
      </c>
      <c r="AA358" s="2353"/>
      <c r="AB358" s="2353"/>
      <c r="AC358" s="2353"/>
      <c r="AD358" s="2353"/>
      <c r="AE358" s="1309"/>
      <c r="AF358" s="2353" t="s">
        <v>22</v>
      </c>
      <c r="AG358" s="2353"/>
      <c r="AH358" s="2353"/>
      <c r="AI358" s="2353"/>
      <c r="AJ358" s="2353"/>
      <c r="AL358" s="2353" t="s">
        <v>21</v>
      </c>
      <c r="AM358" s="2353"/>
      <c r="AN358" s="2353"/>
      <c r="AO358" s="2353"/>
      <c r="AP358" s="2353"/>
      <c r="AQ358" s="1310"/>
      <c r="AR358" s="2353" t="s">
        <v>20</v>
      </c>
      <c r="AS358" s="2353"/>
      <c r="AT358" s="2353"/>
      <c r="AU358" s="2353"/>
      <c r="AV358" s="2353"/>
      <c r="AW358" s="1311"/>
      <c r="AX358" s="2353" t="s">
        <v>19</v>
      </c>
      <c r="AY358" s="2353"/>
      <c r="AZ358" s="2353"/>
      <c r="BA358" s="2353"/>
      <c r="BB358" s="2353"/>
      <c r="BD358" s="2353" t="s">
        <v>19</v>
      </c>
      <c r="BE358" s="2353"/>
      <c r="BF358" s="2353"/>
      <c r="BG358" s="2353"/>
      <c r="BH358" s="2353"/>
      <c r="BK358" s="824" t="e">
        <f>#REF!</f>
        <v>#REF!</v>
      </c>
      <c r="BL358" s="1205" t="e">
        <f>LOOKUP($BK$358,$BK362:$BK369,BL362:BL369)</f>
        <v>#REF!</v>
      </c>
      <c r="BM358" s="1205" t="e">
        <f t="shared" ref="BM358:BO358" si="44">LOOKUP($BK$358,$BK362:$BK369,BM362:BM369)</f>
        <v>#REF!</v>
      </c>
      <c r="BN358" s="1205" t="e">
        <f t="shared" si="44"/>
        <v>#REF!</v>
      </c>
      <c r="BO358" s="1205" t="e">
        <f t="shared" si="44"/>
        <v>#REF!</v>
      </c>
    </row>
    <row r="359" spans="2:67" ht="15" customHeight="1">
      <c r="B359" s="2353"/>
      <c r="C359" s="2353"/>
      <c r="D359" s="2353"/>
      <c r="E359" s="2353"/>
      <c r="F359" s="2353"/>
      <c r="G359" s="1309"/>
      <c r="H359" s="2353"/>
      <c r="I359" s="2353"/>
      <c r="J359" s="2353"/>
      <c r="K359" s="2353"/>
      <c r="L359" s="2353"/>
      <c r="M359" s="1309"/>
      <c r="N359" s="2353"/>
      <c r="O359" s="2353"/>
      <c r="P359" s="2353"/>
      <c r="Q359" s="2353"/>
      <c r="R359" s="2353"/>
      <c r="S359" s="1309"/>
      <c r="T359" s="2353"/>
      <c r="U359" s="2353"/>
      <c r="V359" s="2353"/>
      <c r="W359" s="2353"/>
      <c r="X359" s="2353"/>
      <c r="Y359" s="1309"/>
      <c r="Z359" s="2353"/>
      <c r="AA359" s="2353"/>
      <c r="AB359" s="2353"/>
      <c r="AC359" s="2353"/>
      <c r="AD359" s="2353"/>
      <c r="AE359" s="1309"/>
      <c r="AF359" s="2353"/>
      <c r="AG359" s="2353"/>
      <c r="AH359" s="2353"/>
      <c r="AI359" s="2353"/>
      <c r="AJ359" s="2353"/>
      <c r="AL359" s="2353"/>
      <c r="AM359" s="2353"/>
      <c r="AN359" s="2353"/>
      <c r="AO359" s="2353"/>
      <c r="AP359" s="2353"/>
      <c r="AQ359" s="1310"/>
      <c r="AR359" s="2353"/>
      <c r="AS359" s="2353"/>
      <c r="AT359" s="2353"/>
      <c r="AU359" s="2353"/>
      <c r="AV359" s="2353"/>
      <c r="AW359" s="1311"/>
      <c r="AX359" s="2353"/>
      <c r="AY359" s="2353"/>
      <c r="AZ359" s="2353"/>
      <c r="BA359" s="2353"/>
      <c r="BB359" s="2353"/>
      <c r="BD359" s="2353"/>
      <c r="BE359" s="2353"/>
      <c r="BF359" s="2353"/>
      <c r="BG359" s="2353"/>
      <c r="BH359" s="2353"/>
      <c r="BJ359" s="824" t="s">
        <v>18</v>
      </c>
      <c r="BK359" s="825">
        <f>BK355</f>
        <v>3693333.333333333</v>
      </c>
      <c r="BL359" s="1205">
        <f>LOOKUP($BK$359,$BK362:$BK369,BL362:BL369)</f>
        <v>4.3499999999999996</v>
      </c>
      <c r="BM359" s="1205">
        <f>LOOKUP($BK$359,$BK362:$BK369,BM362:BM369)</f>
        <v>4.05</v>
      </c>
      <c r="BN359" s="1205">
        <f>LOOKUP($BK$359,$BK362:$BK369,BN362:BN369)</f>
        <v>3.95</v>
      </c>
      <c r="BO359" s="1205">
        <f>LOOKUP($BK$359,$BK362:$BK369,BO362:BO369)</f>
        <v>3.9</v>
      </c>
    </row>
    <row r="360" spans="2:67" ht="15" customHeight="1">
      <c r="B360" s="1308" t="s">
        <v>17</v>
      </c>
      <c r="C360" s="1308" t="s">
        <v>16</v>
      </c>
      <c r="D360" s="1308" t="s">
        <v>15</v>
      </c>
      <c r="E360" s="1308" t="s">
        <v>14</v>
      </c>
      <c r="F360" s="1308" t="s">
        <v>13</v>
      </c>
      <c r="G360" s="1308"/>
      <c r="H360" s="1308" t="s">
        <v>17</v>
      </c>
      <c r="I360" s="1308" t="s">
        <v>16</v>
      </c>
      <c r="J360" s="1308" t="s">
        <v>15</v>
      </c>
      <c r="K360" s="1308" t="s">
        <v>14</v>
      </c>
      <c r="L360" s="1308" t="s">
        <v>13</v>
      </c>
      <c r="M360" s="1308"/>
      <c r="N360" s="1308" t="s">
        <v>17</v>
      </c>
      <c r="O360" s="1308" t="s">
        <v>16</v>
      </c>
      <c r="P360" s="1308" t="s">
        <v>15</v>
      </c>
      <c r="Q360" s="1308" t="s">
        <v>14</v>
      </c>
      <c r="R360" s="1308" t="s">
        <v>13</v>
      </c>
      <c r="S360" s="1308"/>
      <c r="T360" s="1308" t="s">
        <v>17</v>
      </c>
      <c r="U360" s="1308" t="s">
        <v>16</v>
      </c>
      <c r="V360" s="1308" t="s">
        <v>15</v>
      </c>
      <c r="W360" s="1308" t="s">
        <v>14</v>
      </c>
      <c r="X360" s="1308" t="s">
        <v>13</v>
      </c>
      <c r="Y360" s="1308"/>
      <c r="Z360" s="1308" t="s">
        <v>17</v>
      </c>
      <c r="AA360" s="1308" t="s">
        <v>16</v>
      </c>
      <c r="AB360" s="1308" t="s">
        <v>15</v>
      </c>
      <c r="AC360" s="1308" t="s">
        <v>14</v>
      </c>
      <c r="AD360" s="1308" t="s">
        <v>13</v>
      </c>
      <c r="AE360" s="1308"/>
      <c r="AF360" s="1308" t="s">
        <v>17</v>
      </c>
      <c r="AG360" s="1308" t="s">
        <v>16</v>
      </c>
      <c r="AH360" s="1308" t="s">
        <v>15</v>
      </c>
      <c r="AI360" s="1308" t="s">
        <v>14</v>
      </c>
      <c r="AJ360" s="1308" t="s">
        <v>13</v>
      </c>
      <c r="AL360" s="1308" t="s">
        <v>17</v>
      </c>
      <c r="AM360" s="1308" t="s">
        <v>16</v>
      </c>
      <c r="AN360" s="1308" t="s">
        <v>15</v>
      </c>
      <c r="AO360" s="1308" t="s">
        <v>14</v>
      </c>
      <c r="AP360" s="1308" t="s">
        <v>13</v>
      </c>
      <c r="AQ360" s="1308"/>
      <c r="AR360" s="1308" t="s">
        <v>17</v>
      </c>
      <c r="AS360" s="1308" t="s">
        <v>16</v>
      </c>
      <c r="AT360" s="1308" t="s">
        <v>15</v>
      </c>
      <c r="AU360" s="1308" t="s">
        <v>14</v>
      </c>
      <c r="AV360" s="1308" t="s">
        <v>13</v>
      </c>
      <c r="AW360" s="1311"/>
      <c r="AX360" s="1308" t="s">
        <v>17</v>
      </c>
      <c r="AY360" s="1308" t="s">
        <v>16</v>
      </c>
      <c r="AZ360" s="1308" t="s">
        <v>15</v>
      </c>
      <c r="BA360" s="1308" t="s">
        <v>14</v>
      </c>
      <c r="BB360" s="1308" t="s">
        <v>13</v>
      </c>
      <c r="BD360" s="1308" t="s">
        <v>17</v>
      </c>
      <c r="BE360" s="1308" t="s">
        <v>16</v>
      </c>
      <c r="BF360" s="1308" t="s">
        <v>15</v>
      </c>
      <c r="BG360" s="1308" t="s">
        <v>14</v>
      </c>
      <c r="BH360" s="1308" t="s">
        <v>13</v>
      </c>
      <c r="BJ360" s="1308" t="s">
        <v>12</v>
      </c>
      <c r="BK360" s="824" t="e">
        <f>#REF!</f>
        <v>#REF!</v>
      </c>
      <c r="BL360" s="1205" t="e">
        <f>LOOKUP($BK$360,$BK362:$BK369,BL362:BL369)</f>
        <v>#REF!</v>
      </c>
      <c r="BM360" s="1205" t="e">
        <f>LOOKUP($BK$360,$BK362:$BK369,BM362:BM369)</f>
        <v>#REF!</v>
      </c>
      <c r="BN360" s="1205" t="e">
        <f>LOOKUP($BK$360,$BK362:$BK369,BN362:BN369)</f>
        <v>#REF!</v>
      </c>
      <c r="BO360" s="1205" t="e">
        <f>LOOKUP($BK$360,$BK362:$BK369,BO362:BO369)</f>
        <v>#REF!</v>
      </c>
    </row>
    <row r="361" spans="2:67" ht="15" customHeight="1">
      <c r="B361" s="1312">
        <v>30</v>
      </c>
      <c r="C361" s="1313">
        <v>67.5</v>
      </c>
      <c r="D361" s="1313">
        <v>66.3</v>
      </c>
      <c r="E361" s="1313">
        <v>65.7</v>
      </c>
      <c r="F361" s="1313">
        <v>65.3</v>
      </c>
      <c r="G361" s="1314"/>
      <c r="H361" s="1312">
        <v>30</v>
      </c>
      <c r="I361" s="1313">
        <v>67.5</v>
      </c>
      <c r="J361" s="1313">
        <v>66.3</v>
      </c>
      <c r="K361" s="1313">
        <v>65.7</v>
      </c>
      <c r="L361" s="1315">
        <v>65.3</v>
      </c>
      <c r="M361" s="1314"/>
      <c r="N361" s="1312">
        <v>30</v>
      </c>
      <c r="O361" s="1313">
        <v>67.400000000000006</v>
      </c>
      <c r="P361" s="1313">
        <v>66.2</v>
      </c>
      <c r="Q361" s="1313">
        <v>65.599999999999994</v>
      </c>
      <c r="R361" s="1313">
        <v>65.2</v>
      </c>
      <c r="S361" s="1314"/>
      <c r="T361" s="1312">
        <v>30</v>
      </c>
      <c r="U361" s="1313">
        <v>67.3</v>
      </c>
      <c r="V361" s="1313">
        <v>66.099999999999994</v>
      </c>
      <c r="W361" s="1313">
        <v>65.5</v>
      </c>
      <c r="X361" s="1313">
        <v>65.099999999999994</v>
      </c>
      <c r="Y361" s="1314"/>
      <c r="Z361" s="1312">
        <v>30</v>
      </c>
      <c r="AA361" s="1313">
        <v>67.099999999999994</v>
      </c>
      <c r="AB361" s="1313">
        <v>65.900000000000006</v>
      </c>
      <c r="AC361" s="1313">
        <v>65.400000000000006</v>
      </c>
      <c r="AD361" s="1313">
        <v>65</v>
      </c>
      <c r="AE361" s="1314"/>
      <c r="AF361" s="1316">
        <v>30</v>
      </c>
      <c r="AG361" s="1317">
        <v>64.3</v>
      </c>
      <c r="AH361" s="1317">
        <v>63.2</v>
      </c>
      <c r="AI361" s="1317">
        <v>62.6</v>
      </c>
      <c r="AJ361" s="1317">
        <v>62.2</v>
      </c>
      <c r="AL361" s="1312">
        <v>30</v>
      </c>
      <c r="AM361" s="1313">
        <v>48.7</v>
      </c>
      <c r="AN361" s="1313">
        <v>48.1</v>
      </c>
      <c r="AO361" s="1313">
        <v>47.8</v>
      </c>
      <c r="AP361" s="1313">
        <v>47.6</v>
      </c>
      <c r="AQ361" s="1314"/>
      <c r="AR361" s="1312">
        <v>30</v>
      </c>
      <c r="AS361" s="1313">
        <v>66.400000000000006</v>
      </c>
      <c r="AT361" s="1313">
        <v>65.2</v>
      </c>
      <c r="AU361" s="1313">
        <v>64.7</v>
      </c>
      <c r="AV361" s="1313">
        <v>64.3</v>
      </c>
      <c r="AW361" s="1318"/>
      <c r="AX361" s="1319">
        <v>30</v>
      </c>
      <c r="AY361" s="1313">
        <v>65.3</v>
      </c>
      <c r="AZ361" s="1313">
        <v>64.2</v>
      </c>
      <c r="BA361" s="1313">
        <v>63.6</v>
      </c>
      <c r="BB361" s="1313">
        <v>63.3</v>
      </c>
      <c r="BD361" s="1310">
        <v>30</v>
      </c>
      <c r="BE361" s="1313">
        <v>64.099999999999994</v>
      </c>
      <c r="BF361" s="1313">
        <v>63</v>
      </c>
      <c r="BG361" s="1313">
        <v>62.4</v>
      </c>
      <c r="BH361" s="1313">
        <v>62.1</v>
      </c>
      <c r="BL361" s="824" t="s">
        <v>11</v>
      </c>
      <c r="BM361" s="824" t="s">
        <v>10</v>
      </c>
      <c r="BN361" s="824" t="s">
        <v>9</v>
      </c>
      <c r="BO361" s="824" t="s">
        <v>8</v>
      </c>
    </row>
    <row r="362" spans="2:67" ht="15" customHeight="1">
      <c r="B362" s="1312">
        <v>31</v>
      </c>
      <c r="C362" s="1320">
        <v>67.8</v>
      </c>
      <c r="D362" s="1320">
        <v>66.5</v>
      </c>
      <c r="E362" s="1320">
        <v>65.900000000000006</v>
      </c>
      <c r="F362" s="1320">
        <v>65.599999999999994</v>
      </c>
      <c r="G362" s="1314"/>
      <c r="H362" s="1312">
        <v>31</v>
      </c>
      <c r="I362" s="1320">
        <v>67.7</v>
      </c>
      <c r="J362" s="1320">
        <v>66.5</v>
      </c>
      <c r="K362" s="1320">
        <v>65.900000000000006</v>
      </c>
      <c r="L362" s="1321">
        <v>65.5</v>
      </c>
      <c r="M362" s="1314"/>
      <c r="N362" s="1312">
        <v>31</v>
      </c>
      <c r="O362" s="1320">
        <v>67.599999999999994</v>
      </c>
      <c r="P362" s="1320">
        <v>66.400000000000006</v>
      </c>
      <c r="Q362" s="1320">
        <v>65.8</v>
      </c>
      <c r="R362" s="1320">
        <v>65.400000000000006</v>
      </c>
      <c r="S362" s="1314"/>
      <c r="T362" s="1312">
        <v>31</v>
      </c>
      <c r="U362" s="1320">
        <v>67.5</v>
      </c>
      <c r="V362" s="1320">
        <v>66.3</v>
      </c>
      <c r="W362" s="1320">
        <v>65.7</v>
      </c>
      <c r="X362" s="1320">
        <v>65.36</v>
      </c>
      <c r="Y362" s="1314"/>
      <c r="Z362" s="1312">
        <v>31</v>
      </c>
      <c r="AA362" s="1320">
        <v>67.3</v>
      </c>
      <c r="AB362" s="1320">
        <v>66.099999999999994</v>
      </c>
      <c r="AC362" s="1320">
        <v>65.599999999999994</v>
      </c>
      <c r="AD362" s="1320">
        <v>65.2</v>
      </c>
      <c r="AE362" s="1314"/>
      <c r="AF362" s="1316">
        <v>31</v>
      </c>
      <c r="AG362" s="1322">
        <v>64.400000000000006</v>
      </c>
      <c r="AH362" s="1322">
        <v>63.2</v>
      </c>
      <c r="AI362" s="1322">
        <v>62.6</v>
      </c>
      <c r="AJ362" s="1322">
        <v>62.3</v>
      </c>
      <c r="AL362" s="1312">
        <v>31</v>
      </c>
      <c r="AM362" s="1320">
        <v>49</v>
      </c>
      <c r="AN362" s="1320">
        <v>48.3</v>
      </c>
      <c r="AO362" s="1320">
        <v>48</v>
      </c>
      <c r="AP362" s="1320">
        <v>47.8</v>
      </c>
      <c r="AQ362" s="1314"/>
      <c r="AR362" s="1312">
        <v>31</v>
      </c>
      <c r="AS362" s="1320">
        <v>66.599999999999994</v>
      </c>
      <c r="AT362" s="1320">
        <v>65.400000000000006</v>
      </c>
      <c r="AU362" s="1320">
        <v>64.8</v>
      </c>
      <c r="AV362" s="1320">
        <v>64.5</v>
      </c>
      <c r="AW362" s="1318"/>
      <c r="AX362" s="1319">
        <v>31</v>
      </c>
      <c r="AY362" s="1320">
        <v>65.400000000000006</v>
      </c>
      <c r="AZ362" s="1320">
        <v>64.3</v>
      </c>
      <c r="BA362" s="1320">
        <v>63.8</v>
      </c>
      <c r="BB362" s="1320">
        <v>63.4</v>
      </c>
      <c r="BD362" s="1310">
        <v>31</v>
      </c>
      <c r="BE362" s="1320">
        <v>64.099999999999994</v>
      </c>
      <c r="BF362" s="1320">
        <v>63</v>
      </c>
      <c r="BG362" s="1320">
        <v>62.4</v>
      </c>
      <c r="BH362" s="1320">
        <v>62.1</v>
      </c>
      <c r="BK362" s="824">
        <v>100000</v>
      </c>
      <c r="BL362" s="824">
        <v>0</v>
      </c>
      <c r="BM362" s="824">
        <v>0</v>
      </c>
      <c r="BN362" s="824">
        <v>0</v>
      </c>
      <c r="BO362" s="824">
        <v>0</v>
      </c>
    </row>
    <row r="363" spans="2:67" ht="15" customHeight="1">
      <c r="B363" s="1312">
        <v>32</v>
      </c>
      <c r="C363" s="1320">
        <v>68</v>
      </c>
      <c r="D363" s="1320">
        <v>66.8</v>
      </c>
      <c r="E363" s="1320">
        <v>66.2</v>
      </c>
      <c r="F363" s="1320">
        <v>65.8</v>
      </c>
      <c r="G363" s="1314"/>
      <c r="H363" s="1312">
        <v>32</v>
      </c>
      <c r="I363" s="1320">
        <v>68</v>
      </c>
      <c r="J363" s="1320">
        <v>66.7</v>
      </c>
      <c r="K363" s="1320">
        <v>66.099999999999994</v>
      </c>
      <c r="L363" s="1321">
        <v>65.8</v>
      </c>
      <c r="M363" s="1314"/>
      <c r="N363" s="1312">
        <v>32</v>
      </c>
      <c r="O363" s="1320">
        <v>67.8</v>
      </c>
      <c r="P363" s="1320">
        <v>66.599999999999994</v>
      </c>
      <c r="Q363" s="1320">
        <v>66</v>
      </c>
      <c r="R363" s="1320">
        <v>65.7</v>
      </c>
      <c r="S363" s="1314"/>
      <c r="T363" s="1312">
        <v>32</v>
      </c>
      <c r="U363" s="1320">
        <v>67.7</v>
      </c>
      <c r="V363" s="1320">
        <v>66.5</v>
      </c>
      <c r="W363" s="1320">
        <v>65.900000000000006</v>
      </c>
      <c r="X363" s="1320">
        <v>65.5</v>
      </c>
      <c r="Y363" s="1314"/>
      <c r="Z363" s="1312">
        <v>32</v>
      </c>
      <c r="AA363" s="1320">
        <v>67.5</v>
      </c>
      <c r="AB363" s="1320">
        <v>66.3</v>
      </c>
      <c r="AC363" s="1320">
        <v>65.8</v>
      </c>
      <c r="AD363" s="1320">
        <v>65.400000000000006</v>
      </c>
      <c r="AE363" s="1314"/>
      <c r="AF363" s="1316">
        <v>32</v>
      </c>
      <c r="AG363" s="1322">
        <v>64.400000000000006</v>
      </c>
      <c r="AH363" s="1322">
        <v>63.2</v>
      </c>
      <c r="AI363" s="1322">
        <v>62.7</v>
      </c>
      <c r="AJ363" s="1322">
        <v>62.3</v>
      </c>
      <c r="AL363" s="1312">
        <v>32</v>
      </c>
      <c r="AM363" s="1320">
        <v>49.3</v>
      </c>
      <c r="AN363" s="1320">
        <v>48.6</v>
      </c>
      <c r="AO363" s="1320">
        <v>48.3</v>
      </c>
      <c r="AP363" s="1320">
        <v>48.1</v>
      </c>
      <c r="AQ363" s="1314"/>
      <c r="AR363" s="1312">
        <v>32</v>
      </c>
      <c r="AS363" s="1320">
        <v>66.8</v>
      </c>
      <c r="AT363" s="1320">
        <v>65.599999999999994</v>
      </c>
      <c r="AU363" s="1320">
        <v>65</v>
      </c>
      <c r="AV363" s="1320">
        <v>64.599999999999994</v>
      </c>
      <c r="AW363" s="1318"/>
      <c r="AX363" s="1319">
        <v>32</v>
      </c>
      <c r="AY363" s="1320">
        <v>65.599999999999994</v>
      </c>
      <c r="AZ363" s="1320">
        <v>64.400000000000006</v>
      </c>
      <c r="BA363" s="1320">
        <v>63.9</v>
      </c>
      <c r="BB363" s="1320">
        <v>63.5</v>
      </c>
      <c r="BD363" s="1310">
        <v>32</v>
      </c>
      <c r="BE363" s="1320">
        <v>64.099999999999994</v>
      </c>
      <c r="BF363" s="1320">
        <v>63</v>
      </c>
      <c r="BG363" s="1320">
        <v>62.5</v>
      </c>
      <c r="BH363" s="1320">
        <v>62.1</v>
      </c>
      <c r="BK363" s="824">
        <v>250000</v>
      </c>
      <c r="BL363" s="1206">
        <v>3.75</v>
      </c>
      <c r="BM363" s="1206">
        <v>3.45</v>
      </c>
      <c r="BN363" s="1206">
        <v>3.35</v>
      </c>
      <c r="BO363" s="1206">
        <v>2.9</v>
      </c>
    </row>
    <row r="364" spans="2:67" ht="15" customHeight="1">
      <c r="B364" s="1312">
        <v>33</v>
      </c>
      <c r="C364" s="1320">
        <v>68.3</v>
      </c>
      <c r="D364" s="1320">
        <v>67</v>
      </c>
      <c r="E364" s="1320">
        <v>66.400000000000006</v>
      </c>
      <c r="F364" s="1320">
        <v>66</v>
      </c>
      <c r="G364" s="1314"/>
      <c r="H364" s="1312">
        <v>33</v>
      </c>
      <c r="I364" s="1320">
        <v>68.2</v>
      </c>
      <c r="J364" s="1320">
        <v>67</v>
      </c>
      <c r="K364" s="1320">
        <v>66.400000000000006</v>
      </c>
      <c r="L364" s="1321">
        <v>66</v>
      </c>
      <c r="M364" s="1314"/>
      <c r="N364" s="1312">
        <v>33</v>
      </c>
      <c r="O364" s="1320">
        <v>68.099999999999994</v>
      </c>
      <c r="P364" s="1320">
        <v>66.900000000000006</v>
      </c>
      <c r="Q364" s="1320">
        <v>66.3</v>
      </c>
      <c r="R364" s="1320">
        <v>65.900000000000006</v>
      </c>
      <c r="S364" s="1314"/>
      <c r="T364" s="1312">
        <v>33</v>
      </c>
      <c r="U364" s="1320">
        <v>67.900000000000006</v>
      </c>
      <c r="V364" s="1320">
        <v>66.7</v>
      </c>
      <c r="W364" s="1320">
        <v>66.099999999999994</v>
      </c>
      <c r="X364" s="1320">
        <v>65.8</v>
      </c>
      <c r="Y364" s="1314"/>
      <c r="Z364" s="1312">
        <v>33</v>
      </c>
      <c r="AA364" s="1320">
        <v>67.8</v>
      </c>
      <c r="AB364" s="1320">
        <v>66.599999999999994</v>
      </c>
      <c r="AC364" s="1320">
        <v>66</v>
      </c>
      <c r="AD364" s="1320">
        <v>65.599999999999994</v>
      </c>
      <c r="AE364" s="1314"/>
      <c r="AF364" s="1316">
        <v>33</v>
      </c>
      <c r="AG364" s="1322">
        <v>64.400000000000006</v>
      </c>
      <c r="AH364" s="1322">
        <v>63.2</v>
      </c>
      <c r="AI364" s="1322">
        <v>62.7</v>
      </c>
      <c r="AJ364" s="1322">
        <v>62.3</v>
      </c>
      <c r="AL364" s="1312">
        <v>33</v>
      </c>
      <c r="AM364" s="1320">
        <v>49.6</v>
      </c>
      <c r="AN364" s="1320">
        <v>48.9</v>
      </c>
      <c r="AO364" s="1320">
        <v>48.6</v>
      </c>
      <c r="AP364" s="1320">
        <v>48.4</v>
      </c>
      <c r="AQ364" s="1314"/>
      <c r="AR364" s="1312">
        <v>33</v>
      </c>
      <c r="AS364" s="1320">
        <v>67</v>
      </c>
      <c r="AT364" s="1320">
        <v>65.8</v>
      </c>
      <c r="AU364" s="1320">
        <v>65.2</v>
      </c>
      <c r="AV364" s="1320">
        <v>64.8</v>
      </c>
      <c r="AW364" s="1318"/>
      <c r="AX364" s="1319">
        <v>33</v>
      </c>
      <c r="AY364" s="1320">
        <v>65.7</v>
      </c>
      <c r="AZ364" s="1320">
        <v>64.5</v>
      </c>
      <c r="BA364" s="1320">
        <v>64</v>
      </c>
      <c r="BB364" s="1320">
        <v>63.6</v>
      </c>
      <c r="BD364" s="1310">
        <v>33</v>
      </c>
      <c r="BE364" s="1320">
        <v>64.099999999999994</v>
      </c>
      <c r="BF364" s="1320">
        <v>63</v>
      </c>
      <c r="BG364" s="1320">
        <v>62.5</v>
      </c>
      <c r="BH364" s="1320">
        <v>62.1</v>
      </c>
      <c r="BK364" s="824">
        <v>500000</v>
      </c>
      <c r="BL364" s="1206">
        <v>4</v>
      </c>
      <c r="BM364" s="1206">
        <v>3.7</v>
      </c>
      <c r="BN364" s="1206">
        <v>3.6</v>
      </c>
      <c r="BO364" s="1206">
        <v>3.5</v>
      </c>
    </row>
    <row r="365" spans="2:67" ht="15" customHeight="1">
      <c r="B365" s="1312">
        <v>34</v>
      </c>
      <c r="C365" s="1320">
        <v>68.599999999999994</v>
      </c>
      <c r="D365" s="1320">
        <v>67.3</v>
      </c>
      <c r="E365" s="1320">
        <v>66.7</v>
      </c>
      <c r="F365" s="1320">
        <v>66.3</v>
      </c>
      <c r="G365" s="1314"/>
      <c r="H365" s="1312">
        <v>34</v>
      </c>
      <c r="I365" s="1320">
        <v>68.5</v>
      </c>
      <c r="J365" s="1320">
        <v>67.3</v>
      </c>
      <c r="K365" s="1320">
        <v>66.7</v>
      </c>
      <c r="L365" s="1321">
        <v>66.3</v>
      </c>
      <c r="M365" s="1314"/>
      <c r="N365" s="1312">
        <v>34</v>
      </c>
      <c r="O365" s="1320">
        <v>68.400000000000006</v>
      </c>
      <c r="P365" s="1320">
        <v>67.099999999999994</v>
      </c>
      <c r="Q365" s="1320">
        <v>66.5</v>
      </c>
      <c r="R365" s="1320">
        <v>66.2</v>
      </c>
      <c r="S365" s="1314"/>
      <c r="T365" s="1312">
        <v>34</v>
      </c>
      <c r="U365" s="1320">
        <v>68.2</v>
      </c>
      <c r="V365" s="1320">
        <v>67</v>
      </c>
      <c r="W365" s="1320">
        <v>66.400000000000006</v>
      </c>
      <c r="X365" s="1320">
        <v>66</v>
      </c>
      <c r="Y365" s="1314"/>
      <c r="Z365" s="1312">
        <v>34</v>
      </c>
      <c r="AA365" s="1320">
        <v>68</v>
      </c>
      <c r="AB365" s="1320">
        <v>66.8</v>
      </c>
      <c r="AC365" s="1320">
        <v>66.2</v>
      </c>
      <c r="AD365" s="1320">
        <v>65.8</v>
      </c>
      <c r="AE365" s="1314"/>
      <c r="AF365" s="1316">
        <v>34</v>
      </c>
      <c r="AG365" s="1322">
        <v>64.400000000000006</v>
      </c>
      <c r="AH365" s="1322">
        <v>63.3</v>
      </c>
      <c r="AI365" s="1322">
        <v>62.7</v>
      </c>
      <c r="AJ365" s="1322">
        <v>62.3</v>
      </c>
      <c r="AL365" s="1312">
        <v>34</v>
      </c>
      <c r="AM365" s="1320">
        <v>49.9</v>
      </c>
      <c r="AN365" s="1320">
        <v>49.2</v>
      </c>
      <c r="AO365" s="1320">
        <v>48.9</v>
      </c>
      <c r="AP365" s="1320">
        <v>48.7</v>
      </c>
      <c r="AQ365" s="1314"/>
      <c r="AR365" s="1312">
        <v>34</v>
      </c>
      <c r="AS365" s="1320">
        <v>67.2</v>
      </c>
      <c r="AT365" s="1320">
        <v>66</v>
      </c>
      <c r="AU365" s="1320">
        <v>65.400000000000006</v>
      </c>
      <c r="AV365" s="1320">
        <v>65</v>
      </c>
      <c r="AW365" s="1318"/>
      <c r="AX365" s="1319">
        <v>34</v>
      </c>
      <c r="AY365" s="1320">
        <v>65.8</v>
      </c>
      <c r="AZ365" s="1320">
        <v>64.7</v>
      </c>
      <c r="BA365" s="1320">
        <v>64.099999999999994</v>
      </c>
      <c r="BB365" s="1320">
        <v>63.7</v>
      </c>
      <c r="BD365" s="1310">
        <v>34</v>
      </c>
      <c r="BE365" s="1320">
        <v>64.2</v>
      </c>
      <c r="BF365" s="1320">
        <v>63</v>
      </c>
      <c r="BG365" s="1320">
        <v>62.5</v>
      </c>
      <c r="BH365" s="1320">
        <v>62.1</v>
      </c>
      <c r="BK365" s="824">
        <v>750000</v>
      </c>
      <c r="BL365" s="1206">
        <v>4.3</v>
      </c>
      <c r="BM365" s="1206">
        <v>4</v>
      </c>
      <c r="BN365" s="1206">
        <v>3.9</v>
      </c>
      <c r="BO365" s="1206">
        <v>3.8</v>
      </c>
    </row>
    <row r="366" spans="2:67" ht="15" customHeight="1">
      <c r="B366" s="1312">
        <v>35</v>
      </c>
      <c r="C366" s="1320">
        <v>68.900000000000006</v>
      </c>
      <c r="D366" s="1320">
        <v>67.599999999999994</v>
      </c>
      <c r="E366" s="1320">
        <v>67</v>
      </c>
      <c r="F366" s="1320">
        <v>66.599999999999994</v>
      </c>
      <c r="G366" s="1314"/>
      <c r="H366" s="1312">
        <v>35</v>
      </c>
      <c r="I366" s="1320">
        <v>68.8</v>
      </c>
      <c r="J366" s="1320">
        <v>67.5</v>
      </c>
      <c r="K366" s="1320">
        <v>66.900000000000006</v>
      </c>
      <c r="L366" s="1321">
        <v>66.5</v>
      </c>
      <c r="M366" s="1314"/>
      <c r="N366" s="1312">
        <v>35</v>
      </c>
      <c r="O366" s="1320">
        <v>68.7</v>
      </c>
      <c r="P366" s="1320">
        <v>67.400000000000006</v>
      </c>
      <c r="Q366" s="1320">
        <v>66.8</v>
      </c>
      <c r="R366" s="1320">
        <v>66.400000000000006</v>
      </c>
      <c r="S366" s="1314"/>
      <c r="T366" s="1312">
        <v>35</v>
      </c>
      <c r="U366" s="1320">
        <v>68.5</v>
      </c>
      <c r="V366" s="1320">
        <v>67.3</v>
      </c>
      <c r="W366" s="1320">
        <v>66.7</v>
      </c>
      <c r="X366" s="1320">
        <v>66.3</v>
      </c>
      <c r="Y366" s="1314"/>
      <c r="Z366" s="1312">
        <v>35</v>
      </c>
      <c r="AA366" s="1320">
        <v>68.3</v>
      </c>
      <c r="AB366" s="1320">
        <v>67.099999999999994</v>
      </c>
      <c r="AC366" s="1320">
        <v>66.5</v>
      </c>
      <c r="AD366" s="1320">
        <v>66.099999999999994</v>
      </c>
      <c r="AE366" s="1314"/>
      <c r="AF366" s="1316">
        <v>35</v>
      </c>
      <c r="AG366" s="1322">
        <v>64.5</v>
      </c>
      <c r="AH366" s="1322">
        <v>63.3</v>
      </c>
      <c r="AI366" s="1322">
        <v>62.7</v>
      </c>
      <c r="AJ366" s="1322">
        <v>62.3</v>
      </c>
      <c r="AL366" s="1312">
        <v>35</v>
      </c>
      <c r="AM366" s="1320">
        <v>50.2</v>
      </c>
      <c r="AN366" s="1320">
        <v>49.6</v>
      </c>
      <c r="AO366" s="1320">
        <v>49.2</v>
      </c>
      <c r="AP366" s="1320">
        <v>49</v>
      </c>
      <c r="AQ366" s="1314"/>
      <c r="AR366" s="1312">
        <v>35</v>
      </c>
      <c r="AS366" s="1320">
        <v>67.400000000000006</v>
      </c>
      <c r="AT366" s="1320">
        <v>66.2</v>
      </c>
      <c r="AU366" s="1320">
        <v>65.599999999999994</v>
      </c>
      <c r="AV366" s="1320">
        <v>65.2</v>
      </c>
      <c r="AW366" s="1318"/>
      <c r="AX366" s="1319">
        <v>35</v>
      </c>
      <c r="AY366" s="1320">
        <v>66</v>
      </c>
      <c r="AZ366" s="1320">
        <v>64.8</v>
      </c>
      <c r="BA366" s="1320">
        <v>64.2</v>
      </c>
      <c r="BB366" s="1320">
        <v>63.9</v>
      </c>
      <c r="BD366" s="1310">
        <v>35</v>
      </c>
      <c r="BE366" s="1320">
        <v>64.2</v>
      </c>
      <c r="BF366" s="1320">
        <v>63.1</v>
      </c>
      <c r="BG366" s="1320">
        <v>62.5</v>
      </c>
      <c r="BH366" s="1320">
        <v>62.2</v>
      </c>
      <c r="BK366" s="824">
        <v>900000</v>
      </c>
      <c r="BL366" s="1206">
        <v>4.3</v>
      </c>
      <c r="BM366" s="1206">
        <v>4</v>
      </c>
      <c r="BN366" s="1206">
        <v>3.9</v>
      </c>
      <c r="BO366" s="1206">
        <v>3.8</v>
      </c>
    </row>
    <row r="367" spans="2:67" ht="15" customHeight="1">
      <c r="B367" s="1312">
        <v>36</v>
      </c>
      <c r="C367" s="1320">
        <v>69.2</v>
      </c>
      <c r="D367" s="1320">
        <v>67.900000000000006</v>
      </c>
      <c r="E367" s="1320">
        <v>67.3</v>
      </c>
      <c r="F367" s="1320">
        <v>66.900000000000006</v>
      </c>
      <c r="G367" s="1314"/>
      <c r="H367" s="1312">
        <v>36</v>
      </c>
      <c r="I367" s="1320">
        <v>69.099999999999994</v>
      </c>
      <c r="J367" s="1320">
        <v>67.900000000000006</v>
      </c>
      <c r="K367" s="1320">
        <v>67.2</v>
      </c>
      <c r="L367" s="1321">
        <v>66.8</v>
      </c>
      <c r="M367" s="1314"/>
      <c r="N367" s="1312">
        <v>36</v>
      </c>
      <c r="O367" s="1320">
        <v>69</v>
      </c>
      <c r="P367" s="1320">
        <v>67.7</v>
      </c>
      <c r="Q367" s="1320">
        <v>67.099999999999994</v>
      </c>
      <c r="R367" s="1320">
        <v>66.7</v>
      </c>
      <c r="S367" s="1314"/>
      <c r="T367" s="1312">
        <v>36</v>
      </c>
      <c r="U367" s="1320">
        <v>68.8</v>
      </c>
      <c r="V367" s="1320">
        <v>67.5</v>
      </c>
      <c r="W367" s="1320">
        <v>66.900000000000006</v>
      </c>
      <c r="X367" s="1320">
        <v>66.5</v>
      </c>
      <c r="Y367" s="1314"/>
      <c r="Z367" s="1312">
        <v>36</v>
      </c>
      <c r="AA367" s="1320">
        <v>68.5</v>
      </c>
      <c r="AB367" s="1320">
        <v>67.3</v>
      </c>
      <c r="AC367" s="1320">
        <v>66.7</v>
      </c>
      <c r="AD367" s="1320">
        <v>66.3</v>
      </c>
      <c r="AE367" s="1314"/>
      <c r="AF367" s="1316">
        <v>36</v>
      </c>
      <c r="AG367" s="1322">
        <v>64.5</v>
      </c>
      <c r="AH367" s="1322">
        <v>63.3</v>
      </c>
      <c r="AI367" s="1322">
        <v>62.8</v>
      </c>
      <c r="AJ367" s="1322">
        <v>62.4</v>
      </c>
      <c r="AL367" s="1312">
        <v>36</v>
      </c>
      <c r="AM367" s="1320">
        <v>50.6</v>
      </c>
      <c r="AN367" s="1320">
        <v>49.9</v>
      </c>
      <c r="AO367" s="1320">
        <v>49.6</v>
      </c>
      <c r="AP367" s="1320">
        <v>49.4</v>
      </c>
      <c r="AQ367" s="1314"/>
      <c r="AR367" s="1312">
        <v>36</v>
      </c>
      <c r="AS367" s="1320">
        <v>67.599999999999994</v>
      </c>
      <c r="AT367" s="1320">
        <v>66.400000000000006</v>
      </c>
      <c r="AU367" s="1320">
        <v>65.8</v>
      </c>
      <c r="AV367" s="1320">
        <v>65.400000000000006</v>
      </c>
      <c r="AW367" s="1318"/>
      <c r="AX367" s="1319">
        <v>36</v>
      </c>
      <c r="AY367" s="1320">
        <v>66.099999999999994</v>
      </c>
      <c r="AZ367" s="1320">
        <v>64.900000000000006</v>
      </c>
      <c r="BA367" s="1320">
        <v>64.400000000000006</v>
      </c>
      <c r="BB367" s="1320">
        <v>64</v>
      </c>
      <c r="BD367" s="1310">
        <v>36</v>
      </c>
      <c r="BE367" s="1320">
        <v>64.2</v>
      </c>
      <c r="BF367" s="1320">
        <v>63.1</v>
      </c>
      <c r="BG367" s="1320">
        <v>62.5</v>
      </c>
      <c r="BH367" s="1320">
        <v>62.2</v>
      </c>
      <c r="BK367" s="824">
        <v>1000000</v>
      </c>
      <c r="BL367" s="1206">
        <v>4.3499999999999996</v>
      </c>
      <c r="BM367" s="1206">
        <v>4.05</v>
      </c>
      <c r="BN367" s="1206">
        <v>3.95</v>
      </c>
      <c r="BO367" s="1206">
        <v>3.9</v>
      </c>
    </row>
    <row r="368" spans="2:67" ht="15" customHeight="1">
      <c r="B368" s="1312">
        <v>37</v>
      </c>
      <c r="C368" s="1320">
        <v>69.5</v>
      </c>
      <c r="D368" s="1320">
        <v>68.3</v>
      </c>
      <c r="E368" s="1320">
        <v>67.599999999999994</v>
      </c>
      <c r="F368" s="1320">
        <v>67.2</v>
      </c>
      <c r="G368" s="1314"/>
      <c r="H368" s="1312">
        <v>37</v>
      </c>
      <c r="I368" s="1320">
        <v>69.5</v>
      </c>
      <c r="J368" s="1320">
        <v>68.2</v>
      </c>
      <c r="K368" s="1320">
        <v>67.599999999999994</v>
      </c>
      <c r="L368" s="1321">
        <v>67.2</v>
      </c>
      <c r="M368" s="1314"/>
      <c r="N368" s="1312">
        <v>37</v>
      </c>
      <c r="O368" s="1320">
        <v>69.3</v>
      </c>
      <c r="P368" s="1320">
        <v>68.099999999999994</v>
      </c>
      <c r="Q368" s="1320">
        <v>67.400000000000006</v>
      </c>
      <c r="R368" s="1320">
        <v>67</v>
      </c>
      <c r="S368" s="1314"/>
      <c r="T368" s="1312">
        <v>37</v>
      </c>
      <c r="U368" s="1320">
        <v>69.099999999999994</v>
      </c>
      <c r="V368" s="1320">
        <v>67.8</v>
      </c>
      <c r="W368" s="1320">
        <v>67.2</v>
      </c>
      <c r="X368" s="1320">
        <v>66.8</v>
      </c>
      <c r="Y368" s="1314"/>
      <c r="Z368" s="1312">
        <v>37</v>
      </c>
      <c r="AA368" s="1320">
        <v>68.8</v>
      </c>
      <c r="AB368" s="1320">
        <v>67.599999999999994</v>
      </c>
      <c r="AC368" s="1320">
        <v>67</v>
      </c>
      <c r="AD368" s="1320">
        <v>66.599999999999994</v>
      </c>
      <c r="AE368" s="1314"/>
      <c r="AF368" s="1316">
        <v>37</v>
      </c>
      <c r="AG368" s="1322">
        <v>64.599999999999994</v>
      </c>
      <c r="AH368" s="1322">
        <v>63.4</v>
      </c>
      <c r="AI368" s="1322">
        <v>62.8</v>
      </c>
      <c r="AJ368" s="1322">
        <v>62.4</v>
      </c>
      <c r="AL368" s="1312">
        <v>37</v>
      </c>
      <c r="AM368" s="1320">
        <v>51</v>
      </c>
      <c r="AN368" s="1320">
        <v>50.3</v>
      </c>
      <c r="AO368" s="1320">
        <v>50</v>
      </c>
      <c r="AP368" s="1320">
        <v>49.7</v>
      </c>
      <c r="AQ368" s="1314"/>
      <c r="AR368" s="1312">
        <v>37</v>
      </c>
      <c r="AS368" s="1320">
        <v>67.900000000000006</v>
      </c>
      <c r="AT368" s="1320">
        <v>66.599999999999994</v>
      </c>
      <c r="AU368" s="1320">
        <v>66</v>
      </c>
      <c r="AV368" s="1320">
        <v>65.7</v>
      </c>
      <c r="AW368" s="1318"/>
      <c r="AX368" s="1319">
        <v>37</v>
      </c>
      <c r="AY368" s="1320">
        <v>66.3</v>
      </c>
      <c r="AZ368" s="1320">
        <v>65.099999999999994</v>
      </c>
      <c r="BA368" s="1320">
        <v>64.5</v>
      </c>
      <c r="BB368" s="1320">
        <v>64.2</v>
      </c>
      <c r="BD368" s="1310">
        <v>37</v>
      </c>
      <c r="BE368" s="1320">
        <v>64.2</v>
      </c>
      <c r="BF368" s="1320">
        <v>63.1</v>
      </c>
      <c r="BG368" s="1320">
        <v>62.5</v>
      </c>
      <c r="BH368" s="1320">
        <v>62.2</v>
      </c>
      <c r="BK368" s="824">
        <v>5000000</v>
      </c>
      <c r="BL368" s="1206">
        <v>4.3499999999999996</v>
      </c>
      <c r="BM368" s="1206">
        <v>4.05</v>
      </c>
      <c r="BN368" s="1206">
        <v>3.95</v>
      </c>
      <c r="BO368" s="1206">
        <v>3.9</v>
      </c>
    </row>
    <row r="369" spans="2:67" ht="15" customHeight="1">
      <c r="B369" s="1312">
        <v>38</v>
      </c>
      <c r="C369" s="1320">
        <v>69.900000000000006</v>
      </c>
      <c r="D369" s="1320">
        <v>68.599999999999994</v>
      </c>
      <c r="E369" s="1320">
        <v>68</v>
      </c>
      <c r="F369" s="1320">
        <v>67.599999999999994</v>
      </c>
      <c r="G369" s="1314"/>
      <c r="H369" s="1312">
        <v>38</v>
      </c>
      <c r="I369" s="1320">
        <v>69.8</v>
      </c>
      <c r="J369" s="1320">
        <v>68.599999999999994</v>
      </c>
      <c r="K369" s="1320">
        <v>67.900000000000006</v>
      </c>
      <c r="L369" s="1321">
        <v>67.5</v>
      </c>
      <c r="M369" s="1314"/>
      <c r="N369" s="1312">
        <v>38</v>
      </c>
      <c r="O369" s="1320">
        <v>69.7</v>
      </c>
      <c r="P369" s="1320">
        <v>68.400000000000006</v>
      </c>
      <c r="Q369" s="1320">
        <v>67.8</v>
      </c>
      <c r="R369" s="1320">
        <v>67.400000000000006</v>
      </c>
      <c r="S369" s="1314"/>
      <c r="T369" s="1312">
        <v>38</v>
      </c>
      <c r="U369" s="1320">
        <v>69.400000000000006</v>
      </c>
      <c r="V369" s="1320">
        <v>68.2</v>
      </c>
      <c r="W369" s="1320">
        <v>67.599999999999994</v>
      </c>
      <c r="X369" s="1320">
        <v>67.2</v>
      </c>
      <c r="Y369" s="1314"/>
      <c r="Z369" s="1312">
        <v>38</v>
      </c>
      <c r="AA369" s="1320">
        <v>69.099999999999994</v>
      </c>
      <c r="AB369" s="1320">
        <v>67.900000000000006</v>
      </c>
      <c r="AC369" s="1320">
        <v>67.3</v>
      </c>
      <c r="AD369" s="1320">
        <v>66.900000000000006</v>
      </c>
      <c r="AE369" s="1314"/>
      <c r="AF369" s="1316">
        <v>38</v>
      </c>
      <c r="AG369" s="1322">
        <v>64.599999999999994</v>
      </c>
      <c r="AH369" s="1322">
        <v>63.4</v>
      </c>
      <c r="AI369" s="1322">
        <v>62.8</v>
      </c>
      <c r="AJ369" s="1322">
        <v>62.4</v>
      </c>
      <c r="AL369" s="1312">
        <v>38</v>
      </c>
      <c r="AM369" s="1320">
        <v>51.4</v>
      </c>
      <c r="AN369" s="1320">
        <v>50.7</v>
      </c>
      <c r="AO369" s="1320">
        <v>50.4</v>
      </c>
      <c r="AP369" s="1320">
        <v>50.1</v>
      </c>
      <c r="AQ369" s="1314"/>
      <c r="AR369" s="1312">
        <v>38</v>
      </c>
      <c r="AS369" s="1320">
        <v>68.099999999999994</v>
      </c>
      <c r="AT369" s="1320">
        <v>66.900000000000006</v>
      </c>
      <c r="AU369" s="1320">
        <v>66.3</v>
      </c>
      <c r="AV369" s="1320">
        <v>65.900000000000006</v>
      </c>
      <c r="AW369" s="1318"/>
      <c r="AX369" s="1319">
        <v>38</v>
      </c>
      <c r="AY369" s="1320">
        <v>66.400000000000006</v>
      </c>
      <c r="AZ369" s="1320">
        <v>65.3</v>
      </c>
      <c r="BA369" s="1320">
        <v>64.7</v>
      </c>
      <c r="BB369" s="1320">
        <v>64.3</v>
      </c>
      <c r="BD369" s="1310">
        <v>38</v>
      </c>
      <c r="BE369" s="1320">
        <v>64.3</v>
      </c>
      <c r="BF369" s="1320">
        <v>63.1</v>
      </c>
      <c r="BG369" s="1320">
        <v>62.6</v>
      </c>
      <c r="BH369" s="1320">
        <v>62.2</v>
      </c>
      <c r="BK369" s="824">
        <v>10000000</v>
      </c>
      <c r="BL369" s="1206">
        <v>4.3499999999999996</v>
      </c>
      <c r="BM369" s="1206">
        <v>4.05</v>
      </c>
      <c r="BN369" s="1206">
        <v>3.95</v>
      </c>
      <c r="BO369" s="1206">
        <v>3.9</v>
      </c>
    </row>
    <row r="370" spans="2:67" ht="15" customHeight="1">
      <c r="B370" s="1312">
        <v>39</v>
      </c>
      <c r="C370" s="1320">
        <v>70.3</v>
      </c>
      <c r="D370" s="1320">
        <v>69</v>
      </c>
      <c r="E370" s="1320">
        <v>68.400000000000006</v>
      </c>
      <c r="F370" s="1320">
        <v>67.900000000000006</v>
      </c>
      <c r="G370" s="1314"/>
      <c r="H370" s="1312">
        <v>39</v>
      </c>
      <c r="I370" s="1320">
        <v>70.2</v>
      </c>
      <c r="J370" s="1320">
        <v>68.900000000000006</v>
      </c>
      <c r="K370" s="1320">
        <v>68.3</v>
      </c>
      <c r="L370" s="1321">
        <v>67.900000000000006</v>
      </c>
      <c r="M370" s="1314"/>
      <c r="N370" s="1312">
        <v>39</v>
      </c>
      <c r="O370" s="1320">
        <v>70</v>
      </c>
      <c r="P370" s="1320">
        <v>68.8</v>
      </c>
      <c r="Q370" s="1320">
        <v>68.099999999999994</v>
      </c>
      <c r="R370" s="1320">
        <v>67.7</v>
      </c>
      <c r="S370" s="1314"/>
      <c r="T370" s="1312">
        <v>39</v>
      </c>
      <c r="U370" s="1320">
        <v>69.8</v>
      </c>
      <c r="V370" s="1320">
        <v>68.5</v>
      </c>
      <c r="W370" s="1320">
        <v>67.900000000000006</v>
      </c>
      <c r="X370" s="1320">
        <v>67.5</v>
      </c>
      <c r="Y370" s="1314"/>
      <c r="Z370" s="1312">
        <v>39</v>
      </c>
      <c r="AA370" s="1320">
        <v>69.5</v>
      </c>
      <c r="AB370" s="1320">
        <v>68.2</v>
      </c>
      <c r="AC370" s="1320">
        <v>67.599999999999994</v>
      </c>
      <c r="AD370" s="1320">
        <v>67.2</v>
      </c>
      <c r="AE370" s="1314"/>
      <c r="AF370" s="1316">
        <v>39</v>
      </c>
      <c r="AG370" s="1322">
        <v>64.599999999999994</v>
      </c>
      <c r="AH370" s="1322">
        <v>63.4</v>
      </c>
      <c r="AI370" s="1322">
        <v>62.8</v>
      </c>
      <c r="AJ370" s="1322">
        <v>62.4</v>
      </c>
      <c r="AL370" s="1312">
        <v>39</v>
      </c>
      <c r="AM370" s="1320">
        <v>51.8</v>
      </c>
      <c r="AN370" s="1320">
        <v>51.1</v>
      </c>
      <c r="AO370" s="1320">
        <v>50.8</v>
      </c>
      <c r="AP370" s="1320">
        <v>50.5</v>
      </c>
      <c r="AQ370" s="1314"/>
      <c r="AR370" s="1312">
        <v>39</v>
      </c>
      <c r="AS370" s="1320">
        <v>68.400000000000006</v>
      </c>
      <c r="AT370" s="1320">
        <v>67.2</v>
      </c>
      <c r="AU370" s="1320">
        <v>66.599999999999994</v>
      </c>
      <c r="AV370" s="1320">
        <v>66.2</v>
      </c>
      <c r="AW370" s="1318"/>
      <c r="AX370" s="1319">
        <v>39</v>
      </c>
      <c r="AY370" s="1320">
        <v>66.599999999999994</v>
      </c>
      <c r="AZ370" s="1320">
        <v>65.5</v>
      </c>
      <c r="BA370" s="1320">
        <v>64.900000000000006</v>
      </c>
      <c r="BB370" s="1320">
        <v>64.5</v>
      </c>
      <c r="BD370" s="1310">
        <v>39</v>
      </c>
      <c r="BE370" s="1320">
        <v>64.3</v>
      </c>
      <c r="BF370" s="1320">
        <v>63.1</v>
      </c>
      <c r="BG370" s="1320">
        <v>62.6</v>
      </c>
      <c r="BH370" s="1320">
        <v>62.2</v>
      </c>
    </row>
    <row r="371" spans="2:67" ht="15" customHeight="1">
      <c r="B371" s="824">
        <v>40</v>
      </c>
      <c r="C371" s="1320">
        <v>70.8</v>
      </c>
      <c r="D371" s="1320">
        <v>69.400000000000006</v>
      </c>
      <c r="E371" s="1320">
        <v>68.8</v>
      </c>
      <c r="F371" s="1320">
        <v>68.3</v>
      </c>
      <c r="G371" s="1206"/>
      <c r="H371" s="824">
        <v>40</v>
      </c>
      <c r="I371" s="1320">
        <v>70.7</v>
      </c>
      <c r="J371" s="1320">
        <v>69.3</v>
      </c>
      <c r="K371" s="1320">
        <v>68.7</v>
      </c>
      <c r="L371" s="1321">
        <v>68.3</v>
      </c>
      <c r="M371" s="1206"/>
      <c r="N371" s="824">
        <v>40</v>
      </c>
      <c r="O371" s="1320">
        <v>70.400000000000006</v>
      </c>
      <c r="P371" s="1320">
        <v>69.2</v>
      </c>
      <c r="Q371" s="1320">
        <v>68.5</v>
      </c>
      <c r="R371" s="1320">
        <v>68.099999999999994</v>
      </c>
      <c r="S371" s="1206"/>
      <c r="T371" s="824">
        <v>40</v>
      </c>
      <c r="U371" s="1320">
        <v>70.2</v>
      </c>
      <c r="V371" s="1320">
        <v>68.900000000000006</v>
      </c>
      <c r="W371" s="1320">
        <v>68.3</v>
      </c>
      <c r="X371" s="1320">
        <v>67.8</v>
      </c>
      <c r="Y371" s="1206"/>
      <c r="Z371" s="824">
        <v>40</v>
      </c>
      <c r="AA371" s="1320">
        <v>69.8</v>
      </c>
      <c r="AB371" s="1320">
        <v>68.5</v>
      </c>
      <c r="AC371" s="1320">
        <v>67.900000000000006</v>
      </c>
      <c r="AD371" s="1320">
        <v>67.5</v>
      </c>
      <c r="AE371" s="1206"/>
      <c r="AF371" s="1316">
        <v>40</v>
      </c>
      <c r="AG371" s="1322">
        <v>64.7</v>
      </c>
      <c r="AH371" s="1322">
        <v>63.5</v>
      </c>
      <c r="AI371" s="1322">
        <v>62.9</v>
      </c>
      <c r="AJ371" s="1322">
        <v>62.5</v>
      </c>
      <c r="AL371" s="824">
        <v>40</v>
      </c>
      <c r="AM371" s="1320">
        <v>52.3</v>
      </c>
      <c r="AN371" s="1320">
        <v>51.6</v>
      </c>
      <c r="AO371" s="1320">
        <v>51.2</v>
      </c>
      <c r="AP371" s="1320">
        <v>51</v>
      </c>
      <c r="AQ371" s="1206"/>
      <c r="AR371" s="824">
        <v>40</v>
      </c>
      <c r="AS371" s="1320">
        <v>68.7</v>
      </c>
      <c r="AT371" s="1320">
        <v>67.5</v>
      </c>
      <c r="AU371" s="1320">
        <v>66.900000000000006</v>
      </c>
      <c r="AV371" s="1320">
        <v>66.5</v>
      </c>
      <c r="AW371" s="1318"/>
      <c r="AX371" s="1319">
        <v>40</v>
      </c>
      <c r="AY371" s="1320">
        <v>66.8</v>
      </c>
      <c r="AZ371" s="1320">
        <v>65.599999999999994</v>
      </c>
      <c r="BA371" s="1320">
        <v>65.099999999999994</v>
      </c>
      <c r="BB371" s="1320">
        <v>64.7</v>
      </c>
      <c r="BD371" s="1310">
        <v>40</v>
      </c>
      <c r="BE371" s="1320">
        <v>64.3</v>
      </c>
      <c r="BF371" s="1320">
        <v>63.2</v>
      </c>
      <c r="BG371" s="1320">
        <v>62.6</v>
      </c>
      <c r="BH371" s="1320">
        <v>62.2</v>
      </c>
    </row>
    <row r="372" spans="2:67" ht="15" customHeight="1">
      <c r="B372" s="824">
        <v>41</v>
      </c>
      <c r="C372" s="1320">
        <v>71.2</v>
      </c>
      <c r="D372" s="1320">
        <v>69.900000000000006</v>
      </c>
      <c r="E372" s="1320">
        <v>69.2</v>
      </c>
      <c r="F372" s="1320">
        <v>68.8</v>
      </c>
      <c r="G372" s="1206"/>
      <c r="H372" s="824">
        <v>41</v>
      </c>
      <c r="I372" s="1320">
        <v>71.099999999999994</v>
      </c>
      <c r="J372" s="1320">
        <v>69.8</v>
      </c>
      <c r="K372" s="1320">
        <v>69.099999999999994</v>
      </c>
      <c r="L372" s="1321">
        <v>68.7</v>
      </c>
      <c r="M372" s="1206"/>
      <c r="N372" s="824">
        <v>41</v>
      </c>
      <c r="O372" s="1320">
        <v>70.900000000000006</v>
      </c>
      <c r="P372" s="1320">
        <v>69.599999999999994</v>
      </c>
      <c r="Q372" s="1320">
        <v>68.900000000000006</v>
      </c>
      <c r="R372" s="1320">
        <v>68.5</v>
      </c>
      <c r="S372" s="1206"/>
      <c r="T372" s="824">
        <v>41</v>
      </c>
      <c r="U372" s="1320">
        <v>70.599999999999994</v>
      </c>
      <c r="V372" s="1320">
        <v>69.3</v>
      </c>
      <c r="W372" s="1320">
        <v>68.599999999999994</v>
      </c>
      <c r="X372" s="1320">
        <v>68.2</v>
      </c>
      <c r="Y372" s="1206"/>
      <c r="Z372" s="824">
        <v>41</v>
      </c>
      <c r="AA372" s="1320">
        <v>70.099999999999994</v>
      </c>
      <c r="AB372" s="1320">
        <v>68.900000000000006</v>
      </c>
      <c r="AC372" s="1320">
        <v>68.3</v>
      </c>
      <c r="AD372" s="1320">
        <v>67.8</v>
      </c>
      <c r="AE372" s="1206"/>
      <c r="AF372" s="1316">
        <v>41</v>
      </c>
      <c r="AG372" s="1322">
        <v>64.7</v>
      </c>
      <c r="AH372" s="1322">
        <v>63.5</v>
      </c>
      <c r="AI372" s="1322">
        <v>62.9</v>
      </c>
      <c r="AJ372" s="1322">
        <v>62.5</v>
      </c>
      <c r="AL372" s="824">
        <v>41</v>
      </c>
      <c r="AM372" s="1320">
        <v>52.8</v>
      </c>
      <c r="AN372" s="1320">
        <v>52.1</v>
      </c>
      <c r="AO372" s="1320">
        <v>51.1</v>
      </c>
      <c r="AP372" s="1320">
        <v>51.5</v>
      </c>
      <c r="AQ372" s="1206"/>
      <c r="AR372" s="824">
        <v>41</v>
      </c>
      <c r="AS372" s="1320">
        <v>69.099999999999994</v>
      </c>
      <c r="AT372" s="1320">
        <v>67.8</v>
      </c>
      <c r="AU372" s="1320">
        <v>67.2</v>
      </c>
      <c r="AV372" s="1320">
        <v>66.8</v>
      </c>
      <c r="AW372" s="1318"/>
      <c r="AX372" s="1319">
        <v>41</v>
      </c>
      <c r="AY372" s="1320">
        <v>67.099999999999994</v>
      </c>
      <c r="AZ372" s="1320">
        <v>65.900000000000006</v>
      </c>
      <c r="BA372" s="1320">
        <v>65.3</v>
      </c>
      <c r="BB372" s="1320">
        <v>64.900000000000006</v>
      </c>
      <c r="BD372" s="1310">
        <v>41</v>
      </c>
      <c r="BE372" s="1320">
        <v>64.3</v>
      </c>
      <c r="BF372" s="1320">
        <v>63.2</v>
      </c>
      <c r="BG372" s="1320">
        <v>62.6</v>
      </c>
      <c r="BH372" s="1320">
        <v>62.3</v>
      </c>
    </row>
    <row r="373" spans="2:67" ht="15" customHeight="1">
      <c r="B373" s="824">
        <v>42</v>
      </c>
      <c r="C373" s="1320">
        <v>71.7</v>
      </c>
      <c r="D373" s="1320">
        <v>70.3</v>
      </c>
      <c r="E373" s="1320">
        <v>69.7</v>
      </c>
      <c r="F373" s="1320">
        <v>69.2</v>
      </c>
      <c r="G373" s="1206"/>
      <c r="H373" s="824">
        <v>42</v>
      </c>
      <c r="I373" s="1320">
        <v>71.599999999999994</v>
      </c>
      <c r="J373" s="1320">
        <v>70.2</v>
      </c>
      <c r="K373" s="1320">
        <v>69.599999999999994</v>
      </c>
      <c r="L373" s="1321">
        <v>69.2</v>
      </c>
      <c r="M373" s="1206"/>
      <c r="N373" s="824">
        <v>42</v>
      </c>
      <c r="O373" s="1320">
        <v>71.3</v>
      </c>
      <c r="P373" s="1320">
        <v>70</v>
      </c>
      <c r="Q373" s="1320">
        <v>69.400000000000006</v>
      </c>
      <c r="R373" s="1320">
        <v>68.900000000000006</v>
      </c>
      <c r="S373" s="1206"/>
      <c r="T373" s="824">
        <v>42</v>
      </c>
      <c r="U373" s="1320">
        <v>71</v>
      </c>
      <c r="V373" s="1320">
        <v>69.7</v>
      </c>
      <c r="W373" s="1320">
        <v>69</v>
      </c>
      <c r="X373" s="1320">
        <v>68.599999999999994</v>
      </c>
      <c r="Y373" s="1206"/>
      <c r="Z373" s="824">
        <v>42</v>
      </c>
      <c r="AA373" s="1320">
        <v>70.5</v>
      </c>
      <c r="AB373" s="1320">
        <v>69.2</v>
      </c>
      <c r="AC373" s="1320">
        <v>68.599999999999994</v>
      </c>
      <c r="AD373" s="1320">
        <v>68.2</v>
      </c>
      <c r="AE373" s="1206"/>
      <c r="AF373" s="1316">
        <v>42</v>
      </c>
      <c r="AG373" s="1322">
        <v>64.8</v>
      </c>
      <c r="AH373" s="1322">
        <v>63.5</v>
      </c>
      <c r="AI373" s="1322">
        <v>62.9</v>
      </c>
      <c r="AJ373" s="1322">
        <v>62.5</v>
      </c>
      <c r="AL373" s="824">
        <v>42</v>
      </c>
      <c r="AM373" s="1320">
        <v>53.3</v>
      </c>
      <c r="AN373" s="1320">
        <v>52.6</v>
      </c>
      <c r="AO373" s="1320">
        <v>52.2</v>
      </c>
      <c r="AP373" s="1320">
        <v>52</v>
      </c>
      <c r="AQ373" s="1206"/>
      <c r="AR373" s="824">
        <v>42</v>
      </c>
      <c r="AS373" s="1320">
        <v>69.400000000000006</v>
      </c>
      <c r="AT373" s="1320">
        <v>68.099999999999994</v>
      </c>
      <c r="AU373" s="1320">
        <v>67.5</v>
      </c>
      <c r="AV373" s="1320">
        <v>67.099999999999994</v>
      </c>
      <c r="AW373" s="1318"/>
      <c r="AX373" s="1319">
        <v>42</v>
      </c>
      <c r="AY373" s="1320">
        <v>67.3</v>
      </c>
      <c r="AZ373" s="1320">
        <v>66.099999999999994</v>
      </c>
      <c r="BA373" s="1320">
        <v>65.5</v>
      </c>
      <c r="BB373" s="1320">
        <v>65.099999999999994</v>
      </c>
      <c r="BD373" s="1310">
        <v>42</v>
      </c>
      <c r="BE373" s="1320">
        <v>64.400000000000006</v>
      </c>
      <c r="BF373" s="1320">
        <v>63.2</v>
      </c>
      <c r="BG373" s="1320">
        <v>62.7</v>
      </c>
      <c r="BH373" s="1320">
        <v>62.3</v>
      </c>
    </row>
    <row r="374" spans="2:67" ht="15" customHeight="1">
      <c r="B374" s="824">
        <v>43</v>
      </c>
      <c r="C374" s="1320">
        <v>72.2</v>
      </c>
      <c r="D374" s="1320">
        <v>70.900000000000006</v>
      </c>
      <c r="E374" s="1320">
        <v>70.2</v>
      </c>
      <c r="F374" s="1320">
        <v>69.7</v>
      </c>
      <c r="G374" s="1206"/>
      <c r="H374" s="824">
        <v>43</v>
      </c>
      <c r="I374" s="1320">
        <v>72.099999999999994</v>
      </c>
      <c r="J374" s="1320">
        <v>70.7</v>
      </c>
      <c r="K374" s="1320">
        <v>70.099999999999994</v>
      </c>
      <c r="L374" s="1321">
        <v>69.599999999999994</v>
      </c>
      <c r="M374" s="1206"/>
      <c r="N374" s="824">
        <v>43</v>
      </c>
      <c r="O374" s="1320">
        <v>71.8</v>
      </c>
      <c r="P374" s="1320">
        <v>70.5</v>
      </c>
      <c r="Q374" s="1320">
        <v>69.8</v>
      </c>
      <c r="R374" s="1320">
        <v>69.400000000000006</v>
      </c>
      <c r="S374" s="1206"/>
      <c r="T374" s="824">
        <v>43</v>
      </c>
      <c r="U374" s="1320">
        <v>71.400000000000006</v>
      </c>
      <c r="V374" s="1320">
        <v>70.099999999999994</v>
      </c>
      <c r="W374" s="1320">
        <v>69.5</v>
      </c>
      <c r="X374" s="1320">
        <v>69</v>
      </c>
      <c r="Y374" s="1206"/>
      <c r="Z374" s="824">
        <v>43</v>
      </c>
      <c r="AA374" s="1320">
        <v>70.900000000000006</v>
      </c>
      <c r="AB374" s="1320">
        <v>69.599999999999994</v>
      </c>
      <c r="AC374" s="1320">
        <v>69</v>
      </c>
      <c r="AD374" s="1320">
        <v>68.599999999999994</v>
      </c>
      <c r="AE374" s="1206"/>
      <c r="AF374" s="1316">
        <v>43</v>
      </c>
      <c r="AG374" s="1322">
        <v>64.8</v>
      </c>
      <c r="AH374" s="1322">
        <v>63.6</v>
      </c>
      <c r="AI374" s="1322">
        <v>63</v>
      </c>
      <c r="AJ374" s="1322">
        <v>62.6</v>
      </c>
      <c r="AL374" s="824">
        <v>43</v>
      </c>
      <c r="AM374" s="1320">
        <v>53.9</v>
      </c>
      <c r="AN374" s="1320">
        <v>53.1</v>
      </c>
      <c r="AO374" s="1320">
        <v>52.8</v>
      </c>
      <c r="AP374" s="1320">
        <v>52.5</v>
      </c>
      <c r="AQ374" s="1206"/>
      <c r="AR374" s="824">
        <v>43</v>
      </c>
      <c r="AS374" s="1320">
        <v>69.8</v>
      </c>
      <c r="AT374" s="1320">
        <v>68.5</v>
      </c>
      <c r="AU374" s="1320">
        <v>67.900000000000006</v>
      </c>
      <c r="AV374" s="1320">
        <v>67.5</v>
      </c>
      <c r="AW374" s="1318"/>
      <c r="AX374" s="1319">
        <v>43</v>
      </c>
      <c r="AY374" s="1320">
        <v>67.5</v>
      </c>
      <c r="AZ374" s="1320">
        <v>66.3</v>
      </c>
      <c r="BA374" s="1320">
        <v>65.7</v>
      </c>
      <c r="BB374" s="1320">
        <v>65.3</v>
      </c>
      <c r="BD374" s="1310">
        <v>43</v>
      </c>
      <c r="BE374" s="1320">
        <v>64.400000000000006</v>
      </c>
      <c r="BF374" s="1320">
        <v>63.2</v>
      </c>
      <c r="BG374" s="1320">
        <v>62.7</v>
      </c>
      <c r="BH374" s="1320">
        <v>62.3</v>
      </c>
    </row>
    <row r="375" spans="2:67" ht="15" customHeight="1">
      <c r="B375" s="824">
        <v>44</v>
      </c>
      <c r="C375" s="1320">
        <v>72.8</v>
      </c>
      <c r="D375" s="1320">
        <v>71.400000000000006</v>
      </c>
      <c r="E375" s="1320">
        <v>70.7</v>
      </c>
      <c r="F375" s="1320">
        <v>70.3</v>
      </c>
      <c r="G375" s="1206"/>
      <c r="H375" s="824">
        <v>44</v>
      </c>
      <c r="I375" s="1320">
        <v>72.7</v>
      </c>
      <c r="J375" s="1320">
        <v>71.3</v>
      </c>
      <c r="K375" s="1320">
        <v>70.599999999999994</v>
      </c>
      <c r="L375" s="1321">
        <v>70.2</v>
      </c>
      <c r="M375" s="1206"/>
      <c r="N375" s="824">
        <v>44</v>
      </c>
      <c r="O375" s="1320">
        <v>72.3</v>
      </c>
      <c r="P375" s="1320">
        <v>71</v>
      </c>
      <c r="Q375" s="1320">
        <v>70.3</v>
      </c>
      <c r="R375" s="1320">
        <v>69.900000000000006</v>
      </c>
      <c r="S375" s="1206"/>
      <c r="T375" s="824">
        <v>44</v>
      </c>
      <c r="U375" s="1320">
        <v>71.900000000000006</v>
      </c>
      <c r="V375" s="1320">
        <v>70.599999999999994</v>
      </c>
      <c r="W375" s="1320">
        <v>69.900000000000006</v>
      </c>
      <c r="X375" s="1320">
        <v>69.5</v>
      </c>
      <c r="Y375" s="1206"/>
      <c r="Z375" s="824">
        <v>44</v>
      </c>
      <c r="AA375" s="1320">
        <v>71.3</v>
      </c>
      <c r="AB375" s="1320">
        <v>70</v>
      </c>
      <c r="AC375" s="1320">
        <v>69.400000000000006</v>
      </c>
      <c r="AD375" s="1320">
        <v>69</v>
      </c>
      <c r="AE375" s="1206"/>
      <c r="AF375" s="1316">
        <v>44</v>
      </c>
      <c r="AG375" s="1322">
        <v>64.900000000000006</v>
      </c>
      <c r="AH375" s="1322">
        <v>63.6</v>
      </c>
      <c r="AI375" s="1322">
        <v>63</v>
      </c>
      <c r="AJ375" s="1322">
        <v>62.6</v>
      </c>
      <c r="AL375" s="824">
        <v>44</v>
      </c>
      <c r="AM375" s="1320">
        <v>54.5</v>
      </c>
      <c r="AN375" s="1320">
        <v>53.7</v>
      </c>
      <c r="AO375" s="1320">
        <v>53.3</v>
      </c>
      <c r="AP375" s="1320">
        <v>53.1</v>
      </c>
      <c r="AQ375" s="1206"/>
      <c r="AR375" s="824">
        <v>44</v>
      </c>
      <c r="AS375" s="1320">
        <v>70.2</v>
      </c>
      <c r="AT375" s="1320">
        <v>68.900000000000006</v>
      </c>
      <c r="AU375" s="1320">
        <v>68.3</v>
      </c>
      <c r="AV375" s="1320">
        <v>67.8</v>
      </c>
      <c r="AW375" s="1318"/>
      <c r="AX375" s="1319">
        <v>44</v>
      </c>
      <c r="AY375" s="1320">
        <v>67.8</v>
      </c>
      <c r="AZ375" s="1320">
        <v>66.599999999999994</v>
      </c>
      <c r="BA375" s="1320">
        <v>66</v>
      </c>
      <c r="BB375" s="1320">
        <v>65.599999999999994</v>
      </c>
      <c r="BD375" s="1310">
        <v>44</v>
      </c>
      <c r="BE375" s="1320">
        <v>64.400000000000006</v>
      </c>
      <c r="BF375" s="1320">
        <v>63.3</v>
      </c>
      <c r="BG375" s="1320">
        <v>62.7</v>
      </c>
      <c r="BH375" s="1320">
        <v>62.3</v>
      </c>
    </row>
    <row r="376" spans="2:67" ht="15" customHeight="1">
      <c r="B376" s="824">
        <v>45</v>
      </c>
      <c r="C376" s="1320">
        <v>73.400000000000006</v>
      </c>
      <c r="D376" s="1320">
        <v>72</v>
      </c>
      <c r="E376" s="1320">
        <v>71.3</v>
      </c>
      <c r="F376" s="1320">
        <v>70.8</v>
      </c>
      <c r="G376" s="1206"/>
      <c r="H376" s="824">
        <v>45</v>
      </c>
      <c r="I376" s="1320">
        <v>73.3</v>
      </c>
      <c r="J376" s="1320">
        <v>71.8</v>
      </c>
      <c r="K376" s="1320">
        <v>71.2</v>
      </c>
      <c r="L376" s="1321">
        <v>70.7</v>
      </c>
      <c r="M376" s="1206"/>
      <c r="N376" s="824">
        <v>45</v>
      </c>
      <c r="O376" s="1320">
        <v>72.900000000000006</v>
      </c>
      <c r="P376" s="1320">
        <v>71.5</v>
      </c>
      <c r="Q376" s="1320">
        <v>70.8</v>
      </c>
      <c r="R376" s="1320">
        <v>70.400000000000006</v>
      </c>
      <c r="S376" s="1206"/>
      <c r="T376" s="824">
        <v>45</v>
      </c>
      <c r="U376" s="1320">
        <v>72.400000000000006</v>
      </c>
      <c r="V376" s="1320">
        <v>71</v>
      </c>
      <c r="W376" s="1320">
        <v>70.400000000000006</v>
      </c>
      <c r="X376" s="1320">
        <v>69.900000000000006</v>
      </c>
      <c r="Y376" s="1206"/>
      <c r="Z376" s="824">
        <v>45</v>
      </c>
      <c r="AA376" s="1320">
        <v>71.8</v>
      </c>
      <c r="AB376" s="1320">
        <v>70.5</v>
      </c>
      <c r="AC376" s="1320">
        <v>69.8</v>
      </c>
      <c r="AD376" s="1320">
        <v>69.400000000000006</v>
      </c>
      <c r="AE376" s="1206"/>
      <c r="AF376" s="1316">
        <v>45</v>
      </c>
      <c r="AG376" s="1322">
        <v>64.900000000000006</v>
      </c>
      <c r="AH376" s="1322">
        <v>63.6</v>
      </c>
      <c r="AI376" s="1322">
        <v>63</v>
      </c>
      <c r="AJ376" s="1322">
        <v>62.6</v>
      </c>
      <c r="AL376" s="824">
        <v>45</v>
      </c>
      <c r="AM376" s="1320">
        <v>55.1</v>
      </c>
      <c r="AN376" s="1320">
        <v>54.3</v>
      </c>
      <c r="AO376" s="1320">
        <v>53.9</v>
      </c>
      <c r="AP376" s="1320">
        <v>53.7</v>
      </c>
      <c r="AQ376" s="1206"/>
      <c r="AR376" s="824">
        <v>45</v>
      </c>
      <c r="AS376" s="1320">
        <v>70.599999999999994</v>
      </c>
      <c r="AT376" s="1320">
        <v>69.3</v>
      </c>
      <c r="AU376" s="1320">
        <v>68.7</v>
      </c>
      <c r="AV376" s="1320">
        <v>68.3</v>
      </c>
      <c r="AW376" s="1318"/>
      <c r="AX376" s="1319">
        <v>45</v>
      </c>
      <c r="AY376" s="1320">
        <v>68.099999999999994</v>
      </c>
      <c r="AZ376" s="1320">
        <v>66.900000000000006</v>
      </c>
      <c r="BA376" s="1320">
        <v>66.3</v>
      </c>
      <c r="BB376" s="1320">
        <v>65.900000000000006</v>
      </c>
      <c r="BD376" s="1310">
        <v>45</v>
      </c>
      <c r="BE376" s="1320">
        <v>64.5</v>
      </c>
      <c r="BF376" s="1320">
        <v>63.3</v>
      </c>
      <c r="BG376" s="1320">
        <v>62.7</v>
      </c>
      <c r="BH376" s="1320">
        <v>62.4</v>
      </c>
    </row>
    <row r="377" spans="2:67" ht="15" customHeight="1">
      <c r="B377" s="824">
        <v>46</v>
      </c>
      <c r="C377" s="1320">
        <v>74.099999999999994</v>
      </c>
      <c r="D377" s="1320">
        <v>72.599999999999994</v>
      </c>
      <c r="E377" s="1320">
        <v>71.900000000000006</v>
      </c>
      <c r="F377" s="1320">
        <v>71.400000000000006</v>
      </c>
      <c r="G377" s="1206"/>
      <c r="H377" s="824">
        <v>46</v>
      </c>
      <c r="I377" s="1320">
        <v>73.900000000000006</v>
      </c>
      <c r="J377" s="1320">
        <v>72.5</v>
      </c>
      <c r="K377" s="1320">
        <v>71.8</v>
      </c>
      <c r="L377" s="1321">
        <v>71.3</v>
      </c>
      <c r="M377" s="1206"/>
      <c r="N377" s="824">
        <v>46</v>
      </c>
      <c r="O377" s="1320">
        <v>73.5</v>
      </c>
      <c r="P377" s="1320">
        <v>72.099999999999994</v>
      </c>
      <c r="Q377" s="1320">
        <v>71.400000000000006</v>
      </c>
      <c r="R377" s="1320">
        <v>70.900000000000006</v>
      </c>
      <c r="S377" s="1206"/>
      <c r="T377" s="824">
        <v>46</v>
      </c>
      <c r="U377" s="1320">
        <v>72.900000000000006</v>
      </c>
      <c r="V377" s="1320">
        <v>71.5</v>
      </c>
      <c r="W377" s="1320">
        <v>70.900000000000006</v>
      </c>
      <c r="X377" s="1320">
        <v>70.400000000000006</v>
      </c>
      <c r="Y377" s="1206"/>
      <c r="Z377" s="824">
        <v>46</v>
      </c>
      <c r="AA377" s="1320">
        <v>72.2</v>
      </c>
      <c r="AB377" s="1320">
        <v>70.900000000000006</v>
      </c>
      <c r="AC377" s="1320">
        <v>70.3</v>
      </c>
      <c r="AD377" s="1320">
        <v>69.8</v>
      </c>
      <c r="AE377" s="1206"/>
      <c r="AF377" s="1316">
        <v>46</v>
      </c>
      <c r="AG377" s="1322">
        <v>65</v>
      </c>
      <c r="AH377" s="1322">
        <v>63.7</v>
      </c>
      <c r="AI377" s="1322">
        <v>63.1</v>
      </c>
      <c r="AJ377" s="1322">
        <v>62.7</v>
      </c>
      <c r="AL377" s="824">
        <v>46</v>
      </c>
      <c r="AM377" s="1320">
        <v>55.8</v>
      </c>
      <c r="AN377" s="1320">
        <v>55</v>
      </c>
      <c r="AO377" s="1320">
        <v>54.6</v>
      </c>
      <c r="AP377" s="1320">
        <v>54.3</v>
      </c>
      <c r="AQ377" s="1206"/>
      <c r="AR377" s="824">
        <v>46</v>
      </c>
      <c r="AS377" s="1320">
        <v>71.099999999999994</v>
      </c>
      <c r="AT377" s="1320">
        <v>69.8</v>
      </c>
      <c r="AU377" s="1320">
        <v>69.099999999999994</v>
      </c>
      <c r="AV377" s="1320">
        <v>68.7</v>
      </c>
      <c r="AW377" s="1318"/>
      <c r="AX377" s="1319">
        <v>46</v>
      </c>
      <c r="AY377" s="1320">
        <v>68.400000000000006</v>
      </c>
      <c r="AZ377" s="1320">
        <v>67.2</v>
      </c>
      <c r="BA377" s="1320">
        <v>66.5</v>
      </c>
      <c r="BB377" s="1320">
        <v>66.2</v>
      </c>
      <c r="BD377" s="1310">
        <v>46</v>
      </c>
      <c r="BE377" s="1320">
        <v>64.5</v>
      </c>
      <c r="BF377" s="1320">
        <v>63.3</v>
      </c>
      <c r="BG377" s="1320">
        <v>62.8</v>
      </c>
      <c r="BH377" s="1320">
        <v>62.4</v>
      </c>
    </row>
    <row r="378" spans="2:67" ht="15" customHeight="1">
      <c r="B378" s="824">
        <v>47</v>
      </c>
      <c r="C378" s="1320">
        <v>74.8</v>
      </c>
      <c r="D378" s="1320">
        <v>73.3</v>
      </c>
      <c r="E378" s="1320">
        <v>72.5</v>
      </c>
      <c r="F378" s="1320">
        <v>72.099999999999994</v>
      </c>
      <c r="G378" s="1206"/>
      <c r="H378" s="824">
        <v>47</v>
      </c>
      <c r="I378" s="1320">
        <v>74.599999999999994</v>
      </c>
      <c r="J378" s="1320">
        <v>73.099999999999994</v>
      </c>
      <c r="K378" s="1320">
        <v>72.400000000000006</v>
      </c>
      <c r="L378" s="1321">
        <v>71.900000000000006</v>
      </c>
      <c r="M378" s="1206"/>
      <c r="N378" s="824">
        <v>47</v>
      </c>
      <c r="O378" s="1320">
        <v>74.099999999999994</v>
      </c>
      <c r="P378" s="1320">
        <v>72.7</v>
      </c>
      <c r="Q378" s="1320">
        <v>72</v>
      </c>
      <c r="R378" s="1320">
        <v>71.5</v>
      </c>
      <c r="S378" s="1206"/>
      <c r="T378" s="824">
        <v>47</v>
      </c>
      <c r="U378" s="1320">
        <v>73.5</v>
      </c>
      <c r="V378" s="1320">
        <v>72.099999999999994</v>
      </c>
      <c r="W378" s="1320">
        <v>71.400000000000006</v>
      </c>
      <c r="X378" s="1320">
        <v>71</v>
      </c>
      <c r="Y378" s="1206"/>
      <c r="Z378" s="824">
        <v>47</v>
      </c>
      <c r="AA378" s="1320">
        <v>72.7</v>
      </c>
      <c r="AB378" s="1320">
        <v>71.400000000000006</v>
      </c>
      <c r="AC378" s="1320">
        <v>70.7</v>
      </c>
      <c r="AD378" s="1320">
        <v>70.3</v>
      </c>
      <c r="AE378" s="1206"/>
      <c r="AF378" s="1316">
        <v>47</v>
      </c>
      <c r="AG378" s="1322">
        <v>65</v>
      </c>
      <c r="AH378" s="1322">
        <v>63.7</v>
      </c>
      <c r="AI378" s="1322">
        <v>63.1</v>
      </c>
      <c r="AJ378" s="1322">
        <v>62.7</v>
      </c>
      <c r="AL378" s="824">
        <v>47</v>
      </c>
      <c r="AM378" s="1320">
        <v>56.6</v>
      </c>
      <c r="AN378" s="1320">
        <v>55.7</v>
      </c>
      <c r="AO378" s="1320">
        <v>55.3</v>
      </c>
      <c r="AP378" s="1320">
        <v>55</v>
      </c>
      <c r="AQ378" s="1206"/>
      <c r="AR378" s="824">
        <v>47</v>
      </c>
      <c r="AS378" s="1320">
        <v>71.599999999999994</v>
      </c>
      <c r="AT378" s="1320">
        <v>70.3</v>
      </c>
      <c r="AU378" s="1320">
        <v>69.599999999999994</v>
      </c>
      <c r="AV378" s="1320">
        <v>69.2</v>
      </c>
      <c r="AW378" s="1318"/>
      <c r="AX378" s="1319">
        <v>47</v>
      </c>
      <c r="AY378" s="1320">
        <v>68.7</v>
      </c>
      <c r="AZ378" s="1320">
        <v>67.5</v>
      </c>
      <c r="BA378" s="1320">
        <v>66.900000000000006</v>
      </c>
      <c r="BB378" s="1320">
        <v>66.5</v>
      </c>
      <c r="BD378" s="1310">
        <v>47</v>
      </c>
      <c r="BE378" s="1320">
        <v>64.5</v>
      </c>
      <c r="BF378" s="1320">
        <v>63.4</v>
      </c>
      <c r="BG378" s="1320">
        <v>62.8</v>
      </c>
      <c r="BH378" s="1320">
        <v>62.4</v>
      </c>
    </row>
    <row r="379" spans="2:67" ht="15" customHeight="1">
      <c r="B379" s="824">
        <v>48</v>
      </c>
      <c r="C379" s="1320">
        <v>75.5</v>
      </c>
      <c r="D379" s="1320">
        <v>74</v>
      </c>
      <c r="E379" s="1320">
        <v>73.2</v>
      </c>
      <c r="F379" s="1320">
        <v>72.8</v>
      </c>
      <c r="G379" s="1206"/>
      <c r="H379" s="824">
        <v>48</v>
      </c>
      <c r="I379" s="1320">
        <v>75.3</v>
      </c>
      <c r="J379" s="1320">
        <v>73.8</v>
      </c>
      <c r="K379" s="1320">
        <v>73.099999999999994</v>
      </c>
      <c r="L379" s="1321">
        <v>72.599999999999994</v>
      </c>
      <c r="M379" s="1206"/>
      <c r="N379" s="824">
        <v>48</v>
      </c>
      <c r="O379" s="1320">
        <v>74.8</v>
      </c>
      <c r="P379" s="1320">
        <v>73.3</v>
      </c>
      <c r="Q379" s="1320">
        <v>72.599999999999994</v>
      </c>
      <c r="R379" s="1320">
        <v>72.2</v>
      </c>
      <c r="S379" s="1206"/>
      <c r="T379" s="824">
        <v>48</v>
      </c>
      <c r="U379" s="1320">
        <v>74.099999999999994</v>
      </c>
      <c r="V379" s="1320">
        <v>72.599999999999994</v>
      </c>
      <c r="W379" s="1320">
        <v>72</v>
      </c>
      <c r="X379" s="1320">
        <v>71.5</v>
      </c>
      <c r="Y379" s="1206"/>
      <c r="Z379" s="824">
        <v>48</v>
      </c>
      <c r="AA379" s="1320">
        <v>73.2</v>
      </c>
      <c r="AB379" s="1320">
        <v>71.900000000000006</v>
      </c>
      <c r="AC379" s="1320">
        <v>71.2</v>
      </c>
      <c r="AD379" s="1320">
        <v>70.8</v>
      </c>
      <c r="AE379" s="1206"/>
      <c r="AF379" s="1316">
        <v>48</v>
      </c>
      <c r="AG379" s="1322">
        <v>65.099999999999994</v>
      </c>
      <c r="AH379" s="1322">
        <v>63.8</v>
      </c>
      <c r="AI379" s="1322">
        <v>63.1</v>
      </c>
      <c r="AJ379" s="1322">
        <v>62.7</v>
      </c>
      <c r="AL379" s="824">
        <v>48</v>
      </c>
      <c r="AM379" s="1320">
        <v>57.3</v>
      </c>
      <c r="AN379" s="1320">
        <v>56.4</v>
      </c>
      <c r="AO379" s="1320">
        <v>56</v>
      </c>
      <c r="AP379" s="1320">
        <v>55.7</v>
      </c>
      <c r="AQ379" s="1206"/>
      <c r="AR379" s="824">
        <v>48</v>
      </c>
      <c r="AS379" s="1320">
        <v>72.2</v>
      </c>
      <c r="AT379" s="1320">
        <v>70.8</v>
      </c>
      <c r="AU379" s="1320">
        <v>70.099999999999994</v>
      </c>
      <c r="AV379" s="1320">
        <v>69.7</v>
      </c>
      <c r="AW379" s="1318"/>
      <c r="AX379" s="1319">
        <v>48</v>
      </c>
      <c r="AY379" s="1320">
        <v>69.099999999999994</v>
      </c>
      <c r="AZ379" s="1320">
        <v>67.8</v>
      </c>
      <c r="BA379" s="1320">
        <v>67.2</v>
      </c>
      <c r="BB379" s="1320">
        <v>66.8</v>
      </c>
      <c r="BD379" s="1310">
        <v>48</v>
      </c>
      <c r="BE379" s="1320">
        <v>64.599999999999994</v>
      </c>
      <c r="BF379" s="1320">
        <v>63.4</v>
      </c>
      <c r="BG379" s="1320">
        <v>62.8</v>
      </c>
      <c r="BH379" s="1320">
        <v>62.4</v>
      </c>
    </row>
    <row r="380" spans="2:67" ht="15" customHeight="1">
      <c r="B380" s="824">
        <v>49</v>
      </c>
      <c r="C380" s="1320">
        <v>76.3</v>
      </c>
      <c r="D380" s="1320">
        <v>74.7</v>
      </c>
      <c r="E380" s="1320">
        <v>74</v>
      </c>
      <c r="F380" s="1320">
        <v>73.5</v>
      </c>
      <c r="G380" s="1206"/>
      <c r="H380" s="824">
        <v>49</v>
      </c>
      <c r="I380" s="1320">
        <v>76</v>
      </c>
      <c r="J380" s="1320">
        <v>74.5</v>
      </c>
      <c r="K380" s="1320">
        <v>73.8</v>
      </c>
      <c r="L380" s="1321">
        <v>73.3</v>
      </c>
      <c r="M380" s="1206"/>
      <c r="N380" s="824">
        <v>49</v>
      </c>
      <c r="O380" s="1320">
        <v>75.5</v>
      </c>
      <c r="P380" s="1320">
        <v>74</v>
      </c>
      <c r="Q380" s="1320">
        <v>73.3</v>
      </c>
      <c r="R380" s="1320">
        <v>72.8</v>
      </c>
      <c r="S380" s="1206"/>
      <c r="T380" s="824">
        <v>49</v>
      </c>
      <c r="U380" s="1320">
        <v>74.7</v>
      </c>
      <c r="V380" s="1320">
        <v>73.2</v>
      </c>
      <c r="W380" s="1320">
        <v>72.599999999999994</v>
      </c>
      <c r="X380" s="1320">
        <v>72.099999999999994</v>
      </c>
      <c r="Y380" s="1206"/>
      <c r="Z380" s="824">
        <v>49</v>
      </c>
      <c r="AA380" s="1320">
        <v>73.8</v>
      </c>
      <c r="AB380" s="1320">
        <v>72.400000000000006</v>
      </c>
      <c r="AC380" s="1320">
        <v>71.7</v>
      </c>
      <c r="AD380" s="1320">
        <v>71.3</v>
      </c>
      <c r="AE380" s="1206"/>
      <c r="AF380" s="1316">
        <v>49</v>
      </c>
      <c r="AG380" s="1322">
        <v>65.099999999999994</v>
      </c>
      <c r="AH380" s="1322">
        <v>63.8</v>
      </c>
      <c r="AI380" s="1322">
        <v>63.2</v>
      </c>
      <c r="AJ380" s="1322">
        <v>62.8</v>
      </c>
      <c r="AL380" s="824">
        <v>49</v>
      </c>
      <c r="AM380" s="1320">
        <v>58.1</v>
      </c>
      <c r="AN380" s="1320">
        <v>57.2</v>
      </c>
      <c r="AO380" s="1320">
        <v>56.8</v>
      </c>
      <c r="AP380" s="1320">
        <v>56.5</v>
      </c>
      <c r="AQ380" s="1206"/>
      <c r="AR380" s="824">
        <v>49</v>
      </c>
      <c r="AS380" s="1320">
        <v>72.7</v>
      </c>
      <c r="AT380" s="1320">
        <v>71.3</v>
      </c>
      <c r="AU380" s="1320">
        <v>70.599999999999994</v>
      </c>
      <c r="AV380" s="1320">
        <v>70.2</v>
      </c>
      <c r="AW380" s="1318"/>
      <c r="AX380" s="1319">
        <v>49</v>
      </c>
      <c r="AY380" s="1320">
        <v>69.5</v>
      </c>
      <c r="AZ380" s="1320">
        <v>68.2</v>
      </c>
      <c r="BA380" s="1320">
        <v>67.599999999999994</v>
      </c>
      <c r="BB380" s="1320">
        <v>67.2</v>
      </c>
      <c r="BD380" s="1310">
        <v>49</v>
      </c>
      <c r="BE380" s="1320">
        <v>64.599999999999994</v>
      </c>
      <c r="BF380" s="1320">
        <v>63.4</v>
      </c>
      <c r="BG380" s="1320">
        <v>62.9</v>
      </c>
      <c r="BH380" s="1320">
        <v>62.5</v>
      </c>
    </row>
    <row r="381" spans="2:67" ht="15" customHeight="1">
      <c r="B381" s="824">
        <v>50</v>
      </c>
      <c r="C381" s="1320">
        <v>77.099999999999994</v>
      </c>
      <c r="D381" s="1320">
        <v>75.599999999999994</v>
      </c>
      <c r="E381" s="1320">
        <v>74.8</v>
      </c>
      <c r="F381" s="1320">
        <v>74.3</v>
      </c>
      <c r="G381" s="1206"/>
      <c r="H381" s="824">
        <v>50</v>
      </c>
      <c r="I381" s="1320">
        <v>76.900000000000006</v>
      </c>
      <c r="J381" s="1320">
        <v>75.3</v>
      </c>
      <c r="K381" s="1320">
        <v>74.599999999999994</v>
      </c>
      <c r="L381" s="1321">
        <v>74.099999999999994</v>
      </c>
      <c r="M381" s="1206"/>
      <c r="N381" s="824">
        <v>50</v>
      </c>
      <c r="O381" s="1320">
        <v>76.2</v>
      </c>
      <c r="P381" s="1320">
        <v>74.7</v>
      </c>
      <c r="Q381" s="1320">
        <v>74</v>
      </c>
      <c r="R381" s="1320">
        <v>73.5</v>
      </c>
      <c r="S381" s="1206"/>
      <c r="T381" s="824">
        <v>50</v>
      </c>
      <c r="U381" s="1320">
        <v>75.3</v>
      </c>
      <c r="V381" s="1320">
        <v>73.900000000000006</v>
      </c>
      <c r="W381" s="1320">
        <v>73.2</v>
      </c>
      <c r="X381" s="1320">
        <v>72.7</v>
      </c>
      <c r="Y381" s="1206"/>
      <c r="Z381" s="824">
        <v>50</v>
      </c>
      <c r="AA381" s="1320">
        <v>74.3</v>
      </c>
      <c r="AB381" s="1320">
        <v>72.900000000000006</v>
      </c>
      <c r="AC381" s="1320">
        <v>72.2</v>
      </c>
      <c r="AD381" s="1320">
        <v>71.8</v>
      </c>
      <c r="AE381" s="1206"/>
      <c r="AF381" s="1316">
        <v>50</v>
      </c>
      <c r="AG381" s="1322">
        <v>65.2</v>
      </c>
      <c r="AH381" s="1322">
        <v>63.9</v>
      </c>
      <c r="AI381" s="1322">
        <v>63.2</v>
      </c>
      <c r="AJ381" s="1322">
        <v>62.8</v>
      </c>
      <c r="AL381" s="824">
        <v>50</v>
      </c>
      <c r="AM381" s="1320">
        <v>59</v>
      </c>
      <c r="AN381" s="1320">
        <v>58.1</v>
      </c>
      <c r="AO381" s="1320">
        <v>57.6</v>
      </c>
      <c r="AP381" s="1320">
        <v>57.3</v>
      </c>
      <c r="AQ381" s="1206"/>
      <c r="AR381" s="824">
        <v>50</v>
      </c>
      <c r="AS381" s="1320">
        <v>73.3</v>
      </c>
      <c r="AT381" s="1320">
        <v>71.900000000000006</v>
      </c>
      <c r="AU381" s="1320">
        <v>71.2</v>
      </c>
      <c r="AV381" s="1320">
        <v>70.8</v>
      </c>
      <c r="AW381" s="1318"/>
      <c r="AX381" s="1319">
        <v>50</v>
      </c>
      <c r="AY381" s="1320">
        <v>69.900000000000006</v>
      </c>
      <c r="AZ381" s="1320">
        <v>68.599999999999994</v>
      </c>
      <c r="BA381" s="1320">
        <v>68</v>
      </c>
      <c r="BB381" s="1320">
        <v>67.5</v>
      </c>
      <c r="BD381" s="1310">
        <v>50</v>
      </c>
      <c r="BE381" s="1320">
        <v>64.7</v>
      </c>
      <c r="BF381" s="1320">
        <v>63.5</v>
      </c>
      <c r="BG381" s="1320">
        <v>62.9</v>
      </c>
      <c r="BH381" s="1320">
        <v>62.5</v>
      </c>
    </row>
    <row r="382" spans="2:67" ht="15" customHeight="1">
      <c r="B382" s="824">
        <v>51</v>
      </c>
      <c r="C382" s="1320">
        <v>78.099999999999994</v>
      </c>
      <c r="D382" s="1320">
        <v>76.400000000000006</v>
      </c>
      <c r="E382" s="1320">
        <v>75.7</v>
      </c>
      <c r="F382" s="1320">
        <v>75.099999999999994</v>
      </c>
      <c r="G382" s="1206"/>
      <c r="H382" s="824">
        <v>51</v>
      </c>
      <c r="I382" s="1320">
        <v>77.7</v>
      </c>
      <c r="J382" s="1320">
        <v>76.2</v>
      </c>
      <c r="K382" s="1320">
        <v>75.400000000000006</v>
      </c>
      <c r="L382" s="1321">
        <v>74.900000000000006</v>
      </c>
      <c r="M382" s="1206"/>
      <c r="N382" s="824">
        <v>51</v>
      </c>
      <c r="O382" s="1320">
        <v>77</v>
      </c>
      <c r="P382" s="1320">
        <v>75.5</v>
      </c>
      <c r="Q382" s="1320">
        <v>74.7</v>
      </c>
      <c r="R382" s="1320">
        <v>74.2</v>
      </c>
      <c r="S382" s="1206"/>
      <c r="T382" s="824">
        <v>51</v>
      </c>
      <c r="U382" s="1320">
        <v>76</v>
      </c>
      <c r="V382" s="1320">
        <v>74.599999999999994</v>
      </c>
      <c r="W382" s="1320">
        <v>73.8</v>
      </c>
      <c r="X382" s="1320">
        <v>73.400000000000006</v>
      </c>
      <c r="Y382" s="1206"/>
      <c r="Z382" s="824">
        <v>51</v>
      </c>
      <c r="AA382" s="1320">
        <v>74.900000000000006</v>
      </c>
      <c r="AB382" s="1320">
        <v>73.5</v>
      </c>
      <c r="AC382" s="1320">
        <v>72.8</v>
      </c>
      <c r="AD382" s="1320">
        <v>72.3</v>
      </c>
      <c r="AE382" s="1206"/>
      <c r="AF382" s="1316">
        <v>51</v>
      </c>
      <c r="AG382" s="1322">
        <v>65.3</v>
      </c>
      <c r="AH382" s="1322">
        <v>63.9</v>
      </c>
      <c r="AI382" s="1322">
        <v>63.3</v>
      </c>
      <c r="AJ382" s="1322">
        <v>62.8</v>
      </c>
      <c r="AL382" s="824">
        <v>51</v>
      </c>
      <c r="AM382" s="1320">
        <v>60</v>
      </c>
      <c r="AN382" s="1320">
        <v>59</v>
      </c>
      <c r="AO382" s="1320">
        <v>58.5</v>
      </c>
      <c r="AP382" s="1320">
        <v>58.2</v>
      </c>
      <c r="AQ382" s="1206"/>
      <c r="AR382" s="824">
        <v>51</v>
      </c>
      <c r="AS382" s="1320">
        <v>74</v>
      </c>
      <c r="AT382" s="1320">
        <v>72.5</v>
      </c>
      <c r="AU382" s="1320">
        <v>71.8</v>
      </c>
      <c r="AV382" s="1320">
        <v>71.400000000000006</v>
      </c>
      <c r="AW382" s="1318"/>
      <c r="AX382" s="1319">
        <v>51</v>
      </c>
      <c r="AY382" s="1320">
        <v>70.3</v>
      </c>
      <c r="AZ382" s="1320">
        <v>69</v>
      </c>
      <c r="BA382" s="1320">
        <v>68.400000000000006</v>
      </c>
      <c r="BB382" s="1320">
        <v>68</v>
      </c>
      <c r="BD382" s="1310">
        <v>51</v>
      </c>
      <c r="BE382" s="1320">
        <v>64.7</v>
      </c>
      <c r="BF382" s="1320">
        <v>63.5</v>
      </c>
      <c r="BG382" s="1320">
        <v>62.9</v>
      </c>
      <c r="BH382" s="1320">
        <v>62.5</v>
      </c>
    </row>
    <row r="383" spans="2:67" ht="15" customHeight="1">
      <c r="B383" s="824">
        <v>52</v>
      </c>
      <c r="C383" s="1320">
        <v>79</v>
      </c>
      <c r="D383" s="1320">
        <v>77.400000000000006</v>
      </c>
      <c r="E383" s="1320">
        <v>76.599999999999994</v>
      </c>
      <c r="F383" s="1320">
        <v>76</v>
      </c>
      <c r="G383" s="1206"/>
      <c r="H383" s="824">
        <v>52</v>
      </c>
      <c r="I383" s="1320">
        <v>78.599999999999994</v>
      </c>
      <c r="J383" s="1320">
        <v>77</v>
      </c>
      <c r="K383" s="1320">
        <v>76.3</v>
      </c>
      <c r="L383" s="1321">
        <v>75.7</v>
      </c>
      <c r="M383" s="1206"/>
      <c r="N383" s="824">
        <v>52</v>
      </c>
      <c r="O383" s="1320">
        <v>77.8</v>
      </c>
      <c r="P383" s="1320">
        <v>76.3</v>
      </c>
      <c r="Q383" s="1320">
        <v>75.5</v>
      </c>
      <c r="R383" s="1320">
        <v>75</v>
      </c>
      <c r="S383" s="1206"/>
      <c r="T383" s="824">
        <v>52</v>
      </c>
      <c r="U383" s="1320">
        <v>76.7</v>
      </c>
      <c r="V383" s="1320">
        <v>75.3</v>
      </c>
      <c r="W383" s="1320">
        <v>74.5</v>
      </c>
      <c r="X383" s="1320">
        <v>74</v>
      </c>
      <c r="Y383" s="1206"/>
      <c r="Z383" s="824">
        <v>52</v>
      </c>
      <c r="AA383" s="1320">
        <v>75.5</v>
      </c>
      <c r="AB383" s="1320">
        <v>74.099999999999994</v>
      </c>
      <c r="AC383" s="1320">
        <v>73.400000000000006</v>
      </c>
      <c r="AD383" s="1320">
        <v>72.900000000000006</v>
      </c>
      <c r="AE383" s="1206"/>
      <c r="AF383" s="1316">
        <v>52</v>
      </c>
      <c r="AG383" s="1322">
        <v>65.3</v>
      </c>
      <c r="AH383" s="1322">
        <v>64</v>
      </c>
      <c r="AI383" s="1322">
        <v>63.3</v>
      </c>
      <c r="AJ383" s="1322">
        <v>62.9</v>
      </c>
      <c r="AL383" s="824">
        <v>52</v>
      </c>
      <c r="AM383" s="1320">
        <v>60.9</v>
      </c>
      <c r="AN383" s="1320">
        <v>60</v>
      </c>
      <c r="AO383" s="1320">
        <v>59.5</v>
      </c>
      <c r="AP383" s="1320">
        <v>59.2</v>
      </c>
      <c r="AQ383" s="1206"/>
      <c r="AR383" s="824">
        <v>52</v>
      </c>
      <c r="AS383" s="1320">
        <v>74.7</v>
      </c>
      <c r="AT383" s="1320">
        <v>73.2</v>
      </c>
      <c r="AU383" s="1320">
        <v>72.5</v>
      </c>
      <c r="AV383" s="1320">
        <v>72</v>
      </c>
      <c r="AW383" s="1318"/>
      <c r="AX383" s="1319">
        <v>52</v>
      </c>
      <c r="AY383" s="1320">
        <v>70.8</v>
      </c>
      <c r="AZ383" s="1320">
        <v>69.5</v>
      </c>
      <c r="BA383" s="1320">
        <v>68.8</v>
      </c>
      <c r="BB383" s="1320">
        <v>68.400000000000006</v>
      </c>
      <c r="BD383" s="1310">
        <v>52</v>
      </c>
      <c r="BE383" s="1320">
        <v>64.8</v>
      </c>
      <c r="BF383" s="1320">
        <v>63.5</v>
      </c>
      <c r="BG383" s="1320">
        <v>63</v>
      </c>
      <c r="BH383" s="1320">
        <v>62.6</v>
      </c>
    </row>
    <row r="384" spans="2:67" ht="15" customHeight="1">
      <c r="B384" s="824">
        <v>53</v>
      </c>
      <c r="C384" s="1320">
        <v>80</v>
      </c>
      <c r="D384" s="1320">
        <v>78.3</v>
      </c>
      <c r="E384" s="1320">
        <v>77.5</v>
      </c>
      <c r="F384" s="1320">
        <v>77</v>
      </c>
      <c r="G384" s="1206"/>
      <c r="H384" s="824">
        <v>53</v>
      </c>
      <c r="I384" s="1320">
        <v>79.599999999999994</v>
      </c>
      <c r="J384" s="1320">
        <v>78</v>
      </c>
      <c r="K384" s="1320">
        <v>77.2</v>
      </c>
      <c r="L384" s="1321">
        <v>76.7</v>
      </c>
      <c r="M384" s="1206"/>
      <c r="N384" s="824">
        <v>53</v>
      </c>
      <c r="O384" s="1320">
        <v>78.7</v>
      </c>
      <c r="P384" s="1320">
        <v>77.099999999999994</v>
      </c>
      <c r="Q384" s="1320">
        <v>76.3</v>
      </c>
      <c r="R384" s="1320">
        <v>75.8</v>
      </c>
      <c r="S384" s="1206"/>
      <c r="T384" s="824">
        <v>53</v>
      </c>
      <c r="U384" s="1320">
        <v>77.5</v>
      </c>
      <c r="V384" s="1320">
        <v>76</v>
      </c>
      <c r="W384" s="1320">
        <v>75.3</v>
      </c>
      <c r="X384" s="1320">
        <v>74.8</v>
      </c>
      <c r="Y384" s="1206"/>
      <c r="Z384" s="824">
        <v>53</v>
      </c>
      <c r="AA384" s="1320">
        <v>76.099999999999994</v>
      </c>
      <c r="AB384" s="1320">
        <v>74.7</v>
      </c>
      <c r="AC384" s="1320">
        <v>74</v>
      </c>
      <c r="AD384" s="1320">
        <v>73.5</v>
      </c>
      <c r="AE384" s="1206"/>
      <c r="AF384" s="1316">
        <v>53</v>
      </c>
      <c r="AG384" s="1322">
        <v>65.400000000000006</v>
      </c>
      <c r="AH384" s="1322">
        <v>64</v>
      </c>
      <c r="AI384" s="1322">
        <v>63.3</v>
      </c>
      <c r="AJ384" s="1322">
        <v>62.9</v>
      </c>
      <c r="AL384" s="824">
        <v>53</v>
      </c>
      <c r="AM384" s="1320">
        <v>62</v>
      </c>
      <c r="AN384" s="1320">
        <v>61</v>
      </c>
      <c r="AO384" s="1320">
        <v>60.5</v>
      </c>
      <c r="AP384" s="1320">
        <v>60.1</v>
      </c>
      <c r="AQ384" s="1206"/>
      <c r="AR384" s="824">
        <v>53</v>
      </c>
      <c r="AS384" s="1320">
        <v>75.400000000000006</v>
      </c>
      <c r="AT384" s="1320">
        <v>73.900000000000006</v>
      </c>
      <c r="AU384" s="1320">
        <v>73.2</v>
      </c>
      <c r="AV384" s="1320">
        <v>72.7</v>
      </c>
      <c r="AW384" s="1318"/>
      <c r="AX384" s="1319">
        <v>53</v>
      </c>
      <c r="AY384" s="1320">
        <v>71.3</v>
      </c>
      <c r="AZ384" s="1320">
        <v>70</v>
      </c>
      <c r="BA384" s="1320">
        <v>69.3</v>
      </c>
      <c r="BB384" s="1320">
        <v>68.900000000000006</v>
      </c>
      <c r="BD384" s="1310">
        <v>53</v>
      </c>
      <c r="BE384" s="1320">
        <v>64.8</v>
      </c>
      <c r="BF384" s="1320">
        <v>63.6</v>
      </c>
      <c r="BG384" s="1320">
        <v>63</v>
      </c>
      <c r="BH384" s="1320">
        <v>62.6</v>
      </c>
    </row>
    <row r="385" spans="2:60" ht="15" customHeight="1">
      <c r="B385" s="824">
        <v>54</v>
      </c>
      <c r="C385" s="1320">
        <v>81.099999999999994</v>
      </c>
      <c r="D385" s="1320">
        <v>79.400000000000006</v>
      </c>
      <c r="E385" s="1320">
        <v>78.5</v>
      </c>
      <c r="F385" s="1320">
        <v>78</v>
      </c>
      <c r="G385" s="1206"/>
      <c r="H385" s="824">
        <v>54</v>
      </c>
      <c r="I385" s="1320">
        <v>80.599999999999994</v>
      </c>
      <c r="J385" s="1320">
        <v>79</v>
      </c>
      <c r="K385" s="1320">
        <v>78.099999999999994</v>
      </c>
      <c r="L385" s="1321">
        <v>77.599999999999994</v>
      </c>
      <c r="M385" s="1206"/>
      <c r="N385" s="824">
        <v>54</v>
      </c>
      <c r="O385" s="1320">
        <v>79.599999999999994</v>
      </c>
      <c r="P385" s="1320">
        <v>78</v>
      </c>
      <c r="Q385" s="1320">
        <v>77.2</v>
      </c>
      <c r="R385" s="1320">
        <v>76.7</v>
      </c>
      <c r="S385" s="1206"/>
      <c r="T385" s="824">
        <v>54</v>
      </c>
      <c r="U385" s="1320">
        <v>78.3</v>
      </c>
      <c r="V385" s="1320">
        <v>76.8</v>
      </c>
      <c r="W385" s="1320">
        <v>76</v>
      </c>
      <c r="X385" s="1320">
        <v>75.5</v>
      </c>
      <c r="Y385" s="1206"/>
      <c r="Z385" s="824">
        <v>54</v>
      </c>
      <c r="AA385" s="1320">
        <v>76.8</v>
      </c>
      <c r="AB385" s="1320">
        <v>75.3</v>
      </c>
      <c r="AC385" s="1320">
        <v>74.599999999999994</v>
      </c>
      <c r="AD385" s="1320">
        <v>74.099999999999994</v>
      </c>
      <c r="AE385" s="1206"/>
      <c r="AF385" s="1316">
        <v>54</v>
      </c>
      <c r="AG385" s="1322">
        <v>65.5</v>
      </c>
      <c r="AH385" s="1322">
        <v>64.099999999999994</v>
      </c>
      <c r="AI385" s="1322">
        <v>63.4</v>
      </c>
      <c r="AJ385" s="1322">
        <v>62.9</v>
      </c>
      <c r="AL385" s="824">
        <v>54</v>
      </c>
      <c r="AM385" s="1320">
        <v>63.1</v>
      </c>
      <c r="AN385" s="1320">
        <v>62</v>
      </c>
      <c r="AO385" s="1320">
        <v>61.5</v>
      </c>
      <c r="AP385" s="1320">
        <v>61.2</v>
      </c>
      <c r="AQ385" s="1206"/>
      <c r="AR385" s="824">
        <v>54</v>
      </c>
      <c r="AS385" s="1320">
        <v>76.2</v>
      </c>
      <c r="AT385" s="1320">
        <v>74.7</v>
      </c>
      <c r="AU385" s="1320">
        <v>73.900000000000006</v>
      </c>
      <c r="AV385" s="1320">
        <v>73.400000000000006</v>
      </c>
      <c r="AW385" s="1318"/>
      <c r="AX385" s="1319">
        <v>54</v>
      </c>
      <c r="AY385" s="1320">
        <v>71.900000000000006</v>
      </c>
      <c r="AZ385" s="1320">
        <v>70.5</v>
      </c>
      <c r="BA385" s="1320">
        <v>69.8</v>
      </c>
      <c r="BB385" s="1320">
        <v>69.400000000000006</v>
      </c>
      <c r="BD385" s="1310">
        <v>54</v>
      </c>
      <c r="BE385" s="1320">
        <v>64.900000000000006</v>
      </c>
      <c r="BF385" s="1320">
        <v>63.6</v>
      </c>
      <c r="BG385" s="1320">
        <v>63</v>
      </c>
      <c r="BH385" s="1320">
        <v>62.6</v>
      </c>
    </row>
    <row r="386" spans="2:60" ht="15" customHeight="1">
      <c r="B386" s="824">
        <v>55</v>
      </c>
      <c r="C386" s="1320">
        <v>82.3</v>
      </c>
      <c r="D386" s="1320">
        <v>80.5</v>
      </c>
      <c r="E386" s="1320">
        <v>79.599999999999994</v>
      </c>
      <c r="F386" s="1320">
        <v>79</v>
      </c>
      <c r="G386" s="1206"/>
      <c r="H386" s="824">
        <v>55</v>
      </c>
      <c r="I386" s="1320">
        <v>81.7</v>
      </c>
      <c r="J386" s="1320">
        <v>80</v>
      </c>
      <c r="K386" s="1320">
        <v>79.2</v>
      </c>
      <c r="L386" s="1321">
        <v>78.599999999999994</v>
      </c>
      <c r="M386" s="1206"/>
      <c r="N386" s="824">
        <v>55</v>
      </c>
      <c r="O386" s="1320">
        <v>80.599999999999994</v>
      </c>
      <c r="P386" s="1320">
        <v>78.900000000000006</v>
      </c>
      <c r="Q386" s="1320">
        <v>78.099999999999994</v>
      </c>
      <c r="R386" s="1320">
        <v>77.599999999999994</v>
      </c>
      <c r="S386" s="1206"/>
      <c r="T386" s="824">
        <v>55</v>
      </c>
      <c r="U386" s="1320">
        <v>79.2</v>
      </c>
      <c r="V386" s="1320">
        <v>77.599999999999994</v>
      </c>
      <c r="W386" s="1320">
        <v>76.8</v>
      </c>
      <c r="X386" s="1320">
        <v>76.3</v>
      </c>
      <c r="Y386" s="1206"/>
      <c r="Z386" s="824">
        <v>55</v>
      </c>
      <c r="AA386" s="1320">
        <v>77.400000000000006</v>
      </c>
      <c r="AB386" s="1320">
        <v>75.900000000000006</v>
      </c>
      <c r="AC386" s="1320">
        <v>75.2</v>
      </c>
      <c r="AD386" s="1320">
        <v>74.7</v>
      </c>
      <c r="AE386" s="1206"/>
      <c r="AF386" s="1316">
        <v>55</v>
      </c>
      <c r="AG386" s="1322">
        <v>65.599999999999994</v>
      </c>
      <c r="AH386" s="1322">
        <v>64.099999999999994</v>
      </c>
      <c r="AI386" s="1322">
        <v>63.4</v>
      </c>
      <c r="AJ386" s="1322">
        <v>63</v>
      </c>
      <c r="AL386" s="824">
        <v>55</v>
      </c>
      <c r="AM386" s="1320">
        <v>64.3</v>
      </c>
      <c r="AN386" s="1320">
        <v>63.2</v>
      </c>
      <c r="AO386" s="1320">
        <v>62.6</v>
      </c>
      <c r="AP386" s="1320">
        <v>62.3</v>
      </c>
      <c r="AQ386" s="1206"/>
      <c r="AR386" s="824">
        <v>55</v>
      </c>
      <c r="AS386" s="1320">
        <v>77.099999999999994</v>
      </c>
      <c r="AT386" s="1320">
        <v>75.5</v>
      </c>
      <c r="AU386" s="1320">
        <v>74.7</v>
      </c>
      <c r="AV386" s="1320">
        <v>74.2</v>
      </c>
      <c r="AW386" s="1318"/>
      <c r="AX386" s="1319">
        <v>55</v>
      </c>
      <c r="AY386" s="1320">
        <v>72.5</v>
      </c>
      <c r="AZ386" s="1320">
        <v>71.099999999999994</v>
      </c>
      <c r="BA386" s="1320">
        <v>70.400000000000006</v>
      </c>
      <c r="BB386" s="1320">
        <v>69.900000000000006</v>
      </c>
      <c r="BD386" s="1310">
        <v>55</v>
      </c>
      <c r="BE386" s="1320">
        <v>64.900000000000006</v>
      </c>
      <c r="BF386" s="1320">
        <v>63.7</v>
      </c>
      <c r="BG386" s="1320">
        <v>63.1</v>
      </c>
      <c r="BH386" s="1320">
        <v>62.7</v>
      </c>
    </row>
    <row r="387" spans="2:60" ht="15" customHeight="1">
      <c r="B387" s="824">
        <v>56</v>
      </c>
      <c r="C387" s="1320">
        <v>83.5</v>
      </c>
      <c r="D387" s="1320">
        <v>81.599999999999994</v>
      </c>
      <c r="E387" s="1320">
        <v>80.7</v>
      </c>
      <c r="F387" s="1320">
        <v>80.2</v>
      </c>
      <c r="G387" s="1206"/>
      <c r="H387" s="824">
        <v>56</v>
      </c>
      <c r="I387" s="1320">
        <v>82.9</v>
      </c>
      <c r="J387" s="1320">
        <v>81.099999999999994</v>
      </c>
      <c r="K387" s="1320">
        <v>80.3</v>
      </c>
      <c r="L387" s="1321">
        <v>79.7</v>
      </c>
      <c r="M387" s="1206"/>
      <c r="N387" s="824">
        <v>56</v>
      </c>
      <c r="O387" s="1320">
        <v>81.599999999999994</v>
      </c>
      <c r="P387" s="1320">
        <v>80</v>
      </c>
      <c r="Q387" s="1320">
        <v>79.099999999999994</v>
      </c>
      <c r="R387" s="1320">
        <v>78.599999999999994</v>
      </c>
      <c r="S387" s="1206"/>
      <c r="T387" s="824">
        <v>56</v>
      </c>
      <c r="U387" s="1320">
        <v>80</v>
      </c>
      <c r="V387" s="1320">
        <v>78.400000000000006</v>
      </c>
      <c r="W387" s="1320">
        <v>77.7</v>
      </c>
      <c r="X387" s="1320">
        <v>77.099999999999994</v>
      </c>
      <c r="Y387" s="1206"/>
      <c r="Z387" s="824">
        <v>56</v>
      </c>
      <c r="AA387" s="1320">
        <v>78.099999999999994</v>
      </c>
      <c r="AB387" s="1320">
        <v>76.599999999999994</v>
      </c>
      <c r="AC387" s="1320">
        <v>75.8</v>
      </c>
      <c r="AD387" s="1320">
        <v>75.400000000000006</v>
      </c>
      <c r="AE387" s="1206"/>
      <c r="AF387" s="1316">
        <v>56</v>
      </c>
      <c r="AG387" s="1322">
        <v>65.7</v>
      </c>
      <c r="AH387" s="1322">
        <v>64.2</v>
      </c>
      <c r="AI387" s="1322">
        <v>63.5</v>
      </c>
      <c r="AJ387" s="1322">
        <v>63</v>
      </c>
      <c r="AL387" s="824">
        <v>56</v>
      </c>
      <c r="AM387" s="1320">
        <v>65.5</v>
      </c>
      <c r="AN387" s="1320">
        <v>64.400000000000006</v>
      </c>
      <c r="AO387" s="1320">
        <v>63.8</v>
      </c>
      <c r="AP387" s="1320">
        <v>63.4</v>
      </c>
      <c r="AQ387" s="1206"/>
      <c r="AR387" s="824">
        <v>56</v>
      </c>
      <c r="AS387" s="1320">
        <v>78</v>
      </c>
      <c r="AT387" s="1320">
        <v>76.3</v>
      </c>
      <c r="AU387" s="1320">
        <v>75.599999999999994</v>
      </c>
      <c r="AV387" s="1320">
        <v>75</v>
      </c>
      <c r="AW387" s="1318"/>
      <c r="AX387" s="1319">
        <v>56</v>
      </c>
      <c r="AY387" s="1320">
        <v>73.099999999999994</v>
      </c>
      <c r="AZ387" s="1320">
        <v>71.7</v>
      </c>
      <c r="BA387" s="1320">
        <v>71</v>
      </c>
      <c r="BB387" s="1320">
        <v>70.5</v>
      </c>
      <c r="BD387" s="1310">
        <v>56</v>
      </c>
      <c r="BE387" s="1320">
        <v>65</v>
      </c>
      <c r="BF387" s="1320">
        <v>63.7</v>
      </c>
      <c r="BG387" s="1320">
        <v>63.1</v>
      </c>
      <c r="BH387" s="1320">
        <v>62.7</v>
      </c>
    </row>
    <row r="388" spans="2:60" ht="15" customHeight="1">
      <c r="B388" s="824">
        <v>57</v>
      </c>
      <c r="C388" s="1320">
        <v>84.8</v>
      </c>
      <c r="D388" s="1320">
        <v>82.9</v>
      </c>
      <c r="E388" s="1320">
        <v>82</v>
      </c>
      <c r="F388" s="1320">
        <v>81.400000000000006</v>
      </c>
      <c r="G388" s="1206"/>
      <c r="H388" s="824">
        <v>57</v>
      </c>
      <c r="I388" s="1320">
        <v>84.1</v>
      </c>
      <c r="J388" s="1320">
        <v>82.3</v>
      </c>
      <c r="K388" s="1320">
        <v>81.400000000000006</v>
      </c>
      <c r="L388" s="1321">
        <v>80.8</v>
      </c>
      <c r="M388" s="1206"/>
      <c r="N388" s="824">
        <v>57</v>
      </c>
      <c r="O388" s="1320">
        <v>82.7</v>
      </c>
      <c r="P388" s="1320">
        <v>81</v>
      </c>
      <c r="Q388" s="1320">
        <v>80.2</v>
      </c>
      <c r="R388" s="1320">
        <v>79.599999999999994</v>
      </c>
      <c r="S388" s="1206"/>
      <c r="T388" s="824">
        <v>57</v>
      </c>
      <c r="U388" s="1320">
        <v>81</v>
      </c>
      <c r="V388" s="1320">
        <v>79.3</v>
      </c>
      <c r="W388" s="1320">
        <v>78.5</v>
      </c>
      <c r="X388" s="1320">
        <v>78</v>
      </c>
      <c r="Y388" s="1206"/>
      <c r="Z388" s="824">
        <v>57</v>
      </c>
      <c r="AA388" s="1320">
        <v>78.7</v>
      </c>
      <c r="AB388" s="1320">
        <v>77.2</v>
      </c>
      <c r="AC388" s="1320">
        <v>76.5</v>
      </c>
      <c r="AD388" s="1320">
        <v>76</v>
      </c>
      <c r="AE388" s="1206"/>
      <c r="AF388" s="1316">
        <v>57</v>
      </c>
      <c r="AG388" s="1322">
        <v>65.7</v>
      </c>
      <c r="AH388" s="1322">
        <v>64.3</v>
      </c>
      <c r="AI388" s="1322">
        <v>63.5</v>
      </c>
      <c r="AJ388" s="1322">
        <v>63.1</v>
      </c>
      <c r="AL388" s="824">
        <v>57</v>
      </c>
      <c r="AM388" s="1320">
        <v>66.8</v>
      </c>
      <c r="AN388" s="1320">
        <v>65.599999999999994</v>
      </c>
      <c r="AO388" s="1320">
        <v>65.099999999999994</v>
      </c>
      <c r="AP388" s="1320">
        <v>64.7</v>
      </c>
      <c r="AQ388" s="1206"/>
      <c r="AR388" s="824">
        <v>57</v>
      </c>
      <c r="AS388" s="1320">
        <v>78.900000000000006</v>
      </c>
      <c r="AT388" s="1320">
        <v>77.3</v>
      </c>
      <c r="AU388" s="1320">
        <v>76.5</v>
      </c>
      <c r="AV388" s="1320">
        <v>75.900000000000006</v>
      </c>
      <c r="AW388" s="1318"/>
      <c r="AX388" s="1319">
        <v>57</v>
      </c>
      <c r="AY388" s="1320">
        <v>73.8</v>
      </c>
      <c r="AZ388" s="1320">
        <v>72.3</v>
      </c>
      <c r="BA388" s="1320">
        <v>71.599999999999994</v>
      </c>
      <c r="BB388" s="1320">
        <v>71.2</v>
      </c>
      <c r="BD388" s="1310">
        <v>57</v>
      </c>
      <c r="BE388" s="1320">
        <v>65.099999999999994</v>
      </c>
      <c r="BF388" s="1320">
        <v>63.8</v>
      </c>
      <c r="BG388" s="1320">
        <v>63.2</v>
      </c>
      <c r="BH388" s="1320">
        <v>62.7</v>
      </c>
    </row>
    <row r="389" spans="2:60" ht="15" customHeight="1">
      <c r="B389" s="824">
        <v>58</v>
      </c>
      <c r="C389" s="1320">
        <v>86.2</v>
      </c>
      <c r="D389" s="1320">
        <v>84.2</v>
      </c>
      <c r="E389" s="1320">
        <v>83.3</v>
      </c>
      <c r="F389" s="1320">
        <v>82.6</v>
      </c>
      <c r="G389" s="1206"/>
      <c r="H389" s="824">
        <v>58</v>
      </c>
      <c r="I389" s="1320">
        <v>85.4</v>
      </c>
      <c r="J389" s="1320">
        <v>83.6</v>
      </c>
      <c r="K389" s="1320">
        <v>82.7</v>
      </c>
      <c r="L389" s="1321">
        <v>82.1</v>
      </c>
      <c r="M389" s="1206"/>
      <c r="N389" s="824">
        <v>58</v>
      </c>
      <c r="O389" s="1320">
        <v>83.9</v>
      </c>
      <c r="P389" s="1320">
        <v>82.2</v>
      </c>
      <c r="Q389" s="1320">
        <v>81.3</v>
      </c>
      <c r="R389" s="1320">
        <v>80.7</v>
      </c>
      <c r="S389" s="1206"/>
      <c r="T389" s="824">
        <v>58</v>
      </c>
      <c r="U389" s="1320">
        <v>81.900000000000006</v>
      </c>
      <c r="V389" s="1320">
        <v>80.3</v>
      </c>
      <c r="W389" s="1320">
        <v>79.400000000000006</v>
      </c>
      <c r="X389" s="1320">
        <v>78.900000000000006</v>
      </c>
      <c r="Y389" s="1206"/>
      <c r="Z389" s="824">
        <v>58</v>
      </c>
      <c r="AA389" s="1320">
        <v>79.400000000000006</v>
      </c>
      <c r="AB389" s="1320">
        <v>77.900000000000006</v>
      </c>
      <c r="AC389" s="1320">
        <v>77.099999999999994</v>
      </c>
      <c r="AD389" s="1320">
        <v>76.599999999999994</v>
      </c>
      <c r="AE389" s="1206"/>
      <c r="AF389" s="1316">
        <v>58</v>
      </c>
      <c r="AG389" s="1322">
        <v>65.8</v>
      </c>
      <c r="AH389" s="1322">
        <v>64.3</v>
      </c>
      <c r="AI389" s="1322">
        <v>63.6</v>
      </c>
      <c r="AJ389" s="1322">
        <v>63.1</v>
      </c>
      <c r="AL389" s="824">
        <v>58</v>
      </c>
      <c r="AM389" s="1320">
        <v>68.2</v>
      </c>
      <c r="AN389" s="1320">
        <v>67</v>
      </c>
      <c r="AO389" s="1320">
        <v>66.400000000000006</v>
      </c>
      <c r="AP389" s="1320">
        <v>66</v>
      </c>
      <c r="AQ389" s="1206"/>
      <c r="AR389" s="824">
        <v>58</v>
      </c>
      <c r="AS389" s="1320">
        <v>79.900000000000006</v>
      </c>
      <c r="AT389" s="1320">
        <v>78.2</v>
      </c>
      <c r="AU389" s="1320">
        <v>77.400000000000006</v>
      </c>
      <c r="AV389" s="1320">
        <v>76.900000000000006</v>
      </c>
      <c r="AW389" s="1318"/>
      <c r="AX389" s="1319">
        <v>58</v>
      </c>
      <c r="AY389" s="1320">
        <v>74.5</v>
      </c>
      <c r="AZ389" s="1320">
        <v>73.099999999999994</v>
      </c>
      <c r="BA389" s="1320">
        <v>72.3</v>
      </c>
      <c r="BB389" s="1320">
        <v>71.900000000000006</v>
      </c>
      <c r="BD389" s="1310">
        <v>58</v>
      </c>
      <c r="BE389" s="1320">
        <v>65.099999999999994</v>
      </c>
      <c r="BF389" s="1320">
        <v>63.8</v>
      </c>
      <c r="BG389" s="1320">
        <v>63.2</v>
      </c>
      <c r="BH389" s="1320">
        <v>62.8</v>
      </c>
    </row>
    <row r="390" spans="2:60" ht="15" customHeight="1">
      <c r="B390" s="824">
        <v>59</v>
      </c>
      <c r="C390" s="1320">
        <v>87.7</v>
      </c>
      <c r="D390" s="1320">
        <v>85.6</v>
      </c>
      <c r="E390" s="1320">
        <v>84.7</v>
      </c>
      <c r="F390" s="1320">
        <v>84</v>
      </c>
      <c r="G390" s="1206"/>
      <c r="H390" s="824">
        <v>59</v>
      </c>
      <c r="I390" s="1320">
        <v>86.9</v>
      </c>
      <c r="J390" s="1320">
        <v>84.9</v>
      </c>
      <c r="K390" s="1320">
        <v>84</v>
      </c>
      <c r="L390" s="1321">
        <v>83.4</v>
      </c>
      <c r="M390" s="1206"/>
      <c r="N390" s="824">
        <v>59</v>
      </c>
      <c r="O390" s="1320">
        <v>85.2</v>
      </c>
      <c r="P390" s="1320">
        <v>83.4</v>
      </c>
      <c r="Q390" s="1320">
        <v>82.5</v>
      </c>
      <c r="R390" s="1320">
        <v>81.900000000000006</v>
      </c>
      <c r="S390" s="1206"/>
      <c r="T390" s="824">
        <v>59</v>
      </c>
      <c r="U390" s="1320">
        <v>82.9</v>
      </c>
      <c r="V390" s="1320">
        <v>81.2</v>
      </c>
      <c r="W390" s="1320">
        <v>80.400000000000006</v>
      </c>
      <c r="X390" s="1320">
        <v>79.900000000000006</v>
      </c>
      <c r="Y390" s="1206"/>
      <c r="Z390" s="824">
        <v>59</v>
      </c>
      <c r="AA390" s="1320">
        <v>80.099999999999994</v>
      </c>
      <c r="AB390" s="1320">
        <v>78.5</v>
      </c>
      <c r="AC390" s="1320">
        <v>77.8</v>
      </c>
      <c r="AD390" s="1320">
        <v>77.3</v>
      </c>
      <c r="AE390" s="1206"/>
      <c r="AF390" s="1316">
        <v>59</v>
      </c>
      <c r="AG390" s="1322">
        <v>65.900000000000006</v>
      </c>
      <c r="AH390" s="1322">
        <v>64.400000000000006</v>
      </c>
      <c r="AI390" s="1322">
        <v>63.7</v>
      </c>
      <c r="AJ390" s="1322">
        <v>63.2</v>
      </c>
      <c r="AL390" s="824">
        <v>59</v>
      </c>
      <c r="AM390" s="1320">
        <v>69.8</v>
      </c>
      <c r="AN390" s="1320">
        <v>68.5</v>
      </c>
      <c r="AO390" s="1320">
        <v>67.8</v>
      </c>
      <c r="AP390" s="1320">
        <v>67.400000000000006</v>
      </c>
      <c r="AQ390" s="1206"/>
      <c r="AR390" s="824">
        <v>59</v>
      </c>
      <c r="AS390" s="1320">
        <v>81</v>
      </c>
      <c r="AT390" s="1320">
        <v>79.3</v>
      </c>
      <c r="AU390" s="1320">
        <v>78.400000000000006</v>
      </c>
      <c r="AV390" s="1320">
        <v>77.900000000000006</v>
      </c>
      <c r="AW390" s="1318"/>
      <c r="AX390" s="1319">
        <v>59</v>
      </c>
      <c r="AY390" s="1320">
        <v>75.3</v>
      </c>
      <c r="AZ390" s="1320">
        <v>73.8</v>
      </c>
      <c r="BA390" s="1320">
        <v>73.099999999999994</v>
      </c>
      <c r="BB390" s="1320">
        <v>72.599999999999994</v>
      </c>
      <c r="BD390" s="1310">
        <v>59</v>
      </c>
      <c r="BE390" s="1320">
        <v>65.2</v>
      </c>
      <c r="BF390" s="1320">
        <v>63.9</v>
      </c>
      <c r="BG390" s="1320">
        <v>63.2</v>
      </c>
      <c r="BH390" s="1320">
        <v>62.8</v>
      </c>
    </row>
    <row r="391" spans="2:60" ht="15" customHeight="1">
      <c r="B391" s="824">
        <v>60</v>
      </c>
      <c r="C391" s="1320">
        <v>89.3</v>
      </c>
      <c r="D391" s="1320">
        <v>87.2</v>
      </c>
      <c r="E391" s="1320">
        <v>86.2</v>
      </c>
      <c r="F391" s="1320">
        <v>85.5</v>
      </c>
      <c r="G391" s="1206"/>
      <c r="H391" s="824">
        <v>60</v>
      </c>
      <c r="I391" s="1320">
        <v>88.4</v>
      </c>
      <c r="J391" s="1320">
        <v>86.4</v>
      </c>
      <c r="K391" s="1320">
        <v>85.4</v>
      </c>
      <c r="L391" s="1321">
        <v>84.8</v>
      </c>
      <c r="M391" s="1206"/>
      <c r="N391" s="824">
        <v>60</v>
      </c>
      <c r="O391" s="1320">
        <v>86.5</v>
      </c>
      <c r="P391" s="1320">
        <v>84.7</v>
      </c>
      <c r="Q391" s="1320">
        <v>83.8</v>
      </c>
      <c r="R391" s="1320">
        <v>83.2</v>
      </c>
      <c r="S391" s="1206"/>
      <c r="T391" s="824">
        <v>60</v>
      </c>
      <c r="U391" s="1320">
        <v>83.9</v>
      </c>
      <c r="V391" s="1320">
        <v>82.2</v>
      </c>
      <c r="W391" s="1320">
        <v>81.400000000000006</v>
      </c>
      <c r="X391" s="1320">
        <v>80.8</v>
      </c>
      <c r="Y391" s="1206"/>
      <c r="Z391" s="824">
        <v>60</v>
      </c>
      <c r="AA391" s="1320">
        <v>80.7</v>
      </c>
      <c r="AB391" s="1320">
        <v>79.2</v>
      </c>
      <c r="AC391" s="1320">
        <v>78.400000000000006</v>
      </c>
      <c r="AD391" s="1320">
        <v>77.900000000000006</v>
      </c>
      <c r="AE391" s="1206"/>
      <c r="AF391" s="1316">
        <v>60</v>
      </c>
      <c r="AG391" s="1322">
        <v>66</v>
      </c>
      <c r="AH391" s="1322">
        <v>64.5</v>
      </c>
      <c r="AI391" s="1322">
        <v>63.7</v>
      </c>
      <c r="AJ391" s="1322">
        <v>63.2</v>
      </c>
      <c r="AL391" s="824">
        <v>60</v>
      </c>
      <c r="AM391" s="1320">
        <v>71.400000000000006</v>
      </c>
      <c r="AN391" s="1320">
        <v>70</v>
      </c>
      <c r="AO391" s="1320">
        <v>69.400000000000006</v>
      </c>
      <c r="AP391" s="1320">
        <v>69</v>
      </c>
      <c r="AQ391" s="1206"/>
      <c r="AR391" s="824">
        <v>60</v>
      </c>
      <c r="AS391" s="1320">
        <v>82.2</v>
      </c>
      <c r="AT391" s="1320">
        <v>80.400000000000006</v>
      </c>
      <c r="AU391" s="1320">
        <v>79.599999999999994</v>
      </c>
      <c r="AV391" s="1320">
        <v>79</v>
      </c>
      <c r="AW391" s="1318"/>
      <c r="AX391" s="1319">
        <v>60</v>
      </c>
      <c r="AY391" s="1320">
        <v>76.2</v>
      </c>
      <c r="AZ391" s="1320">
        <v>74.599999999999994</v>
      </c>
      <c r="BA391" s="1320">
        <v>73.900000000000006</v>
      </c>
      <c r="BB391" s="1320">
        <v>73.400000000000006</v>
      </c>
      <c r="BD391" s="1310">
        <v>60</v>
      </c>
      <c r="BE391" s="1320">
        <v>65.3</v>
      </c>
      <c r="BF391" s="1320">
        <v>63.9</v>
      </c>
      <c r="BG391" s="1320">
        <v>63.3</v>
      </c>
      <c r="BH391" s="1320">
        <v>62.9</v>
      </c>
    </row>
    <row r="392" spans="2:60" ht="15" customHeight="1">
      <c r="B392" s="824">
        <v>61</v>
      </c>
      <c r="C392" s="1320">
        <v>91</v>
      </c>
      <c r="D392" s="1320">
        <v>88.8</v>
      </c>
      <c r="E392" s="1320">
        <v>87.8</v>
      </c>
      <c r="F392" s="1320">
        <v>87.1</v>
      </c>
      <c r="G392" s="1206"/>
      <c r="H392" s="824">
        <v>61</v>
      </c>
      <c r="I392" s="1320">
        <v>90</v>
      </c>
      <c r="J392" s="1320">
        <v>88</v>
      </c>
      <c r="K392" s="1320">
        <v>87</v>
      </c>
      <c r="L392" s="1321">
        <v>86.3</v>
      </c>
      <c r="M392" s="1206"/>
      <c r="N392" s="824">
        <v>61</v>
      </c>
      <c r="O392" s="1320">
        <v>87.9</v>
      </c>
      <c r="P392" s="1320">
        <v>86</v>
      </c>
      <c r="Q392" s="1320">
        <v>85.1</v>
      </c>
      <c r="R392" s="1320">
        <v>84.5</v>
      </c>
      <c r="S392" s="1206"/>
      <c r="T392" s="824">
        <v>61</v>
      </c>
      <c r="U392" s="1320">
        <v>85</v>
      </c>
      <c r="V392" s="1320">
        <v>83.2</v>
      </c>
      <c r="W392" s="1320">
        <v>82.4</v>
      </c>
      <c r="X392" s="1320">
        <v>81.8</v>
      </c>
      <c r="Y392" s="1206"/>
      <c r="Z392" s="824">
        <v>61</v>
      </c>
      <c r="AA392" s="1320">
        <v>81.400000000000006</v>
      </c>
      <c r="AB392" s="1320">
        <v>79.8</v>
      </c>
      <c r="AC392" s="1320">
        <v>79.099999999999994</v>
      </c>
      <c r="AD392" s="1320">
        <v>78.599999999999994</v>
      </c>
      <c r="AE392" s="1206"/>
      <c r="AF392" s="1316">
        <v>61</v>
      </c>
      <c r="AG392" s="1322">
        <v>66.099999999999994</v>
      </c>
      <c r="AH392" s="1322">
        <v>64.5</v>
      </c>
      <c r="AI392" s="1322">
        <v>63.8</v>
      </c>
      <c r="AJ392" s="1322">
        <v>63.3</v>
      </c>
      <c r="AL392" s="824">
        <v>61</v>
      </c>
      <c r="AM392" s="1320">
        <v>73.2</v>
      </c>
      <c r="AN392" s="1320">
        <v>71.7</v>
      </c>
      <c r="AO392" s="1320">
        <v>71</v>
      </c>
      <c r="AP392" s="1320">
        <v>70.599999999999994</v>
      </c>
      <c r="AQ392" s="1206"/>
      <c r="AR392" s="824">
        <v>61</v>
      </c>
      <c r="AS392" s="1320">
        <v>83.5</v>
      </c>
      <c r="AT392" s="1320">
        <v>81.599999999999994</v>
      </c>
      <c r="AU392" s="1320">
        <v>80.7</v>
      </c>
      <c r="AV392" s="1320">
        <v>80.2</v>
      </c>
      <c r="AW392" s="1318"/>
      <c r="AX392" s="1319">
        <v>61</v>
      </c>
      <c r="AY392" s="1320">
        <v>77.099999999999994</v>
      </c>
      <c r="AZ392" s="1320">
        <v>75.5</v>
      </c>
      <c r="BA392" s="1320">
        <v>74.8</v>
      </c>
      <c r="BB392" s="1320">
        <v>74.3</v>
      </c>
      <c r="BD392" s="1310">
        <v>61</v>
      </c>
      <c r="BE392" s="1320">
        <v>65.3</v>
      </c>
      <c r="BF392" s="1320">
        <v>64</v>
      </c>
      <c r="BG392" s="1320">
        <v>63.3</v>
      </c>
      <c r="BH392" s="1320">
        <v>62.9</v>
      </c>
    </row>
    <row r="393" spans="2:60" ht="15" customHeight="1">
      <c r="B393" s="824">
        <v>62</v>
      </c>
      <c r="C393" s="1320">
        <v>92.9</v>
      </c>
      <c r="D393" s="1320">
        <v>90.6</v>
      </c>
      <c r="E393" s="1320">
        <v>89.5</v>
      </c>
      <c r="F393" s="1320">
        <v>88.8</v>
      </c>
      <c r="G393" s="1206"/>
      <c r="H393" s="824">
        <v>62</v>
      </c>
      <c r="I393" s="1320">
        <v>91.8</v>
      </c>
      <c r="J393" s="1320">
        <v>89.7</v>
      </c>
      <c r="K393" s="1320">
        <v>88.6</v>
      </c>
      <c r="L393" s="1321">
        <v>88</v>
      </c>
      <c r="M393" s="1206"/>
      <c r="N393" s="824">
        <v>62</v>
      </c>
      <c r="O393" s="1320">
        <v>89.4</v>
      </c>
      <c r="P393" s="1320">
        <v>87.5</v>
      </c>
      <c r="Q393" s="1320">
        <v>86.5</v>
      </c>
      <c r="R393" s="1320">
        <v>85.9</v>
      </c>
      <c r="S393" s="1206"/>
      <c r="T393" s="824">
        <v>62</v>
      </c>
      <c r="U393" s="1320">
        <v>86</v>
      </c>
      <c r="V393" s="1320">
        <v>84.3</v>
      </c>
      <c r="W393" s="1320">
        <v>83.4</v>
      </c>
      <c r="X393" s="1320">
        <v>82.8</v>
      </c>
      <c r="Y393" s="1206"/>
      <c r="Z393" s="824">
        <v>62</v>
      </c>
      <c r="AA393" s="1320">
        <v>82</v>
      </c>
      <c r="AB393" s="1320">
        <v>80.5</v>
      </c>
      <c r="AC393" s="1320">
        <v>79.7</v>
      </c>
      <c r="AD393" s="1320">
        <v>79.2</v>
      </c>
      <c r="AE393" s="1206"/>
      <c r="AF393" s="1316">
        <v>62</v>
      </c>
      <c r="AG393" s="1322">
        <v>66.2</v>
      </c>
      <c r="AH393" s="1322">
        <v>64.599999999999994</v>
      </c>
      <c r="AI393" s="1322">
        <v>63.8</v>
      </c>
      <c r="AJ393" s="1322">
        <v>63.3</v>
      </c>
      <c r="AL393" s="824">
        <v>62</v>
      </c>
      <c r="AM393" s="1320">
        <v>75</v>
      </c>
      <c r="AN393" s="1320">
        <v>73.5</v>
      </c>
      <c r="AO393" s="1320">
        <v>72.8</v>
      </c>
      <c r="AP393" s="1320">
        <v>72.3</v>
      </c>
      <c r="AQ393" s="1206"/>
      <c r="AR393" s="824">
        <v>62</v>
      </c>
      <c r="AS393" s="1320">
        <v>84.8</v>
      </c>
      <c r="AT393" s="1320">
        <v>82.9</v>
      </c>
      <c r="AU393" s="1320">
        <v>82</v>
      </c>
      <c r="AV393" s="1320">
        <v>81.400000000000006</v>
      </c>
      <c r="AW393" s="1318"/>
      <c r="AX393" s="1319">
        <v>62</v>
      </c>
      <c r="AY393" s="1320">
        <v>78.099999999999994</v>
      </c>
      <c r="AZ393" s="1320">
        <v>76.5</v>
      </c>
      <c r="BA393" s="1320">
        <v>75.7</v>
      </c>
      <c r="BB393" s="1320">
        <v>75.2</v>
      </c>
      <c r="BD393" s="1310">
        <v>62</v>
      </c>
      <c r="BE393" s="1320">
        <v>65.400000000000006</v>
      </c>
      <c r="BF393" s="1320">
        <v>64.099999999999994</v>
      </c>
      <c r="BG393" s="1320">
        <v>63.4</v>
      </c>
      <c r="BH393" s="1320">
        <v>63</v>
      </c>
    </row>
    <row r="394" spans="2:60" ht="15" customHeight="1">
      <c r="B394" s="824">
        <v>63</v>
      </c>
      <c r="C394" s="1320">
        <v>95</v>
      </c>
      <c r="D394" s="1320">
        <v>92.6</v>
      </c>
      <c r="E394" s="1320">
        <v>91.5</v>
      </c>
      <c r="F394" s="1320">
        <v>90.7</v>
      </c>
      <c r="G394" s="1206"/>
      <c r="H394" s="824">
        <v>63</v>
      </c>
      <c r="I394" s="1320">
        <v>93.8</v>
      </c>
      <c r="J394" s="1320">
        <v>91.6</v>
      </c>
      <c r="K394" s="1320">
        <v>90.5</v>
      </c>
      <c r="L394" s="1321">
        <v>89.8</v>
      </c>
      <c r="M394" s="1206"/>
      <c r="N394" s="824">
        <v>63</v>
      </c>
      <c r="O394" s="1320">
        <v>91</v>
      </c>
      <c r="P394" s="1320">
        <v>89</v>
      </c>
      <c r="Q394" s="1320">
        <v>88</v>
      </c>
      <c r="R394" s="1320">
        <v>87.4</v>
      </c>
      <c r="S394" s="1206"/>
      <c r="T394" s="824">
        <v>63</v>
      </c>
      <c r="U394" s="1320">
        <v>87.1</v>
      </c>
      <c r="V394" s="1320">
        <v>85.3</v>
      </c>
      <c r="W394" s="1320">
        <v>84.5</v>
      </c>
      <c r="X394" s="1320">
        <v>83.9</v>
      </c>
      <c r="Y394" s="1206"/>
      <c r="Z394" s="824">
        <v>63</v>
      </c>
      <c r="AA394" s="1320">
        <v>82.6</v>
      </c>
      <c r="AB394" s="1320">
        <v>81.099999999999994</v>
      </c>
      <c r="AC394" s="1320">
        <v>80.3</v>
      </c>
      <c r="AD394" s="1320">
        <v>79.8</v>
      </c>
      <c r="AE394" s="1206"/>
      <c r="AF394" s="1316">
        <v>63</v>
      </c>
      <c r="AG394" s="1322">
        <v>66.400000000000006</v>
      </c>
      <c r="AH394" s="1322">
        <v>64.7</v>
      </c>
      <c r="AI394" s="1322">
        <v>63.9</v>
      </c>
      <c r="AJ394" s="1322">
        <v>63.4</v>
      </c>
      <c r="AL394" s="824">
        <v>63</v>
      </c>
      <c r="AM394" s="1320">
        <v>77.099999999999994</v>
      </c>
      <c r="AN394" s="1320">
        <v>75.5</v>
      </c>
      <c r="AO394" s="1320">
        <v>74.8</v>
      </c>
      <c r="AP394" s="1320">
        <v>74.3</v>
      </c>
      <c r="AQ394" s="1206"/>
      <c r="AR394" s="824">
        <v>63</v>
      </c>
      <c r="AS394" s="1320">
        <v>86.4</v>
      </c>
      <c r="AT394" s="1320">
        <v>84.4</v>
      </c>
      <c r="AU394" s="1320">
        <v>83.4</v>
      </c>
      <c r="AV394" s="1320">
        <v>82.8</v>
      </c>
      <c r="AW394" s="1318"/>
      <c r="AX394" s="1319">
        <v>63</v>
      </c>
      <c r="AY394" s="1320">
        <v>79.2</v>
      </c>
      <c r="AZ394" s="1320">
        <v>77.5</v>
      </c>
      <c r="BA394" s="1320">
        <v>76.7</v>
      </c>
      <c r="BB394" s="1320">
        <v>76.2</v>
      </c>
      <c r="BD394" s="1310">
        <v>63</v>
      </c>
      <c r="BE394" s="1320">
        <v>65.5</v>
      </c>
      <c r="BF394" s="1320">
        <v>64.099999999999994</v>
      </c>
      <c r="BG394" s="1320">
        <v>63.5</v>
      </c>
      <c r="BH394" s="1320">
        <v>63</v>
      </c>
    </row>
    <row r="395" spans="2:60" ht="15" customHeight="1">
      <c r="B395" s="824">
        <v>64</v>
      </c>
      <c r="C395" s="1320">
        <v>97.3</v>
      </c>
      <c r="D395" s="1320">
        <v>94.8</v>
      </c>
      <c r="E395" s="1320">
        <v>93.6</v>
      </c>
      <c r="F395" s="1320">
        <v>92.8</v>
      </c>
      <c r="G395" s="1206"/>
      <c r="H395" s="824">
        <v>64</v>
      </c>
      <c r="I395" s="1320">
        <v>95.9</v>
      </c>
      <c r="J395" s="1320">
        <v>93.6</v>
      </c>
      <c r="K395" s="1320">
        <v>92.5</v>
      </c>
      <c r="L395" s="1321">
        <v>91.8</v>
      </c>
      <c r="M395" s="1206"/>
      <c r="N395" s="824">
        <v>64</v>
      </c>
      <c r="O395" s="1320">
        <v>92.7</v>
      </c>
      <c r="P395" s="1320">
        <v>90.6</v>
      </c>
      <c r="Q395" s="1320">
        <v>89.6</v>
      </c>
      <c r="R395" s="1320">
        <v>89</v>
      </c>
      <c r="S395" s="1206"/>
      <c r="T395" s="824">
        <v>64</v>
      </c>
      <c r="U395" s="1320">
        <v>88.2</v>
      </c>
      <c r="V395" s="1320">
        <v>86.4</v>
      </c>
      <c r="W395" s="1320">
        <v>85.5</v>
      </c>
      <c r="X395" s="1320">
        <v>85</v>
      </c>
      <c r="Y395" s="1206"/>
      <c r="Z395" s="824">
        <v>64</v>
      </c>
      <c r="AA395" s="1320">
        <v>83.2</v>
      </c>
      <c r="AB395" s="1320">
        <v>81.7</v>
      </c>
      <c r="AC395" s="1320">
        <v>80.900000000000006</v>
      </c>
      <c r="AD395" s="1320">
        <v>80.400000000000006</v>
      </c>
      <c r="AE395" s="1206"/>
      <c r="AF395" s="1316">
        <v>64</v>
      </c>
      <c r="AG395" s="1322">
        <v>66.5</v>
      </c>
      <c r="AH395" s="1322">
        <v>64.8</v>
      </c>
      <c r="AI395" s="1322">
        <v>63.9</v>
      </c>
      <c r="AJ395" s="1322">
        <v>63.4</v>
      </c>
      <c r="AL395" s="824">
        <v>64</v>
      </c>
      <c r="AM395" s="1320">
        <v>79.400000000000006</v>
      </c>
      <c r="AN395" s="1320">
        <v>77.7</v>
      </c>
      <c r="AO395" s="1320">
        <v>76.900000000000006</v>
      </c>
      <c r="AP395" s="1320">
        <v>76.400000000000006</v>
      </c>
      <c r="AQ395" s="1206"/>
      <c r="AR395" s="824">
        <v>64</v>
      </c>
      <c r="AS395" s="1320">
        <v>88</v>
      </c>
      <c r="AT395" s="1320">
        <v>85.9</v>
      </c>
      <c r="AU395" s="1320">
        <v>85</v>
      </c>
      <c r="AV395" s="1320">
        <v>84.3</v>
      </c>
      <c r="AW395" s="1318"/>
      <c r="AX395" s="1319">
        <v>64</v>
      </c>
      <c r="AY395" s="1320">
        <v>80.3</v>
      </c>
      <c r="AZ395" s="1320">
        <v>78.599999999999994</v>
      </c>
      <c r="BA395" s="1320">
        <v>77.8</v>
      </c>
      <c r="BB395" s="1320">
        <v>77.2</v>
      </c>
      <c r="BD395" s="1310">
        <v>64</v>
      </c>
      <c r="BE395" s="1320">
        <v>65.599999999999994</v>
      </c>
      <c r="BF395" s="1320">
        <v>64.2</v>
      </c>
      <c r="BG395" s="1320">
        <v>63.5</v>
      </c>
      <c r="BH395" s="1320">
        <v>63.1</v>
      </c>
    </row>
    <row r="396" spans="2:60" ht="15" customHeight="1">
      <c r="B396" s="824">
        <v>65</v>
      </c>
      <c r="C396" s="1320">
        <v>99.9</v>
      </c>
      <c r="D396" s="1320">
        <v>97.2</v>
      </c>
      <c r="E396" s="1320">
        <v>96</v>
      </c>
      <c r="F396" s="1320">
        <v>95.1</v>
      </c>
      <c r="G396" s="1206"/>
      <c r="H396" s="824">
        <v>65</v>
      </c>
      <c r="I396" s="1320">
        <v>98.2</v>
      </c>
      <c r="J396" s="1320">
        <v>95.8</v>
      </c>
      <c r="K396" s="1320">
        <v>94.7</v>
      </c>
      <c r="L396" s="1321">
        <v>93.9</v>
      </c>
      <c r="M396" s="1206"/>
      <c r="N396" s="824">
        <v>65</v>
      </c>
      <c r="O396" s="1320">
        <v>94.5</v>
      </c>
      <c r="P396" s="1320">
        <v>92.3</v>
      </c>
      <c r="Q396" s="1320">
        <v>91.3</v>
      </c>
      <c r="R396" s="1320">
        <v>90.6</v>
      </c>
      <c r="S396" s="1206"/>
      <c r="T396" s="824">
        <v>65</v>
      </c>
      <c r="U396" s="1320">
        <v>89.3</v>
      </c>
      <c r="V396" s="1320">
        <v>87.5</v>
      </c>
      <c r="W396" s="1320">
        <v>86.6</v>
      </c>
      <c r="X396" s="1320">
        <v>86</v>
      </c>
      <c r="Y396" s="1206"/>
      <c r="Z396" s="824">
        <v>65</v>
      </c>
      <c r="AA396" s="1320">
        <v>83.8</v>
      </c>
      <c r="AB396" s="1320">
        <v>82.2</v>
      </c>
      <c r="AC396" s="1320">
        <v>81.5</v>
      </c>
      <c r="AD396" s="1320">
        <v>80.900000000000006</v>
      </c>
      <c r="AE396" s="1206"/>
      <c r="AF396" s="1316">
        <v>65</v>
      </c>
      <c r="AG396" s="1322">
        <v>66.599999999999994</v>
      </c>
      <c r="AH396" s="1322">
        <v>64.8</v>
      </c>
      <c r="AI396" s="1322">
        <v>64</v>
      </c>
      <c r="AJ396" s="1322">
        <v>63.5</v>
      </c>
      <c r="AL396" s="824">
        <v>65</v>
      </c>
      <c r="AM396" s="1320">
        <v>81.900000000000006</v>
      </c>
      <c r="AN396" s="1320">
        <v>80.2</v>
      </c>
      <c r="AO396" s="1320">
        <v>79.3</v>
      </c>
      <c r="AP396" s="1320">
        <v>78.7</v>
      </c>
      <c r="AQ396" s="1206"/>
      <c r="AR396" s="824">
        <v>65</v>
      </c>
      <c r="AS396" s="1320">
        <v>89.8</v>
      </c>
      <c r="AT396" s="1320">
        <v>87.7</v>
      </c>
      <c r="AU396" s="1320">
        <v>86.6</v>
      </c>
      <c r="AV396" s="1320">
        <v>86</v>
      </c>
      <c r="AW396" s="1318"/>
      <c r="AX396" s="1319">
        <v>65</v>
      </c>
      <c r="AY396" s="1320">
        <v>81.599999999999994</v>
      </c>
      <c r="AZ396" s="1320">
        <v>79.8</v>
      </c>
      <c r="BA396" s="1320">
        <v>78.900000000000006</v>
      </c>
      <c r="BB396" s="1320">
        <v>78.400000000000006</v>
      </c>
      <c r="BD396" s="1310">
        <v>65</v>
      </c>
      <c r="BE396" s="1320">
        <v>65.7</v>
      </c>
      <c r="BF396" s="1320">
        <v>64.3</v>
      </c>
      <c r="BG396" s="1320">
        <v>63.6</v>
      </c>
      <c r="BH396" s="1320">
        <v>63.1</v>
      </c>
    </row>
    <row r="397" spans="2:60" ht="15" customHeight="1">
      <c r="B397" s="824">
        <v>66</v>
      </c>
      <c r="C397" s="1320">
        <v>102.6</v>
      </c>
      <c r="D397" s="1320">
        <v>99.9</v>
      </c>
      <c r="E397" s="1320">
        <v>98.5</v>
      </c>
      <c r="F397" s="1320">
        <v>97.7</v>
      </c>
      <c r="G397" s="1206"/>
      <c r="H397" s="824">
        <v>66</v>
      </c>
      <c r="I397" s="1320">
        <v>100.7</v>
      </c>
      <c r="J397" s="1320">
        <v>98.2</v>
      </c>
      <c r="K397" s="1320">
        <v>97</v>
      </c>
      <c r="L397" s="1321">
        <v>96.2</v>
      </c>
      <c r="M397" s="1206"/>
      <c r="N397" s="824">
        <v>66</v>
      </c>
      <c r="O397" s="1320">
        <v>96.3</v>
      </c>
      <c r="P397" s="1320">
        <v>94.1</v>
      </c>
      <c r="Q397" s="1320">
        <v>93.1</v>
      </c>
      <c r="R397" s="1320">
        <v>92.4</v>
      </c>
      <c r="S397" s="1206"/>
      <c r="T397" s="824">
        <v>66</v>
      </c>
      <c r="U397" s="1320">
        <v>90.4</v>
      </c>
      <c r="V397" s="1320">
        <v>88.6</v>
      </c>
      <c r="W397" s="1320">
        <v>87.7</v>
      </c>
      <c r="X397" s="1320">
        <v>87.1</v>
      </c>
      <c r="Y397" s="1206"/>
      <c r="Z397" s="824">
        <v>66</v>
      </c>
      <c r="AA397" s="1320">
        <v>84.3</v>
      </c>
      <c r="AB397" s="1320">
        <v>82.8</v>
      </c>
      <c r="AC397" s="1320">
        <v>82</v>
      </c>
      <c r="AD397" s="1320">
        <v>81.5</v>
      </c>
      <c r="AE397" s="1206"/>
      <c r="AF397" s="1316">
        <v>66</v>
      </c>
      <c r="AG397" s="1322">
        <v>66.7</v>
      </c>
      <c r="AH397" s="1322">
        <v>64.900000000000006</v>
      </c>
      <c r="AI397" s="1322">
        <v>64.099999999999994</v>
      </c>
      <c r="AJ397" s="1322">
        <v>63.5</v>
      </c>
      <c r="AL397" s="824">
        <v>66</v>
      </c>
      <c r="AM397" s="1320">
        <v>84.7</v>
      </c>
      <c r="AN397" s="1320">
        <v>82.8</v>
      </c>
      <c r="AO397" s="1320">
        <v>81.900000000000006</v>
      </c>
      <c r="AP397" s="1320">
        <v>81.3</v>
      </c>
      <c r="AQ397" s="1206"/>
      <c r="AR397" s="824">
        <v>66</v>
      </c>
      <c r="AS397" s="1320">
        <v>91.7</v>
      </c>
      <c r="AT397" s="1320">
        <v>89.5</v>
      </c>
      <c r="AU397" s="1320">
        <v>88.4</v>
      </c>
      <c r="AV397" s="1320">
        <v>87.7</v>
      </c>
      <c r="AW397" s="1318"/>
      <c r="AX397" s="1319">
        <v>66</v>
      </c>
      <c r="AY397" s="1320">
        <v>82.9</v>
      </c>
      <c r="AZ397" s="1320">
        <v>81.099999999999994</v>
      </c>
      <c r="BA397" s="1320">
        <v>80.2</v>
      </c>
      <c r="BB397" s="1320">
        <v>79.599999999999994</v>
      </c>
      <c r="BD397" s="1310">
        <v>66</v>
      </c>
      <c r="BE397" s="1320">
        <v>65.8</v>
      </c>
      <c r="BF397" s="1320">
        <v>64.3</v>
      </c>
      <c r="BG397" s="1320">
        <v>63.6</v>
      </c>
      <c r="BH397" s="1320">
        <v>63.2</v>
      </c>
    </row>
    <row r="398" spans="2:60" ht="15" customHeight="1">
      <c r="B398" s="824">
        <v>67</v>
      </c>
      <c r="C398" s="1320">
        <v>105.7</v>
      </c>
      <c r="D398" s="1320">
        <v>102.8</v>
      </c>
      <c r="E398" s="1320">
        <v>101.3</v>
      </c>
      <c r="F398" s="1320">
        <v>100.4</v>
      </c>
      <c r="G398" s="1206"/>
      <c r="H398" s="824">
        <v>67</v>
      </c>
      <c r="I398" s="1320">
        <v>103.4</v>
      </c>
      <c r="J398" s="1320">
        <v>100.8</v>
      </c>
      <c r="K398" s="1320">
        <v>99.5</v>
      </c>
      <c r="L398" s="1321">
        <v>98.7</v>
      </c>
      <c r="M398" s="1206"/>
      <c r="N398" s="824">
        <v>67</v>
      </c>
      <c r="O398" s="1320">
        <v>98.2</v>
      </c>
      <c r="P398" s="1320">
        <v>96</v>
      </c>
      <c r="Q398" s="1320">
        <v>94.9</v>
      </c>
      <c r="R398" s="1320">
        <v>94.2</v>
      </c>
      <c r="S398" s="1206"/>
      <c r="T398" s="824">
        <v>67</v>
      </c>
      <c r="U398" s="1320">
        <v>91.5</v>
      </c>
      <c r="V398" s="1320">
        <v>89.7</v>
      </c>
      <c r="W398" s="1320">
        <v>88.8</v>
      </c>
      <c r="X398" s="1320">
        <v>88.1</v>
      </c>
      <c r="Y398" s="1206"/>
      <c r="Z398" s="824">
        <v>67</v>
      </c>
      <c r="AA398" s="1320">
        <v>84.8</v>
      </c>
      <c r="AB398" s="1320">
        <v>83.3</v>
      </c>
      <c r="AC398" s="1320">
        <v>82.5</v>
      </c>
      <c r="AD398" s="1320">
        <v>82</v>
      </c>
      <c r="AE398" s="1206"/>
      <c r="AF398" s="1316">
        <v>67</v>
      </c>
      <c r="AG398" s="1322">
        <v>66.900000000000006</v>
      </c>
      <c r="AH398" s="1322">
        <v>65</v>
      </c>
      <c r="AI398" s="1322">
        <v>64.099999999999994</v>
      </c>
      <c r="AJ398" s="1322">
        <v>63.5</v>
      </c>
      <c r="AL398" s="824">
        <v>67</v>
      </c>
      <c r="AM398" s="1320">
        <v>87.7</v>
      </c>
      <c r="AN398" s="1320">
        <v>85.6</v>
      </c>
      <c r="AO398" s="1320">
        <v>84.7</v>
      </c>
      <c r="AP398" s="1320">
        <v>84</v>
      </c>
      <c r="AQ398" s="1206"/>
      <c r="AR398" s="824">
        <v>67</v>
      </c>
      <c r="AS398" s="1320">
        <v>93.9</v>
      </c>
      <c r="AT398" s="1320">
        <v>91.5</v>
      </c>
      <c r="AU398" s="1320">
        <v>90.4</v>
      </c>
      <c r="AV398" s="1320">
        <v>89.7</v>
      </c>
      <c r="AW398" s="1318"/>
      <c r="AX398" s="1319">
        <v>67</v>
      </c>
      <c r="AY398" s="1320">
        <v>84.4</v>
      </c>
      <c r="AZ398" s="1320">
        <v>82.5</v>
      </c>
      <c r="BA398" s="1320">
        <v>81.599999999999994</v>
      </c>
      <c r="BB398" s="1320">
        <v>81</v>
      </c>
      <c r="BD398" s="1310">
        <v>67</v>
      </c>
      <c r="BE398" s="1320">
        <v>65.900000000000006</v>
      </c>
      <c r="BF398" s="1320">
        <v>64.400000000000006</v>
      </c>
      <c r="BG398" s="1320">
        <v>63.7</v>
      </c>
      <c r="BH398" s="1320">
        <v>63.2</v>
      </c>
    </row>
    <row r="399" spans="2:60" ht="15" customHeight="1">
      <c r="B399" s="824">
        <v>68</v>
      </c>
      <c r="C399" s="1320">
        <v>109</v>
      </c>
      <c r="D399" s="1320">
        <v>105.9</v>
      </c>
      <c r="E399" s="1320">
        <v>104.4</v>
      </c>
      <c r="F399" s="1320">
        <v>103.4</v>
      </c>
      <c r="G399" s="1206"/>
      <c r="H399" s="824">
        <v>68</v>
      </c>
      <c r="I399" s="1320">
        <v>106.3</v>
      </c>
      <c r="J399" s="1320">
        <v>103.5</v>
      </c>
      <c r="K399" s="1320">
        <v>102.2</v>
      </c>
      <c r="L399" s="1321">
        <v>101.3</v>
      </c>
      <c r="M399" s="1206"/>
      <c r="N399" s="824">
        <v>68</v>
      </c>
      <c r="O399" s="1320">
        <v>100.1</v>
      </c>
      <c r="P399" s="1320">
        <v>97.8</v>
      </c>
      <c r="Q399" s="1320">
        <v>96.7</v>
      </c>
      <c r="R399" s="1320">
        <v>96</v>
      </c>
      <c r="S399" s="1206"/>
      <c r="T399" s="824">
        <v>68</v>
      </c>
      <c r="U399" s="1320">
        <v>92.6</v>
      </c>
      <c r="V399" s="1320">
        <v>90.7</v>
      </c>
      <c r="W399" s="1320">
        <v>89.8</v>
      </c>
      <c r="X399" s="1320">
        <v>89.2</v>
      </c>
      <c r="Y399" s="1206"/>
      <c r="Z399" s="824">
        <v>68</v>
      </c>
      <c r="AA399" s="1323" t="s">
        <v>7</v>
      </c>
      <c r="AB399" s="1323">
        <v>83.7</v>
      </c>
      <c r="AC399" s="1323" t="s">
        <v>6</v>
      </c>
      <c r="AD399" s="1323" t="s">
        <v>5</v>
      </c>
      <c r="AE399" s="1206"/>
      <c r="AF399" s="1316">
        <v>68</v>
      </c>
      <c r="AG399" s="1322">
        <v>67</v>
      </c>
      <c r="AH399" s="1322">
        <v>65.099999999999994</v>
      </c>
      <c r="AI399" s="1322">
        <v>64.2</v>
      </c>
      <c r="AJ399" s="1322">
        <v>63.6</v>
      </c>
      <c r="AL399" s="824">
        <v>68</v>
      </c>
      <c r="AM399" s="1320">
        <v>90.9</v>
      </c>
      <c r="AN399" s="1320">
        <v>88.7</v>
      </c>
      <c r="AO399" s="1320">
        <v>87.7</v>
      </c>
      <c r="AP399" s="1320">
        <v>87</v>
      </c>
      <c r="AQ399" s="1206"/>
      <c r="AR399" s="824">
        <v>68</v>
      </c>
      <c r="AS399" s="1320">
        <v>96.2</v>
      </c>
      <c r="AT399" s="1320">
        <v>93.7</v>
      </c>
      <c r="AU399" s="1320">
        <v>92.5</v>
      </c>
      <c r="AV399" s="1320">
        <v>91.8</v>
      </c>
      <c r="AW399" s="1318"/>
      <c r="AX399" s="1319">
        <v>68</v>
      </c>
      <c r="AY399" s="1320">
        <v>86</v>
      </c>
      <c r="AZ399" s="1320">
        <v>84</v>
      </c>
      <c r="BA399" s="1320">
        <v>83.1</v>
      </c>
      <c r="BB399" s="1320">
        <v>82.5</v>
      </c>
      <c r="BD399" s="1310">
        <v>68</v>
      </c>
      <c r="BE399" s="1320">
        <v>66</v>
      </c>
      <c r="BF399" s="1320">
        <v>64.5</v>
      </c>
      <c r="BG399" s="1320">
        <v>63.8</v>
      </c>
      <c r="BH399" s="1320">
        <v>63.3</v>
      </c>
    </row>
    <row r="400" spans="2:60" ht="15" customHeight="1">
      <c r="B400" s="824">
        <v>69</v>
      </c>
      <c r="C400" s="1320">
        <v>112.6</v>
      </c>
      <c r="D400" s="1320">
        <v>109.3</v>
      </c>
      <c r="E400" s="1320">
        <v>107.7</v>
      </c>
      <c r="F400" s="1320">
        <v>106.6</v>
      </c>
      <c r="G400" s="1206"/>
      <c r="H400" s="824">
        <v>69</v>
      </c>
      <c r="I400" s="1320">
        <v>109.3</v>
      </c>
      <c r="J400" s="1320">
        <v>106.4</v>
      </c>
      <c r="K400" s="1320">
        <v>105</v>
      </c>
      <c r="L400" s="1321">
        <v>104.1</v>
      </c>
      <c r="M400" s="1206"/>
      <c r="N400" s="824">
        <v>69</v>
      </c>
      <c r="O400" s="1320">
        <v>102.1</v>
      </c>
      <c r="P400" s="1320">
        <v>99.8</v>
      </c>
      <c r="Q400" s="1320">
        <v>98.6</v>
      </c>
      <c r="R400" s="1320">
        <v>97.9</v>
      </c>
      <c r="S400" s="1206"/>
      <c r="T400" s="824">
        <v>69</v>
      </c>
      <c r="U400" s="1320">
        <v>93.6</v>
      </c>
      <c r="V400" s="1320">
        <v>91.7</v>
      </c>
      <c r="W400" s="1320">
        <v>90.8</v>
      </c>
      <c r="X400" s="1320">
        <v>90.2</v>
      </c>
      <c r="Y400" s="1206"/>
      <c r="Z400" s="824">
        <v>69</v>
      </c>
      <c r="AA400" s="1320">
        <v>85.7</v>
      </c>
      <c r="AB400" s="1320">
        <v>84.1</v>
      </c>
      <c r="AC400" s="1320">
        <v>83.3</v>
      </c>
      <c r="AD400" s="1320">
        <v>82.8</v>
      </c>
      <c r="AE400" s="1206"/>
      <c r="AF400" s="1316">
        <v>69</v>
      </c>
      <c r="AG400" s="1322">
        <v>67.2</v>
      </c>
      <c r="AH400" s="1322">
        <v>65.2</v>
      </c>
      <c r="AI400" s="1322">
        <v>64.2</v>
      </c>
      <c r="AJ400" s="1322">
        <v>63.6</v>
      </c>
      <c r="AL400" s="824">
        <v>69</v>
      </c>
      <c r="AM400" s="1320">
        <v>94.4</v>
      </c>
      <c r="AN400" s="1320">
        <v>92</v>
      </c>
      <c r="AO400" s="1320">
        <v>90.9</v>
      </c>
      <c r="AP400" s="1320">
        <v>90.2</v>
      </c>
      <c r="AQ400" s="1206"/>
      <c r="AR400" s="824">
        <v>69</v>
      </c>
      <c r="AS400" s="1320">
        <v>98.6</v>
      </c>
      <c r="AT400" s="1320">
        <v>96.1</v>
      </c>
      <c r="AU400" s="1320">
        <v>94.8</v>
      </c>
      <c r="AV400" s="1320">
        <v>94</v>
      </c>
      <c r="AW400" s="1318"/>
      <c r="AX400" s="1319">
        <v>69</v>
      </c>
      <c r="AY400" s="1320">
        <v>87.8</v>
      </c>
      <c r="AZ400" s="1320">
        <v>85.7</v>
      </c>
      <c r="BA400" s="1320">
        <v>84.7</v>
      </c>
      <c r="BB400" s="1320">
        <v>84.1</v>
      </c>
      <c r="BD400" s="1310">
        <v>69</v>
      </c>
      <c r="BE400" s="1320">
        <v>66.099999999999994</v>
      </c>
      <c r="BF400" s="1320">
        <v>64.599999999999994</v>
      </c>
      <c r="BG400" s="1320">
        <v>63.8</v>
      </c>
      <c r="BH400" s="1320">
        <v>63.3</v>
      </c>
    </row>
    <row r="401" spans="2:60" ht="15" customHeight="1">
      <c r="B401" s="824">
        <v>70</v>
      </c>
      <c r="C401" s="1320">
        <v>116.5</v>
      </c>
      <c r="D401" s="1320">
        <v>112.9</v>
      </c>
      <c r="E401" s="1320">
        <v>111.2</v>
      </c>
      <c r="F401" s="1320">
        <v>110.1</v>
      </c>
      <c r="G401" s="1206"/>
      <c r="H401" s="824">
        <v>70</v>
      </c>
      <c r="I401" s="1320">
        <v>112.5</v>
      </c>
      <c r="J401" s="1320">
        <v>109.5</v>
      </c>
      <c r="K401" s="1320">
        <v>108</v>
      </c>
      <c r="L401" s="1321">
        <v>107.1</v>
      </c>
      <c r="M401" s="1206"/>
      <c r="N401" s="824">
        <v>70</v>
      </c>
      <c r="O401" s="1320">
        <v>104.1</v>
      </c>
      <c r="P401" s="1320">
        <v>101.7</v>
      </c>
      <c r="Q401" s="1320">
        <v>100.5</v>
      </c>
      <c r="R401" s="1320">
        <v>99.8</v>
      </c>
      <c r="S401" s="1206"/>
      <c r="T401" s="824">
        <v>70</v>
      </c>
      <c r="U401" s="1320">
        <v>94.6</v>
      </c>
      <c r="V401" s="1320">
        <v>92.7</v>
      </c>
      <c r="W401" s="1320">
        <v>91.7</v>
      </c>
      <c r="X401" s="1320">
        <v>91.1</v>
      </c>
      <c r="Y401" s="1206"/>
      <c r="Z401" s="824">
        <v>70</v>
      </c>
      <c r="AA401" s="1320">
        <v>86.1</v>
      </c>
      <c r="AB401" s="1320">
        <v>84.5</v>
      </c>
      <c r="AC401" s="1320">
        <v>83.7</v>
      </c>
      <c r="AD401" s="1320">
        <v>83.2</v>
      </c>
      <c r="AE401" s="1206"/>
      <c r="AF401" s="1316">
        <v>70</v>
      </c>
      <c r="AG401" s="1322">
        <v>67.3</v>
      </c>
      <c r="AH401" s="1322">
        <v>65.3</v>
      </c>
      <c r="AI401" s="1322">
        <v>64.3</v>
      </c>
      <c r="AJ401" s="1322">
        <v>63.6</v>
      </c>
      <c r="AL401" s="824">
        <v>70</v>
      </c>
      <c r="AM401" s="1320">
        <v>98.2</v>
      </c>
      <c r="AN401" s="1320">
        <v>95.6</v>
      </c>
      <c r="AO401" s="1320">
        <v>94.4</v>
      </c>
      <c r="AP401" s="1320">
        <v>93.6</v>
      </c>
      <c r="AQ401" s="1206"/>
      <c r="AR401" s="824">
        <v>70</v>
      </c>
      <c r="AS401" s="1320">
        <v>101.3</v>
      </c>
      <c r="AT401" s="1320">
        <v>98.6</v>
      </c>
      <c r="AU401" s="1320">
        <v>97.3</v>
      </c>
      <c r="AV401" s="1320">
        <v>96.5</v>
      </c>
      <c r="AW401" s="1318"/>
      <c r="AX401" s="1319">
        <v>70</v>
      </c>
      <c r="AY401" s="1320">
        <v>89.7</v>
      </c>
      <c r="AZ401" s="1320">
        <v>87.5</v>
      </c>
      <c r="BA401" s="1320">
        <v>86.5</v>
      </c>
      <c r="BB401" s="1320">
        <v>85.9</v>
      </c>
      <c r="BD401" s="1310">
        <v>70</v>
      </c>
      <c r="BE401" s="1320">
        <v>66.2</v>
      </c>
      <c r="BF401" s="1320">
        <v>64.599999999999994</v>
      </c>
      <c r="BG401" s="1320">
        <v>63.9</v>
      </c>
      <c r="BH401" s="1320">
        <v>63.4</v>
      </c>
    </row>
    <row r="402" spans="2:60" ht="15" customHeight="1">
      <c r="B402" s="824">
        <v>71</v>
      </c>
      <c r="C402" s="1320">
        <v>120.7</v>
      </c>
      <c r="D402" s="1324">
        <v>116.8</v>
      </c>
      <c r="E402" s="1320">
        <v>115</v>
      </c>
      <c r="F402" s="1320">
        <v>113.8</v>
      </c>
      <c r="G402" s="1206"/>
      <c r="H402" s="824">
        <v>71</v>
      </c>
      <c r="I402" s="1320">
        <v>115.9</v>
      </c>
      <c r="J402" s="1320">
        <v>112.7</v>
      </c>
      <c r="K402" s="1320">
        <v>111.2</v>
      </c>
      <c r="L402" s="1321">
        <v>110.2</v>
      </c>
      <c r="M402" s="1206"/>
      <c r="N402" s="824">
        <v>71</v>
      </c>
      <c r="O402" s="1320">
        <v>106.1</v>
      </c>
      <c r="P402" s="1320">
        <v>103.6</v>
      </c>
      <c r="Q402" s="1320">
        <v>102.5</v>
      </c>
      <c r="R402" s="1320">
        <v>101.7</v>
      </c>
      <c r="S402" s="1206"/>
      <c r="T402" s="824">
        <v>71</v>
      </c>
      <c r="U402" s="1320">
        <v>95.5</v>
      </c>
      <c r="V402" s="1320">
        <v>93.6</v>
      </c>
      <c r="W402" s="1320">
        <v>92.6</v>
      </c>
      <c r="X402" s="1320">
        <v>92</v>
      </c>
      <c r="Y402" s="1206"/>
      <c r="Z402" s="824">
        <v>71</v>
      </c>
      <c r="AA402" s="1320">
        <v>86.4</v>
      </c>
      <c r="AB402" s="1320">
        <v>84.8</v>
      </c>
      <c r="AC402" s="1320">
        <v>84</v>
      </c>
      <c r="AD402" s="1320">
        <v>83.5</v>
      </c>
      <c r="AE402" s="1206"/>
      <c r="AF402" s="1316">
        <v>71</v>
      </c>
      <c r="AG402" s="1322">
        <v>67.5</v>
      </c>
      <c r="AH402" s="1322">
        <v>65.3</v>
      </c>
      <c r="AI402" s="1322">
        <v>64.3</v>
      </c>
      <c r="AJ402" s="1322">
        <v>63.7</v>
      </c>
      <c r="AL402" s="824">
        <v>71</v>
      </c>
      <c r="AM402" s="1320">
        <v>102.2</v>
      </c>
      <c r="AN402" s="1320">
        <v>99.5</v>
      </c>
      <c r="AO402" s="1320">
        <v>98.2</v>
      </c>
      <c r="AP402" s="1320">
        <v>97.3</v>
      </c>
      <c r="AQ402" s="1206"/>
      <c r="AR402" s="824">
        <v>71</v>
      </c>
      <c r="AS402" s="1320">
        <v>104.2</v>
      </c>
      <c r="AT402" s="1320">
        <v>101.4</v>
      </c>
      <c r="AU402" s="1320">
        <v>100</v>
      </c>
      <c r="AV402" s="1320">
        <v>99.1</v>
      </c>
      <c r="AW402" s="1318"/>
      <c r="AX402" s="1319">
        <v>71</v>
      </c>
      <c r="AY402" s="1320">
        <v>91.8</v>
      </c>
      <c r="AZ402" s="1320">
        <v>89.5</v>
      </c>
      <c r="BA402" s="1320">
        <v>88.5</v>
      </c>
      <c r="BB402" s="1320">
        <v>87.8</v>
      </c>
      <c r="BD402" s="1310">
        <v>71</v>
      </c>
      <c r="BE402" s="1320">
        <v>66.3</v>
      </c>
      <c r="BF402" s="1320">
        <v>64.7</v>
      </c>
      <c r="BG402" s="1320">
        <v>64</v>
      </c>
      <c r="BH402" s="1320">
        <v>63.4</v>
      </c>
    </row>
    <row r="403" spans="2:60" ht="15" customHeight="1">
      <c r="B403" s="824">
        <v>72</v>
      </c>
      <c r="C403" s="1320">
        <v>125.1</v>
      </c>
      <c r="D403" s="1320">
        <v>121</v>
      </c>
      <c r="E403" s="1320">
        <v>119.1</v>
      </c>
      <c r="F403" s="1320">
        <v>117.8</v>
      </c>
      <c r="G403" s="1206"/>
      <c r="H403" s="824">
        <v>72</v>
      </c>
      <c r="I403" s="1320">
        <v>119.4</v>
      </c>
      <c r="J403" s="1321">
        <v>116.1</v>
      </c>
      <c r="K403" s="1321">
        <v>114.5</v>
      </c>
      <c r="L403" s="1321">
        <v>113.4</v>
      </c>
      <c r="M403" s="1206"/>
      <c r="N403" s="824">
        <v>72</v>
      </c>
      <c r="O403" s="1320">
        <v>108.1</v>
      </c>
      <c r="P403" s="1320">
        <v>105.6</v>
      </c>
      <c r="Q403" s="1320">
        <v>104.4</v>
      </c>
      <c r="R403" s="1320">
        <v>103.6</v>
      </c>
      <c r="S403" s="1206"/>
      <c r="T403" s="824">
        <v>72</v>
      </c>
      <c r="U403" s="1320">
        <v>96.3</v>
      </c>
      <c r="V403" s="1320">
        <v>94.4</v>
      </c>
      <c r="W403" s="1320">
        <v>93.5</v>
      </c>
      <c r="X403" s="1320">
        <v>92.9</v>
      </c>
      <c r="Y403" s="1206"/>
      <c r="Z403" s="824">
        <v>72</v>
      </c>
      <c r="AA403" s="1320">
        <v>86.7</v>
      </c>
      <c r="AB403" s="1320">
        <v>85.1</v>
      </c>
      <c r="AC403" s="1320">
        <v>84.3</v>
      </c>
      <c r="AD403" s="1320">
        <v>83.8</v>
      </c>
      <c r="AE403" s="1206"/>
      <c r="AF403" s="1316">
        <v>72</v>
      </c>
      <c r="AG403" s="1322">
        <v>67.7</v>
      </c>
      <c r="AH403" s="1322">
        <v>65.400000000000006</v>
      </c>
      <c r="AI403" s="1322">
        <v>64.400000000000006</v>
      </c>
      <c r="AJ403" s="1322">
        <v>63.7</v>
      </c>
      <c r="AL403" s="824">
        <v>72</v>
      </c>
      <c r="AM403" s="1320">
        <v>106.6</v>
      </c>
      <c r="AN403" s="1320">
        <v>103.6</v>
      </c>
      <c r="AO403" s="1320">
        <v>102.2</v>
      </c>
      <c r="AP403" s="1320">
        <v>101.2</v>
      </c>
      <c r="AQ403" s="1206"/>
      <c r="AR403" s="824">
        <v>72</v>
      </c>
      <c r="AS403" s="1320">
        <v>107.4</v>
      </c>
      <c r="AT403" s="1320">
        <v>104.3</v>
      </c>
      <c r="AU403" s="1320">
        <v>102.9</v>
      </c>
      <c r="AV403" s="1320">
        <v>101.9</v>
      </c>
      <c r="AW403" s="1318"/>
      <c r="AX403" s="1319">
        <v>72</v>
      </c>
      <c r="AY403" s="1320">
        <v>94</v>
      </c>
      <c r="AZ403" s="1320">
        <v>91.7</v>
      </c>
      <c r="BA403" s="1320">
        <v>90.5</v>
      </c>
      <c r="BB403" s="1320">
        <v>89.8</v>
      </c>
      <c r="BD403" s="1310">
        <v>72</v>
      </c>
      <c r="BE403" s="1320">
        <v>66.5</v>
      </c>
      <c r="BF403" s="1320">
        <v>64.8</v>
      </c>
      <c r="BG403" s="1320">
        <v>64</v>
      </c>
      <c r="BH403" s="1320">
        <v>63.5</v>
      </c>
    </row>
    <row r="404" spans="2:60" ht="15" customHeight="1">
      <c r="B404" s="824">
        <v>73</v>
      </c>
      <c r="C404" s="1320">
        <v>129.9</v>
      </c>
      <c r="D404" s="1320">
        <v>125.5</v>
      </c>
      <c r="E404" s="1320">
        <v>123.4</v>
      </c>
      <c r="F404" s="1320">
        <v>122.1</v>
      </c>
      <c r="G404" s="1206"/>
      <c r="H404" s="824">
        <v>73</v>
      </c>
      <c r="I404" s="1320">
        <v>123</v>
      </c>
      <c r="J404" s="1320">
        <v>119.6</v>
      </c>
      <c r="K404" s="1320">
        <v>117.9</v>
      </c>
      <c r="L404" s="1321">
        <v>116.8</v>
      </c>
      <c r="M404" s="1206"/>
      <c r="N404" s="824">
        <v>73</v>
      </c>
      <c r="O404" s="1320">
        <v>110</v>
      </c>
      <c r="P404" s="1320">
        <v>107.5</v>
      </c>
      <c r="Q404" s="1320">
        <v>106.3</v>
      </c>
      <c r="R404" s="1320">
        <v>105.5</v>
      </c>
      <c r="S404" s="1206"/>
      <c r="T404" s="824">
        <v>73</v>
      </c>
      <c r="U404" s="1320">
        <v>97.1</v>
      </c>
      <c r="V404" s="1320">
        <v>95.2</v>
      </c>
      <c r="W404" s="1320">
        <v>94.3</v>
      </c>
      <c r="X404" s="1320">
        <v>93.7</v>
      </c>
      <c r="Y404" s="1206"/>
      <c r="Z404" s="824">
        <v>73</v>
      </c>
      <c r="AA404" s="1320">
        <v>86.9</v>
      </c>
      <c r="AB404" s="1320">
        <v>85.4</v>
      </c>
      <c r="AC404" s="1320">
        <v>84.6</v>
      </c>
      <c r="AD404" s="1320">
        <v>84.1</v>
      </c>
      <c r="AE404" s="1206"/>
      <c r="AF404" s="1316">
        <v>73</v>
      </c>
      <c r="AG404" s="1322">
        <v>67.8</v>
      </c>
      <c r="AH404" s="1322">
        <v>65.5</v>
      </c>
      <c r="AI404" s="1322">
        <v>64.400000000000006</v>
      </c>
      <c r="AJ404" s="1322">
        <v>63.7</v>
      </c>
      <c r="AL404" s="824">
        <v>73</v>
      </c>
      <c r="AM404" s="1320">
        <v>111.3</v>
      </c>
      <c r="AN404" s="1320">
        <v>108</v>
      </c>
      <c r="AO404" s="1320">
        <v>106.5</v>
      </c>
      <c r="AP404" s="1320">
        <v>105.5</v>
      </c>
      <c r="AQ404" s="1206"/>
      <c r="AR404" s="824">
        <v>73</v>
      </c>
      <c r="AS404" s="1320">
        <v>110.7</v>
      </c>
      <c r="AT404" s="1320">
        <v>107.5</v>
      </c>
      <c r="AU404" s="1320">
        <v>105.9</v>
      </c>
      <c r="AV404" s="1320">
        <v>104.9</v>
      </c>
      <c r="AW404" s="1318"/>
      <c r="AX404" s="1319">
        <v>73</v>
      </c>
      <c r="AY404" s="1320">
        <v>96.4</v>
      </c>
      <c r="AZ404" s="1320">
        <v>94</v>
      </c>
      <c r="BA404" s="1320">
        <v>92.8</v>
      </c>
      <c r="BB404" s="1320">
        <v>92</v>
      </c>
      <c r="BD404" s="1310">
        <v>73</v>
      </c>
      <c r="BE404" s="1320">
        <v>66.599999999999994</v>
      </c>
      <c r="BF404" s="1320">
        <v>64.900000000000006</v>
      </c>
      <c r="BG404" s="1320">
        <v>64.099999999999994</v>
      </c>
      <c r="BH404" s="1320">
        <v>63.6</v>
      </c>
    </row>
    <row r="405" spans="2:60" ht="15" customHeight="1">
      <c r="B405" s="824">
        <v>74</v>
      </c>
      <c r="C405" s="1320">
        <v>135.1</v>
      </c>
      <c r="D405" s="1320">
        <v>130.30000000000001</v>
      </c>
      <c r="E405" s="1320">
        <v>128.1</v>
      </c>
      <c r="F405" s="1320">
        <v>126.6</v>
      </c>
      <c r="G405" s="1206"/>
      <c r="H405" s="824">
        <v>74</v>
      </c>
      <c r="I405" s="1320">
        <v>126.8</v>
      </c>
      <c r="J405" s="1320">
        <v>123.2</v>
      </c>
      <c r="K405" s="1320">
        <v>121.5</v>
      </c>
      <c r="L405" s="1321">
        <v>120.4</v>
      </c>
      <c r="M405" s="1206"/>
      <c r="N405" s="824">
        <v>74</v>
      </c>
      <c r="O405" s="1320">
        <v>111.9</v>
      </c>
      <c r="P405" s="1320">
        <v>109.4</v>
      </c>
      <c r="Q405" s="1320">
        <v>108.1</v>
      </c>
      <c r="R405" s="1320">
        <v>107.3</v>
      </c>
      <c r="S405" s="1206"/>
      <c r="T405" s="824">
        <v>74</v>
      </c>
      <c r="U405" s="1320">
        <v>97.8</v>
      </c>
      <c r="V405" s="1320">
        <v>95.9</v>
      </c>
      <c r="W405" s="1320">
        <v>95</v>
      </c>
      <c r="X405" s="1320">
        <v>94.4</v>
      </c>
      <c r="Y405" s="1206"/>
      <c r="Z405" s="824">
        <v>74</v>
      </c>
      <c r="AA405" s="1320">
        <v>87.1</v>
      </c>
      <c r="AB405" s="1320">
        <v>85.6</v>
      </c>
      <c r="AC405" s="1320">
        <v>84.8</v>
      </c>
      <c r="AD405" s="1320">
        <v>84.3</v>
      </c>
      <c r="AE405" s="1206"/>
      <c r="AF405" s="1316">
        <v>74</v>
      </c>
      <c r="AG405" s="1322">
        <v>68</v>
      </c>
      <c r="AH405" s="1322">
        <v>65.599999999999994</v>
      </c>
      <c r="AI405" s="1322">
        <v>64.5</v>
      </c>
      <c r="AJ405" s="1322">
        <v>63.7</v>
      </c>
      <c r="AL405" s="824">
        <v>74</v>
      </c>
      <c r="AM405" s="1320">
        <v>116.3</v>
      </c>
      <c r="AN405" s="1320">
        <v>112.7</v>
      </c>
      <c r="AO405" s="1320">
        <v>111.1</v>
      </c>
      <c r="AP405" s="1320">
        <v>109.9</v>
      </c>
      <c r="AQ405" s="1206"/>
      <c r="AR405" s="824">
        <v>74</v>
      </c>
      <c r="AS405" s="1320">
        <v>114.3</v>
      </c>
      <c r="AT405" s="1320">
        <v>110.9</v>
      </c>
      <c r="AU405" s="1320">
        <v>109.2</v>
      </c>
      <c r="AV405" s="1320">
        <v>108.2</v>
      </c>
      <c r="AW405" s="1318"/>
      <c r="AX405" s="1319">
        <v>74</v>
      </c>
      <c r="AY405" s="1320">
        <v>99.1</v>
      </c>
      <c r="AZ405" s="1320">
        <v>96.5</v>
      </c>
      <c r="BA405" s="1320">
        <v>95.2</v>
      </c>
      <c r="BB405" s="1320">
        <v>94.4</v>
      </c>
      <c r="BD405" s="1310">
        <v>74</v>
      </c>
      <c r="BE405" s="1320">
        <v>66.7</v>
      </c>
      <c r="BF405" s="1320">
        <v>65</v>
      </c>
      <c r="BG405" s="1320">
        <v>64.2</v>
      </c>
      <c r="BH405" s="1320">
        <v>63.6</v>
      </c>
    </row>
    <row r="406" spans="2:60" ht="15" customHeight="1">
      <c r="B406" s="824">
        <v>75</v>
      </c>
      <c r="C406" s="1320">
        <v>140.6</v>
      </c>
      <c r="D406" s="1320">
        <v>135.4</v>
      </c>
      <c r="E406" s="1320">
        <v>133</v>
      </c>
      <c r="F406" s="1320">
        <v>131.4</v>
      </c>
      <c r="G406" s="1206"/>
      <c r="H406" s="824">
        <v>75</v>
      </c>
      <c r="I406" s="1320">
        <v>130.80000000000001</v>
      </c>
      <c r="J406" s="1320">
        <v>127</v>
      </c>
      <c r="K406" s="1320">
        <v>125.2</v>
      </c>
      <c r="L406" s="1321">
        <v>124</v>
      </c>
      <c r="M406" s="1206"/>
      <c r="N406" s="824">
        <v>75</v>
      </c>
      <c r="O406" s="1320">
        <v>113.8</v>
      </c>
      <c r="P406" s="1320">
        <v>111.2</v>
      </c>
      <c r="Q406" s="1320">
        <v>109.9</v>
      </c>
      <c r="R406" s="1320">
        <v>109.1</v>
      </c>
      <c r="S406" s="1206"/>
      <c r="T406" s="824">
        <v>75</v>
      </c>
      <c r="U406" s="1320">
        <v>98.5</v>
      </c>
      <c r="V406" s="1320">
        <v>96.6</v>
      </c>
      <c r="W406" s="1320">
        <v>95.7</v>
      </c>
      <c r="X406" s="1320">
        <v>95.1</v>
      </c>
      <c r="Y406" s="1206"/>
      <c r="Z406" s="824">
        <v>75</v>
      </c>
      <c r="AA406" s="1320">
        <v>87.3</v>
      </c>
      <c r="AB406" s="1320">
        <v>85.7</v>
      </c>
      <c r="AC406" s="1320">
        <v>85</v>
      </c>
      <c r="AD406" s="1320">
        <v>84.5</v>
      </c>
      <c r="AE406" s="1206"/>
      <c r="AF406" s="1316">
        <v>75</v>
      </c>
      <c r="AG406" s="1322">
        <v>68.2</v>
      </c>
      <c r="AH406" s="1322">
        <v>65.7</v>
      </c>
      <c r="AI406" s="1322">
        <v>64.5</v>
      </c>
      <c r="AJ406" s="1322">
        <v>63.7</v>
      </c>
      <c r="AL406" s="824">
        <v>75</v>
      </c>
      <c r="AM406" s="1320">
        <v>121.7</v>
      </c>
      <c r="AN406" s="1320">
        <v>117.8</v>
      </c>
      <c r="AO406" s="1320">
        <v>115.9</v>
      </c>
      <c r="AP406" s="1320">
        <v>114.7</v>
      </c>
      <c r="AQ406" s="1206"/>
      <c r="AR406" s="824">
        <v>75</v>
      </c>
      <c r="AS406" s="1320">
        <v>118.2</v>
      </c>
      <c r="AT406" s="1320">
        <v>114.5</v>
      </c>
      <c r="AU406" s="1320">
        <v>112.7</v>
      </c>
      <c r="AV406" s="1320">
        <v>111.6</v>
      </c>
      <c r="AW406" s="1318"/>
      <c r="AX406" s="1319">
        <v>75</v>
      </c>
      <c r="AY406" s="1320">
        <v>101.9</v>
      </c>
      <c r="AZ406" s="1320">
        <v>99.2</v>
      </c>
      <c r="BA406" s="1320">
        <v>97.8</v>
      </c>
      <c r="BB406" s="1320">
        <v>97</v>
      </c>
      <c r="BD406" s="1310">
        <v>75</v>
      </c>
      <c r="BE406" s="1320">
        <v>66.900000000000006</v>
      </c>
      <c r="BF406" s="1320">
        <v>65.099999999999994</v>
      </c>
      <c r="BG406" s="1320">
        <v>64.2</v>
      </c>
      <c r="BH406" s="1320">
        <v>63.7</v>
      </c>
    </row>
    <row r="407" spans="2:60" ht="15" customHeight="1">
      <c r="B407" s="824">
        <v>76</v>
      </c>
      <c r="C407" s="1320">
        <v>146.5</v>
      </c>
      <c r="D407" s="1320">
        <v>140.9</v>
      </c>
      <c r="E407" s="1320">
        <v>138.30000000000001</v>
      </c>
      <c r="F407" s="1320">
        <v>136.6</v>
      </c>
      <c r="G407" s="1206"/>
      <c r="H407" s="824">
        <v>76</v>
      </c>
      <c r="I407" s="1320">
        <v>134.80000000000001</v>
      </c>
      <c r="J407" s="1320">
        <v>130.9</v>
      </c>
      <c r="K407" s="1320">
        <v>129</v>
      </c>
      <c r="L407" s="1321">
        <v>127.71</v>
      </c>
      <c r="M407" s="1206"/>
      <c r="N407" s="824">
        <v>76</v>
      </c>
      <c r="O407" s="1320">
        <v>115.6</v>
      </c>
      <c r="P407" s="1320">
        <v>113</v>
      </c>
      <c r="Q407" s="1320">
        <v>111.7</v>
      </c>
      <c r="R407" s="1320">
        <v>110.9</v>
      </c>
      <c r="S407" s="1206"/>
      <c r="T407" s="824">
        <v>76</v>
      </c>
      <c r="U407" s="1320">
        <v>99.1</v>
      </c>
      <c r="V407" s="1320">
        <v>97.2</v>
      </c>
      <c r="W407" s="1320">
        <v>96.3</v>
      </c>
      <c r="X407" s="1320">
        <v>95.6</v>
      </c>
      <c r="Y407" s="1206"/>
      <c r="Z407" s="824">
        <v>76</v>
      </c>
      <c r="AA407" s="1320">
        <v>87.4</v>
      </c>
      <c r="AB407" s="1320">
        <v>85.9</v>
      </c>
      <c r="AC407" s="1320">
        <v>85.1</v>
      </c>
      <c r="AD407" s="1320">
        <v>84.6</v>
      </c>
      <c r="AE407" s="1206"/>
      <c r="AF407" s="1316">
        <v>76</v>
      </c>
      <c r="AG407" s="1322">
        <v>68.400000000000006</v>
      </c>
      <c r="AH407" s="1322">
        <v>65.8</v>
      </c>
      <c r="AI407" s="1322">
        <v>64.5</v>
      </c>
      <c r="AJ407" s="1317" t="s">
        <v>4</v>
      </c>
      <c r="AL407" s="824">
        <v>76</v>
      </c>
      <c r="AM407" s="1320">
        <v>127.4</v>
      </c>
      <c r="AN407" s="1320">
        <v>123.1</v>
      </c>
      <c r="AO407" s="1320">
        <v>121.1</v>
      </c>
      <c r="AP407" s="1320">
        <v>119.8</v>
      </c>
      <c r="AQ407" s="1206"/>
      <c r="AR407" s="824">
        <v>76</v>
      </c>
      <c r="AS407" s="1320">
        <v>122.3</v>
      </c>
      <c r="AT407" s="1320">
        <v>118.4</v>
      </c>
      <c r="AU407" s="1320">
        <v>116.5</v>
      </c>
      <c r="AV407" s="1320">
        <v>115.3</v>
      </c>
      <c r="AW407" s="1318"/>
      <c r="AX407" s="1319">
        <v>76</v>
      </c>
      <c r="AY407" s="1320">
        <v>104.9</v>
      </c>
      <c r="AZ407" s="1320">
        <v>102</v>
      </c>
      <c r="BA407" s="1320">
        <v>100.6</v>
      </c>
      <c r="BB407" s="1320">
        <v>99.7</v>
      </c>
      <c r="BD407" s="1310">
        <v>76</v>
      </c>
      <c r="BE407" s="1320">
        <v>67</v>
      </c>
      <c r="BF407" s="1320">
        <v>65.2</v>
      </c>
      <c r="BG407" s="1320">
        <v>64.3</v>
      </c>
      <c r="BH407" s="1320">
        <v>63.7</v>
      </c>
    </row>
    <row r="408" spans="2:60" ht="15" customHeight="1">
      <c r="B408" s="824">
        <v>77</v>
      </c>
      <c r="C408" s="1320">
        <v>152.80000000000001</v>
      </c>
      <c r="D408" s="1320">
        <v>146.69999999999999</v>
      </c>
      <c r="E408" s="1320">
        <v>143.80000000000001</v>
      </c>
      <c r="F408" s="1320">
        <v>142</v>
      </c>
      <c r="G408" s="1206"/>
      <c r="H408" s="824">
        <v>77</v>
      </c>
      <c r="I408" s="1320">
        <v>138.9</v>
      </c>
      <c r="J408" s="1320">
        <v>134.80000000000001</v>
      </c>
      <c r="K408" s="1320">
        <v>132.9</v>
      </c>
      <c r="L408" s="1321">
        <v>131.6</v>
      </c>
      <c r="M408" s="1206"/>
      <c r="N408" s="824">
        <v>77</v>
      </c>
      <c r="O408" s="1320">
        <v>117.3</v>
      </c>
      <c r="P408" s="1320">
        <v>114.7</v>
      </c>
      <c r="Q408" s="1320">
        <v>113.4</v>
      </c>
      <c r="R408" s="1320">
        <v>112.5</v>
      </c>
      <c r="S408" s="1206"/>
      <c r="T408" s="824">
        <v>77</v>
      </c>
      <c r="U408" s="1320">
        <v>99.6</v>
      </c>
      <c r="V408" s="1320">
        <v>97.7</v>
      </c>
      <c r="W408" s="1320">
        <v>96.8</v>
      </c>
      <c r="X408" s="1320">
        <v>96.2</v>
      </c>
      <c r="Y408" s="1206"/>
      <c r="Z408" s="824">
        <v>77</v>
      </c>
      <c r="AA408" s="1320">
        <v>87.6</v>
      </c>
      <c r="AB408" s="1320">
        <v>86</v>
      </c>
      <c r="AC408" s="1320">
        <v>85.3</v>
      </c>
      <c r="AD408" s="1320">
        <v>84.8</v>
      </c>
      <c r="AE408" s="1206"/>
      <c r="AF408" s="1316">
        <v>77</v>
      </c>
      <c r="AG408" s="1322">
        <v>68.599999999999994</v>
      </c>
      <c r="AH408" s="1322">
        <v>65.900000000000006</v>
      </c>
      <c r="AI408" s="1322">
        <v>64.599999999999994</v>
      </c>
      <c r="AJ408" s="1322">
        <v>63.7</v>
      </c>
      <c r="AL408" s="824">
        <v>77</v>
      </c>
      <c r="AM408" s="1320">
        <v>133.5</v>
      </c>
      <c r="AN408" s="1320">
        <v>128.9</v>
      </c>
      <c r="AO408" s="1320">
        <v>126.6</v>
      </c>
      <c r="AP408" s="1320">
        <v>125.2</v>
      </c>
      <c r="AQ408" s="1206"/>
      <c r="AR408" s="824">
        <v>77</v>
      </c>
      <c r="AS408" s="1320">
        <v>126.7</v>
      </c>
      <c r="AT408" s="1320">
        <v>122.5</v>
      </c>
      <c r="AU408" s="1320">
        <v>120.5</v>
      </c>
      <c r="AV408" s="1320">
        <v>119.2</v>
      </c>
      <c r="AW408" s="1318"/>
      <c r="AX408" s="1319">
        <v>77</v>
      </c>
      <c r="AY408" s="1320">
        <v>108.2</v>
      </c>
      <c r="AZ408" s="1320">
        <v>105.1</v>
      </c>
      <c r="BA408" s="1320">
        <v>103.6</v>
      </c>
      <c r="BB408" s="1320">
        <v>102.7</v>
      </c>
      <c r="BD408" s="1310">
        <v>77</v>
      </c>
      <c r="BE408" s="1320">
        <v>67.2</v>
      </c>
      <c r="BF408" s="1320">
        <v>65.3</v>
      </c>
      <c r="BG408" s="1320">
        <v>64.3</v>
      </c>
      <c r="BH408" s="1320">
        <v>63.7</v>
      </c>
    </row>
    <row r="409" spans="2:60" ht="15" customHeight="1">
      <c r="B409" s="824">
        <v>78</v>
      </c>
      <c r="C409" s="1320">
        <v>159.4</v>
      </c>
      <c r="D409" s="1320">
        <v>152.80000000000001</v>
      </c>
      <c r="E409" s="1320">
        <v>149.69999999999999</v>
      </c>
      <c r="F409" s="1320">
        <v>147.69999999999999</v>
      </c>
      <c r="G409" s="1206"/>
      <c r="H409" s="824">
        <v>78</v>
      </c>
      <c r="I409" s="1320">
        <v>143.19999999999999</v>
      </c>
      <c r="J409" s="1320">
        <v>138.9</v>
      </c>
      <c r="K409" s="1320">
        <v>136.80000000000001</v>
      </c>
      <c r="L409" s="1321">
        <v>135.5</v>
      </c>
      <c r="M409" s="1206"/>
      <c r="N409" s="824">
        <v>78</v>
      </c>
      <c r="O409" s="1320">
        <v>118.9</v>
      </c>
      <c r="P409" s="1320">
        <v>116.3</v>
      </c>
      <c r="Q409" s="1320">
        <v>115</v>
      </c>
      <c r="R409" s="1320">
        <v>114.1</v>
      </c>
      <c r="S409" s="1206"/>
      <c r="T409" s="824">
        <v>78</v>
      </c>
      <c r="U409" s="1320">
        <v>100</v>
      </c>
      <c r="V409" s="1320">
        <v>98.2</v>
      </c>
      <c r="W409" s="1320">
        <v>97.3</v>
      </c>
      <c r="X409" s="1320">
        <v>96.7</v>
      </c>
      <c r="Y409" s="1206"/>
      <c r="Z409" s="824">
        <v>78</v>
      </c>
      <c r="AA409" s="1320">
        <v>87.6</v>
      </c>
      <c r="AB409" s="1320">
        <v>86.1</v>
      </c>
      <c r="AC409" s="1320">
        <v>85.4</v>
      </c>
      <c r="AD409" s="1320">
        <v>84.9</v>
      </c>
      <c r="AE409" s="1206"/>
      <c r="AF409" s="1316">
        <v>78</v>
      </c>
      <c r="AG409" s="1322">
        <v>68.8</v>
      </c>
      <c r="AH409" s="1322">
        <v>65.900000000000006</v>
      </c>
      <c r="AI409" s="1322">
        <v>64.599999999999994</v>
      </c>
      <c r="AJ409" s="1322">
        <v>63.7</v>
      </c>
      <c r="AL409" s="824">
        <v>78</v>
      </c>
      <c r="AM409" s="1320">
        <v>140</v>
      </c>
      <c r="AN409" s="1320">
        <v>134.9</v>
      </c>
      <c r="AO409" s="1320">
        <v>132.5</v>
      </c>
      <c r="AP409" s="1320">
        <v>130.9</v>
      </c>
      <c r="AQ409" s="1206"/>
      <c r="AR409" s="824">
        <v>78</v>
      </c>
      <c r="AS409" s="1320">
        <v>131.4</v>
      </c>
      <c r="AT409" s="1320">
        <v>126.8</v>
      </c>
      <c r="AU409" s="1320">
        <v>124.7</v>
      </c>
      <c r="AV409" s="1320">
        <v>123.3</v>
      </c>
      <c r="AW409" s="1318"/>
      <c r="AX409" s="1319">
        <v>78</v>
      </c>
      <c r="AY409" s="1320">
        <v>111.7</v>
      </c>
      <c r="AZ409" s="1320">
        <v>108.4</v>
      </c>
      <c r="BA409" s="1320">
        <v>106.8</v>
      </c>
      <c r="BB409" s="1320">
        <v>105.8</v>
      </c>
      <c r="BD409" s="1310">
        <v>78</v>
      </c>
      <c r="BE409" s="1320">
        <v>67.3</v>
      </c>
      <c r="BF409" s="1320">
        <v>65.3</v>
      </c>
      <c r="BG409" s="1320">
        <v>64.400000000000006</v>
      </c>
      <c r="BH409" s="1320">
        <v>63.8</v>
      </c>
    </row>
    <row r="410" spans="2:60" ht="15" customHeight="1">
      <c r="B410" s="824">
        <v>79</v>
      </c>
      <c r="C410" s="1320">
        <v>166.6</v>
      </c>
      <c r="D410" s="1320">
        <v>159.4</v>
      </c>
      <c r="E410" s="1320">
        <v>156</v>
      </c>
      <c r="F410" s="1320">
        <v>153.80000000000001</v>
      </c>
      <c r="G410" s="1206"/>
      <c r="H410" s="824">
        <v>79</v>
      </c>
      <c r="I410" s="1320">
        <v>147.4</v>
      </c>
      <c r="J410" s="1320">
        <v>143</v>
      </c>
      <c r="K410" s="1320">
        <v>140.9</v>
      </c>
      <c r="L410" s="1321">
        <v>139.5</v>
      </c>
      <c r="M410" s="1206"/>
      <c r="N410" s="824">
        <v>79</v>
      </c>
      <c r="O410" s="1320">
        <v>120.4</v>
      </c>
      <c r="P410" s="1320">
        <v>117.8</v>
      </c>
      <c r="Q410" s="1320">
        <v>116.5</v>
      </c>
      <c r="R410" s="1320">
        <v>115.6</v>
      </c>
      <c r="S410" s="1206"/>
      <c r="T410" s="824">
        <v>79</v>
      </c>
      <c r="U410" s="1320">
        <v>100.4</v>
      </c>
      <c r="V410" s="1320">
        <v>98.6</v>
      </c>
      <c r="W410" s="1320">
        <v>97.7</v>
      </c>
      <c r="X410" s="1320">
        <v>97.1</v>
      </c>
      <c r="Y410" s="1206"/>
      <c r="Z410" s="824">
        <v>79</v>
      </c>
      <c r="AA410" s="1320">
        <v>87.7</v>
      </c>
      <c r="AB410" s="1320">
        <v>86.2</v>
      </c>
      <c r="AC410" s="1320">
        <v>85.5</v>
      </c>
      <c r="AD410" s="1320">
        <v>85</v>
      </c>
      <c r="AE410" s="1206"/>
      <c r="AF410" s="1316">
        <v>79</v>
      </c>
      <c r="AG410" s="1322">
        <v>69</v>
      </c>
      <c r="AH410" s="1322">
        <v>66</v>
      </c>
      <c r="AI410" s="1322">
        <v>64.599999999999994</v>
      </c>
      <c r="AJ410" s="1322">
        <v>63.7</v>
      </c>
      <c r="AL410" s="824">
        <v>79</v>
      </c>
      <c r="AM410" s="1320">
        <v>147</v>
      </c>
      <c r="AN410" s="1320">
        <v>141.4</v>
      </c>
      <c r="AO410" s="1320">
        <v>138.69999999999999</v>
      </c>
      <c r="AP410" s="1320">
        <v>137</v>
      </c>
      <c r="AQ410" s="1206"/>
      <c r="AR410" s="824">
        <v>79</v>
      </c>
      <c r="AS410" s="1320">
        <v>136.30000000000001</v>
      </c>
      <c r="AT410" s="1320">
        <v>131.5</v>
      </c>
      <c r="AU410" s="1320">
        <v>129.19999999999999</v>
      </c>
      <c r="AV410" s="1320">
        <v>127.7</v>
      </c>
      <c r="AW410" s="1318"/>
      <c r="AX410" s="1319">
        <v>79</v>
      </c>
      <c r="AY410" s="1320">
        <v>115.4</v>
      </c>
      <c r="AZ410" s="1320">
        <v>111.9</v>
      </c>
      <c r="BA410" s="1320">
        <v>110.2</v>
      </c>
      <c r="BB410" s="1320">
        <v>109.2</v>
      </c>
      <c r="BD410" s="1310">
        <v>79</v>
      </c>
      <c r="BE410" s="1320">
        <v>67.5</v>
      </c>
      <c r="BF410" s="1320">
        <v>65.400000000000006</v>
      </c>
      <c r="BG410" s="1320">
        <v>64.400000000000006</v>
      </c>
      <c r="BH410" s="1320">
        <v>63.8</v>
      </c>
    </row>
    <row r="411" spans="2:60" ht="15" customHeight="1">
      <c r="B411" s="824">
        <v>80</v>
      </c>
      <c r="C411" s="1320">
        <v>174.1</v>
      </c>
      <c r="D411" s="1320">
        <v>166.3</v>
      </c>
      <c r="E411" s="1320">
        <v>162.6</v>
      </c>
      <c r="F411" s="1320">
        <v>160.30000000000001</v>
      </c>
      <c r="G411" s="1314"/>
      <c r="H411" s="824">
        <v>80</v>
      </c>
      <c r="I411" s="1320">
        <v>151.69999999999999</v>
      </c>
      <c r="J411" s="1320">
        <v>147.1</v>
      </c>
      <c r="K411" s="1320">
        <v>144.9</v>
      </c>
      <c r="L411" s="1321">
        <v>143.5</v>
      </c>
      <c r="M411" s="1314"/>
      <c r="N411" s="824">
        <v>80</v>
      </c>
      <c r="O411" s="1320">
        <v>121.8</v>
      </c>
      <c r="P411" s="1320">
        <v>119.2</v>
      </c>
      <c r="Q411" s="1320">
        <v>117.9</v>
      </c>
      <c r="R411" s="1320">
        <v>117.1</v>
      </c>
      <c r="S411" s="1314"/>
      <c r="T411" s="824">
        <v>80</v>
      </c>
      <c r="U411" s="1320">
        <v>100.8</v>
      </c>
      <c r="V411" s="1320">
        <v>98.9</v>
      </c>
      <c r="W411" s="1320">
        <v>98</v>
      </c>
      <c r="X411" s="1320">
        <v>97.4</v>
      </c>
      <c r="Y411" s="1314"/>
      <c r="Z411" s="824">
        <v>80</v>
      </c>
      <c r="AA411" s="1320">
        <v>87.8</v>
      </c>
      <c r="AB411" s="1320">
        <v>86.3</v>
      </c>
      <c r="AC411" s="1320">
        <v>85.5</v>
      </c>
      <c r="AD411" s="1320">
        <v>85</v>
      </c>
      <c r="AE411" s="1314"/>
      <c r="AF411" s="1316">
        <v>80</v>
      </c>
      <c r="AG411" s="1322">
        <v>69.2</v>
      </c>
      <c r="AH411" s="1322">
        <v>66.099999999999994</v>
      </c>
      <c r="AI411" s="1322">
        <v>64.599999999999994</v>
      </c>
      <c r="AJ411" s="1322">
        <v>63.7</v>
      </c>
      <c r="AL411" s="824">
        <v>80</v>
      </c>
      <c r="AM411" s="1320">
        <v>154.4</v>
      </c>
      <c r="AN411" s="1320">
        <v>148.19999999999999</v>
      </c>
      <c r="AO411" s="1320">
        <v>145.30000000000001</v>
      </c>
      <c r="AP411" s="1320">
        <v>143.4</v>
      </c>
      <c r="AQ411" s="1314"/>
      <c r="AR411" s="824">
        <v>80</v>
      </c>
      <c r="AS411" s="1320">
        <v>141.69999999999999</v>
      </c>
      <c r="AT411" s="1320">
        <v>136.4</v>
      </c>
      <c r="AU411" s="1320">
        <v>133.9</v>
      </c>
      <c r="AV411" s="1320">
        <v>132.30000000000001</v>
      </c>
      <c r="AW411" s="1318"/>
      <c r="AX411" s="1319">
        <v>80</v>
      </c>
      <c r="AY411" s="1320">
        <v>119.4</v>
      </c>
      <c r="AZ411" s="1320">
        <v>115.6</v>
      </c>
      <c r="BA411" s="1320">
        <v>113.9</v>
      </c>
      <c r="BB411" s="1320">
        <v>112.7</v>
      </c>
      <c r="BD411" s="1310">
        <v>80</v>
      </c>
      <c r="BE411" s="1320">
        <v>67.599999999999994</v>
      </c>
      <c r="BF411" s="1320">
        <v>65.5</v>
      </c>
      <c r="BG411" s="1320">
        <v>64.5</v>
      </c>
      <c r="BH411" s="1320">
        <v>63.8</v>
      </c>
    </row>
    <row r="412" spans="2:60" ht="15" customHeight="1">
      <c r="B412" s="824">
        <v>81</v>
      </c>
      <c r="C412" s="1320">
        <v>182.1</v>
      </c>
      <c r="D412" s="1320">
        <v>173.6</v>
      </c>
      <c r="E412" s="1320">
        <v>169.6</v>
      </c>
      <c r="F412" s="1320">
        <v>167</v>
      </c>
      <c r="G412" s="1314"/>
      <c r="H412" s="824">
        <v>81</v>
      </c>
      <c r="I412" s="1320">
        <v>156</v>
      </c>
      <c r="J412" s="1320">
        <v>151.30000000000001</v>
      </c>
      <c r="K412" s="1320">
        <v>149</v>
      </c>
      <c r="L412" s="1321">
        <v>147.6</v>
      </c>
      <c r="M412" s="1314"/>
      <c r="N412" s="824">
        <v>81</v>
      </c>
      <c r="O412" s="1320">
        <v>123.1</v>
      </c>
      <c r="P412" s="1320">
        <v>120.5</v>
      </c>
      <c r="Q412" s="1320">
        <v>119.2</v>
      </c>
      <c r="R412" s="1320">
        <v>118.4</v>
      </c>
      <c r="S412" s="1314"/>
      <c r="T412" s="824">
        <v>81</v>
      </c>
      <c r="U412" s="1320">
        <v>101.1</v>
      </c>
      <c r="V412" s="1320">
        <v>99.2</v>
      </c>
      <c r="W412" s="1320">
        <v>98.3</v>
      </c>
      <c r="X412" s="1320">
        <v>97.7</v>
      </c>
      <c r="Y412" s="1314"/>
      <c r="Z412" s="824">
        <v>81</v>
      </c>
      <c r="AA412" s="1320">
        <v>87.8</v>
      </c>
      <c r="AB412" s="1320">
        <v>86.3</v>
      </c>
      <c r="AC412" s="1320">
        <v>85.6</v>
      </c>
      <c r="AD412" s="1320">
        <v>85.1</v>
      </c>
      <c r="AE412" s="1314"/>
      <c r="AF412" s="1316">
        <v>81</v>
      </c>
      <c r="AG412" s="1322">
        <v>69.400000000000006</v>
      </c>
      <c r="AH412" s="1322">
        <v>66.2</v>
      </c>
      <c r="AI412" s="1322">
        <v>64.7</v>
      </c>
      <c r="AJ412" s="1322">
        <v>63.7</v>
      </c>
      <c r="AL412" s="824">
        <v>81</v>
      </c>
      <c r="AM412" s="1320">
        <v>162.19999999999999</v>
      </c>
      <c r="AN412" s="1320">
        <v>155.4</v>
      </c>
      <c r="AO412" s="1320">
        <v>152.19999999999999</v>
      </c>
      <c r="AP412" s="1320">
        <v>150.1</v>
      </c>
      <c r="AQ412" s="1314"/>
      <c r="AR412" s="824">
        <v>81</v>
      </c>
      <c r="AS412" s="1320">
        <v>147.30000000000001</v>
      </c>
      <c r="AT412" s="1320">
        <v>141.6</v>
      </c>
      <c r="AU412" s="1320">
        <v>139</v>
      </c>
      <c r="AV412" s="1320">
        <v>137.19999999999999</v>
      </c>
      <c r="AW412" s="1318"/>
      <c r="AX412" s="1319">
        <v>81</v>
      </c>
      <c r="AY412" s="1320">
        <v>123.6</v>
      </c>
      <c r="AZ412" s="1320">
        <v>119.6</v>
      </c>
      <c r="BA412" s="1320">
        <v>117.7</v>
      </c>
      <c r="BB412" s="1320">
        <v>116.5</v>
      </c>
      <c r="BD412" s="1310">
        <v>81</v>
      </c>
      <c r="BE412" s="1320">
        <v>67.8</v>
      </c>
      <c r="BF412" s="1320">
        <v>65.599999999999994</v>
      </c>
      <c r="BG412" s="1320">
        <v>64.5</v>
      </c>
      <c r="BH412" s="1320">
        <v>63.9</v>
      </c>
    </row>
    <row r="413" spans="2:60" ht="15" customHeight="1">
      <c r="B413" s="824">
        <v>82</v>
      </c>
      <c r="C413" s="1320">
        <v>190.7</v>
      </c>
      <c r="D413" s="1320">
        <v>181.3</v>
      </c>
      <c r="E413" s="1320">
        <v>177</v>
      </c>
      <c r="F413" s="1320">
        <v>174.2</v>
      </c>
      <c r="G413" s="1314"/>
      <c r="H413" s="824">
        <v>82</v>
      </c>
      <c r="I413" s="1320">
        <v>160.30000000000001</v>
      </c>
      <c r="J413" s="1320">
        <v>155.5</v>
      </c>
      <c r="K413" s="1320">
        <v>153.1</v>
      </c>
      <c r="L413" s="1321">
        <v>151.6</v>
      </c>
      <c r="M413" s="1314"/>
      <c r="N413" s="824">
        <v>82</v>
      </c>
      <c r="O413" s="1320">
        <v>124.3</v>
      </c>
      <c r="P413" s="1320">
        <v>121.7</v>
      </c>
      <c r="Q413" s="1320">
        <v>120.4</v>
      </c>
      <c r="R413" s="1320">
        <v>119.6</v>
      </c>
      <c r="S413" s="1314"/>
      <c r="T413" s="824">
        <v>82</v>
      </c>
      <c r="U413" s="1320">
        <v>101.3</v>
      </c>
      <c r="V413" s="1320">
        <v>99.5</v>
      </c>
      <c r="W413" s="1320">
        <v>98.6</v>
      </c>
      <c r="X413" s="1320">
        <v>98</v>
      </c>
      <c r="Y413" s="1314"/>
      <c r="Z413" s="824">
        <v>82</v>
      </c>
      <c r="AA413" s="1320">
        <v>87.9</v>
      </c>
      <c r="AB413" s="1320">
        <v>86.4</v>
      </c>
      <c r="AC413" s="1320">
        <v>85.6</v>
      </c>
      <c r="AD413" s="1320">
        <v>85.1</v>
      </c>
      <c r="AE413" s="1314"/>
      <c r="AF413" s="1316">
        <v>82</v>
      </c>
      <c r="AG413" s="1322">
        <v>69.7</v>
      </c>
      <c r="AH413" s="1322">
        <v>66.3</v>
      </c>
      <c r="AI413" s="1322">
        <v>64.7</v>
      </c>
      <c r="AJ413" s="1322">
        <v>63.7</v>
      </c>
      <c r="AL413" s="824">
        <v>82</v>
      </c>
      <c r="AM413" s="1320">
        <v>170.6</v>
      </c>
      <c r="AN413" s="1320">
        <v>163.1</v>
      </c>
      <c r="AO413" s="1320">
        <v>159.5</v>
      </c>
      <c r="AP413" s="1320">
        <v>157.30000000000001</v>
      </c>
      <c r="AQ413" s="1314"/>
      <c r="AR413" s="824">
        <v>82</v>
      </c>
      <c r="AS413" s="1320">
        <v>153.30000000000001</v>
      </c>
      <c r="AT413" s="1320">
        <v>147.19999999999999</v>
      </c>
      <c r="AU413" s="1320">
        <v>144.30000000000001</v>
      </c>
      <c r="AV413" s="1320">
        <v>142.4</v>
      </c>
      <c r="AW413" s="1318"/>
      <c r="AX413" s="1319">
        <v>82</v>
      </c>
      <c r="AY413" s="1320">
        <v>128.1</v>
      </c>
      <c r="AZ413" s="1320">
        <v>123.8</v>
      </c>
      <c r="BA413" s="1320">
        <v>121.8</v>
      </c>
      <c r="BB413" s="1320">
        <v>120.5</v>
      </c>
      <c r="BD413" s="1310">
        <v>82</v>
      </c>
      <c r="BE413" s="1320">
        <v>67.900000000000006</v>
      </c>
      <c r="BF413" s="1320">
        <v>65.7</v>
      </c>
      <c r="BG413" s="1320">
        <v>64.599999999999994</v>
      </c>
      <c r="BH413" s="1320">
        <v>63.9</v>
      </c>
    </row>
    <row r="414" spans="2:60" ht="15" customHeight="1">
      <c r="B414" s="824">
        <v>83</v>
      </c>
      <c r="C414" s="1320">
        <v>199.7</v>
      </c>
      <c r="D414" s="1320">
        <v>189.5</v>
      </c>
      <c r="E414" s="1320">
        <v>184.7</v>
      </c>
      <c r="F414" s="1320">
        <v>181.7</v>
      </c>
      <c r="G414" s="1314"/>
      <c r="H414" s="824">
        <v>83</v>
      </c>
      <c r="I414" s="1320">
        <v>164.6</v>
      </c>
      <c r="J414" s="1320">
        <v>159.6</v>
      </c>
      <c r="K414" s="1320">
        <v>157.19999999999999</v>
      </c>
      <c r="L414" s="1321">
        <v>155.69999999999999</v>
      </c>
      <c r="M414" s="1314"/>
      <c r="N414" s="824">
        <v>83</v>
      </c>
      <c r="O414" s="1320">
        <v>125.4</v>
      </c>
      <c r="P414" s="1320">
        <v>122.8</v>
      </c>
      <c r="Q414" s="1320">
        <v>121.5</v>
      </c>
      <c r="R414" s="1320">
        <v>120.7</v>
      </c>
      <c r="S414" s="1314"/>
      <c r="T414" s="824">
        <v>83</v>
      </c>
      <c r="U414" s="1320">
        <v>101.5</v>
      </c>
      <c r="V414" s="1320">
        <v>99.7</v>
      </c>
      <c r="W414" s="1320">
        <v>98.8</v>
      </c>
      <c r="X414" s="1320">
        <v>98.2</v>
      </c>
      <c r="Y414" s="1314"/>
      <c r="Z414" s="824">
        <v>83</v>
      </c>
      <c r="AA414" s="1320">
        <v>87.9</v>
      </c>
      <c r="AB414" s="1320">
        <v>86.4</v>
      </c>
      <c r="AC414" s="1320">
        <v>85.6</v>
      </c>
      <c r="AD414" s="1320">
        <v>85.1</v>
      </c>
      <c r="AE414" s="1314"/>
      <c r="AF414" s="1316">
        <v>83</v>
      </c>
      <c r="AG414" s="1322">
        <v>69.900000000000006</v>
      </c>
      <c r="AH414" s="1322">
        <v>66.3</v>
      </c>
      <c r="AI414" s="1322">
        <v>64.7</v>
      </c>
      <c r="AJ414" s="1322">
        <v>63.8</v>
      </c>
      <c r="AL414" s="824">
        <v>83</v>
      </c>
      <c r="AM414" s="1320">
        <v>179.5</v>
      </c>
      <c r="AN414" s="1320">
        <v>171.2</v>
      </c>
      <c r="AO414" s="1320">
        <v>167.3</v>
      </c>
      <c r="AP414" s="1320">
        <v>164.8</v>
      </c>
      <c r="AQ414" s="1314"/>
      <c r="AR414" s="824">
        <v>83</v>
      </c>
      <c r="AS414" s="1320">
        <v>159.6</v>
      </c>
      <c r="AT414" s="1320">
        <v>153</v>
      </c>
      <c r="AU414" s="1320">
        <v>149.9</v>
      </c>
      <c r="AV414" s="1320">
        <v>147.9</v>
      </c>
      <c r="AW414" s="1318"/>
      <c r="AX414" s="1319">
        <v>83</v>
      </c>
      <c r="AY414" s="1320">
        <v>132.9</v>
      </c>
      <c r="AZ414" s="1320">
        <v>128.30000000000001</v>
      </c>
      <c r="BA414" s="1320">
        <v>126.1</v>
      </c>
      <c r="BB414" s="1320">
        <v>124.7</v>
      </c>
      <c r="BD414" s="1310">
        <v>83</v>
      </c>
      <c r="BE414" s="1320">
        <v>68.099999999999994</v>
      </c>
      <c r="BF414" s="1320">
        <v>65.7</v>
      </c>
      <c r="BG414" s="1320">
        <v>64.599999999999994</v>
      </c>
      <c r="BH414" s="1320">
        <v>63.9</v>
      </c>
    </row>
    <row r="415" spans="2:60" ht="15" customHeight="1">
      <c r="B415" s="824">
        <v>84</v>
      </c>
      <c r="C415" s="1320">
        <v>209.3</v>
      </c>
      <c r="D415" s="1320">
        <v>198.1</v>
      </c>
      <c r="E415" s="1320">
        <v>192.9</v>
      </c>
      <c r="F415" s="1320">
        <v>189.6</v>
      </c>
      <c r="G415" s="1314"/>
      <c r="H415" s="824">
        <v>84</v>
      </c>
      <c r="I415" s="1320">
        <v>168.8</v>
      </c>
      <c r="J415" s="1320">
        <v>163.69999999999999</v>
      </c>
      <c r="K415" s="1320">
        <v>161.30000000000001</v>
      </c>
      <c r="L415" s="1321">
        <v>159.69999999999999</v>
      </c>
      <c r="M415" s="1314"/>
      <c r="N415" s="824">
        <v>84</v>
      </c>
      <c r="O415" s="1320">
        <v>126.4</v>
      </c>
      <c r="P415" s="1320">
        <v>123.8</v>
      </c>
      <c r="Q415" s="1320">
        <v>122.5</v>
      </c>
      <c r="R415" s="1320">
        <v>121.7</v>
      </c>
      <c r="S415" s="1314"/>
      <c r="T415" s="824">
        <v>84</v>
      </c>
      <c r="U415" s="1320">
        <v>101.7</v>
      </c>
      <c r="V415" s="1320">
        <v>99.9</v>
      </c>
      <c r="W415" s="1320">
        <v>99</v>
      </c>
      <c r="X415" s="1320">
        <v>98.4</v>
      </c>
      <c r="Y415" s="1314"/>
      <c r="Z415" s="824">
        <v>84</v>
      </c>
      <c r="AA415" s="1320">
        <v>87.9</v>
      </c>
      <c r="AB415" s="1320">
        <v>86.4</v>
      </c>
      <c r="AC415" s="1320">
        <v>85.7</v>
      </c>
      <c r="AD415" s="1320">
        <v>85.2</v>
      </c>
      <c r="AE415" s="1314"/>
      <c r="AF415" s="1316">
        <v>84</v>
      </c>
      <c r="AG415" s="1322">
        <v>70.2</v>
      </c>
      <c r="AH415" s="1322">
        <v>66.400000000000006</v>
      </c>
      <c r="AI415" s="1322">
        <v>64.7</v>
      </c>
      <c r="AJ415" s="1322">
        <v>63.8</v>
      </c>
      <c r="AL415" s="824">
        <v>84</v>
      </c>
      <c r="AM415" s="1320">
        <v>188.9</v>
      </c>
      <c r="AN415" s="1320">
        <v>179.7</v>
      </c>
      <c r="AO415" s="1320">
        <v>175.4</v>
      </c>
      <c r="AP415" s="1320">
        <v>172.7</v>
      </c>
      <c r="AQ415" s="1314"/>
      <c r="AR415" s="824">
        <v>84</v>
      </c>
      <c r="AS415" s="1320">
        <v>166.4</v>
      </c>
      <c r="AT415" s="1320">
        <v>159.19999999999999</v>
      </c>
      <c r="AU415" s="1320">
        <v>155.80000000000001</v>
      </c>
      <c r="AV415" s="1320">
        <v>153.69999999999999</v>
      </c>
      <c r="AW415" s="1318"/>
      <c r="AX415" s="1319">
        <v>84</v>
      </c>
      <c r="AY415" s="1320">
        <v>138</v>
      </c>
      <c r="AZ415" s="1320">
        <v>133.1</v>
      </c>
      <c r="BA415" s="1320">
        <v>130.69999999999999</v>
      </c>
      <c r="BB415" s="1320">
        <v>129.19999999999999</v>
      </c>
      <c r="BD415" s="1310">
        <v>84</v>
      </c>
      <c r="BE415" s="1320">
        <v>68.3</v>
      </c>
      <c r="BF415" s="1320">
        <v>65.8</v>
      </c>
      <c r="BG415" s="1320">
        <v>64.599999999999994</v>
      </c>
      <c r="BH415" s="1320">
        <v>63.9</v>
      </c>
    </row>
    <row r="416" spans="2:60" ht="15" customHeight="1">
      <c r="B416" s="824">
        <v>85</v>
      </c>
      <c r="C416" s="1320">
        <v>219.5</v>
      </c>
      <c r="D416" s="1320">
        <v>207.2</v>
      </c>
      <c r="E416" s="1320">
        <v>201.5</v>
      </c>
      <c r="F416" s="1320">
        <v>197.9</v>
      </c>
      <c r="G416" s="1314"/>
      <c r="H416" s="824">
        <v>85</v>
      </c>
      <c r="I416" s="1320">
        <v>173</v>
      </c>
      <c r="J416" s="1320">
        <v>167.8</v>
      </c>
      <c r="K416" s="1320">
        <v>165.3</v>
      </c>
      <c r="L416" s="1321">
        <v>163.6</v>
      </c>
      <c r="M416" s="1314"/>
      <c r="N416" s="824">
        <v>85</v>
      </c>
      <c r="O416" s="1320">
        <v>127.3</v>
      </c>
      <c r="P416" s="1320">
        <v>124.7</v>
      </c>
      <c r="Q416" s="1320">
        <v>123.4</v>
      </c>
      <c r="R416" s="1320">
        <v>122.6</v>
      </c>
      <c r="S416" s="1314"/>
      <c r="T416" s="824">
        <v>85</v>
      </c>
      <c r="U416" s="1320">
        <v>101.8</v>
      </c>
      <c r="V416" s="1320">
        <v>100</v>
      </c>
      <c r="W416" s="1320">
        <v>99.1</v>
      </c>
      <c r="X416" s="1320">
        <v>98.5</v>
      </c>
      <c r="Y416" s="1314"/>
      <c r="Z416" s="824">
        <v>85</v>
      </c>
      <c r="AA416" s="1320">
        <v>87.9</v>
      </c>
      <c r="AB416" s="1320">
        <v>86.4</v>
      </c>
      <c r="AC416" s="1320">
        <v>85.7</v>
      </c>
      <c r="AD416" s="1320">
        <v>85.2</v>
      </c>
      <c r="AE416" s="1314"/>
      <c r="AF416" s="1316">
        <v>85</v>
      </c>
      <c r="AG416" s="1322">
        <v>70.5</v>
      </c>
      <c r="AH416" s="1322">
        <v>66.5</v>
      </c>
      <c r="AI416" s="1322">
        <v>64.7</v>
      </c>
      <c r="AJ416" s="1322">
        <v>63.8</v>
      </c>
      <c r="AL416" s="824">
        <v>85</v>
      </c>
      <c r="AM416" s="1320">
        <v>198.9</v>
      </c>
      <c r="AN416" s="1320">
        <v>188.8</v>
      </c>
      <c r="AO416" s="1320">
        <v>184</v>
      </c>
      <c r="AP416" s="1320">
        <v>181</v>
      </c>
      <c r="AQ416" s="1314"/>
      <c r="AR416" s="824">
        <v>85</v>
      </c>
      <c r="AS416" s="1320">
        <v>173.5</v>
      </c>
      <c r="AT416" s="1320">
        <v>165.7</v>
      </c>
      <c r="AU416" s="1320">
        <v>162.1</v>
      </c>
      <c r="AV416" s="1320">
        <v>159.69999999999999</v>
      </c>
      <c r="AW416" s="1318"/>
      <c r="AX416" s="1319">
        <v>85</v>
      </c>
      <c r="AY416" s="1320">
        <v>143.4</v>
      </c>
      <c r="AZ416" s="1320">
        <v>138.1</v>
      </c>
      <c r="BA416" s="1320">
        <v>135.5</v>
      </c>
      <c r="BB416" s="1320">
        <v>133.9</v>
      </c>
      <c r="BD416" s="1310">
        <v>85</v>
      </c>
      <c r="BE416" s="1320">
        <v>68.5</v>
      </c>
      <c r="BF416" s="1320">
        <v>65.900000000000006</v>
      </c>
      <c r="BG416" s="1320">
        <v>64.7</v>
      </c>
      <c r="BH416" s="1320">
        <v>63.9</v>
      </c>
    </row>
    <row r="417" spans="1:60" ht="15" customHeight="1">
      <c r="C417" s="1314"/>
      <c r="D417" s="1314"/>
      <c r="E417" s="1314"/>
      <c r="F417" s="1314"/>
      <c r="G417" s="1314"/>
      <c r="I417" s="1314"/>
      <c r="J417" s="1314"/>
      <c r="K417" s="1314"/>
      <c r="L417" s="1314"/>
      <c r="M417" s="1314"/>
      <c r="O417" s="1314"/>
      <c r="P417" s="1314"/>
      <c r="Q417" s="1314"/>
      <c r="R417" s="1314"/>
      <c r="S417" s="1314"/>
      <c r="U417" s="1314"/>
      <c r="V417" s="1314"/>
      <c r="W417" s="1314"/>
      <c r="X417" s="1314"/>
      <c r="Y417" s="1314"/>
      <c r="AA417" s="1314"/>
      <c r="AB417" s="1314"/>
      <c r="AC417" s="1314"/>
      <c r="AD417" s="1314"/>
      <c r="AE417" s="1314"/>
      <c r="AF417" s="1316">
        <v>86</v>
      </c>
      <c r="AG417" s="1322">
        <v>70.8</v>
      </c>
      <c r="AH417" s="1322">
        <v>66.599999999999994</v>
      </c>
      <c r="AI417" s="1322">
        <v>64.7</v>
      </c>
      <c r="AJ417" s="1322">
        <v>63.8</v>
      </c>
      <c r="AM417" s="1314"/>
      <c r="AN417" s="1314"/>
      <c r="AO417" s="1314"/>
      <c r="AP417" s="1314"/>
      <c r="AQ417" s="1314"/>
      <c r="AS417" s="1314"/>
      <c r="AT417" s="1314"/>
      <c r="AU417" s="1314"/>
      <c r="AV417" s="1314"/>
      <c r="AW417" s="1318"/>
      <c r="AX417" s="1319"/>
      <c r="AY417" s="831"/>
      <c r="AZ417" s="831"/>
      <c r="BA417" s="831"/>
      <c r="BB417" s="831"/>
      <c r="BD417" s="1310"/>
      <c r="BE417" s="1325"/>
      <c r="BF417" s="1325"/>
      <c r="BG417" s="1325"/>
      <c r="BH417" s="1325"/>
    </row>
    <row r="418" spans="1:60" ht="15" customHeight="1">
      <c r="C418" s="1314"/>
      <c r="D418" s="1314"/>
      <c r="E418" s="1314"/>
      <c r="F418" s="1314"/>
      <c r="G418" s="1314"/>
      <c r="I418" s="1314"/>
      <c r="J418" s="1314"/>
      <c r="K418" s="1314"/>
      <c r="L418" s="1314"/>
      <c r="M418" s="1314"/>
      <c r="O418" s="1314"/>
      <c r="P418" s="1314"/>
      <c r="Q418" s="1314"/>
      <c r="R418" s="1314"/>
      <c r="S418" s="1314"/>
      <c r="U418" s="1314"/>
      <c r="V418" s="1314"/>
      <c r="W418" s="1314"/>
      <c r="X418" s="1314"/>
      <c r="Y418" s="1314"/>
      <c r="AA418" s="1314"/>
      <c r="AB418" s="1314"/>
      <c r="AC418" s="1314"/>
      <c r="AD418" s="1314"/>
      <c r="AE418" s="1314"/>
      <c r="AF418" s="1316">
        <v>87</v>
      </c>
      <c r="AG418" s="1322">
        <v>71.099999999999994</v>
      </c>
      <c r="AH418" s="1322">
        <v>66.7</v>
      </c>
      <c r="AI418" s="1322">
        <v>64.7</v>
      </c>
      <c r="AJ418" s="1322">
        <v>63.8</v>
      </c>
      <c r="AM418" s="1314"/>
      <c r="AN418" s="1314"/>
      <c r="AO418" s="1314"/>
      <c r="AP418" s="1314"/>
      <c r="AQ418" s="1314"/>
      <c r="AS418" s="1314"/>
      <c r="AT418" s="1314"/>
      <c r="AU418" s="1314"/>
      <c r="AV418" s="1314"/>
      <c r="AW418" s="1318"/>
      <c r="AX418" s="1319"/>
      <c r="AY418" s="831"/>
      <c r="AZ418" s="831"/>
      <c r="BA418" s="831"/>
      <c r="BB418" s="831"/>
      <c r="BD418" s="1310"/>
      <c r="BE418" s="1325"/>
      <c r="BF418" s="1325"/>
      <c r="BG418" s="1325"/>
      <c r="BH418" s="1325"/>
    </row>
    <row r="419" spans="1:60" ht="15" customHeight="1">
      <c r="C419" s="1314"/>
      <c r="D419" s="1314"/>
      <c r="E419" s="1314"/>
      <c r="F419" s="1314"/>
      <c r="G419" s="1314"/>
      <c r="I419" s="1314"/>
      <c r="J419" s="1314"/>
      <c r="K419" s="1314"/>
      <c r="L419" s="1314"/>
      <c r="M419" s="1314"/>
      <c r="O419" s="1314"/>
      <c r="P419" s="1314"/>
      <c r="Q419" s="1314"/>
      <c r="R419" s="1314"/>
      <c r="S419" s="1314"/>
      <c r="U419" s="1314"/>
      <c r="V419" s="1314"/>
      <c r="W419" s="1314"/>
      <c r="X419" s="1314"/>
      <c r="Y419" s="1314"/>
      <c r="AA419" s="1314"/>
      <c r="AB419" s="1314"/>
      <c r="AC419" s="1314"/>
      <c r="AD419" s="1314"/>
      <c r="AE419" s="1314"/>
      <c r="AF419" s="1316">
        <v>88</v>
      </c>
      <c r="AG419" s="1322">
        <v>71.400000000000006</v>
      </c>
      <c r="AH419" s="1322">
        <v>66.8</v>
      </c>
      <c r="AI419" s="1322">
        <v>64.7</v>
      </c>
      <c r="AJ419" s="1322">
        <v>63.8</v>
      </c>
      <c r="AM419" s="1314"/>
      <c r="AN419" s="1314"/>
      <c r="AO419" s="1314"/>
      <c r="AP419" s="1314"/>
      <c r="AQ419" s="1314"/>
      <c r="AS419" s="1314"/>
      <c r="AT419" s="1314"/>
      <c r="AU419" s="1314"/>
      <c r="AV419" s="1314"/>
      <c r="AW419" s="1318"/>
      <c r="AX419" s="1319"/>
      <c r="AY419" s="831"/>
      <c r="AZ419" s="831"/>
      <c r="BA419" s="831"/>
      <c r="BB419" s="831"/>
      <c r="BD419" s="1310"/>
      <c r="BE419" s="1325"/>
      <c r="BF419" s="1325"/>
      <c r="BG419" s="1325"/>
      <c r="BH419" s="1325"/>
    </row>
    <row r="420" spans="1:60" ht="15" customHeight="1">
      <c r="C420" s="1314"/>
      <c r="D420" s="1314"/>
      <c r="E420" s="1314"/>
      <c r="F420" s="1314"/>
      <c r="G420" s="1314"/>
      <c r="I420" s="1314"/>
      <c r="J420" s="1314"/>
      <c r="K420" s="1314"/>
      <c r="L420" s="1314"/>
      <c r="M420" s="1314"/>
      <c r="O420" s="1314"/>
      <c r="P420" s="1314"/>
      <c r="Q420" s="1314"/>
      <c r="R420" s="1314"/>
      <c r="S420" s="1314"/>
      <c r="U420" s="1314"/>
      <c r="V420" s="1314"/>
      <c r="W420" s="1314"/>
      <c r="X420" s="1314"/>
      <c r="Y420" s="1314"/>
      <c r="AA420" s="1314"/>
      <c r="AB420" s="1314"/>
      <c r="AC420" s="1314"/>
      <c r="AD420" s="1314"/>
      <c r="AE420" s="1314"/>
      <c r="AF420" s="1316">
        <v>89</v>
      </c>
      <c r="AG420" s="1322">
        <v>71.7</v>
      </c>
      <c r="AH420" s="1322">
        <v>66.900000000000006</v>
      </c>
      <c r="AI420" s="1322">
        <v>64.7</v>
      </c>
      <c r="AJ420" s="1322">
        <v>63.8</v>
      </c>
      <c r="AM420" s="1314"/>
      <c r="AN420" s="1314"/>
      <c r="AO420" s="1314"/>
      <c r="AP420" s="1314"/>
      <c r="AQ420" s="1314"/>
      <c r="AS420" s="1314"/>
      <c r="AT420" s="1314"/>
      <c r="AU420" s="1314"/>
      <c r="AV420" s="1314"/>
      <c r="AW420" s="1318"/>
      <c r="AX420" s="1319"/>
      <c r="AY420" s="831"/>
      <c r="AZ420" s="831"/>
      <c r="BA420" s="831"/>
      <c r="BB420" s="831"/>
      <c r="BD420" s="1310"/>
      <c r="BE420" s="1325"/>
      <c r="BF420" s="1325"/>
      <c r="BG420" s="1325"/>
      <c r="BH420" s="1325"/>
    </row>
    <row r="421" spans="1:60" ht="15" customHeight="1">
      <c r="C421" s="1314"/>
      <c r="D421" s="1314"/>
      <c r="E421" s="1314"/>
      <c r="F421" s="1314"/>
      <c r="G421" s="1314"/>
      <c r="I421" s="1314"/>
      <c r="J421" s="1314"/>
      <c r="K421" s="1314"/>
      <c r="L421" s="1314"/>
      <c r="M421" s="1314"/>
      <c r="O421" s="1314"/>
      <c r="P421" s="1314"/>
      <c r="Q421" s="1314"/>
      <c r="R421" s="1314"/>
      <c r="S421" s="1314"/>
      <c r="U421" s="1314"/>
      <c r="V421" s="1314"/>
      <c r="W421" s="1314"/>
      <c r="X421" s="1314"/>
      <c r="Y421" s="1314"/>
      <c r="AA421" s="1314"/>
      <c r="AB421" s="1314"/>
      <c r="AC421" s="1314"/>
      <c r="AD421" s="1314"/>
      <c r="AE421" s="1314"/>
      <c r="AF421" s="1316">
        <v>90</v>
      </c>
      <c r="AG421" s="1322">
        <v>72</v>
      </c>
      <c r="AH421" s="1322">
        <v>67</v>
      </c>
      <c r="AI421" s="1322">
        <v>64.7</v>
      </c>
      <c r="AJ421" s="1322">
        <v>63.8</v>
      </c>
      <c r="AM421" s="1326" t="e">
        <f>IF(AQ421="Yearly",1,IF(AQ421="Half Yearly",2,IF(AQ421="Quarterly",4,12)))</f>
        <v>#REF!</v>
      </c>
      <c r="AN421" s="1314"/>
      <c r="AO421" s="1314"/>
      <c r="AP421" s="1222" t="e">
        <f>IF(AQ421="Yearly",2,IF(AQ421="Half Yearly",3,IF(AQ421="Quarterly",4,5)))</f>
        <v>#REF!</v>
      </c>
      <c r="AQ421" s="1314" t="e">
        <f>#REF!</f>
        <v>#REF!</v>
      </c>
      <c r="AR421" s="825"/>
      <c r="AS421" s="1171"/>
      <c r="AT421" s="1314"/>
      <c r="AU421" s="825" t="e">
        <f>LOOKUP($AM$421,$AT422:$AT425,AU422:AU425)</f>
        <v>#REF!</v>
      </c>
      <c r="AV421" s="1171" t="e">
        <f>LOOKUP($AM$421,$AT422:$AT425,AV422:AV425)</f>
        <v>#REF!</v>
      </c>
      <c r="AW421" s="1318"/>
      <c r="AX421" s="1319"/>
      <c r="AY421" s="831"/>
      <c r="AZ421" s="831"/>
      <c r="BA421" s="831"/>
      <c r="BB421" s="831"/>
      <c r="BD421" s="1310"/>
      <c r="BE421" s="1325"/>
      <c r="BF421" s="1325"/>
      <c r="BG421" s="1325"/>
      <c r="BH421" s="1325"/>
    </row>
    <row r="422" spans="1:60" ht="15" customHeight="1">
      <c r="C422" s="1314"/>
      <c r="D422" s="1314"/>
      <c r="E422" s="1314"/>
      <c r="F422" s="1314"/>
      <c r="G422" s="1314"/>
      <c r="I422" s="1314"/>
      <c r="J422" s="1314"/>
      <c r="K422" s="1314"/>
      <c r="L422" s="1314"/>
      <c r="M422" s="1314"/>
      <c r="O422" s="1314"/>
      <c r="P422" s="1314"/>
      <c r="Q422" s="1314"/>
      <c r="R422" s="1314"/>
      <c r="S422" s="1314"/>
      <c r="U422" s="1314"/>
      <c r="V422" s="1314"/>
      <c r="W422" s="1314"/>
      <c r="X422" s="1314"/>
      <c r="Y422" s="1314"/>
      <c r="AA422" s="1314"/>
      <c r="AB422" s="1314"/>
      <c r="AC422" s="1314"/>
      <c r="AD422" s="1314"/>
      <c r="AE422" s="1314"/>
      <c r="AF422" s="1316">
        <v>91</v>
      </c>
      <c r="AG422" s="1322">
        <v>72.400000000000006</v>
      </c>
      <c r="AH422" s="1322">
        <v>67</v>
      </c>
      <c r="AI422" s="1322">
        <v>64.7</v>
      </c>
      <c r="AJ422" s="1322">
        <v>63.9</v>
      </c>
      <c r="AM422" s="1314"/>
      <c r="AN422" s="1314"/>
      <c r="AO422" s="1314"/>
      <c r="AP422" s="1314"/>
      <c r="AQ422" s="1327" t="s">
        <v>3</v>
      </c>
      <c r="AR422" s="825" t="e">
        <f>AG434</f>
        <v>#REF!</v>
      </c>
      <c r="AS422" s="1171" t="e">
        <f>AG435</f>
        <v>#REF!</v>
      </c>
      <c r="AT422" s="1328">
        <v>1</v>
      </c>
      <c r="AU422" s="825" t="e">
        <f>AG434</f>
        <v>#REF!</v>
      </c>
      <c r="AV422" s="1171" t="e">
        <f>AG435</f>
        <v>#REF!</v>
      </c>
      <c r="AW422" s="1318"/>
      <c r="AX422" s="1319"/>
      <c r="AY422" s="831"/>
      <c r="AZ422" s="831"/>
      <c r="BA422" s="831"/>
      <c r="BB422" s="831"/>
      <c r="BD422" s="1310"/>
      <c r="BE422" s="1325"/>
      <c r="BF422" s="1325"/>
      <c r="BG422" s="1325"/>
      <c r="BH422" s="1325"/>
    </row>
    <row r="423" spans="1:60" ht="15" customHeight="1">
      <c r="C423" s="1314"/>
      <c r="D423" s="1314"/>
      <c r="E423" s="1314"/>
      <c r="F423" s="1314"/>
      <c r="G423" s="1314"/>
      <c r="I423" s="1314"/>
      <c r="J423" s="1314"/>
      <c r="K423" s="1314"/>
      <c r="L423" s="1314"/>
      <c r="M423" s="1314"/>
      <c r="O423" s="1314"/>
      <c r="P423" s="1314"/>
      <c r="Q423" s="1314"/>
      <c r="R423" s="1314"/>
      <c r="S423" s="1314"/>
      <c r="U423" s="1314"/>
      <c r="V423" s="1314"/>
      <c r="W423" s="1314"/>
      <c r="X423" s="1314"/>
      <c r="Y423" s="1314"/>
      <c r="AA423" s="1314"/>
      <c r="AB423" s="1314"/>
      <c r="AC423" s="1314"/>
      <c r="AD423" s="1314"/>
      <c r="AE423" s="1314"/>
      <c r="AF423" s="1316">
        <v>92</v>
      </c>
      <c r="AG423" s="1322">
        <v>72.8</v>
      </c>
      <c r="AH423" s="1322">
        <v>67.099999999999994</v>
      </c>
      <c r="AI423" s="1322">
        <v>64.7</v>
      </c>
      <c r="AJ423" s="1322">
        <v>63.9</v>
      </c>
      <c r="AM423" s="1314"/>
      <c r="AN423" s="1314"/>
      <c r="AO423" s="1314"/>
      <c r="AP423" s="1314"/>
      <c r="AQ423" s="1327" t="s">
        <v>2</v>
      </c>
      <c r="AR423" s="825" t="e">
        <f>AH434</f>
        <v>#REF!</v>
      </c>
      <c r="AS423" s="1171" t="e">
        <f>AH435</f>
        <v>#REF!</v>
      </c>
      <c r="AT423" s="1328">
        <v>2</v>
      </c>
      <c r="AU423" s="825" t="e">
        <f>AH434</f>
        <v>#REF!</v>
      </c>
      <c r="AV423" s="1171" t="e">
        <f>AH435</f>
        <v>#REF!</v>
      </c>
      <c r="AW423" s="1318"/>
      <c r="AX423" s="1319"/>
      <c r="AY423" s="831"/>
      <c r="AZ423" s="831"/>
      <c r="BA423" s="831"/>
      <c r="BB423" s="831"/>
      <c r="BD423" s="1310"/>
      <c r="BE423" s="1325"/>
      <c r="BF423" s="1325"/>
      <c r="BG423" s="1325"/>
      <c r="BH423" s="1325"/>
    </row>
    <row r="424" spans="1:60" ht="15" customHeight="1">
      <c r="C424" s="1314"/>
      <c r="D424" s="1314"/>
      <c r="E424" s="1314"/>
      <c r="F424" s="1314"/>
      <c r="G424" s="1314"/>
      <c r="I424" s="1314"/>
      <c r="J424" s="1314"/>
      <c r="K424" s="1314"/>
      <c r="L424" s="1314"/>
      <c r="M424" s="1314"/>
      <c r="O424" s="1314"/>
      <c r="P424" s="1314"/>
      <c r="Q424" s="1314"/>
      <c r="R424" s="1314"/>
      <c r="S424" s="1314"/>
      <c r="U424" s="1314"/>
      <c r="V424" s="1314"/>
      <c r="W424" s="1314"/>
      <c r="X424" s="1314"/>
      <c r="Y424" s="1314"/>
      <c r="AA424" s="1314"/>
      <c r="AB424" s="1314"/>
      <c r="AC424" s="1314"/>
      <c r="AD424" s="1314"/>
      <c r="AE424" s="1314"/>
      <c r="AF424" s="1316">
        <v>93</v>
      </c>
      <c r="AG424" s="1322">
        <v>73.2</v>
      </c>
      <c r="AH424" s="1322">
        <v>67.2</v>
      </c>
      <c r="AI424" s="1322">
        <v>64.8</v>
      </c>
      <c r="AJ424" s="1322">
        <v>63.9</v>
      </c>
      <c r="AM424" s="1327" t="e">
        <f>IF(AM421=1,12,IF(AM421=2,6,IF(AM421=4,3,1)))</f>
        <v>#REF!</v>
      </c>
      <c r="AN424" s="1314"/>
      <c r="AO424" s="1314"/>
      <c r="AP424" s="1314"/>
      <c r="AQ424" s="1327" t="s">
        <v>1</v>
      </c>
      <c r="AR424" s="825" t="e">
        <f>AI434</f>
        <v>#REF!</v>
      </c>
      <c r="AS424" s="1171" t="e">
        <f>AI435</f>
        <v>#REF!</v>
      </c>
      <c r="AT424" s="1328">
        <v>4</v>
      </c>
      <c r="AU424" s="825" t="e">
        <f>AI434</f>
        <v>#REF!</v>
      </c>
      <c r="AV424" s="1171" t="e">
        <f>AI435</f>
        <v>#REF!</v>
      </c>
      <c r="AW424" s="1318"/>
      <c r="AX424" s="1319"/>
      <c r="AY424" s="831"/>
      <c r="AZ424" s="831"/>
      <c r="BA424" s="831"/>
      <c r="BB424" s="831"/>
      <c r="BD424" s="1310"/>
      <c r="BE424" s="1325"/>
      <c r="BF424" s="1325"/>
      <c r="BG424" s="1325"/>
      <c r="BH424" s="1325"/>
    </row>
    <row r="425" spans="1:60" ht="15" customHeight="1">
      <c r="C425" s="1314"/>
      <c r="D425" s="1314"/>
      <c r="E425" s="1314"/>
      <c r="F425" s="1314"/>
      <c r="G425" s="1314"/>
      <c r="I425" s="1314"/>
      <c r="J425" s="1314"/>
      <c r="K425" s="1314"/>
      <c r="L425" s="1314"/>
      <c r="M425" s="1314"/>
      <c r="O425" s="1314"/>
      <c r="P425" s="1314"/>
      <c r="Q425" s="1314"/>
      <c r="R425" s="1314"/>
      <c r="S425" s="1314"/>
      <c r="U425" s="1314"/>
      <c r="V425" s="1314"/>
      <c r="W425" s="1314"/>
      <c r="X425" s="1314"/>
      <c r="Y425" s="1314"/>
      <c r="AA425" s="1314"/>
      <c r="AB425" s="1314"/>
      <c r="AC425" s="1314"/>
      <c r="AD425" s="1314"/>
      <c r="AE425" s="1314"/>
      <c r="AF425" s="1316">
        <v>94</v>
      </c>
      <c r="AG425" s="1322">
        <v>73.599999999999994</v>
      </c>
      <c r="AH425" s="1322">
        <v>67.3</v>
      </c>
      <c r="AI425" s="1322">
        <v>64.8</v>
      </c>
      <c r="AJ425" s="1322">
        <v>63.9</v>
      </c>
      <c r="AM425" s="1314"/>
      <c r="AN425" s="1314"/>
      <c r="AO425" s="1314"/>
      <c r="AP425" s="1314"/>
      <c r="AQ425" s="1327" t="s">
        <v>0</v>
      </c>
      <c r="AR425" s="825" t="e">
        <f>AJ434</f>
        <v>#REF!</v>
      </c>
      <c r="AS425" s="1171" t="e">
        <f>AJ435</f>
        <v>#REF!</v>
      </c>
      <c r="AT425" s="1328">
        <v>12</v>
      </c>
      <c r="AU425" s="825" t="e">
        <f>AJ434</f>
        <v>#REF!</v>
      </c>
      <c r="AV425" s="1171" t="e">
        <f>AJ435</f>
        <v>#REF!</v>
      </c>
      <c r="AW425" s="1318"/>
      <c r="AX425" s="1319"/>
      <c r="AY425" s="831"/>
      <c r="AZ425" s="831"/>
      <c r="BA425" s="831"/>
      <c r="BB425" s="831"/>
      <c r="BD425" s="1310"/>
      <c r="BE425" s="1325"/>
      <c r="BF425" s="1325"/>
      <c r="BG425" s="1325"/>
      <c r="BH425" s="1325"/>
    </row>
    <row r="426" spans="1:60" ht="15" customHeight="1">
      <c r="C426" s="1314"/>
      <c r="D426" s="1314"/>
      <c r="E426" s="1314"/>
      <c r="F426" s="1314"/>
      <c r="G426" s="1314"/>
      <c r="I426" s="1314"/>
      <c r="J426" s="1314"/>
      <c r="K426" s="1314"/>
      <c r="L426" s="1314"/>
      <c r="M426" s="1314"/>
      <c r="O426" s="1314"/>
      <c r="P426" s="1314"/>
      <c r="Q426" s="1314"/>
      <c r="R426" s="1314"/>
      <c r="S426" s="1314"/>
      <c r="U426" s="1314"/>
      <c r="V426" s="1314"/>
      <c r="W426" s="1314"/>
      <c r="X426" s="1314"/>
      <c r="Y426" s="1314"/>
      <c r="AA426" s="1314"/>
      <c r="AB426" s="1314"/>
      <c r="AC426" s="1314"/>
      <c r="AD426" s="1314"/>
      <c r="AE426" s="1314"/>
      <c r="AF426" s="1316">
        <v>95</v>
      </c>
      <c r="AG426" s="1322">
        <v>74.099999999999994</v>
      </c>
      <c r="AH426" s="1322">
        <v>67.5</v>
      </c>
      <c r="AI426" s="1322">
        <v>64.8</v>
      </c>
      <c r="AJ426" s="1322">
        <v>63.9</v>
      </c>
      <c r="AM426" s="1314"/>
      <c r="AN426" s="1314"/>
      <c r="AO426" s="1314"/>
      <c r="AP426" s="1314"/>
      <c r="AQ426" s="1314"/>
      <c r="AS426" s="1314"/>
      <c r="AT426" s="1314"/>
      <c r="AU426" s="1314"/>
      <c r="AV426" s="1314"/>
      <c r="AW426" s="1318"/>
      <c r="AX426" s="1319"/>
      <c r="AY426" s="831"/>
      <c r="AZ426" s="831"/>
      <c r="BA426" s="831"/>
      <c r="BB426" s="831"/>
      <c r="BD426" s="1310"/>
      <c r="BE426" s="1325"/>
      <c r="BF426" s="1325"/>
      <c r="BG426" s="1325"/>
      <c r="BH426" s="1325"/>
    </row>
    <row r="427" spans="1:60" ht="15" customHeight="1">
      <c r="C427" s="1314"/>
      <c r="D427" s="1314"/>
      <c r="E427" s="1314"/>
      <c r="F427" s="1314"/>
      <c r="G427" s="1314"/>
      <c r="I427" s="1314"/>
      <c r="J427" s="1314"/>
      <c r="K427" s="1314"/>
      <c r="L427" s="1314"/>
      <c r="M427" s="1314"/>
      <c r="O427" s="1314"/>
      <c r="P427" s="1314"/>
      <c r="Q427" s="1314"/>
      <c r="R427" s="1314"/>
      <c r="S427" s="1314"/>
      <c r="U427" s="1314"/>
      <c r="V427" s="1314"/>
      <c r="W427" s="1314"/>
      <c r="X427" s="1314"/>
      <c r="Y427" s="1314"/>
      <c r="AA427" s="1314"/>
      <c r="AB427" s="1314"/>
      <c r="AC427" s="1314"/>
      <c r="AD427" s="1314"/>
      <c r="AE427" s="1314"/>
      <c r="AF427" s="1316">
        <v>96</v>
      </c>
      <c r="AG427" s="1322">
        <v>74.5</v>
      </c>
      <c r="AH427" s="1322">
        <v>67.599999999999994</v>
      </c>
      <c r="AI427" s="1322">
        <v>64.8</v>
      </c>
      <c r="AJ427" s="1322">
        <v>63.9</v>
      </c>
      <c r="AM427" s="1314"/>
      <c r="AN427" s="1314"/>
      <c r="AO427" s="1314"/>
      <c r="AP427" s="1314"/>
      <c r="AQ427" s="1314"/>
      <c r="AS427" s="1314"/>
      <c r="AT427" s="1314"/>
      <c r="AU427" s="1314"/>
      <c r="AV427" s="1314"/>
      <c r="AW427" s="1318"/>
      <c r="AX427" s="1319"/>
      <c r="AY427" s="831"/>
      <c r="AZ427" s="831"/>
      <c r="BA427" s="831"/>
      <c r="BB427" s="831"/>
      <c r="BD427" s="1310"/>
      <c r="BE427" s="1325"/>
      <c r="BF427" s="1325"/>
      <c r="BG427" s="1325"/>
      <c r="BH427" s="1325"/>
    </row>
    <row r="428" spans="1:60" ht="15" customHeight="1">
      <c r="C428" s="1314"/>
      <c r="D428" s="1314"/>
      <c r="E428" s="1314"/>
      <c r="F428" s="1314"/>
      <c r="G428" s="1314"/>
      <c r="I428" s="1314"/>
      <c r="J428" s="1314"/>
      <c r="K428" s="1314"/>
      <c r="L428" s="1314"/>
      <c r="M428" s="1314"/>
      <c r="O428" s="1314"/>
      <c r="P428" s="1314"/>
      <c r="Q428" s="1314"/>
      <c r="R428" s="1314"/>
      <c r="S428" s="1314"/>
      <c r="U428" s="1314"/>
      <c r="V428" s="1314"/>
      <c r="W428" s="1314"/>
      <c r="X428" s="1314"/>
      <c r="Y428" s="1314"/>
      <c r="AA428" s="1314"/>
      <c r="AB428" s="1314"/>
      <c r="AC428" s="1314"/>
      <c r="AD428" s="1314"/>
      <c r="AE428" s="1314"/>
      <c r="AF428" s="1316">
        <v>97</v>
      </c>
      <c r="AG428" s="1322">
        <v>75</v>
      </c>
      <c r="AH428" s="1322">
        <v>67.7</v>
      </c>
      <c r="AI428" s="1322">
        <v>64.8</v>
      </c>
      <c r="AJ428" s="1322">
        <v>63.9</v>
      </c>
      <c r="AM428" s="1314"/>
      <c r="AN428" s="1314"/>
      <c r="AO428" s="1314"/>
      <c r="AP428" s="1314"/>
      <c r="AQ428" s="1314"/>
      <c r="AS428" s="1314"/>
      <c r="AT428" s="1314"/>
      <c r="AU428" s="1314"/>
      <c r="AV428" s="1314"/>
      <c r="AW428" s="1318"/>
      <c r="AX428" s="1319"/>
      <c r="AY428" s="831"/>
      <c r="AZ428" s="831"/>
      <c r="BA428" s="831"/>
      <c r="BB428" s="831"/>
      <c r="BD428" s="1310"/>
      <c r="BE428" s="1325"/>
      <c r="BF428" s="1325"/>
      <c r="BG428" s="1325"/>
      <c r="BH428" s="1325"/>
    </row>
    <row r="429" spans="1:60" ht="15" customHeight="1">
      <c r="A429" s="825"/>
      <c r="B429" s="830"/>
      <c r="C429" s="1314"/>
      <c r="D429" s="1314"/>
      <c r="E429" s="1314"/>
      <c r="F429" s="1314"/>
      <c r="G429" s="1314"/>
      <c r="I429" s="1314"/>
      <c r="J429" s="1314"/>
      <c r="K429" s="1314"/>
      <c r="L429" s="1314"/>
      <c r="M429" s="1314"/>
      <c r="O429" s="1314"/>
      <c r="P429" s="1314"/>
      <c r="Q429" s="1314"/>
      <c r="R429" s="1314"/>
      <c r="S429" s="1314"/>
      <c r="U429" s="1314"/>
      <c r="V429" s="1314"/>
      <c r="W429" s="1314"/>
      <c r="X429" s="1314"/>
      <c r="Y429" s="1314"/>
      <c r="AA429" s="1314"/>
      <c r="AB429" s="1314"/>
      <c r="AC429" s="1314"/>
      <c r="AD429" s="1314"/>
      <c r="AE429" s="1314"/>
      <c r="AF429" s="1316">
        <v>98</v>
      </c>
      <c r="AG429" s="1322">
        <v>75.599999999999994</v>
      </c>
      <c r="AH429" s="1322">
        <v>67.8</v>
      </c>
      <c r="AI429" s="1322">
        <v>64.8</v>
      </c>
      <c r="AJ429" s="1322">
        <v>63.9</v>
      </c>
      <c r="AM429" s="1314"/>
      <c r="AN429" s="1314"/>
      <c r="AO429" s="1314"/>
      <c r="AP429" s="1314"/>
      <c r="AQ429" s="1314"/>
      <c r="AS429" s="1314"/>
      <c r="AT429" s="1314"/>
      <c r="AU429" s="1314"/>
      <c r="AV429" s="1314"/>
      <c r="AW429" s="1318"/>
      <c r="AX429" s="1319"/>
      <c r="AY429" s="831"/>
      <c r="AZ429" s="831"/>
      <c r="BA429" s="831"/>
      <c r="BB429" s="831"/>
      <c r="BD429" s="1310"/>
      <c r="BE429" s="1325"/>
      <c r="BF429" s="1325"/>
      <c r="BG429" s="1325"/>
      <c r="BH429" s="1325"/>
    </row>
    <row r="430" spans="1:60" ht="15" customHeight="1">
      <c r="B430" s="829"/>
      <c r="C430" s="1314"/>
      <c r="D430" s="1314"/>
      <c r="E430" s="1314"/>
      <c r="F430" s="1314"/>
      <c r="G430" s="1314"/>
      <c r="I430" s="1314"/>
      <c r="J430" s="1314"/>
      <c r="K430" s="1314"/>
      <c r="L430" s="1314"/>
      <c r="M430" s="1314"/>
      <c r="O430" s="1314"/>
      <c r="P430" s="1314"/>
      <c r="Q430" s="1314"/>
      <c r="R430" s="1314"/>
      <c r="S430" s="1314"/>
      <c r="U430" s="1314"/>
      <c r="V430" s="1314"/>
      <c r="W430" s="1314"/>
      <c r="X430" s="1314"/>
      <c r="Y430" s="1314"/>
      <c r="AA430" s="1314"/>
      <c r="AB430" s="1314"/>
      <c r="AC430" s="1314"/>
      <c r="AD430" s="1314"/>
      <c r="AE430" s="1314"/>
      <c r="AF430" s="1316">
        <v>99</v>
      </c>
      <c r="AG430" s="1322">
        <v>76.099999999999994</v>
      </c>
      <c r="AH430" s="1322">
        <v>67.900000000000006</v>
      </c>
      <c r="AI430" s="1322">
        <v>64.8</v>
      </c>
      <c r="AJ430" s="1322">
        <v>63.9</v>
      </c>
      <c r="AM430" s="1314"/>
      <c r="AN430" s="1314"/>
      <c r="AO430" s="1314"/>
      <c r="AP430" s="1314"/>
      <c r="AQ430" s="1314"/>
      <c r="AS430" s="1314"/>
      <c r="AT430" s="1314"/>
      <c r="AU430" s="1314"/>
      <c r="AV430" s="1314"/>
      <c r="AW430" s="1318"/>
      <c r="AX430" s="1319"/>
      <c r="AY430" s="831"/>
      <c r="AZ430" s="831"/>
      <c r="BA430" s="831"/>
      <c r="BB430" s="831"/>
      <c r="BD430" s="1310"/>
      <c r="BE430" s="1325"/>
      <c r="BF430" s="1325"/>
      <c r="BG430" s="1325"/>
      <c r="BH430" s="1325"/>
    </row>
    <row r="431" spans="1:60" ht="15" customHeight="1">
      <c r="B431" s="829"/>
      <c r="C431" s="1314"/>
      <c r="D431" s="1314"/>
      <c r="E431" s="1314"/>
      <c r="F431" s="1314"/>
      <c r="G431" s="1314"/>
      <c r="I431" s="1314"/>
      <c r="J431" s="1314"/>
      <c r="K431" s="1314"/>
      <c r="L431" s="1314"/>
      <c r="M431" s="1314"/>
      <c r="O431" s="1314"/>
      <c r="P431" s="1314"/>
      <c r="Q431" s="1314"/>
      <c r="R431" s="1314"/>
      <c r="S431" s="1314"/>
      <c r="U431" s="1314"/>
      <c r="V431" s="1314"/>
      <c r="W431" s="1314"/>
      <c r="X431" s="1314"/>
      <c r="Y431" s="1314"/>
      <c r="AA431" s="1314"/>
      <c r="AB431" s="1314"/>
      <c r="AC431" s="1314"/>
      <c r="AD431" s="1314"/>
      <c r="AE431" s="1314"/>
      <c r="AF431" s="1316">
        <v>100</v>
      </c>
      <c r="AG431" s="1322">
        <v>76.7</v>
      </c>
      <c r="AH431" s="1322">
        <v>68.099999999999994</v>
      </c>
      <c r="AI431" s="1322">
        <v>64.8</v>
      </c>
      <c r="AJ431" s="1322">
        <v>63.9</v>
      </c>
      <c r="AM431" s="1314"/>
      <c r="AN431" s="1314"/>
      <c r="AO431" s="1314"/>
      <c r="AP431" s="1314"/>
      <c r="AQ431" s="1314"/>
      <c r="AS431" s="1314"/>
      <c r="AT431" s="1314"/>
      <c r="AU431" s="1314"/>
      <c r="AV431" s="1314"/>
      <c r="AW431" s="1318"/>
      <c r="AX431" s="1319"/>
      <c r="AY431" s="831"/>
      <c r="AZ431" s="831"/>
      <c r="BA431" s="831"/>
      <c r="BB431" s="831"/>
      <c r="BD431" s="1310"/>
      <c r="BE431" s="1325"/>
      <c r="BF431" s="1325"/>
      <c r="BG431" s="1325"/>
      <c r="BH431" s="1325"/>
    </row>
    <row r="432" spans="1:60" ht="15" customHeight="1">
      <c r="B432" s="829"/>
      <c r="C432" s="1314"/>
      <c r="D432" s="1314"/>
      <c r="E432" s="1314"/>
      <c r="F432" s="1314"/>
      <c r="G432" s="1314"/>
      <c r="I432" s="1314"/>
      <c r="J432" s="1314"/>
      <c r="K432" s="1314"/>
      <c r="L432" s="1314"/>
      <c r="M432" s="1314"/>
      <c r="O432" s="1314"/>
      <c r="P432" s="1314"/>
      <c r="Q432" s="1314"/>
      <c r="R432" s="1314"/>
      <c r="S432" s="1314"/>
      <c r="U432" s="1314"/>
      <c r="V432" s="1314"/>
      <c r="W432" s="1314"/>
      <c r="X432" s="1314"/>
      <c r="Y432" s="1314"/>
      <c r="AA432" s="1314"/>
      <c r="AB432" s="1314"/>
      <c r="AC432" s="1314"/>
      <c r="AD432" s="1314"/>
      <c r="AE432" s="1314"/>
      <c r="AF432" s="1329"/>
      <c r="AG432" s="1330"/>
      <c r="AH432" s="1331"/>
      <c r="AI432" s="1331"/>
      <c r="AJ432" s="1331"/>
      <c r="AM432" s="1314"/>
      <c r="AN432" s="1314"/>
      <c r="AO432" s="1314"/>
      <c r="AP432" s="1314"/>
      <c r="AQ432" s="1314"/>
      <c r="AS432" s="1314"/>
      <c r="AT432" s="1314"/>
      <c r="AU432" s="1314"/>
      <c r="AV432" s="1314"/>
      <c r="AW432" s="1318"/>
      <c r="AX432" s="1319"/>
      <c r="AY432" s="831"/>
      <c r="AZ432" s="831"/>
      <c r="BA432" s="831"/>
      <c r="BB432" s="831"/>
      <c r="BD432" s="1310"/>
      <c r="BE432" s="1325"/>
      <c r="BF432" s="1325"/>
      <c r="BG432" s="1325"/>
      <c r="BH432" s="1325"/>
    </row>
    <row r="433" spans="1:60" ht="15" customHeight="1">
      <c r="B433" s="829"/>
    </row>
    <row r="434" spans="1:60" s="825" customFormat="1" ht="15" customHeight="1">
      <c r="B434" s="833"/>
      <c r="C434" s="825" t="e">
        <f>($BK$360/1000)*(C356+$BL360)</f>
        <v>#REF!</v>
      </c>
      <c r="D434" s="825" t="e">
        <f>(($BK$360/1000)*(D356+$BM360))/2</f>
        <v>#REF!</v>
      </c>
      <c r="E434" s="825" t="e">
        <f>(($BK$360/1000)*(E356+$BN360))/4</f>
        <v>#REF!</v>
      </c>
      <c r="F434" s="825" t="e">
        <f>(($BK$360/1000)*(F356+$BO360))/12</f>
        <v>#REF!</v>
      </c>
      <c r="I434" s="825" t="e">
        <f>($BK$360/1000)*(I356+$BL360)</f>
        <v>#REF!</v>
      </c>
      <c r="J434" s="825" t="e">
        <f>(($BK$360/1000)*(J356+$BM360))/2</f>
        <v>#REF!</v>
      </c>
      <c r="K434" s="825" t="e">
        <f>(($BK$360/1000)*(K356+$BN360))/4</f>
        <v>#REF!</v>
      </c>
      <c r="L434" s="825" t="e">
        <f>(($BK$360/1000)*(L356+$BO360))/12</f>
        <v>#REF!</v>
      </c>
      <c r="O434" s="825" t="e">
        <f>($BK$360/1000)*(O356+$BL360)</f>
        <v>#REF!</v>
      </c>
      <c r="P434" s="825" t="e">
        <f>(($BK$360/1000)*(P356+$BM360))/2</f>
        <v>#REF!</v>
      </c>
      <c r="Q434" s="825" t="e">
        <f>(($BK$360/1000)*(Q356+$BN360))/4</f>
        <v>#REF!</v>
      </c>
      <c r="R434" s="825" t="e">
        <f>(($BK$360/1000)*(R356+$BO360))/12</f>
        <v>#REF!</v>
      </c>
      <c r="U434" s="825" t="e">
        <f>($BK$360/1000)*(U356+$BL360)</f>
        <v>#REF!</v>
      </c>
      <c r="V434" s="825" t="e">
        <f>(($BK$360/1000)*(V356+$BM360))/2</f>
        <v>#REF!</v>
      </c>
      <c r="W434" s="825" t="e">
        <f>(($BK$360/1000)*(W356+$BN360))/4</f>
        <v>#REF!</v>
      </c>
      <c r="X434" s="825" t="e">
        <f>(($BK$360/1000)*(X356+$BO360))/12</f>
        <v>#REF!</v>
      </c>
      <c r="AA434" s="825" t="e">
        <f>($BK$360/1000)*(AA356+$BL360)</f>
        <v>#REF!</v>
      </c>
      <c r="AB434" s="825" t="e">
        <f>(($BK$360/1000)*(AB356+$BM360))/2</f>
        <v>#REF!</v>
      </c>
      <c r="AC434" s="825" t="e">
        <f>(($BK$360/1000)*(AC356+$BN360))/4</f>
        <v>#REF!</v>
      </c>
      <c r="AD434" s="825" t="e">
        <f>(($BK$360/1000)*(AD356+$BO360))/12</f>
        <v>#REF!</v>
      </c>
      <c r="AG434" s="825" t="e">
        <f>($BK$360/1000)*(AG356+$BL360)</f>
        <v>#REF!</v>
      </c>
      <c r="AH434" s="825" t="e">
        <f>(($BK$360/1000)*(AH356+$BM360))/2</f>
        <v>#REF!</v>
      </c>
      <c r="AI434" s="825" t="e">
        <f>(($BK$360/1000)*(AI356+$BN360))/4</f>
        <v>#REF!</v>
      </c>
      <c r="AJ434" s="825" t="e">
        <f>(($BK$360/1000)*(AJ356+$BO360))/12</f>
        <v>#REF!</v>
      </c>
      <c r="AM434" s="825" t="e">
        <f>($BK$360/1000)*(AM356+$BL360)</f>
        <v>#REF!</v>
      </c>
      <c r="AN434" s="825" t="e">
        <f>(($BK$360/1000)*(AN356+$BM360))/2</f>
        <v>#REF!</v>
      </c>
      <c r="AO434" s="825" t="e">
        <f>(($BK$360/1000)*(AO356+$BN360))/4</f>
        <v>#REF!</v>
      </c>
      <c r="AP434" s="825" t="e">
        <f>(($BK$360/1000)*(AP356+$BO360))/12</f>
        <v>#REF!</v>
      </c>
      <c r="AS434" s="825" t="e">
        <f>($BK$360/1000)*(AS356+$BL360)</f>
        <v>#REF!</v>
      </c>
      <c r="AT434" s="825" t="e">
        <f>(($BK$360/1000)*(AT356+$BM360))/2</f>
        <v>#REF!</v>
      </c>
      <c r="AU434" s="825" t="e">
        <f>(($BK$360/1000)*(AU356+$BN360))/4</f>
        <v>#REF!</v>
      </c>
      <c r="AV434" s="825" t="e">
        <f>(($BK$360/1000)*(AV356+$BO360))/12</f>
        <v>#REF!</v>
      </c>
      <c r="AY434" s="825" t="e">
        <f>($BK$360/1000)*(AY356+$BL360)</f>
        <v>#REF!</v>
      </c>
      <c r="AZ434" s="825" t="e">
        <f>(($BK$360/1000)*(AZ356+$BM360))/2</f>
        <v>#REF!</v>
      </c>
      <c r="BA434" s="825" t="e">
        <f>(($BK$360/1000)*(BA356+$BN360))/4</f>
        <v>#REF!</v>
      </c>
      <c r="BB434" s="825" t="e">
        <f>(($BK$360/1000)*(BB356+$BO360))/12</f>
        <v>#REF!</v>
      </c>
      <c r="BE434" s="825" t="e">
        <f>($BK$360/1000)*(BE356+$BL360)</f>
        <v>#REF!</v>
      </c>
      <c r="BF434" s="825" t="e">
        <f>(($BK$360/1000)*(BF356+$BM360))/2</f>
        <v>#REF!</v>
      </c>
      <c r="BG434" s="825" t="e">
        <f>(($BK$360/1000)*(BG356+$BN360))/4</f>
        <v>#REF!</v>
      </c>
      <c r="BH434" s="825" t="e">
        <f>(($BK$360/1000)*(BH356+$BO360))/12</f>
        <v>#REF!</v>
      </c>
    </row>
    <row r="435" spans="1:60" s="1171" customFormat="1" ht="15" customHeight="1">
      <c r="B435" s="834"/>
      <c r="C435" s="1171" t="e">
        <f>RATE(1, ,$BK$360,(-C434-$BK$360))</f>
        <v>#REF!</v>
      </c>
      <c r="D435" s="1171" t="e">
        <f>RATE(1/2, ,$BK$360,(-D434-$BK$360))</f>
        <v>#REF!</v>
      </c>
      <c r="E435" s="1171" t="e">
        <f>RATE(1/4, ,$BK$360,(-E434-$BK$360))</f>
        <v>#REF!</v>
      </c>
      <c r="F435" s="1171" t="e">
        <f>RATE(1/12, ,$BK$360,(-F434-$BK$360))</f>
        <v>#REF!</v>
      </c>
      <c r="I435" s="1171" t="e">
        <f>RATE(1, ,$BK$360,(-I434-$BK$360))</f>
        <v>#REF!</v>
      </c>
      <c r="J435" s="1171" t="e">
        <f>RATE(1/2, ,$BK$360,(-J434-$BK$360))</f>
        <v>#REF!</v>
      </c>
      <c r="K435" s="1171" t="e">
        <f>RATE(1/4, ,$BK$360,(-K434-$BK$360))</f>
        <v>#REF!</v>
      </c>
      <c r="L435" s="1171" t="e">
        <f>RATE(1/12, ,$BK$360,(-L434-$BK$360))</f>
        <v>#REF!</v>
      </c>
      <c r="O435" s="1171" t="e">
        <f>RATE(1, ,$BK$360,(-O434-$BK$360))</f>
        <v>#REF!</v>
      </c>
      <c r="P435" s="1171" t="e">
        <f>RATE(1/2, ,$BK$360,(-P434-$BK$360))</f>
        <v>#REF!</v>
      </c>
      <c r="Q435" s="1171" t="e">
        <f>RATE(1/4, ,$BK$360,(-Q434-$BK$360))</f>
        <v>#REF!</v>
      </c>
      <c r="R435" s="1171" t="e">
        <f>RATE(1/12, ,$BK$360,(-R434-$BK$360))</f>
        <v>#REF!</v>
      </c>
      <c r="U435" s="1171" t="e">
        <f>RATE(1, ,$BK$360,(-U434-$BK$360))</f>
        <v>#REF!</v>
      </c>
      <c r="V435" s="1171" t="e">
        <f>RATE(1/2, ,$BK$360,(-V434-$BK$360))</f>
        <v>#REF!</v>
      </c>
      <c r="W435" s="1171" t="e">
        <f>RATE(1/4, ,$BK$360,(-W434-$BK$360))</f>
        <v>#REF!</v>
      </c>
      <c r="X435" s="1171" t="e">
        <f>RATE(1/12, ,$BK$360,(-X434-$BK$360))</f>
        <v>#REF!</v>
      </c>
      <c r="AA435" s="1171" t="e">
        <f>RATE(1, ,$BK$360,(-AA434-$BK$360))</f>
        <v>#REF!</v>
      </c>
      <c r="AB435" s="1171" t="e">
        <f>RATE(1/2, ,$BK$360,(-AB434-$BK$360))</f>
        <v>#REF!</v>
      </c>
      <c r="AC435" s="1171" t="e">
        <f>RATE(1/4, ,$BK$360,(-AC434-$BK$360))</f>
        <v>#REF!</v>
      </c>
      <c r="AD435" s="1171" t="e">
        <f>RATE(1/12, ,$BK$360,(-AD434-$BK$360))</f>
        <v>#REF!</v>
      </c>
      <c r="AG435" s="1171" t="e">
        <f>RATE(1, ,$BK$360,(-AG434-$BK$360))</f>
        <v>#REF!</v>
      </c>
      <c r="AH435" s="1171" t="e">
        <f>RATE(1/2, ,$BK$360,(-AH434-$BK$360))</f>
        <v>#REF!</v>
      </c>
      <c r="AI435" s="1171" t="e">
        <f>RATE(1/4, ,$BK$360,(-AI434-$BK$360))</f>
        <v>#REF!</v>
      </c>
      <c r="AJ435" s="1171" t="e">
        <f>RATE(1/12, ,$BK$360,(-AJ434-$BK$360))</f>
        <v>#REF!</v>
      </c>
      <c r="AM435" s="1171" t="e">
        <f>RATE(1, ,$BK$360,(-AM434-$BK$360))</f>
        <v>#REF!</v>
      </c>
      <c r="AN435" s="1171" t="e">
        <f>RATE(1/2, ,$BK$360,(-AN434-$BK$360))</f>
        <v>#REF!</v>
      </c>
      <c r="AO435" s="1171" t="e">
        <f>RATE(1/4, ,$BK$360,(-AO434-$BK$360))</f>
        <v>#REF!</v>
      </c>
      <c r="AP435" s="1171" t="e">
        <f>RATE(1/12, ,$BK$360,(-AP434-$BK$360))</f>
        <v>#REF!</v>
      </c>
      <c r="AS435" s="1171" t="e">
        <f>RATE(1, ,$BK$360,(-AS434-$BK$360))</f>
        <v>#REF!</v>
      </c>
      <c r="AT435" s="1171" t="e">
        <f>RATE(1/2, ,$BK$360,(-AT434-$BK$360))</f>
        <v>#REF!</v>
      </c>
      <c r="AU435" s="1171" t="e">
        <f>RATE(1/4, ,$BK$360,(-AU434-$BK$360))</f>
        <v>#REF!</v>
      </c>
      <c r="AV435" s="1171" t="e">
        <f>RATE(1/12, ,$BK$360,(-AV434-$BK$360))</f>
        <v>#REF!</v>
      </c>
      <c r="AY435" s="1171" t="e">
        <f>RATE(1, ,$BK$360,(-AY434-$BK$360))</f>
        <v>#REF!</v>
      </c>
      <c r="AZ435" s="1171" t="e">
        <f>RATE(1/2, ,$BK$360,(-AZ434-$BK$360))</f>
        <v>#REF!</v>
      </c>
      <c r="BA435" s="1171" t="e">
        <f>RATE(1/4, ,$BK$360,(-BA434-$BK$360))</f>
        <v>#REF!</v>
      </c>
      <c r="BB435" s="1171" t="e">
        <f>RATE(1/12, ,$BK$360,(-BB434-$BK$360))</f>
        <v>#REF!</v>
      </c>
      <c r="BE435" s="1171" t="e">
        <f>RATE(1, ,$BK$360,(-BE434-$BK$360))</f>
        <v>#REF!</v>
      </c>
      <c r="BF435" s="1171" t="e">
        <f>RATE(1/2, ,$BK$360,(-BF434-$BK$360))</f>
        <v>#REF!</v>
      </c>
      <c r="BG435" s="1171" t="e">
        <f>RATE(1/4, ,$BK$360,(-BG434-$BK$360))</f>
        <v>#REF!</v>
      </c>
      <c r="BH435" s="1171" t="e">
        <f>RATE(1/12, ,$BK$360,(-BH434-$BK$360))</f>
        <v>#REF!</v>
      </c>
    </row>
    <row r="436" spans="1:60" ht="15" customHeight="1">
      <c r="B436" s="829"/>
    </row>
    <row r="437" spans="1:60" ht="15" customHeight="1">
      <c r="B437" s="829"/>
      <c r="AF437" s="824" t="s">
        <v>776</v>
      </c>
      <c r="AG437" s="825">
        <f>($BK$359/1000)*(AG355+$BL359)</f>
        <v>257240.66666666663</v>
      </c>
      <c r="AH437" s="825">
        <f>(($BK$359/1000)*(AH355+$BM359))/2</f>
        <v>125665.66666666666</v>
      </c>
      <c r="AI437" s="825">
        <f>(($BK$359/1000)*(AI355+$BN359))/4</f>
        <v>62094.166666666664</v>
      </c>
      <c r="AJ437" s="825">
        <f>(($BK$359/1000)*(AJ355+$BO359))/12</f>
        <v>20559.555555555551</v>
      </c>
    </row>
    <row r="438" spans="1:60" ht="15" customHeight="1">
      <c r="A438" s="829" t="str">
        <f>Main!E8</f>
        <v>Sri.</v>
      </c>
      <c r="B438" s="829"/>
      <c r="AG438" s="1171">
        <f>RATE(1, ,$BK$359,(-AG437-$BK$359))</f>
        <v>6.9650000000000031E-2</v>
      </c>
      <c r="AH438" s="1171">
        <f>RATE(1/2, ,$BK$359,(-AH437-$BK$359))</f>
        <v>6.9207700624999813E-2</v>
      </c>
      <c r="AI438" s="1171">
        <f>RATE(1/4, ,$BK$359,(-AI437-$BK$359))</f>
        <v>6.8965049729771008E-2</v>
      </c>
      <c r="AJ438" s="1171">
        <f>RATE(1/12, ,$BK$359,(-AJ437-$BK$359))</f>
        <v>6.8883622612968043E-2</v>
      </c>
    </row>
    <row r="439" spans="1:60" ht="15" customHeight="1">
      <c r="A439" s="829">
        <f>IF(OR((A438="Sri."),(A438="Mr."),(A438="Selvan."),(A438="Master.")),1,2)</f>
        <v>1</v>
      </c>
    </row>
    <row r="440" spans="1:60" ht="15" customHeight="1">
      <c r="AF440" s="824" t="s">
        <v>777</v>
      </c>
      <c r="AG440" s="825" t="e">
        <f>($BK$358/1000)*(AG354+$BL358)</f>
        <v>#REF!</v>
      </c>
      <c r="AH440" s="825" t="e">
        <f>(($BK$358/1000)*(AH354+$BM358))/2</f>
        <v>#REF!</v>
      </c>
      <c r="AI440" s="825" t="e">
        <f>(($BK$358/1000)*(AI354+$BN358))/4</f>
        <v>#REF!</v>
      </c>
      <c r="AJ440" s="825" t="e">
        <f>(($BK$358/1000)*(AJ354+$BO358))/12</f>
        <v>#REF!</v>
      </c>
    </row>
    <row r="441" spans="1:60" ht="15" customHeight="1">
      <c r="S441" s="1332" t="s">
        <v>804</v>
      </c>
      <c r="V441" s="1332" t="s">
        <v>808</v>
      </c>
      <c r="X441" s="1332" t="s">
        <v>813</v>
      </c>
      <c r="Z441" s="1332" t="s">
        <v>814</v>
      </c>
      <c r="AC441" s="1332" t="s">
        <v>815</v>
      </c>
      <c r="AE441" s="1332" t="s">
        <v>816</v>
      </c>
      <c r="AG441" s="825"/>
      <c r="AH441" s="825"/>
      <c r="AI441" s="825"/>
      <c r="AJ441" s="825"/>
    </row>
    <row r="442" spans="1:60" ht="15" customHeight="1">
      <c r="AG442" s="825"/>
      <c r="AH442" s="825"/>
      <c r="AI442" s="825"/>
      <c r="AJ442" s="825"/>
    </row>
    <row r="443" spans="1:60" ht="15" customHeight="1">
      <c r="R443" s="824">
        <v>830</v>
      </c>
      <c r="S443" s="1333">
        <v>18</v>
      </c>
      <c r="T443" s="831">
        <v>1.2</v>
      </c>
      <c r="U443" s="831">
        <v>1.27</v>
      </c>
      <c r="V443" s="1334" t="s">
        <v>805</v>
      </c>
      <c r="W443" s="1334" t="s">
        <v>806</v>
      </c>
      <c r="X443" s="1334" t="s">
        <v>809</v>
      </c>
      <c r="Y443" s="1334" t="s">
        <v>810</v>
      </c>
      <c r="Z443" s="1334" t="s">
        <v>817</v>
      </c>
      <c r="AA443" s="1334" t="s">
        <v>818</v>
      </c>
      <c r="AB443" s="1334" t="s">
        <v>821</v>
      </c>
      <c r="AC443" s="1334" t="s">
        <v>805</v>
      </c>
      <c r="AD443" s="1334" t="s">
        <v>823</v>
      </c>
      <c r="AE443" s="1335" t="s">
        <v>824</v>
      </c>
      <c r="AG443" s="829">
        <v>2</v>
      </c>
      <c r="AH443" s="829">
        <v>1</v>
      </c>
      <c r="AI443" s="829">
        <v>0</v>
      </c>
      <c r="AJ443" s="829">
        <v>0</v>
      </c>
      <c r="AK443" s="824" t="str">
        <f>Main!L11</f>
        <v>NO</v>
      </c>
      <c r="AL443" s="824">
        <f>IF(OR((Main!N11&lt;100000),(Main!N11&gt;2500000)),0,Main!N11)</f>
        <v>0</v>
      </c>
      <c r="AM443" s="824">
        <f>IF(AK443="YES",AL443,AJ443)</f>
        <v>0</v>
      </c>
      <c r="AN443" s="1171">
        <f>Main!E13</f>
        <v>4.4999999999999998E-2</v>
      </c>
    </row>
    <row r="444" spans="1:60" ht="15" customHeight="1">
      <c r="C444" s="831">
        <f>IF(A439=1,C446,D446)</f>
        <v>3.28</v>
      </c>
      <c r="G444" s="829">
        <f>IF(A439=1,G446,H446)</f>
        <v>3.77</v>
      </c>
      <c r="S444" s="1333">
        <v>19</v>
      </c>
      <c r="T444" s="831">
        <v>1.25</v>
      </c>
      <c r="U444" s="831">
        <v>1.34</v>
      </c>
      <c r="V444" s="1243">
        <v>1.61</v>
      </c>
      <c r="W444" s="1243">
        <v>1.8</v>
      </c>
      <c r="X444" s="1243">
        <v>2.19</v>
      </c>
      <c r="Y444" s="1243">
        <v>2.4700000000000002</v>
      </c>
      <c r="Z444" s="1243">
        <v>1.1299999999999999</v>
      </c>
      <c r="AA444" s="1243">
        <v>1.22</v>
      </c>
      <c r="AB444" s="1243">
        <v>1.46</v>
      </c>
      <c r="AC444" s="1243">
        <v>1.63</v>
      </c>
      <c r="AD444" s="1243">
        <v>1.99</v>
      </c>
      <c r="AE444" s="1336">
        <v>2.25</v>
      </c>
      <c r="AG444" s="824">
        <v>820</v>
      </c>
      <c r="AV444" s="829"/>
      <c r="AW444" s="829">
        <v>1</v>
      </c>
      <c r="AX444" s="829">
        <v>2</v>
      </c>
      <c r="AY444" s="829">
        <v>3</v>
      </c>
      <c r="AZ444" s="829">
        <v>4</v>
      </c>
      <c r="BA444" s="829">
        <v>5</v>
      </c>
      <c r="BB444" s="829">
        <v>6</v>
      </c>
      <c r="BC444" s="829">
        <v>7</v>
      </c>
      <c r="BD444" s="829"/>
    </row>
    <row r="445" spans="1:60" ht="15" customHeight="1">
      <c r="C445" s="829" t="s">
        <v>494</v>
      </c>
      <c r="D445" s="829" t="s">
        <v>32</v>
      </c>
      <c r="G445" s="829" t="s">
        <v>494</v>
      </c>
      <c r="H445" s="829" t="s">
        <v>32</v>
      </c>
      <c r="K445" s="2354">
        <v>16</v>
      </c>
      <c r="L445" s="2354"/>
      <c r="M445" s="2354">
        <v>21</v>
      </c>
      <c r="N445" s="2354"/>
      <c r="O445" s="2354">
        <v>25</v>
      </c>
      <c r="P445" s="2354"/>
      <c r="S445" s="1333">
        <v>20</v>
      </c>
      <c r="T445" s="831">
        <v>1.3</v>
      </c>
      <c r="U445" s="831">
        <v>1.43</v>
      </c>
      <c r="V445" s="1243">
        <v>1.7</v>
      </c>
      <c r="W445" s="1243">
        <v>1.92</v>
      </c>
      <c r="X445" s="1243">
        <v>2.35</v>
      </c>
      <c r="Y445" s="1243">
        <v>2.66</v>
      </c>
      <c r="Z445" s="1243">
        <v>1.18</v>
      </c>
      <c r="AA445" s="1243">
        <v>1.3</v>
      </c>
      <c r="AB445" s="1243">
        <v>1.55</v>
      </c>
      <c r="AC445" s="1243">
        <v>1.75</v>
      </c>
      <c r="AD445" s="1243">
        <v>2.13</v>
      </c>
      <c r="AE445" s="1336">
        <v>2.42</v>
      </c>
      <c r="AG445" s="824">
        <f>B491</f>
        <v>30</v>
      </c>
      <c r="AH445" s="1206">
        <f>E491</f>
        <v>3.28</v>
      </c>
      <c r="AJ445" s="830">
        <f>ROUND((($AH445*(100-AG443)/100))*$AM443/1000,0)</f>
        <v>0</v>
      </c>
      <c r="AK445" s="830">
        <f>ROUND((($AH445*(100-AH443)/100))*$AM443/2000,0)</f>
        <v>0</v>
      </c>
      <c r="AL445" s="830">
        <f>ROUND((($AH445*(100-AI443)/100))*$AM443/4000,0)</f>
        <v>0</v>
      </c>
      <c r="AM445" s="830">
        <f>ROUND((($AH445*(100-AJ443)/100))*$AM443/12000,0)</f>
        <v>0</v>
      </c>
      <c r="AO445" s="1337">
        <f>ROUND(($AJ445*$AN$443)+$AJ445,0)</f>
        <v>0</v>
      </c>
      <c r="AP445" s="1337">
        <f>ROUND(($AK445*$AN$443)+$AK445,0)</f>
        <v>0</v>
      </c>
      <c r="AQ445" s="1337">
        <f>ROUND(($AL445*$AN$443)+$AL445,0)</f>
        <v>0</v>
      </c>
      <c r="AR445" s="1337">
        <f>ROUND(($AM445*$AN$443)+$AM445,0)</f>
        <v>0</v>
      </c>
      <c r="AV445" s="1338">
        <v>1</v>
      </c>
      <c r="AW445" s="829">
        <v>814</v>
      </c>
      <c r="AX445" s="829">
        <v>815</v>
      </c>
      <c r="AY445" s="829">
        <v>820</v>
      </c>
      <c r="AZ445" s="829">
        <v>821</v>
      </c>
      <c r="BA445" s="829">
        <v>830</v>
      </c>
      <c r="BB445" s="829">
        <v>836</v>
      </c>
      <c r="BC445" s="829">
        <v>838</v>
      </c>
      <c r="BD445" s="829">
        <f>AH476</f>
        <v>833</v>
      </c>
    </row>
    <row r="446" spans="1:60" ht="15" customHeight="1">
      <c r="A446" s="824" t="s">
        <v>778</v>
      </c>
      <c r="C446" s="835">
        <f>LOOKUP($B$1,$B447:$B484,C447:C484)</f>
        <v>3.28</v>
      </c>
      <c r="D446" s="835">
        <f>LOOKUP($B$1,$B447:$B484,D447:D484)</f>
        <v>3.48</v>
      </c>
      <c r="E446" s="824" t="s">
        <v>778</v>
      </c>
      <c r="G446" s="835">
        <f>LOOKUP($B$1,$F447:$F479,G447:G479)</f>
        <v>3.77</v>
      </c>
      <c r="H446" s="835">
        <f>LOOKUP($B$1,$F447:$F479,H447:H479)</f>
        <v>3.75</v>
      </c>
      <c r="I446" s="824" t="s">
        <v>778</v>
      </c>
      <c r="K446" s="2354">
        <v>10</v>
      </c>
      <c r="L446" s="2354"/>
      <c r="M446" s="2354">
        <v>15</v>
      </c>
      <c r="N446" s="2354"/>
      <c r="O446" s="2354">
        <v>16</v>
      </c>
      <c r="P446" s="2354"/>
      <c r="S446" s="1333">
        <v>21</v>
      </c>
      <c r="T446" s="831">
        <v>1.37</v>
      </c>
      <c r="U446" s="831">
        <v>1.52</v>
      </c>
      <c r="V446" s="1243">
        <v>1.81</v>
      </c>
      <c r="W446" s="1243">
        <v>2.0699999999999998</v>
      </c>
      <c r="X446" s="1243">
        <v>2.5299999999999998</v>
      </c>
      <c r="Y446" s="1243">
        <v>2.87</v>
      </c>
      <c r="Z446" s="1243">
        <v>1.24</v>
      </c>
      <c r="AA446" s="1243">
        <v>1.39</v>
      </c>
      <c r="AB446" s="1243">
        <v>1.64</v>
      </c>
      <c r="AC446" s="1243">
        <v>1.88</v>
      </c>
      <c r="AD446" s="1243">
        <v>2.2999999999999998</v>
      </c>
      <c r="AE446" s="1336">
        <v>2.61</v>
      </c>
      <c r="AG446" s="824">
        <f t="shared" ref="AG446:AG447" si="45">B492</f>
        <v>35</v>
      </c>
      <c r="AH446" s="1206">
        <f t="shared" ref="AH446:AH447" si="46">E492</f>
        <v>5.2</v>
      </c>
      <c r="AJ446" s="830">
        <f>ROUND((($AH446*(100-AG443)/100))*$AM443/1000,0)</f>
        <v>0</v>
      </c>
      <c r="AK446" s="830">
        <f>ROUND((($AH446*(100-AH443)/100))*$AM443/2000,0)</f>
        <v>0</v>
      </c>
      <c r="AL446" s="830">
        <f>ROUND((($AH446*(100-AI443)/100))*$AM443/4000,0)</f>
        <v>0</v>
      </c>
      <c r="AM446" s="830">
        <f>ROUND((($AH446*(100-AJ443)/100))*$AM443/12000,0)</f>
        <v>0</v>
      </c>
      <c r="AO446" s="1337">
        <f t="shared" ref="AO446:AO472" si="47">ROUND(($AJ446*$AN$443)+$AJ446,0)</f>
        <v>0</v>
      </c>
      <c r="AP446" s="1337">
        <f t="shared" ref="AP446:AP471" si="48">ROUND(($AK446*$AN$443)+$AK446,0)</f>
        <v>0</v>
      </c>
      <c r="AQ446" s="1337">
        <f t="shared" ref="AQ446:AQ471" si="49">ROUND(($AL446*$AN$443)+$AL446,0)</f>
        <v>0</v>
      </c>
      <c r="AR446" s="1337">
        <f t="shared" ref="AR446:AR471" si="50">ROUND(($AM446*$AN$443)+$AM446,0)</f>
        <v>0</v>
      </c>
      <c r="AV446" s="1338">
        <v>2</v>
      </c>
      <c r="AW446" s="829">
        <f>$AO$466</f>
        <v>0</v>
      </c>
      <c r="AX446" s="829">
        <f>$AO$466</f>
        <v>0</v>
      </c>
      <c r="AY446" s="829">
        <f>$AO$445</f>
        <v>0</v>
      </c>
      <c r="AZ446" s="829">
        <f>$AO$450</f>
        <v>0</v>
      </c>
      <c r="BA446" s="829">
        <f>$AO$462</f>
        <v>0</v>
      </c>
      <c r="BB446" s="829">
        <f>$AO$456</f>
        <v>0</v>
      </c>
      <c r="BC446" s="829">
        <f>$AO$466</f>
        <v>0</v>
      </c>
      <c r="BD446" s="1339" t="str">
        <f>IFERROR(IF((HLOOKUP(BD$445,$AW$445:$BC$480,$AV446,FALSE))=0,"",HLOOKUP(BD$445,$AW$445:$BC$480,$AV446,FALSE)),"")</f>
        <v/>
      </c>
    </row>
    <row r="447" spans="1:60" ht="15" customHeight="1">
      <c r="A447" s="824">
        <v>820</v>
      </c>
      <c r="B447" s="1333">
        <v>13</v>
      </c>
      <c r="C447" s="831">
        <v>0</v>
      </c>
      <c r="D447" s="831">
        <v>0</v>
      </c>
      <c r="E447" s="824">
        <v>821</v>
      </c>
      <c r="F447" s="1333">
        <v>13</v>
      </c>
      <c r="G447" s="831">
        <v>0</v>
      </c>
      <c r="H447" s="831">
        <v>0</v>
      </c>
      <c r="I447" s="824">
        <v>836</v>
      </c>
      <c r="J447" s="1333">
        <v>18</v>
      </c>
      <c r="K447" s="1206">
        <v>1.33</v>
      </c>
      <c r="L447" s="1206">
        <v>1.47</v>
      </c>
      <c r="M447" s="1206">
        <v>1.34</v>
      </c>
      <c r="N447" s="1206">
        <v>1.51</v>
      </c>
      <c r="O447" s="1206">
        <v>1.62</v>
      </c>
      <c r="P447" s="1206">
        <v>1.8</v>
      </c>
      <c r="S447" s="1333">
        <v>22</v>
      </c>
      <c r="T447" s="831">
        <v>1.44</v>
      </c>
      <c r="U447" s="831">
        <v>1.63</v>
      </c>
      <c r="V447" s="1243">
        <v>1.93</v>
      </c>
      <c r="W447" s="1243">
        <v>2.23</v>
      </c>
      <c r="X447" s="1243">
        <v>2.74</v>
      </c>
      <c r="Y447" s="1243">
        <v>3.09</v>
      </c>
      <c r="Z447" s="1243">
        <v>1.31</v>
      </c>
      <c r="AA447" s="1243">
        <v>1.48</v>
      </c>
      <c r="AB447" s="1243">
        <v>1.76</v>
      </c>
      <c r="AC447" s="1243">
        <v>2.02</v>
      </c>
      <c r="AD447" s="1243">
        <v>2.4900000000000002</v>
      </c>
      <c r="AE447" s="1336">
        <v>2.81</v>
      </c>
      <c r="AG447" s="824">
        <f t="shared" si="45"/>
        <v>40</v>
      </c>
      <c r="AH447" s="1206">
        <f t="shared" si="46"/>
        <v>8.01</v>
      </c>
      <c r="AJ447" s="830">
        <f>ROUND((($AH447*(100-AG443)/100))*$AM443/1000,0)</f>
        <v>0</v>
      </c>
      <c r="AK447" s="830">
        <f>ROUND((($AH447*(100-AH443)/100))*$AM443/2000,0)</f>
        <v>0</v>
      </c>
      <c r="AL447" s="830">
        <f>ROUND((($AH447*(100-AI443)/100))*$AM443/4000,0)</f>
        <v>0</v>
      </c>
      <c r="AM447" s="830">
        <f>ROUND((($AH447*(100-AJ443)/100))*$AM443/12000,0)</f>
        <v>0</v>
      </c>
      <c r="AO447" s="1337">
        <f t="shared" si="47"/>
        <v>0</v>
      </c>
      <c r="AP447" s="1337">
        <f t="shared" si="48"/>
        <v>0</v>
      </c>
      <c r="AQ447" s="1337">
        <f t="shared" si="49"/>
        <v>0</v>
      </c>
      <c r="AR447" s="1337">
        <f t="shared" si="50"/>
        <v>0</v>
      </c>
      <c r="AV447" s="1338">
        <v>3</v>
      </c>
      <c r="AW447" s="829">
        <f t="shared" ref="AW447:AX450" si="51">$AO$466</f>
        <v>0</v>
      </c>
      <c r="AX447" s="829">
        <f t="shared" si="51"/>
        <v>0</v>
      </c>
      <c r="AY447" s="829">
        <f t="shared" ref="AY447:AY450" si="52">$AO$445</f>
        <v>0</v>
      </c>
      <c r="AZ447" s="829">
        <f t="shared" ref="AZ447:AZ449" si="53">$AO$450</f>
        <v>0</v>
      </c>
      <c r="BA447" s="829">
        <f t="shared" ref="BA447:BA450" si="54">$AO$462</f>
        <v>0</v>
      </c>
      <c r="BB447" s="829">
        <f t="shared" ref="BB447:BB450" si="55">$AO$456</f>
        <v>0</v>
      </c>
      <c r="BC447" s="829">
        <f t="shared" ref="BC447:BC450" si="56">$AO$466</f>
        <v>0</v>
      </c>
      <c r="BD447" s="1339" t="str">
        <f t="shared" ref="BD447:BD480" si="57">IFERROR(IF((HLOOKUP(BD$445,$AW$445:$BC$480,$AV447,FALSE))=0,"",HLOOKUP(BD$445,$AW$445:$BC$480,$AV447,FALSE)),"")</f>
        <v/>
      </c>
    </row>
    <row r="448" spans="1:60" ht="15" customHeight="1">
      <c r="B448" s="1333">
        <v>14</v>
      </c>
      <c r="C448" s="831">
        <v>0</v>
      </c>
      <c r="D448" s="831">
        <v>0</v>
      </c>
      <c r="F448" s="1333">
        <v>14</v>
      </c>
      <c r="G448" s="831">
        <v>0</v>
      </c>
      <c r="H448" s="831">
        <v>0</v>
      </c>
      <c r="J448" s="1333">
        <v>19</v>
      </c>
      <c r="K448" s="1206">
        <v>1.4</v>
      </c>
      <c r="L448" s="1206">
        <v>1.56</v>
      </c>
      <c r="M448" s="1206">
        <v>1.43</v>
      </c>
      <c r="N448" s="1206">
        <v>1.62</v>
      </c>
      <c r="O448" s="1206">
        <v>1.74</v>
      </c>
      <c r="P448" s="1206">
        <v>1.93</v>
      </c>
      <c r="S448" s="1333">
        <v>23</v>
      </c>
      <c r="T448" s="831">
        <v>1.52</v>
      </c>
      <c r="U448" s="831">
        <v>1.75</v>
      </c>
      <c r="V448" s="1243">
        <v>2.0699999999999998</v>
      </c>
      <c r="W448" s="1243">
        <v>2.4</v>
      </c>
      <c r="X448" s="1243">
        <v>2.96</v>
      </c>
      <c r="Y448" s="1243">
        <v>3.33</v>
      </c>
      <c r="Z448" s="1243">
        <v>1.39</v>
      </c>
      <c r="AA448" s="1243">
        <v>1.59</v>
      </c>
      <c r="AB448" s="1243">
        <v>1.88</v>
      </c>
      <c r="AC448" s="1243">
        <v>2.19</v>
      </c>
      <c r="AD448" s="1243">
        <v>2.7</v>
      </c>
      <c r="AE448" s="1336">
        <v>3.03</v>
      </c>
      <c r="AO448" s="1337"/>
      <c r="AP448" s="1337"/>
      <c r="AQ448" s="1337"/>
      <c r="AR448" s="1337"/>
      <c r="AV448" s="1338">
        <v>4</v>
      </c>
      <c r="AW448" s="829">
        <f t="shared" si="51"/>
        <v>0</v>
      </c>
      <c r="AX448" s="829">
        <f t="shared" si="51"/>
        <v>0</v>
      </c>
      <c r="AY448" s="829">
        <f t="shared" si="52"/>
        <v>0</v>
      </c>
      <c r="AZ448" s="829">
        <f t="shared" si="53"/>
        <v>0</v>
      </c>
      <c r="BA448" s="829">
        <f t="shared" si="54"/>
        <v>0</v>
      </c>
      <c r="BB448" s="829">
        <f t="shared" si="55"/>
        <v>0</v>
      </c>
      <c r="BC448" s="829">
        <f t="shared" si="56"/>
        <v>0</v>
      </c>
      <c r="BD448" s="1339" t="str">
        <f t="shared" si="57"/>
        <v/>
      </c>
    </row>
    <row r="449" spans="2:56" ht="15" customHeight="1">
      <c r="B449" s="1333">
        <v>15</v>
      </c>
      <c r="C449" s="831">
        <v>0</v>
      </c>
      <c r="D449" s="831">
        <v>0</v>
      </c>
      <c r="F449" s="1333">
        <v>15</v>
      </c>
      <c r="G449" s="831">
        <v>0</v>
      </c>
      <c r="H449" s="831">
        <v>0</v>
      </c>
      <c r="J449" s="1333">
        <v>20</v>
      </c>
      <c r="K449" s="1206">
        <v>1.48</v>
      </c>
      <c r="L449" s="1206">
        <v>1.67</v>
      </c>
      <c r="M449" s="1206">
        <v>1.53</v>
      </c>
      <c r="N449" s="1206">
        <v>1.74</v>
      </c>
      <c r="O449" s="1206">
        <v>1.87</v>
      </c>
      <c r="P449" s="1206">
        <v>2.0699999999999998</v>
      </c>
      <c r="S449" s="1333">
        <v>24</v>
      </c>
      <c r="T449" s="831">
        <v>1.62</v>
      </c>
      <c r="U449" s="831">
        <v>1.89</v>
      </c>
      <c r="V449" s="1243">
        <v>2.23</v>
      </c>
      <c r="W449" s="1243">
        <v>2.6</v>
      </c>
      <c r="X449" s="1243">
        <v>3.21</v>
      </c>
      <c r="Y449" s="1243">
        <v>3.59</v>
      </c>
      <c r="Z449" s="1243">
        <v>1.47</v>
      </c>
      <c r="AA449" s="1243">
        <v>1.72</v>
      </c>
      <c r="AB449" s="1243">
        <v>2.0299999999999998</v>
      </c>
      <c r="AC449" s="1243">
        <v>2.36</v>
      </c>
      <c r="AD449" s="1243">
        <v>2.92</v>
      </c>
      <c r="AE449" s="1336">
        <v>3.27</v>
      </c>
      <c r="AG449" s="824">
        <v>821</v>
      </c>
      <c r="AO449" s="1337"/>
      <c r="AP449" s="1337"/>
      <c r="AQ449" s="1337"/>
      <c r="AR449" s="1337"/>
      <c r="AV449" s="1338">
        <v>5</v>
      </c>
      <c r="AW449" s="829">
        <f t="shared" si="51"/>
        <v>0</v>
      </c>
      <c r="AX449" s="829">
        <f t="shared" si="51"/>
        <v>0</v>
      </c>
      <c r="AY449" s="829">
        <f t="shared" si="52"/>
        <v>0</v>
      </c>
      <c r="AZ449" s="829">
        <f t="shared" si="53"/>
        <v>0</v>
      </c>
      <c r="BA449" s="829">
        <f t="shared" si="54"/>
        <v>0</v>
      </c>
      <c r="BB449" s="829">
        <f t="shared" si="55"/>
        <v>0</v>
      </c>
      <c r="BC449" s="829">
        <f t="shared" si="56"/>
        <v>0</v>
      </c>
      <c r="BD449" s="1339" t="str">
        <f t="shared" si="57"/>
        <v/>
      </c>
    </row>
    <row r="450" spans="2:56" ht="15" customHeight="1">
      <c r="B450" s="1333">
        <v>16</v>
      </c>
      <c r="C450" s="831">
        <v>0</v>
      </c>
      <c r="D450" s="831">
        <v>0</v>
      </c>
      <c r="F450" s="1333">
        <v>16</v>
      </c>
      <c r="G450" s="831">
        <v>0</v>
      </c>
      <c r="H450" s="831">
        <v>0</v>
      </c>
      <c r="J450" s="1333">
        <v>21</v>
      </c>
      <c r="K450" s="1206">
        <v>1.57</v>
      </c>
      <c r="L450" s="1206">
        <v>1.8</v>
      </c>
      <c r="M450" s="1206">
        <v>1.65</v>
      </c>
      <c r="N450" s="1206">
        <v>1.88</v>
      </c>
      <c r="O450" s="1206">
        <v>2.02</v>
      </c>
      <c r="P450" s="1206">
        <v>2.23</v>
      </c>
      <c r="S450" s="1333">
        <v>25</v>
      </c>
      <c r="T450" s="831">
        <v>1.72</v>
      </c>
      <c r="U450" s="831">
        <v>2.0299999999999998</v>
      </c>
      <c r="V450" s="1243">
        <v>2.41</v>
      </c>
      <c r="W450" s="1243">
        <v>2.81</v>
      </c>
      <c r="X450" s="1243">
        <v>3.48</v>
      </c>
      <c r="Y450" s="1243">
        <v>3.87</v>
      </c>
      <c r="Z450" s="1243">
        <v>1.57</v>
      </c>
      <c r="AA450" s="1243">
        <v>1.85</v>
      </c>
      <c r="AB450" s="1243">
        <v>2.2000000000000002</v>
      </c>
      <c r="AC450" s="1243">
        <v>2.56</v>
      </c>
      <c r="AD450" s="1243">
        <v>3.16</v>
      </c>
      <c r="AE450" s="1336">
        <v>3.52</v>
      </c>
      <c r="AG450" s="824">
        <f>F491</f>
        <v>30</v>
      </c>
      <c r="AH450" s="1206">
        <f>I491</f>
        <v>3.77</v>
      </c>
      <c r="AJ450" s="830">
        <f>ROUND((($AH450*(100-AG443)/100))*$AM443/1000,0)</f>
        <v>0</v>
      </c>
      <c r="AK450" s="830">
        <f>ROUND((($AH450*(100-AH443)/100))*$AM443/2000,0)</f>
        <v>0</v>
      </c>
      <c r="AL450" s="830">
        <f>ROUND((($AH450*(100-AI443)/100))*$AM443/4000,0)</f>
        <v>0</v>
      </c>
      <c r="AM450" s="830">
        <f>ROUND((($AH450*(100-AJ443)/100))*$AM443/12000,0)</f>
        <v>0</v>
      </c>
      <c r="AO450" s="1337">
        <f t="shared" si="47"/>
        <v>0</v>
      </c>
      <c r="AP450" s="1337">
        <f t="shared" si="48"/>
        <v>0</v>
      </c>
      <c r="AQ450" s="1337">
        <f t="shared" si="49"/>
        <v>0</v>
      </c>
      <c r="AR450" s="1337">
        <f t="shared" si="50"/>
        <v>0</v>
      </c>
      <c r="AV450" s="1338">
        <v>6</v>
      </c>
      <c r="AW450" s="829">
        <f t="shared" si="51"/>
        <v>0</v>
      </c>
      <c r="AX450" s="829">
        <f t="shared" si="51"/>
        <v>0</v>
      </c>
      <c r="AY450" s="829">
        <f t="shared" si="52"/>
        <v>0</v>
      </c>
      <c r="AZ450" s="829">
        <f>$AO$450</f>
        <v>0</v>
      </c>
      <c r="BA450" s="829">
        <f t="shared" si="54"/>
        <v>0</v>
      </c>
      <c r="BB450" s="829">
        <f t="shared" si="55"/>
        <v>0</v>
      </c>
      <c r="BC450" s="829">
        <f t="shared" si="56"/>
        <v>0</v>
      </c>
      <c r="BD450" s="1339" t="str">
        <f t="shared" si="57"/>
        <v/>
      </c>
    </row>
    <row r="451" spans="2:56" ht="15" customHeight="1">
      <c r="B451" s="1333">
        <v>17</v>
      </c>
      <c r="C451" s="831">
        <v>0</v>
      </c>
      <c r="D451" s="831">
        <v>0</v>
      </c>
      <c r="F451" s="1333">
        <v>17</v>
      </c>
      <c r="G451" s="831">
        <v>0</v>
      </c>
      <c r="H451" s="831">
        <v>0</v>
      </c>
      <c r="J451" s="1333">
        <v>22</v>
      </c>
      <c r="K451" s="1206">
        <v>1.68</v>
      </c>
      <c r="L451" s="1206">
        <v>1.93</v>
      </c>
      <c r="M451" s="1206">
        <v>1.79</v>
      </c>
      <c r="N451" s="1206">
        <v>2.02</v>
      </c>
      <c r="O451" s="1206">
        <v>2.19</v>
      </c>
      <c r="P451" s="1206">
        <v>2.4</v>
      </c>
      <c r="S451" s="1333">
        <v>26</v>
      </c>
      <c r="T451" s="831">
        <v>1.85</v>
      </c>
      <c r="U451" s="831">
        <v>2.2000000000000002</v>
      </c>
      <c r="V451" s="1243">
        <v>2.62</v>
      </c>
      <c r="W451" s="1243">
        <v>3.05</v>
      </c>
      <c r="X451" s="1243">
        <v>3.78</v>
      </c>
      <c r="Y451" s="1243">
        <v>4.17</v>
      </c>
      <c r="Z451" s="1243">
        <v>1.68</v>
      </c>
      <c r="AA451" s="1243">
        <v>2</v>
      </c>
      <c r="AB451" s="1243">
        <v>2.38</v>
      </c>
      <c r="AC451" s="1243">
        <v>2.77</v>
      </c>
      <c r="AD451" s="1243">
        <v>3.44</v>
      </c>
      <c r="AE451" s="1336">
        <v>3.8</v>
      </c>
      <c r="AG451" s="824">
        <f t="shared" ref="AG451:AG453" si="58">F492</f>
        <v>35</v>
      </c>
      <c r="AH451" s="1206">
        <f t="shared" ref="AH451:AH453" si="59">I492</f>
        <v>5.83</v>
      </c>
      <c r="AJ451" s="830">
        <f>ROUND((($AH451*(100-AG443)/100))*$AM443/1000,0)</f>
        <v>0</v>
      </c>
      <c r="AK451" s="830">
        <f>ROUND((($AH451*(100-AH443)/100))*$AM443/2000,0)</f>
        <v>0</v>
      </c>
      <c r="AL451" s="830">
        <f>ROUND((($AH451*(100-AI443)/100))*$AM443/4000,0)</f>
        <v>0</v>
      </c>
      <c r="AM451" s="830">
        <f>ROUND((($AH451*(100-AJ443)/100))*$AM443/12000,0)</f>
        <v>0</v>
      </c>
      <c r="AO451" s="1337">
        <f t="shared" si="47"/>
        <v>0</v>
      </c>
      <c r="AP451" s="1337">
        <f t="shared" si="48"/>
        <v>0</v>
      </c>
      <c r="AQ451" s="1337">
        <f t="shared" si="49"/>
        <v>0</v>
      </c>
      <c r="AR451" s="1337">
        <f t="shared" si="50"/>
        <v>0</v>
      </c>
      <c r="AV451" s="1338">
        <v>7</v>
      </c>
      <c r="AW451" s="829">
        <f>$AO$467</f>
        <v>0</v>
      </c>
      <c r="AX451" s="829">
        <f>$AO$467</f>
        <v>0</v>
      </c>
      <c r="AY451" s="829">
        <f>$AO$446</f>
        <v>0</v>
      </c>
      <c r="AZ451" s="829">
        <f>$AO$451</f>
        <v>0</v>
      </c>
      <c r="BA451" s="829">
        <f>$AO$463</f>
        <v>0</v>
      </c>
      <c r="BB451" s="829">
        <f>$AO$457</f>
        <v>0</v>
      </c>
      <c r="BC451" s="829">
        <f>$AO$467</f>
        <v>0</v>
      </c>
      <c r="BD451" s="1339" t="str">
        <f t="shared" si="57"/>
        <v/>
      </c>
    </row>
    <row r="452" spans="2:56" ht="15" customHeight="1">
      <c r="B452" s="1333">
        <v>18</v>
      </c>
      <c r="C452" s="831">
        <v>1.26</v>
      </c>
      <c r="D452" s="831">
        <v>1.42</v>
      </c>
      <c r="F452" s="1333">
        <v>18</v>
      </c>
      <c r="G452" s="831">
        <v>1.41</v>
      </c>
      <c r="H452" s="831">
        <v>1.57</v>
      </c>
      <c r="J452" s="1333">
        <v>23</v>
      </c>
      <c r="K452" s="1206">
        <v>1.8</v>
      </c>
      <c r="L452" s="1206">
        <v>2.09</v>
      </c>
      <c r="M452" s="1206">
        <v>1.94</v>
      </c>
      <c r="N452" s="1206">
        <v>2.1800000000000002</v>
      </c>
      <c r="O452" s="1206">
        <v>2.37</v>
      </c>
      <c r="P452" s="1206">
        <v>2.57</v>
      </c>
      <c r="S452" s="1333">
        <v>27</v>
      </c>
      <c r="T452" s="831">
        <v>2</v>
      </c>
      <c r="U452" s="831">
        <v>2.38</v>
      </c>
      <c r="V452" s="1243">
        <v>2.86</v>
      </c>
      <c r="W452" s="1243">
        <v>3.29</v>
      </c>
      <c r="X452" s="1243">
        <v>4.1100000000000003</v>
      </c>
      <c r="Y452" s="1243">
        <v>4.49</v>
      </c>
      <c r="Z452" s="1243">
        <v>1.82</v>
      </c>
      <c r="AA452" s="1243">
        <v>2.16</v>
      </c>
      <c r="AB452" s="1243">
        <v>2.6</v>
      </c>
      <c r="AC452" s="1243">
        <v>2.99</v>
      </c>
      <c r="AD452" s="1243">
        <v>3.74</v>
      </c>
      <c r="AE452" s="1336">
        <v>4.09</v>
      </c>
      <c r="AG452" s="824">
        <f t="shared" si="58"/>
        <v>40</v>
      </c>
      <c r="AH452" s="1206">
        <f t="shared" si="59"/>
        <v>8.7200000000000006</v>
      </c>
      <c r="AJ452" s="830">
        <f>ROUND((($AH452*(100-AG443)/100))*$AM443/1000,0)</f>
        <v>0</v>
      </c>
      <c r="AK452" s="830">
        <f>ROUND((($AH452*(100-AH443)/100))*$AM443/2000,0)</f>
        <v>0</v>
      </c>
      <c r="AL452" s="830">
        <f>ROUND((($AH452*(100-AI443)/100))*$AM443/4000,0)</f>
        <v>0</v>
      </c>
      <c r="AM452" s="830">
        <f>ROUND((($AH452*(100-AJ443)/100))*$AM443/12000,0)</f>
        <v>0</v>
      </c>
      <c r="AO452" s="1337">
        <f t="shared" si="47"/>
        <v>0</v>
      </c>
      <c r="AP452" s="1337">
        <f t="shared" si="48"/>
        <v>0</v>
      </c>
      <c r="AQ452" s="1337">
        <f t="shared" si="49"/>
        <v>0</v>
      </c>
      <c r="AR452" s="1337">
        <f t="shared" si="50"/>
        <v>0</v>
      </c>
      <c r="AV452" s="1338">
        <v>8</v>
      </c>
      <c r="AW452" s="829">
        <f t="shared" ref="AW452:AX455" si="60">$AO$467</f>
        <v>0</v>
      </c>
      <c r="AX452" s="829">
        <f t="shared" si="60"/>
        <v>0</v>
      </c>
      <c r="AY452" s="829">
        <f t="shared" ref="AY452:AY455" si="61">$AO$446</f>
        <v>0</v>
      </c>
      <c r="AZ452" s="829">
        <f t="shared" ref="AZ452:AZ455" si="62">$AO$451</f>
        <v>0</v>
      </c>
      <c r="BA452" s="829">
        <f>$AO$463</f>
        <v>0</v>
      </c>
      <c r="BB452" s="829">
        <f t="shared" ref="BB452:BB454" si="63">$AO$457</f>
        <v>0</v>
      </c>
      <c r="BC452" s="829">
        <f t="shared" ref="BC452:BC455" si="64">$AO$467</f>
        <v>0</v>
      </c>
      <c r="BD452" s="1339" t="str">
        <f t="shared" si="57"/>
        <v/>
      </c>
    </row>
    <row r="453" spans="2:56" ht="15" customHeight="1">
      <c r="B453" s="1333">
        <v>19</v>
      </c>
      <c r="C453" s="831" t="s">
        <v>779</v>
      </c>
      <c r="D453" s="831">
        <v>1.52</v>
      </c>
      <c r="F453" s="1333">
        <v>19</v>
      </c>
      <c r="G453" s="831">
        <v>1.51</v>
      </c>
      <c r="H453" s="831">
        <v>1.68</v>
      </c>
      <c r="J453" s="1333">
        <v>24</v>
      </c>
      <c r="K453" s="1206">
        <v>1.94</v>
      </c>
      <c r="L453" s="1206">
        <v>2.2599999999999998</v>
      </c>
      <c r="M453" s="1206">
        <v>2.1</v>
      </c>
      <c r="N453" s="1206">
        <v>2.35</v>
      </c>
      <c r="O453" s="1206">
        <v>2.57</v>
      </c>
      <c r="P453" s="1206">
        <v>2.78</v>
      </c>
      <c r="S453" s="1333">
        <v>28</v>
      </c>
      <c r="T453" s="831">
        <v>2.17</v>
      </c>
      <c r="U453" s="831">
        <v>2.58</v>
      </c>
      <c r="V453" s="1243">
        <v>3.13</v>
      </c>
      <c r="W453" s="1243">
        <v>3.55</v>
      </c>
      <c r="X453" s="1243">
        <v>4.4800000000000004</v>
      </c>
      <c r="Y453" s="1243">
        <v>4.84</v>
      </c>
      <c r="Z453" s="1243">
        <v>1.98</v>
      </c>
      <c r="AA453" s="1243">
        <v>2.35</v>
      </c>
      <c r="AB453" s="1243">
        <v>2.84</v>
      </c>
      <c r="AC453" s="1243">
        <v>3.23</v>
      </c>
      <c r="AD453" s="1243">
        <v>4.08</v>
      </c>
      <c r="AE453" s="1336">
        <v>4.4000000000000004</v>
      </c>
      <c r="AG453" s="824">
        <f t="shared" si="58"/>
        <v>45</v>
      </c>
      <c r="AH453" s="1206">
        <f t="shared" si="59"/>
        <v>12.42</v>
      </c>
      <c r="AJ453" s="830">
        <f>ROUND((($AH453*(100-AG443)/100))*$AM443/1000,0)</f>
        <v>0</v>
      </c>
      <c r="AK453" s="830">
        <f>ROUND((($AH453*(100-AH443)/100))*$AM443/2000,0)</f>
        <v>0</v>
      </c>
      <c r="AL453" s="830">
        <f>ROUND((($AH453*(100-AI443)/100))*$AM443/4000,0)</f>
        <v>0</v>
      </c>
      <c r="AM453" s="830">
        <f>ROUND((($AH453*(100-AJ443)/100))*$AM443/12000,0)</f>
        <v>0</v>
      </c>
      <c r="AO453" s="1337">
        <f t="shared" si="47"/>
        <v>0</v>
      </c>
      <c r="AP453" s="1337">
        <f t="shared" si="48"/>
        <v>0</v>
      </c>
      <c r="AQ453" s="1337">
        <f t="shared" si="49"/>
        <v>0</v>
      </c>
      <c r="AR453" s="1337">
        <f t="shared" si="50"/>
        <v>0</v>
      </c>
      <c r="AV453" s="1338">
        <v>9</v>
      </c>
      <c r="AW453" s="829">
        <f t="shared" si="60"/>
        <v>0</v>
      </c>
      <c r="AX453" s="829">
        <f t="shared" si="60"/>
        <v>0</v>
      </c>
      <c r="AY453" s="829">
        <f t="shared" si="61"/>
        <v>0</v>
      </c>
      <c r="AZ453" s="829">
        <f t="shared" si="62"/>
        <v>0</v>
      </c>
      <c r="BA453" s="829">
        <f>$AO$463</f>
        <v>0</v>
      </c>
      <c r="BB453" s="829">
        <f t="shared" si="63"/>
        <v>0</v>
      </c>
      <c r="BC453" s="829">
        <f t="shared" si="64"/>
        <v>0</v>
      </c>
      <c r="BD453" s="1339" t="str">
        <f t="shared" si="57"/>
        <v/>
      </c>
    </row>
    <row r="454" spans="2:56" ht="15" customHeight="1">
      <c r="B454" s="1333">
        <v>20</v>
      </c>
      <c r="C454" s="831">
        <v>1.44</v>
      </c>
      <c r="D454" s="831">
        <v>1.63</v>
      </c>
      <c r="F454" s="1333">
        <v>20</v>
      </c>
      <c r="G454" s="831">
        <v>1.63</v>
      </c>
      <c r="H454" s="831">
        <v>1.8</v>
      </c>
      <c r="J454" s="1333">
        <v>25</v>
      </c>
      <c r="K454" s="1206">
        <v>2.1</v>
      </c>
      <c r="L454" s="1206">
        <v>2.44</v>
      </c>
      <c r="M454" s="1206">
        <v>2.2799999999999998</v>
      </c>
      <c r="N454" s="1206">
        <v>2.5299999999999998</v>
      </c>
      <c r="O454" s="1206">
        <v>2.79</v>
      </c>
      <c r="P454" s="1206">
        <v>2.99</v>
      </c>
      <c r="S454" s="1333">
        <v>29</v>
      </c>
      <c r="T454" s="831">
        <v>2.38</v>
      </c>
      <c r="U454" s="831">
        <v>2.79</v>
      </c>
      <c r="V454" s="1243">
        <v>3.41</v>
      </c>
      <c r="W454" s="1243">
        <v>3.83</v>
      </c>
      <c r="X454" s="1243">
        <v>4.9000000000000004</v>
      </c>
      <c r="Y454" s="1243">
        <v>5.21</v>
      </c>
      <c r="Z454" s="1243">
        <v>2.16</v>
      </c>
      <c r="AA454" s="1243">
        <v>2.54</v>
      </c>
      <c r="AB454" s="1243">
        <v>3.1</v>
      </c>
      <c r="AC454" s="1243">
        <v>3.49</v>
      </c>
      <c r="AD454" s="1243">
        <v>4.46</v>
      </c>
      <c r="AE454" s="1336">
        <v>4.74</v>
      </c>
      <c r="AO454" s="1337"/>
      <c r="AP454" s="1337"/>
      <c r="AQ454" s="1337"/>
      <c r="AR454" s="1337"/>
      <c r="AV454" s="1338">
        <v>10</v>
      </c>
      <c r="AW454" s="829">
        <f t="shared" si="60"/>
        <v>0</v>
      </c>
      <c r="AX454" s="829">
        <f t="shared" si="60"/>
        <v>0</v>
      </c>
      <c r="AY454" s="829">
        <f t="shared" si="61"/>
        <v>0</v>
      </c>
      <c r="AZ454" s="829">
        <f t="shared" si="62"/>
        <v>0</v>
      </c>
      <c r="BA454" s="829" t="str">
        <f>IF(Y490=9,$AO$463," ")</f>
        <v xml:space="preserve"> </v>
      </c>
      <c r="BB454" s="829">
        <f t="shared" si="63"/>
        <v>0</v>
      </c>
      <c r="BC454" s="829">
        <f t="shared" si="64"/>
        <v>0</v>
      </c>
      <c r="BD454" s="1339" t="str">
        <f t="shared" si="57"/>
        <v/>
      </c>
    </row>
    <row r="455" spans="2:56" ht="15" customHeight="1">
      <c r="B455" s="1333">
        <v>21</v>
      </c>
      <c r="C455" s="831">
        <v>1.55</v>
      </c>
      <c r="D455" s="831">
        <v>1.76</v>
      </c>
      <c r="F455" s="1333">
        <v>21</v>
      </c>
      <c r="G455" s="831">
        <v>1.76</v>
      </c>
      <c r="H455" s="831">
        <v>1.94</v>
      </c>
      <c r="J455" s="1333">
        <v>26</v>
      </c>
      <c r="K455" s="1206">
        <v>2.2799999999999998</v>
      </c>
      <c r="L455" s="1206">
        <v>2.65</v>
      </c>
      <c r="M455" s="1206">
        <v>2.4700000000000002</v>
      </c>
      <c r="N455" s="1206">
        <v>2.73</v>
      </c>
      <c r="O455" s="1206">
        <v>3.04</v>
      </c>
      <c r="P455" s="1206">
        <v>3.22</v>
      </c>
      <c r="S455" s="1333">
        <v>30</v>
      </c>
      <c r="T455" s="831">
        <v>2.6</v>
      </c>
      <c r="U455" s="831">
        <v>3.02</v>
      </c>
      <c r="V455" s="1243">
        <v>3.73</v>
      </c>
      <c r="W455" s="1243">
        <v>4.13</v>
      </c>
      <c r="X455" s="1243">
        <v>5.37</v>
      </c>
      <c r="Y455" s="1243">
        <v>5.61</v>
      </c>
      <c r="Z455" s="1243">
        <v>2.37</v>
      </c>
      <c r="AA455" s="1243">
        <v>2.75</v>
      </c>
      <c r="AB455" s="1243">
        <v>3.4</v>
      </c>
      <c r="AC455" s="1243">
        <v>3.76</v>
      </c>
      <c r="AD455" s="1243">
        <v>4.88</v>
      </c>
      <c r="AE455" s="1336">
        <v>5.0999999999999996</v>
      </c>
      <c r="AG455" s="824">
        <v>836</v>
      </c>
      <c r="AO455" s="1337"/>
      <c r="AP455" s="1337"/>
      <c r="AQ455" s="1337"/>
      <c r="AR455" s="1337"/>
      <c r="AV455" s="1338">
        <v>11</v>
      </c>
      <c r="AW455" s="829">
        <f t="shared" si="60"/>
        <v>0</v>
      </c>
      <c r="AX455" s="829">
        <f t="shared" si="60"/>
        <v>0</v>
      </c>
      <c r="AY455" s="829">
        <f t="shared" si="61"/>
        <v>0</v>
      </c>
      <c r="AZ455" s="829">
        <f t="shared" si="62"/>
        <v>0</v>
      </c>
      <c r="BA455" s="829"/>
      <c r="BB455" s="829">
        <f>$AO$457</f>
        <v>0</v>
      </c>
      <c r="BC455" s="829">
        <f t="shared" si="64"/>
        <v>0</v>
      </c>
      <c r="BD455" s="1339" t="str">
        <f t="shared" si="57"/>
        <v/>
      </c>
    </row>
    <row r="456" spans="2:56" ht="15" customHeight="1">
      <c r="B456" s="1333">
        <v>22</v>
      </c>
      <c r="C456" s="831" t="s">
        <v>780</v>
      </c>
      <c r="D456" s="831">
        <v>1.91</v>
      </c>
      <c r="F456" s="1333">
        <v>22</v>
      </c>
      <c r="G456" s="831">
        <v>1.91</v>
      </c>
      <c r="H456" s="831">
        <v>2.09</v>
      </c>
      <c r="J456" s="1333">
        <v>27</v>
      </c>
      <c r="K456" s="1206">
        <v>2.4900000000000002</v>
      </c>
      <c r="L456" s="1206">
        <v>2.86</v>
      </c>
      <c r="M456" s="1206">
        <v>2.69</v>
      </c>
      <c r="N456" s="1206">
        <v>2.94</v>
      </c>
      <c r="O456" s="1206">
        <v>3.32</v>
      </c>
      <c r="P456" s="1206">
        <v>3.46</v>
      </c>
      <c r="S456" s="1333">
        <v>31</v>
      </c>
      <c r="T456" s="831">
        <v>2.87</v>
      </c>
      <c r="U456" s="831">
        <v>3.26</v>
      </c>
      <c r="V456" s="1243">
        <v>4.09</v>
      </c>
      <c r="W456" s="1243">
        <v>4.45</v>
      </c>
      <c r="X456" s="1243">
        <v>5.88</v>
      </c>
      <c r="Y456" s="1243">
        <v>6.03</v>
      </c>
      <c r="Z456" s="1243">
        <v>2.61</v>
      </c>
      <c r="AA456" s="1243">
        <v>2.97</v>
      </c>
      <c r="AB456" s="1243">
        <v>3.72</v>
      </c>
      <c r="AC456" s="1243">
        <v>4.05</v>
      </c>
      <c r="AD456" s="1243">
        <v>5.35</v>
      </c>
      <c r="AE456" s="1336">
        <v>5.49</v>
      </c>
      <c r="AG456" s="824">
        <f>J491</f>
        <v>30</v>
      </c>
      <c r="AH456" s="1206">
        <f>T491</f>
        <v>4.32</v>
      </c>
      <c r="AJ456" s="830">
        <f>ROUND((($AH456*(100-AG443)/100))*$AM443/1000,0)</f>
        <v>0</v>
      </c>
      <c r="AK456" s="830">
        <f>ROUND((($AH456*(100-AH443)/100))*$AM443/2000,0)</f>
        <v>0</v>
      </c>
      <c r="AL456" s="830">
        <f>ROUND((($AH456*(100-AI443)/100))*$AM443/4000,0)</f>
        <v>0</v>
      </c>
      <c r="AM456" s="830">
        <f>ROUND((($AH456*(100-AJ443)/100))*$AM443/12000,0)</f>
        <v>0</v>
      </c>
      <c r="AO456" s="1337">
        <f t="shared" si="47"/>
        <v>0</v>
      </c>
      <c r="AP456" s="1337">
        <f t="shared" si="48"/>
        <v>0</v>
      </c>
      <c r="AQ456" s="1337">
        <f t="shared" si="49"/>
        <v>0</v>
      </c>
      <c r="AR456" s="1337">
        <f t="shared" si="50"/>
        <v>0</v>
      </c>
      <c r="AV456" s="1338">
        <v>12</v>
      </c>
      <c r="AW456" s="829">
        <f>$AO$468</f>
        <v>0</v>
      </c>
      <c r="AX456" s="829">
        <f>$AO$468</f>
        <v>0</v>
      </c>
      <c r="AY456" s="829">
        <f>$AO$447</f>
        <v>0</v>
      </c>
      <c r="AZ456" s="829">
        <f>$AO$452</f>
        <v>0</v>
      </c>
      <c r="BA456" s="829"/>
      <c r="BB456" s="829">
        <f>$AO$458</f>
        <v>0</v>
      </c>
      <c r="BC456" s="829">
        <f>$AO$468</f>
        <v>0</v>
      </c>
      <c r="BD456" s="1339" t="str">
        <f t="shared" si="57"/>
        <v/>
      </c>
    </row>
    <row r="457" spans="2:56" ht="15" customHeight="1">
      <c r="B457" s="1333">
        <v>23</v>
      </c>
      <c r="C457" s="831">
        <v>1.81</v>
      </c>
      <c r="D457" s="831">
        <v>2.0499999999999998</v>
      </c>
      <c r="F457" s="1333">
        <v>23</v>
      </c>
      <c r="G457" s="831">
        <v>2.06</v>
      </c>
      <c r="H457" s="831">
        <v>2.25</v>
      </c>
      <c r="J457" s="1333">
        <v>28</v>
      </c>
      <c r="K457" s="1206">
        <v>2.72</v>
      </c>
      <c r="L457" s="1206">
        <v>3.09</v>
      </c>
      <c r="M457" s="1206">
        <v>2.94</v>
      </c>
      <c r="N457" s="1206">
        <v>3.17</v>
      </c>
      <c r="O457" s="1206">
        <v>3.62</v>
      </c>
      <c r="P457" s="1206">
        <v>3.73</v>
      </c>
      <c r="S457" s="1333">
        <v>32</v>
      </c>
      <c r="T457" s="831">
        <v>3.15</v>
      </c>
      <c r="U457" s="831">
        <v>3.52</v>
      </c>
      <c r="V457" s="1243">
        <v>4.47</v>
      </c>
      <c r="W457" s="1243">
        <v>4.79</v>
      </c>
      <c r="X457" s="1243">
        <v>6.43</v>
      </c>
      <c r="Y457" s="1243">
        <v>6.48</v>
      </c>
      <c r="Z457" s="1243">
        <v>2.87</v>
      </c>
      <c r="AA457" s="1243">
        <v>3.21</v>
      </c>
      <c r="AB457" s="1243">
        <v>4.0599999999999996</v>
      </c>
      <c r="AC457" s="1243">
        <v>4.3600000000000003</v>
      </c>
      <c r="AD457" s="1243">
        <v>5.85</v>
      </c>
      <c r="AE457" s="1336">
        <v>5.89</v>
      </c>
      <c r="AG457" s="824">
        <f t="shared" ref="AG457:AG459" si="65">J492</f>
        <v>35</v>
      </c>
      <c r="AH457" s="1206">
        <f t="shared" ref="AH457:AH459" si="66">T492</f>
        <v>6.67</v>
      </c>
      <c r="AJ457" s="830">
        <f>ROUND((($AH457*(100-AG443)/100))*$AM443/1000,0)</f>
        <v>0</v>
      </c>
      <c r="AK457" s="830">
        <f>ROUND((($AH457*(100-AH443)/100))*$AM443/2000,0)</f>
        <v>0</v>
      </c>
      <c r="AL457" s="830">
        <f>ROUND((($AH457*(100-AI443)/100))*$AM443/4000,0)</f>
        <v>0</v>
      </c>
      <c r="AM457" s="830">
        <f>ROUND((($AH457*(100-AJ443)/100))*$AM443/12000,0)</f>
        <v>0</v>
      </c>
      <c r="AO457" s="1337">
        <f t="shared" si="47"/>
        <v>0</v>
      </c>
      <c r="AP457" s="1337">
        <f t="shared" si="48"/>
        <v>0</v>
      </c>
      <c r="AQ457" s="1337">
        <f t="shared" si="49"/>
        <v>0</v>
      </c>
      <c r="AR457" s="1337">
        <f t="shared" si="50"/>
        <v>0</v>
      </c>
      <c r="AV457" s="1338">
        <v>13</v>
      </c>
      <c r="AW457" s="829">
        <f t="shared" ref="AW457:AX460" si="67">$AO$468</f>
        <v>0</v>
      </c>
      <c r="AX457" s="829">
        <f t="shared" si="67"/>
        <v>0</v>
      </c>
      <c r="AY457" s="829">
        <f t="shared" ref="AY457:AY460" si="68">$AO$447</f>
        <v>0</v>
      </c>
      <c r="AZ457" s="829">
        <f t="shared" ref="AZ457:AZ460" si="69">$AO$452</f>
        <v>0</v>
      </c>
      <c r="BA457" s="829"/>
      <c r="BB457" s="829">
        <f t="shared" ref="BB457:BB460" si="70">$AO$458</f>
        <v>0</v>
      </c>
      <c r="BC457" s="829">
        <f t="shared" ref="BC457:BC460" si="71">$AO$468</f>
        <v>0</v>
      </c>
      <c r="BD457" s="1339" t="str">
        <f t="shared" si="57"/>
        <v/>
      </c>
    </row>
    <row r="458" spans="2:56" ht="15" customHeight="1">
      <c r="B458" s="1333">
        <v>24</v>
      </c>
      <c r="C458" s="831">
        <v>1.96</v>
      </c>
      <c r="D458" s="831">
        <v>2.2200000000000002</v>
      </c>
      <c r="F458" s="1333">
        <v>24</v>
      </c>
      <c r="G458" s="831">
        <v>2.2400000000000002</v>
      </c>
      <c r="H458" s="831">
        <v>2.42</v>
      </c>
      <c r="J458" s="1333">
        <v>29</v>
      </c>
      <c r="K458" s="1206">
        <v>2.97</v>
      </c>
      <c r="L458" s="1206">
        <v>3.33</v>
      </c>
      <c r="M458" s="1206">
        <v>3.21</v>
      </c>
      <c r="N458" s="1206">
        <v>3.42</v>
      </c>
      <c r="O458" s="1206">
        <v>3.96</v>
      </c>
      <c r="P458" s="1206">
        <v>4</v>
      </c>
      <c r="S458" s="1333">
        <v>33</v>
      </c>
      <c r="T458" s="831">
        <v>3.46</v>
      </c>
      <c r="U458" s="831">
        <v>3.8</v>
      </c>
      <c r="V458" s="1243">
        <v>4.9000000000000004</v>
      </c>
      <c r="W458" s="1243">
        <v>5.16</v>
      </c>
      <c r="X458" s="1243">
        <v>7.04</v>
      </c>
      <c r="Y458" s="1243">
        <v>6.95</v>
      </c>
      <c r="Z458" s="1243">
        <v>3.15</v>
      </c>
      <c r="AA458" s="1243">
        <v>3.46</v>
      </c>
      <c r="AB458" s="1243">
        <v>4.46</v>
      </c>
      <c r="AC458" s="1243">
        <v>4.7</v>
      </c>
      <c r="AD458" s="1243">
        <v>6.41</v>
      </c>
      <c r="AE458" s="1336">
        <v>6.33</v>
      </c>
      <c r="AG458" s="824">
        <f t="shared" si="65"/>
        <v>40</v>
      </c>
      <c r="AH458" s="1206">
        <f t="shared" si="66"/>
        <v>9.93</v>
      </c>
      <c r="AJ458" s="830">
        <f>ROUND((($AH458*(100-AG443)/100))*$AM443/1000,0)</f>
        <v>0</v>
      </c>
      <c r="AK458" s="830">
        <f>ROUND((($AH458*(100-AH443)/100))*$AM443/2000,0)</f>
        <v>0</v>
      </c>
      <c r="AL458" s="830">
        <f>ROUND((($AH458*(100-AI443)/100))*$AM443/4000,0)</f>
        <v>0</v>
      </c>
      <c r="AM458" s="830">
        <f>ROUND((($AH458*(100-AJ443)/100))*$AM443/12000,0)</f>
        <v>0</v>
      </c>
      <c r="AO458" s="1337">
        <f t="shared" si="47"/>
        <v>0</v>
      </c>
      <c r="AP458" s="1337">
        <f t="shared" si="48"/>
        <v>0</v>
      </c>
      <c r="AQ458" s="1337">
        <f t="shared" si="49"/>
        <v>0</v>
      </c>
      <c r="AR458" s="1337">
        <f t="shared" si="50"/>
        <v>0</v>
      </c>
      <c r="AV458" s="1338">
        <v>14</v>
      </c>
      <c r="AW458" s="829">
        <f t="shared" si="67"/>
        <v>0</v>
      </c>
      <c r="AX458" s="829">
        <f t="shared" si="67"/>
        <v>0</v>
      </c>
      <c r="AY458" s="829">
        <f t="shared" si="68"/>
        <v>0</v>
      </c>
      <c r="AZ458" s="829">
        <f t="shared" si="69"/>
        <v>0</v>
      </c>
      <c r="BA458" s="829"/>
      <c r="BB458" s="829">
        <f t="shared" si="70"/>
        <v>0</v>
      </c>
      <c r="BC458" s="829">
        <f t="shared" si="71"/>
        <v>0</v>
      </c>
      <c r="BD458" s="1339" t="str">
        <f t="shared" si="57"/>
        <v/>
      </c>
    </row>
    <row r="459" spans="2:56" ht="15" customHeight="1">
      <c r="B459" s="1333">
        <v>25</v>
      </c>
      <c r="C459" s="831">
        <v>2.13</v>
      </c>
      <c r="D459" s="831">
        <v>2.39</v>
      </c>
      <c r="F459" s="1333">
        <v>25</v>
      </c>
      <c r="G459" s="831">
        <v>2.4300000000000002</v>
      </c>
      <c r="H459" s="831">
        <v>2.61</v>
      </c>
      <c r="J459" s="1333">
        <v>30</v>
      </c>
      <c r="K459" s="1206">
        <v>3.25</v>
      </c>
      <c r="L459" s="1206">
        <v>3.59</v>
      </c>
      <c r="M459" s="1206">
        <v>3.52</v>
      </c>
      <c r="N459" s="1206">
        <v>3.68</v>
      </c>
      <c r="O459" s="1206">
        <v>4.32</v>
      </c>
      <c r="P459" s="1206">
        <v>4.29</v>
      </c>
      <c r="S459" s="1333">
        <v>34</v>
      </c>
      <c r="T459" s="831">
        <v>3.8</v>
      </c>
      <c r="U459" s="831">
        <v>4.0999999999999996</v>
      </c>
      <c r="V459" s="1243">
        <v>5.38</v>
      </c>
      <c r="W459" s="1243">
        <v>5.55</v>
      </c>
      <c r="X459" s="1243">
        <v>7.71</v>
      </c>
      <c r="Y459" s="1243">
        <v>7.45</v>
      </c>
      <c r="Z459" s="1243">
        <v>3.46</v>
      </c>
      <c r="AA459" s="1243">
        <v>3.73</v>
      </c>
      <c r="AB459" s="1243">
        <v>4.8899999999999997</v>
      </c>
      <c r="AC459" s="1243">
        <v>5.05</v>
      </c>
      <c r="AD459" s="1243">
        <v>7.01</v>
      </c>
      <c r="AE459" s="1336">
        <v>6.78</v>
      </c>
      <c r="AG459" s="824">
        <f t="shared" si="65"/>
        <v>45</v>
      </c>
      <c r="AH459" s="1206">
        <f t="shared" si="66"/>
        <v>14.08</v>
      </c>
      <c r="AJ459" s="830">
        <f>ROUND((($AH459*(100-AG443)/100))*$AM443/1000,0)</f>
        <v>0</v>
      </c>
      <c r="AK459" s="830">
        <f>ROUND((($AH459*(100-AH443)/100))*$AM443/2000,0)</f>
        <v>0</v>
      </c>
      <c r="AL459" s="830">
        <f>ROUND((($AH459*(100-AI443)/100))*$AM443/4000,0)</f>
        <v>0</v>
      </c>
      <c r="AM459" s="830">
        <f>ROUND((($AH459*(100-AJ443)/100))*$AM443/12000,0)</f>
        <v>0</v>
      </c>
      <c r="AO459" s="1337">
        <f t="shared" si="47"/>
        <v>0</v>
      </c>
      <c r="AP459" s="1337">
        <f t="shared" si="48"/>
        <v>0</v>
      </c>
      <c r="AQ459" s="1337">
        <f t="shared" si="49"/>
        <v>0</v>
      </c>
      <c r="AR459" s="1337">
        <f t="shared" si="50"/>
        <v>0</v>
      </c>
      <c r="AV459" s="1338">
        <v>15</v>
      </c>
      <c r="AW459" s="829">
        <f t="shared" si="67"/>
        <v>0</v>
      </c>
      <c r="AX459" s="829">
        <f t="shared" si="67"/>
        <v>0</v>
      </c>
      <c r="AY459" s="829">
        <f t="shared" si="68"/>
        <v>0</v>
      </c>
      <c r="AZ459" s="829">
        <f t="shared" si="69"/>
        <v>0</v>
      </c>
      <c r="BA459" s="829"/>
      <c r="BB459" s="829">
        <f t="shared" si="70"/>
        <v>0</v>
      </c>
      <c r="BC459" s="829">
        <f t="shared" si="71"/>
        <v>0</v>
      </c>
      <c r="BD459" s="1339" t="str">
        <f t="shared" si="57"/>
        <v/>
      </c>
    </row>
    <row r="460" spans="2:56" ht="15" customHeight="1">
      <c r="B460" s="1333">
        <v>26</v>
      </c>
      <c r="C460" s="831">
        <v>2.31</v>
      </c>
      <c r="D460" s="831">
        <v>2.58</v>
      </c>
      <c r="F460" s="1333">
        <v>26</v>
      </c>
      <c r="G460" s="831">
        <v>2.65</v>
      </c>
      <c r="H460" s="831">
        <v>2.81</v>
      </c>
      <c r="J460" s="1333">
        <v>31</v>
      </c>
      <c r="K460" s="1206">
        <v>3.56</v>
      </c>
      <c r="L460" s="1206">
        <v>3.87</v>
      </c>
      <c r="M460" s="1206">
        <v>3.86</v>
      </c>
      <c r="N460" s="1206">
        <v>3.96</v>
      </c>
      <c r="O460" s="1206">
        <v>4.72</v>
      </c>
      <c r="P460" s="1206">
        <v>4.5999999999999996</v>
      </c>
      <c r="S460" s="1333">
        <v>35</v>
      </c>
      <c r="T460" s="831">
        <v>4.16</v>
      </c>
      <c r="U460" s="831">
        <v>4.41</v>
      </c>
      <c r="V460" s="1243">
        <v>5.91</v>
      </c>
      <c r="W460" s="1243">
        <v>5.97</v>
      </c>
      <c r="X460" s="1243">
        <v>8.42</v>
      </c>
      <c r="Y460" s="1243">
        <v>7.97</v>
      </c>
      <c r="Z460" s="1243">
        <v>3.79</v>
      </c>
      <c r="AA460" s="1243">
        <v>4.01</v>
      </c>
      <c r="AB460" s="1243">
        <v>5.38</v>
      </c>
      <c r="AC460" s="1243">
        <v>5.43</v>
      </c>
      <c r="AD460" s="1243">
        <v>7.66</v>
      </c>
      <c r="AE460" s="1336">
        <v>7.26</v>
      </c>
      <c r="AO460" s="1337"/>
      <c r="AP460" s="1337"/>
      <c r="AQ460" s="1337"/>
      <c r="AR460" s="1337"/>
      <c r="AV460" s="1338">
        <v>16</v>
      </c>
      <c r="AW460" s="829">
        <f t="shared" si="67"/>
        <v>0</v>
      </c>
      <c r="AX460" s="829">
        <f t="shared" si="67"/>
        <v>0</v>
      </c>
      <c r="AY460" s="829">
        <f t="shared" si="68"/>
        <v>0</v>
      </c>
      <c r="AZ460" s="829">
        <f t="shared" si="69"/>
        <v>0</v>
      </c>
      <c r="BA460" s="829"/>
      <c r="BB460" s="829">
        <f t="shared" si="70"/>
        <v>0</v>
      </c>
      <c r="BC460" s="829">
        <f t="shared" si="71"/>
        <v>0</v>
      </c>
      <c r="BD460" s="1339" t="str">
        <f t="shared" si="57"/>
        <v/>
      </c>
    </row>
    <row r="461" spans="2:56" ht="15" customHeight="1">
      <c r="B461" s="1333">
        <v>27</v>
      </c>
      <c r="C461" s="831">
        <v>2.52</v>
      </c>
      <c r="D461" s="831">
        <v>2.78</v>
      </c>
      <c r="F461" s="1333">
        <v>27</v>
      </c>
      <c r="G461" s="831">
        <v>2.89</v>
      </c>
      <c r="H461" s="831">
        <v>3.02</v>
      </c>
      <c r="J461" s="1333">
        <v>32</v>
      </c>
      <c r="K461" s="1206">
        <v>3.89</v>
      </c>
      <c r="L461" s="1206">
        <v>4.17</v>
      </c>
      <c r="M461" s="1206">
        <v>4.22</v>
      </c>
      <c r="N461" s="1206">
        <v>4.26</v>
      </c>
      <c r="O461" s="1206">
        <v>5.15</v>
      </c>
      <c r="P461" s="1206">
        <v>4.93</v>
      </c>
      <c r="S461" s="1333">
        <v>36</v>
      </c>
      <c r="T461" s="831">
        <v>4.5599999999999996</v>
      </c>
      <c r="U461" s="831">
        <v>4.7300000000000004</v>
      </c>
      <c r="V461" s="1243">
        <v>6.48</v>
      </c>
      <c r="W461" s="1243">
        <v>6.4</v>
      </c>
      <c r="X461" s="1243">
        <v>9.19</v>
      </c>
      <c r="Y461" s="1243">
        <v>8.52</v>
      </c>
      <c r="Z461" s="1243">
        <v>4.1500000000000004</v>
      </c>
      <c r="AA461" s="1243">
        <v>4.3099999999999996</v>
      </c>
      <c r="AB461" s="1243">
        <v>5.9</v>
      </c>
      <c r="AC461" s="1243">
        <v>5.83</v>
      </c>
      <c r="AD461" s="1243">
        <v>8.36</v>
      </c>
      <c r="AE461" s="1336">
        <v>7.76</v>
      </c>
      <c r="AG461" s="824">
        <v>830</v>
      </c>
      <c r="AO461" s="1337"/>
      <c r="AP461" s="1337"/>
      <c r="AQ461" s="1337"/>
      <c r="AR461" s="1337"/>
      <c r="AV461" s="1338">
        <v>17</v>
      </c>
      <c r="AW461" s="829">
        <f>$AO$469</f>
        <v>0</v>
      </c>
      <c r="AX461" s="829">
        <f>$AO$469</f>
        <v>0</v>
      </c>
      <c r="AY461" s="829"/>
      <c r="AZ461" s="829">
        <f>$AO$453</f>
        <v>0</v>
      </c>
      <c r="BA461" s="829"/>
      <c r="BB461" s="829" t="str">
        <f>IF($AO$459=0," ",AO459)</f>
        <v xml:space="preserve"> </v>
      </c>
      <c r="BC461" s="829">
        <f>$AO$469</f>
        <v>0</v>
      </c>
      <c r="BD461" s="1339" t="str">
        <f t="shared" si="57"/>
        <v/>
      </c>
    </row>
    <row r="462" spans="2:56" ht="15" customHeight="1">
      <c r="B462" s="1333">
        <v>28</v>
      </c>
      <c r="C462" s="831">
        <v>2.74</v>
      </c>
      <c r="D462" s="831">
        <v>3</v>
      </c>
      <c r="F462" s="1333">
        <v>28</v>
      </c>
      <c r="G462" s="831">
        <v>3.16</v>
      </c>
      <c r="H462" s="831">
        <v>3.25</v>
      </c>
      <c r="J462" s="1333">
        <v>33</v>
      </c>
      <c r="K462" s="1206">
        <v>4.26</v>
      </c>
      <c r="L462" s="1206">
        <v>4.49</v>
      </c>
      <c r="M462" s="1206">
        <v>4.63</v>
      </c>
      <c r="N462" s="1206">
        <v>4.57</v>
      </c>
      <c r="O462" s="1206">
        <v>5.62</v>
      </c>
      <c r="P462" s="1206">
        <v>5.28</v>
      </c>
      <c r="S462" s="1333">
        <v>37</v>
      </c>
      <c r="T462" s="831">
        <v>5</v>
      </c>
      <c r="U462" s="831">
        <v>5.08</v>
      </c>
      <c r="V462" s="1243">
        <v>7.11</v>
      </c>
      <c r="W462" s="1243">
        <v>6.86</v>
      </c>
      <c r="X462" s="1243">
        <v>10.01</v>
      </c>
      <c r="Y462" s="1243">
        <v>9.09</v>
      </c>
      <c r="Z462" s="1243">
        <v>4.55</v>
      </c>
      <c r="AA462" s="1243">
        <v>4.62</v>
      </c>
      <c r="AB462" s="1243">
        <v>6.47</v>
      </c>
      <c r="AC462" s="1243">
        <v>6.25</v>
      </c>
      <c r="AD462" s="1243">
        <v>9.1199999999999992</v>
      </c>
      <c r="AE462" s="1336">
        <v>8.2799999999999994</v>
      </c>
      <c r="AG462" s="824">
        <f>U491</f>
        <v>30</v>
      </c>
      <c r="AH462" s="1206">
        <f>AB489</f>
        <v>5.37</v>
      </c>
      <c r="AJ462" s="830">
        <f>ROUND((($AH462*(100-AG443)/100))*$AM443/1000,0)</f>
        <v>0</v>
      </c>
      <c r="AK462" s="830">
        <f>ROUND((($AH462*(100-AH443)/100))*$AM443/2000,0)</f>
        <v>0</v>
      </c>
      <c r="AL462" s="830">
        <f>ROUND((($AH462*(100-AI443)/100))*$AM443/4000,0)</f>
        <v>0</v>
      </c>
      <c r="AM462" s="830">
        <f>ROUND((($AH462*(100-AJ443)/100))*$AM443/12000,0)</f>
        <v>0</v>
      </c>
      <c r="AO462" s="1337">
        <f t="shared" si="47"/>
        <v>0</v>
      </c>
      <c r="AP462" s="1337">
        <f t="shared" si="48"/>
        <v>0</v>
      </c>
      <c r="AQ462" s="1337">
        <f t="shared" si="49"/>
        <v>0</v>
      </c>
      <c r="AR462" s="1337">
        <f t="shared" si="50"/>
        <v>0</v>
      </c>
      <c r="AV462" s="1338">
        <v>18</v>
      </c>
      <c r="AW462" s="829">
        <f t="shared" ref="AW462:AX465" si="72">$AO$469</f>
        <v>0</v>
      </c>
      <c r="AX462" s="829">
        <f t="shared" si="72"/>
        <v>0</v>
      </c>
      <c r="AY462" s="829"/>
      <c r="AZ462" s="829">
        <f t="shared" ref="AZ462:AZ465" si="73">$AO$453</f>
        <v>0</v>
      </c>
      <c r="BA462" s="829"/>
      <c r="BB462" s="829"/>
      <c r="BC462" s="829">
        <f t="shared" ref="BC462:BC465" si="74">$AO$469</f>
        <v>0</v>
      </c>
      <c r="BD462" s="1339" t="str">
        <f t="shared" si="57"/>
        <v/>
      </c>
    </row>
    <row r="463" spans="2:56" ht="15" customHeight="1">
      <c r="B463" s="1333">
        <v>29</v>
      </c>
      <c r="C463" s="831">
        <v>3</v>
      </c>
      <c r="D463" s="831">
        <v>3.23</v>
      </c>
      <c r="F463" s="1333">
        <v>29</v>
      </c>
      <c r="G463" s="831">
        <v>3.45</v>
      </c>
      <c r="H463" s="831">
        <v>3.49</v>
      </c>
      <c r="J463" s="1333">
        <v>34</v>
      </c>
      <c r="K463" s="1206">
        <v>4.68</v>
      </c>
      <c r="L463" s="1206">
        <v>4.83</v>
      </c>
      <c r="M463" s="1206">
        <v>5.07</v>
      </c>
      <c r="N463" s="1206">
        <v>4.9000000000000004</v>
      </c>
      <c r="O463" s="1206">
        <v>6.12</v>
      </c>
      <c r="P463" s="1206">
        <v>5.64</v>
      </c>
      <c r="S463" s="1333">
        <v>38</v>
      </c>
      <c r="T463" s="831">
        <v>5.49</v>
      </c>
      <c r="U463" s="831">
        <v>5.45</v>
      </c>
      <c r="V463" s="1243">
        <v>7.78</v>
      </c>
      <c r="W463" s="1243">
        <v>7.34</v>
      </c>
      <c r="X463" s="1243">
        <v>10.9</v>
      </c>
      <c r="Y463" s="1243">
        <v>9.68</v>
      </c>
      <c r="Z463" s="1243">
        <v>5</v>
      </c>
      <c r="AA463" s="1243">
        <v>4.96</v>
      </c>
      <c r="AB463" s="1243">
        <v>7.09</v>
      </c>
      <c r="AC463" s="1243">
        <v>6.69</v>
      </c>
      <c r="AD463" s="1243">
        <v>9.92</v>
      </c>
      <c r="AE463" s="1336">
        <v>8.81</v>
      </c>
      <c r="AG463" s="824">
        <f>U492</f>
        <v>35</v>
      </c>
      <c r="AH463" s="1206">
        <f>AB490</f>
        <v>8.42</v>
      </c>
      <c r="AJ463" s="830">
        <f>ROUND((($AH463*(100-AG443)/100))*$AM443/1000,0)</f>
        <v>0</v>
      </c>
      <c r="AK463" s="830">
        <f>ROUND((($AH463*(100-AH443)/100))*$AM443/2000,0)</f>
        <v>0</v>
      </c>
      <c r="AL463" s="830">
        <f>ROUND((($AH463*(100-AI443)/100))*$AM443/4000,0)</f>
        <v>0</v>
      </c>
      <c r="AM463" s="830">
        <f>ROUND((($AH463*(100-AJ443)/100))*$AM443/12000,0)</f>
        <v>0</v>
      </c>
      <c r="AO463" s="1337">
        <f t="shared" si="47"/>
        <v>0</v>
      </c>
      <c r="AP463" s="1337">
        <f t="shared" si="48"/>
        <v>0</v>
      </c>
      <c r="AQ463" s="1337">
        <f t="shared" si="49"/>
        <v>0</v>
      </c>
      <c r="AR463" s="1337">
        <f t="shared" si="50"/>
        <v>0</v>
      </c>
      <c r="AV463" s="1338">
        <v>19</v>
      </c>
      <c r="AW463" s="829">
        <f t="shared" si="72"/>
        <v>0</v>
      </c>
      <c r="AX463" s="829">
        <f t="shared" si="72"/>
        <v>0</v>
      </c>
      <c r="AY463" s="829"/>
      <c r="AZ463" s="829">
        <f t="shared" si="73"/>
        <v>0</v>
      </c>
      <c r="BA463" s="829"/>
      <c r="BB463" s="829"/>
      <c r="BC463" s="829">
        <f t="shared" si="74"/>
        <v>0</v>
      </c>
      <c r="BD463" s="1339" t="str">
        <f t="shared" si="57"/>
        <v/>
      </c>
    </row>
    <row r="464" spans="2:56" ht="15" customHeight="1">
      <c r="B464" s="1333">
        <v>30</v>
      </c>
      <c r="C464" s="831">
        <v>3.28</v>
      </c>
      <c r="D464" s="831">
        <v>3.48</v>
      </c>
      <c r="F464" s="1333">
        <v>30</v>
      </c>
      <c r="G464" s="831">
        <v>3.77</v>
      </c>
      <c r="H464" s="831">
        <v>3.75</v>
      </c>
      <c r="J464" s="1333">
        <v>35</v>
      </c>
      <c r="K464" s="1206">
        <v>5.14</v>
      </c>
      <c r="L464" s="1206">
        <v>5.2</v>
      </c>
      <c r="M464" s="1206">
        <v>5.54</v>
      </c>
      <c r="N464" s="1206">
        <v>5.25</v>
      </c>
      <c r="O464" s="1206">
        <v>6.67</v>
      </c>
      <c r="P464" s="1206">
        <v>6.02</v>
      </c>
      <c r="S464" s="1333">
        <v>39</v>
      </c>
      <c r="T464" s="831">
        <v>6.02</v>
      </c>
      <c r="U464" s="831">
        <v>5.83</v>
      </c>
      <c r="V464" s="1243">
        <v>8.5</v>
      </c>
      <c r="W464" s="1243">
        <v>7.84</v>
      </c>
      <c r="X464" s="1243">
        <v>11.83</v>
      </c>
      <c r="Y464" s="1243">
        <v>10.3</v>
      </c>
      <c r="Z464" s="1243">
        <v>5.48</v>
      </c>
      <c r="AA464" s="1243">
        <v>5.31</v>
      </c>
      <c r="AB464" s="1243">
        <v>7.74</v>
      </c>
      <c r="AC464" s="1243">
        <v>7.14</v>
      </c>
      <c r="AD464" s="1243">
        <v>10.77</v>
      </c>
      <c r="AE464" s="1336">
        <v>9.3800000000000008</v>
      </c>
      <c r="AO464" s="1337"/>
      <c r="AP464" s="1337"/>
      <c r="AQ464" s="1337"/>
      <c r="AR464" s="1337"/>
      <c r="AV464" s="1338">
        <v>20</v>
      </c>
      <c r="AW464" s="829">
        <f t="shared" si="72"/>
        <v>0</v>
      </c>
      <c r="AX464" s="829">
        <f t="shared" si="72"/>
        <v>0</v>
      </c>
      <c r="AY464" s="829"/>
      <c r="AZ464" s="829">
        <f t="shared" si="73"/>
        <v>0</v>
      </c>
      <c r="BA464" s="829"/>
      <c r="BB464" s="829"/>
      <c r="BC464" s="829">
        <f t="shared" si="74"/>
        <v>0</v>
      </c>
      <c r="BD464" s="1339" t="str">
        <f t="shared" si="57"/>
        <v/>
      </c>
    </row>
    <row r="465" spans="2:56" ht="15" customHeight="1">
      <c r="B465" s="1333">
        <v>31</v>
      </c>
      <c r="C465" s="831">
        <v>3.6</v>
      </c>
      <c r="D465" s="831">
        <v>3.75</v>
      </c>
      <c r="F465" s="1333">
        <v>31</v>
      </c>
      <c r="G465" s="831">
        <v>4.12</v>
      </c>
      <c r="H465" s="831">
        <v>4.0199999999999996</v>
      </c>
      <c r="J465" s="1333">
        <v>36</v>
      </c>
      <c r="K465" s="1206">
        <v>5.65</v>
      </c>
      <c r="L465" s="1206">
        <v>5.58</v>
      </c>
      <c r="M465" s="1206">
        <v>6.05</v>
      </c>
      <c r="N465" s="1206">
        <v>5.61</v>
      </c>
      <c r="O465" s="1206">
        <v>7.25</v>
      </c>
      <c r="P465" s="1206">
        <v>6.42</v>
      </c>
      <c r="S465" s="1333">
        <v>40</v>
      </c>
      <c r="T465" s="831">
        <v>6.58</v>
      </c>
      <c r="U465" s="831">
        <v>6.24</v>
      </c>
      <c r="V465" s="1334">
        <v>9.26</v>
      </c>
      <c r="W465" s="1335" t="s">
        <v>807</v>
      </c>
      <c r="X465" s="1335" t="s">
        <v>811</v>
      </c>
      <c r="Y465" s="1335" t="s">
        <v>812</v>
      </c>
      <c r="Z465" s="1335" t="s">
        <v>819</v>
      </c>
      <c r="AA465" s="1335" t="s">
        <v>820</v>
      </c>
      <c r="AB465" s="1335" t="s">
        <v>822</v>
      </c>
      <c r="AC465" s="1334">
        <v>7.61</v>
      </c>
      <c r="AD465" s="1335" t="s">
        <v>825</v>
      </c>
      <c r="AE465" s="1335" t="s">
        <v>826</v>
      </c>
      <c r="AO465" s="1337"/>
      <c r="AP465" s="1337"/>
      <c r="AQ465" s="1337"/>
      <c r="AR465" s="1337"/>
      <c r="AV465" s="1338">
        <v>21</v>
      </c>
      <c r="AW465" s="829">
        <f t="shared" si="72"/>
        <v>0</v>
      </c>
      <c r="AX465" s="829">
        <f t="shared" si="72"/>
        <v>0</v>
      </c>
      <c r="AY465" s="829"/>
      <c r="AZ465" s="829">
        <f t="shared" si="73"/>
        <v>0</v>
      </c>
      <c r="BA465" s="829"/>
      <c r="BB465" s="829"/>
      <c r="BC465" s="829">
        <f t="shared" si="74"/>
        <v>0</v>
      </c>
      <c r="BD465" s="1339" t="str">
        <f t="shared" si="57"/>
        <v/>
      </c>
    </row>
    <row r="466" spans="2:56" ht="15" customHeight="1">
      <c r="B466" s="1333">
        <v>32</v>
      </c>
      <c r="C466" s="831">
        <v>3.95</v>
      </c>
      <c r="D466" s="831">
        <v>4.03</v>
      </c>
      <c r="F466" s="1333">
        <v>32</v>
      </c>
      <c r="G466" s="831">
        <v>4.5</v>
      </c>
      <c r="H466" s="831">
        <v>4.3099999999999996</v>
      </c>
      <c r="J466" s="1333">
        <v>37</v>
      </c>
      <c r="K466" s="1206">
        <v>6.19</v>
      </c>
      <c r="L466" s="1206">
        <v>5.98</v>
      </c>
      <c r="M466" s="1206">
        <v>6.6</v>
      </c>
      <c r="N466" s="1206">
        <v>5.99</v>
      </c>
      <c r="O466" s="1206">
        <v>7.86</v>
      </c>
      <c r="P466" s="1206">
        <v>6.84</v>
      </c>
      <c r="S466" s="1333">
        <v>41</v>
      </c>
      <c r="T466" s="831">
        <v>7.17</v>
      </c>
      <c r="U466" s="831">
        <v>6.66</v>
      </c>
      <c r="V466" s="1334">
        <v>10.07</v>
      </c>
      <c r="W466" s="1334">
        <v>8.9</v>
      </c>
      <c r="X466" s="1334">
        <v>13.85</v>
      </c>
      <c r="Y466" s="1334">
        <v>11.62</v>
      </c>
      <c r="Z466" s="1334">
        <v>6.53</v>
      </c>
      <c r="AA466" s="1334">
        <v>6.07</v>
      </c>
      <c r="AB466" s="1334">
        <v>9.17</v>
      </c>
      <c r="AC466" s="1334">
        <v>8.1</v>
      </c>
      <c r="AD466" s="1334">
        <v>12.61</v>
      </c>
      <c r="AE466" s="1335">
        <v>10.58</v>
      </c>
      <c r="AG466" s="824">
        <f>B557</f>
        <v>30</v>
      </c>
      <c r="AH466" s="1206">
        <f>E557</f>
        <v>3.36</v>
      </c>
      <c r="AJ466" s="830">
        <f>ROUND((($AH466*(100-AG443)/100))*$AM443/1000,0)</f>
        <v>0</v>
      </c>
      <c r="AK466" s="830">
        <f>ROUND((($AH466*(100-AH443)/100))*$AM443/2000,0)</f>
        <v>0</v>
      </c>
      <c r="AL466" s="830">
        <f>ROUND((($AH466*(100-AI443)/100))*$AM443/4000,0)</f>
        <v>0</v>
      </c>
      <c r="AM466" s="830">
        <f>ROUND((($AH466*(100-AJ443)/100))*$AM443/12000,0)</f>
        <v>0</v>
      </c>
      <c r="AO466" s="1337">
        <f t="shared" si="47"/>
        <v>0</v>
      </c>
      <c r="AP466" s="1337">
        <f t="shared" si="48"/>
        <v>0</v>
      </c>
      <c r="AQ466" s="1337">
        <f t="shared" si="49"/>
        <v>0</v>
      </c>
      <c r="AR466" s="1337">
        <f t="shared" si="50"/>
        <v>0</v>
      </c>
      <c r="AV466" s="1338">
        <v>22</v>
      </c>
      <c r="AW466" s="829">
        <f>$AO$470</f>
        <v>0</v>
      </c>
      <c r="AX466" s="829">
        <f>$AO$470</f>
        <v>0</v>
      </c>
      <c r="AY466" s="829"/>
      <c r="AZ466" s="829"/>
      <c r="BA466" s="829"/>
      <c r="BB466" s="829"/>
      <c r="BC466" s="829"/>
      <c r="BD466" s="1339" t="str">
        <f t="shared" si="57"/>
        <v/>
      </c>
    </row>
    <row r="467" spans="2:56" ht="15" customHeight="1">
      <c r="B467" s="1333">
        <v>33</v>
      </c>
      <c r="C467" s="831">
        <v>4.33</v>
      </c>
      <c r="D467" s="831">
        <v>4.33</v>
      </c>
      <c r="F467" s="1333">
        <v>33</v>
      </c>
      <c r="G467" s="831">
        <v>4.91</v>
      </c>
      <c r="H467" s="831">
        <v>4.6100000000000003</v>
      </c>
      <c r="J467" s="1333">
        <v>38</v>
      </c>
      <c r="K467" s="1206">
        <v>6.78</v>
      </c>
      <c r="L467" s="1206">
        <v>6.4</v>
      </c>
      <c r="M467" s="1206">
        <v>7.19</v>
      </c>
      <c r="N467" s="1206">
        <v>6.39</v>
      </c>
      <c r="O467" s="1206">
        <v>8.52</v>
      </c>
      <c r="P467" s="1206">
        <v>7.28</v>
      </c>
      <c r="S467" s="1333">
        <v>42</v>
      </c>
      <c r="T467" s="831">
        <v>7.83</v>
      </c>
      <c r="U467" s="831">
        <v>7.09</v>
      </c>
      <c r="V467" s="1243">
        <v>10.93</v>
      </c>
      <c r="W467" s="1243">
        <v>9.44</v>
      </c>
      <c r="X467" s="1243">
        <v>14.93</v>
      </c>
      <c r="Y467" s="1243">
        <v>12.3</v>
      </c>
      <c r="Z467" s="1243">
        <v>7.13</v>
      </c>
      <c r="AA467" s="1243">
        <v>6.46</v>
      </c>
      <c r="AB467" s="1243">
        <v>9.9600000000000009</v>
      </c>
      <c r="AC467" s="1243">
        <v>8.6</v>
      </c>
      <c r="AD467" s="1243">
        <v>13.6</v>
      </c>
      <c r="AE467" s="1336">
        <v>11.2</v>
      </c>
      <c r="AG467" s="824">
        <f t="shared" ref="AG467:AG470" si="75">B558</f>
        <v>35</v>
      </c>
      <c r="AH467" s="1206">
        <f t="shared" ref="AH467:AH472" si="76">E558</f>
        <v>4.3600000000000003</v>
      </c>
      <c r="AJ467" s="830">
        <f>ROUND((($AH467*(100-AG443)/100))*$AM443/1000,0)</f>
        <v>0</v>
      </c>
      <c r="AK467" s="830">
        <f>ROUND((($AH467*(100-AH443)/100))*$AM443/2000,0)</f>
        <v>0</v>
      </c>
      <c r="AL467" s="830">
        <f>ROUND((($AH467*(100-AI443)/100))*$AM443/4000,0)</f>
        <v>0</v>
      </c>
      <c r="AM467" s="830">
        <f>ROUND((($AH467*(100-AJ443)/100))*$AM443/12000,0)</f>
        <v>0</v>
      </c>
      <c r="AO467" s="1337">
        <f t="shared" si="47"/>
        <v>0</v>
      </c>
      <c r="AP467" s="1337">
        <f t="shared" si="48"/>
        <v>0</v>
      </c>
      <c r="AQ467" s="1337">
        <f t="shared" si="49"/>
        <v>0</v>
      </c>
      <c r="AR467" s="1337">
        <f t="shared" si="50"/>
        <v>0</v>
      </c>
      <c r="AV467" s="1338">
        <v>23</v>
      </c>
      <c r="AW467" s="829">
        <f t="shared" ref="AW467:AX470" si="77">$AO$470</f>
        <v>0</v>
      </c>
      <c r="AX467" s="829">
        <f t="shared" si="77"/>
        <v>0</v>
      </c>
      <c r="AY467" s="829"/>
      <c r="AZ467" s="829"/>
      <c r="BA467" s="829"/>
      <c r="BB467" s="829"/>
      <c r="BC467" s="829"/>
      <c r="BD467" s="1339" t="str">
        <f t="shared" si="57"/>
        <v/>
      </c>
    </row>
    <row r="468" spans="2:56" ht="15" customHeight="1">
      <c r="B468" s="1333">
        <v>34</v>
      </c>
      <c r="C468" s="831">
        <v>4.75</v>
      </c>
      <c r="D468" s="831">
        <v>4.6500000000000004</v>
      </c>
      <c r="F468" s="1333">
        <v>34</v>
      </c>
      <c r="G468" s="831">
        <v>5.36</v>
      </c>
      <c r="H468" s="831">
        <v>4.93</v>
      </c>
      <c r="J468" s="1333">
        <v>39</v>
      </c>
      <c r="K468" s="1206">
        <v>7.41</v>
      </c>
      <c r="L468" s="1206">
        <v>6.83</v>
      </c>
      <c r="M468" s="1206">
        <v>7.82</v>
      </c>
      <c r="N468" s="1206">
        <v>6.8</v>
      </c>
      <c r="O468" s="1206">
        <v>9.1999999999999993</v>
      </c>
      <c r="P468" s="1206">
        <v>7.72</v>
      </c>
      <c r="S468" s="1333">
        <v>43</v>
      </c>
      <c r="T468" s="831">
        <v>8.52</v>
      </c>
      <c r="U468" s="831">
        <v>7.56</v>
      </c>
      <c r="V468" s="1243">
        <v>11.84</v>
      </c>
      <c r="W468" s="1243">
        <v>10.039999999999999</v>
      </c>
      <c r="X468" s="1243">
        <v>16.07</v>
      </c>
      <c r="Y468" s="1243">
        <v>13.03</v>
      </c>
      <c r="Z468" s="1243">
        <v>7.76</v>
      </c>
      <c r="AA468" s="1243">
        <v>6.89</v>
      </c>
      <c r="AB468" s="1243">
        <v>10.79</v>
      </c>
      <c r="AC468" s="1243">
        <v>9.14</v>
      </c>
      <c r="AD468" s="1243">
        <v>14.64</v>
      </c>
      <c r="AE468" s="1336">
        <v>11.87</v>
      </c>
      <c r="AG468" s="824">
        <f t="shared" si="75"/>
        <v>40</v>
      </c>
      <c r="AH468" s="1206">
        <f t="shared" si="76"/>
        <v>5.68</v>
      </c>
      <c r="AJ468" s="830">
        <f>ROUND((($AH468*(100-AG443)/100))*$AM443/1000,0)</f>
        <v>0</v>
      </c>
      <c r="AK468" s="830">
        <f>ROUND((($AH468*(100-AH443)/100))*$AM443/2000,0)</f>
        <v>0</v>
      </c>
      <c r="AL468" s="830">
        <f>ROUND((($AH468*(100-AI443)/100))*$AM443/4000,0)</f>
        <v>0</v>
      </c>
      <c r="AM468" s="830">
        <f>ROUND((($AH468*(100-AJ443)/100))*$AM443/12000,0)</f>
        <v>0</v>
      </c>
      <c r="AO468" s="1337">
        <f t="shared" si="47"/>
        <v>0</v>
      </c>
      <c r="AP468" s="1337">
        <f t="shared" si="48"/>
        <v>0</v>
      </c>
      <c r="AQ468" s="1337">
        <f t="shared" si="49"/>
        <v>0</v>
      </c>
      <c r="AR468" s="1337">
        <f t="shared" si="50"/>
        <v>0</v>
      </c>
      <c r="AV468" s="1338">
        <v>24</v>
      </c>
      <c r="AW468" s="829">
        <f t="shared" si="77"/>
        <v>0</v>
      </c>
      <c r="AX468" s="829">
        <f t="shared" si="77"/>
        <v>0</v>
      </c>
      <c r="AY468" s="829"/>
      <c r="AZ468" s="829"/>
      <c r="BA468" s="829"/>
      <c r="BB468" s="829"/>
      <c r="BC468" s="829"/>
      <c r="BD468" s="1339" t="str">
        <f t="shared" si="57"/>
        <v/>
      </c>
    </row>
    <row r="469" spans="2:56" ht="15" customHeight="1">
      <c r="B469" s="1333">
        <v>35</v>
      </c>
      <c r="C469" s="831">
        <v>5.2</v>
      </c>
      <c r="D469" s="831">
        <v>4.99</v>
      </c>
      <c r="F469" s="1333">
        <v>35</v>
      </c>
      <c r="G469" s="831">
        <v>5.83</v>
      </c>
      <c r="H469" s="831">
        <v>5.27</v>
      </c>
      <c r="J469" s="1333">
        <v>40</v>
      </c>
      <c r="K469" s="1206">
        <v>8.08</v>
      </c>
      <c r="L469" s="1206">
        <v>7.28</v>
      </c>
      <c r="M469" s="1206">
        <v>8.48</v>
      </c>
      <c r="N469" s="1206">
        <v>7.23</v>
      </c>
      <c r="O469" s="1206">
        <v>9.93</v>
      </c>
      <c r="P469" s="1206">
        <v>8.18</v>
      </c>
      <c r="S469" s="1333">
        <v>44</v>
      </c>
      <c r="T469" s="831">
        <v>9.27</v>
      </c>
      <c r="U469" s="831">
        <v>8.06</v>
      </c>
      <c r="V469" s="1243">
        <v>12.83</v>
      </c>
      <c r="W469" s="1243">
        <v>10.66</v>
      </c>
      <c r="X469" s="1243">
        <v>17.27</v>
      </c>
      <c r="Y469" s="1243">
        <v>13.77</v>
      </c>
      <c r="Z469" s="1243">
        <v>8.44</v>
      </c>
      <c r="AA469" s="1243">
        <v>7.34</v>
      </c>
      <c r="AB469" s="1243">
        <v>11.69</v>
      </c>
      <c r="AC469" s="1243">
        <v>9.7200000000000006</v>
      </c>
      <c r="AD469" s="1243">
        <v>15.74</v>
      </c>
      <c r="AE469" s="1336">
        <v>12.55</v>
      </c>
      <c r="AG469" s="824">
        <f t="shared" si="75"/>
        <v>45</v>
      </c>
      <c r="AH469" s="1206">
        <f t="shared" si="76"/>
        <v>7.2</v>
      </c>
      <c r="AJ469" s="830">
        <f>ROUND((($AH469*(100-AG443)/100))*$AM443/1000,0)</f>
        <v>0</v>
      </c>
      <c r="AK469" s="830">
        <f>ROUND((($AH469*(100-AH443)/100))*$AM443/2000,0)</f>
        <v>0</v>
      </c>
      <c r="AL469" s="830">
        <f>ROUND((($AH469*(100-AI443)/100))*$AM443/4000,0)</f>
        <v>0</v>
      </c>
      <c r="AM469" s="830">
        <f>ROUND((($AH469*(100-AJ443)/100))*$AM443/12000,0)</f>
        <v>0</v>
      </c>
      <c r="AO469" s="1337">
        <f t="shared" si="47"/>
        <v>0</v>
      </c>
      <c r="AP469" s="1337">
        <f t="shared" si="48"/>
        <v>0</v>
      </c>
      <c r="AQ469" s="1337">
        <f t="shared" si="49"/>
        <v>0</v>
      </c>
      <c r="AR469" s="1337">
        <f t="shared" si="50"/>
        <v>0</v>
      </c>
      <c r="AV469" s="1338">
        <v>25</v>
      </c>
      <c r="AW469" s="829">
        <f t="shared" si="77"/>
        <v>0</v>
      </c>
      <c r="AX469" s="829">
        <f t="shared" si="77"/>
        <v>0</v>
      </c>
      <c r="AY469" s="829"/>
      <c r="AZ469" s="829"/>
      <c r="BA469" s="829"/>
      <c r="BB469" s="829"/>
      <c r="BC469" s="829"/>
      <c r="BD469" s="1339" t="str">
        <f t="shared" si="57"/>
        <v/>
      </c>
    </row>
    <row r="470" spans="2:56" ht="15" customHeight="1">
      <c r="B470" s="1333">
        <v>36</v>
      </c>
      <c r="C470" s="831">
        <v>5.68</v>
      </c>
      <c r="D470" s="831">
        <v>5.34</v>
      </c>
      <c r="F470" s="1333">
        <v>36</v>
      </c>
      <c r="G470" s="831">
        <v>6.34</v>
      </c>
      <c r="H470" s="831">
        <v>5.62</v>
      </c>
      <c r="J470" s="1333">
        <v>41</v>
      </c>
      <c r="K470" s="1206">
        <v>8.7799999999999994</v>
      </c>
      <c r="L470" s="1206">
        <v>7.76</v>
      </c>
      <c r="M470" s="1206">
        <v>9.18</v>
      </c>
      <c r="N470" s="1206">
        <v>7.69</v>
      </c>
      <c r="O470" s="1206">
        <v>10.68</v>
      </c>
      <c r="P470" s="1206">
        <v>8.65</v>
      </c>
      <c r="S470" s="1333">
        <v>45</v>
      </c>
      <c r="T470" s="831">
        <v>10.09</v>
      </c>
      <c r="U470" s="831">
        <v>8.58</v>
      </c>
      <c r="V470" s="1243">
        <v>13.89</v>
      </c>
      <c r="W470" s="1243">
        <v>11.32</v>
      </c>
      <c r="X470" s="1243">
        <v>18.55</v>
      </c>
      <c r="Y470" s="1243">
        <v>14.54</v>
      </c>
      <c r="Z470" s="1243">
        <v>9.19</v>
      </c>
      <c r="AA470" s="1243">
        <v>7.82</v>
      </c>
      <c r="AB470" s="1243">
        <v>12.66</v>
      </c>
      <c r="AC470" s="1243">
        <v>10.32</v>
      </c>
      <c r="AD470" s="1243">
        <v>16.920000000000002</v>
      </c>
      <c r="AE470" s="1336">
        <v>13.25</v>
      </c>
      <c r="AG470" s="824">
        <f t="shared" si="75"/>
        <v>50</v>
      </c>
      <c r="AH470" s="1206">
        <f t="shared" si="76"/>
        <v>9.1300000000000008</v>
      </c>
      <c r="AJ470" s="830">
        <f>ROUND((($AH470*(100-AG443)/100))*$AM443/1000,0)</f>
        <v>0</v>
      </c>
      <c r="AK470" s="830">
        <f>ROUND((($AH470*(100-AH443)/100))*$AM443/2000,0)</f>
        <v>0</v>
      </c>
      <c r="AL470" s="830">
        <f>ROUND((($AH470*(100-AI443)/100))*$AM443/4000,0)</f>
        <v>0</v>
      </c>
      <c r="AM470" s="830">
        <f>ROUND((($AH470*(100-AJ443)/100))*$AM443/12000,0)</f>
        <v>0</v>
      </c>
      <c r="AO470" s="1337">
        <f t="shared" si="47"/>
        <v>0</v>
      </c>
      <c r="AP470" s="1337">
        <f t="shared" si="48"/>
        <v>0</v>
      </c>
      <c r="AQ470" s="1337">
        <f t="shared" si="49"/>
        <v>0</v>
      </c>
      <c r="AR470" s="1337">
        <f t="shared" si="50"/>
        <v>0</v>
      </c>
      <c r="AV470" s="1338">
        <v>26</v>
      </c>
      <c r="AW470" s="829">
        <f t="shared" si="77"/>
        <v>0</v>
      </c>
      <c r="AX470" s="829">
        <f t="shared" si="77"/>
        <v>0</v>
      </c>
      <c r="AY470" s="829"/>
      <c r="AZ470" s="829"/>
      <c r="BA470" s="829"/>
      <c r="BB470" s="829"/>
      <c r="BC470" s="829"/>
      <c r="BD470" s="1339" t="str">
        <f t="shared" si="57"/>
        <v/>
      </c>
    </row>
    <row r="471" spans="2:56" ht="15" customHeight="1">
      <c r="B471" s="1333">
        <v>37</v>
      </c>
      <c r="C471" s="831">
        <v>6.21</v>
      </c>
      <c r="D471" s="831">
        <v>5.7</v>
      </c>
      <c r="F471" s="1333">
        <v>37</v>
      </c>
      <c r="G471" s="831">
        <v>6.89</v>
      </c>
      <c r="H471" s="831">
        <v>5.99</v>
      </c>
      <c r="J471" s="1333">
        <v>42</v>
      </c>
      <c r="K471" s="1206">
        <v>9.5399999999999991</v>
      </c>
      <c r="L471" s="1206">
        <v>8.24</v>
      </c>
      <c r="M471" s="1206">
        <v>9.91</v>
      </c>
      <c r="N471" s="1206">
        <v>8.15</v>
      </c>
      <c r="O471" s="1206">
        <v>11.48</v>
      </c>
      <c r="P471" s="1206">
        <v>9.1300000000000008</v>
      </c>
      <c r="S471" s="1333">
        <v>46</v>
      </c>
      <c r="T471" s="831">
        <v>10.96</v>
      </c>
      <c r="U471" s="831">
        <v>9.11</v>
      </c>
      <c r="V471" s="1243">
        <v>15.01</v>
      </c>
      <c r="W471" s="1243">
        <v>12</v>
      </c>
      <c r="X471" s="1243">
        <v>19.89</v>
      </c>
      <c r="Y471" s="1243">
        <v>15.31</v>
      </c>
      <c r="Z471" s="1243">
        <v>9.99</v>
      </c>
      <c r="AA471" s="1243">
        <v>8.31</v>
      </c>
      <c r="AB471" s="1243">
        <v>13.69</v>
      </c>
      <c r="AC471" s="1243">
        <v>10.94</v>
      </c>
      <c r="AD471" s="1243">
        <v>18.14</v>
      </c>
      <c r="AE471" s="1336">
        <v>13.95</v>
      </c>
      <c r="AG471" s="824">
        <f>B562</f>
        <v>55</v>
      </c>
      <c r="AH471" s="1206" t="e">
        <f t="shared" si="76"/>
        <v>#N/A</v>
      </c>
      <c r="AJ471" s="830" t="e">
        <f>ROUND((($AH471*(100-AG443)/100))*$AM443/1000,0)</f>
        <v>#N/A</v>
      </c>
      <c r="AK471" s="830" t="e">
        <f>ROUND((($AH471*(100-AH443)/100))*$AM443/2000,0)</f>
        <v>#N/A</v>
      </c>
      <c r="AL471" s="830" t="e">
        <f>ROUND((($AH471*(100-AI443)/100))*$AM443/4000,0)</f>
        <v>#N/A</v>
      </c>
      <c r="AM471" s="830" t="e">
        <f>ROUND((($AH471*(100-AJ443)/100))*$AM443/12000,0)</f>
        <v>#N/A</v>
      </c>
      <c r="AO471" s="1337" t="e">
        <f t="shared" si="47"/>
        <v>#N/A</v>
      </c>
      <c r="AP471" s="1337" t="e">
        <f t="shared" si="48"/>
        <v>#N/A</v>
      </c>
      <c r="AQ471" s="1337" t="e">
        <f t="shared" si="49"/>
        <v>#N/A</v>
      </c>
      <c r="AR471" s="1337" t="e">
        <f t="shared" si="50"/>
        <v>#N/A</v>
      </c>
      <c r="AV471" s="1338">
        <v>27</v>
      </c>
      <c r="AW471" s="829" t="e">
        <f>$AO$471</f>
        <v>#N/A</v>
      </c>
      <c r="AX471" s="829" t="e">
        <f>$AO$471</f>
        <v>#N/A</v>
      </c>
      <c r="AY471" s="829"/>
      <c r="AZ471" s="829"/>
      <c r="BA471" s="829"/>
      <c r="BB471" s="829"/>
      <c r="BC471" s="829"/>
      <c r="BD471" s="1339" t="str">
        <f t="shared" si="57"/>
        <v/>
      </c>
    </row>
    <row r="472" spans="2:56" ht="15" customHeight="1">
      <c r="B472" s="1333">
        <v>38</v>
      </c>
      <c r="C472" s="831">
        <v>6.77</v>
      </c>
      <c r="D472" s="831">
        <v>6.08</v>
      </c>
      <c r="F472" s="1333">
        <v>38</v>
      </c>
      <c r="G472" s="831">
        <v>7.47</v>
      </c>
      <c r="H472" s="831">
        <v>6.37</v>
      </c>
      <c r="J472" s="1333">
        <v>43</v>
      </c>
      <c r="K472" s="1206">
        <v>10.34</v>
      </c>
      <c r="L472" s="1206">
        <v>8.76</v>
      </c>
      <c r="M472" s="1206">
        <v>10.68</v>
      </c>
      <c r="N472" s="1206">
        <v>8.64</v>
      </c>
      <c r="O472" s="1206">
        <v>12.3</v>
      </c>
      <c r="P472" s="1206">
        <v>9.6300000000000008</v>
      </c>
      <c r="S472" s="1333">
        <v>47</v>
      </c>
      <c r="T472" s="831">
        <v>11.9</v>
      </c>
      <c r="U472" s="831">
        <v>9.67</v>
      </c>
      <c r="V472" s="1243">
        <v>16.190000000000001</v>
      </c>
      <c r="W472" s="1243">
        <v>12.72</v>
      </c>
      <c r="X472" s="1243">
        <v>21.28</v>
      </c>
      <c r="Y472" s="1243">
        <v>16.100000000000001</v>
      </c>
      <c r="Z472" s="1243">
        <v>10.86</v>
      </c>
      <c r="AA472" s="1243">
        <v>8.82</v>
      </c>
      <c r="AB472" s="1243">
        <v>14.77</v>
      </c>
      <c r="AC472" s="1243">
        <v>11.59</v>
      </c>
      <c r="AD472" s="1243">
        <v>19.41</v>
      </c>
      <c r="AE472" s="1336">
        <v>14.67</v>
      </c>
      <c r="AG472" s="824">
        <f>B563</f>
        <v>60</v>
      </c>
      <c r="AH472" s="1206" t="e">
        <f t="shared" si="76"/>
        <v>#N/A</v>
      </c>
      <c r="AJ472" s="830" t="e">
        <f>ROUND((($AH472*(100-AG443)/100))*$AM443/1000,0)</f>
        <v>#N/A</v>
      </c>
      <c r="AK472" s="830" t="e">
        <f>ROUND((($AH472*(100-AH443)/100))*$AM443/2000,0)</f>
        <v>#N/A</v>
      </c>
      <c r="AL472" s="830" t="e">
        <f>ROUND((($AH472*(100-AI443)/100))*$AM443/4000,0)</f>
        <v>#N/A</v>
      </c>
      <c r="AM472" s="830" t="e">
        <f>ROUND((($AH472*(100-AJ443)/100))*$AM443/12000,0)</f>
        <v>#N/A</v>
      </c>
      <c r="AO472" s="1337" t="e">
        <f t="shared" si="47"/>
        <v>#N/A</v>
      </c>
      <c r="AP472" s="1337" t="e">
        <f>ROUND(($AK472*$AN$443)+$AK472,0)</f>
        <v>#N/A</v>
      </c>
      <c r="AQ472" s="1337" t="e">
        <f>ROUND(($AL472*$AN$443)+$AL472,0)</f>
        <v>#N/A</v>
      </c>
      <c r="AR472" s="1337" t="e">
        <f>ROUND(($AM472*$AN$443)+$AM472,0)</f>
        <v>#N/A</v>
      </c>
      <c r="AV472" s="1209">
        <v>28</v>
      </c>
      <c r="AW472" s="829" t="e">
        <f t="shared" ref="AW472:AX475" si="78">$AO$471</f>
        <v>#N/A</v>
      </c>
      <c r="AX472" s="829" t="e">
        <f t="shared" si="78"/>
        <v>#N/A</v>
      </c>
      <c r="AY472" s="829"/>
      <c r="AZ472" s="829"/>
      <c r="BA472" s="829"/>
      <c r="BB472" s="829"/>
      <c r="BC472" s="829"/>
      <c r="BD472" s="1339" t="str">
        <f t="shared" si="57"/>
        <v/>
      </c>
    </row>
    <row r="473" spans="2:56" ht="15" customHeight="1">
      <c r="B473" s="1333">
        <v>39</v>
      </c>
      <c r="C473" s="831">
        <v>7.37</v>
      </c>
      <c r="D473" s="831">
        <v>6.48</v>
      </c>
      <c r="F473" s="1333">
        <v>39</v>
      </c>
      <c r="G473" s="831">
        <v>8.08</v>
      </c>
      <c r="H473" s="831">
        <v>6.77</v>
      </c>
      <c r="J473" s="1333">
        <v>44</v>
      </c>
      <c r="K473" s="1206">
        <v>11.21</v>
      </c>
      <c r="L473" s="1206">
        <v>9.31</v>
      </c>
      <c r="M473" s="1206">
        <v>11.51</v>
      </c>
      <c r="N473" s="1206">
        <v>9.14</v>
      </c>
      <c r="O473" s="1206">
        <v>13.17</v>
      </c>
      <c r="P473" s="1206">
        <v>10.14</v>
      </c>
      <c r="S473" s="1333">
        <v>48</v>
      </c>
      <c r="T473" s="831">
        <v>12.92</v>
      </c>
      <c r="U473" s="831">
        <v>10.26</v>
      </c>
      <c r="V473" s="1243">
        <v>17.45</v>
      </c>
      <c r="W473" s="1243">
        <v>13.45</v>
      </c>
      <c r="X473" s="1243">
        <v>22.75</v>
      </c>
      <c r="Y473" s="1243">
        <v>16.91</v>
      </c>
      <c r="Z473" s="1243">
        <v>11.79</v>
      </c>
      <c r="AA473" s="1243">
        <v>9.36</v>
      </c>
      <c r="AB473" s="1243">
        <v>15.92</v>
      </c>
      <c r="AC473" s="1243">
        <v>12.26</v>
      </c>
      <c r="AD473" s="1243">
        <v>20.75</v>
      </c>
      <c r="AE473" s="1336">
        <v>15.41</v>
      </c>
      <c r="AV473" s="1209">
        <v>29</v>
      </c>
      <c r="AW473" s="829" t="e">
        <f t="shared" si="78"/>
        <v>#N/A</v>
      </c>
      <c r="AX473" s="829" t="e">
        <f t="shared" si="78"/>
        <v>#N/A</v>
      </c>
      <c r="AY473" s="829"/>
      <c r="AZ473" s="829"/>
      <c r="BA473" s="829"/>
      <c r="BB473" s="829"/>
      <c r="BC473" s="829"/>
      <c r="BD473" s="1339" t="str">
        <f t="shared" si="57"/>
        <v/>
      </c>
    </row>
    <row r="474" spans="2:56" ht="15" customHeight="1">
      <c r="B474" s="1333">
        <v>40</v>
      </c>
      <c r="C474" s="831">
        <v>8.01</v>
      </c>
      <c r="D474" s="831">
        <v>6.89</v>
      </c>
      <c r="F474" s="1333">
        <v>40</v>
      </c>
      <c r="G474" s="831">
        <v>8.7200000000000006</v>
      </c>
      <c r="H474" s="831">
        <v>7.17</v>
      </c>
      <c r="J474" s="1333">
        <v>45</v>
      </c>
      <c r="K474" s="1206">
        <v>12.14</v>
      </c>
      <c r="L474" s="1206">
        <v>9.89</v>
      </c>
      <c r="M474" s="1206">
        <v>12.39</v>
      </c>
      <c r="N474" s="1206">
        <v>9.66</v>
      </c>
      <c r="O474" s="1206">
        <v>14.08</v>
      </c>
      <c r="P474" s="1206">
        <v>10.67</v>
      </c>
      <c r="S474" s="1333">
        <v>49</v>
      </c>
      <c r="T474" s="831">
        <v>13.98</v>
      </c>
      <c r="U474" s="831">
        <v>10.88</v>
      </c>
      <c r="V474" s="1243">
        <v>18.75</v>
      </c>
      <c r="W474" s="1243">
        <v>14.18</v>
      </c>
      <c r="X474" s="1243">
        <v>24.23</v>
      </c>
      <c r="Y474" s="1243">
        <v>17.72</v>
      </c>
      <c r="Z474" s="1243">
        <v>12.76</v>
      </c>
      <c r="AA474" s="1243">
        <v>9.92</v>
      </c>
      <c r="AB474" s="1243">
        <v>17.12</v>
      </c>
      <c r="AC474" s="1243">
        <v>12.93</v>
      </c>
      <c r="AD474" s="1243">
        <v>22.12</v>
      </c>
      <c r="AE474" s="1336">
        <v>16.16</v>
      </c>
      <c r="AV474" s="1209">
        <v>30</v>
      </c>
      <c r="AW474" s="829" t="e">
        <f t="shared" si="78"/>
        <v>#N/A</v>
      </c>
      <c r="AX474" s="829" t="e">
        <f t="shared" si="78"/>
        <v>#N/A</v>
      </c>
      <c r="AY474" s="829"/>
      <c r="AZ474" s="829"/>
      <c r="BA474" s="829"/>
      <c r="BB474" s="829"/>
      <c r="BC474" s="829"/>
      <c r="BD474" s="1339" t="str">
        <f t="shared" si="57"/>
        <v/>
      </c>
    </row>
    <row r="475" spans="2:56" ht="15" customHeight="1">
      <c r="B475" s="1333">
        <v>41</v>
      </c>
      <c r="C475" s="831">
        <v>8.68</v>
      </c>
      <c r="D475" s="831">
        <v>7.33</v>
      </c>
      <c r="F475" s="1333">
        <v>41</v>
      </c>
      <c r="G475" s="831">
        <v>9.39</v>
      </c>
      <c r="H475" s="831">
        <v>7.59</v>
      </c>
      <c r="J475" s="1333">
        <v>46</v>
      </c>
      <c r="K475" s="1206">
        <v>13.13</v>
      </c>
      <c r="L475" s="1206">
        <v>10.49</v>
      </c>
      <c r="M475" s="1206">
        <v>13.31</v>
      </c>
      <c r="N475" s="1206">
        <v>10.19</v>
      </c>
      <c r="O475" s="1206">
        <v>15.05</v>
      </c>
      <c r="P475" s="1206">
        <v>11.25</v>
      </c>
      <c r="S475" s="1333">
        <v>50</v>
      </c>
      <c r="T475" s="831">
        <v>15.08</v>
      </c>
      <c r="U475" s="831">
        <v>11.5</v>
      </c>
      <c r="V475" s="1243">
        <v>20.100000000000001</v>
      </c>
      <c r="W475" s="1243">
        <v>14.91</v>
      </c>
      <c r="X475" s="1243">
        <v>25.8</v>
      </c>
      <c r="Y475" s="1243">
        <v>18.600000000000001</v>
      </c>
      <c r="Z475" s="1243">
        <v>13.77</v>
      </c>
      <c r="AA475" s="1243">
        <v>10.49</v>
      </c>
      <c r="AB475" s="1243">
        <v>18.350000000000001</v>
      </c>
      <c r="AC475" s="1243">
        <v>13.6</v>
      </c>
      <c r="AD475" s="1243">
        <v>23.56</v>
      </c>
      <c r="AE475" s="1336">
        <v>16.97</v>
      </c>
      <c r="AV475" s="1209">
        <v>31</v>
      </c>
      <c r="AW475" s="829" t="e">
        <f t="shared" si="78"/>
        <v>#N/A</v>
      </c>
      <c r="AX475" s="829" t="e">
        <f t="shared" si="78"/>
        <v>#N/A</v>
      </c>
      <c r="AY475" s="829"/>
      <c r="AZ475" s="829"/>
      <c r="BA475" s="829"/>
      <c r="BB475" s="829"/>
      <c r="BC475" s="829"/>
      <c r="BD475" s="1339" t="str">
        <f t="shared" si="57"/>
        <v/>
      </c>
    </row>
    <row r="476" spans="2:56" ht="15" customHeight="1">
      <c r="B476" s="1333">
        <v>42</v>
      </c>
      <c r="C476" s="831">
        <v>9.39</v>
      </c>
      <c r="D476" s="831">
        <v>7.78</v>
      </c>
      <c r="F476" s="1333">
        <v>42</v>
      </c>
      <c r="G476" s="831">
        <v>10.1</v>
      </c>
      <c r="H476" s="831">
        <v>8.01</v>
      </c>
      <c r="J476" s="1333">
        <v>47</v>
      </c>
      <c r="K476" s="1206">
        <v>14.17</v>
      </c>
      <c r="L476" s="1206">
        <v>11.11</v>
      </c>
      <c r="M476" s="1206">
        <v>14.27</v>
      </c>
      <c r="N476" s="1206">
        <v>10.73</v>
      </c>
      <c r="O476" s="1206">
        <v>16.07</v>
      </c>
      <c r="P476" s="1206">
        <v>11.84</v>
      </c>
      <c r="S476" s="1308">
        <v>51</v>
      </c>
      <c r="T476" s="831">
        <v>16.190000000000001</v>
      </c>
      <c r="U476" s="831">
        <v>12.15</v>
      </c>
      <c r="V476" s="1243">
        <v>21.46</v>
      </c>
      <c r="W476" s="1243">
        <v>15.64</v>
      </c>
      <c r="X476" s="1243">
        <v>27.38</v>
      </c>
      <c r="Y476" s="1243">
        <v>19.489999999999998</v>
      </c>
      <c r="Z476" s="1243">
        <v>14.79</v>
      </c>
      <c r="AA476" s="1243">
        <v>11.08</v>
      </c>
      <c r="AB476" s="1243">
        <v>19.600000000000001</v>
      </c>
      <c r="AC476" s="1243">
        <v>14.27</v>
      </c>
      <c r="AD476" s="1243">
        <v>25.01</v>
      </c>
      <c r="AE476" s="1336">
        <v>17.78</v>
      </c>
      <c r="AH476" s="824">
        <f>Main!E7</f>
        <v>833</v>
      </c>
      <c r="AI476" s="1275">
        <f>LOOKUP($AH$476,$AH477:$AH483,AI477:AI483)</f>
        <v>0</v>
      </c>
      <c r="AJ476" s="1275">
        <f>LOOKUP($AH$476,$AH477:$AH483,AJ477:AJ483)</f>
        <v>8</v>
      </c>
      <c r="AV476" s="1209">
        <v>32</v>
      </c>
      <c r="AW476" s="829" t="e">
        <f>$AO$472</f>
        <v>#N/A</v>
      </c>
      <c r="AX476" s="829" t="e">
        <f>$AO$472</f>
        <v>#N/A</v>
      </c>
      <c r="AY476" s="829"/>
      <c r="AZ476" s="829"/>
      <c r="BA476" s="829"/>
      <c r="BB476" s="829"/>
      <c r="BC476" s="829"/>
      <c r="BD476" s="1339" t="str">
        <f t="shared" si="57"/>
        <v/>
      </c>
    </row>
    <row r="477" spans="2:56" ht="15" customHeight="1">
      <c r="B477" s="1333">
        <v>43</v>
      </c>
      <c r="C477" s="831">
        <v>10.130000000000001</v>
      </c>
      <c r="D477" s="831">
        <v>8.26</v>
      </c>
      <c r="F477" s="1333">
        <v>43</v>
      </c>
      <c r="G477" s="831">
        <v>10.83</v>
      </c>
      <c r="H477" s="831">
        <v>8.4499999999999993</v>
      </c>
      <c r="J477" s="1333">
        <v>48</v>
      </c>
      <c r="K477" s="1206">
        <v>15.28</v>
      </c>
      <c r="L477" s="1206">
        <v>11.76</v>
      </c>
      <c r="M477" s="1206">
        <v>15.28</v>
      </c>
      <c r="N477" s="1206">
        <v>11.28</v>
      </c>
      <c r="O477" s="1206">
        <v>17.149999999999999</v>
      </c>
      <c r="P477" s="1206">
        <v>12.45</v>
      </c>
      <c r="S477" s="1308">
        <v>52</v>
      </c>
      <c r="T477" s="831">
        <v>17.37</v>
      </c>
      <c r="U477" s="831">
        <v>12.8</v>
      </c>
      <c r="V477" s="1243">
        <v>22.87</v>
      </c>
      <c r="W477" s="1243">
        <v>16.38</v>
      </c>
      <c r="X477" s="1243">
        <v>29.02</v>
      </c>
      <c r="Y477" s="1243">
        <v>20.420000000000002</v>
      </c>
      <c r="Z477" s="1243">
        <v>15.87</v>
      </c>
      <c r="AA477" s="1243">
        <v>11.68</v>
      </c>
      <c r="AB477" s="1243">
        <v>20.89</v>
      </c>
      <c r="AC477" s="1243">
        <v>14.95</v>
      </c>
      <c r="AD477" s="1243">
        <v>26.51</v>
      </c>
      <c r="AE477" s="1336">
        <v>18.63</v>
      </c>
      <c r="AH477" s="824">
        <v>814</v>
      </c>
      <c r="AI477" s="824">
        <f>Main!E11</f>
        <v>25</v>
      </c>
      <c r="AJ477" s="824">
        <f>AI477</f>
        <v>25</v>
      </c>
      <c r="AL477" s="824">
        <f>AJ466</f>
        <v>0</v>
      </c>
      <c r="AM477" s="824">
        <f t="shared" ref="AM477:AO477" si="79">AK466</f>
        <v>0</v>
      </c>
      <c r="AN477" s="824">
        <f t="shared" si="79"/>
        <v>0</v>
      </c>
      <c r="AO477" s="824">
        <f t="shared" si="79"/>
        <v>0</v>
      </c>
      <c r="AV477" s="1209">
        <v>33</v>
      </c>
      <c r="AW477" s="829" t="e">
        <f t="shared" ref="AW477:AX480" si="80">$AO$472</f>
        <v>#N/A</v>
      </c>
      <c r="AX477" s="829" t="e">
        <f t="shared" si="80"/>
        <v>#N/A</v>
      </c>
      <c r="AY477" s="829"/>
      <c r="AZ477" s="829"/>
      <c r="BA477" s="829"/>
      <c r="BB477" s="829"/>
      <c r="BC477" s="829"/>
      <c r="BD477" s="1339" t="str">
        <f t="shared" si="57"/>
        <v/>
      </c>
    </row>
    <row r="478" spans="2:56" ht="15" customHeight="1">
      <c r="B478" s="1333">
        <v>44</v>
      </c>
      <c r="C478" s="831">
        <v>10.93</v>
      </c>
      <c r="D478" s="831">
        <v>8.75</v>
      </c>
      <c r="F478" s="1333">
        <v>44</v>
      </c>
      <c r="G478" s="831">
        <v>11.61</v>
      </c>
      <c r="H478" s="831">
        <v>8.91</v>
      </c>
      <c r="J478" s="1333">
        <v>49</v>
      </c>
      <c r="K478" s="1206">
        <v>16.43</v>
      </c>
      <c r="L478" s="1206">
        <v>12.4</v>
      </c>
      <c r="M478" s="1206">
        <v>16.32</v>
      </c>
      <c r="N478" s="1206">
        <v>11.84</v>
      </c>
      <c r="O478" s="1206">
        <v>18.25</v>
      </c>
      <c r="P478" s="1206">
        <v>13.08</v>
      </c>
      <c r="S478" s="1308">
        <v>53</v>
      </c>
      <c r="T478" s="831">
        <v>18.600000000000001</v>
      </c>
      <c r="U478" s="831">
        <v>13.45</v>
      </c>
      <c r="V478" s="1243">
        <v>24.32</v>
      </c>
      <c r="W478" s="1243">
        <v>17.12</v>
      </c>
      <c r="X478" s="1243">
        <v>30.71</v>
      </c>
      <c r="Y478" s="1243">
        <v>21.36</v>
      </c>
      <c r="Z478" s="1243">
        <v>17</v>
      </c>
      <c r="AA478" s="1243">
        <v>12.28</v>
      </c>
      <c r="AB478" s="1243">
        <v>22.23</v>
      </c>
      <c r="AC478" s="1243">
        <v>15.63</v>
      </c>
      <c r="AD478" s="1243">
        <v>28.07</v>
      </c>
      <c r="AE478" s="1336">
        <v>19.489999999999998</v>
      </c>
      <c r="AH478" s="824">
        <v>815</v>
      </c>
      <c r="AI478" s="824">
        <f>Main!E11</f>
        <v>25</v>
      </c>
      <c r="AJ478" s="824">
        <f>AI478</f>
        <v>25</v>
      </c>
      <c r="AL478" s="824">
        <f>AJ466</f>
        <v>0</v>
      </c>
      <c r="AM478" s="824">
        <f t="shared" ref="AM478:AO478" si="81">AK466</f>
        <v>0</v>
      </c>
      <c r="AN478" s="824">
        <f t="shared" si="81"/>
        <v>0</v>
      </c>
      <c r="AO478" s="824">
        <f t="shared" si="81"/>
        <v>0</v>
      </c>
      <c r="AV478" s="1209">
        <v>34</v>
      </c>
      <c r="AW478" s="829" t="e">
        <f t="shared" si="80"/>
        <v>#N/A</v>
      </c>
      <c r="AX478" s="829" t="e">
        <f t="shared" si="80"/>
        <v>#N/A</v>
      </c>
      <c r="AY478" s="829"/>
      <c r="AZ478" s="829"/>
      <c r="BA478" s="829"/>
      <c r="BB478" s="829"/>
      <c r="BC478" s="829"/>
      <c r="BD478" s="1339" t="str">
        <f t="shared" si="57"/>
        <v/>
      </c>
    </row>
    <row r="479" spans="2:56" ht="15" customHeight="1">
      <c r="B479" s="1333">
        <v>45</v>
      </c>
      <c r="C479" s="831">
        <v>11.78</v>
      </c>
      <c r="D479" s="831">
        <v>9.26</v>
      </c>
      <c r="F479" s="1333">
        <v>45</v>
      </c>
      <c r="G479" s="831">
        <v>12.42</v>
      </c>
      <c r="H479" s="831">
        <v>9.3800000000000008</v>
      </c>
      <c r="J479" s="1333">
        <v>50</v>
      </c>
      <c r="K479" s="1206">
        <v>17.63</v>
      </c>
      <c r="L479" s="1206">
        <v>13.05</v>
      </c>
      <c r="M479" s="1206">
        <v>17.420000000000002</v>
      </c>
      <c r="N479" s="1206">
        <v>12.45</v>
      </c>
      <c r="O479" s="1206">
        <v>19.38</v>
      </c>
      <c r="P479" s="1206">
        <v>13.72</v>
      </c>
      <c r="S479" s="1308">
        <v>54</v>
      </c>
      <c r="T479" s="831">
        <v>19.87</v>
      </c>
      <c r="U479" s="831">
        <v>14.11</v>
      </c>
      <c r="V479" s="1243">
        <v>25.8</v>
      </c>
      <c r="W479" s="1243">
        <v>17.88</v>
      </c>
      <c r="X479" s="1243">
        <v>32.43</v>
      </c>
      <c r="Y479" s="1243">
        <v>22.31</v>
      </c>
      <c r="Z479" s="1243">
        <v>18.170000000000002</v>
      </c>
      <c r="AA479" s="1243">
        <v>12.88</v>
      </c>
      <c r="AB479" s="1243">
        <v>23.59</v>
      </c>
      <c r="AC479" s="1243">
        <v>16.32</v>
      </c>
      <c r="AD479" s="1243">
        <v>29.65</v>
      </c>
      <c r="AE479" s="1336">
        <v>20.37</v>
      </c>
      <c r="AH479" s="824">
        <v>820</v>
      </c>
      <c r="AI479" s="824">
        <v>20</v>
      </c>
      <c r="AJ479" s="824">
        <v>15</v>
      </c>
      <c r="AL479" s="824">
        <f>AJ445</f>
        <v>0</v>
      </c>
      <c r="AM479" s="824">
        <f t="shared" ref="AM479:AO479" si="82">AK445</f>
        <v>0</v>
      </c>
      <c r="AN479" s="824">
        <f t="shared" si="82"/>
        <v>0</v>
      </c>
      <c r="AO479" s="824">
        <f t="shared" si="82"/>
        <v>0</v>
      </c>
      <c r="AV479" s="1209">
        <v>35</v>
      </c>
      <c r="AW479" s="829" t="e">
        <f t="shared" si="80"/>
        <v>#N/A</v>
      </c>
      <c r="AX479" s="829" t="e">
        <f t="shared" si="80"/>
        <v>#N/A</v>
      </c>
      <c r="AY479" s="829"/>
      <c r="AZ479" s="829"/>
      <c r="BA479" s="829"/>
      <c r="BB479" s="829"/>
      <c r="BC479" s="829"/>
      <c r="BD479" s="1339" t="str">
        <f t="shared" si="57"/>
        <v/>
      </c>
    </row>
    <row r="480" spans="2:56" ht="15" customHeight="1">
      <c r="B480" s="1333">
        <v>46</v>
      </c>
      <c r="C480" s="831">
        <v>12.67</v>
      </c>
      <c r="D480" s="831">
        <v>9.7799999999999994</v>
      </c>
      <c r="J480" s="1308">
        <v>51</v>
      </c>
      <c r="K480" s="1206">
        <v>18.84</v>
      </c>
      <c r="L480" s="1206">
        <v>13.69</v>
      </c>
      <c r="M480" s="1206">
        <v>18.53</v>
      </c>
      <c r="N480" s="1206">
        <v>13.06</v>
      </c>
      <c r="O480" s="1206">
        <v>0</v>
      </c>
      <c r="P480" s="1206">
        <v>0</v>
      </c>
      <c r="S480" s="1308">
        <v>55</v>
      </c>
      <c r="T480" s="831">
        <v>21.17</v>
      </c>
      <c r="U480" s="831">
        <v>14.78</v>
      </c>
      <c r="V480" s="1243">
        <v>27.37</v>
      </c>
      <c r="W480" s="1243">
        <v>18.73</v>
      </c>
      <c r="X480" s="831">
        <v>0</v>
      </c>
      <c r="Y480" s="831">
        <v>0</v>
      </c>
      <c r="Z480" s="1243">
        <v>19.36</v>
      </c>
      <c r="AA480" s="1243">
        <v>13.5</v>
      </c>
      <c r="AB480" s="1243">
        <v>25.03</v>
      </c>
      <c r="AC480" s="1243">
        <v>17.100000000000001</v>
      </c>
      <c r="AD480" s="831">
        <v>0</v>
      </c>
      <c r="AE480" s="831">
        <v>0</v>
      </c>
      <c r="AH480" s="824">
        <v>821</v>
      </c>
      <c r="AI480" s="824">
        <v>25</v>
      </c>
      <c r="AJ480" s="824">
        <v>20</v>
      </c>
      <c r="AL480" s="824">
        <f>AJ450</f>
        <v>0</v>
      </c>
      <c r="AM480" s="824">
        <f t="shared" ref="AM480:AO480" si="83">AK450</f>
        <v>0</v>
      </c>
      <c r="AN480" s="824">
        <f t="shared" si="83"/>
        <v>0</v>
      </c>
      <c r="AO480" s="824">
        <f t="shared" si="83"/>
        <v>0</v>
      </c>
      <c r="AV480" s="1209">
        <v>36</v>
      </c>
      <c r="AW480" s="829" t="e">
        <f t="shared" si="80"/>
        <v>#N/A</v>
      </c>
      <c r="AX480" s="829" t="e">
        <f t="shared" si="80"/>
        <v>#N/A</v>
      </c>
      <c r="AY480" s="829"/>
      <c r="AZ480" s="829"/>
      <c r="BA480" s="829"/>
      <c r="BB480" s="829"/>
      <c r="BC480" s="829"/>
      <c r="BD480" s="1339" t="str">
        <f t="shared" si="57"/>
        <v/>
      </c>
    </row>
    <row r="481" spans="2:56" ht="15" customHeight="1">
      <c r="B481" s="1333">
        <v>47</v>
      </c>
      <c r="C481" s="831">
        <v>13.62</v>
      </c>
      <c r="D481" s="831">
        <v>10.31</v>
      </c>
      <c r="J481" s="1308">
        <v>52</v>
      </c>
      <c r="K481" s="1206">
        <v>20.09</v>
      </c>
      <c r="L481" s="1206">
        <v>14.35</v>
      </c>
      <c r="M481" s="1206">
        <v>19.7</v>
      </c>
      <c r="N481" s="1206">
        <v>13.7</v>
      </c>
      <c r="O481" s="1206">
        <v>0</v>
      </c>
      <c r="P481" s="1206">
        <v>0</v>
      </c>
      <c r="S481" s="1308">
        <v>56</v>
      </c>
      <c r="T481" s="831">
        <v>22.5</v>
      </c>
      <c r="U481" s="831">
        <v>15.43</v>
      </c>
      <c r="V481" s="1243">
        <v>28.97</v>
      </c>
      <c r="W481" s="1243">
        <v>19.59</v>
      </c>
      <c r="X481" s="831">
        <v>0</v>
      </c>
      <c r="Y481" s="831">
        <v>0</v>
      </c>
      <c r="Z481" s="1243">
        <v>20.59</v>
      </c>
      <c r="AA481" s="1243">
        <v>14.09</v>
      </c>
      <c r="AB481" s="1243">
        <v>26.51</v>
      </c>
      <c r="AC481" s="1243">
        <v>17.89</v>
      </c>
      <c r="AD481" s="831">
        <v>0</v>
      </c>
      <c r="AE481" s="831">
        <v>0</v>
      </c>
      <c r="AH481" s="824">
        <v>830</v>
      </c>
      <c r="AI481" s="824">
        <f>IF(Y489=12,12,IF(Y489=16,16,IF(Y489=21,21,0)))</f>
        <v>0</v>
      </c>
      <c r="AJ481" s="824">
        <f>IF(Y490=8,8,IF(Y490=9,9,0))</f>
        <v>8</v>
      </c>
      <c r="AL481" s="824">
        <f>AJ462</f>
        <v>0</v>
      </c>
      <c r="AM481" s="824">
        <f t="shared" ref="AM481:AO481" si="84">AK462</f>
        <v>0</v>
      </c>
      <c r="AN481" s="824">
        <f t="shared" si="84"/>
        <v>0</v>
      </c>
      <c r="AO481" s="824">
        <f t="shared" si="84"/>
        <v>0</v>
      </c>
    </row>
    <row r="482" spans="2:56" ht="15" customHeight="1">
      <c r="B482" s="1333">
        <v>48</v>
      </c>
      <c r="C482" s="831">
        <v>14.61</v>
      </c>
      <c r="D482" s="831">
        <v>10.85</v>
      </c>
      <c r="J482" s="1308">
        <v>53</v>
      </c>
      <c r="K482" s="1206">
        <v>21.39</v>
      </c>
      <c r="L482" s="1206">
        <v>15</v>
      </c>
      <c r="M482" s="1206">
        <v>20.91</v>
      </c>
      <c r="N482" s="1206">
        <v>14.35</v>
      </c>
      <c r="O482" s="1206">
        <v>0</v>
      </c>
      <c r="P482" s="1206">
        <v>0</v>
      </c>
      <c r="S482" s="1308">
        <v>57</v>
      </c>
      <c r="T482" s="831">
        <v>23.85</v>
      </c>
      <c r="U482" s="831">
        <v>16.079999999999998</v>
      </c>
      <c r="V482" s="1243">
        <v>30.61</v>
      </c>
      <c r="W482" s="1243">
        <v>20.48</v>
      </c>
      <c r="X482" s="831">
        <v>0</v>
      </c>
      <c r="Y482" s="831">
        <v>0</v>
      </c>
      <c r="Z482" s="1243">
        <v>21.84</v>
      </c>
      <c r="AA482" s="1243">
        <v>14.69</v>
      </c>
      <c r="AB482" s="1243">
        <v>28.03</v>
      </c>
      <c r="AC482" s="1243">
        <v>18.71</v>
      </c>
      <c r="AD482" s="831">
        <v>0</v>
      </c>
      <c r="AE482" s="831">
        <v>0</v>
      </c>
      <c r="AH482" s="824">
        <v>836</v>
      </c>
      <c r="AI482" s="824">
        <f>IF(T489=16,16,IF(T489=21,21,IF(T489=25,25,0)))</f>
        <v>25</v>
      </c>
      <c r="AJ482" s="824">
        <f>IF(T489=16,10,IF(T489=21,15,IF(T489=25,16,0)))</f>
        <v>16</v>
      </c>
      <c r="AL482" s="824">
        <f>AJ456</f>
        <v>0</v>
      </c>
      <c r="AM482" s="824">
        <f t="shared" ref="AM482:AO482" si="85">AK456</f>
        <v>0</v>
      </c>
      <c r="AN482" s="824">
        <f t="shared" si="85"/>
        <v>0</v>
      </c>
      <c r="AO482" s="824">
        <f t="shared" si="85"/>
        <v>0</v>
      </c>
    </row>
    <row r="483" spans="2:56" ht="15" customHeight="1">
      <c r="B483" s="1333">
        <v>49</v>
      </c>
      <c r="C483" s="831">
        <v>15.63</v>
      </c>
      <c r="D483" s="831">
        <v>11.4</v>
      </c>
      <c r="J483" s="1308">
        <v>54</v>
      </c>
      <c r="K483" s="1206">
        <v>22.7</v>
      </c>
      <c r="L483" s="1206">
        <v>15.67</v>
      </c>
      <c r="M483" s="1206">
        <v>22.14</v>
      </c>
      <c r="N483" s="1206">
        <v>15.02</v>
      </c>
      <c r="O483" s="1206">
        <v>0</v>
      </c>
      <c r="P483" s="1206">
        <v>0</v>
      </c>
      <c r="S483" s="829">
        <v>58</v>
      </c>
      <c r="T483" s="831">
        <v>0</v>
      </c>
      <c r="U483" s="831">
        <v>0</v>
      </c>
      <c r="V483" s="1243">
        <v>32.31</v>
      </c>
      <c r="W483" s="1243">
        <v>21.4</v>
      </c>
      <c r="X483" s="831">
        <v>0</v>
      </c>
      <c r="Y483" s="831">
        <v>0</v>
      </c>
      <c r="Z483" s="1243">
        <v>23.11</v>
      </c>
      <c r="AA483" s="1243">
        <v>15.31</v>
      </c>
      <c r="AB483" s="1243">
        <v>29.59</v>
      </c>
      <c r="AC483" s="1243">
        <v>19.55</v>
      </c>
      <c r="AD483" s="831">
        <v>0</v>
      </c>
      <c r="AE483" s="831">
        <v>0</v>
      </c>
      <c r="AH483" s="824">
        <v>838</v>
      </c>
      <c r="AI483" s="824">
        <f>Main!E11</f>
        <v>25</v>
      </c>
      <c r="AJ483" s="824">
        <f>AI483</f>
        <v>25</v>
      </c>
    </row>
    <row r="484" spans="2:56" ht="15" customHeight="1">
      <c r="B484" s="1333">
        <v>50</v>
      </c>
      <c r="C484" s="831">
        <v>16.670000000000002</v>
      </c>
      <c r="D484" s="831">
        <v>11.95</v>
      </c>
      <c r="J484" s="1308">
        <v>55</v>
      </c>
      <c r="K484" s="1206">
        <v>24.11</v>
      </c>
      <c r="L484" s="1206">
        <v>16.43</v>
      </c>
      <c r="M484" s="1206">
        <v>0</v>
      </c>
      <c r="N484" s="1206">
        <v>0</v>
      </c>
      <c r="O484" s="1206">
        <v>0</v>
      </c>
      <c r="P484" s="1206">
        <v>0</v>
      </c>
      <c r="S484" s="829">
        <v>59</v>
      </c>
      <c r="T484" s="831">
        <v>0</v>
      </c>
      <c r="U484" s="831">
        <v>0</v>
      </c>
      <c r="V484" s="1243">
        <v>34.020000000000003</v>
      </c>
      <c r="W484" s="1243">
        <v>22.32</v>
      </c>
      <c r="X484" s="831">
        <v>0</v>
      </c>
      <c r="Y484" s="831">
        <v>0</v>
      </c>
      <c r="Z484" s="1243">
        <v>24.48</v>
      </c>
      <c r="AA484" s="1243">
        <v>16.02</v>
      </c>
      <c r="AB484" s="1243">
        <v>31.17</v>
      </c>
      <c r="AC484" s="1243">
        <v>20.399999999999999</v>
      </c>
      <c r="AD484" s="831">
        <v>0</v>
      </c>
      <c r="AE484" s="831">
        <v>0</v>
      </c>
      <c r="AW484" s="829">
        <v>1</v>
      </c>
      <c r="AX484" s="829">
        <v>2</v>
      </c>
      <c r="AY484" s="829">
        <v>3</v>
      </c>
      <c r="AZ484" s="829">
        <v>4</v>
      </c>
      <c r="BA484" s="829">
        <v>5</v>
      </c>
      <c r="BB484" s="829">
        <v>6</v>
      </c>
      <c r="BC484" s="829">
        <v>7</v>
      </c>
      <c r="BD484" s="829"/>
    </row>
    <row r="485" spans="2:56" ht="15" customHeight="1">
      <c r="J485" s="1308">
        <v>56</v>
      </c>
      <c r="K485" s="1206">
        <v>25.55</v>
      </c>
      <c r="L485" s="1206">
        <v>17.190000000000001</v>
      </c>
      <c r="M485" s="1206">
        <v>0</v>
      </c>
      <c r="N485" s="1206">
        <v>0</v>
      </c>
      <c r="O485" s="1206">
        <v>0</v>
      </c>
      <c r="P485" s="1206">
        <v>0</v>
      </c>
      <c r="S485" s="829">
        <v>60</v>
      </c>
      <c r="T485" s="831">
        <v>0</v>
      </c>
      <c r="U485" s="831">
        <v>0</v>
      </c>
      <c r="V485" s="831">
        <v>0</v>
      </c>
      <c r="W485" s="831">
        <v>0</v>
      </c>
      <c r="X485" s="831">
        <v>0</v>
      </c>
      <c r="Y485" s="831">
        <v>0</v>
      </c>
      <c r="Z485" s="1243">
        <v>25.86</v>
      </c>
      <c r="AA485" s="1243">
        <v>16.72</v>
      </c>
      <c r="AB485" s="831">
        <v>0</v>
      </c>
      <c r="AC485" s="831">
        <v>0</v>
      </c>
      <c r="AD485" s="831">
        <v>0</v>
      </c>
      <c r="AE485" s="831">
        <v>0</v>
      </c>
      <c r="AV485" s="1338">
        <v>1</v>
      </c>
      <c r="AW485" s="829">
        <v>814</v>
      </c>
      <c r="AX485" s="829">
        <v>815</v>
      </c>
      <c r="AY485" s="829">
        <v>820</v>
      </c>
      <c r="AZ485" s="829">
        <v>821</v>
      </c>
      <c r="BA485" s="829">
        <v>830</v>
      </c>
      <c r="BB485" s="829">
        <v>836</v>
      </c>
      <c r="BC485" s="829">
        <v>838</v>
      </c>
      <c r="BD485" s="829">
        <f>AH476</f>
        <v>833</v>
      </c>
    </row>
    <row r="486" spans="2:56" ht="15" customHeight="1">
      <c r="J486" s="1308">
        <v>57</v>
      </c>
      <c r="K486" s="1206">
        <v>27.02</v>
      </c>
      <c r="L486" s="1206">
        <v>17.98</v>
      </c>
      <c r="M486" s="1206">
        <v>0</v>
      </c>
      <c r="N486" s="1206">
        <v>0</v>
      </c>
      <c r="O486" s="1206">
        <v>0</v>
      </c>
      <c r="P486" s="1206">
        <v>0</v>
      </c>
      <c r="S486" s="829">
        <v>61</v>
      </c>
      <c r="T486" s="831">
        <v>0</v>
      </c>
      <c r="U486" s="831">
        <v>0</v>
      </c>
      <c r="V486" s="831">
        <v>0</v>
      </c>
      <c r="W486" s="831">
        <v>0</v>
      </c>
      <c r="X486" s="831">
        <v>0</v>
      </c>
      <c r="Y486" s="831">
        <v>0</v>
      </c>
      <c r="Z486" s="1243">
        <v>27.26</v>
      </c>
      <c r="AA486" s="1243">
        <v>17.440000000000001</v>
      </c>
      <c r="AB486" s="831">
        <v>0</v>
      </c>
      <c r="AC486" s="831">
        <v>0</v>
      </c>
      <c r="AD486" s="831">
        <v>0</v>
      </c>
      <c r="AE486" s="831">
        <v>0</v>
      </c>
      <c r="AV486" s="1338">
        <v>2</v>
      </c>
      <c r="AW486" s="829">
        <f>AO466</f>
        <v>0</v>
      </c>
      <c r="AX486" s="829">
        <f>AO466</f>
        <v>0</v>
      </c>
      <c r="AY486" s="829">
        <f>AO445</f>
        <v>0</v>
      </c>
      <c r="AZ486" s="829">
        <f>AO450</f>
        <v>0</v>
      </c>
      <c r="BA486" s="829">
        <f>AO462</f>
        <v>0</v>
      </c>
      <c r="BB486" s="829">
        <f>AO456</f>
        <v>0</v>
      </c>
      <c r="BC486" s="829">
        <f>AO466</f>
        <v>0</v>
      </c>
      <c r="BD486" s="1339" t="str">
        <f>IFERROR(IF((HLOOKUP(BD$485,$AW$485:$BC$489,$AV486,FALSE))=0,"",HLOOKUP(BD$485,$AW$485:$BC$489,$AV486,FALSE)),"")</f>
        <v/>
      </c>
    </row>
    <row r="487" spans="2:56" ht="15" customHeight="1">
      <c r="J487" s="1308">
        <v>58</v>
      </c>
      <c r="K487" s="1206">
        <v>28.54</v>
      </c>
      <c r="L487" s="1206">
        <v>18.79</v>
      </c>
      <c r="M487" s="1206">
        <v>0</v>
      </c>
      <c r="N487" s="1206">
        <v>0</v>
      </c>
      <c r="O487" s="1206">
        <v>0</v>
      </c>
      <c r="P487" s="1206">
        <v>0</v>
      </c>
      <c r="S487" s="829">
        <v>62</v>
      </c>
      <c r="T487" s="831">
        <v>0</v>
      </c>
      <c r="U487" s="831">
        <v>0</v>
      </c>
      <c r="V487" s="831">
        <v>0</v>
      </c>
      <c r="W487" s="831">
        <v>0</v>
      </c>
      <c r="X487" s="831">
        <v>0</v>
      </c>
      <c r="Y487" s="831">
        <v>0</v>
      </c>
      <c r="Z487" s="1243">
        <v>28.71</v>
      </c>
      <c r="AA487" s="1243">
        <v>18.16</v>
      </c>
      <c r="AB487" s="831">
        <v>0</v>
      </c>
      <c r="AC487" s="831">
        <v>0</v>
      </c>
      <c r="AD487" s="831">
        <v>0</v>
      </c>
      <c r="AE487" s="831">
        <v>0</v>
      </c>
      <c r="AV487" s="1338">
        <v>3</v>
      </c>
      <c r="AW487" s="829">
        <f>AP466</f>
        <v>0</v>
      </c>
      <c r="AX487" s="829">
        <f>AP466</f>
        <v>0</v>
      </c>
      <c r="AY487" s="829">
        <f>AP445</f>
        <v>0</v>
      </c>
      <c r="AZ487" s="829">
        <f>AP450</f>
        <v>0</v>
      </c>
      <c r="BA487" s="829">
        <f>AP462</f>
        <v>0</v>
      </c>
      <c r="BB487" s="829">
        <f>AP456</f>
        <v>0</v>
      </c>
      <c r="BC487" s="829">
        <f>AP466</f>
        <v>0</v>
      </c>
      <c r="BD487" s="1339" t="str">
        <f t="shared" ref="BD487:BD489" si="86">IFERROR(IF((HLOOKUP(BD$485,$AW$485:$BC$489,$AV487,FALSE))=0,"",HLOOKUP(BD$485,$AW$485:$BC$489,$AV487,FALSE)),"")</f>
        <v/>
      </c>
    </row>
    <row r="488" spans="2:56" ht="15" customHeight="1">
      <c r="J488" s="1308">
        <v>59</v>
      </c>
      <c r="K488" s="1206">
        <v>30.09</v>
      </c>
      <c r="L488" s="1206">
        <v>19.62</v>
      </c>
      <c r="M488" s="1206">
        <v>0</v>
      </c>
      <c r="N488" s="1206">
        <v>0</v>
      </c>
      <c r="O488" s="1206">
        <v>0</v>
      </c>
      <c r="P488" s="1206">
        <v>0</v>
      </c>
      <c r="AV488" s="1338">
        <v>4</v>
      </c>
      <c r="AW488" s="829">
        <f>AQ466</f>
        <v>0</v>
      </c>
      <c r="AX488" s="829">
        <f>AQ466</f>
        <v>0</v>
      </c>
      <c r="AY488" s="829">
        <f>AQ445</f>
        <v>0</v>
      </c>
      <c r="AZ488" s="829">
        <f>AQ450</f>
        <v>0</v>
      </c>
      <c r="BA488" s="829">
        <f>AQ462</f>
        <v>0</v>
      </c>
      <c r="BB488" s="829">
        <f>AQ456</f>
        <v>0</v>
      </c>
      <c r="BC488" s="829">
        <f>AQ466</f>
        <v>0</v>
      </c>
      <c r="BD488" s="1339" t="str">
        <f t="shared" si="86"/>
        <v/>
      </c>
    </row>
    <row r="489" spans="2:56" ht="15" customHeight="1">
      <c r="P489" s="833"/>
      <c r="Q489" s="829">
        <v>16</v>
      </c>
      <c r="R489" s="829">
        <v>21</v>
      </c>
      <c r="S489" s="829">
        <v>25</v>
      </c>
      <c r="T489" s="833">
        <f>Main!E11</f>
        <v>25</v>
      </c>
      <c r="U489" s="829"/>
      <c r="V489" s="829">
        <v>12</v>
      </c>
      <c r="W489" s="829">
        <v>16</v>
      </c>
      <c r="X489" s="829">
        <v>21</v>
      </c>
      <c r="Y489" s="824">
        <f>Main!E11</f>
        <v>25</v>
      </c>
      <c r="AB489" s="1206">
        <f>IF(Y490=8,Y493,AE493)</f>
        <v>5.37</v>
      </c>
      <c r="AV489" s="1338">
        <v>5</v>
      </c>
      <c r="AW489" s="829">
        <f>AR466</f>
        <v>0</v>
      </c>
      <c r="AX489" s="829">
        <f>AR466</f>
        <v>0</v>
      </c>
      <c r="AY489" s="829">
        <f>AR445</f>
        <v>0</v>
      </c>
      <c r="AZ489" s="829">
        <f>AR450</f>
        <v>0</v>
      </c>
      <c r="BA489" s="829">
        <f>AR462</f>
        <v>0</v>
      </c>
      <c r="BB489" s="829">
        <f>AR456</f>
        <v>0</v>
      </c>
      <c r="BC489" s="829">
        <f>AR466</f>
        <v>0</v>
      </c>
      <c r="BD489" s="1339" t="str">
        <f t="shared" si="86"/>
        <v/>
      </c>
    </row>
    <row r="490" spans="2:56" ht="15" customHeight="1">
      <c r="P490" s="833"/>
      <c r="Q490" s="829">
        <v>10</v>
      </c>
      <c r="R490" s="829">
        <v>15</v>
      </c>
      <c r="S490" s="829">
        <v>16</v>
      </c>
      <c r="T490" s="833">
        <f>Main!E12</f>
        <v>22</v>
      </c>
      <c r="U490" s="829"/>
      <c r="V490" s="829">
        <v>8</v>
      </c>
      <c r="W490" s="829">
        <v>8</v>
      </c>
      <c r="X490" s="829">
        <v>8</v>
      </c>
      <c r="Y490" s="825">
        <f>Main!G12</f>
        <v>8</v>
      </c>
      <c r="AB490" s="1206">
        <f>IF(Y490=8,Y494,AE494)</f>
        <v>8.42</v>
      </c>
    </row>
    <row r="491" spans="2:56" ht="15" customHeight="1">
      <c r="B491" s="824">
        <f>$B$1</f>
        <v>30</v>
      </c>
      <c r="C491" s="835">
        <f>LOOKUP($B491,$B447:$B484,C447:C484)</f>
        <v>3.28</v>
      </c>
      <c r="D491" s="835">
        <f>LOOKUP($B491,$B447:$B484,D447:D484)</f>
        <v>3.48</v>
      </c>
      <c r="E491" s="831">
        <f>IF($A$439=1,C491,D491)</f>
        <v>3.28</v>
      </c>
      <c r="F491" s="824">
        <f>$B$1</f>
        <v>30</v>
      </c>
      <c r="G491" s="835">
        <f>LOOKUP($F$491,$F447:$F479,G447:G479)</f>
        <v>3.77</v>
      </c>
      <c r="H491" s="835">
        <f>LOOKUP($F$491,$F447:$F479,H447:H479)</f>
        <v>3.75</v>
      </c>
      <c r="I491" s="831">
        <f>IF($A$439=1,G491,H491)</f>
        <v>3.77</v>
      </c>
      <c r="J491" s="829">
        <f>$B$1</f>
        <v>30</v>
      </c>
      <c r="K491" s="835">
        <f t="shared" ref="K491:P491" si="87">LOOKUP($J$491,$J447:$J488,K447:K488)</f>
        <v>3.25</v>
      </c>
      <c r="L491" s="835">
        <f t="shared" si="87"/>
        <v>3.59</v>
      </c>
      <c r="M491" s="835">
        <f t="shared" si="87"/>
        <v>3.52</v>
      </c>
      <c r="N491" s="835">
        <f t="shared" si="87"/>
        <v>3.68</v>
      </c>
      <c r="O491" s="835">
        <f t="shared" si="87"/>
        <v>4.32</v>
      </c>
      <c r="P491" s="835">
        <f t="shared" si="87"/>
        <v>4.29</v>
      </c>
      <c r="Q491" s="831">
        <f>IF($A$439=1,K491,L491)</f>
        <v>3.25</v>
      </c>
      <c r="R491" s="831">
        <f>IF($A$439=1,M491,N491)</f>
        <v>3.52</v>
      </c>
      <c r="S491" s="831">
        <f>IF($A$439=1,O491,P491)</f>
        <v>4.32</v>
      </c>
      <c r="T491" s="831">
        <f>IF(T$489=Q$489,Q491,IF(T$489=R$489,R491,IF(T$489=S$489,S491,K$494)))</f>
        <v>4.32</v>
      </c>
      <c r="U491" s="829">
        <f>$B$1</f>
        <v>30</v>
      </c>
      <c r="V491" s="835">
        <f>LOOKUP($U$491,$S443:$S487,T443:T487)</f>
        <v>2.6</v>
      </c>
      <c r="W491" s="829">
        <f>LOOKUP($U$491,$S443:$S487,V443:V487)</f>
        <v>3.73</v>
      </c>
      <c r="X491" s="1308">
        <f>LOOKUP($U$491,$S443:$S487,X443:X487)</f>
        <v>5.37</v>
      </c>
      <c r="Y491" s="831">
        <f t="shared" ref="Y491:AA492" si="88">IF($A$439=1,V491,V493)</f>
        <v>2.6</v>
      </c>
      <c r="Z491" s="831">
        <f t="shared" si="88"/>
        <v>3.73</v>
      </c>
      <c r="AA491" s="831">
        <f t="shared" si="88"/>
        <v>5.37</v>
      </c>
      <c r="AB491" s="831">
        <f>LOOKUP($U$491,$S443:$S487,Z443:Z487)</f>
        <v>2.37</v>
      </c>
      <c r="AC491" s="831">
        <f>LOOKUP($U$491,$S443:$S487,AB443:AB487)</f>
        <v>3.4</v>
      </c>
      <c r="AD491" s="831">
        <f>LOOKUP($U$491,$S443:$S487,AD443:AD487)</f>
        <v>4.88</v>
      </c>
      <c r="AE491" s="831">
        <f t="shared" ref="AE491:AG492" si="89">IF($A$439=1,AB491,AB493)</f>
        <v>2.37</v>
      </c>
      <c r="AF491" s="831">
        <f t="shared" si="89"/>
        <v>3.4</v>
      </c>
      <c r="AG491" s="831">
        <f t="shared" si="89"/>
        <v>4.88</v>
      </c>
    </row>
    <row r="492" spans="2:56" ht="15" customHeight="1">
      <c r="B492" s="824">
        <f>B491+5</f>
        <v>35</v>
      </c>
      <c r="C492" s="835">
        <f>LOOKUP($B492,$B447:$B484,C447:C484)</f>
        <v>5.2</v>
      </c>
      <c r="D492" s="835">
        <f>LOOKUP($B492,$B447:$B484,D447:D484)</f>
        <v>4.99</v>
      </c>
      <c r="E492" s="831">
        <f t="shared" ref="E492:E494" si="90">IF($A$439=1,C492,D492)</f>
        <v>5.2</v>
      </c>
      <c r="F492" s="824">
        <f>F491+5</f>
        <v>35</v>
      </c>
      <c r="G492" s="835">
        <f>LOOKUP($F$492,$F447:$F479,G447:G479)</f>
        <v>5.83</v>
      </c>
      <c r="H492" s="835">
        <f>LOOKUP($F$492,$F447:$F479,H447:H479)</f>
        <v>5.27</v>
      </c>
      <c r="I492" s="831">
        <f t="shared" ref="I492:I495" si="91">IF($A$439=1,G492,H492)</f>
        <v>5.83</v>
      </c>
      <c r="J492" s="829">
        <f>J491+5</f>
        <v>35</v>
      </c>
      <c r="K492" s="835">
        <f t="shared" ref="K492:P492" si="92">LOOKUP($J$492,$J447:$J488,K447:K488)</f>
        <v>5.14</v>
      </c>
      <c r="L492" s="835">
        <f t="shared" si="92"/>
        <v>5.2</v>
      </c>
      <c r="M492" s="835">
        <f t="shared" si="92"/>
        <v>5.54</v>
      </c>
      <c r="N492" s="835">
        <f t="shared" si="92"/>
        <v>5.25</v>
      </c>
      <c r="O492" s="835">
        <f t="shared" si="92"/>
        <v>6.67</v>
      </c>
      <c r="P492" s="835">
        <f t="shared" si="92"/>
        <v>6.02</v>
      </c>
      <c r="Q492" s="831">
        <f t="shared" ref="Q492:Q494" si="93">IF($A$439=1,K492,L492)</f>
        <v>5.14</v>
      </c>
      <c r="R492" s="831">
        <f t="shared" ref="R492:R494" si="94">IF($A$439=1,M492,N492)</f>
        <v>5.54</v>
      </c>
      <c r="S492" s="831">
        <f t="shared" ref="S492:S494" si="95">IF($A$439=1,O492,P492)</f>
        <v>6.67</v>
      </c>
      <c r="T492" s="831">
        <f t="shared" ref="T492:T494" si="96">IF(T$489=Q$489,Q492,IF(T$489=R$489,R492,IF(T$489=S$489,S492,K$494)))</f>
        <v>6.67</v>
      </c>
      <c r="U492" s="829">
        <f>U491+5</f>
        <v>35</v>
      </c>
      <c r="V492" s="835">
        <f>LOOKUP($U$492,$S443:$S487,T443:T487)</f>
        <v>4.16</v>
      </c>
      <c r="W492" s="829">
        <f>LOOKUP($U$492,$S443:$S487,V443:V487)</f>
        <v>5.91</v>
      </c>
      <c r="X492" s="1308">
        <f>LOOKUP($U$492,$S443:$S487,X443:X487)</f>
        <v>8.42</v>
      </c>
      <c r="Y492" s="831">
        <f t="shared" si="88"/>
        <v>4.16</v>
      </c>
      <c r="Z492" s="831">
        <f t="shared" si="88"/>
        <v>5.91</v>
      </c>
      <c r="AA492" s="831">
        <f t="shared" si="88"/>
        <v>8.42</v>
      </c>
      <c r="AB492" s="831">
        <f>LOOKUP($U$492,$S443:$S487,Z443:Z487)</f>
        <v>3.79</v>
      </c>
      <c r="AC492" s="831">
        <f>LOOKUP($U$492,$S443:$S487,AB443:AB487)</f>
        <v>5.38</v>
      </c>
      <c r="AD492" s="831">
        <f>LOOKUP($U$492,$S443:$S487,AD443:AD487)</f>
        <v>7.66</v>
      </c>
      <c r="AE492" s="831">
        <f t="shared" si="89"/>
        <v>3.79</v>
      </c>
      <c r="AF492" s="831">
        <f t="shared" si="89"/>
        <v>5.38</v>
      </c>
      <c r="AG492" s="831">
        <f t="shared" si="89"/>
        <v>7.66</v>
      </c>
    </row>
    <row r="493" spans="2:56" ht="15" customHeight="1">
      <c r="B493" s="824">
        <f>B492+5</f>
        <v>40</v>
      </c>
      <c r="C493" s="835">
        <f>LOOKUP($B493,$B447:$B484,C447:C484)</f>
        <v>8.01</v>
      </c>
      <c r="D493" s="835">
        <f>LOOKUP($B493,$B447:$B484,D447:D484)</f>
        <v>6.89</v>
      </c>
      <c r="E493" s="831">
        <f t="shared" si="90"/>
        <v>8.01</v>
      </c>
      <c r="F493" s="824">
        <f>F492+5</f>
        <v>40</v>
      </c>
      <c r="G493" s="835">
        <f>LOOKUP($F$493,$F447:$F479,G447:G479)</f>
        <v>8.7200000000000006</v>
      </c>
      <c r="H493" s="835">
        <f>LOOKUP($F$493,$F447:$F479,H447:H479)</f>
        <v>7.17</v>
      </c>
      <c r="I493" s="831">
        <f t="shared" si="91"/>
        <v>8.7200000000000006</v>
      </c>
      <c r="J493" s="829">
        <f>J492+5</f>
        <v>40</v>
      </c>
      <c r="K493" s="1287">
        <v>0</v>
      </c>
      <c r="L493" s="1287">
        <v>0</v>
      </c>
      <c r="M493" s="835">
        <f>LOOKUP($J$493,$J447:$J488,M447:M488)</f>
        <v>8.48</v>
      </c>
      <c r="N493" s="835">
        <f>LOOKUP($J$493,$J447:$J488,N447:N488)</f>
        <v>7.23</v>
      </c>
      <c r="O493" s="835">
        <f>LOOKUP($J$493,$J447:$J488,O447:O488)</f>
        <v>9.93</v>
      </c>
      <c r="P493" s="835">
        <f>LOOKUP($J$493,$J447:$J488,P447:P488)</f>
        <v>8.18</v>
      </c>
      <c r="Q493" s="831">
        <f t="shared" si="93"/>
        <v>0</v>
      </c>
      <c r="R493" s="831">
        <f t="shared" si="94"/>
        <v>8.48</v>
      </c>
      <c r="S493" s="831">
        <f t="shared" si="95"/>
        <v>9.93</v>
      </c>
      <c r="T493" s="831">
        <f t="shared" si="96"/>
        <v>9.93</v>
      </c>
      <c r="U493" s="829">
        <f>$B$1</f>
        <v>30</v>
      </c>
      <c r="V493" s="835">
        <f>LOOKUP($U$493,$S443:$S487,U443:U487)</f>
        <v>3.02</v>
      </c>
      <c r="W493" s="829">
        <f>LOOKUP($U$493,$S443:$S487,W443:W487)</f>
        <v>4.13</v>
      </c>
      <c r="X493" s="829">
        <f>LOOKUP($U$493,$S443:$S487,Y443:Y487)</f>
        <v>5.61</v>
      </c>
      <c r="Y493" s="831">
        <f>IF(Y489=12,Y491,IF(Y489=16,Z491,AA491))</f>
        <v>5.37</v>
      </c>
      <c r="AB493" s="831">
        <f>LOOKUP($U$493,$S443:$S487,AA443:AA487)</f>
        <v>2.75</v>
      </c>
      <c r="AC493" s="831">
        <f>LOOKUP($U$493,$S443:$S487,AC443:AC487)</f>
        <v>3.76</v>
      </c>
      <c r="AD493" s="831">
        <f>LOOKUP($U$493,$S443:$S487,AE443:AE487)</f>
        <v>5.0999999999999996</v>
      </c>
      <c r="AE493" s="1287">
        <f>IF(Y489=12,AE491,IF(Y489=16,AF491,AG491))</f>
        <v>4.88</v>
      </c>
    </row>
    <row r="494" spans="2:56" ht="15" customHeight="1">
      <c r="B494" s="824">
        <f>B493+5</f>
        <v>45</v>
      </c>
      <c r="C494" s="835">
        <f>LOOKUP($B494,$B447:$B484,C447:C484)</f>
        <v>11.78</v>
      </c>
      <c r="D494" s="835">
        <f>LOOKUP($B494,$B447:$B484,D447:D484)</f>
        <v>9.26</v>
      </c>
      <c r="E494" s="831">
        <f t="shared" si="90"/>
        <v>11.78</v>
      </c>
      <c r="F494" s="824">
        <f>F493+5</f>
        <v>45</v>
      </c>
      <c r="G494" s="835">
        <f>LOOKUP($F$494,$F447:$F479,G447:G479)</f>
        <v>12.42</v>
      </c>
      <c r="H494" s="835">
        <f>LOOKUP($F$494,$F447:$F479,H447:H479)</f>
        <v>9.3800000000000008</v>
      </c>
      <c r="I494" s="831">
        <f t="shared" si="91"/>
        <v>12.42</v>
      </c>
      <c r="J494" s="829">
        <f>J493+5</f>
        <v>45</v>
      </c>
      <c r="K494" s="1287">
        <v>0</v>
      </c>
      <c r="L494" s="1287">
        <v>0</v>
      </c>
      <c r="M494" s="1287">
        <v>0</v>
      </c>
      <c r="N494" s="1287">
        <v>0</v>
      </c>
      <c r="O494" s="835">
        <f>LOOKUP($J$494,$J447:$J488,O447:O488)</f>
        <v>14.08</v>
      </c>
      <c r="P494" s="835">
        <f>LOOKUP($J$494,$J447:$J488,P447:P488)</f>
        <v>10.67</v>
      </c>
      <c r="Q494" s="831">
        <f t="shared" si="93"/>
        <v>0</v>
      </c>
      <c r="R494" s="831">
        <f t="shared" si="94"/>
        <v>0</v>
      </c>
      <c r="S494" s="831">
        <f t="shared" si="95"/>
        <v>14.08</v>
      </c>
      <c r="T494" s="831">
        <f t="shared" si="96"/>
        <v>14.08</v>
      </c>
      <c r="U494" s="829">
        <f>U493+5</f>
        <v>35</v>
      </c>
      <c r="V494" s="829">
        <f>LOOKUP($U$494,$S443:$S487,U443:U487)</f>
        <v>4.41</v>
      </c>
      <c r="W494" s="829">
        <f>LOOKUP($U$494,$S443:$S487,W443:W487)</f>
        <v>5.97</v>
      </c>
      <c r="X494" s="829">
        <f>LOOKUP($U$494,$S443:$S487,Y443:Y487)</f>
        <v>7.97</v>
      </c>
      <c r="Y494" s="831">
        <f>IF(Y489=12,Y492,IF(Y489=16,Z492,AA492))</f>
        <v>8.42</v>
      </c>
      <c r="AB494" s="831">
        <f>LOOKUP($U$494,$S443:$S487,AA443:AA487)</f>
        <v>4.01</v>
      </c>
      <c r="AC494" s="831">
        <f>LOOKUP($U$494,$S443:$S487,AC443:AC487)</f>
        <v>5.43</v>
      </c>
      <c r="AD494" s="831">
        <f>LOOKUP($U$494,$S443:$S487,AE443:AE487)</f>
        <v>7.26</v>
      </c>
      <c r="AE494" s="1287">
        <f>IF(Y489=12,AE492,IF(Y489=16,AF492,AG492))</f>
        <v>7.66</v>
      </c>
    </row>
    <row r="495" spans="2:56" ht="15" customHeight="1">
      <c r="F495" s="824">
        <f>F494+5</f>
        <v>50</v>
      </c>
      <c r="G495" s="835">
        <f>LOOKUP($F$495,$F447:$F479,G447:G479)</f>
        <v>12.42</v>
      </c>
      <c r="H495" s="835">
        <f>LOOKUP($F$495,$F447:$F479,H447:H479)</f>
        <v>9.3800000000000008</v>
      </c>
      <c r="I495" s="831">
        <f t="shared" si="91"/>
        <v>12.42</v>
      </c>
      <c r="U495" s="829"/>
    </row>
    <row r="496" spans="2:56" ht="15" customHeight="1">
      <c r="I496" s="1206"/>
    </row>
    <row r="497" spans="2:68" ht="15" customHeight="1"/>
    <row r="498" spans="2:68" ht="15" customHeight="1"/>
    <row r="499" spans="2:68" ht="15" customHeight="1"/>
    <row r="500" spans="2:68" ht="15" customHeight="1">
      <c r="B500" s="824">
        <f>$B$1+30</f>
        <v>60</v>
      </c>
      <c r="C500" s="1205">
        <f>LOOKUP($B$500,$B508:$B555,C508:C555)</f>
        <v>18.579999999999998</v>
      </c>
      <c r="D500" s="1205">
        <f t="shared" ref="D500:BN500" si="97">LOOKUP($B$500,$B508:$B555,D508:D555)</f>
        <v>18.93</v>
      </c>
      <c r="E500" s="1205">
        <f t="shared" si="97"/>
        <v>19.3</v>
      </c>
      <c r="F500" s="1205">
        <f t="shared" si="97"/>
        <v>19.670000000000002</v>
      </c>
      <c r="G500" s="1205">
        <f t="shared" si="97"/>
        <v>20.05</v>
      </c>
      <c r="H500" s="1205">
        <f t="shared" si="97"/>
        <v>21.24</v>
      </c>
      <c r="I500" s="1205">
        <f t="shared" si="97"/>
        <v>21.65</v>
      </c>
      <c r="J500" s="1205">
        <f t="shared" si="97"/>
        <v>22.05</v>
      </c>
      <c r="K500" s="1205">
        <f t="shared" si="97"/>
        <v>22.45</v>
      </c>
      <c r="L500" s="1205">
        <f t="shared" si="97"/>
        <v>22.85</v>
      </c>
      <c r="M500" s="1205">
        <f t="shared" si="97"/>
        <v>23.63</v>
      </c>
      <c r="N500" s="1205">
        <f t="shared" si="97"/>
        <v>0</v>
      </c>
      <c r="O500" s="1205">
        <f t="shared" si="97"/>
        <v>0</v>
      </c>
      <c r="P500" s="1205">
        <f t="shared" si="97"/>
        <v>0</v>
      </c>
      <c r="Q500" s="1205">
        <f t="shared" si="97"/>
        <v>0</v>
      </c>
      <c r="R500" s="1205">
        <f t="shared" si="97"/>
        <v>0</v>
      </c>
      <c r="S500" s="1205">
        <f t="shared" si="97"/>
        <v>0</v>
      </c>
      <c r="T500" s="1205">
        <f t="shared" si="97"/>
        <v>0</v>
      </c>
      <c r="U500" s="1205">
        <f t="shared" si="97"/>
        <v>0</v>
      </c>
      <c r="V500" s="1205">
        <f t="shared" si="97"/>
        <v>0</v>
      </c>
      <c r="W500" s="1205">
        <f t="shared" si="97"/>
        <v>0</v>
      </c>
      <c r="X500" s="1205">
        <f t="shared" si="97"/>
        <v>0</v>
      </c>
      <c r="Y500" s="1205">
        <f t="shared" si="97"/>
        <v>0</v>
      </c>
      <c r="Z500" s="1205">
        <f t="shared" si="97"/>
        <v>0</v>
      </c>
      <c r="AA500" s="1205">
        <f t="shared" si="97"/>
        <v>0</v>
      </c>
      <c r="AB500" s="1205">
        <f t="shared" si="97"/>
        <v>0</v>
      </c>
      <c r="AC500" s="1205">
        <f t="shared" si="97"/>
        <v>0</v>
      </c>
      <c r="AD500" s="1205">
        <f t="shared" si="97"/>
        <v>0</v>
      </c>
      <c r="AE500" s="1205">
        <f t="shared" si="97"/>
        <v>0</v>
      </c>
      <c r="AF500" s="1205">
        <f t="shared" si="97"/>
        <v>0</v>
      </c>
      <c r="AG500" s="1205">
        <f t="shared" si="97"/>
        <v>0</v>
      </c>
      <c r="AH500" s="1205"/>
      <c r="AI500" s="1205"/>
      <c r="AJ500" s="1205">
        <f t="shared" si="97"/>
        <v>12.67</v>
      </c>
      <c r="AK500" s="1205">
        <f t="shared" si="97"/>
        <v>12.74</v>
      </c>
      <c r="AL500" s="1205">
        <f t="shared" si="97"/>
        <v>12.83</v>
      </c>
      <c r="AM500" s="1205">
        <f t="shared" si="97"/>
        <v>12.93</v>
      </c>
      <c r="AN500" s="1205">
        <f t="shared" si="97"/>
        <v>13.05</v>
      </c>
      <c r="AO500" s="1205">
        <f t="shared" si="97"/>
        <v>13.7</v>
      </c>
      <c r="AP500" s="1205">
        <f t="shared" si="97"/>
        <v>13.91</v>
      </c>
      <c r="AQ500" s="1205">
        <f t="shared" si="97"/>
        <v>14.11</v>
      </c>
      <c r="AR500" s="1205">
        <f t="shared" si="97"/>
        <v>14.33</v>
      </c>
      <c r="AS500" s="1205">
        <f t="shared" si="97"/>
        <v>14.55</v>
      </c>
      <c r="AT500" s="1205">
        <f t="shared" si="97"/>
        <v>14.99</v>
      </c>
      <c r="AU500" s="1205">
        <f t="shared" si="97"/>
        <v>0</v>
      </c>
      <c r="AV500" s="1205">
        <f t="shared" si="97"/>
        <v>0</v>
      </c>
      <c r="AW500" s="1205">
        <f t="shared" si="97"/>
        <v>0</v>
      </c>
      <c r="AX500" s="1205">
        <f t="shared" si="97"/>
        <v>0</v>
      </c>
      <c r="AY500" s="1205">
        <f t="shared" si="97"/>
        <v>0</v>
      </c>
      <c r="AZ500" s="1205">
        <f t="shared" si="97"/>
        <v>0</v>
      </c>
      <c r="BA500" s="1205">
        <f t="shared" si="97"/>
        <v>0</v>
      </c>
      <c r="BB500" s="1205">
        <f t="shared" si="97"/>
        <v>0</v>
      </c>
      <c r="BC500" s="1205">
        <f t="shared" si="97"/>
        <v>0</v>
      </c>
      <c r="BD500" s="1205">
        <f t="shared" si="97"/>
        <v>0</v>
      </c>
      <c r="BE500" s="1205">
        <f t="shared" si="97"/>
        <v>0</v>
      </c>
      <c r="BF500" s="1205">
        <f t="shared" si="97"/>
        <v>0</v>
      </c>
      <c r="BG500" s="1205">
        <f t="shared" si="97"/>
        <v>0</v>
      </c>
      <c r="BH500" s="1205">
        <f t="shared" si="97"/>
        <v>0</v>
      </c>
      <c r="BI500" s="1205">
        <f t="shared" si="97"/>
        <v>0</v>
      </c>
      <c r="BJ500" s="1205">
        <f t="shared" si="97"/>
        <v>0</v>
      </c>
      <c r="BK500" s="1205">
        <f t="shared" si="97"/>
        <v>0</v>
      </c>
      <c r="BL500" s="1205">
        <f t="shared" si="97"/>
        <v>0</v>
      </c>
      <c r="BM500" s="1205">
        <f t="shared" si="97"/>
        <v>0</v>
      </c>
      <c r="BN500" s="1205">
        <f t="shared" si="97"/>
        <v>0</v>
      </c>
    </row>
    <row r="501" spans="2:68" ht="15" customHeight="1">
      <c r="B501" s="824">
        <f>$B$1+25</f>
        <v>55</v>
      </c>
      <c r="C501" s="1205">
        <f>LOOKUP($B$501,$B508:$B555,C508:C555)</f>
        <v>13.35</v>
      </c>
      <c r="D501" s="1205">
        <f t="shared" ref="D501:BN501" si="98">LOOKUP($B$501,$B508:$B555,D508:D555)</f>
        <v>13.67</v>
      </c>
      <c r="E501" s="1205">
        <f t="shared" si="98"/>
        <v>14.01</v>
      </c>
      <c r="F501" s="1205">
        <f t="shared" si="98"/>
        <v>14.36</v>
      </c>
      <c r="G501" s="1205">
        <f t="shared" si="98"/>
        <v>14.72</v>
      </c>
      <c r="H501" s="1205">
        <f t="shared" si="98"/>
        <v>15.69</v>
      </c>
      <c r="I501" s="1205">
        <f t="shared" si="98"/>
        <v>16.05</v>
      </c>
      <c r="J501" s="1205">
        <f t="shared" si="98"/>
        <v>16.399999999999999</v>
      </c>
      <c r="K501" s="1205">
        <f t="shared" si="98"/>
        <v>16.739999999999998</v>
      </c>
      <c r="L501" s="1205">
        <f t="shared" si="98"/>
        <v>17.079999999999998</v>
      </c>
      <c r="M501" s="1205">
        <f t="shared" si="98"/>
        <v>17.690000000000001</v>
      </c>
      <c r="N501" s="1205">
        <f t="shared" si="98"/>
        <v>18.05</v>
      </c>
      <c r="O501" s="1205">
        <f t="shared" si="98"/>
        <v>18.399999999999999</v>
      </c>
      <c r="P501" s="1205">
        <f t="shared" si="98"/>
        <v>18.739999999999998</v>
      </c>
      <c r="Q501" s="1205">
        <f t="shared" si="98"/>
        <v>19.079999999999998</v>
      </c>
      <c r="R501" s="1205">
        <f t="shared" si="98"/>
        <v>19.41</v>
      </c>
      <c r="S501" s="1205">
        <f t="shared" si="98"/>
        <v>0</v>
      </c>
      <c r="T501" s="1205">
        <f t="shared" si="98"/>
        <v>0</v>
      </c>
      <c r="U501" s="1205">
        <f t="shared" si="98"/>
        <v>0</v>
      </c>
      <c r="V501" s="1205">
        <f t="shared" si="98"/>
        <v>0</v>
      </c>
      <c r="W501" s="1205">
        <f t="shared" si="98"/>
        <v>0</v>
      </c>
      <c r="X501" s="1205">
        <f t="shared" si="98"/>
        <v>0</v>
      </c>
      <c r="Y501" s="1205">
        <f t="shared" si="98"/>
        <v>0</v>
      </c>
      <c r="Z501" s="1205">
        <f t="shared" si="98"/>
        <v>0</v>
      </c>
      <c r="AA501" s="1205">
        <f t="shared" si="98"/>
        <v>0</v>
      </c>
      <c r="AB501" s="1205">
        <f t="shared" si="98"/>
        <v>0</v>
      </c>
      <c r="AC501" s="1205">
        <f t="shared" si="98"/>
        <v>0</v>
      </c>
      <c r="AD501" s="1205">
        <f t="shared" si="98"/>
        <v>0</v>
      </c>
      <c r="AE501" s="1205">
        <f t="shared" si="98"/>
        <v>0</v>
      </c>
      <c r="AF501" s="1205">
        <f t="shared" si="98"/>
        <v>0</v>
      </c>
      <c r="AG501" s="1205">
        <f t="shared" si="98"/>
        <v>0</v>
      </c>
      <c r="AH501" s="1205"/>
      <c r="AI501" s="1205"/>
      <c r="AJ501" s="1205">
        <f t="shared" si="98"/>
        <v>9.82</v>
      </c>
      <c r="AK501" s="1205">
        <f t="shared" si="98"/>
        <v>9.9600000000000009</v>
      </c>
      <c r="AL501" s="1205">
        <f t="shared" si="98"/>
        <v>10.130000000000001</v>
      </c>
      <c r="AM501" s="1205">
        <f t="shared" si="98"/>
        <v>10.31</v>
      </c>
      <c r="AN501" s="1205">
        <f t="shared" si="98"/>
        <v>10.49</v>
      </c>
      <c r="AO501" s="1205">
        <f t="shared" si="98"/>
        <v>11.07</v>
      </c>
      <c r="AP501" s="1205">
        <f t="shared" si="98"/>
        <v>11.22</v>
      </c>
      <c r="AQ501" s="1205">
        <f t="shared" si="98"/>
        <v>11.35</v>
      </c>
      <c r="AR501" s="1205">
        <f t="shared" si="98"/>
        <v>11.49</v>
      </c>
      <c r="AS501" s="1205">
        <f t="shared" si="98"/>
        <v>11.62</v>
      </c>
      <c r="AT501" s="1205">
        <f t="shared" si="98"/>
        <v>11.95</v>
      </c>
      <c r="AU501" s="1205">
        <f t="shared" si="98"/>
        <v>12.13</v>
      </c>
      <c r="AV501" s="1205">
        <f t="shared" si="98"/>
        <v>12.32</v>
      </c>
      <c r="AW501" s="1205">
        <f t="shared" si="98"/>
        <v>12.51</v>
      </c>
      <c r="AX501" s="1205">
        <f t="shared" si="98"/>
        <v>12.69</v>
      </c>
      <c r="AY501" s="1205">
        <f t="shared" si="98"/>
        <v>12.87</v>
      </c>
      <c r="AZ501" s="1205">
        <f t="shared" si="98"/>
        <v>0</v>
      </c>
      <c r="BA501" s="1205">
        <f t="shared" si="98"/>
        <v>0</v>
      </c>
      <c r="BB501" s="1205">
        <f t="shared" si="98"/>
        <v>0</v>
      </c>
      <c r="BC501" s="1205">
        <f t="shared" si="98"/>
        <v>0</v>
      </c>
      <c r="BD501" s="1205">
        <f t="shared" si="98"/>
        <v>0</v>
      </c>
      <c r="BE501" s="1205">
        <f t="shared" si="98"/>
        <v>0</v>
      </c>
      <c r="BF501" s="1205">
        <f t="shared" si="98"/>
        <v>0</v>
      </c>
      <c r="BG501" s="1205">
        <f t="shared" si="98"/>
        <v>0</v>
      </c>
      <c r="BH501" s="1205">
        <f t="shared" si="98"/>
        <v>0</v>
      </c>
      <c r="BI501" s="1205">
        <f t="shared" si="98"/>
        <v>0</v>
      </c>
      <c r="BJ501" s="1205">
        <f t="shared" si="98"/>
        <v>0</v>
      </c>
      <c r="BK501" s="1205">
        <f t="shared" si="98"/>
        <v>0</v>
      </c>
      <c r="BL501" s="1205">
        <f t="shared" si="98"/>
        <v>0</v>
      </c>
      <c r="BM501" s="1205">
        <f t="shared" si="98"/>
        <v>0</v>
      </c>
      <c r="BN501" s="1205">
        <f t="shared" si="98"/>
        <v>0</v>
      </c>
    </row>
    <row r="502" spans="2:68" ht="15" customHeight="1">
      <c r="B502" s="824">
        <f>$B$1+20</f>
        <v>50</v>
      </c>
      <c r="C502" s="1205">
        <f>LOOKUP($B$502,$B508:$B555,C508:C555)</f>
        <v>9.1300000000000008</v>
      </c>
      <c r="D502" s="1205">
        <f t="shared" ref="D502:BN502" si="99">LOOKUP($B$502,$B508:$B555,D508:D555)</f>
        <v>9.36</v>
      </c>
      <c r="E502" s="1205">
        <f t="shared" si="99"/>
        <v>9.6300000000000008</v>
      </c>
      <c r="F502" s="1205">
        <f t="shared" si="99"/>
        <v>9.92</v>
      </c>
      <c r="G502" s="1205">
        <f t="shared" si="99"/>
        <v>10.23</v>
      </c>
      <c r="H502" s="1205">
        <f t="shared" si="99"/>
        <v>10.96</v>
      </c>
      <c r="I502" s="1205">
        <f t="shared" si="99"/>
        <v>11.27</v>
      </c>
      <c r="J502" s="1205">
        <f t="shared" si="99"/>
        <v>11.59</v>
      </c>
      <c r="K502" s="1205">
        <f t="shared" si="99"/>
        <v>11.9</v>
      </c>
      <c r="L502" s="1205">
        <f t="shared" si="99"/>
        <v>12.22</v>
      </c>
      <c r="M502" s="1205">
        <f t="shared" si="99"/>
        <v>12.74</v>
      </c>
      <c r="N502" s="1205">
        <f t="shared" si="99"/>
        <v>13.05</v>
      </c>
      <c r="O502" s="1205">
        <f t="shared" si="99"/>
        <v>13.36</v>
      </c>
      <c r="P502" s="1205">
        <f t="shared" si="99"/>
        <v>13.66</v>
      </c>
      <c r="Q502" s="1205">
        <f t="shared" si="99"/>
        <v>13.95</v>
      </c>
      <c r="R502" s="1205">
        <f t="shared" si="99"/>
        <v>14.24</v>
      </c>
      <c r="S502" s="1205">
        <f t="shared" si="99"/>
        <v>14.54</v>
      </c>
      <c r="T502" s="1205">
        <f t="shared" si="99"/>
        <v>14.83</v>
      </c>
      <c r="U502" s="1205">
        <f t="shared" si="99"/>
        <v>15.12</v>
      </c>
      <c r="V502" s="1205">
        <f t="shared" si="99"/>
        <v>15.39</v>
      </c>
      <c r="W502" s="1205">
        <f t="shared" si="99"/>
        <v>15.66</v>
      </c>
      <c r="X502" s="1205">
        <f t="shared" si="99"/>
        <v>0</v>
      </c>
      <c r="Y502" s="1205">
        <f t="shared" si="99"/>
        <v>0</v>
      </c>
      <c r="Z502" s="1205">
        <f t="shared" si="99"/>
        <v>0</v>
      </c>
      <c r="AA502" s="1205">
        <f t="shared" si="99"/>
        <v>0</v>
      </c>
      <c r="AB502" s="1205">
        <f t="shared" si="99"/>
        <v>0</v>
      </c>
      <c r="AC502" s="1205">
        <f t="shared" si="99"/>
        <v>0</v>
      </c>
      <c r="AD502" s="1205">
        <f t="shared" si="99"/>
        <v>0</v>
      </c>
      <c r="AE502" s="1205">
        <f t="shared" si="99"/>
        <v>0</v>
      </c>
      <c r="AF502" s="1205">
        <f t="shared" si="99"/>
        <v>0</v>
      </c>
      <c r="AG502" s="1205">
        <f t="shared" si="99"/>
        <v>0</v>
      </c>
      <c r="AH502" s="1205"/>
      <c r="AI502" s="1205"/>
      <c r="AJ502" s="1205">
        <f t="shared" si="99"/>
        <v>7.49</v>
      </c>
      <c r="AK502" s="1205">
        <f t="shared" si="99"/>
        <v>7.59</v>
      </c>
      <c r="AL502" s="1205">
        <f t="shared" si="99"/>
        <v>7.71</v>
      </c>
      <c r="AM502" s="1205">
        <f t="shared" si="99"/>
        <v>7.84</v>
      </c>
      <c r="AN502" s="1205">
        <f t="shared" si="99"/>
        <v>7.99</v>
      </c>
      <c r="AO502" s="1205">
        <f t="shared" si="99"/>
        <v>8.4700000000000006</v>
      </c>
      <c r="AP502" s="1205">
        <f t="shared" si="99"/>
        <v>8.6300000000000008</v>
      </c>
      <c r="AQ502" s="1205">
        <f t="shared" si="99"/>
        <v>8.8000000000000007</v>
      </c>
      <c r="AR502" s="1205">
        <f t="shared" si="99"/>
        <v>8.9700000000000006</v>
      </c>
      <c r="AS502" s="1205">
        <f t="shared" si="99"/>
        <v>9.1300000000000008</v>
      </c>
      <c r="AT502" s="1205">
        <f t="shared" si="99"/>
        <v>9.44</v>
      </c>
      <c r="AU502" s="1205">
        <f t="shared" si="99"/>
        <v>9.58</v>
      </c>
      <c r="AV502" s="1205">
        <f t="shared" si="99"/>
        <v>9.73</v>
      </c>
      <c r="AW502" s="1205">
        <f t="shared" si="99"/>
        <v>9.86</v>
      </c>
      <c r="AX502" s="1205">
        <f t="shared" si="99"/>
        <v>9.99</v>
      </c>
      <c r="AY502" s="1205" t="str">
        <f t="shared" si="99"/>
        <v>10,12</v>
      </c>
      <c r="AZ502" s="1205">
        <f t="shared" si="99"/>
        <v>10.29</v>
      </c>
      <c r="BA502" s="1205">
        <f t="shared" si="99"/>
        <v>10.44</v>
      </c>
      <c r="BB502" s="1205">
        <f t="shared" si="99"/>
        <v>10.6</v>
      </c>
      <c r="BC502" s="1205">
        <f t="shared" si="99"/>
        <v>10.76</v>
      </c>
      <c r="BD502" s="1205">
        <f t="shared" si="99"/>
        <v>10.91</v>
      </c>
      <c r="BE502" s="1205">
        <f t="shared" si="99"/>
        <v>0</v>
      </c>
      <c r="BF502" s="1205">
        <f t="shared" si="99"/>
        <v>0</v>
      </c>
      <c r="BG502" s="1205">
        <f t="shared" si="99"/>
        <v>0</v>
      </c>
      <c r="BH502" s="1205">
        <f t="shared" si="99"/>
        <v>0</v>
      </c>
      <c r="BI502" s="1205">
        <f t="shared" si="99"/>
        <v>0</v>
      </c>
      <c r="BJ502" s="1205">
        <f t="shared" si="99"/>
        <v>0</v>
      </c>
      <c r="BK502" s="1205">
        <f t="shared" si="99"/>
        <v>0</v>
      </c>
      <c r="BL502" s="1205">
        <f t="shared" si="99"/>
        <v>0</v>
      </c>
      <c r="BM502" s="1205">
        <f t="shared" si="99"/>
        <v>0</v>
      </c>
      <c r="BN502" s="1205">
        <f t="shared" si="99"/>
        <v>0</v>
      </c>
    </row>
    <row r="503" spans="2:68" ht="15" customHeight="1">
      <c r="B503" s="824">
        <f>$B$1+15</f>
        <v>45</v>
      </c>
      <c r="C503" s="1205">
        <f>LOOKUP($B$503,$B508:$B555,C508:C555)</f>
        <v>5.83</v>
      </c>
      <c r="D503" s="1205">
        <f t="shared" ref="D503:BN503" si="100">LOOKUP($B$503,$B508:$B555,D508:D555)</f>
        <v>6.02</v>
      </c>
      <c r="E503" s="1205">
        <f t="shared" si="100"/>
        <v>6.12</v>
      </c>
      <c r="F503" s="1205">
        <f t="shared" si="100"/>
        <v>6.44</v>
      </c>
      <c r="G503" s="1205">
        <f t="shared" si="100"/>
        <v>6.68</v>
      </c>
      <c r="H503" s="1205">
        <f t="shared" si="100"/>
        <v>7.2</v>
      </c>
      <c r="I503" s="1205">
        <f t="shared" si="100"/>
        <v>7.44</v>
      </c>
      <c r="J503" s="1205">
        <f t="shared" si="100"/>
        <v>7.7</v>
      </c>
      <c r="K503" s="1205">
        <f t="shared" si="100"/>
        <v>7.96</v>
      </c>
      <c r="L503" s="1205">
        <f t="shared" si="100"/>
        <v>8.23</v>
      </c>
      <c r="M503" s="1205">
        <f t="shared" si="100"/>
        <v>8.6300000000000008</v>
      </c>
      <c r="N503" s="1205">
        <f t="shared" si="100"/>
        <v>8.9</v>
      </c>
      <c r="O503" s="1205">
        <f t="shared" si="100"/>
        <v>9.18</v>
      </c>
      <c r="P503" s="1205">
        <f t="shared" si="100"/>
        <v>9.4499999999999993</v>
      </c>
      <c r="Q503" s="1205">
        <f t="shared" si="100"/>
        <v>9.7200000000000006</v>
      </c>
      <c r="R503" s="1205">
        <f t="shared" si="100"/>
        <v>9.98</v>
      </c>
      <c r="S503" s="1205">
        <f t="shared" si="100"/>
        <v>10.25</v>
      </c>
      <c r="T503" s="1205">
        <f t="shared" si="100"/>
        <v>10.51</v>
      </c>
      <c r="U503" s="1205">
        <f t="shared" si="100"/>
        <v>10.76</v>
      </c>
      <c r="V503" s="1205">
        <f t="shared" si="100"/>
        <v>11</v>
      </c>
      <c r="W503" s="1205">
        <f t="shared" si="100"/>
        <v>11.23</v>
      </c>
      <c r="X503" s="1205">
        <f t="shared" si="100"/>
        <v>11.48</v>
      </c>
      <c r="Y503" s="1205">
        <f t="shared" si="100"/>
        <v>11.72</v>
      </c>
      <c r="Z503" s="1205">
        <f t="shared" si="100"/>
        <v>11.94</v>
      </c>
      <c r="AA503" s="1205">
        <f t="shared" si="100"/>
        <v>12.17</v>
      </c>
      <c r="AB503" s="1205">
        <f t="shared" si="100"/>
        <v>12.38</v>
      </c>
      <c r="AC503" s="1205">
        <f t="shared" si="100"/>
        <v>0</v>
      </c>
      <c r="AD503" s="1205">
        <f t="shared" si="100"/>
        <v>0</v>
      </c>
      <c r="AE503" s="1205">
        <f t="shared" si="100"/>
        <v>0</v>
      </c>
      <c r="AF503" s="1205">
        <f t="shared" si="100"/>
        <v>0</v>
      </c>
      <c r="AG503" s="1205">
        <f t="shared" si="100"/>
        <v>0</v>
      </c>
      <c r="AH503" s="1205"/>
      <c r="AI503" s="1205"/>
      <c r="AJ503" s="1205">
        <f t="shared" si="100"/>
        <v>5.46</v>
      </c>
      <c r="AK503" s="1205">
        <f t="shared" si="100"/>
        <v>5.54</v>
      </c>
      <c r="AL503" s="1205">
        <f t="shared" si="100"/>
        <v>5.65</v>
      </c>
      <c r="AM503" s="1205">
        <f t="shared" si="100"/>
        <v>5.77</v>
      </c>
      <c r="AN503" s="1205">
        <f t="shared" si="100"/>
        <v>5.9</v>
      </c>
      <c r="AO503" s="1205">
        <f t="shared" si="100"/>
        <v>6.27</v>
      </c>
      <c r="AP503" s="1205">
        <f t="shared" si="100"/>
        <v>6.4</v>
      </c>
      <c r="AQ503" s="1205">
        <f t="shared" si="100"/>
        <v>6.54</v>
      </c>
      <c r="AR503" s="1205">
        <f t="shared" si="100"/>
        <v>6.67</v>
      </c>
      <c r="AS503" s="1205">
        <f t="shared" si="100"/>
        <v>6.81</v>
      </c>
      <c r="AT503" s="1205">
        <f t="shared" si="100"/>
        <v>7.07</v>
      </c>
      <c r="AU503" s="1205">
        <f t="shared" si="100"/>
        <v>7.22</v>
      </c>
      <c r="AV503" s="1205">
        <f t="shared" si="100"/>
        <v>7.37</v>
      </c>
      <c r="AW503" s="1205">
        <f t="shared" si="100"/>
        <v>7.53</v>
      </c>
      <c r="AX503" s="1205">
        <f t="shared" si="100"/>
        <v>7.67</v>
      </c>
      <c r="AY503" s="1205">
        <f t="shared" si="100"/>
        <v>7.81</v>
      </c>
      <c r="AZ503" s="1205">
        <f t="shared" si="100"/>
        <v>7.95</v>
      </c>
      <c r="BA503" s="1205">
        <f t="shared" si="100"/>
        <v>8.08</v>
      </c>
      <c r="BB503" s="1205">
        <f t="shared" si="100"/>
        <v>8.1999999999999993</v>
      </c>
      <c r="BC503" s="1205">
        <f t="shared" si="100"/>
        <v>8.32</v>
      </c>
      <c r="BD503" s="1205">
        <f t="shared" si="100"/>
        <v>8.44</v>
      </c>
      <c r="BE503" s="1205">
        <f t="shared" si="100"/>
        <v>8.57</v>
      </c>
      <c r="BF503" s="1205">
        <f t="shared" si="100"/>
        <v>8.6999999999999993</v>
      </c>
      <c r="BG503" s="1205">
        <f t="shared" si="100"/>
        <v>8.84</v>
      </c>
      <c r="BH503" s="1205">
        <f t="shared" si="100"/>
        <v>8.9600000000000009</v>
      </c>
      <c r="BI503" s="1205">
        <f t="shared" si="100"/>
        <v>9.09</v>
      </c>
      <c r="BJ503" s="1205">
        <f t="shared" si="100"/>
        <v>0</v>
      </c>
      <c r="BK503" s="1205">
        <f t="shared" si="100"/>
        <v>0</v>
      </c>
      <c r="BL503" s="1205">
        <f t="shared" si="100"/>
        <v>0</v>
      </c>
      <c r="BM503" s="1205">
        <f t="shared" si="100"/>
        <v>0</v>
      </c>
      <c r="BN503" s="1205">
        <f t="shared" si="100"/>
        <v>0</v>
      </c>
      <c r="BO503" s="1205"/>
      <c r="BP503" s="1205"/>
    </row>
    <row r="504" spans="2:68" ht="15" customHeight="1">
      <c r="B504" s="824">
        <f>$B$1+10</f>
        <v>40</v>
      </c>
      <c r="C504" s="1205">
        <f>LOOKUP($B$504,$B508:$B555,C508:C555)</f>
        <v>3.92</v>
      </c>
      <c r="D504" s="1205">
        <f t="shared" ref="D504:BN504" si="101">LOOKUP($B$504,$B508:$B555,D508:D555)</f>
        <v>3.98</v>
      </c>
      <c r="E504" s="1205">
        <f t="shared" si="101"/>
        <v>4.07</v>
      </c>
      <c r="F504" s="1205">
        <f t="shared" si="101"/>
        <v>4.18</v>
      </c>
      <c r="G504" s="1205">
        <f t="shared" si="101"/>
        <v>4.3099999999999996</v>
      </c>
      <c r="H504" s="1205">
        <f t="shared" si="101"/>
        <v>4.6500000000000004</v>
      </c>
      <c r="I504" s="1205">
        <f t="shared" si="101"/>
        <v>4.82</v>
      </c>
      <c r="J504" s="1205">
        <f t="shared" si="101"/>
        <v>5</v>
      </c>
      <c r="K504" s="1205">
        <f t="shared" si="101"/>
        <v>5.19</v>
      </c>
      <c r="L504" s="1205">
        <f t="shared" si="101"/>
        <v>5.39</v>
      </c>
      <c r="M504" s="1205">
        <f t="shared" si="101"/>
        <v>5.68</v>
      </c>
      <c r="N504" s="1205">
        <f t="shared" si="101"/>
        <v>5.88</v>
      </c>
      <c r="O504" s="1205">
        <f t="shared" si="101"/>
        <v>6.09</v>
      </c>
      <c r="P504" s="1205">
        <f t="shared" si="101"/>
        <v>6.31</v>
      </c>
      <c r="Q504" s="1205">
        <f t="shared" si="101"/>
        <v>6.53</v>
      </c>
      <c r="R504" s="1205">
        <f t="shared" si="101"/>
        <v>6.75</v>
      </c>
      <c r="S504" s="1205">
        <f t="shared" si="101"/>
        <v>6.97</v>
      </c>
      <c r="T504" s="1205">
        <f t="shared" si="101"/>
        <v>7.19</v>
      </c>
      <c r="U504" s="1205">
        <f t="shared" si="101"/>
        <v>7.41</v>
      </c>
      <c r="V504" s="1205">
        <f t="shared" si="101"/>
        <v>7.62</v>
      </c>
      <c r="W504" s="1205">
        <f t="shared" si="101"/>
        <v>7.84</v>
      </c>
      <c r="X504" s="1205">
        <f t="shared" si="101"/>
        <v>8.0500000000000007</v>
      </c>
      <c r="Y504" s="1205">
        <f t="shared" si="101"/>
        <v>8.26</v>
      </c>
      <c r="Z504" s="1205">
        <f t="shared" si="101"/>
        <v>8.4600000000000009</v>
      </c>
      <c r="AA504" s="1205">
        <f t="shared" si="101"/>
        <v>8.65</v>
      </c>
      <c r="AB504" s="1205">
        <f t="shared" si="101"/>
        <v>8.84</v>
      </c>
      <c r="AC504" s="1205">
        <f t="shared" si="101"/>
        <v>9.0299999999999994</v>
      </c>
      <c r="AD504" s="1205">
        <f t="shared" si="101"/>
        <v>9.2200000000000006</v>
      </c>
      <c r="AE504" s="1205">
        <f t="shared" si="101"/>
        <v>9.4</v>
      </c>
      <c r="AF504" s="1205">
        <f t="shared" si="101"/>
        <v>9.57</v>
      </c>
      <c r="AG504" s="1205">
        <f t="shared" si="101"/>
        <v>9.74</v>
      </c>
      <c r="AH504" s="1205"/>
      <c r="AI504" s="1205"/>
      <c r="AJ504" s="1205">
        <f t="shared" si="101"/>
        <v>3.98</v>
      </c>
      <c r="AK504" s="1205">
        <f t="shared" si="101"/>
        <v>4.01</v>
      </c>
      <c r="AL504" s="1205">
        <f t="shared" si="101"/>
        <v>4.07</v>
      </c>
      <c r="AM504" s="1205">
        <f t="shared" si="101"/>
        <v>4.1500000000000004</v>
      </c>
      <c r="AN504" s="1205">
        <f t="shared" si="101"/>
        <v>4.24</v>
      </c>
      <c r="AO504" s="1205">
        <f t="shared" si="101"/>
        <v>4.5199999999999996</v>
      </c>
      <c r="AP504" s="1205">
        <f t="shared" si="101"/>
        <v>4.63</v>
      </c>
      <c r="AQ504" s="1205">
        <f t="shared" si="101"/>
        <v>4.74</v>
      </c>
      <c r="AR504" s="1205">
        <f t="shared" si="101"/>
        <v>4.8600000000000003</v>
      </c>
      <c r="AS504" s="1205">
        <f t="shared" si="101"/>
        <v>4.9800000000000004</v>
      </c>
      <c r="AT504" s="1205">
        <f t="shared" si="101"/>
        <v>5.17</v>
      </c>
      <c r="AU504" s="1205">
        <f t="shared" si="101"/>
        <v>5.3</v>
      </c>
      <c r="AV504" s="1205">
        <f t="shared" si="101"/>
        <v>5.42</v>
      </c>
      <c r="AW504" s="1205">
        <f t="shared" si="101"/>
        <v>5.55</v>
      </c>
      <c r="AX504" s="1205">
        <f t="shared" si="101"/>
        <v>5.67</v>
      </c>
      <c r="AY504" s="1205">
        <f t="shared" si="101"/>
        <v>5.8</v>
      </c>
      <c r="AZ504" s="1205">
        <f t="shared" si="101"/>
        <v>5.93</v>
      </c>
      <c r="BA504" s="1205">
        <f t="shared" si="101"/>
        <v>6.06</v>
      </c>
      <c r="BB504" s="1205">
        <f t="shared" si="101"/>
        <v>6.18</v>
      </c>
      <c r="BC504" s="1205">
        <f t="shared" si="101"/>
        <v>6.31</v>
      </c>
      <c r="BD504" s="1205">
        <f t="shared" si="101"/>
        <v>6.43</v>
      </c>
      <c r="BE504" s="1205">
        <f t="shared" si="101"/>
        <v>6.54</v>
      </c>
      <c r="BF504" s="1205">
        <f t="shared" si="101"/>
        <v>6.65</v>
      </c>
      <c r="BG504" s="1205">
        <f t="shared" si="101"/>
        <v>6.75</v>
      </c>
      <c r="BH504" s="1205">
        <f t="shared" si="101"/>
        <v>6.86</v>
      </c>
      <c r="BI504" s="1205">
        <f t="shared" si="101"/>
        <v>6.95</v>
      </c>
      <c r="BJ504" s="1205">
        <f t="shared" si="101"/>
        <v>7.07</v>
      </c>
      <c r="BK504" s="1205">
        <f t="shared" si="101"/>
        <v>7.17</v>
      </c>
      <c r="BL504" s="1205">
        <f t="shared" si="101"/>
        <v>7.28</v>
      </c>
      <c r="BM504" s="1205">
        <f t="shared" si="101"/>
        <v>7.39</v>
      </c>
      <c r="BN504" s="1205">
        <f t="shared" si="101"/>
        <v>7.49</v>
      </c>
    </row>
    <row r="505" spans="2:68" ht="15" customHeight="1">
      <c r="B505" s="824">
        <f>$B$1+5</f>
        <v>35</v>
      </c>
      <c r="C505" s="1205">
        <f>LOOKUP($B$505,$B508:$B555,C508:C555)</f>
        <v>2.44</v>
      </c>
      <c r="D505" s="1205">
        <f t="shared" ref="D505:BN505" si="102">LOOKUP($B$505,$B508:$B555,D508:D555)</f>
        <v>2.4900000000000002</v>
      </c>
      <c r="E505" s="1205">
        <f t="shared" si="102"/>
        <v>2.56</v>
      </c>
      <c r="F505" s="1205">
        <f t="shared" si="102"/>
        <v>2.65</v>
      </c>
      <c r="G505" s="1205">
        <f t="shared" si="102"/>
        <v>2.74</v>
      </c>
      <c r="H505" s="1205">
        <f t="shared" si="102"/>
        <v>2.95</v>
      </c>
      <c r="I505" s="1205">
        <f t="shared" si="102"/>
        <v>3.05</v>
      </c>
      <c r="J505" s="1205">
        <f t="shared" si="102"/>
        <v>3.15</v>
      </c>
      <c r="K505" s="1205">
        <f t="shared" si="102"/>
        <v>3.26</v>
      </c>
      <c r="L505" s="1205">
        <f t="shared" si="102"/>
        <v>3.39</v>
      </c>
      <c r="M505" s="1205">
        <f t="shared" si="102"/>
        <v>3.58</v>
      </c>
      <c r="N505" s="1205">
        <f t="shared" si="102"/>
        <v>3.73</v>
      </c>
      <c r="O505" s="1205">
        <f t="shared" si="102"/>
        <v>3.88</v>
      </c>
      <c r="P505" s="1205">
        <f t="shared" si="102"/>
        <v>4.03</v>
      </c>
      <c r="Q505" s="1205">
        <f t="shared" si="102"/>
        <v>4.1900000000000004</v>
      </c>
      <c r="R505" s="1205">
        <f t="shared" si="102"/>
        <v>4.3600000000000003</v>
      </c>
      <c r="S505" s="1205">
        <f t="shared" si="102"/>
        <v>4.53</v>
      </c>
      <c r="T505" s="1205">
        <f t="shared" si="102"/>
        <v>4.7</v>
      </c>
      <c r="U505" s="1205">
        <f t="shared" si="102"/>
        <v>4.87</v>
      </c>
      <c r="V505" s="1205">
        <f t="shared" si="102"/>
        <v>5.04</v>
      </c>
      <c r="W505" s="1205">
        <f t="shared" si="102"/>
        <v>5.22</v>
      </c>
      <c r="X505" s="1205">
        <f t="shared" si="102"/>
        <v>5.39</v>
      </c>
      <c r="Y505" s="1205">
        <f t="shared" si="102"/>
        <v>5.57</v>
      </c>
      <c r="Z505" s="1205">
        <f t="shared" si="102"/>
        <v>5.74</v>
      </c>
      <c r="AA505" s="1205">
        <f t="shared" si="102"/>
        <v>5.91</v>
      </c>
      <c r="AB505" s="1205">
        <f t="shared" si="102"/>
        <v>6.08</v>
      </c>
      <c r="AC505" s="1205">
        <f t="shared" si="102"/>
        <v>6.25</v>
      </c>
      <c r="AD505" s="1205">
        <f t="shared" si="102"/>
        <v>6.41</v>
      </c>
      <c r="AE505" s="1205">
        <f t="shared" si="102"/>
        <v>6.57</v>
      </c>
      <c r="AF505" s="1205">
        <f t="shared" si="102"/>
        <v>6.72</v>
      </c>
      <c r="AG505" s="1205">
        <f t="shared" si="102"/>
        <v>6.87</v>
      </c>
      <c r="AH505" s="1205"/>
      <c r="AI505" s="1205"/>
      <c r="AJ505" s="1205">
        <f t="shared" si="102"/>
        <v>2.81</v>
      </c>
      <c r="AK505" s="1205">
        <f t="shared" si="102"/>
        <v>2.83</v>
      </c>
      <c r="AL505" s="1205">
        <f t="shared" si="102"/>
        <v>2.88</v>
      </c>
      <c r="AM505" s="1205">
        <f t="shared" si="102"/>
        <v>2.93</v>
      </c>
      <c r="AN505" s="1205">
        <f t="shared" si="102"/>
        <v>3</v>
      </c>
      <c r="AO505" s="1205">
        <f t="shared" si="102"/>
        <v>3.19</v>
      </c>
      <c r="AP505" s="1205">
        <f t="shared" si="102"/>
        <v>3.26</v>
      </c>
      <c r="AQ505" s="1205">
        <f t="shared" si="102"/>
        <v>3.34</v>
      </c>
      <c r="AR505" s="1205">
        <f t="shared" si="102"/>
        <v>3.42</v>
      </c>
      <c r="AS505" s="1205">
        <f t="shared" si="102"/>
        <v>3.51</v>
      </c>
      <c r="AT505" s="1205">
        <f t="shared" si="102"/>
        <v>3.67</v>
      </c>
      <c r="AU505" s="1205">
        <f t="shared" si="102"/>
        <v>3.77</v>
      </c>
      <c r="AV505" s="1205">
        <f t="shared" si="102"/>
        <v>3.87</v>
      </c>
      <c r="AW505" s="1205">
        <f t="shared" si="102"/>
        <v>3.97</v>
      </c>
      <c r="AX505" s="1205">
        <f t="shared" si="102"/>
        <v>4.08</v>
      </c>
      <c r="AY505" s="1205">
        <f t="shared" si="102"/>
        <v>4.18</v>
      </c>
      <c r="AZ505" s="1205">
        <f t="shared" si="102"/>
        <v>4.28</v>
      </c>
      <c r="BA505" s="1205">
        <f t="shared" si="102"/>
        <v>4.3899999999999997</v>
      </c>
      <c r="BB505" s="1205">
        <f t="shared" si="102"/>
        <v>4.5</v>
      </c>
      <c r="BC505" s="1205">
        <f t="shared" si="102"/>
        <v>4.5999999999999996</v>
      </c>
      <c r="BD505" s="1205">
        <f t="shared" si="102"/>
        <v>4.71</v>
      </c>
      <c r="BE505" s="1205">
        <f t="shared" si="102"/>
        <v>4.8099999999999996</v>
      </c>
      <c r="BF505" s="1205" t="str">
        <f t="shared" si="102"/>
        <v>4·.92</v>
      </c>
      <c r="BG505" s="1205">
        <f t="shared" si="102"/>
        <v>5.0199999999999996</v>
      </c>
      <c r="BH505" s="1205">
        <f t="shared" si="102"/>
        <v>5.13</v>
      </c>
      <c r="BI505" s="1205">
        <f t="shared" si="102"/>
        <v>5.22</v>
      </c>
      <c r="BJ505" s="1205">
        <f t="shared" si="102"/>
        <v>5.32</v>
      </c>
      <c r="BK505" s="1205" t="str">
        <f t="shared" si="102"/>
        <v>S.41</v>
      </c>
      <c r="BL505" s="1205">
        <f t="shared" si="102"/>
        <v>5.49</v>
      </c>
      <c r="BM505" s="1205">
        <f t="shared" si="102"/>
        <v>5.58</v>
      </c>
      <c r="BN505" s="1205">
        <f t="shared" si="102"/>
        <v>5.66</v>
      </c>
    </row>
    <row r="506" spans="2:68" ht="15" customHeight="1">
      <c r="B506" s="824">
        <f>$B$1</f>
        <v>30</v>
      </c>
      <c r="C506" s="1205">
        <f>LOOKUP($B$506,$B508:$B555,C508:C555)</f>
        <v>1.63</v>
      </c>
      <c r="D506" s="1205">
        <f t="shared" ref="D506:BN506" si="103">LOOKUP($B$506,$B508:$B555,D508:D555)</f>
        <v>1.63</v>
      </c>
      <c r="E506" s="1205">
        <f t="shared" si="103"/>
        <v>1.63</v>
      </c>
      <c r="F506" s="1205">
        <f t="shared" si="103"/>
        <v>1.65</v>
      </c>
      <c r="G506" s="1205">
        <f t="shared" si="103"/>
        <v>1.7</v>
      </c>
      <c r="H506" s="1205">
        <f t="shared" si="103"/>
        <v>1.82</v>
      </c>
      <c r="I506" s="1205">
        <f t="shared" si="103"/>
        <v>1.89</v>
      </c>
      <c r="J506" s="1205">
        <f t="shared" si="103"/>
        <v>1.97</v>
      </c>
      <c r="K506" s="1205">
        <f t="shared" si="103"/>
        <v>2.0499999999999998</v>
      </c>
      <c r="L506" s="1205">
        <f t="shared" si="103"/>
        <v>2.14</v>
      </c>
      <c r="M506" s="1205">
        <f t="shared" si="103"/>
        <v>2.2599999999999998</v>
      </c>
      <c r="N506" s="1205">
        <f t="shared" si="103"/>
        <v>2.34</v>
      </c>
      <c r="O506" s="1205">
        <f t="shared" si="103"/>
        <v>2.44</v>
      </c>
      <c r="P506" s="1205">
        <f t="shared" si="103"/>
        <v>2.5299999999999998</v>
      </c>
      <c r="Q506" s="1205">
        <f t="shared" si="103"/>
        <v>2.63</v>
      </c>
      <c r="R506" s="1205">
        <f t="shared" si="103"/>
        <v>2.74</v>
      </c>
      <c r="S506" s="1205">
        <f t="shared" si="103"/>
        <v>2.86</v>
      </c>
      <c r="T506" s="1205">
        <f t="shared" si="103"/>
        <v>2.98</v>
      </c>
      <c r="U506" s="1205">
        <f t="shared" si="103"/>
        <v>3.11</v>
      </c>
      <c r="V506" s="1205">
        <f t="shared" si="103"/>
        <v>3.23</v>
      </c>
      <c r="W506" s="1205">
        <f t="shared" si="103"/>
        <v>3.36</v>
      </c>
      <c r="X506" s="1205">
        <f t="shared" si="103"/>
        <v>3.5</v>
      </c>
      <c r="Y506" s="1205">
        <f t="shared" si="103"/>
        <v>3.63</v>
      </c>
      <c r="Z506" s="1205">
        <f t="shared" si="103"/>
        <v>3.76</v>
      </c>
      <c r="AA506" s="1205">
        <f t="shared" si="103"/>
        <v>3.9</v>
      </c>
      <c r="AB506" s="1205">
        <f t="shared" si="103"/>
        <v>4.04</v>
      </c>
      <c r="AC506" s="1205">
        <f t="shared" si="103"/>
        <v>4.18</v>
      </c>
      <c r="AD506" s="1205">
        <f t="shared" si="103"/>
        <v>4.3099999999999996</v>
      </c>
      <c r="AE506" s="1205">
        <f t="shared" si="103"/>
        <v>4.45</v>
      </c>
      <c r="AF506" s="1205">
        <f t="shared" si="103"/>
        <v>4.58</v>
      </c>
      <c r="AG506" s="1205">
        <f t="shared" si="103"/>
        <v>4.71</v>
      </c>
      <c r="AH506" s="1205"/>
      <c r="AI506" s="1205"/>
      <c r="AJ506" s="1205">
        <f t="shared" si="103"/>
        <v>1.93</v>
      </c>
      <c r="AK506" s="1205">
        <f t="shared" si="103"/>
        <v>1.93</v>
      </c>
      <c r="AL506" s="1205">
        <f t="shared" si="103"/>
        <v>1.94</v>
      </c>
      <c r="AM506" s="1205">
        <f t="shared" si="103"/>
        <v>1.98</v>
      </c>
      <c r="AN506" s="1205">
        <f t="shared" si="103"/>
        <v>2.0299999999999998</v>
      </c>
      <c r="AO506" s="1205">
        <f t="shared" si="103"/>
        <v>2.16</v>
      </c>
      <c r="AP506" s="1205">
        <f t="shared" si="103"/>
        <v>2.2200000000000002</v>
      </c>
      <c r="AQ506" s="1205">
        <f t="shared" si="103"/>
        <v>2.29</v>
      </c>
      <c r="AR506" s="1205">
        <f t="shared" si="103"/>
        <v>2.35</v>
      </c>
      <c r="AS506" s="1205">
        <f t="shared" si="103"/>
        <v>2.42</v>
      </c>
      <c r="AT506" s="1205">
        <f t="shared" si="103"/>
        <v>2.52</v>
      </c>
      <c r="AU506" s="1205">
        <f t="shared" si="103"/>
        <v>2.6</v>
      </c>
      <c r="AV506" s="1205">
        <f t="shared" si="103"/>
        <v>2.67</v>
      </c>
      <c r="AW506" s="1205">
        <f t="shared" si="103"/>
        <v>2.75</v>
      </c>
      <c r="AX506" s="1205">
        <f t="shared" si="103"/>
        <v>2.83</v>
      </c>
      <c r="AY506" s="1205" t="str">
        <f t="shared" si="103"/>
        <v>2,91</v>
      </c>
      <c r="AZ506" s="1205">
        <f t="shared" si="103"/>
        <v>3</v>
      </c>
      <c r="BA506" s="1205">
        <f t="shared" si="103"/>
        <v>3.08</v>
      </c>
      <c r="BB506" s="1205">
        <f t="shared" si="103"/>
        <v>3.17</v>
      </c>
      <c r="BC506" s="1205">
        <f t="shared" si="103"/>
        <v>3.26</v>
      </c>
      <c r="BD506" s="1205">
        <f t="shared" si="103"/>
        <v>3.34</v>
      </c>
      <c r="BE506" s="1205">
        <f t="shared" si="103"/>
        <v>3.43</v>
      </c>
      <c r="BF506" s="1205">
        <f t="shared" si="103"/>
        <v>3.52</v>
      </c>
      <c r="BG506" s="1205">
        <f t="shared" si="103"/>
        <v>3.6</v>
      </c>
      <c r="BH506" s="1205">
        <f t="shared" si="103"/>
        <v>3.69</v>
      </c>
      <c r="BI506" s="1205">
        <f t="shared" si="103"/>
        <v>3.77</v>
      </c>
      <c r="BJ506" s="1205">
        <f t="shared" si="103"/>
        <v>3.86</v>
      </c>
      <c r="BK506" s="1205">
        <f t="shared" si="103"/>
        <v>3.95</v>
      </c>
      <c r="BL506" s="1205">
        <f t="shared" si="103"/>
        <v>4.03</v>
      </c>
      <c r="BM506" s="1205">
        <f t="shared" si="103"/>
        <v>4.1100000000000003</v>
      </c>
      <c r="BN506" s="1205">
        <f t="shared" si="103"/>
        <v>4.1900000000000004</v>
      </c>
    </row>
    <row r="507" spans="2:68" ht="15" customHeight="1">
      <c r="B507" s="1340"/>
      <c r="C507" s="1237">
        <v>5</v>
      </c>
      <c r="D507" s="1237">
        <v>6</v>
      </c>
      <c r="E507" s="1237">
        <v>7</v>
      </c>
      <c r="F507" s="1237">
        <v>8</v>
      </c>
      <c r="G507" s="1237">
        <v>9</v>
      </c>
      <c r="H507" s="1237">
        <v>10</v>
      </c>
      <c r="I507" s="1237">
        <v>11</v>
      </c>
      <c r="J507" s="1237">
        <v>12</v>
      </c>
      <c r="K507" s="1237">
        <v>13</v>
      </c>
      <c r="L507" s="1237">
        <v>14</v>
      </c>
      <c r="M507" s="1237">
        <v>15</v>
      </c>
      <c r="N507" s="1237">
        <v>16</v>
      </c>
      <c r="O507" s="1237">
        <v>17</v>
      </c>
      <c r="P507" s="1237">
        <v>18</v>
      </c>
      <c r="Q507" s="1237">
        <v>19</v>
      </c>
      <c r="R507" s="1237">
        <v>20</v>
      </c>
      <c r="S507" s="1237">
        <v>21</v>
      </c>
      <c r="T507" s="1237">
        <v>22</v>
      </c>
      <c r="U507" s="1237">
        <v>23</v>
      </c>
      <c r="V507" s="1237">
        <v>24</v>
      </c>
      <c r="W507" s="1237">
        <v>25</v>
      </c>
      <c r="X507" s="1237">
        <v>26</v>
      </c>
      <c r="Y507" s="1237">
        <v>27</v>
      </c>
      <c r="Z507" s="1237">
        <v>28</v>
      </c>
      <c r="AA507" s="1237">
        <v>29</v>
      </c>
      <c r="AB507" s="1237">
        <v>30</v>
      </c>
      <c r="AC507" s="1237">
        <v>31</v>
      </c>
      <c r="AD507" s="1237">
        <v>32</v>
      </c>
      <c r="AE507" s="1237">
        <v>33</v>
      </c>
      <c r="AF507" s="1237">
        <v>34</v>
      </c>
      <c r="AG507" s="1237">
        <v>35</v>
      </c>
      <c r="AJ507" s="1237">
        <v>5</v>
      </c>
      <c r="AK507" s="1237">
        <v>6</v>
      </c>
      <c r="AL507" s="1237">
        <v>7</v>
      </c>
      <c r="AM507" s="1237">
        <v>8</v>
      </c>
      <c r="AN507" s="1237">
        <v>9</v>
      </c>
      <c r="AO507" s="1237">
        <v>10</v>
      </c>
      <c r="AP507" s="1237">
        <v>11</v>
      </c>
      <c r="AQ507" s="1237">
        <v>12</v>
      </c>
      <c r="AR507" s="1237">
        <v>13</v>
      </c>
      <c r="AS507" s="1237">
        <v>14</v>
      </c>
      <c r="AT507" s="1237">
        <v>15</v>
      </c>
      <c r="AU507" s="1237">
        <v>16</v>
      </c>
      <c r="AV507" s="1237">
        <v>17</v>
      </c>
      <c r="AW507" s="1237">
        <v>18</v>
      </c>
      <c r="AX507" s="1237">
        <v>19</v>
      </c>
      <c r="AY507" s="1237">
        <v>20</v>
      </c>
      <c r="AZ507" s="1237">
        <v>21</v>
      </c>
      <c r="BA507" s="1237">
        <v>22</v>
      </c>
      <c r="BB507" s="1237">
        <v>23</v>
      </c>
      <c r="BC507" s="1237">
        <v>24</v>
      </c>
      <c r="BD507" s="1237">
        <v>25</v>
      </c>
      <c r="BE507" s="1237">
        <v>26</v>
      </c>
      <c r="BF507" s="1237">
        <v>27</v>
      </c>
      <c r="BG507" s="1237">
        <v>28</v>
      </c>
      <c r="BH507" s="1237">
        <v>29</v>
      </c>
      <c r="BI507" s="1237">
        <v>30</v>
      </c>
      <c r="BJ507" s="1237">
        <v>31</v>
      </c>
      <c r="BK507" s="1237">
        <v>32</v>
      </c>
      <c r="BL507" s="1237">
        <v>33</v>
      </c>
      <c r="BM507" s="1237">
        <v>34</v>
      </c>
      <c r="BN507" s="1237">
        <v>35</v>
      </c>
    </row>
    <row r="508" spans="2:68" ht="15" customHeight="1">
      <c r="B508" s="1341">
        <v>18</v>
      </c>
      <c r="C508" s="1243">
        <v>1.01</v>
      </c>
      <c r="D508" s="1243">
        <v>1.01</v>
      </c>
      <c r="E508" s="1243">
        <v>1.01</v>
      </c>
      <c r="F508" s="1243">
        <v>1.01</v>
      </c>
      <c r="G508" s="1243">
        <v>1.01</v>
      </c>
      <c r="H508" s="1243">
        <v>1.01</v>
      </c>
      <c r="I508" s="1243">
        <v>1.01</v>
      </c>
      <c r="J508" s="1243">
        <v>1.01</v>
      </c>
      <c r="K508" s="1243">
        <v>1.01</v>
      </c>
      <c r="L508" s="1243">
        <v>1.01</v>
      </c>
      <c r="M508" s="1243">
        <v>1.01</v>
      </c>
      <c r="N508" s="1243">
        <v>1.01</v>
      </c>
      <c r="O508" s="1243">
        <v>1.01</v>
      </c>
      <c r="P508" s="1243">
        <v>1.01</v>
      </c>
      <c r="Q508" s="1243">
        <v>1.02</v>
      </c>
      <c r="R508" s="1243">
        <v>1.05</v>
      </c>
      <c r="S508" s="1243">
        <v>1.08</v>
      </c>
      <c r="T508" s="1243">
        <v>1.1200000000000001</v>
      </c>
      <c r="U508" s="1243">
        <v>1.1599999999999999</v>
      </c>
      <c r="V508" s="1243">
        <v>1.21</v>
      </c>
      <c r="W508" s="1243">
        <v>1.25</v>
      </c>
      <c r="X508" s="1243">
        <v>1.3</v>
      </c>
      <c r="Y508" s="1243">
        <v>1.35</v>
      </c>
      <c r="Z508" s="1243">
        <v>1.4</v>
      </c>
      <c r="AA508" s="1243">
        <v>1.45</v>
      </c>
      <c r="AB508" s="1243">
        <v>1.5</v>
      </c>
      <c r="AC508" s="1243">
        <v>1.56</v>
      </c>
      <c r="AD508" s="1243">
        <v>1.62</v>
      </c>
      <c r="AE508" s="1243">
        <v>1.68</v>
      </c>
      <c r="AF508" s="1243">
        <v>1.75</v>
      </c>
      <c r="AG508" s="1243">
        <v>1.81</v>
      </c>
      <c r="AI508" s="1240">
        <v>18</v>
      </c>
      <c r="AJ508" s="1243">
        <v>1.02</v>
      </c>
      <c r="AK508" s="1243">
        <v>1.02</v>
      </c>
      <c r="AL508" s="1243">
        <v>1.02</v>
      </c>
      <c r="AM508" s="1243">
        <v>1.02</v>
      </c>
      <c r="AN508" s="1243">
        <v>1.02</v>
      </c>
      <c r="AO508" s="1243">
        <v>1.02</v>
      </c>
      <c r="AP508" s="1243">
        <v>1.02</v>
      </c>
      <c r="AQ508" s="1243">
        <v>1.02</v>
      </c>
      <c r="AR508" s="1243">
        <v>1.02</v>
      </c>
      <c r="AS508" s="1243">
        <v>1.02</v>
      </c>
      <c r="AT508" s="1243">
        <v>1.03</v>
      </c>
      <c r="AU508" s="1243">
        <v>1.06</v>
      </c>
      <c r="AV508" s="1243">
        <v>1.08</v>
      </c>
      <c r="AW508" s="1243">
        <v>1.1100000000000001</v>
      </c>
      <c r="AX508" s="1243">
        <v>1.1499999999999999</v>
      </c>
      <c r="AY508" s="1243">
        <v>1.18</v>
      </c>
      <c r="AZ508" s="1243">
        <v>1.22</v>
      </c>
      <c r="BA508" s="1243">
        <v>1.26</v>
      </c>
      <c r="BB508" s="1243">
        <v>1.3</v>
      </c>
      <c r="BC508" s="1243">
        <v>1.35</v>
      </c>
      <c r="BD508" s="1243">
        <v>1.39</v>
      </c>
      <c r="BE508" s="1243">
        <v>1.43</v>
      </c>
      <c r="BF508" s="1243">
        <v>1.48</v>
      </c>
      <c r="BG508" s="1243">
        <v>1.52</v>
      </c>
      <c r="BH508" s="1243">
        <v>1.57</v>
      </c>
      <c r="BI508" s="1243">
        <v>1.62</v>
      </c>
      <c r="BJ508" s="1243">
        <v>1.67</v>
      </c>
      <c r="BK508" s="1243">
        <v>1.72</v>
      </c>
      <c r="BL508" s="1243">
        <v>1.77</v>
      </c>
      <c r="BM508" s="1243">
        <v>1.82</v>
      </c>
      <c r="BN508" s="1246">
        <v>1.87</v>
      </c>
    </row>
    <row r="509" spans="2:68" ht="15" customHeight="1">
      <c r="B509" s="1341">
        <v>19</v>
      </c>
      <c r="C509" s="1243">
        <v>1.04</v>
      </c>
      <c r="D509" s="1243">
        <v>1.04</v>
      </c>
      <c r="E509" s="1243">
        <v>1.04</v>
      </c>
      <c r="F509" s="1243">
        <v>1.04</v>
      </c>
      <c r="G509" s="1243">
        <v>1.04</v>
      </c>
      <c r="H509" s="1243">
        <v>1.04</v>
      </c>
      <c r="I509" s="1243">
        <v>1.04</v>
      </c>
      <c r="J509" s="1243">
        <v>1.04</v>
      </c>
      <c r="K509" s="1243">
        <v>1.04</v>
      </c>
      <c r="L509" s="1243">
        <v>1.04</v>
      </c>
      <c r="M509" s="1243">
        <v>1.04</v>
      </c>
      <c r="N509" s="1243">
        <v>1.04</v>
      </c>
      <c r="O509" s="1243">
        <v>1.04</v>
      </c>
      <c r="P509" s="1243">
        <v>1.06</v>
      </c>
      <c r="Q509" s="1243">
        <v>1.08</v>
      </c>
      <c r="R509" s="1243">
        <v>1.1100000000000001</v>
      </c>
      <c r="S509" s="1243">
        <v>1.1599999999999999</v>
      </c>
      <c r="T509" s="1243">
        <v>1.2</v>
      </c>
      <c r="U509" s="1243">
        <v>1.25</v>
      </c>
      <c r="V509" s="1243">
        <v>1.3</v>
      </c>
      <c r="W509" s="1243">
        <v>1.34</v>
      </c>
      <c r="X509" s="1243">
        <v>1.4</v>
      </c>
      <c r="Y509" s="1243">
        <v>1.45</v>
      </c>
      <c r="Z509" s="1243">
        <v>1.5</v>
      </c>
      <c r="AA509" s="1243">
        <v>1.56</v>
      </c>
      <c r="AB509" s="1243">
        <v>1.62</v>
      </c>
      <c r="AC509" s="1243">
        <v>1.68</v>
      </c>
      <c r="AD509" s="1243">
        <v>1.75</v>
      </c>
      <c r="AE509" s="1243">
        <v>1.82</v>
      </c>
      <c r="AF509" s="1243">
        <v>1.88</v>
      </c>
      <c r="AG509" s="1243">
        <v>1.96</v>
      </c>
      <c r="AI509" s="1240">
        <v>19</v>
      </c>
      <c r="AJ509" s="1243">
        <v>1.04</v>
      </c>
      <c r="AK509" s="1243">
        <v>1.04</v>
      </c>
      <c r="AL509" s="1243">
        <v>1.04</v>
      </c>
      <c r="AM509" s="1243">
        <v>1.04</v>
      </c>
      <c r="AN509" s="1243">
        <v>1.04</v>
      </c>
      <c r="AO509" s="1243">
        <v>1.04</v>
      </c>
      <c r="AP509" s="1243">
        <v>1.04</v>
      </c>
      <c r="AQ509" s="1243">
        <v>1.04</v>
      </c>
      <c r="AR509" s="1243">
        <v>1.04</v>
      </c>
      <c r="AS509" s="1243">
        <v>1.05</v>
      </c>
      <c r="AT509" s="1243">
        <v>1.1000000000000001</v>
      </c>
      <c r="AU509" s="1243">
        <v>1.1200000000000001</v>
      </c>
      <c r="AV509" s="1243">
        <v>1.1599999999999999</v>
      </c>
      <c r="AW509" s="1243">
        <v>1.19</v>
      </c>
      <c r="AX509" s="1243">
        <v>1.23</v>
      </c>
      <c r="AY509" s="1243">
        <v>1.27</v>
      </c>
      <c r="AZ509" s="1243">
        <v>1.31</v>
      </c>
      <c r="BA509" s="1243">
        <v>1.35</v>
      </c>
      <c r="BB509" s="1243">
        <v>1.4</v>
      </c>
      <c r="BC509" s="1243">
        <v>1.44</v>
      </c>
      <c r="BD509" s="1243">
        <v>1.49</v>
      </c>
      <c r="BE509" s="1243">
        <v>1.54</v>
      </c>
      <c r="BF509" s="1243">
        <v>1.58</v>
      </c>
      <c r="BG509" s="1243">
        <v>1.63</v>
      </c>
      <c r="BH509" s="1243">
        <v>1.68</v>
      </c>
      <c r="BI509" s="1243">
        <v>1.73</v>
      </c>
      <c r="BJ509" s="1243">
        <v>1.78</v>
      </c>
      <c r="BK509" s="1243">
        <v>1.84</v>
      </c>
      <c r="BL509" s="1243">
        <v>1.89</v>
      </c>
      <c r="BM509" s="1243">
        <v>1.94</v>
      </c>
      <c r="BN509" s="1243">
        <v>2</v>
      </c>
    </row>
    <row r="510" spans="2:68" ht="15" customHeight="1">
      <c r="B510" s="1341">
        <v>20</v>
      </c>
      <c r="C510" s="1243">
        <v>1.07</v>
      </c>
      <c r="D510" s="1243">
        <v>1.07</v>
      </c>
      <c r="E510" s="1243">
        <v>1.07</v>
      </c>
      <c r="F510" s="1243">
        <v>1.07</v>
      </c>
      <c r="G510" s="1243">
        <v>1.07</v>
      </c>
      <c r="H510" s="1243">
        <v>1.07</v>
      </c>
      <c r="I510" s="1243">
        <v>1.07</v>
      </c>
      <c r="J510" s="1243">
        <v>1.07</v>
      </c>
      <c r="K510" s="1243">
        <v>1.07</v>
      </c>
      <c r="L510" s="1243">
        <v>1.07</v>
      </c>
      <c r="M510" s="1243">
        <v>1.07</v>
      </c>
      <c r="N510" s="1243">
        <v>1.07</v>
      </c>
      <c r="O510" s="1243">
        <v>1.0900000000000001</v>
      </c>
      <c r="P510" s="1243">
        <v>1.1200000000000001</v>
      </c>
      <c r="Q510" s="1243">
        <v>1.1599999999999999</v>
      </c>
      <c r="R510" s="1243">
        <v>1.2</v>
      </c>
      <c r="S510" s="1243">
        <v>1.24</v>
      </c>
      <c r="T510" s="1243">
        <v>1.29</v>
      </c>
      <c r="U510" s="1243">
        <v>1.34</v>
      </c>
      <c r="V510" s="1243">
        <v>1.4</v>
      </c>
      <c r="W510" s="1243">
        <v>1.45</v>
      </c>
      <c r="X510" s="1243">
        <v>1.5</v>
      </c>
      <c r="Y510" s="1243">
        <v>1.56</v>
      </c>
      <c r="Z510" s="1243">
        <v>1.62</v>
      </c>
      <c r="AA510" s="1243">
        <v>1.68</v>
      </c>
      <c r="AB510" s="1243">
        <v>1.75</v>
      </c>
      <c r="AC510" s="1243">
        <v>1.82</v>
      </c>
      <c r="AD510" s="1243">
        <v>1.89</v>
      </c>
      <c r="AE510" s="1243">
        <v>1.96</v>
      </c>
      <c r="AF510" s="1243">
        <v>2.04</v>
      </c>
      <c r="AG510" s="1243">
        <v>2.12</v>
      </c>
      <c r="AI510" s="1240">
        <v>20</v>
      </c>
      <c r="AJ510" s="1243">
        <v>1.08</v>
      </c>
      <c r="AK510" s="1243">
        <v>1.08</v>
      </c>
      <c r="AL510" s="1243">
        <v>1.08</v>
      </c>
      <c r="AM510" s="1243">
        <v>1.08</v>
      </c>
      <c r="AN510" s="1243">
        <v>1.08</v>
      </c>
      <c r="AO510" s="1243">
        <v>1.08</v>
      </c>
      <c r="AP510" s="1243">
        <v>1.08</v>
      </c>
      <c r="AQ510" s="1243">
        <v>1.08</v>
      </c>
      <c r="AR510" s="1243">
        <v>1.1000000000000001</v>
      </c>
      <c r="AS510" s="1243">
        <v>1.1200000000000001</v>
      </c>
      <c r="AT510" s="1243">
        <v>1.17</v>
      </c>
      <c r="AU510" s="1243">
        <v>1.2</v>
      </c>
      <c r="AV510" s="1243">
        <v>1.24</v>
      </c>
      <c r="AW510" s="1243">
        <v>1.28</v>
      </c>
      <c r="AX510" s="1243">
        <v>1.32</v>
      </c>
      <c r="AY510" s="1243" t="s">
        <v>828</v>
      </c>
      <c r="AZ510" s="1243">
        <v>1.41</v>
      </c>
      <c r="BA510" s="1243">
        <v>1.46</v>
      </c>
      <c r="BB510" s="1243">
        <v>1.5</v>
      </c>
      <c r="BC510" s="1243">
        <v>1.55</v>
      </c>
      <c r="BD510" s="1243">
        <v>1.6</v>
      </c>
      <c r="BE510" s="1243">
        <v>1.65</v>
      </c>
      <c r="BF510" s="1243">
        <v>1.7</v>
      </c>
      <c r="BG510" s="1243">
        <v>1.75</v>
      </c>
      <c r="BH510" s="1243">
        <v>1.81</v>
      </c>
      <c r="BI510" s="1243">
        <v>1.86</v>
      </c>
      <c r="BJ510" s="1243">
        <v>1.92</v>
      </c>
      <c r="BK510" s="1243">
        <v>1.97</v>
      </c>
      <c r="BL510" s="1243">
        <v>2.0299999999999998</v>
      </c>
      <c r="BM510" s="1243">
        <v>2.08</v>
      </c>
      <c r="BN510" s="1243">
        <v>2.14</v>
      </c>
    </row>
    <row r="511" spans="2:68" ht="15" customHeight="1">
      <c r="B511" s="1341">
        <v>21</v>
      </c>
      <c r="C511" s="1243">
        <v>1.1100000000000001</v>
      </c>
      <c r="D511" s="1243">
        <v>1.1100000000000001</v>
      </c>
      <c r="E511" s="1243">
        <v>1.1100000000000001</v>
      </c>
      <c r="F511" s="1243">
        <v>1.1100000000000001</v>
      </c>
      <c r="G511" s="1243">
        <v>1.1100000000000001</v>
      </c>
      <c r="H511" s="1243">
        <v>1.1100000000000001</v>
      </c>
      <c r="I511" s="1243">
        <v>1.1100000000000001</v>
      </c>
      <c r="J511" s="1243">
        <v>1.1100000000000001</v>
      </c>
      <c r="K511" s="1243">
        <v>1.1100000000000001</v>
      </c>
      <c r="L511" s="1243">
        <v>1.1100000000000001</v>
      </c>
      <c r="M511" s="1243">
        <v>1.1100000000000001</v>
      </c>
      <c r="N511" s="1243">
        <v>1.1299999999999999</v>
      </c>
      <c r="O511" s="1243">
        <v>1.1599999999999999</v>
      </c>
      <c r="P511" s="1243">
        <v>1.2</v>
      </c>
      <c r="Q511" s="1243">
        <v>1.24</v>
      </c>
      <c r="R511" s="1243">
        <v>1.29</v>
      </c>
      <c r="S511" s="1243">
        <v>1.34</v>
      </c>
      <c r="T511" s="1243">
        <v>1.4</v>
      </c>
      <c r="U511" s="1243">
        <v>1.45</v>
      </c>
      <c r="V511" s="1243">
        <v>1.51</v>
      </c>
      <c r="W511" s="1243">
        <v>1.57</v>
      </c>
      <c r="X511" s="1243">
        <v>1.63</v>
      </c>
      <c r="Y511" s="1243">
        <v>1.69</v>
      </c>
      <c r="Z511" s="1243">
        <v>1.75</v>
      </c>
      <c r="AA511" s="1243">
        <v>1.82</v>
      </c>
      <c r="AB511" s="1243">
        <v>1.9</v>
      </c>
      <c r="AC511" s="1243">
        <v>1.97</v>
      </c>
      <c r="AD511" s="1243">
        <v>2.0499999999999998</v>
      </c>
      <c r="AE511" s="1243">
        <v>2.13</v>
      </c>
      <c r="AF511" s="1243">
        <v>2.21</v>
      </c>
      <c r="AG511" s="1243">
        <v>2.29</v>
      </c>
      <c r="AI511" s="1240">
        <v>21</v>
      </c>
      <c r="AJ511" s="1243">
        <v>1.1299999999999999</v>
      </c>
      <c r="AK511" s="1243">
        <v>1.1299999999999999</v>
      </c>
      <c r="AL511" s="1243">
        <v>1.1299999999999999</v>
      </c>
      <c r="AM511" s="1243">
        <v>1.1299999999999999</v>
      </c>
      <c r="AN511" s="1243">
        <v>1.1299999999999999</v>
      </c>
      <c r="AO511" s="1243">
        <v>1.1299999999999999</v>
      </c>
      <c r="AP511" s="1342">
        <v>1.1299999999999999</v>
      </c>
      <c r="AQ511" s="1243" t="s">
        <v>829</v>
      </c>
      <c r="AR511" s="1243">
        <v>1.17</v>
      </c>
      <c r="AS511" s="1243">
        <v>1.2</v>
      </c>
      <c r="AT511" s="1243">
        <v>1.26</v>
      </c>
      <c r="AU511" s="1243">
        <v>1.29</v>
      </c>
      <c r="AV511" s="1243">
        <v>1.33</v>
      </c>
      <c r="AW511" s="1243">
        <v>1.38</v>
      </c>
      <c r="AX511" s="1243">
        <v>1.42</v>
      </c>
      <c r="AY511" s="1243">
        <v>1.47</v>
      </c>
      <c r="AZ511" s="1243">
        <v>1.52</v>
      </c>
      <c r="BA511" s="1243">
        <v>157</v>
      </c>
      <c r="BB511" s="1243">
        <v>1.62</v>
      </c>
      <c r="BC511" s="1243">
        <v>1.67</v>
      </c>
      <c r="BD511" s="1243">
        <v>1.72</v>
      </c>
      <c r="BE511" s="1243">
        <v>1.78</v>
      </c>
      <c r="BF511" s="1243">
        <v>1.83</v>
      </c>
      <c r="BG511" s="1243">
        <v>1.89</v>
      </c>
      <c r="BH511" s="1243">
        <v>1.94</v>
      </c>
      <c r="BI511" s="1246">
        <v>2</v>
      </c>
      <c r="BJ511" s="1243">
        <v>2.06</v>
      </c>
      <c r="BK511" s="1243">
        <v>2.12</v>
      </c>
      <c r="BL511" s="1243">
        <v>2.1800000000000002</v>
      </c>
      <c r="BM511" s="1243">
        <v>2.23</v>
      </c>
      <c r="BN511" s="1243">
        <v>2.29</v>
      </c>
    </row>
    <row r="512" spans="2:68" ht="15" customHeight="1">
      <c r="B512" s="1341">
        <v>22</v>
      </c>
      <c r="C512" s="1243">
        <v>1.1499999999999999</v>
      </c>
      <c r="D512" s="1243">
        <v>1.1499999999999999</v>
      </c>
      <c r="E512" s="1243">
        <v>1.1499999999999999</v>
      </c>
      <c r="F512" s="1243">
        <v>1.1499999999999999</v>
      </c>
      <c r="G512" s="1243">
        <v>1.1499999999999999</v>
      </c>
      <c r="H512" s="1243">
        <v>1.1499999999999999</v>
      </c>
      <c r="I512" s="1243">
        <v>1.1499999999999999</v>
      </c>
      <c r="J512" s="1243">
        <v>1.1499999999999999</v>
      </c>
      <c r="K512" s="1243">
        <v>1.1499999999999999</v>
      </c>
      <c r="L512" s="1243">
        <v>1.1499999999999999</v>
      </c>
      <c r="M512" s="1243">
        <v>1.18</v>
      </c>
      <c r="N512" s="1243">
        <v>1.21</v>
      </c>
      <c r="O512" s="1243">
        <v>1.25</v>
      </c>
      <c r="P512" s="1243">
        <v>1.29</v>
      </c>
      <c r="Q512" s="1243">
        <v>1.34</v>
      </c>
      <c r="R512" s="1243">
        <v>1.4</v>
      </c>
      <c r="S512" s="1243">
        <v>1.45</v>
      </c>
      <c r="T512" s="1243">
        <v>1.51</v>
      </c>
      <c r="U512" s="1243">
        <v>1.57</v>
      </c>
      <c r="V512" s="1243">
        <v>1.63</v>
      </c>
      <c r="W512" s="1243">
        <v>1.69</v>
      </c>
      <c r="X512" s="1243">
        <v>1.76</v>
      </c>
      <c r="Y512" s="1243">
        <v>1.83</v>
      </c>
      <c r="Z512" s="1243">
        <v>1.9</v>
      </c>
      <c r="AA512" s="1243">
        <v>1.98</v>
      </c>
      <c r="AB512" s="1243">
        <v>2.06</v>
      </c>
      <c r="AC512" s="1243">
        <v>2.14</v>
      </c>
      <c r="AD512" s="1243">
        <v>2.23</v>
      </c>
      <c r="AE512" s="1243">
        <v>2.31</v>
      </c>
      <c r="AF512" s="1243">
        <v>2.4</v>
      </c>
      <c r="AG512" s="1243">
        <v>2.4900000000000002</v>
      </c>
      <c r="AI512" s="1240">
        <v>22</v>
      </c>
      <c r="AJ512" s="1243">
        <v>1.19</v>
      </c>
      <c r="AK512" s="1243">
        <v>1.19</v>
      </c>
      <c r="AL512" s="1243">
        <v>1.19</v>
      </c>
      <c r="AM512" s="1243">
        <v>1.19</v>
      </c>
      <c r="AN512" s="1243">
        <v>1.19</v>
      </c>
      <c r="AO512" s="1243">
        <v>1.19</v>
      </c>
      <c r="AP512" s="1243">
        <v>1.21</v>
      </c>
      <c r="AQ512" s="1243">
        <v>1.23</v>
      </c>
      <c r="AR512" s="1243">
        <v>1.26</v>
      </c>
      <c r="AS512" s="1243">
        <v>1.3</v>
      </c>
      <c r="AT512" s="1243">
        <v>1.35</v>
      </c>
      <c r="AU512" s="1243">
        <v>1.39</v>
      </c>
      <c r="AV512" s="1243">
        <v>1.44</v>
      </c>
      <c r="AW512" s="1243">
        <v>1.49</v>
      </c>
      <c r="AX512" s="1243">
        <v>1.54</v>
      </c>
      <c r="AY512" s="1243">
        <v>1.59</v>
      </c>
      <c r="AZ512" s="1243">
        <v>1.64</v>
      </c>
      <c r="BA512" s="1243">
        <v>1.69</v>
      </c>
      <c r="BB512" s="1243">
        <v>1.75</v>
      </c>
      <c r="BC512" s="1243">
        <v>1.8</v>
      </c>
      <c r="BD512" s="1243" t="s">
        <v>830</v>
      </c>
      <c r="BE512" s="1243">
        <v>1.91</v>
      </c>
      <c r="BF512" s="1243">
        <v>1.97</v>
      </c>
      <c r="BG512" s="1243">
        <v>2.0299999999999998</v>
      </c>
      <c r="BH512" s="1243">
        <v>2.09</v>
      </c>
      <c r="BI512" s="1243">
        <v>2.15</v>
      </c>
      <c r="BJ512" s="1243">
        <v>2.21</v>
      </c>
      <c r="BK512" s="1243">
        <v>2.27</v>
      </c>
      <c r="BL512" s="1243">
        <v>2.33</v>
      </c>
      <c r="BM512" s="1243">
        <v>2.4</v>
      </c>
      <c r="BN512" s="1243">
        <v>2.46</v>
      </c>
    </row>
    <row r="513" spans="2:66" ht="15" customHeight="1">
      <c r="B513" s="1341">
        <v>23</v>
      </c>
      <c r="C513" s="1243">
        <v>1.18</v>
      </c>
      <c r="D513" s="1243">
        <v>1.18</v>
      </c>
      <c r="E513" s="1243">
        <v>1.18</v>
      </c>
      <c r="F513" s="1243">
        <v>1.18</v>
      </c>
      <c r="G513" s="1243">
        <v>1.18</v>
      </c>
      <c r="H513" s="1243">
        <v>1.18</v>
      </c>
      <c r="I513" s="1243">
        <v>1.18</v>
      </c>
      <c r="J513" s="1243">
        <v>1.18</v>
      </c>
      <c r="K513" s="1243">
        <v>1.17</v>
      </c>
      <c r="L513" s="1243">
        <v>1.2</v>
      </c>
      <c r="M513" s="1243">
        <v>1.25</v>
      </c>
      <c r="N513" s="1243">
        <v>1.29</v>
      </c>
      <c r="O513" s="1243">
        <v>1.34</v>
      </c>
      <c r="P513" s="1243">
        <v>1.4</v>
      </c>
      <c r="Q513" s="1243">
        <v>1.45</v>
      </c>
      <c r="R513" s="1243">
        <v>1.51</v>
      </c>
      <c r="S513" s="1243">
        <v>1.57</v>
      </c>
      <c r="T513" s="1246">
        <v>1.63</v>
      </c>
      <c r="U513" s="1243">
        <v>1.7</v>
      </c>
      <c r="V513" s="1243">
        <v>1.77</v>
      </c>
      <c r="W513" s="1243">
        <v>1.83</v>
      </c>
      <c r="X513" s="1243">
        <v>1.91</v>
      </c>
      <c r="Y513" s="1243">
        <v>1.98</v>
      </c>
      <c r="Z513" s="1243">
        <v>2.0699999999999998</v>
      </c>
      <c r="AA513" s="1243">
        <v>2.15</v>
      </c>
      <c r="AB513" s="1243">
        <v>2.2400000000000002</v>
      </c>
      <c r="AC513" s="1243">
        <v>2.33</v>
      </c>
      <c r="AD513" s="1246">
        <v>2.42</v>
      </c>
      <c r="AE513" s="1243">
        <v>2.5099999999999998</v>
      </c>
      <c r="AF513" s="1243">
        <v>2.6</v>
      </c>
      <c r="AG513" s="1243">
        <v>2.7</v>
      </c>
      <c r="AI513" s="1240">
        <v>23</v>
      </c>
      <c r="AJ513" s="1246">
        <v>1.24</v>
      </c>
      <c r="AK513" s="1243">
        <v>1.24</v>
      </c>
      <c r="AL513" s="1243">
        <v>1.24</v>
      </c>
      <c r="AM513" s="1243">
        <v>1.24</v>
      </c>
      <c r="AN513" s="1243">
        <v>1.24</v>
      </c>
      <c r="AO513" s="1243">
        <v>1.27</v>
      </c>
      <c r="AP513" s="1243">
        <v>1.29</v>
      </c>
      <c r="AQ513" s="1243">
        <v>1.32</v>
      </c>
      <c r="AR513" s="1243">
        <v>1.36</v>
      </c>
      <c r="AS513" s="1243">
        <v>1.4</v>
      </c>
      <c r="AT513" s="1243">
        <v>1.46</v>
      </c>
      <c r="AU513" s="1243">
        <v>1.51</v>
      </c>
      <c r="AV513" s="1243">
        <v>1.55</v>
      </c>
      <c r="AW513" s="1243">
        <v>1.61</v>
      </c>
      <c r="AX513" s="1243">
        <v>1.66</v>
      </c>
      <c r="AY513" s="1243">
        <v>1.71</v>
      </c>
      <c r="AZ513" s="1243">
        <v>1.77</v>
      </c>
      <c r="BA513" s="1243">
        <v>1.82</v>
      </c>
      <c r="BB513" s="1243">
        <v>1.88</v>
      </c>
      <c r="BC513" s="1243">
        <v>1.94</v>
      </c>
      <c r="BD513" s="1243">
        <v>2</v>
      </c>
      <c r="BE513" s="1243">
        <v>2.06</v>
      </c>
      <c r="BF513" s="1243">
        <v>2.12</v>
      </c>
      <c r="BG513" s="1243">
        <v>2.1800000000000002</v>
      </c>
      <c r="BH513" s="1246">
        <v>2.25</v>
      </c>
      <c r="BI513" s="1243">
        <v>2.31</v>
      </c>
      <c r="BJ513" s="1243">
        <v>2.38</v>
      </c>
      <c r="BK513" s="1243">
        <v>2.44</v>
      </c>
      <c r="BL513" s="1243">
        <v>2.5</v>
      </c>
      <c r="BM513" s="1243">
        <v>2.57</v>
      </c>
      <c r="BN513" s="1243">
        <v>2.63</v>
      </c>
    </row>
    <row r="514" spans="2:66" ht="15" customHeight="1">
      <c r="B514" s="1341">
        <v>24</v>
      </c>
      <c r="C514" s="1243">
        <v>1.22</v>
      </c>
      <c r="D514" s="1243">
        <v>1.22</v>
      </c>
      <c r="E514" s="1243">
        <v>1.22</v>
      </c>
      <c r="F514" s="1243">
        <v>1.22</v>
      </c>
      <c r="G514" s="1243">
        <v>1.22</v>
      </c>
      <c r="H514" s="1243">
        <v>1.22</v>
      </c>
      <c r="I514" s="1243">
        <v>1.22</v>
      </c>
      <c r="J514" s="1243">
        <v>1.22</v>
      </c>
      <c r="K514" s="1243">
        <v>1.25</v>
      </c>
      <c r="L514" s="1243">
        <v>1.28</v>
      </c>
      <c r="M514" s="1243">
        <v>1.35</v>
      </c>
      <c r="N514" s="1243">
        <v>1.4</v>
      </c>
      <c r="O514" s="1243">
        <v>1.45</v>
      </c>
      <c r="P514" s="1243">
        <v>1.51</v>
      </c>
      <c r="Q514" s="1243">
        <v>1.57</v>
      </c>
      <c r="R514" s="1243">
        <v>1.64</v>
      </c>
      <c r="S514" s="1243">
        <v>1.7</v>
      </c>
      <c r="T514" s="1243">
        <v>1.77</v>
      </c>
      <c r="U514" s="1243">
        <v>1.84</v>
      </c>
      <c r="V514" s="1243">
        <v>1.91</v>
      </c>
      <c r="W514" s="1243">
        <v>1.99</v>
      </c>
      <c r="X514" s="1243">
        <v>2.0699999999999998</v>
      </c>
      <c r="Y514" s="1243">
        <v>2.16</v>
      </c>
      <c r="Z514" s="1243">
        <v>2.25</v>
      </c>
      <c r="AA514" s="1243">
        <v>2.34</v>
      </c>
      <c r="AB514" s="1243">
        <v>2.4300000000000002</v>
      </c>
      <c r="AC514" s="1243">
        <v>2.5299999999999998</v>
      </c>
      <c r="AD514" s="1243">
        <v>2.62</v>
      </c>
      <c r="AE514" s="1243">
        <v>2.72</v>
      </c>
      <c r="AF514" s="1243">
        <v>2.82</v>
      </c>
      <c r="AG514" s="1243">
        <v>2.92</v>
      </c>
      <c r="AI514" s="1240">
        <v>24</v>
      </c>
      <c r="AJ514" s="1243">
        <v>1.32</v>
      </c>
      <c r="AK514" s="1243">
        <v>1.32</v>
      </c>
      <c r="AL514" s="1243" t="s">
        <v>831</v>
      </c>
      <c r="AM514" s="1243">
        <v>1.32</v>
      </c>
      <c r="AN514" s="1243">
        <v>1.32</v>
      </c>
      <c r="AO514" s="1243">
        <v>1.36</v>
      </c>
      <c r="AP514" s="1243">
        <v>1.39</v>
      </c>
      <c r="AQ514" s="1243">
        <v>1.43</v>
      </c>
      <c r="AR514" s="1243">
        <v>1.46</v>
      </c>
      <c r="AS514" s="1243">
        <v>1.51</v>
      </c>
      <c r="AT514" s="1246">
        <v>1.58</v>
      </c>
      <c r="AU514" s="1243">
        <v>1.63</v>
      </c>
      <c r="AV514" s="1243">
        <v>1.68</v>
      </c>
      <c r="AW514" s="1243">
        <v>1.74</v>
      </c>
      <c r="AX514" s="1243">
        <v>1.79</v>
      </c>
      <c r="AY514" s="1243">
        <v>1.85</v>
      </c>
      <c r="AZ514" s="1243">
        <v>1.91</v>
      </c>
      <c r="BA514" s="1243">
        <v>1.97</v>
      </c>
      <c r="BB514" s="1243">
        <v>7.03</v>
      </c>
      <c r="BC514" s="1243">
        <v>2.09</v>
      </c>
      <c r="BD514" s="1243">
        <v>2.15</v>
      </c>
      <c r="BE514" s="1243">
        <v>2.2200000000000002</v>
      </c>
      <c r="BF514" s="1243">
        <v>2.2799999999999998</v>
      </c>
      <c r="BG514" s="1243">
        <v>2.35</v>
      </c>
      <c r="BH514" s="1243">
        <v>2.42</v>
      </c>
      <c r="BI514" s="1243">
        <v>2.48</v>
      </c>
      <c r="BJ514" s="1246">
        <v>2.5499999999999998</v>
      </c>
      <c r="BK514" s="1246">
        <v>2.62</v>
      </c>
      <c r="BL514" s="1243">
        <v>2.69</v>
      </c>
      <c r="BM514" s="1243">
        <v>2.75</v>
      </c>
      <c r="BN514" s="1246">
        <v>2.82</v>
      </c>
    </row>
    <row r="515" spans="2:66" ht="15" customHeight="1">
      <c r="B515" s="1341">
        <v>25</v>
      </c>
      <c r="C515" s="1243">
        <v>1.26</v>
      </c>
      <c r="D515" s="1243">
        <v>1.26</v>
      </c>
      <c r="E515" s="1243">
        <v>1.26</v>
      </c>
      <c r="F515" s="1243">
        <v>1.26</v>
      </c>
      <c r="G515" s="1243">
        <v>1.26</v>
      </c>
      <c r="H515" s="1243">
        <v>1.26</v>
      </c>
      <c r="I515" s="1243">
        <v>1.27</v>
      </c>
      <c r="J515" s="1243">
        <v>1.3</v>
      </c>
      <c r="K515" s="1243">
        <v>1.34</v>
      </c>
      <c r="L515" s="1243">
        <v>1.38</v>
      </c>
      <c r="M515" s="1243">
        <v>1.45</v>
      </c>
      <c r="N515" s="1243">
        <v>1.51</v>
      </c>
      <c r="O515" s="1243">
        <v>1.57</v>
      </c>
      <c r="P515" s="1243">
        <v>1.64</v>
      </c>
      <c r="Q515" s="1243">
        <v>1.71</v>
      </c>
      <c r="R515" s="1243">
        <v>1.78</v>
      </c>
      <c r="S515" s="1243">
        <v>1.85</v>
      </c>
      <c r="T515" s="1243">
        <v>1.92</v>
      </c>
      <c r="U515" s="1243">
        <v>2</v>
      </c>
      <c r="V515" s="1243">
        <v>2.08</v>
      </c>
      <c r="W515" s="1243">
        <v>2.16</v>
      </c>
      <c r="X515" s="1243">
        <v>2.2599999999999998</v>
      </c>
      <c r="Y515" s="1243">
        <v>2.35</v>
      </c>
      <c r="Z515" s="1243">
        <v>2.44</v>
      </c>
      <c r="AA515" s="1243">
        <v>2.54</v>
      </c>
      <c r="AB515" s="1243">
        <v>2.64</v>
      </c>
      <c r="AC515" s="1243">
        <v>2.75</v>
      </c>
      <c r="AD515" s="1243">
        <v>2.85</v>
      </c>
      <c r="AE515" s="1243">
        <v>2.95</v>
      </c>
      <c r="AF515" s="1243">
        <v>3.06</v>
      </c>
      <c r="AG515" s="1243">
        <v>3.17</v>
      </c>
      <c r="AI515" s="1240">
        <v>25</v>
      </c>
      <c r="AJ515" s="1243">
        <v>1.4</v>
      </c>
      <c r="AK515" s="1243">
        <v>1.4</v>
      </c>
      <c r="AL515" s="1243">
        <v>1.4</v>
      </c>
      <c r="AM515" s="1243">
        <v>1.4</v>
      </c>
      <c r="AN515" s="1243">
        <v>1.4</v>
      </c>
      <c r="AO515" s="1243">
        <v>1.47</v>
      </c>
      <c r="AP515" s="1243">
        <v>1.5</v>
      </c>
      <c r="AQ515" s="1243">
        <v>1.54</v>
      </c>
      <c r="AR515" s="1243">
        <v>1.58</v>
      </c>
      <c r="AS515" s="1243">
        <v>1.63</v>
      </c>
      <c r="AT515" s="1243">
        <v>1.71</v>
      </c>
      <c r="AU515" s="1243">
        <v>1.76</v>
      </c>
      <c r="AV515" s="1243">
        <v>1.82</v>
      </c>
      <c r="AW515" s="1243">
        <v>1.88</v>
      </c>
      <c r="AX515" s="1243">
        <v>1.94</v>
      </c>
      <c r="AY515" s="1243">
        <v>2</v>
      </c>
      <c r="AZ515" s="1243">
        <v>2.06</v>
      </c>
      <c r="BA515" s="1243">
        <v>2.12</v>
      </c>
      <c r="BB515" s="1243">
        <v>2.1800000000000002</v>
      </c>
      <c r="BC515" s="1243">
        <v>2.25</v>
      </c>
      <c r="BD515" s="1243">
        <v>2.3199999999999998</v>
      </c>
      <c r="BE515" s="1243">
        <v>2.39</v>
      </c>
      <c r="BF515" s="1243">
        <v>2.46</v>
      </c>
      <c r="BG515" s="1243">
        <v>2.5299999999999998</v>
      </c>
      <c r="BH515" s="1243">
        <v>2.6</v>
      </c>
      <c r="BI515" s="1243">
        <v>2.67</v>
      </c>
      <c r="BJ515" s="1243">
        <v>2.74</v>
      </c>
      <c r="BK515" s="1243">
        <v>2.81</v>
      </c>
      <c r="BL515" s="1243">
        <v>2.88</v>
      </c>
      <c r="BM515" s="1243">
        <v>2.95</v>
      </c>
      <c r="BN515" s="1243">
        <v>3.01</v>
      </c>
    </row>
    <row r="516" spans="2:66" ht="15" customHeight="1">
      <c r="B516" s="1341">
        <v>26</v>
      </c>
      <c r="C516" s="1243">
        <v>1.31</v>
      </c>
      <c r="D516" s="1243">
        <v>1.31</v>
      </c>
      <c r="E516" s="1243">
        <v>1.31</v>
      </c>
      <c r="F516" s="1243">
        <v>1.31</v>
      </c>
      <c r="G516" s="1243">
        <v>1.31</v>
      </c>
      <c r="H516" s="1243">
        <v>1.33</v>
      </c>
      <c r="I516" s="1243">
        <v>1.36</v>
      </c>
      <c r="J516" s="1243">
        <v>1.39</v>
      </c>
      <c r="K516" s="1243">
        <v>1.44</v>
      </c>
      <c r="L516" s="1243">
        <v>1.49</v>
      </c>
      <c r="M516" s="1243">
        <v>1.58</v>
      </c>
      <c r="N516" s="1243">
        <v>1.64</v>
      </c>
      <c r="O516" s="1246">
        <v>1.71</v>
      </c>
      <c r="P516" s="1243">
        <v>1.78</v>
      </c>
      <c r="Q516" s="1243">
        <v>1.86</v>
      </c>
      <c r="R516" s="1243">
        <v>1.93</v>
      </c>
      <c r="S516" s="1243">
        <v>2.0099999999999998</v>
      </c>
      <c r="T516" s="1243">
        <v>2.09</v>
      </c>
      <c r="U516" s="1243">
        <v>2.17</v>
      </c>
      <c r="V516" s="1243">
        <v>1.26</v>
      </c>
      <c r="W516" s="1243">
        <v>2.36</v>
      </c>
      <c r="X516" s="1243">
        <v>2.46</v>
      </c>
      <c r="Y516" s="1243">
        <v>2.56</v>
      </c>
      <c r="Z516" s="1243">
        <v>2.66</v>
      </c>
      <c r="AA516" s="1243">
        <v>2.77</v>
      </c>
      <c r="AB516" s="1243">
        <v>2.88</v>
      </c>
      <c r="AC516" s="1243">
        <v>2.98</v>
      </c>
      <c r="AD516" s="1243">
        <v>3.09</v>
      </c>
      <c r="AE516" s="1243">
        <v>3.21</v>
      </c>
      <c r="AF516" s="1243">
        <v>3.32</v>
      </c>
      <c r="AG516" s="1243">
        <v>3.43</v>
      </c>
      <c r="AI516" s="1240">
        <v>26</v>
      </c>
      <c r="AJ516" s="1246">
        <v>1.49</v>
      </c>
      <c r="AK516" s="1243">
        <v>1.49</v>
      </c>
      <c r="AL516" s="1243">
        <v>1.49</v>
      </c>
      <c r="AM516" s="1243">
        <v>1.49</v>
      </c>
      <c r="AN516" s="1243">
        <v>1.49</v>
      </c>
      <c r="AO516" s="1243">
        <v>1.58</v>
      </c>
      <c r="AP516" s="1243">
        <v>1.62</v>
      </c>
      <c r="AQ516" s="1243">
        <v>1.66</v>
      </c>
      <c r="AR516" s="1243">
        <v>1.71</v>
      </c>
      <c r="AS516" s="1243">
        <v>1.76</v>
      </c>
      <c r="AT516" s="1243">
        <v>1.85</v>
      </c>
      <c r="AU516" s="1243">
        <v>1.91</v>
      </c>
      <c r="AV516" s="1243">
        <v>1.97</v>
      </c>
      <c r="AW516" s="1243">
        <v>2.0299999999999998</v>
      </c>
      <c r="AX516" s="1243">
        <v>2.09</v>
      </c>
      <c r="AY516" s="1243">
        <v>2.16</v>
      </c>
      <c r="AZ516" s="1243">
        <v>2.2200000000000002</v>
      </c>
      <c r="BA516" s="1243">
        <v>2.29</v>
      </c>
      <c r="BB516" s="1243">
        <v>2.36</v>
      </c>
      <c r="BC516" s="1243">
        <v>2.4300000000000002</v>
      </c>
      <c r="BD516" s="1243">
        <v>2.5</v>
      </c>
      <c r="BE516" s="1243">
        <v>2.57</v>
      </c>
      <c r="BF516" s="1243">
        <v>2.64</v>
      </c>
      <c r="BG516" s="1243">
        <v>2.72</v>
      </c>
      <c r="BH516" s="1243">
        <v>2.79</v>
      </c>
      <c r="BI516" s="1243">
        <v>2.86</v>
      </c>
      <c r="BJ516" s="1243">
        <v>2.94</v>
      </c>
      <c r="BK516" s="1243">
        <v>3.01</v>
      </c>
      <c r="BL516" s="1243">
        <v>3.08</v>
      </c>
      <c r="BM516" s="1243">
        <v>3.15</v>
      </c>
      <c r="BN516" s="1243">
        <v>3.23</v>
      </c>
    </row>
    <row r="517" spans="2:66" ht="15" customHeight="1">
      <c r="B517" s="1343">
        <v>27</v>
      </c>
      <c r="C517" s="1243">
        <v>1.37</v>
      </c>
      <c r="D517" s="1243">
        <v>1.37</v>
      </c>
      <c r="E517" s="1243">
        <v>1.37</v>
      </c>
      <c r="F517" s="1243">
        <v>1.37</v>
      </c>
      <c r="G517" s="1243">
        <v>1.37</v>
      </c>
      <c r="H517" s="1243">
        <v>1.43</v>
      </c>
      <c r="I517" s="1243">
        <v>1.46</v>
      </c>
      <c r="J517" s="1243">
        <v>1.51</v>
      </c>
      <c r="K517" s="1243">
        <v>1.56</v>
      </c>
      <c r="L517" s="1243">
        <v>1.63</v>
      </c>
      <c r="M517" s="1243">
        <v>1.72</v>
      </c>
      <c r="N517" s="1243">
        <v>1.79</v>
      </c>
      <c r="O517" s="1243">
        <v>1.87</v>
      </c>
      <c r="P517" s="1243">
        <v>1.94</v>
      </c>
      <c r="Q517" s="1243">
        <v>2.02</v>
      </c>
      <c r="R517" s="1243">
        <v>2.1</v>
      </c>
      <c r="S517" s="1243">
        <v>2.19</v>
      </c>
      <c r="T517" s="1243">
        <v>2.2799999999999998</v>
      </c>
      <c r="U517" s="1243">
        <v>2.37</v>
      </c>
      <c r="V517" s="1243">
        <v>2.4700000000000002</v>
      </c>
      <c r="W517" s="1243">
        <v>2.58</v>
      </c>
      <c r="X517" s="1243">
        <v>2.68</v>
      </c>
      <c r="Y517" s="1243">
        <v>2.79</v>
      </c>
      <c r="Z517" s="1243">
        <v>2.9</v>
      </c>
      <c r="AA517" s="1243">
        <v>3.02</v>
      </c>
      <c r="AB517" s="1243">
        <v>3.13</v>
      </c>
      <c r="AC517" s="1243">
        <v>3.25</v>
      </c>
      <c r="AD517" s="1243">
        <v>3.36</v>
      </c>
      <c r="AE517" s="1243">
        <v>3.48</v>
      </c>
      <c r="AF517" s="1243">
        <v>3.6</v>
      </c>
      <c r="AG517" s="1246">
        <v>3.72</v>
      </c>
      <c r="AI517" s="1240">
        <v>27</v>
      </c>
      <c r="AJ517" s="1243">
        <v>1.58</v>
      </c>
      <c r="AK517" s="1243">
        <v>1.58</v>
      </c>
      <c r="AL517" s="1243">
        <v>1.58</v>
      </c>
      <c r="AM517" s="1243">
        <v>1.58</v>
      </c>
      <c r="AN517" s="1243">
        <v>1.61</v>
      </c>
      <c r="AO517" s="1243">
        <v>1.71</v>
      </c>
      <c r="AP517" s="1243">
        <v>1.75</v>
      </c>
      <c r="AQ517" s="1243">
        <v>1.8</v>
      </c>
      <c r="AR517" s="1243">
        <v>1.85</v>
      </c>
      <c r="AS517" s="1243">
        <v>1.91</v>
      </c>
      <c r="AT517" s="1243">
        <v>2</v>
      </c>
      <c r="AU517" s="1243">
        <v>2.06</v>
      </c>
      <c r="AV517" s="1243">
        <v>2.13</v>
      </c>
      <c r="AW517" s="1243">
        <v>2.19</v>
      </c>
      <c r="AX517" s="1243">
        <v>2.2599999999999998</v>
      </c>
      <c r="AY517" s="1246" t="s">
        <v>832</v>
      </c>
      <c r="AZ517" s="1243">
        <v>2.39</v>
      </c>
      <c r="BA517" s="1243">
        <v>2.46</v>
      </c>
      <c r="BB517" s="1243">
        <v>2.54</v>
      </c>
      <c r="BC517" s="1243">
        <v>2.61</v>
      </c>
      <c r="BD517" s="1243">
        <v>2.69</v>
      </c>
      <c r="BE517" s="1243">
        <v>2.77</v>
      </c>
      <c r="BF517" s="1243">
        <v>2.84</v>
      </c>
      <c r="BG517" s="1243">
        <v>2.92</v>
      </c>
      <c r="BH517" s="1243">
        <v>3</v>
      </c>
      <c r="BI517" s="1243">
        <v>3.07</v>
      </c>
      <c r="BJ517" s="1243">
        <v>3.15</v>
      </c>
      <c r="BK517" s="1243">
        <v>3.22</v>
      </c>
      <c r="BL517" s="1243">
        <v>3.3</v>
      </c>
      <c r="BM517" s="1243">
        <v>3.37</v>
      </c>
      <c r="BN517" s="1243">
        <v>3.45</v>
      </c>
    </row>
    <row r="518" spans="2:66" ht="15" customHeight="1">
      <c r="B518" s="1341">
        <v>28</v>
      </c>
      <c r="C518" s="1243">
        <v>1.44</v>
      </c>
      <c r="D518" s="1243">
        <v>1.44</v>
      </c>
      <c r="E518" s="1243">
        <v>1.44</v>
      </c>
      <c r="F518" s="1243">
        <v>1.44</v>
      </c>
      <c r="G518" s="1243">
        <v>1.45</v>
      </c>
      <c r="H518" s="1243">
        <v>1.54</v>
      </c>
      <c r="I518" s="1243">
        <v>1.58</v>
      </c>
      <c r="J518" s="1243">
        <v>1.64</v>
      </c>
      <c r="K518" s="1243" t="s">
        <v>827</v>
      </c>
      <c r="L518" s="1243">
        <v>1.78</v>
      </c>
      <c r="M518" s="1243">
        <v>1.88</v>
      </c>
      <c r="N518" s="1243">
        <v>1.96</v>
      </c>
      <c r="O518" s="1243">
        <v>2.04</v>
      </c>
      <c r="P518" s="1243">
        <v>1.1200000000000001</v>
      </c>
      <c r="Q518" s="1243">
        <v>2.21</v>
      </c>
      <c r="R518" s="1243">
        <v>2.29</v>
      </c>
      <c r="S518" s="1243">
        <v>2.39</v>
      </c>
      <c r="T518" s="1243">
        <v>2.4900000000000002</v>
      </c>
      <c r="U518" s="1243">
        <v>2.59</v>
      </c>
      <c r="V518" s="1243">
        <v>2.7</v>
      </c>
      <c r="W518" s="1243">
        <v>2.81</v>
      </c>
      <c r="X518" s="1243">
        <v>2.93</v>
      </c>
      <c r="Y518" s="1243">
        <v>3.05</v>
      </c>
      <c r="Z518" s="1243">
        <v>3.17</v>
      </c>
      <c r="AA518" s="1243">
        <v>3.29</v>
      </c>
      <c r="AB518" s="1243">
        <v>3.41</v>
      </c>
      <c r="AC518" s="1243">
        <v>3.53</v>
      </c>
      <c r="AD518" s="1243">
        <v>3.66</v>
      </c>
      <c r="AE518" s="1243">
        <v>3.78</v>
      </c>
      <c r="AF518" s="1243">
        <v>3.9</v>
      </c>
      <c r="AG518" s="1243">
        <v>4.03</v>
      </c>
      <c r="AI518" s="1282">
        <v>28</v>
      </c>
      <c r="AJ518" s="1243">
        <v>1.69</v>
      </c>
      <c r="AK518" s="1243">
        <v>1.69</v>
      </c>
      <c r="AL518" s="1243">
        <v>1.69</v>
      </c>
      <c r="AM518" s="1243">
        <v>1.7</v>
      </c>
      <c r="AN518" s="1243">
        <v>1.74</v>
      </c>
      <c r="AO518" s="1243">
        <v>1.85</v>
      </c>
      <c r="AP518" s="1243">
        <v>1.9</v>
      </c>
      <c r="AQ518" s="1243">
        <v>1.95</v>
      </c>
      <c r="AR518" s="1246">
        <v>2.0099999999999998</v>
      </c>
      <c r="AS518" s="1243">
        <v>2.0699999999999998</v>
      </c>
      <c r="AT518" s="1246">
        <v>2.17</v>
      </c>
      <c r="AU518" s="1243">
        <v>2.23</v>
      </c>
      <c r="AV518" s="1246">
        <v>2.2999999999999998</v>
      </c>
      <c r="AW518" s="1243">
        <v>2.37</v>
      </c>
      <c r="AX518" s="1243">
        <v>2.44</v>
      </c>
      <c r="AY518" s="1243">
        <v>2.5099999999999998</v>
      </c>
      <c r="AZ518" s="1243">
        <v>2.58</v>
      </c>
      <c r="BA518" s="1243">
        <v>2.66</v>
      </c>
      <c r="BB518" s="1243">
        <v>2.74</v>
      </c>
      <c r="BC518" s="1243">
        <v>2.82</v>
      </c>
      <c r="BD518" s="1243">
        <v>2.9</v>
      </c>
      <c r="BE518" s="1243">
        <v>2.98</v>
      </c>
      <c r="BF518" s="1243">
        <v>3.06</v>
      </c>
      <c r="BG518" s="1243">
        <v>3.14</v>
      </c>
      <c r="BH518" s="1243">
        <v>3.22</v>
      </c>
      <c r="BI518" s="1243">
        <v>3.3</v>
      </c>
      <c r="BJ518" s="1243">
        <v>3.37</v>
      </c>
      <c r="BK518" s="1243" t="s">
        <v>833</v>
      </c>
      <c r="BL518" s="1243">
        <v>3.53</v>
      </c>
      <c r="BM518" s="1243">
        <v>3.61</v>
      </c>
      <c r="BN518" s="1243">
        <v>3.69</v>
      </c>
    </row>
    <row r="519" spans="2:66" ht="15" customHeight="1">
      <c r="B519" s="1341">
        <v>29</v>
      </c>
      <c r="C519" s="1243">
        <v>1.53</v>
      </c>
      <c r="D519" s="1243">
        <v>1.53</v>
      </c>
      <c r="E519" s="1243">
        <v>1.53</v>
      </c>
      <c r="F519" s="1243">
        <v>1.53</v>
      </c>
      <c r="G519" s="1243">
        <v>1.56</v>
      </c>
      <c r="H519" s="1243">
        <v>1.67</v>
      </c>
      <c r="I519" s="1243">
        <v>1.73</v>
      </c>
      <c r="J519" s="1243">
        <v>1.8</v>
      </c>
      <c r="K519" s="1243">
        <v>1.87</v>
      </c>
      <c r="L519" s="1243">
        <v>1.95</v>
      </c>
      <c r="M519" s="1243">
        <v>2.06</v>
      </c>
      <c r="N519" s="1243">
        <v>2.14</v>
      </c>
      <c r="O519" s="1243">
        <v>2.23</v>
      </c>
      <c r="P519" s="1243">
        <v>2.3199999999999998</v>
      </c>
      <c r="Q519" s="1243">
        <v>2.41</v>
      </c>
      <c r="R519" s="1243">
        <v>2.5099999999999998</v>
      </c>
      <c r="S519" s="1243">
        <v>2.61</v>
      </c>
      <c r="T519" s="1243">
        <v>2.72</v>
      </c>
      <c r="U519" s="1243">
        <v>2.84</v>
      </c>
      <c r="V519" s="1243">
        <v>2.95</v>
      </c>
      <c r="W519" s="1243">
        <v>3.08</v>
      </c>
      <c r="X519" s="1243">
        <v>3.2</v>
      </c>
      <c r="Y519" s="1243">
        <v>3.33</v>
      </c>
      <c r="Z519" s="1243">
        <v>3.45</v>
      </c>
      <c r="AA519" s="1243">
        <v>3.58</v>
      </c>
      <c r="AB519" s="1243">
        <v>3.71</v>
      </c>
      <c r="AC519" s="1243">
        <v>3.84</v>
      </c>
      <c r="AD519" s="1243">
        <v>3.97</v>
      </c>
      <c r="AE519" s="1243">
        <v>4.0999999999999996</v>
      </c>
      <c r="AF519" s="1243">
        <v>4.2300000000000004</v>
      </c>
      <c r="AG519" s="1243">
        <v>4.3600000000000003</v>
      </c>
      <c r="AI519" s="1240">
        <v>29</v>
      </c>
      <c r="AJ519" s="1243">
        <v>1.81</v>
      </c>
      <c r="AK519" s="1243">
        <v>1.81</v>
      </c>
      <c r="AL519" s="1243">
        <v>1.81</v>
      </c>
      <c r="AM519" s="1243">
        <v>1.83</v>
      </c>
      <c r="AN519" s="1243">
        <v>1.88</v>
      </c>
      <c r="AO519" s="1243">
        <v>2</v>
      </c>
      <c r="AP519" s="1243">
        <v>2.0499999999999998</v>
      </c>
      <c r="AQ519" s="1243">
        <v>2.11</v>
      </c>
      <c r="AR519" s="1243">
        <v>2.1800000000000002</v>
      </c>
      <c r="AS519" s="1243">
        <v>2.2400000000000002</v>
      </c>
      <c r="AT519" s="1243">
        <v>2.34</v>
      </c>
      <c r="AU519" s="1243">
        <v>2.41</v>
      </c>
      <c r="AV519" s="1243">
        <v>2.48</v>
      </c>
      <c r="AW519" s="1243">
        <v>2.5499999999999998</v>
      </c>
      <c r="AX519" s="1243">
        <v>2.62</v>
      </c>
      <c r="AY519" s="1243">
        <v>2.7</v>
      </c>
      <c r="AZ519" s="1243">
        <v>2.78</v>
      </c>
      <c r="BA519" s="1243">
        <v>2.86</v>
      </c>
      <c r="BB519" s="1243">
        <v>2.95</v>
      </c>
      <c r="BC519" s="1243">
        <v>3.03</v>
      </c>
      <c r="BD519" s="1243">
        <v>3.11</v>
      </c>
      <c r="BE519" s="1243">
        <v>3.2</v>
      </c>
      <c r="BF519" s="1243">
        <v>3.28</v>
      </c>
      <c r="BG519" s="1243">
        <v>3.36</v>
      </c>
      <c r="BH519" s="1243">
        <v>3.44</v>
      </c>
      <c r="BI519" s="1243">
        <v>3.53</v>
      </c>
      <c r="BJ519" s="1243">
        <v>3.61</v>
      </c>
      <c r="BK519" s="1243">
        <v>3.69</v>
      </c>
      <c r="BL519" s="1243">
        <v>3.77</v>
      </c>
      <c r="BM519" s="1243">
        <v>3.86</v>
      </c>
      <c r="BN519" s="1243">
        <v>3.93</v>
      </c>
    </row>
    <row r="520" spans="2:66" ht="15" customHeight="1">
      <c r="B520" s="1341">
        <v>30</v>
      </c>
      <c r="C520" s="1243">
        <v>1.63</v>
      </c>
      <c r="D520" s="1243">
        <v>1.63</v>
      </c>
      <c r="E520" s="1243">
        <v>1.63</v>
      </c>
      <c r="F520" s="1243">
        <v>1.65</v>
      </c>
      <c r="G520" s="1243">
        <v>1.7</v>
      </c>
      <c r="H520" s="1243">
        <v>1.82</v>
      </c>
      <c r="I520" s="1243">
        <v>1.89</v>
      </c>
      <c r="J520" s="1243">
        <v>1.97</v>
      </c>
      <c r="K520" s="1243">
        <v>2.0499999999999998</v>
      </c>
      <c r="L520" s="1243">
        <v>2.14</v>
      </c>
      <c r="M520" s="1243">
        <v>2.2599999999999998</v>
      </c>
      <c r="N520" s="1243">
        <v>2.34</v>
      </c>
      <c r="O520" s="1243">
        <v>2.44</v>
      </c>
      <c r="P520" s="1243">
        <v>2.5299999999999998</v>
      </c>
      <c r="Q520" s="1243">
        <v>2.63</v>
      </c>
      <c r="R520" s="1243">
        <v>2.74</v>
      </c>
      <c r="S520" s="1243">
        <v>2.86</v>
      </c>
      <c r="T520" s="1243">
        <v>2.98</v>
      </c>
      <c r="U520" s="1243">
        <v>3.11</v>
      </c>
      <c r="V520" s="1243">
        <v>3.23</v>
      </c>
      <c r="W520" s="1243">
        <v>3.36</v>
      </c>
      <c r="X520" s="1243">
        <v>3.5</v>
      </c>
      <c r="Y520" s="1243">
        <v>3.63</v>
      </c>
      <c r="Z520" s="1243">
        <v>3.76</v>
      </c>
      <c r="AA520" s="1243">
        <v>3.9</v>
      </c>
      <c r="AB520" s="1243">
        <v>4.04</v>
      </c>
      <c r="AC520" s="1243">
        <v>4.18</v>
      </c>
      <c r="AD520" s="1243">
        <v>4.3099999999999996</v>
      </c>
      <c r="AE520" s="1243">
        <v>4.45</v>
      </c>
      <c r="AF520" s="1243">
        <v>4.58</v>
      </c>
      <c r="AG520" s="1243">
        <v>4.71</v>
      </c>
      <c r="AI520" s="1240">
        <v>30</v>
      </c>
      <c r="AJ520" s="1243">
        <v>1.93</v>
      </c>
      <c r="AK520" s="1243">
        <v>1.93</v>
      </c>
      <c r="AL520" s="1243">
        <v>1.94</v>
      </c>
      <c r="AM520" s="1243">
        <v>1.98</v>
      </c>
      <c r="AN520" s="1246">
        <v>2.0299999999999998</v>
      </c>
      <c r="AO520" s="1243">
        <v>2.16</v>
      </c>
      <c r="AP520" s="1243">
        <v>2.2200000000000002</v>
      </c>
      <c r="AQ520" s="1243">
        <v>2.29</v>
      </c>
      <c r="AR520" s="1243">
        <v>2.35</v>
      </c>
      <c r="AS520" s="1243">
        <v>2.42</v>
      </c>
      <c r="AT520" s="1243">
        <v>2.52</v>
      </c>
      <c r="AU520" s="1243">
        <v>2.6</v>
      </c>
      <c r="AV520" s="1243">
        <v>2.67</v>
      </c>
      <c r="AW520" s="1243">
        <v>2.75</v>
      </c>
      <c r="AX520" s="1243">
        <v>2.83</v>
      </c>
      <c r="AY520" s="1243" t="s">
        <v>834</v>
      </c>
      <c r="AZ520" s="1243">
        <v>3</v>
      </c>
      <c r="BA520" s="1243">
        <v>3.08</v>
      </c>
      <c r="BB520" s="1243">
        <v>3.17</v>
      </c>
      <c r="BC520" s="1243">
        <v>3.26</v>
      </c>
      <c r="BD520" s="1243">
        <v>3.34</v>
      </c>
      <c r="BE520" s="1243">
        <v>3.43</v>
      </c>
      <c r="BF520" s="1243">
        <v>3.52</v>
      </c>
      <c r="BG520" s="1243">
        <v>3.6</v>
      </c>
      <c r="BH520" s="1243">
        <v>3.69</v>
      </c>
      <c r="BI520" s="1243">
        <v>3.77</v>
      </c>
      <c r="BJ520" s="1243">
        <v>3.86</v>
      </c>
      <c r="BK520" s="1243">
        <v>3.95</v>
      </c>
      <c r="BL520" s="1243">
        <v>4.03</v>
      </c>
      <c r="BM520" s="1243">
        <v>4.1100000000000003</v>
      </c>
      <c r="BN520" s="1243">
        <v>4.1900000000000004</v>
      </c>
    </row>
    <row r="521" spans="2:66" ht="15" customHeight="1">
      <c r="B521" s="1341">
        <v>31</v>
      </c>
      <c r="C521" s="1243">
        <v>1.75</v>
      </c>
      <c r="D521" s="1243">
        <v>1.75</v>
      </c>
      <c r="E521" s="1243">
        <v>1.76</v>
      </c>
      <c r="F521" s="1243">
        <v>1.8</v>
      </c>
      <c r="G521" s="1243">
        <v>1.86</v>
      </c>
      <c r="H521" s="1243">
        <v>2.0099999999999998</v>
      </c>
      <c r="I521" s="1243">
        <v>2.08</v>
      </c>
      <c r="J521" s="1243">
        <v>2.17</v>
      </c>
      <c r="K521" s="1243">
        <v>2.2599999999999998</v>
      </c>
      <c r="L521" s="1243">
        <v>2.34</v>
      </c>
      <c r="M521" s="1243">
        <v>2.4700000000000002</v>
      </c>
      <c r="N521" s="1243">
        <v>2.57</v>
      </c>
      <c r="O521" s="1243">
        <v>2.67</v>
      </c>
      <c r="P521" s="1243">
        <v>2.77</v>
      </c>
      <c r="Q521" s="1243">
        <v>2.89</v>
      </c>
      <c r="R521" s="1243">
        <v>3.01</v>
      </c>
      <c r="S521" s="1243">
        <v>3.14</v>
      </c>
      <c r="T521" s="1243">
        <v>3.27</v>
      </c>
      <c r="U521" s="1243">
        <v>3.4</v>
      </c>
      <c r="V521" s="1243">
        <v>3.54</v>
      </c>
      <c r="W521" s="1243">
        <v>3.68</v>
      </c>
      <c r="X521" s="1243">
        <v>3.82</v>
      </c>
      <c r="Y521" s="1243">
        <v>3.96</v>
      </c>
      <c r="Z521" s="1243">
        <v>4.0999999999999996</v>
      </c>
      <c r="AA521" s="1243">
        <v>4.25</v>
      </c>
      <c r="AB521" s="1243">
        <v>4.3899999999999997</v>
      </c>
      <c r="AC521" s="1243">
        <v>4.54</v>
      </c>
      <c r="AD521" s="1243">
        <v>4.68</v>
      </c>
      <c r="AE521" s="1243">
        <v>4.82</v>
      </c>
      <c r="AF521" s="1243">
        <v>4.96</v>
      </c>
      <c r="AG521" s="1243">
        <v>5.0999999999999996</v>
      </c>
      <c r="AI521" s="1240">
        <v>31</v>
      </c>
      <c r="AJ521" s="1243">
        <v>2.0699999999999998</v>
      </c>
      <c r="AK521" s="1243">
        <v>2.0699999999999998</v>
      </c>
      <c r="AL521" s="1243">
        <v>2.1</v>
      </c>
      <c r="AM521" s="1243">
        <v>2.14</v>
      </c>
      <c r="AN521" s="1243">
        <v>2.19</v>
      </c>
      <c r="AO521" s="1243">
        <v>2.34</v>
      </c>
      <c r="AP521" s="1243">
        <v>2.41</v>
      </c>
      <c r="AQ521" s="1243">
        <v>2.4700000000000002</v>
      </c>
      <c r="AR521" s="1243">
        <v>2.54</v>
      </c>
      <c r="AS521" s="1243">
        <v>2.61</v>
      </c>
      <c r="AT521" s="1243">
        <v>2.72</v>
      </c>
      <c r="AU521" s="1243">
        <v>2.8</v>
      </c>
      <c r="AV521" s="1243">
        <v>2.88</v>
      </c>
      <c r="AW521" s="1243">
        <v>2.96</v>
      </c>
      <c r="AX521" s="1243">
        <v>3.05</v>
      </c>
      <c r="AY521" s="1243">
        <v>3.13</v>
      </c>
      <c r="AZ521" s="1243">
        <v>3.22</v>
      </c>
      <c r="BA521" s="1243">
        <v>3.31</v>
      </c>
      <c r="BB521" s="1243">
        <v>3.4</v>
      </c>
      <c r="BC521" s="1243" t="s">
        <v>835</v>
      </c>
      <c r="BD521" s="1243">
        <v>3.58</v>
      </c>
      <c r="BE521" s="1243">
        <v>3.68</v>
      </c>
      <c r="BF521" s="1243">
        <v>3.77</v>
      </c>
      <c r="BG521" s="1243">
        <v>3.85</v>
      </c>
      <c r="BH521" s="1243">
        <v>3.94</v>
      </c>
      <c r="BI521" s="1243">
        <v>4.03</v>
      </c>
      <c r="BJ521" s="1243">
        <v>4.12</v>
      </c>
      <c r="BK521" s="1243">
        <v>4.21</v>
      </c>
      <c r="BL521" s="1243">
        <v>4.3</v>
      </c>
      <c r="BM521" s="1243">
        <v>4.38</v>
      </c>
      <c r="BN521" s="1243">
        <v>4.46</v>
      </c>
    </row>
    <row r="522" spans="2:66" ht="15" customHeight="1">
      <c r="B522" s="1341">
        <v>32</v>
      </c>
      <c r="C522" s="1243">
        <v>1.88</v>
      </c>
      <c r="D522" s="1243">
        <v>1.88</v>
      </c>
      <c r="E522" s="1243">
        <v>1.91</v>
      </c>
      <c r="F522" s="1243">
        <v>1.97</v>
      </c>
      <c r="G522" s="1243">
        <v>2.0499999999999998</v>
      </c>
      <c r="H522" s="1243">
        <v>2.21</v>
      </c>
      <c r="I522" s="1243">
        <v>2.29</v>
      </c>
      <c r="J522" s="1243">
        <v>2.38</v>
      </c>
      <c r="K522" s="1243">
        <v>2.4700000000000002</v>
      </c>
      <c r="L522" s="1243">
        <v>2.57</v>
      </c>
      <c r="M522" s="1243">
        <v>2.71</v>
      </c>
      <c r="N522" s="1243">
        <v>2.81</v>
      </c>
      <c r="O522" s="1243">
        <v>2.92</v>
      </c>
      <c r="P522" s="1243">
        <v>3.04</v>
      </c>
      <c r="Q522" s="1243">
        <v>3.17</v>
      </c>
      <c r="R522" s="1243">
        <v>3.31</v>
      </c>
      <c r="S522" s="1243">
        <v>3.44</v>
      </c>
      <c r="T522" s="1243">
        <v>3.58</v>
      </c>
      <c r="U522" s="1243">
        <v>3.73</v>
      </c>
      <c r="V522" s="1243">
        <v>3.87</v>
      </c>
      <c r="W522" s="1243">
        <v>4.0199999999999996</v>
      </c>
      <c r="X522" s="1243">
        <v>4.17</v>
      </c>
      <c r="Y522" s="1243">
        <v>4.32</v>
      </c>
      <c r="Z522" s="1243">
        <v>4.47</v>
      </c>
      <c r="AA522" s="1243">
        <v>4.62</v>
      </c>
      <c r="AB522" s="1243">
        <v>4.7699999999999996</v>
      </c>
      <c r="AC522" s="1243">
        <v>4.92</v>
      </c>
      <c r="AD522" s="1243">
        <v>5.07</v>
      </c>
      <c r="AE522" s="1243">
        <v>5.22</v>
      </c>
      <c r="AF522" s="1243">
        <v>5.36</v>
      </c>
      <c r="AG522" s="1243">
        <v>5.5</v>
      </c>
      <c r="AI522" s="1240">
        <v>32</v>
      </c>
      <c r="AJ522" s="1243">
        <v>2.23</v>
      </c>
      <c r="AK522" s="1243">
        <v>2.2400000000000002</v>
      </c>
      <c r="AL522" s="1243">
        <v>2.27</v>
      </c>
      <c r="AM522" s="1243">
        <v>2.3199999999999998</v>
      </c>
      <c r="AN522" s="1243">
        <v>2.38</v>
      </c>
      <c r="AO522" s="1243">
        <v>2.54</v>
      </c>
      <c r="AP522" s="1243">
        <v>2.6</v>
      </c>
      <c r="AQ522" s="1243">
        <v>2.67</v>
      </c>
      <c r="AR522" s="1243">
        <v>2.74</v>
      </c>
      <c r="AS522" s="1243">
        <v>2.81</v>
      </c>
      <c r="AT522" s="1243">
        <v>2.94</v>
      </c>
      <c r="AU522" s="1243">
        <v>3.02</v>
      </c>
      <c r="AV522" s="1243">
        <v>3.1</v>
      </c>
      <c r="AW522" s="1243">
        <v>3.19</v>
      </c>
      <c r="AX522" s="1243">
        <v>3.28</v>
      </c>
      <c r="AY522" s="1243">
        <v>3.37</v>
      </c>
      <c r="AZ522" s="1243">
        <v>3.47</v>
      </c>
      <c r="BA522" s="1243">
        <v>3.56</v>
      </c>
      <c r="BB522" s="1246">
        <v>3.66</v>
      </c>
      <c r="BC522" s="1243">
        <v>3.75</v>
      </c>
      <c r="BD522" s="1243">
        <v>3.84</v>
      </c>
      <c r="BE522" s="1243">
        <v>3.94</v>
      </c>
      <c r="BF522" s="1243">
        <v>4.03</v>
      </c>
      <c r="BG522" s="1243">
        <v>4.12</v>
      </c>
      <c r="BH522" s="1243">
        <v>4.22</v>
      </c>
      <c r="BI522" s="1243">
        <v>4.3099999999999996</v>
      </c>
      <c r="BJ522" s="1243">
        <v>4.41</v>
      </c>
      <c r="BK522" s="1243">
        <v>4.5</v>
      </c>
      <c r="BL522" s="1243">
        <v>4.58</v>
      </c>
      <c r="BM522" s="1243">
        <v>4.66</v>
      </c>
      <c r="BN522" s="1243">
        <v>4.74</v>
      </c>
    </row>
    <row r="523" spans="2:66" ht="15" customHeight="1">
      <c r="B523" s="1341">
        <v>33</v>
      </c>
      <c r="C523" s="1243">
        <v>2.0299999999999998</v>
      </c>
      <c r="D523" s="1243">
        <v>2.0499999999999998</v>
      </c>
      <c r="E523" s="1243">
        <v>2.1</v>
      </c>
      <c r="F523" s="1243">
        <v>2.17</v>
      </c>
      <c r="G523" s="1243">
        <v>2.25</v>
      </c>
      <c r="H523" s="1243">
        <v>2.44</v>
      </c>
      <c r="I523" s="1243">
        <v>2.5299999999999998</v>
      </c>
      <c r="J523" s="1243">
        <v>2.62</v>
      </c>
      <c r="K523" s="1243">
        <v>2.72</v>
      </c>
      <c r="L523" s="1243">
        <v>2.82</v>
      </c>
      <c r="M523" s="1243">
        <v>2.97</v>
      </c>
      <c r="N523" s="1243">
        <v>3.08</v>
      </c>
      <c r="O523" s="1243">
        <v>3.21</v>
      </c>
      <c r="P523" s="1243">
        <v>3.35</v>
      </c>
      <c r="Q523" s="1243">
        <v>3.49</v>
      </c>
      <c r="R523" s="1243">
        <v>3.63</v>
      </c>
      <c r="S523" s="1243">
        <v>3.77</v>
      </c>
      <c r="T523" s="1243">
        <v>3.92</v>
      </c>
      <c r="U523" s="1243">
        <v>4.08</v>
      </c>
      <c r="V523" s="1243">
        <v>4.2300000000000004</v>
      </c>
      <c r="W523" s="1243">
        <v>4.3899999999999997</v>
      </c>
      <c r="X523" s="1243">
        <v>4.55</v>
      </c>
      <c r="Y523" s="1243">
        <v>4.71</v>
      </c>
      <c r="Z523" s="1243">
        <v>4.8600000000000003</v>
      </c>
      <c r="AA523" s="1243">
        <v>5.0199999999999996</v>
      </c>
      <c r="AB523" s="1243">
        <v>5.18</v>
      </c>
      <c r="AC523" s="1243">
        <v>5.34</v>
      </c>
      <c r="AD523" s="1243">
        <v>5.49</v>
      </c>
      <c r="AE523" s="1243">
        <v>5.64</v>
      </c>
      <c r="AF523" s="1243">
        <v>5.79</v>
      </c>
      <c r="AG523" s="1243">
        <v>5.93</v>
      </c>
      <c r="AI523" s="1240">
        <v>33</v>
      </c>
      <c r="AJ523" s="1243">
        <v>2.41</v>
      </c>
      <c r="AK523" s="1243">
        <v>2.42</v>
      </c>
      <c r="AL523" s="1243">
        <v>2.46</v>
      </c>
      <c r="AM523" s="1243">
        <v>2.5099999999999998</v>
      </c>
      <c r="AN523" s="1243">
        <v>2.58</v>
      </c>
      <c r="AO523" s="1243">
        <v>2.74</v>
      </c>
      <c r="AP523" s="1243">
        <v>2.81</v>
      </c>
      <c r="AQ523" s="1243">
        <v>2.88</v>
      </c>
      <c r="AR523" s="1243">
        <v>2.95</v>
      </c>
      <c r="AS523" s="1243">
        <v>3.03</v>
      </c>
      <c r="AT523" s="1243">
        <v>3.16</v>
      </c>
      <c r="AU523" s="1243">
        <v>3.25</v>
      </c>
      <c r="AV523" s="1243">
        <v>3.34</v>
      </c>
      <c r="AW523" s="1243">
        <v>3.44</v>
      </c>
      <c r="AX523" s="1243">
        <v>3.53</v>
      </c>
      <c r="AY523" s="1243">
        <v>3.63</v>
      </c>
      <c r="AZ523" s="1243">
        <v>3.73</v>
      </c>
      <c r="BA523" s="1243">
        <v>3.82</v>
      </c>
      <c r="BB523" s="1243">
        <v>3.92</v>
      </c>
      <c r="BC523" s="1246">
        <v>11.02</v>
      </c>
      <c r="BD523" s="1243">
        <v>4.12</v>
      </c>
      <c r="BE523" s="1243">
        <v>4.21</v>
      </c>
      <c r="BF523" s="1243">
        <v>4.3099999999999996</v>
      </c>
      <c r="BG523" s="1243">
        <v>4.41</v>
      </c>
      <c r="BH523" s="1243">
        <v>4.51</v>
      </c>
      <c r="BI523" s="1243">
        <v>4.5999999999999996</v>
      </c>
      <c r="BJ523" s="1243">
        <v>4.7</v>
      </c>
      <c r="BK523" s="1243">
        <v>4.79</v>
      </c>
      <c r="BL523" s="1243">
        <v>4.88</v>
      </c>
      <c r="BM523" s="1243">
        <v>4.96</v>
      </c>
      <c r="BN523" s="1243">
        <v>5.04</v>
      </c>
    </row>
    <row r="524" spans="2:66" ht="15" customHeight="1">
      <c r="B524" s="1341">
        <v>34</v>
      </c>
      <c r="C524" s="1243">
        <v>2.2200000000000002</v>
      </c>
      <c r="D524" s="1243">
        <v>2.2599999999999998</v>
      </c>
      <c r="E524" s="1243">
        <v>2.3199999999999998</v>
      </c>
      <c r="F524" s="1243">
        <v>2.4</v>
      </c>
      <c r="G524" s="1243">
        <v>2.4900000000000002</v>
      </c>
      <c r="H524" s="1243">
        <v>2.68</v>
      </c>
      <c r="I524" s="1243">
        <v>1.78</v>
      </c>
      <c r="J524" s="1243">
        <v>2.88</v>
      </c>
      <c r="K524" s="1243">
        <v>2.98</v>
      </c>
      <c r="L524" s="1243">
        <v>3.09</v>
      </c>
      <c r="M524" s="1243">
        <v>3.26</v>
      </c>
      <c r="N524" s="1243">
        <v>3.39</v>
      </c>
      <c r="O524" s="1243">
        <v>3.53</v>
      </c>
      <c r="P524" s="1243">
        <v>3.68</v>
      </c>
      <c r="Q524" s="1243">
        <v>3.82</v>
      </c>
      <c r="R524" s="1243">
        <v>3.98</v>
      </c>
      <c r="S524" s="1243">
        <v>4.1399999999999997</v>
      </c>
      <c r="T524" s="1243">
        <v>4.3</v>
      </c>
      <c r="U524" s="1243">
        <v>4.46</v>
      </c>
      <c r="V524" s="1243">
        <v>4.62</v>
      </c>
      <c r="W524" s="1243">
        <v>4.79</v>
      </c>
      <c r="X524" s="1243">
        <v>4.95</v>
      </c>
      <c r="Y524" s="1243">
        <v>5.12</v>
      </c>
      <c r="Z524" s="1243">
        <v>5.29</v>
      </c>
      <c r="AA524" s="1243">
        <v>5.45</v>
      </c>
      <c r="AB524" s="1243">
        <v>5.62</v>
      </c>
      <c r="AC524" s="1243">
        <v>5.78</v>
      </c>
      <c r="AD524" s="1243">
        <v>5.94</v>
      </c>
      <c r="AE524" s="1243">
        <v>6.09</v>
      </c>
      <c r="AF524" s="1243">
        <v>6.24</v>
      </c>
      <c r="AG524" s="1243">
        <v>6.39</v>
      </c>
      <c r="AI524" s="1240">
        <v>34</v>
      </c>
      <c r="AJ524" s="1243">
        <v>2.6</v>
      </c>
      <c r="AK524" s="1243">
        <v>2.62</v>
      </c>
      <c r="AL524" s="1243">
        <v>2.66</v>
      </c>
      <c r="AM524" s="1243">
        <v>2.73</v>
      </c>
      <c r="AN524" s="1243">
        <v>2.78</v>
      </c>
      <c r="AO524" s="1243">
        <v>2.96</v>
      </c>
      <c r="AP524" s="1243">
        <v>3.03</v>
      </c>
      <c r="AQ524" s="1243">
        <v>3.1</v>
      </c>
      <c r="AR524" s="1243">
        <v>3.18</v>
      </c>
      <c r="AS524" s="1243">
        <v>3.27</v>
      </c>
      <c r="AT524" s="1243">
        <v>3.41</v>
      </c>
      <c r="AU524" s="1243">
        <v>3.5</v>
      </c>
      <c r="AV524" s="1243">
        <v>3.6</v>
      </c>
      <c r="AW524" s="1243">
        <v>3.7</v>
      </c>
      <c r="AX524" s="1243">
        <v>3.8</v>
      </c>
      <c r="AY524" s="1243">
        <v>3.9</v>
      </c>
      <c r="AZ524" s="1243">
        <v>4</v>
      </c>
      <c r="BA524" s="1243">
        <v>4.0999999999999996</v>
      </c>
      <c r="BB524" s="1243">
        <v>4.2</v>
      </c>
      <c r="BC524" s="1243">
        <v>4.3</v>
      </c>
      <c r="BD524" s="1243">
        <v>4.4000000000000004</v>
      </c>
      <c r="BE524" s="1243">
        <v>4.51</v>
      </c>
      <c r="BF524" s="1243">
        <v>4.6100000000000003</v>
      </c>
      <c r="BG524" s="1243">
        <v>4.71</v>
      </c>
      <c r="BH524" s="1243">
        <v>4.8099999999999996</v>
      </c>
      <c r="BI524" s="1243">
        <v>4.91</v>
      </c>
      <c r="BJ524" s="1243">
        <v>5</v>
      </c>
      <c r="BK524" s="1243">
        <v>5.09</v>
      </c>
      <c r="BL524" s="1243">
        <v>5.18</v>
      </c>
      <c r="BM524" s="1243">
        <v>5.26</v>
      </c>
      <c r="BN524" s="1243">
        <v>5.34</v>
      </c>
    </row>
    <row r="525" spans="2:66" ht="15" customHeight="1">
      <c r="B525" s="1341">
        <v>35</v>
      </c>
      <c r="C525" s="1246">
        <v>2.44</v>
      </c>
      <c r="D525" s="1246">
        <v>2.4900000000000002</v>
      </c>
      <c r="E525" s="1246">
        <v>2.56</v>
      </c>
      <c r="F525" s="1243">
        <v>2.65</v>
      </c>
      <c r="G525" s="1243">
        <v>2.74</v>
      </c>
      <c r="H525" s="1243">
        <v>2.95</v>
      </c>
      <c r="I525" s="1243">
        <v>3.05</v>
      </c>
      <c r="J525" s="1243">
        <v>3.15</v>
      </c>
      <c r="K525" s="1243">
        <v>3.26</v>
      </c>
      <c r="L525" s="1243">
        <v>3.39</v>
      </c>
      <c r="M525" s="1243">
        <v>3.58</v>
      </c>
      <c r="N525" s="1243">
        <v>3.73</v>
      </c>
      <c r="O525" s="1243">
        <v>3.88</v>
      </c>
      <c r="P525" s="1243">
        <v>4.03</v>
      </c>
      <c r="Q525" s="1243">
        <v>4.1900000000000004</v>
      </c>
      <c r="R525" s="1243">
        <v>4.3600000000000003</v>
      </c>
      <c r="S525" s="1243">
        <v>4.53</v>
      </c>
      <c r="T525" s="1243">
        <v>4.7</v>
      </c>
      <c r="U525" s="1243">
        <v>4.87</v>
      </c>
      <c r="V525" s="1243">
        <v>5.04</v>
      </c>
      <c r="W525" s="1243">
        <v>5.22</v>
      </c>
      <c r="X525" s="1243">
        <v>5.39</v>
      </c>
      <c r="Y525" s="1243">
        <v>5.57</v>
      </c>
      <c r="Z525" s="1243">
        <v>5.74</v>
      </c>
      <c r="AA525" s="1243">
        <v>5.91</v>
      </c>
      <c r="AB525" s="1243">
        <v>6.08</v>
      </c>
      <c r="AC525" s="1243">
        <v>6.25</v>
      </c>
      <c r="AD525" s="1243">
        <v>6.41</v>
      </c>
      <c r="AE525" s="1243">
        <v>6.57</v>
      </c>
      <c r="AF525" s="1243">
        <v>6.72</v>
      </c>
      <c r="AG525" s="1243">
        <v>6.87</v>
      </c>
      <c r="AI525" s="1240">
        <v>35</v>
      </c>
      <c r="AJ525" s="1243">
        <v>2.81</v>
      </c>
      <c r="AK525" s="1243">
        <v>2.83</v>
      </c>
      <c r="AL525" s="1243">
        <v>2.88</v>
      </c>
      <c r="AM525" s="1243">
        <v>2.93</v>
      </c>
      <c r="AN525" s="1243">
        <v>3</v>
      </c>
      <c r="AO525" s="1243">
        <v>3.19</v>
      </c>
      <c r="AP525" s="1243">
        <v>3.26</v>
      </c>
      <c r="AQ525" s="1243">
        <v>3.34</v>
      </c>
      <c r="AR525" s="1243">
        <v>3.42</v>
      </c>
      <c r="AS525" s="1243">
        <v>3.51</v>
      </c>
      <c r="AT525" s="1243">
        <v>3.67</v>
      </c>
      <c r="AU525" s="1243">
        <v>3.77</v>
      </c>
      <c r="AV525" s="1243">
        <v>3.87</v>
      </c>
      <c r="AW525" s="1243">
        <v>3.97</v>
      </c>
      <c r="AX525" s="1243">
        <v>4.08</v>
      </c>
      <c r="AY525" s="1243">
        <v>4.18</v>
      </c>
      <c r="AZ525" s="1243">
        <v>4.28</v>
      </c>
      <c r="BA525" s="1243">
        <v>4.3899999999999997</v>
      </c>
      <c r="BB525" s="1243">
        <v>4.5</v>
      </c>
      <c r="BC525" s="1243">
        <v>4.5999999999999996</v>
      </c>
      <c r="BD525" s="1243">
        <v>4.71</v>
      </c>
      <c r="BE525" s="1243">
        <v>4.8099999999999996</v>
      </c>
      <c r="BF525" s="1243" t="s">
        <v>836</v>
      </c>
      <c r="BG525" s="1243">
        <v>5.0199999999999996</v>
      </c>
      <c r="BH525" s="1243">
        <v>5.13</v>
      </c>
      <c r="BI525" s="1243">
        <v>5.22</v>
      </c>
      <c r="BJ525" s="1243">
        <v>5.32</v>
      </c>
      <c r="BK525" s="1243" t="s">
        <v>837</v>
      </c>
      <c r="BL525" s="1243">
        <v>5.49</v>
      </c>
      <c r="BM525" s="1243">
        <v>5.58</v>
      </c>
      <c r="BN525" s="1243">
        <v>5.66</v>
      </c>
    </row>
    <row r="526" spans="2:66" ht="15" customHeight="1">
      <c r="B526" s="1341">
        <v>36</v>
      </c>
      <c r="C526" s="1243">
        <v>2.7</v>
      </c>
      <c r="D526" s="1243">
        <v>2.75</v>
      </c>
      <c r="E526" s="1243">
        <v>2.83</v>
      </c>
      <c r="F526" s="1243">
        <v>2.92</v>
      </c>
      <c r="G526" s="1243">
        <v>3.02</v>
      </c>
      <c r="H526" s="1243">
        <v>3.24</v>
      </c>
      <c r="I526" s="1243">
        <v>3.34</v>
      </c>
      <c r="J526" s="1243">
        <v>3.45</v>
      </c>
      <c r="K526" s="1243">
        <v>3.58</v>
      </c>
      <c r="L526" s="1243">
        <v>3.72</v>
      </c>
      <c r="M526" s="1243">
        <v>3.94</v>
      </c>
      <c r="N526" s="1243">
        <v>4.0999999999999996</v>
      </c>
      <c r="O526" s="1243">
        <v>4.26</v>
      </c>
      <c r="P526" s="1243">
        <v>4.42</v>
      </c>
      <c r="Q526" s="1243">
        <v>4.5999999999999996</v>
      </c>
      <c r="R526" s="1243">
        <v>4.7699999999999996</v>
      </c>
      <c r="S526" s="1243">
        <v>4.95</v>
      </c>
      <c r="T526" s="1243">
        <v>5.13</v>
      </c>
      <c r="U526" s="1243">
        <v>5.31</v>
      </c>
      <c r="V526" s="1243">
        <v>5.5</v>
      </c>
      <c r="W526" s="1243">
        <v>5.68</v>
      </c>
      <c r="X526" s="1243">
        <v>5.86</v>
      </c>
      <c r="Y526" s="1243">
        <v>6.04</v>
      </c>
      <c r="Z526" s="1243">
        <v>6.22</v>
      </c>
      <c r="AA526" s="1243">
        <v>6.4</v>
      </c>
      <c r="AB526" s="1243">
        <v>6.58</v>
      </c>
      <c r="AC526" s="1243">
        <v>6.75</v>
      </c>
      <c r="AD526" s="1243">
        <v>6.92</v>
      </c>
      <c r="AE526" s="1243">
        <v>7.08</v>
      </c>
      <c r="AF526" s="1243">
        <v>7.23</v>
      </c>
      <c r="AG526" s="1243">
        <v>7.39</v>
      </c>
      <c r="AI526" s="1240">
        <v>36</v>
      </c>
      <c r="AJ526" s="1243">
        <v>3.03</v>
      </c>
      <c r="AK526" s="1243">
        <v>3.06</v>
      </c>
      <c r="AL526" s="1243">
        <v>3.1</v>
      </c>
      <c r="AM526" s="1243">
        <v>3.16</v>
      </c>
      <c r="AN526" s="1243">
        <v>3.22</v>
      </c>
      <c r="AO526" s="1243">
        <v>3.43</v>
      </c>
      <c r="AP526" s="1243">
        <v>3.5</v>
      </c>
      <c r="AQ526" s="1243">
        <v>3.59</v>
      </c>
      <c r="AR526" s="1243">
        <v>3.68</v>
      </c>
      <c r="AS526" s="1243">
        <v>3.78</v>
      </c>
      <c r="AT526" s="1243">
        <v>3.94</v>
      </c>
      <c r="AU526" s="1243">
        <v>4.04</v>
      </c>
      <c r="AV526" s="1243">
        <v>4.1500000000000004</v>
      </c>
      <c r="AW526" s="1243">
        <v>4.26</v>
      </c>
      <c r="AX526" s="1243">
        <v>4.37</v>
      </c>
      <c r="AY526" s="1243">
        <v>4.4800000000000004</v>
      </c>
      <c r="AZ526" s="1243">
        <v>4.59</v>
      </c>
      <c r="BA526" s="1243">
        <v>4.6900000000000004</v>
      </c>
      <c r="BB526" s="1243">
        <v>4.8</v>
      </c>
      <c r="BC526" s="1243">
        <v>4.91</v>
      </c>
      <c r="BD526" s="1243">
        <v>5.01</v>
      </c>
      <c r="BE526" s="1243">
        <v>5.13</v>
      </c>
      <c r="BF526" s="1243">
        <v>5.24</v>
      </c>
      <c r="BG526" s="1243">
        <v>5.35</v>
      </c>
      <c r="BH526" s="1243">
        <v>5.45</v>
      </c>
      <c r="BI526" s="1243">
        <v>5.55</v>
      </c>
      <c r="BJ526" s="1243">
        <v>5.64</v>
      </c>
      <c r="BK526" s="1243">
        <v>5.73</v>
      </c>
      <c r="BL526" s="1243">
        <v>5.82</v>
      </c>
      <c r="BM526" s="1243">
        <v>5.9</v>
      </c>
      <c r="BN526" s="1243">
        <v>6</v>
      </c>
    </row>
    <row r="527" spans="2:66" ht="15" customHeight="1">
      <c r="B527" s="1341">
        <v>37</v>
      </c>
      <c r="C527" s="1243">
        <v>2.98</v>
      </c>
      <c r="D527" s="1243">
        <v>3.05</v>
      </c>
      <c r="E527" s="1243">
        <v>3.12</v>
      </c>
      <c r="F527" s="1243">
        <v>3.21</v>
      </c>
      <c r="G527" s="1243">
        <v>3.31</v>
      </c>
      <c r="H527" s="1243">
        <v>3.55</v>
      </c>
      <c r="I527" s="1243">
        <v>3.66</v>
      </c>
      <c r="J527" s="1243">
        <v>3.79</v>
      </c>
      <c r="K527" s="1243">
        <v>3.94</v>
      </c>
      <c r="L527" s="1243">
        <v>4.0999999999999996</v>
      </c>
      <c r="M527" s="1243">
        <v>4.33</v>
      </c>
      <c r="N527" s="1243">
        <v>4.49</v>
      </c>
      <c r="O527" s="1243">
        <v>4.67</v>
      </c>
      <c r="P527" s="1243">
        <v>4.8499999999999996</v>
      </c>
      <c r="Q527" s="1243">
        <v>5.03</v>
      </c>
      <c r="R527" s="1243">
        <v>5.22</v>
      </c>
      <c r="S527" s="1243">
        <v>5.41</v>
      </c>
      <c r="T527" s="1243">
        <v>5.6</v>
      </c>
      <c r="U527" s="1243">
        <v>5.79</v>
      </c>
      <c r="V527" s="1243">
        <v>5.98</v>
      </c>
      <c r="W527" s="1243">
        <v>6.18</v>
      </c>
      <c r="X527" s="1243">
        <v>6.36</v>
      </c>
      <c r="Y527" s="1243">
        <v>6.55</v>
      </c>
      <c r="Z527" s="1243">
        <v>6.74</v>
      </c>
      <c r="AA527" s="1243">
        <v>6.92</v>
      </c>
      <c r="AB527" s="1243">
        <v>7.1</v>
      </c>
      <c r="AC527" s="1243">
        <v>7.28</v>
      </c>
      <c r="AD527" s="1243">
        <v>7.45</v>
      </c>
      <c r="AE527" s="1243">
        <v>7.61</v>
      </c>
      <c r="AF527" s="1243">
        <v>7.78</v>
      </c>
      <c r="AG527" s="1243">
        <v>7.94</v>
      </c>
      <c r="AI527" s="1240">
        <v>37</v>
      </c>
      <c r="AJ527" s="1243">
        <v>3.27</v>
      </c>
      <c r="AK527" s="1243">
        <v>3.29</v>
      </c>
      <c r="AL527" s="1243">
        <v>3.33</v>
      </c>
      <c r="AM527" s="1243">
        <v>3.39</v>
      </c>
      <c r="AN527" s="1243">
        <v>3.46</v>
      </c>
      <c r="AO527" s="1243" t="s">
        <v>838</v>
      </c>
      <c r="AP527" s="1243">
        <v>3.76</v>
      </c>
      <c r="AQ527" s="1243">
        <v>3.85</v>
      </c>
      <c r="AR527" s="1243">
        <v>3.95</v>
      </c>
      <c r="AS527" s="1243">
        <v>4.0599999999999996</v>
      </c>
      <c r="AT527" s="1243">
        <v>4.2300000000000004</v>
      </c>
      <c r="AU527" s="1243">
        <v>4.34</v>
      </c>
      <c r="AV527" s="1243">
        <v>4.45</v>
      </c>
      <c r="AW527" s="1243">
        <v>4.5599999999999996</v>
      </c>
      <c r="AX527" s="1243">
        <v>4.67</v>
      </c>
      <c r="AY527" s="1243">
        <v>4.79</v>
      </c>
      <c r="AZ527" s="1243">
        <v>4.9000000000000004</v>
      </c>
      <c r="BA527" s="1243">
        <v>5.01</v>
      </c>
      <c r="BB527" s="1243">
        <v>5.13</v>
      </c>
      <c r="BC527" s="1243">
        <v>5.24</v>
      </c>
      <c r="BD527" s="1243">
        <v>5.36</v>
      </c>
      <c r="BE527" s="1243">
        <v>5.47</v>
      </c>
      <c r="BF527" s="1243">
        <v>5.58</v>
      </c>
      <c r="BG527" s="1243">
        <v>5.69</v>
      </c>
      <c r="BH527" s="1243">
        <v>5.79</v>
      </c>
      <c r="BI527" s="1243">
        <v>5.89</v>
      </c>
      <c r="BJ527" s="1243">
        <v>5.98</v>
      </c>
      <c r="BK527" s="1243" t="s">
        <v>839</v>
      </c>
      <c r="BL527" s="1243">
        <v>6.16</v>
      </c>
      <c r="BM527" s="1243">
        <v>6.26</v>
      </c>
      <c r="BN527" s="1243">
        <v>6.35</v>
      </c>
    </row>
    <row r="528" spans="2:66" ht="15" customHeight="1">
      <c r="B528" s="1341">
        <v>38</v>
      </c>
      <c r="C528" s="1243">
        <v>3.3</v>
      </c>
      <c r="D528" s="1243">
        <v>3.35</v>
      </c>
      <c r="E528" s="1243">
        <v>3.43</v>
      </c>
      <c r="F528" s="1243">
        <v>3.52</v>
      </c>
      <c r="G528" s="1243">
        <v>3.63</v>
      </c>
      <c r="H528" s="1243">
        <v>3.88</v>
      </c>
      <c r="I528" s="1243">
        <v>4.01</v>
      </c>
      <c r="J528" s="1243">
        <v>4.16</v>
      </c>
      <c r="K528" s="1243">
        <v>4.33</v>
      </c>
      <c r="L528" s="1243">
        <v>4.5</v>
      </c>
      <c r="M528" s="1243">
        <v>4.74</v>
      </c>
      <c r="N528" s="1243">
        <v>4.93</v>
      </c>
      <c r="O528" s="1243">
        <v>5.1100000000000003</v>
      </c>
      <c r="P528" s="1243">
        <v>5.31</v>
      </c>
      <c r="Q528" s="1243">
        <v>5.5</v>
      </c>
      <c r="R528" s="1243">
        <v>5.7</v>
      </c>
      <c r="S528" s="1243">
        <v>5.9</v>
      </c>
      <c r="T528" s="1243">
        <v>6.1</v>
      </c>
      <c r="U528" s="1243">
        <v>6.3</v>
      </c>
      <c r="V528" s="1243">
        <v>6.5</v>
      </c>
      <c r="W528" s="1243">
        <v>6.7</v>
      </c>
      <c r="X528" s="1243">
        <v>6.9</v>
      </c>
      <c r="Y528" s="1243">
        <v>7.09</v>
      </c>
      <c r="Z528" s="1243">
        <v>7.29</v>
      </c>
      <c r="AA528" s="1243">
        <v>7.47</v>
      </c>
      <c r="AB528" s="1243">
        <v>7.66</v>
      </c>
      <c r="AC528" s="1243">
        <v>7.83</v>
      </c>
      <c r="AD528" s="1243">
        <v>8</v>
      </c>
      <c r="AE528" s="1243">
        <v>8.18</v>
      </c>
      <c r="AF528" s="1243">
        <v>8.35</v>
      </c>
      <c r="AG528" s="1243">
        <v>8.51</v>
      </c>
      <c r="AI528" s="1240">
        <v>38</v>
      </c>
      <c r="AJ528" s="1243">
        <v>3.5</v>
      </c>
      <c r="AK528" s="1243">
        <v>3.52</v>
      </c>
      <c r="AL528" s="1243">
        <v>3.57</v>
      </c>
      <c r="AM528" s="1243">
        <v>3.63</v>
      </c>
      <c r="AN528" s="1243">
        <v>3.71</v>
      </c>
      <c r="AO528" s="1243">
        <v>3.94</v>
      </c>
      <c r="AP528" s="1243">
        <v>4.03</v>
      </c>
      <c r="AQ528" s="1243">
        <v>4.13</v>
      </c>
      <c r="AR528" s="1243">
        <v>4.24</v>
      </c>
      <c r="AS528" s="1243">
        <v>4.3499999999999996</v>
      </c>
      <c r="AT528" s="1243">
        <v>4.53</v>
      </c>
      <c r="AU528" s="1243">
        <v>4.6500000000000004</v>
      </c>
      <c r="AV528" s="1243">
        <v>4.76</v>
      </c>
      <c r="AW528" s="1243">
        <v>4.88</v>
      </c>
      <c r="AX528" s="1243">
        <v>4.99</v>
      </c>
      <c r="AY528" s="1243">
        <v>5.1100000000000003</v>
      </c>
      <c r="AZ528" s="1243">
        <v>5.22</v>
      </c>
      <c r="BA528" s="1243">
        <v>5.34</v>
      </c>
      <c r="BB528" s="1243">
        <v>5.46</v>
      </c>
      <c r="BC528" s="1243">
        <v>5.58</v>
      </c>
      <c r="BD528" s="1243">
        <v>5.7</v>
      </c>
      <c r="BE528" s="1243">
        <v>5.82</v>
      </c>
      <c r="BF528" s="1243">
        <v>5.93</v>
      </c>
      <c r="BG528" s="1243">
        <v>6.03</v>
      </c>
      <c r="BH528" s="1243">
        <v>6.13</v>
      </c>
      <c r="BI528" s="1243">
        <v>6.23</v>
      </c>
      <c r="BJ528" s="1243">
        <v>6.33</v>
      </c>
      <c r="BK528" s="1243">
        <v>6.42</v>
      </c>
      <c r="BL528" s="1243">
        <v>6.52</v>
      </c>
      <c r="BM528" s="1243">
        <v>6.62</v>
      </c>
      <c r="BN528" s="1243">
        <v>6.72</v>
      </c>
    </row>
    <row r="529" spans="2:66" ht="15" customHeight="1">
      <c r="B529" s="1341">
        <v>39</v>
      </c>
      <c r="C529" s="1243">
        <v>3.61</v>
      </c>
      <c r="D529" s="1243">
        <v>3.66</v>
      </c>
      <c r="E529" s="1243">
        <v>3.74</v>
      </c>
      <c r="F529" s="1243">
        <v>3.85</v>
      </c>
      <c r="G529" s="1243">
        <v>3.96</v>
      </c>
      <c r="H529" s="1243">
        <v>4.25</v>
      </c>
      <c r="I529" s="1243">
        <v>4.4000000000000004</v>
      </c>
      <c r="J529" s="1246">
        <v>4.57</v>
      </c>
      <c r="K529" s="1243">
        <v>4.75</v>
      </c>
      <c r="L529" s="1243">
        <v>4.93</v>
      </c>
      <c r="M529" s="1243">
        <v>5.19</v>
      </c>
      <c r="N529" s="1243">
        <v>5.39</v>
      </c>
      <c r="O529" s="1243">
        <v>5.59</v>
      </c>
      <c r="P529" s="1243">
        <v>5.79</v>
      </c>
      <c r="Q529" s="1243">
        <v>6</v>
      </c>
      <c r="R529" s="1243">
        <v>6.11</v>
      </c>
      <c r="S529" s="1243">
        <v>6.42</v>
      </c>
      <c r="T529" s="1243">
        <v>6.63</v>
      </c>
      <c r="U529" s="1243">
        <v>6.84</v>
      </c>
      <c r="V529" s="1243">
        <v>7.05</v>
      </c>
      <c r="W529" s="1243">
        <v>7.25</v>
      </c>
      <c r="X529" s="1243">
        <v>7.46</v>
      </c>
      <c r="Y529" s="1243">
        <v>7.66</v>
      </c>
      <c r="Z529" s="1243">
        <v>7.86</v>
      </c>
      <c r="AA529" s="1243">
        <v>8.0500000000000007</v>
      </c>
      <c r="AB529" s="1243">
        <v>8.24</v>
      </c>
      <c r="AC529" s="1243">
        <v>8.41</v>
      </c>
      <c r="AD529" s="1243">
        <v>8.6</v>
      </c>
      <c r="AE529" s="1243">
        <v>8.7799999999999994</v>
      </c>
      <c r="AF529" s="1243">
        <v>8.9499999999999993</v>
      </c>
      <c r="AG529" s="1243">
        <v>9.1199999999999992</v>
      </c>
      <c r="AI529" s="1240">
        <v>39</v>
      </c>
      <c r="AJ529" s="1243">
        <v>3.74</v>
      </c>
      <c r="AK529" s="1243">
        <v>3.76</v>
      </c>
      <c r="AL529" s="1243">
        <v>3.81</v>
      </c>
      <c r="AM529" s="1243">
        <v>3.89</v>
      </c>
      <c r="AN529" s="1243">
        <v>3.97</v>
      </c>
      <c r="AO529" s="1243">
        <v>4.22</v>
      </c>
      <c r="AP529" s="1243">
        <v>4.32</v>
      </c>
      <c r="AQ529" s="1243">
        <v>4.43</v>
      </c>
      <c r="AR529" s="1243">
        <v>4.54</v>
      </c>
      <c r="AS529" s="1243">
        <v>4.66</v>
      </c>
      <c r="AT529" s="1243">
        <v>4.8499999999999996</v>
      </c>
      <c r="AU529" s="1243">
        <v>4.96</v>
      </c>
      <c r="AV529" s="1243">
        <v>5.08</v>
      </c>
      <c r="AW529" s="1243">
        <v>5.2</v>
      </c>
      <c r="AX529" s="1243">
        <v>5.32</v>
      </c>
      <c r="AY529" s="1243">
        <v>5.44</v>
      </c>
      <c r="AZ529" s="1243">
        <v>5.57</v>
      </c>
      <c r="BA529" s="1243">
        <v>5.69</v>
      </c>
      <c r="BB529" s="1243">
        <v>5.82</v>
      </c>
      <c r="BC529" s="1243">
        <v>5.94</v>
      </c>
      <c r="BD529" s="1243">
        <v>6.06</v>
      </c>
      <c r="BE529" s="1243">
        <v>6.17</v>
      </c>
      <c r="BF529" s="1243">
        <v>6.28</v>
      </c>
      <c r="BG529" s="1243">
        <v>6.39</v>
      </c>
      <c r="BH529" s="1243">
        <v>6.49</v>
      </c>
      <c r="BI529" s="1243">
        <v>6.59</v>
      </c>
      <c r="BJ529" s="1243">
        <v>6.68</v>
      </c>
      <c r="BK529" s="1243">
        <v>6.79</v>
      </c>
      <c r="BL529" s="1243">
        <v>6.89</v>
      </c>
      <c r="BM529" s="1243">
        <v>7</v>
      </c>
      <c r="BN529" s="1243">
        <v>7.1</v>
      </c>
    </row>
    <row r="530" spans="2:66" ht="15" customHeight="1">
      <c r="B530" s="1341">
        <v>40</v>
      </c>
      <c r="C530" s="1243">
        <v>3.92</v>
      </c>
      <c r="D530" s="1243">
        <v>3.98</v>
      </c>
      <c r="E530" s="1243">
        <v>4.07</v>
      </c>
      <c r="F530" s="1243">
        <v>4.18</v>
      </c>
      <c r="G530" s="1243">
        <v>4.3099999999999996</v>
      </c>
      <c r="H530" s="1243">
        <v>4.6500000000000004</v>
      </c>
      <c r="I530" s="1243">
        <v>4.82</v>
      </c>
      <c r="J530" s="1243">
        <v>5</v>
      </c>
      <c r="K530" s="1243">
        <v>5.19</v>
      </c>
      <c r="L530" s="1243">
        <v>5.39</v>
      </c>
      <c r="M530" s="1243">
        <v>5.68</v>
      </c>
      <c r="N530" s="1243">
        <v>5.88</v>
      </c>
      <c r="O530" s="1243">
        <v>6.09</v>
      </c>
      <c r="P530" s="1243">
        <v>6.31</v>
      </c>
      <c r="Q530" s="1243">
        <v>6.53</v>
      </c>
      <c r="R530" s="1243">
        <v>6.75</v>
      </c>
      <c r="S530" s="1243">
        <v>6.97</v>
      </c>
      <c r="T530" s="1243">
        <v>7.19</v>
      </c>
      <c r="U530" s="1243">
        <v>7.41</v>
      </c>
      <c r="V530" s="1243">
        <v>7.62</v>
      </c>
      <c r="W530" s="1243">
        <v>7.84</v>
      </c>
      <c r="X530" s="1243">
        <v>8.0500000000000007</v>
      </c>
      <c r="Y530" s="1243">
        <v>8.26</v>
      </c>
      <c r="Z530" s="1243">
        <v>8.4600000000000009</v>
      </c>
      <c r="AA530" s="1243">
        <v>8.65</v>
      </c>
      <c r="AB530" s="1243">
        <v>8.84</v>
      </c>
      <c r="AC530" s="1243">
        <v>9.0299999999999994</v>
      </c>
      <c r="AD530" s="1243">
        <v>9.2200000000000006</v>
      </c>
      <c r="AE530" s="1243">
        <v>9.4</v>
      </c>
      <c r="AF530" s="1243">
        <v>9.57</v>
      </c>
      <c r="AG530" s="1243">
        <v>9.74</v>
      </c>
      <c r="AI530" s="1282">
        <v>40</v>
      </c>
      <c r="AJ530" s="1243">
        <v>3.98</v>
      </c>
      <c r="AK530" s="1243">
        <v>4.01</v>
      </c>
      <c r="AL530" s="1243">
        <v>4.07</v>
      </c>
      <c r="AM530" s="1243">
        <v>4.1500000000000004</v>
      </c>
      <c r="AN530" s="1243">
        <v>4.24</v>
      </c>
      <c r="AO530" s="1243">
        <v>4.5199999999999996</v>
      </c>
      <c r="AP530" s="1243">
        <v>4.63</v>
      </c>
      <c r="AQ530" s="1243">
        <v>4.74</v>
      </c>
      <c r="AR530" s="1243">
        <v>4.8600000000000003</v>
      </c>
      <c r="AS530" s="1243">
        <v>4.9800000000000004</v>
      </c>
      <c r="AT530" s="1243">
        <v>5.17</v>
      </c>
      <c r="AU530" s="1243">
        <v>5.3</v>
      </c>
      <c r="AV530" s="1243">
        <v>5.42</v>
      </c>
      <c r="AW530" s="1243">
        <v>5.55</v>
      </c>
      <c r="AX530" s="1243">
        <v>5.67</v>
      </c>
      <c r="AY530" s="1243">
        <v>5.8</v>
      </c>
      <c r="AZ530" s="1243">
        <v>5.93</v>
      </c>
      <c r="BA530" s="1243">
        <v>6.06</v>
      </c>
      <c r="BB530" s="1243">
        <v>6.18</v>
      </c>
      <c r="BC530" s="1243">
        <v>6.31</v>
      </c>
      <c r="BD530" s="1243">
        <v>6.43</v>
      </c>
      <c r="BE530" s="1243">
        <v>6.54</v>
      </c>
      <c r="BF530" s="1243">
        <v>6.65</v>
      </c>
      <c r="BG530" s="1243">
        <v>6.75</v>
      </c>
      <c r="BH530" s="1243">
        <v>6.86</v>
      </c>
      <c r="BI530" s="1243">
        <v>6.95</v>
      </c>
      <c r="BJ530" s="1243">
        <v>7.07</v>
      </c>
      <c r="BK530" s="1243">
        <v>7.17</v>
      </c>
      <c r="BL530" s="1243">
        <v>7.28</v>
      </c>
      <c r="BM530" s="1243">
        <v>7.39</v>
      </c>
      <c r="BN530" s="1243">
        <v>7.49</v>
      </c>
    </row>
    <row r="531" spans="2:66" ht="15" customHeight="1">
      <c r="B531" s="1341">
        <v>41</v>
      </c>
      <c r="C531" s="1243">
        <v>4.24</v>
      </c>
      <c r="D531" s="1243">
        <v>4.3099999999999996</v>
      </c>
      <c r="E531" s="1243">
        <v>4.4000000000000004</v>
      </c>
      <c r="F531" s="1243">
        <v>4.54</v>
      </c>
      <c r="G531" s="1243">
        <v>4.7</v>
      </c>
      <c r="H531" s="1243">
        <v>5.08</v>
      </c>
      <c r="I531" s="1243">
        <v>5.26</v>
      </c>
      <c r="J531" s="1243">
        <v>5.46</v>
      </c>
      <c r="K531" s="1243">
        <v>5.66</v>
      </c>
      <c r="L531" s="1243">
        <v>5.87</v>
      </c>
      <c r="M531" s="1243">
        <v>6.18</v>
      </c>
      <c r="N531" s="1243">
        <v>6.4</v>
      </c>
      <c r="O531" s="1243">
        <v>6.63</v>
      </c>
      <c r="P531" s="1243">
        <v>6.85</v>
      </c>
      <c r="Q531" s="1243">
        <v>7.09</v>
      </c>
      <c r="R531" s="1243">
        <v>7.32</v>
      </c>
      <c r="S531" s="1243">
        <v>7.55</v>
      </c>
      <c r="T531" s="1243">
        <v>7.78</v>
      </c>
      <c r="U531" s="1243">
        <v>8</v>
      </c>
      <c r="V531" s="1246">
        <v>8.23</v>
      </c>
      <c r="W531" s="1243">
        <v>8.4499999999999993</v>
      </c>
      <c r="X531" s="1243">
        <v>8.67</v>
      </c>
      <c r="Y531" s="1243">
        <v>8.8800000000000008</v>
      </c>
      <c r="Z531" s="1243">
        <v>9.08</v>
      </c>
      <c r="AA531" s="1243">
        <v>9.2799999999999994</v>
      </c>
      <c r="AB531" s="1243">
        <v>9.1180000000000003</v>
      </c>
      <c r="AC531" s="1243">
        <v>9.67</v>
      </c>
      <c r="AD531" s="1243">
        <v>9.86</v>
      </c>
      <c r="AE531" s="1243">
        <v>10.050000000000001</v>
      </c>
      <c r="AF531" s="1243">
        <v>10.23</v>
      </c>
      <c r="AG531" s="1344"/>
      <c r="AI531" s="1240">
        <v>41</v>
      </c>
      <c r="AJ531" s="1243">
        <v>4.24</v>
      </c>
      <c r="AK531" s="1243">
        <v>4.28</v>
      </c>
      <c r="AL531" s="1243">
        <v>4.34</v>
      </c>
      <c r="AM531" s="1243">
        <v>4.43</v>
      </c>
      <c r="AN531" s="1243">
        <v>4.54</v>
      </c>
      <c r="AO531" s="1243">
        <v>4.83</v>
      </c>
      <c r="AP531" s="1243">
        <v>4.9400000000000004</v>
      </c>
      <c r="AQ531" s="1243">
        <v>5.0599999999999996</v>
      </c>
      <c r="AR531" s="1243">
        <v>5.19</v>
      </c>
      <c r="AS531" s="1243">
        <v>5.31</v>
      </c>
      <c r="AT531" s="1243">
        <v>5.52</v>
      </c>
      <c r="AU531" s="1243">
        <v>5.65</v>
      </c>
      <c r="AV531" s="1243">
        <v>5.77</v>
      </c>
      <c r="AW531" s="1243">
        <v>5.9</v>
      </c>
      <c r="AX531" s="1243">
        <v>6.03</v>
      </c>
      <c r="AY531" s="1243">
        <v>6.17</v>
      </c>
      <c r="AZ531" s="1243">
        <v>6.3</v>
      </c>
      <c r="BA531" s="1243">
        <v>6.43</v>
      </c>
      <c r="BB531" s="1243">
        <v>6.56</v>
      </c>
      <c r="BC531" s="1243">
        <v>6.69</v>
      </c>
      <c r="BD531" s="1243">
        <v>6.81</v>
      </c>
      <c r="BE531" s="1243">
        <v>6.92</v>
      </c>
      <c r="BF531" s="1243">
        <v>7.03</v>
      </c>
      <c r="BG531" s="1243">
        <v>7.13</v>
      </c>
      <c r="BH531" s="1243">
        <v>7.23</v>
      </c>
      <c r="BI531" s="1243">
        <v>7.35</v>
      </c>
      <c r="BJ531" s="1243">
        <v>7.46</v>
      </c>
      <c r="BK531" s="1243">
        <v>7.57</v>
      </c>
      <c r="BL531" s="1243">
        <v>7.68</v>
      </c>
      <c r="BM531" s="1243">
        <v>7.79</v>
      </c>
    </row>
    <row r="532" spans="2:66" ht="15" customHeight="1">
      <c r="B532" s="1341">
        <v>42</v>
      </c>
      <c r="C532" s="1243">
        <v>4.59</v>
      </c>
      <c r="D532" s="1243">
        <v>4.66</v>
      </c>
      <c r="E532" s="1243">
        <v>4.79</v>
      </c>
      <c r="F532" s="1243">
        <v>4.95</v>
      </c>
      <c r="G532" s="1243">
        <v>5.14</v>
      </c>
      <c r="H532" s="1243">
        <v>5.55</v>
      </c>
      <c r="I532" s="1243">
        <v>5.74</v>
      </c>
      <c r="J532" s="1243">
        <v>5.96</v>
      </c>
      <c r="K532" s="1243">
        <v>6.18</v>
      </c>
      <c r="L532" s="1243">
        <v>6.4</v>
      </c>
      <c r="M532" s="1243">
        <v>6.73</v>
      </c>
      <c r="N532" s="1243">
        <v>6.96</v>
      </c>
      <c r="O532" s="1243">
        <v>7.2</v>
      </c>
      <c r="P532" s="1243">
        <v>7.44</v>
      </c>
      <c r="Q532" s="1243">
        <v>7.69</v>
      </c>
      <c r="R532" s="1243">
        <v>7.93</v>
      </c>
      <c r="S532" s="1243">
        <v>8.17</v>
      </c>
      <c r="T532" s="1243">
        <v>8.4</v>
      </c>
      <c r="U532" s="1243">
        <v>8.64</v>
      </c>
      <c r="V532" s="1243">
        <v>8.8699999999999992</v>
      </c>
      <c r="W532" s="1243">
        <v>9.1</v>
      </c>
      <c r="X532" s="1243">
        <v>9.32</v>
      </c>
      <c r="Y532" s="1243">
        <v>9.5299999999999994</v>
      </c>
      <c r="Z532" s="1243">
        <v>9.73</v>
      </c>
      <c r="AA532" s="1243">
        <v>9.9499999999999993</v>
      </c>
      <c r="AB532" s="1243">
        <v>10.15</v>
      </c>
      <c r="AC532" s="1243">
        <v>10.35</v>
      </c>
      <c r="AD532" s="1243">
        <v>10.55</v>
      </c>
      <c r="AE532" s="1243">
        <v>10.73</v>
      </c>
      <c r="AF532" s="1344"/>
      <c r="AG532" s="1345"/>
      <c r="AI532" s="1240">
        <v>42</v>
      </c>
      <c r="AJ532" s="1243">
        <v>4.49</v>
      </c>
      <c r="AK532" s="1243">
        <v>4.53</v>
      </c>
      <c r="AL532" s="1246">
        <v>4.62</v>
      </c>
      <c r="AM532" s="1246">
        <v>4.72</v>
      </c>
      <c r="AN532" s="1243">
        <v>4.84</v>
      </c>
      <c r="AO532" s="1243">
        <v>5.15</v>
      </c>
      <c r="AP532" s="1243">
        <v>5.27</v>
      </c>
      <c r="AQ532" s="1243">
        <v>5.39</v>
      </c>
      <c r="AR532" s="1243">
        <v>5.52</v>
      </c>
      <c r="AS532" s="1243">
        <v>5.65</v>
      </c>
      <c r="AT532" s="1243">
        <v>5.87</v>
      </c>
      <c r="AU532" s="1243">
        <v>6</v>
      </c>
      <c r="AV532" s="1246">
        <v>6.13</v>
      </c>
      <c r="AW532" s="1243">
        <v>6.27</v>
      </c>
      <c r="AX532" s="1243">
        <v>6.41</v>
      </c>
      <c r="AY532" s="1243">
        <v>6.55</v>
      </c>
      <c r="AZ532" s="1243">
        <v>6.69</v>
      </c>
      <c r="BA532" s="1243">
        <v>6.82</v>
      </c>
      <c r="BB532" s="1243">
        <v>6.95</v>
      </c>
      <c r="BC532" s="1243">
        <v>7.07</v>
      </c>
      <c r="BD532" s="1243">
        <v>7.19</v>
      </c>
      <c r="BE532" s="1243">
        <v>7.3</v>
      </c>
      <c r="BF532" s="1243">
        <v>7.41</v>
      </c>
      <c r="BG532" s="1243">
        <v>7.51</v>
      </c>
      <c r="BH532" s="1243">
        <v>7.63</v>
      </c>
      <c r="BI532" s="1243">
        <v>7.75</v>
      </c>
      <c r="BJ532" s="1243">
        <v>7.87</v>
      </c>
      <c r="BK532" s="1243">
        <v>7.98</v>
      </c>
      <c r="BL532" s="1243">
        <v>8.09</v>
      </c>
      <c r="BM532" s="1344"/>
    </row>
    <row r="533" spans="2:66" ht="15" customHeight="1">
      <c r="B533" s="1341">
        <v>43</v>
      </c>
      <c r="C533" s="1243">
        <v>4.93</v>
      </c>
      <c r="D533" s="1243">
        <v>5.04</v>
      </c>
      <c r="E533" s="1243">
        <v>5.2</v>
      </c>
      <c r="F533" s="1243">
        <v>5.4</v>
      </c>
      <c r="G533" s="1243">
        <v>5.61</v>
      </c>
      <c r="H533" s="1243">
        <v>6.04</v>
      </c>
      <c r="I533" s="1243">
        <v>6.26</v>
      </c>
      <c r="J533" s="1243">
        <v>6.49</v>
      </c>
      <c r="K533" s="1243">
        <v>6.72</v>
      </c>
      <c r="L533" s="1243">
        <v>6.96</v>
      </c>
      <c r="M533" s="1243">
        <v>7.31</v>
      </c>
      <c r="N533" s="1243">
        <v>7.56</v>
      </c>
      <c r="O533" s="1243">
        <v>7.81</v>
      </c>
      <c r="P533" s="1243">
        <v>8.07</v>
      </c>
      <c r="Q533" s="1243">
        <v>8.32</v>
      </c>
      <c r="R533" s="1243">
        <v>8.57</v>
      </c>
      <c r="S533" s="1243">
        <v>8.81</v>
      </c>
      <c r="T533" s="1243">
        <v>9.06</v>
      </c>
      <c r="U533" s="1243">
        <v>9.3000000000000007</v>
      </c>
      <c r="V533" s="1243">
        <v>9.5399999999999991</v>
      </c>
      <c r="W533" s="1243">
        <v>9.77</v>
      </c>
      <c r="X533" s="1243">
        <v>9.99</v>
      </c>
      <c r="Y533" s="1243">
        <v>10.210000000000001</v>
      </c>
      <c r="Z533" s="1243">
        <v>10.43</v>
      </c>
      <c r="AA533" s="1243">
        <v>10.65</v>
      </c>
      <c r="AB533" s="1243">
        <v>10.85</v>
      </c>
      <c r="AC533" s="1243">
        <v>11.06</v>
      </c>
      <c r="AD533" s="1243">
        <v>11.15</v>
      </c>
      <c r="AE533" s="1344"/>
      <c r="AF533" s="1344"/>
      <c r="AG533" s="1345"/>
      <c r="AI533" s="1240">
        <v>43</v>
      </c>
      <c r="AJ533" s="1243">
        <v>4.78</v>
      </c>
      <c r="AK533" s="1243">
        <v>4.84</v>
      </c>
      <c r="AL533" s="1243">
        <v>4.9400000000000004</v>
      </c>
      <c r="AM533" s="1243">
        <v>5.05</v>
      </c>
      <c r="AN533" s="1243">
        <v>5.17</v>
      </c>
      <c r="AO533" s="1243">
        <v>5.5</v>
      </c>
      <c r="AP533" s="1243">
        <v>5.63</v>
      </c>
      <c r="AQ533" s="1243">
        <v>5.75</v>
      </c>
      <c r="AR533" s="1243">
        <v>5.89</v>
      </c>
      <c r="AS533" s="1243">
        <v>6.02</v>
      </c>
      <c r="AT533" s="1243">
        <v>6.25</v>
      </c>
      <c r="AU533" s="1243">
        <v>6.39</v>
      </c>
      <c r="AV533" s="1243">
        <v>6.53</v>
      </c>
      <c r="AW533" s="1243">
        <v>6.67</v>
      </c>
      <c r="AX533" s="1243">
        <v>6.81</v>
      </c>
      <c r="AY533" s="1243">
        <v>6.96</v>
      </c>
      <c r="AZ533" s="1243">
        <v>7.09</v>
      </c>
      <c r="BA533" s="1243">
        <v>7.23</v>
      </c>
      <c r="BB533" s="1243">
        <v>7.35</v>
      </c>
      <c r="BC533" s="1243">
        <v>7.47</v>
      </c>
      <c r="BD533" s="1243">
        <v>7.59</v>
      </c>
      <c r="BE533" s="1243">
        <v>7.7</v>
      </c>
      <c r="BF533" s="1243">
        <v>7.81</v>
      </c>
      <c r="BG533" s="1243">
        <v>7.94</v>
      </c>
      <c r="BH533" s="1243">
        <v>8.06</v>
      </c>
      <c r="BI533" s="1243">
        <v>8.18</v>
      </c>
      <c r="BJ533" s="1243">
        <v>8.3000000000000007</v>
      </c>
      <c r="BK533" s="1243">
        <v>8.42</v>
      </c>
      <c r="BL533" s="1344"/>
      <c r="BM533" s="1344"/>
    </row>
    <row r="534" spans="2:66" ht="15" customHeight="1">
      <c r="B534" s="1341">
        <v>44</v>
      </c>
      <c r="C534" s="1246">
        <v>5.34</v>
      </c>
      <c r="D534" s="1243">
        <v>5.49</v>
      </c>
      <c r="E534" s="1243">
        <v>5.69</v>
      </c>
      <c r="F534" s="1243">
        <v>5.9</v>
      </c>
      <c r="G534" s="1243">
        <v>6.11</v>
      </c>
      <c r="H534" s="1243">
        <v>6.59</v>
      </c>
      <c r="I534" s="1243">
        <v>6.83</v>
      </c>
      <c r="J534" s="1243">
        <v>7.07</v>
      </c>
      <c r="K534" s="1243">
        <v>7.32</v>
      </c>
      <c r="L534" s="1243">
        <v>7.57</v>
      </c>
      <c r="M534" s="1243">
        <v>7.95</v>
      </c>
      <c r="N534" s="1243">
        <v>8.2100000000000009</v>
      </c>
      <c r="O534" s="1243">
        <v>8.4700000000000006</v>
      </c>
      <c r="P534" s="1243">
        <v>8.73</v>
      </c>
      <c r="Q534" s="1243">
        <v>8.99</v>
      </c>
      <c r="R534" s="1243">
        <v>9.25</v>
      </c>
      <c r="S534" s="1243">
        <v>9.51</v>
      </c>
      <c r="T534" s="1243">
        <v>9.76</v>
      </c>
      <c r="U534" s="1243">
        <v>10.01</v>
      </c>
      <c r="V534" s="1243">
        <v>10.25</v>
      </c>
      <c r="W534" s="1243">
        <v>10.48</v>
      </c>
      <c r="X534" s="1243">
        <v>10.71</v>
      </c>
      <c r="Y534" s="1243">
        <v>10.94</v>
      </c>
      <c r="Z534" s="1243">
        <v>11.17</v>
      </c>
      <c r="AA534" s="1243">
        <v>11.39</v>
      </c>
      <c r="AB534" s="1243">
        <v>11.6</v>
      </c>
      <c r="AC534" s="1243">
        <v>11.8</v>
      </c>
      <c r="AD534" s="1344"/>
      <c r="AE534" s="1344"/>
      <c r="AF534" s="1344"/>
      <c r="AG534" s="1345"/>
      <c r="AI534" s="1240">
        <v>44</v>
      </c>
      <c r="AJ534" s="1243">
        <v>5.1100000000000003</v>
      </c>
      <c r="AK534" s="1243">
        <v>5.18</v>
      </c>
      <c r="AL534" s="1243">
        <v>5.29</v>
      </c>
      <c r="AM534" s="1243">
        <v>5.4</v>
      </c>
      <c r="AN534" s="1243">
        <v>5.53</v>
      </c>
      <c r="AO534" s="1243">
        <v>5.88</v>
      </c>
      <c r="AP534" s="1243">
        <v>6</v>
      </c>
      <c r="AQ534" s="1243">
        <v>6.14</v>
      </c>
      <c r="AR534" s="1243">
        <v>6.27</v>
      </c>
      <c r="AS534" s="1243">
        <v>6.41</v>
      </c>
      <c r="AT534" s="1243">
        <v>6.65</v>
      </c>
      <c r="AU534" s="1243">
        <v>6.79</v>
      </c>
      <c r="AV534" s="1243">
        <v>6.94</v>
      </c>
      <c r="AW534" s="1243">
        <v>7.09</v>
      </c>
      <c r="AX534" s="1243">
        <v>7.24</v>
      </c>
      <c r="AY534" s="1243">
        <v>7.38</v>
      </c>
      <c r="AZ534" s="1243">
        <v>7.52</v>
      </c>
      <c r="BA534" s="1243">
        <v>7.65</v>
      </c>
      <c r="BB534" s="1243">
        <v>7.77</v>
      </c>
      <c r="BC534" s="1243">
        <v>7.89</v>
      </c>
      <c r="BD534" s="1243">
        <v>8.01</v>
      </c>
      <c r="BE534" s="1243">
        <v>8.1199999999999992</v>
      </c>
      <c r="BF534" s="1243">
        <v>8.25</v>
      </c>
      <c r="BG534" s="1243">
        <v>8.3800000000000008</v>
      </c>
      <c r="BH534" s="1243">
        <v>8.51</v>
      </c>
      <c r="BI534" s="1243">
        <v>8.6300000000000008</v>
      </c>
      <c r="BJ534" s="1243">
        <v>8.75</v>
      </c>
      <c r="BK534" s="1344"/>
      <c r="BL534" s="1344"/>
      <c r="BM534" s="1344"/>
    </row>
    <row r="535" spans="2:66" ht="15" customHeight="1">
      <c r="B535" s="1341">
        <v>45</v>
      </c>
      <c r="C535" s="1243">
        <v>5.83</v>
      </c>
      <c r="D535" s="1243">
        <v>6.02</v>
      </c>
      <c r="E535" s="1243">
        <v>6.12</v>
      </c>
      <c r="F535" s="1243">
        <v>6.44</v>
      </c>
      <c r="G535" s="1243">
        <v>6.68</v>
      </c>
      <c r="H535" s="1243">
        <v>7.2</v>
      </c>
      <c r="I535" s="1243">
        <v>7.44</v>
      </c>
      <c r="J535" s="1243">
        <v>7.7</v>
      </c>
      <c r="K535" s="1243">
        <v>7.96</v>
      </c>
      <c r="L535" s="1243">
        <v>8.23</v>
      </c>
      <c r="M535" s="1243">
        <v>8.6300000000000008</v>
      </c>
      <c r="N535" s="1243">
        <v>8.9</v>
      </c>
      <c r="O535" s="1243">
        <v>9.18</v>
      </c>
      <c r="P535" s="1243">
        <v>9.4499999999999993</v>
      </c>
      <c r="Q535" s="1243">
        <v>9.7200000000000006</v>
      </c>
      <c r="R535" s="1243">
        <v>9.98</v>
      </c>
      <c r="S535" s="1243">
        <v>10.25</v>
      </c>
      <c r="T535" s="1243">
        <v>10.51</v>
      </c>
      <c r="U535" s="1243">
        <v>10.76</v>
      </c>
      <c r="V535" s="1243">
        <v>11</v>
      </c>
      <c r="W535" s="1243">
        <v>11.23</v>
      </c>
      <c r="X535" s="1243">
        <v>11.48</v>
      </c>
      <c r="Y535" s="1243">
        <v>11.72</v>
      </c>
      <c r="Z535" s="1243">
        <v>11.94</v>
      </c>
      <c r="AA535" s="1243">
        <v>12.17</v>
      </c>
      <c r="AB535" s="1243">
        <v>12.38</v>
      </c>
      <c r="AC535" s="1344"/>
      <c r="AD535" s="1344"/>
      <c r="AE535" s="1344"/>
      <c r="AF535" s="1344"/>
      <c r="AG535" s="1345"/>
      <c r="AI535" s="1240">
        <v>45</v>
      </c>
      <c r="AJ535" s="1243">
        <v>5.46</v>
      </c>
      <c r="AK535" s="1243">
        <v>5.54</v>
      </c>
      <c r="AL535" s="1243">
        <v>5.65</v>
      </c>
      <c r="AM535" s="1243">
        <v>5.77</v>
      </c>
      <c r="AN535" s="1243">
        <v>5.9</v>
      </c>
      <c r="AO535" s="1243">
        <v>6.27</v>
      </c>
      <c r="AP535" s="1243">
        <v>6.4</v>
      </c>
      <c r="AQ535" s="1243">
        <v>6.54</v>
      </c>
      <c r="AR535" s="1243">
        <v>6.67</v>
      </c>
      <c r="AS535" s="1243">
        <v>6.81</v>
      </c>
      <c r="AT535" s="1243">
        <v>7.07</v>
      </c>
      <c r="AU535" s="1243">
        <v>7.22</v>
      </c>
      <c r="AV535" s="1243">
        <v>7.37</v>
      </c>
      <c r="AW535" s="1243">
        <v>7.53</v>
      </c>
      <c r="AX535" s="1243">
        <v>7.67</v>
      </c>
      <c r="AY535" s="1243">
        <v>7.81</v>
      </c>
      <c r="AZ535" s="1243">
        <v>7.95</v>
      </c>
      <c r="BA535" s="1243">
        <v>8.08</v>
      </c>
      <c r="BB535" s="1243">
        <v>8.1999999999999993</v>
      </c>
      <c r="BC535" s="1243">
        <v>8.32</v>
      </c>
      <c r="BD535" s="1243">
        <v>8.44</v>
      </c>
      <c r="BE535" s="1243">
        <v>8.57</v>
      </c>
      <c r="BF535" s="1243">
        <v>8.6999999999999993</v>
      </c>
      <c r="BG535" s="1243">
        <v>8.84</v>
      </c>
      <c r="BH535" s="1243">
        <v>8.9600000000000009</v>
      </c>
      <c r="BI535" s="1243">
        <v>9.09</v>
      </c>
      <c r="BJ535" s="1344"/>
      <c r="BK535" s="1344"/>
      <c r="BL535" s="1344"/>
      <c r="BM535" s="1344"/>
    </row>
    <row r="536" spans="2:66" ht="15" customHeight="1">
      <c r="B536" s="1341">
        <v>46</v>
      </c>
      <c r="C536" s="1243">
        <v>6.39</v>
      </c>
      <c r="D536" s="1243">
        <v>6.59</v>
      </c>
      <c r="E536" s="1243">
        <v>6.8</v>
      </c>
      <c r="F536" s="1243">
        <v>7.04</v>
      </c>
      <c r="G536" s="1243">
        <v>7.3</v>
      </c>
      <c r="H536" s="1243">
        <v>7.85</v>
      </c>
      <c r="I536" s="1243">
        <v>8.11</v>
      </c>
      <c r="J536" s="1243">
        <v>8.3800000000000008</v>
      </c>
      <c r="K536" s="1243">
        <v>8.65</v>
      </c>
      <c r="L536" s="1243">
        <v>8.93</v>
      </c>
      <c r="M536" s="1243">
        <v>9.36</v>
      </c>
      <c r="N536" s="1243">
        <v>9.65</v>
      </c>
      <c r="O536" s="1243">
        <v>9.92</v>
      </c>
      <c r="P536" s="1243">
        <v>10.199999999999999</v>
      </c>
      <c r="Q536" s="1246">
        <v>10.48</v>
      </c>
      <c r="R536" s="1243">
        <v>10.76</v>
      </c>
      <c r="S536" s="1243">
        <v>11.03</v>
      </c>
      <c r="T536" s="1243">
        <v>11.29</v>
      </c>
      <c r="U536" s="1243">
        <v>11.54</v>
      </c>
      <c r="V536" s="1243">
        <v>11.79</v>
      </c>
      <c r="W536" s="1243">
        <v>12.04</v>
      </c>
      <c r="X536" s="1243">
        <v>12.29</v>
      </c>
      <c r="Y536" s="1243">
        <v>12.53</v>
      </c>
      <c r="Z536" s="1243">
        <v>12.76</v>
      </c>
      <c r="AA536" s="1243">
        <v>12.99</v>
      </c>
      <c r="AB536" s="1344"/>
      <c r="AC536" s="1344"/>
      <c r="AD536" s="1344"/>
      <c r="AE536" s="1344"/>
      <c r="AF536" s="1344"/>
      <c r="AG536" s="1345"/>
      <c r="AI536" s="1240">
        <v>46</v>
      </c>
      <c r="AJ536" s="1243">
        <v>5.83</v>
      </c>
      <c r="AK536" s="1243">
        <v>5.92</v>
      </c>
      <c r="AL536" s="1243">
        <v>6.03</v>
      </c>
      <c r="AM536" s="1243">
        <v>6.15</v>
      </c>
      <c r="AN536" s="1243">
        <v>6.28</v>
      </c>
      <c r="AO536" s="1243">
        <v>6.68</v>
      </c>
      <c r="AP536" s="1243">
        <v>6.81</v>
      </c>
      <c r="AQ536" s="1243">
        <v>6.95</v>
      </c>
      <c r="AR536" s="1243">
        <v>7.09</v>
      </c>
      <c r="AS536" s="1243">
        <v>7.24</v>
      </c>
      <c r="AT536" s="1243">
        <v>7.51</v>
      </c>
      <c r="AU536" s="1243">
        <v>7.67</v>
      </c>
      <c r="AV536" s="1243">
        <v>7.82</v>
      </c>
      <c r="AW536" s="1243">
        <v>7.98</v>
      </c>
      <c r="AX536" s="1243">
        <v>8.1199999999999992</v>
      </c>
      <c r="AY536" s="1243">
        <v>8.26</v>
      </c>
      <c r="AZ536" s="1243">
        <v>8.39</v>
      </c>
      <c r="BA536" s="1243">
        <v>8.51</v>
      </c>
      <c r="BB536" s="1243">
        <v>8.64</v>
      </c>
      <c r="BC536" s="1243">
        <v>8.76</v>
      </c>
      <c r="BD536" s="1243">
        <v>8.9</v>
      </c>
      <c r="BE536" s="1243">
        <v>9.0399999999999991</v>
      </c>
      <c r="BF536" s="1243">
        <v>9.17</v>
      </c>
      <c r="BG536" s="1243">
        <v>9.31</v>
      </c>
      <c r="BH536" s="1243">
        <v>9.44</v>
      </c>
      <c r="BI536" s="1344"/>
      <c r="BJ536" s="1344"/>
      <c r="BK536" s="1344"/>
      <c r="BL536" s="1344"/>
      <c r="BM536" s="1344"/>
    </row>
    <row r="537" spans="2:66" ht="15" customHeight="1">
      <c r="B537" s="1341">
        <v>47</v>
      </c>
      <c r="C537" s="1243">
        <v>7.01</v>
      </c>
      <c r="D537" s="1243">
        <v>7.2</v>
      </c>
      <c r="E537" s="1243">
        <v>7.44</v>
      </c>
      <c r="F537" s="1243">
        <v>7.7</v>
      </c>
      <c r="G537" s="1243">
        <v>7.96</v>
      </c>
      <c r="H537" s="1246">
        <v>8.56</v>
      </c>
      <c r="I537" s="1243">
        <v>8.83</v>
      </c>
      <c r="J537" s="1243">
        <v>9.11</v>
      </c>
      <c r="K537" s="1243">
        <v>9.4</v>
      </c>
      <c r="L537" s="1243">
        <v>9.69</v>
      </c>
      <c r="M537" s="1243">
        <v>10.14</v>
      </c>
      <c r="N537" s="1243">
        <v>10.43</v>
      </c>
      <c r="O537" s="1243">
        <v>10.72</v>
      </c>
      <c r="P537" s="1243">
        <v>11.01</v>
      </c>
      <c r="Q537" s="1243">
        <v>11.3</v>
      </c>
      <c r="R537" s="1243">
        <v>11.58</v>
      </c>
      <c r="S537" s="1243">
        <v>11.85</v>
      </c>
      <c r="T537" s="1243">
        <v>12.11</v>
      </c>
      <c r="U537" s="1243">
        <v>12.36</v>
      </c>
      <c r="V537" s="1243">
        <v>12.63</v>
      </c>
      <c r="W537" s="1243">
        <v>12.89</v>
      </c>
      <c r="X537" s="1243">
        <v>13.14</v>
      </c>
      <c r="Y537" s="1243">
        <v>13.38</v>
      </c>
      <c r="Z537" s="1243">
        <v>13.62</v>
      </c>
      <c r="AA537" s="1344"/>
      <c r="AB537" s="1344"/>
      <c r="AC537" s="1344"/>
      <c r="AD537" s="1344"/>
      <c r="AE537" s="1344"/>
      <c r="AF537" s="1344"/>
      <c r="AG537" s="1345"/>
      <c r="AI537" s="1240">
        <v>47</v>
      </c>
      <c r="AJ537" s="1243">
        <v>6.23</v>
      </c>
      <c r="AK537" s="1243">
        <v>6.32</v>
      </c>
      <c r="AL537" s="1243">
        <v>6.43</v>
      </c>
      <c r="AM537" s="1243">
        <v>6.55</v>
      </c>
      <c r="AN537" s="1243">
        <v>6.69</v>
      </c>
      <c r="AO537" s="1243">
        <v>7.1</v>
      </c>
      <c r="AP537" s="1243">
        <v>7.24</v>
      </c>
      <c r="AQ537" s="1243">
        <v>7.38</v>
      </c>
      <c r="AR537" s="1243">
        <v>7.53</v>
      </c>
      <c r="AS537" s="1243">
        <v>7.69</v>
      </c>
      <c r="AT537" s="1243">
        <v>7.97</v>
      </c>
      <c r="AU537" s="1243">
        <v>8.14</v>
      </c>
      <c r="AV537" s="1243">
        <v>8.2899999999999991</v>
      </c>
      <c r="AW537" s="1243">
        <v>8.44</v>
      </c>
      <c r="AX537" s="1243">
        <v>8.58</v>
      </c>
      <c r="AY537" s="1243">
        <v>8.7100000000000009</v>
      </c>
      <c r="AZ537" s="1243">
        <v>8.84</v>
      </c>
      <c r="BA537" s="1243">
        <v>8.9700000000000006</v>
      </c>
      <c r="BB537" s="1243">
        <v>9.09</v>
      </c>
      <c r="BC537" s="1243">
        <v>9.24</v>
      </c>
      <c r="BD537" s="1243">
        <v>9.3800000000000008</v>
      </c>
      <c r="BE537" s="1243">
        <v>9.52</v>
      </c>
      <c r="BF537" s="1243">
        <v>9.66</v>
      </c>
      <c r="BG537" s="1243">
        <v>9.7899999999999991</v>
      </c>
      <c r="BH537" s="1344"/>
      <c r="BI537" s="1344"/>
      <c r="BJ537" s="1344"/>
      <c r="BK537" s="1344"/>
      <c r="BL537" s="1344"/>
      <c r="BM537" s="1344"/>
    </row>
    <row r="538" spans="2:66" ht="15" customHeight="1">
      <c r="B538" s="1341">
        <v>48</v>
      </c>
      <c r="C538" s="1243">
        <v>7.68</v>
      </c>
      <c r="D538" s="1243">
        <v>7.9</v>
      </c>
      <c r="E538" s="1243">
        <v>8.15</v>
      </c>
      <c r="F538" s="1243">
        <v>8.41</v>
      </c>
      <c r="G538" s="1243">
        <v>8.69</v>
      </c>
      <c r="H538" s="1243">
        <v>9.32</v>
      </c>
      <c r="I538" s="1243">
        <v>9.61</v>
      </c>
      <c r="J538" s="1243">
        <v>9.9</v>
      </c>
      <c r="K538" s="1243">
        <v>10.210000000000001</v>
      </c>
      <c r="L538" s="1243">
        <v>10.51</v>
      </c>
      <c r="M538" s="1243">
        <v>10.98</v>
      </c>
      <c r="N538" s="1243">
        <v>11.27</v>
      </c>
      <c r="O538" s="1243">
        <v>11.57</v>
      </c>
      <c r="P538" s="1243">
        <v>11.87</v>
      </c>
      <c r="Q538" s="1243">
        <v>12.16</v>
      </c>
      <c r="R538" s="1243">
        <v>12.44</v>
      </c>
      <c r="S538" s="1243">
        <v>12.71</v>
      </c>
      <c r="T538" s="1243">
        <v>12.98</v>
      </c>
      <c r="U538" s="1243">
        <v>13.26</v>
      </c>
      <c r="V538" s="1243">
        <v>13.52</v>
      </c>
      <c r="W538" s="1243">
        <v>13.78</v>
      </c>
      <c r="X538" s="1243">
        <v>14.04</v>
      </c>
      <c r="Y538" s="1243">
        <v>14.28</v>
      </c>
      <c r="Z538" s="1344"/>
      <c r="AA538" s="1344"/>
      <c r="AB538" s="1344"/>
      <c r="AC538" s="1344"/>
      <c r="AD538" s="1344"/>
      <c r="AE538" s="1344"/>
      <c r="AF538" s="1344"/>
      <c r="AG538" s="1345"/>
      <c r="AI538" s="1240">
        <v>48</v>
      </c>
      <c r="AJ538" s="1243">
        <v>6.65</v>
      </c>
      <c r="AK538" s="1243">
        <v>6.74</v>
      </c>
      <c r="AL538" s="1243">
        <v>6.84</v>
      </c>
      <c r="AM538" s="1243">
        <v>6.98</v>
      </c>
      <c r="AN538" s="1243">
        <v>7.12</v>
      </c>
      <c r="AO538" s="1243">
        <v>7.55</v>
      </c>
      <c r="AP538" s="1243">
        <v>7.68</v>
      </c>
      <c r="AQ538" s="1243">
        <v>7.84</v>
      </c>
      <c r="AR538" s="1243">
        <v>8</v>
      </c>
      <c r="AS538" s="1243">
        <v>8.16</v>
      </c>
      <c r="AT538" s="1243">
        <v>8.4600000000000009</v>
      </c>
      <c r="AU538" s="1243">
        <v>8.6199999999999992</v>
      </c>
      <c r="AV538" s="1243">
        <v>8.76</v>
      </c>
      <c r="AW538" s="1243">
        <v>8.91</v>
      </c>
      <c r="AX538" s="1243">
        <v>9.0500000000000007</v>
      </c>
      <c r="AY538" s="1243">
        <v>9.18</v>
      </c>
      <c r="AZ538" s="1243">
        <v>9.31</v>
      </c>
      <c r="BA538" s="1243">
        <v>9.43</v>
      </c>
      <c r="BB538" s="1243">
        <v>9.58</v>
      </c>
      <c r="BC538" s="1243">
        <v>9.73</v>
      </c>
      <c r="BD538" s="1243">
        <v>9.8800000000000008</v>
      </c>
      <c r="BE538" s="1243">
        <v>10.02</v>
      </c>
      <c r="BF538" s="1243">
        <v>10.16</v>
      </c>
      <c r="BG538" s="1344"/>
      <c r="BH538" s="1344"/>
      <c r="BI538" s="1344"/>
      <c r="BJ538" s="1344"/>
      <c r="BK538" s="1344"/>
      <c r="BL538" s="1344"/>
      <c r="BM538" s="1344"/>
    </row>
    <row r="539" spans="2:66" ht="15" customHeight="1">
      <c r="B539" s="1341">
        <v>49</v>
      </c>
      <c r="C539" s="1246">
        <v>8.4</v>
      </c>
      <c r="D539" s="1243">
        <v>8.6199999999999992</v>
      </c>
      <c r="E539" s="1243">
        <v>8.8800000000000008</v>
      </c>
      <c r="F539" s="1243">
        <v>9.15</v>
      </c>
      <c r="G539" s="1243">
        <v>9.44</v>
      </c>
      <c r="H539" s="1243">
        <v>10.119999999999999</v>
      </c>
      <c r="I539" s="1243">
        <v>10.42</v>
      </c>
      <c r="J539" s="1243">
        <v>10.73</v>
      </c>
      <c r="K539" s="1243">
        <v>11.04</v>
      </c>
      <c r="L539" s="1243">
        <v>11.35</v>
      </c>
      <c r="M539" s="1243">
        <v>11.84</v>
      </c>
      <c r="N539" s="1243">
        <v>12.15</v>
      </c>
      <c r="O539" s="1243">
        <v>12.45</v>
      </c>
      <c r="P539" s="1243">
        <v>12.75</v>
      </c>
      <c r="Q539" s="1243">
        <v>13.04</v>
      </c>
      <c r="R539" s="1243">
        <v>13.33</v>
      </c>
      <c r="S539" s="1243">
        <v>13.6</v>
      </c>
      <c r="T539" s="1243">
        <v>13.89</v>
      </c>
      <c r="U539" s="1243">
        <v>14.17</v>
      </c>
      <c r="V539" s="1243">
        <v>14.44</v>
      </c>
      <c r="W539" s="1243">
        <v>14.71</v>
      </c>
      <c r="X539" s="1243">
        <v>14.96</v>
      </c>
      <c r="Y539" s="1344"/>
      <c r="Z539" s="1344"/>
      <c r="AA539" s="1344"/>
      <c r="AB539" s="1344"/>
      <c r="AC539" s="1344"/>
      <c r="AD539" s="1344"/>
      <c r="AE539" s="1344"/>
      <c r="AF539" s="1344"/>
      <c r="AG539" s="1345"/>
      <c r="AI539" s="1240">
        <v>49</v>
      </c>
      <c r="AJ539" s="1243">
        <v>7.07</v>
      </c>
      <c r="AK539" s="1243">
        <v>7.15</v>
      </c>
      <c r="AL539" s="1243">
        <v>7.27</v>
      </c>
      <c r="AM539" s="1243">
        <v>7.41</v>
      </c>
      <c r="AN539" s="1243">
        <v>7.55</v>
      </c>
      <c r="AO539" s="1243">
        <v>8</v>
      </c>
      <c r="AP539" s="1243">
        <v>8.15</v>
      </c>
      <c r="AQ539" s="1243">
        <v>8.31</v>
      </c>
      <c r="AR539" s="1243">
        <v>8.48</v>
      </c>
      <c r="AS539" s="1243">
        <v>8.65</v>
      </c>
      <c r="AT539" s="1243">
        <v>8.9499999999999993</v>
      </c>
      <c r="AU539" s="1243">
        <v>9.1</v>
      </c>
      <c r="AV539" s="1243">
        <v>9.24</v>
      </c>
      <c r="AW539" s="1243">
        <v>9.3800000000000008</v>
      </c>
      <c r="AX539" s="1243">
        <v>9.52</v>
      </c>
      <c r="AY539" s="1243">
        <v>9.65</v>
      </c>
      <c r="AZ539" s="1243">
        <v>9.7799999999999994</v>
      </c>
      <c r="BA539" s="1243">
        <v>9.93</v>
      </c>
      <c r="BB539" s="1243">
        <v>10.09</v>
      </c>
      <c r="BC539" s="1243">
        <v>10.24</v>
      </c>
      <c r="BD539" s="1243">
        <v>10.39</v>
      </c>
      <c r="BE539" s="1243">
        <v>10.53</v>
      </c>
      <c r="BF539" s="1344"/>
      <c r="BG539" s="1344"/>
      <c r="BH539" s="1344"/>
      <c r="BI539" s="1344"/>
      <c r="BJ539" s="1344"/>
      <c r="BK539" s="1344"/>
      <c r="BL539" s="1344"/>
      <c r="BM539" s="1344"/>
    </row>
    <row r="540" spans="2:66" ht="15" customHeight="1">
      <c r="B540" s="1341">
        <v>50</v>
      </c>
      <c r="C540" s="1243">
        <v>9.1300000000000008</v>
      </c>
      <c r="D540" s="1243">
        <v>9.36</v>
      </c>
      <c r="E540" s="1243">
        <v>9.6300000000000008</v>
      </c>
      <c r="F540" s="1243">
        <v>9.92</v>
      </c>
      <c r="G540" s="1243">
        <v>10.23</v>
      </c>
      <c r="H540" s="1243">
        <v>10.96</v>
      </c>
      <c r="I540" s="1243">
        <v>11.27</v>
      </c>
      <c r="J540" s="1243">
        <v>11.59</v>
      </c>
      <c r="K540" s="1243">
        <v>11.9</v>
      </c>
      <c r="L540" s="1243">
        <v>12.22</v>
      </c>
      <c r="M540" s="1243">
        <v>12.74</v>
      </c>
      <c r="N540" s="1243">
        <v>13.05</v>
      </c>
      <c r="O540" s="1243">
        <v>13.36</v>
      </c>
      <c r="P540" s="1243">
        <v>13.66</v>
      </c>
      <c r="Q540" s="1243">
        <v>13.95</v>
      </c>
      <c r="R540" s="1243">
        <v>14.24</v>
      </c>
      <c r="S540" s="1243">
        <v>14.54</v>
      </c>
      <c r="T540" s="1243">
        <v>14.83</v>
      </c>
      <c r="U540" s="1243">
        <v>15.12</v>
      </c>
      <c r="V540" s="1243">
        <v>15.39</v>
      </c>
      <c r="W540" s="1243">
        <v>15.66</v>
      </c>
      <c r="X540" s="1344"/>
      <c r="Y540" s="1344"/>
      <c r="Z540" s="1344"/>
      <c r="AA540" s="1344"/>
      <c r="AB540" s="1344"/>
      <c r="AC540" s="1344"/>
      <c r="AD540" s="1344"/>
      <c r="AE540" s="1344"/>
      <c r="AF540" s="1344"/>
      <c r="AG540" s="1345"/>
      <c r="AI540" s="1240">
        <v>50</v>
      </c>
      <c r="AJ540" s="1243">
        <v>7.49</v>
      </c>
      <c r="AK540" s="1243">
        <v>7.59</v>
      </c>
      <c r="AL540" s="1243">
        <v>7.71</v>
      </c>
      <c r="AM540" s="1243">
        <v>7.84</v>
      </c>
      <c r="AN540" s="1243">
        <v>7.99</v>
      </c>
      <c r="AO540" s="1243">
        <v>8.4700000000000006</v>
      </c>
      <c r="AP540" s="1243">
        <v>8.6300000000000008</v>
      </c>
      <c r="AQ540" s="1243">
        <v>8.8000000000000007</v>
      </c>
      <c r="AR540" s="1243">
        <v>8.9700000000000006</v>
      </c>
      <c r="AS540" s="1243">
        <v>9.1300000000000008</v>
      </c>
      <c r="AT540" s="1243">
        <v>9.44</v>
      </c>
      <c r="AU540" s="1243">
        <v>9.58</v>
      </c>
      <c r="AV540" s="1243">
        <v>9.73</v>
      </c>
      <c r="AW540" s="1243">
        <v>9.86</v>
      </c>
      <c r="AX540" s="1243">
        <v>9.99</v>
      </c>
      <c r="AY540" s="1243" t="s">
        <v>840</v>
      </c>
      <c r="AZ540" s="1243">
        <v>10.29</v>
      </c>
      <c r="BA540" s="1243">
        <v>10.44</v>
      </c>
      <c r="BB540" s="1243">
        <v>10.6</v>
      </c>
      <c r="BC540" s="1243">
        <v>10.76</v>
      </c>
      <c r="BD540" s="1243">
        <v>10.91</v>
      </c>
      <c r="BE540" s="1344"/>
      <c r="BF540" s="1344"/>
      <c r="BG540" s="1344"/>
      <c r="BH540" s="1344"/>
      <c r="BI540" s="1344"/>
      <c r="BJ540" s="1344"/>
      <c r="BK540" s="1344"/>
      <c r="BL540" s="1344"/>
      <c r="BM540" s="1344"/>
    </row>
    <row r="541" spans="2:66" ht="15" customHeight="1">
      <c r="B541" s="1341">
        <v>51</v>
      </c>
      <c r="C541" s="1243">
        <v>9.8699999999999992</v>
      </c>
      <c r="D541" s="1243">
        <v>10.119999999999999</v>
      </c>
      <c r="E541" s="1243">
        <v>10.4</v>
      </c>
      <c r="F541" s="1243">
        <v>10.71</v>
      </c>
      <c r="G541" s="1243">
        <v>11.04</v>
      </c>
      <c r="H541" s="1243">
        <v>11.82</v>
      </c>
      <c r="I541" s="1243">
        <v>12.14</v>
      </c>
      <c r="J541" s="1243">
        <v>12.46</v>
      </c>
      <c r="K541" s="1243">
        <v>12.79</v>
      </c>
      <c r="L541" s="1243">
        <v>13.12</v>
      </c>
      <c r="M541" s="1243">
        <v>13.66</v>
      </c>
      <c r="N541" s="1243">
        <v>13.98</v>
      </c>
      <c r="O541" s="1243">
        <v>14.29</v>
      </c>
      <c r="P541" s="1243">
        <v>14.59</v>
      </c>
      <c r="Q541" s="1243">
        <v>14.88</v>
      </c>
      <c r="R541" s="1243">
        <v>15.2</v>
      </c>
      <c r="S541" s="1243">
        <v>15.5</v>
      </c>
      <c r="T541" s="1243">
        <v>15.8</v>
      </c>
      <c r="U541" s="1243">
        <v>16.09</v>
      </c>
      <c r="V541" s="1243">
        <v>16.37</v>
      </c>
      <c r="W541" s="1344"/>
      <c r="X541" s="1344"/>
      <c r="Y541" s="1344"/>
      <c r="Z541" s="1344"/>
      <c r="AA541" s="1344"/>
      <c r="AB541" s="1344"/>
      <c r="AC541" s="1344"/>
      <c r="AD541" s="1344"/>
      <c r="AE541" s="1344"/>
      <c r="AF541" s="1344"/>
      <c r="AG541" s="1345"/>
      <c r="AI541" s="1240">
        <v>51</v>
      </c>
      <c r="AJ541" s="1243">
        <v>7.92</v>
      </c>
      <c r="AK541" s="1243">
        <v>8.02</v>
      </c>
      <c r="AL541" s="1243">
        <v>8.14</v>
      </c>
      <c r="AM541" s="1243">
        <v>8.2799999999999994</v>
      </c>
      <c r="AN541" s="1243">
        <v>8.4499999999999993</v>
      </c>
      <c r="AO541" s="1243">
        <v>8.9600000000000009</v>
      </c>
      <c r="AP541" s="1243">
        <v>9.1199999999999992</v>
      </c>
      <c r="AQ541" s="1243">
        <v>9.3000000000000007</v>
      </c>
      <c r="AR541" s="1243">
        <v>9.4600000000000009</v>
      </c>
      <c r="AS541" s="1243">
        <v>9.6199999999999992</v>
      </c>
      <c r="AT541" s="1243">
        <v>9.93</v>
      </c>
      <c r="AU541" s="1243">
        <v>10.07</v>
      </c>
      <c r="AV541" s="1243">
        <v>10.199999999999999</v>
      </c>
      <c r="AW541" s="1243">
        <v>10.34</v>
      </c>
      <c r="AX541" s="1243">
        <v>10.47</v>
      </c>
      <c r="AY541" s="1243">
        <v>10.64</v>
      </c>
      <c r="AZ541" s="1243">
        <v>10.8</v>
      </c>
      <c r="BA541" s="1243">
        <v>10.97</v>
      </c>
      <c r="BB541" s="1243">
        <v>11.13</v>
      </c>
      <c r="BC541" s="1243">
        <v>11.29</v>
      </c>
      <c r="BD541" s="1344"/>
      <c r="BE541" s="1344"/>
      <c r="BF541" s="1344"/>
      <c r="BG541" s="1344"/>
      <c r="BH541" s="1344"/>
      <c r="BI541" s="1344"/>
      <c r="BJ541" s="1344"/>
      <c r="BK541" s="1344"/>
      <c r="BL541" s="1344"/>
      <c r="BM541" s="1344"/>
    </row>
    <row r="542" spans="2:66" ht="15" customHeight="1">
      <c r="B542" s="1341">
        <v>52</v>
      </c>
      <c r="C542" s="1243">
        <v>10.68</v>
      </c>
      <c r="D542" s="1243">
        <v>10.93</v>
      </c>
      <c r="E542" s="1243">
        <v>11.24</v>
      </c>
      <c r="F542" s="1243">
        <v>11.57</v>
      </c>
      <c r="G542" s="1243">
        <v>11.91</v>
      </c>
      <c r="H542" s="1243">
        <v>12.73</v>
      </c>
      <c r="I542" s="1243">
        <v>13.06</v>
      </c>
      <c r="J542" s="1243">
        <v>13.39</v>
      </c>
      <c r="K542" s="1243">
        <v>13.72</v>
      </c>
      <c r="L542" s="1243">
        <v>14.06</v>
      </c>
      <c r="M542" s="1243">
        <v>14.62</v>
      </c>
      <c r="N542" s="1243">
        <v>14.94</v>
      </c>
      <c r="O542" s="1243">
        <v>15.25</v>
      </c>
      <c r="P542" s="1243">
        <v>15.55</v>
      </c>
      <c r="Q542" s="1243">
        <v>15.88</v>
      </c>
      <c r="R542" s="1243">
        <v>16.2</v>
      </c>
      <c r="S542" s="1243">
        <v>16.5</v>
      </c>
      <c r="T542" s="1243">
        <v>16.809999999999999</v>
      </c>
      <c r="U542" s="1243">
        <v>17.100000000000001</v>
      </c>
      <c r="V542" s="1344"/>
      <c r="W542" s="1344"/>
      <c r="X542" s="1344"/>
      <c r="Y542" s="1344"/>
      <c r="Z542" s="1344"/>
      <c r="AA542" s="1344"/>
      <c r="AB542" s="1344"/>
      <c r="AC542" s="1344"/>
      <c r="AD542" s="1344"/>
      <c r="AE542" s="1344"/>
      <c r="AF542" s="1344"/>
      <c r="AG542" s="1345"/>
      <c r="AI542" s="1240">
        <v>52</v>
      </c>
      <c r="AJ542" s="1243">
        <v>8.3800000000000008</v>
      </c>
      <c r="AK542" s="1243">
        <v>8.4700000000000006</v>
      </c>
      <c r="AL542" s="1243">
        <v>8.6</v>
      </c>
      <c r="AM542" s="1243">
        <v>8.76</v>
      </c>
      <c r="AN542" s="1243">
        <v>8.93</v>
      </c>
      <c r="AO542" s="1243">
        <v>9.4700000000000006</v>
      </c>
      <c r="AP542" s="1243">
        <v>9.64</v>
      </c>
      <c r="AQ542" s="1243">
        <v>9.81</v>
      </c>
      <c r="AR542" s="1243">
        <v>9.9600000000000009</v>
      </c>
      <c r="AS542" s="1243">
        <v>10.119999999999999</v>
      </c>
      <c r="AT542" s="1243">
        <v>10.43</v>
      </c>
      <c r="AU542" s="1243">
        <v>10.56</v>
      </c>
      <c r="AV542" s="1243">
        <v>10.7</v>
      </c>
      <c r="AW542" s="1243">
        <v>10.83</v>
      </c>
      <c r="AX542" s="1243">
        <v>11</v>
      </c>
      <c r="AY542" s="1243">
        <v>11.17</v>
      </c>
      <c r="AZ542" s="1243">
        <v>11.34</v>
      </c>
      <c r="BA542" s="1243">
        <v>11.51</v>
      </c>
      <c r="BB542" s="1243">
        <v>11.67</v>
      </c>
      <c r="BC542" s="1344"/>
      <c r="BD542" s="1344"/>
      <c r="BE542" s="1344"/>
      <c r="BF542" s="1344"/>
      <c r="BG542" s="1344"/>
      <c r="BH542" s="1344"/>
      <c r="BI542" s="1344"/>
      <c r="BJ542" s="1344"/>
      <c r="BK542" s="1344"/>
      <c r="BL542" s="1344"/>
      <c r="BM542" s="1344"/>
    </row>
    <row r="543" spans="2:66" ht="15" customHeight="1">
      <c r="B543" s="1341">
        <v>53</v>
      </c>
      <c r="C543" s="1243">
        <v>11.53</v>
      </c>
      <c r="D543" s="1243">
        <v>11.81</v>
      </c>
      <c r="E543" s="1243">
        <v>12.13</v>
      </c>
      <c r="F543" s="1243">
        <v>12.47</v>
      </c>
      <c r="G543" s="1243">
        <v>11.83</v>
      </c>
      <c r="H543" s="1243">
        <v>13.69</v>
      </c>
      <c r="I543" s="1243">
        <v>14.02</v>
      </c>
      <c r="J543" s="1243">
        <v>14.36</v>
      </c>
      <c r="K543" s="1243">
        <v>14.71</v>
      </c>
      <c r="L543" s="1243">
        <v>15.05</v>
      </c>
      <c r="M543" s="1243">
        <v>15.63</v>
      </c>
      <c r="N543" s="1243">
        <v>15.94</v>
      </c>
      <c r="O543" s="1243">
        <v>16.25</v>
      </c>
      <c r="P543" s="1243">
        <v>16.59</v>
      </c>
      <c r="Q543" s="1243">
        <v>16.920000000000002</v>
      </c>
      <c r="R543" s="1243">
        <v>17.239999999999998</v>
      </c>
      <c r="S543" s="1243">
        <v>17.55</v>
      </c>
      <c r="T543" s="1243">
        <v>17.850000000000001</v>
      </c>
      <c r="U543" s="1344"/>
      <c r="V543" s="1344"/>
      <c r="W543" s="1344"/>
      <c r="X543" s="1344"/>
      <c r="Y543" s="1344"/>
      <c r="Z543" s="1344"/>
      <c r="AA543" s="1344"/>
      <c r="AB543" s="1344"/>
      <c r="AC543" s="1344"/>
      <c r="AD543" s="1344"/>
      <c r="AE543" s="1344"/>
      <c r="AF543" s="1344"/>
      <c r="AG543" s="1345"/>
      <c r="AI543" s="1240">
        <v>53</v>
      </c>
      <c r="AJ543" s="1243">
        <v>8.83</v>
      </c>
      <c r="AK543" s="1243">
        <v>8.93</v>
      </c>
      <c r="AL543" s="1243">
        <v>9.08</v>
      </c>
      <c r="AM543" s="1243">
        <v>9.25</v>
      </c>
      <c r="AN543" s="1243">
        <v>9.44</v>
      </c>
      <c r="AO543" s="1243">
        <v>10</v>
      </c>
      <c r="AP543" s="1243">
        <v>10.16</v>
      </c>
      <c r="AQ543" s="1243">
        <v>10.32</v>
      </c>
      <c r="AR543" s="1243">
        <v>10.47</v>
      </c>
      <c r="AS543" s="1243">
        <v>10.62</v>
      </c>
      <c r="AT543" s="1243">
        <v>10.92</v>
      </c>
      <c r="AU543" s="1243">
        <v>11.06</v>
      </c>
      <c r="AV543" s="1243">
        <v>11.19</v>
      </c>
      <c r="AW543" s="1243">
        <v>11.37</v>
      </c>
      <c r="AX543" s="1243">
        <v>11.55</v>
      </c>
      <c r="AY543" s="1243" t="s">
        <v>841</v>
      </c>
      <c r="AZ543" s="1243">
        <v>11.9</v>
      </c>
      <c r="BA543" s="1243">
        <v>12.06</v>
      </c>
      <c r="BB543" s="1344"/>
      <c r="BC543" s="1344"/>
      <c r="BD543" s="1344"/>
      <c r="BE543" s="1344"/>
      <c r="BF543" s="1344"/>
      <c r="BG543" s="1344"/>
      <c r="BH543" s="1344"/>
      <c r="BI543" s="1344"/>
      <c r="BJ543" s="1344"/>
      <c r="BK543" s="1344"/>
      <c r="BL543" s="1344"/>
      <c r="BM543" s="1344"/>
    </row>
    <row r="544" spans="2:66" ht="15" customHeight="1">
      <c r="B544" s="1343">
        <v>54</v>
      </c>
      <c r="C544" s="1246">
        <v>12.42</v>
      </c>
      <c r="D544" s="1243">
        <v>12.72</v>
      </c>
      <c r="E544" s="1243">
        <v>13.05</v>
      </c>
      <c r="F544" s="1243">
        <v>13.4</v>
      </c>
      <c r="G544" s="1243">
        <v>13.75</v>
      </c>
      <c r="H544" s="1243">
        <v>14.67</v>
      </c>
      <c r="I544" s="1243">
        <v>15.01</v>
      </c>
      <c r="J544" s="1243">
        <v>15.37</v>
      </c>
      <c r="K544" s="1243">
        <v>15.71</v>
      </c>
      <c r="L544" s="1243">
        <v>16.05</v>
      </c>
      <c r="M544" s="1243">
        <v>16.649999999999999</v>
      </c>
      <c r="N544" s="1243">
        <v>16.96</v>
      </c>
      <c r="O544" s="1243">
        <v>17.309999999999999</v>
      </c>
      <c r="P544" s="1243">
        <v>17.649999999999999</v>
      </c>
      <c r="Q544" s="1243">
        <v>17.98</v>
      </c>
      <c r="R544" s="1243">
        <v>18.309999999999999</v>
      </c>
      <c r="S544" s="1243">
        <v>18.62</v>
      </c>
      <c r="T544" s="1344"/>
      <c r="U544" s="1344"/>
      <c r="V544" s="1344"/>
      <c r="W544" s="1344"/>
      <c r="X544" s="1344"/>
      <c r="Y544" s="1344"/>
      <c r="Z544" s="1344"/>
      <c r="AA544" s="1344"/>
      <c r="AB544" s="1344"/>
      <c r="AC544" s="1344"/>
      <c r="AD544" s="1344"/>
      <c r="AE544" s="1344"/>
      <c r="AF544" s="1344"/>
      <c r="AG544" s="1345"/>
      <c r="AI544" s="1240">
        <v>54</v>
      </c>
      <c r="AJ544" s="1243">
        <v>9.3000000000000007</v>
      </c>
      <c r="AK544" s="1243">
        <v>9.42</v>
      </c>
      <c r="AL544" s="1243">
        <v>9.59</v>
      </c>
      <c r="AM544" s="1243">
        <v>9.77</v>
      </c>
      <c r="AN544" s="1243">
        <v>9.9600000000000009</v>
      </c>
      <c r="AO544" s="1243">
        <v>10.53</v>
      </c>
      <c r="AP544" s="1243">
        <v>10.68</v>
      </c>
      <c r="AQ544" s="1243">
        <v>10.83</v>
      </c>
      <c r="AR544" s="1243">
        <v>10.98</v>
      </c>
      <c r="AS544" s="1243">
        <v>11.11</v>
      </c>
      <c r="AT544" s="1243">
        <v>11.43</v>
      </c>
      <c r="AU544" s="1243">
        <v>11.56</v>
      </c>
      <c r="AV544" s="1243">
        <v>11.75</v>
      </c>
      <c r="AW544" s="1243">
        <v>11.93</v>
      </c>
      <c r="AX544" s="1243">
        <v>12.11</v>
      </c>
      <c r="AY544" s="1243">
        <v>12.29</v>
      </c>
      <c r="AZ544" s="1243">
        <v>12.46</v>
      </c>
      <c r="BA544" s="1344"/>
      <c r="BB544" s="1344"/>
      <c r="BC544" s="1344"/>
      <c r="BD544" s="1344"/>
      <c r="BE544" s="1344"/>
      <c r="BF544" s="1344"/>
      <c r="BG544" s="1344"/>
      <c r="BH544" s="1344"/>
      <c r="BI544" s="1344"/>
      <c r="BJ544" s="1344"/>
      <c r="BK544" s="1344"/>
      <c r="BL544" s="1344"/>
      <c r="BM544" s="1344"/>
    </row>
    <row r="545" spans="1:65" ht="15" customHeight="1">
      <c r="B545" s="1341">
        <v>55</v>
      </c>
      <c r="C545" s="1243">
        <v>13.35</v>
      </c>
      <c r="D545" s="1243">
        <v>13.67</v>
      </c>
      <c r="E545" s="1243">
        <v>14.01</v>
      </c>
      <c r="F545" s="1243">
        <v>14.36</v>
      </c>
      <c r="G545" s="1243">
        <v>14.72</v>
      </c>
      <c r="H545" s="1243">
        <v>15.69</v>
      </c>
      <c r="I545" s="1243">
        <v>16.05</v>
      </c>
      <c r="J545" s="1243">
        <v>16.399999999999999</v>
      </c>
      <c r="K545" s="1243">
        <v>16.739999999999998</v>
      </c>
      <c r="L545" s="1243">
        <v>17.079999999999998</v>
      </c>
      <c r="M545" s="1243">
        <v>17.690000000000001</v>
      </c>
      <c r="N545" s="1243">
        <v>18.05</v>
      </c>
      <c r="O545" s="1243">
        <v>18.399999999999999</v>
      </c>
      <c r="P545" s="1243">
        <v>18.739999999999998</v>
      </c>
      <c r="Q545" s="1243">
        <v>19.079999999999998</v>
      </c>
      <c r="R545" s="1243">
        <v>19.41</v>
      </c>
      <c r="S545" s="1344"/>
      <c r="T545" s="1344"/>
      <c r="U545" s="1344"/>
      <c r="V545" s="1344"/>
      <c r="W545" s="1344"/>
      <c r="X545" s="1344"/>
      <c r="Y545" s="1344"/>
      <c r="Z545" s="1344"/>
      <c r="AA545" s="1344"/>
      <c r="AB545" s="1344"/>
      <c r="AC545" s="1344"/>
      <c r="AD545" s="1344"/>
      <c r="AE545" s="1344"/>
      <c r="AF545" s="1344"/>
      <c r="AG545" s="1345"/>
      <c r="AI545" s="1240">
        <v>55</v>
      </c>
      <c r="AJ545" s="1243">
        <v>9.82</v>
      </c>
      <c r="AK545" s="1243">
        <v>9.9600000000000009</v>
      </c>
      <c r="AL545" s="1243">
        <v>10.130000000000001</v>
      </c>
      <c r="AM545" s="1243">
        <v>10.31</v>
      </c>
      <c r="AN545" s="1243">
        <v>10.49</v>
      </c>
      <c r="AO545" s="1243">
        <v>11.07</v>
      </c>
      <c r="AP545" s="1243">
        <v>11.22</v>
      </c>
      <c r="AQ545" s="1243">
        <v>11.35</v>
      </c>
      <c r="AR545" s="1243">
        <v>11.49</v>
      </c>
      <c r="AS545" s="1243">
        <v>11.62</v>
      </c>
      <c r="AT545" s="1243">
        <v>11.95</v>
      </c>
      <c r="AU545" s="1243">
        <v>12.13</v>
      </c>
      <c r="AV545" s="1243">
        <v>12.32</v>
      </c>
      <c r="AW545" s="1243">
        <v>12.51</v>
      </c>
      <c r="AX545" s="1243">
        <v>12.69</v>
      </c>
      <c r="AY545" s="1243">
        <v>12.87</v>
      </c>
      <c r="AZ545" s="1344"/>
      <c r="BA545" s="1344"/>
      <c r="BB545" s="1344"/>
      <c r="BC545" s="1344"/>
      <c r="BD545" s="1344"/>
      <c r="BE545" s="1344"/>
      <c r="BF545" s="1344"/>
      <c r="BG545" s="1344"/>
      <c r="BH545" s="1344"/>
      <c r="BI545" s="1344"/>
      <c r="BJ545" s="1344"/>
      <c r="BK545" s="1344"/>
      <c r="BL545" s="1344"/>
      <c r="BM545" s="1344"/>
    </row>
    <row r="546" spans="1:65" ht="15" customHeight="1">
      <c r="B546" s="1341">
        <v>56</v>
      </c>
      <c r="C546" s="1243">
        <v>14.34</v>
      </c>
      <c r="D546" s="1243">
        <v>14.66</v>
      </c>
      <c r="E546" s="1243">
        <v>15</v>
      </c>
      <c r="F546" s="1243">
        <v>15.36</v>
      </c>
      <c r="G546" s="1243">
        <v>15.74</v>
      </c>
      <c r="H546" s="1243">
        <v>16.77</v>
      </c>
      <c r="I546" s="1243">
        <v>17.12</v>
      </c>
      <c r="J546" s="1243">
        <v>17.46</v>
      </c>
      <c r="K546" s="1243">
        <v>17.8</v>
      </c>
      <c r="L546" s="1243">
        <v>18.14</v>
      </c>
      <c r="M546" s="1243">
        <v>18.82</v>
      </c>
      <c r="N546" s="1243">
        <v>19.18</v>
      </c>
      <c r="O546" s="1243">
        <v>19.53</v>
      </c>
      <c r="P546" s="1243">
        <v>19.88</v>
      </c>
      <c r="Q546" s="1243">
        <v>20.22</v>
      </c>
      <c r="R546" s="1344"/>
      <c r="S546" s="1344"/>
      <c r="T546" s="1344"/>
      <c r="U546" s="1344"/>
      <c r="V546" s="1344"/>
      <c r="W546" s="1344"/>
      <c r="X546" s="1344"/>
      <c r="Y546" s="1344"/>
      <c r="Z546" s="1344"/>
      <c r="AA546" s="1344"/>
      <c r="AB546" s="1344"/>
      <c r="AC546" s="1344"/>
      <c r="AD546" s="1344"/>
      <c r="AE546" s="1344"/>
      <c r="AF546" s="1344"/>
      <c r="AG546" s="1345"/>
      <c r="AI546" s="1240">
        <v>56</v>
      </c>
      <c r="AJ546" s="1243">
        <v>10.36</v>
      </c>
      <c r="AK546" s="1243">
        <v>10.5</v>
      </c>
      <c r="AL546" s="1243">
        <v>10.68</v>
      </c>
      <c r="AM546" s="1243">
        <v>10.85</v>
      </c>
      <c r="AN546" s="1243">
        <v>11.01</v>
      </c>
      <c r="AO546" s="1243">
        <v>11.61</v>
      </c>
      <c r="AP546" s="1243">
        <v>11.74</v>
      </c>
      <c r="AQ546" s="1243">
        <v>11.86</v>
      </c>
      <c r="AR546" s="1243">
        <v>12</v>
      </c>
      <c r="AS546" s="1243">
        <v>12.13</v>
      </c>
      <c r="AT546" s="1243">
        <v>12.52</v>
      </c>
      <c r="AU546" s="1243">
        <v>12.71</v>
      </c>
      <c r="AV546" s="1243">
        <v>12.9</v>
      </c>
      <c r="AW546" s="1243">
        <v>13.09</v>
      </c>
      <c r="AX546" s="1243">
        <v>13.28</v>
      </c>
      <c r="AY546" s="1344"/>
      <c r="AZ546" s="1344"/>
      <c r="BA546" s="1344"/>
      <c r="BB546" s="1344"/>
      <c r="BC546" s="1344"/>
      <c r="BD546" s="1344"/>
      <c r="BE546" s="1344"/>
      <c r="BF546" s="1344"/>
      <c r="BG546" s="1344"/>
      <c r="BH546" s="1344"/>
      <c r="BI546" s="1344"/>
      <c r="BJ546" s="1344"/>
      <c r="BK546" s="1344"/>
      <c r="BL546" s="1344"/>
      <c r="BM546" s="1344"/>
    </row>
    <row r="547" spans="1:65" ht="15" customHeight="1">
      <c r="B547" s="1341">
        <v>57</v>
      </c>
      <c r="C547" s="1243">
        <v>15.37</v>
      </c>
      <c r="D547" s="1243">
        <v>15.67</v>
      </c>
      <c r="E547" s="1243">
        <v>16.02</v>
      </c>
      <c r="F547" s="1243">
        <v>16.39</v>
      </c>
      <c r="G547" s="1243">
        <v>16.79</v>
      </c>
      <c r="H547" s="1243">
        <v>17.86</v>
      </c>
      <c r="I547" s="1243">
        <v>18.2</v>
      </c>
      <c r="J547" s="1243">
        <v>18.55</v>
      </c>
      <c r="K547" s="1243">
        <v>18.88</v>
      </c>
      <c r="L547" s="1243">
        <v>19.27</v>
      </c>
      <c r="M547" s="1243">
        <v>19.97</v>
      </c>
      <c r="N547" s="1243">
        <v>20.329999999999998</v>
      </c>
      <c r="O547" s="1243">
        <v>20.7</v>
      </c>
      <c r="P547" s="1243">
        <v>21.05</v>
      </c>
      <c r="Q547" s="1344"/>
      <c r="R547" s="1344"/>
      <c r="S547" s="1344"/>
      <c r="T547" s="1344"/>
      <c r="U547" s="1344"/>
      <c r="V547" s="1344"/>
      <c r="W547" s="1344"/>
      <c r="X547" s="1344"/>
      <c r="Y547" s="1344"/>
      <c r="Z547" s="1344"/>
      <c r="AA547" s="1344"/>
      <c r="AB547" s="1344"/>
      <c r="AC547" s="1344"/>
      <c r="AD547" s="1344"/>
      <c r="AE547" s="1344"/>
      <c r="AF547" s="1344"/>
      <c r="AG547" s="1345"/>
      <c r="AI547" s="1240">
        <v>57</v>
      </c>
      <c r="AJ547" s="1243">
        <v>10.92</v>
      </c>
      <c r="AK547" s="1243">
        <v>11.07</v>
      </c>
      <c r="AL547" s="1243">
        <v>11.23</v>
      </c>
      <c r="AM547" s="1243">
        <v>11.38</v>
      </c>
      <c r="AN547" s="1243">
        <v>11.53</v>
      </c>
      <c r="AO547" s="1243">
        <v>12.13</v>
      </c>
      <c r="AP547" s="1243">
        <v>12.25</v>
      </c>
      <c r="AQ547" s="1243">
        <v>12.38</v>
      </c>
      <c r="AR547" s="1243">
        <v>12.51</v>
      </c>
      <c r="AS547" s="1243">
        <v>12.71</v>
      </c>
      <c r="AT547" s="1243">
        <v>13.11</v>
      </c>
      <c r="AU547" s="1243">
        <v>13.31</v>
      </c>
      <c r="AV547" s="1243">
        <v>13.5</v>
      </c>
      <c r="AW547" s="1243">
        <v>13.69</v>
      </c>
      <c r="AX547" s="1344"/>
      <c r="AY547" s="1344"/>
      <c r="AZ547" s="1344"/>
      <c r="BA547" s="1344"/>
      <c r="BB547" s="1344"/>
      <c r="BC547" s="1344"/>
      <c r="BD547" s="1344"/>
      <c r="BE547" s="1344"/>
      <c r="BF547" s="1344"/>
      <c r="BG547" s="1344"/>
      <c r="BH547" s="1344"/>
      <c r="BI547" s="1344"/>
      <c r="BJ547" s="1344"/>
      <c r="BK547" s="1344"/>
      <c r="BL547" s="1344"/>
      <c r="BM547" s="1344"/>
    </row>
    <row r="548" spans="1:65" ht="15" customHeight="1">
      <c r="B548" s="1341">
        <v>58</v>
      </c>
      <c r="C548" s="1243">
        <v>16.420000000000002</v>
      </c>
      <c r="D548" s="1243">
        <v>16.73</v>
      </c>
      <c r="E548" s="1243">
        <v>17.09</v>
      </c>
      <c r="F548" s="1243">
        <v>17.489999999999998</v>
      </c>
      <c r="G548" s="1243">
        <v>17.87</v>
      </c>
      <c r="H548" s="1243">
        <v>18.98</v>
      </c>
      <c r="I548" s="1243">
        <v>19.32</v>
      </c>
      <c r="J548" s="1243">
        <v>19.66</v>
      </c>
      <c r="K548" s="1243">
        <v>20.059999999999999</v>
      </c>
      <c r="L548" s="1243">
        <v>20.440000000000001</v>
      </c>
      <c r="M548" s="1243">
        <v>21.16</v>
      </c>
      <c r="N548" s="1243">
        <v>21.54</v>
      </c>
      <c r="O548" s="1243">
        <v>21.9</v>
      </c>
      <c r="P548" s="1344"/>
      <c r="Q548" s="1344"/>
      <c r="R548" s="1344"/>
      <c r="S548" s="1344"/>
      <c r="T548" s="1344"/>
      <c r="U548" s="1344"/>
      <c r="V548" s="1344"/>
      <c r="W548" s="1344"/>
      <c r="X548" s="1344"/>
      <c r="Y548" s="1344"/>
      <c r="Z548" s="1344"/>
      <c r="AA548" s="1344"/>
      <c r="AB548" s="1344"/>
      <c r="AC548" s="1344"/>
      <c r="AD548" s="1344"/>
      <c r="AE548" s="1344"/>
      <c r="AF548" s="1344"/>
      <c r="AG548" s="1345"/>
      <c r="AI548" s="1240">
        <v>58</v>
      </c>
      <c r="AJ548" s="1243">
        <v>11.53</v>
      </c>
      <c r="AK548" s="1243">
        <v>11.65</v>
      </c>
      <c r="AL548" s="1243">
        <v>11.78</v>
      </c>
      <c r="AM548" s="1243">
        <v>11.92</v>
      </c>
      <c r="AN548" s="1243">
        <v>12.05</v>
      </c>
      <c r="AO548" s="1243">
        <v>12.66</v>
      </c>
      <c r="AP548" s="1243">
        <v>12.78</v>
      </c>
      <c r="AQ548" s="1243">
        <v>12.9</v>
      </c>
      <c r="AR548" s="1246">
        <v>13.1</v>
      </c>
      <c r="AS548" s="1246">
        <v>13.31</v>
      </c>
      <c r="AT548" s="1243">
        <v>13.73</v>
      </c>
      <c r="AU548" s="1243">
        <v>13.93</v>
      </c>
      <c r="AV548" s="1243">
        <v>14.12</v>
      </c>
      <c r="AW548" s="1344"/>
      <c r="AX548" s="1344"/>
      <c r="AY548" s="1344"/>
      <c r="AZ548" s="1344"/>
      <c r="BA548" s="1344"/>
      <c r="BB548" s="1344"/>
      <c r="BC548" s="1344"/>
      <c r="BD548" s="1344"/>
      <c r="BE548" s="1344"/>
      <c r="BF548" s="1344"/>
      <c r="BG548" s="1344"/>
      <c r="BH548" s="1344"/>
      <c r="BI548" s="1344"/>
      <c r="BJ548" s="1344"/>
      <c r="BK548" s="1344"/>
      <c r="BL548" s="1344"/>
      <c r="BM548" s="1344"/>
    </row>
    <row r="549" spans="1:65" ht="15" customHeight="1">
      <c r="B549" s="1341">
        <v>59</v>
      </c>
      <c r="C549" s="1243">
        <v>17.489999999999998</v>
      </c>
      <c r="D549" s="1243">
        <v>17.809999999999999</v>
      </c>
      <c r="E549" s="1243">
        <v>18.2</v>
      </c>
      <c r="F549" s="1243">
        <v>18.579999999999998</v>
      </c>
      <c r="G549" s="1243">
        <v>18.96</v>
      </c>
      <c r="H549" s="1243">
        <v>20.11</v>
      </c>
      <c r="I549" s="1243">
        <v>20.440000000000001</v>
      </c>
      <c r="J549" s="1243">
        <v>20.85</v>
      </c>
      <c r="K549" s="1243">
        <v>21.24</v>
      </c>
      <c r="L549" s="1243">
        <v>21.63</v>
      </c>
      <c r="M549" s="1243">
        <v>22.38</v>
      </c>
      <c r="N549" s="1243">
        <v>22.76</v>
      </c>
      <c r="O549" s="1344"/>
      <c r="P549" s="1344"/>
      <c r="Q549" s="1344"/>
      <c r="R549" s="1344"/>
      <c r="S549" s="1344"/>
      <c r="T549" s="1344"/>
      <c r="U549" s="1344"/>
      <c r="V549" s="1344"/>
      <c r="W549" s="1344"/>
      <c r="X549" s="1344"/>
      <c r="Y549" s="1344"/>
      <c r="Z549" s="1344"/>
      <c r="AA549" s="1344"/>
      <c r="AB549" s="1344"/>
      <c r="AC549" s="1344"/>
      <c r="AD549" s="1344"/>
      <c r="AE549" s="1344"/>
      <c r="AF549" s="1344"/>
      <c r="AG549" s="1345"/>
      <c r="AI549" s="1240">
        <v>59</v>
      </c>
      <c r="AJ549" s="1243">
        <v>12.13</v>
      </c>
      <c r="AK549" s="1243">
        <v>12.21</v>
      </c>
      <c r="AL549" s="1243">
        <v>12.32</v>
      </c>
      <c r="AM549" s="1243">
        <v>12.44</v>
      </c>
      <c r="AN549" s="1243">
        <v>12.56</v>
      </c>
      <c r="AO549" s="1243">
        <v>13.19</v>
      </c>
      <c r="AP549" s="1243">
        <v>13.31</v>
      </c>
      <c r="AQ549" s="1243">
        <v>13.51</v>
      </c>
      <c r="AR549" s="1243">
        <v>13.71</v>
      </c>
      <c r="AS549" s="1243">
        <v>13.93</v>
      </c>
      <c r="AT549" s="1243">
        <v>14.36</v>
      </c>
      <c r="AU549" s="1243">
        <v>14.56</v>
      </c>
      <c r="AV549" s="1243"/>
      <c r="AW549" s="1344"/>
      <c r="AX549" s="1344"/>
      <c r="AY549" s="1344"/>
      <c r="AZ549" s="1344"/>
      <c r="BA549" s="1344"/>
      <c r="BB549" s="1344"/>
      <c r="BC549" s="1344"/>
      <c r="BD549" s="1344"/>
      <c r="BE549" s="1344"/>
      <c r="BF549" s="1344"/>
      <c r="BG549" s="1344"/>
      <c r="BH549" s="1344"/>
      <c r="BI549" s="1344"/>
      <c r="BJ549" s="1344"/>
      <c r="BK549" s="1344"/>
      <c r="BL549" s="1344"/>
      <c r="BM549" s="1344"/>
    </row>
    <row r="550" spans="1:65" ht="15" customHeight="1">
      <c r="B550" s="1341">
        <v>60</v>
      </c>
      <c r="C550" s="1243">
        <v>18.579999999999998</v>
      </c>
      <c r="D550" s="1243">
        <v>18.93</v>
      </c>
      <c r="E550" s="1243">
        <v>19.3</v>
      </c>
      <c r="F550" s="1243">
        <v>19.670000000000002</v>
      </c>
      <c r="G550" s="1243">
        <v>20.05</v>
      </c>
      <c r="H550" s="1243">
        <v>21.24</v>
      </c>
      <c r="I550" s="1243">
        <v>21.65</v>
      </c>
      <c r="J550" s="1243">
        <v>22.05</v>
      </c>
      <c r="K550" s="1243">
        <v>22.45</v>
      </c>
      <c r="L550" s="1243">
        <v>22.85</v>
      </c>
      <c r="M550" s="1243">
        <v>23.63</v>
      </c>
      <c r="N550" s="1344"/>
      <c r="O550" s="1344"/>
      <c r="P550" s="1344"/>
      <c r="Q550" s="1344"/>
      <c r="R550" s="1344"/>
      <c r="S550" s="1344"/>
      <c r="T550" s="1344"/>
      <c r="U550" s="1344"/>
      <c r="V550" s="1344"/>
      <c r="W550" s="1344"/>
      <c r="X550" s="1344"/>
      <c r="Y550" s="1344"/>
      <c r="Z550" s="1344"/>
      <c r="AA550" s="1344"/>
      <c r="AB550" s="1344"/>
      <c r="AC550" s="1344"/>
      <c r="AD550" s="1344"/>
      <c r="AE550" s="1344"/>
      <c r="AF550" s="1344"/>
      <c r="AG550" s="1345"/>
      <c r="AI550" s="1240">
        <v>60</v>
      </c>
      <c r="AJ550" s="1243">
        <v>12.67</v>
      </c>
      <c r="AK550" s="1243">
        <v>12.74</v>
      </c>
      <c r="AL550" s="1243">
        <v>12.83</v>
      </c>
      <c r="AM550" s="1243">
        <v>12.93</v>
      </c>
      <c r="AN550" s="1243">
        <v>13.05</v>
      </c>
      <c r="AO550" s="1243">
        <v>13.7</v>
      </c>
      <c r="AP550" s="1243">
        <v>13.91</v>
      </c>
      <c r="AQ550" s="1243">
        <v>14.11</v>
      </c>
      <c r="AR550" s="1243">
        <v>14.33</v>
      </c>
      <c r="AS550" s="1243">
        <v>14.55</v>
      </c>
      <c r="AT550" s="1243">
        <v>14.99</v>
      </c>
      <c r="AU550" s="1344"/>
      <c r="AV550" s="1344"/>
      <c r="AW550" s="1344"/>
      <c r="AX550" s="1344"/>
      <c r="AY550" s="1344"/>
      <c r="AZ550" s="1344"/>
      <c r="BA550" s="1344"/>
      <c r="BB550" s="1344"/>
      <c r="BC550" s="1344"/>
      <c r="BD550" s="1344"/>
      <c r="BE550" s="1344"/>
      <c r="BF550" s="1344"/>
      <c r="BG550" s="1344"/>
      <c r="BH550" s="1344"/>
      <c r="BI550" s="1344"/>
      <c r="BJ550" s="1344"/>
      <c r="BK550" s="1344"/>
      <c r="BL550" s="1344"/>
      <c r="BM550" s="1344"/>
    </row>
    <row r="551" spans="1:65" ht="15" customHeight="1">
      <c r="B551" s="1341">
        <v>61</v>
      </c>
      <c r="C551" s="1243">
        <v>19.72</v>
      </c>
      <c r="D551" s="1243">
        <v>20.059999999999999</v>
      </c>
      <c r="E551" s="1243">
        <v>20.41</v>
      </c>
      <c r="F551" s="1243">
        <v>20.78</v>
      </c>
      <c r="G551" s="1243">
        <v>21.15</v>
      </c>
      <c r="H551" s="1243">
        <v>22.48</v>
      </c>
      <c r="I551" s="1243">
        <v>22.88</v>
      </c>
      <c r="J551" s="1243">
        <v>23.29</v>
      </c>
      <c r="K551" s="1243">
        <v>23.7</v>
      </c>
      <c r="L551" s="1243">
        <v>24.1</v>
      </c>
      <c r="M551" s="1344"/>
      <c r="N551" s="1344"/>
      <c r="O551" s="1344"/>
      <c r="P551" s="1344"/>
      <c r="Q551" s="1344"/>
      <c r="R551" s="1344"/>
      <c r="S551" s="1344"/>
      <c r="T551" s="1344"/>
      <c r="U551" s="1344"/>
      <c r="V551" s="1344"/>
      <c r="W551" s="1344"/>
      <c r="X551" s="1344"/>
      <c r="Y551" s="1344"/>
      <c r="Z551" s="1344"/>
      <c r="AA551" s="1344"/>
      <c r="AB551" s="1344"/>
      <c r="AC551" s="1344"/>
      <c r="AD551" s="1344"/>
      <c r="AE551" s="1344"/>
      <c r="AF551" s="1344"/>
      <c r="AG551" s="1345"/>
      <c r="AI551" s="1240">
        <v>61</v>
      </c>
      <c r="AJ551" s="1243">
        <v>13.17</v>
      </c>
      <c r="AK551" s="1243">
        <v>13.22</v>
      </c>
      <c r="AL551" s="1243">
        <v>13.29</v>
      </c>
      <c r="AM551" s="1243">
        <v>13.39</v>
      </c>
      <c r="AN551" s="1243">
        <v>13.52</v>
      </c>
      <c r="AO551" s="1243">
        <v>14.3</v>
      </c>
      <c r="AP551" s="1243">
        <v>14.51</v>
      </c>
      <c r="AQ551" s="1243">
        <v>14.73</v>
      </c>
      <c r="AR551" s="1243">
        <v>14.95</v>
      </c>
      <c r="AS551" s="1243">
        <v>15.16</v>
      </c>
      <c r="AT551" s="1243"/>
      <c r="AU551" s="1344"/>
      <c r="AV551" s="1344"/>
      <c r="AW551" s="1344"/>
      <c r="AX551" s="1344"/>
      <c r="AY551" s="1344"/>
      <c r="AZ551" s="1344"/>
      <c r="BA551" s="1344"/>
      <c r="BB551" s="1344"/>
      <c r="BC551" s="1344"/>
      <c r="BD551" s="1344"/>
      <c r="BE551" s="1344"/>
      <c r="BF551" s="1344"/>
      <c r="BG551" s="1344"/>
      <c r="BH551" s="1344"/>
      <c r="BI551" s="1344"/>
      <c r="BJ551" s="1344"/>
      <c r="BK551" s="1344"/>
      <c r="BL551" s="1344"/>
      <c r="BM551" s="1344"/>
    </row>
    <row r="552" spans="1:65" ht="15" customHeight="1">
      <c r="B552" s="1341">
        <v>62</v>
      </c>
      <c r="C552" s="1243">
        <v>20.86</v>
      </c>
      <c r="D552" s="1243">
        <v>21.18</v>
      </c>
      <c r="E552" s="1243">
        <v>21.53</v>
      </c>
      <c r="F552" s="1243">
        <v>21.89</v>
      </c>
      <c r="G552" s="1243">
        <v>22.36</v>
      </c>
      <c r="H552" s="1243">
        <v>23.73</v>
      </c>
      <c r="I552" s="1243">
        <v>24.14</v>
      </c>
      <c r="J552" s="1243">
        <v>24.56</v>
      </c>
      <c r="K552" s="1243">
        <v>24.97</v>
      </c>
      <c r="L552" s="1344"/>
      <c r="M552" s="1344"/>
      <c r="N552" s="1344"/>
      <c r="O552" s="1344"/>
      <c r="P552" s="1344"/>
      <c r="Q552" s="1344"/>
      <c r="R552" s="1344"/>
      <c r="S552" s="1344"/>
      <c r="T552" s="1344"/>
      <c r="U552" s="1344"/>
      <c r="V552" s="1344"/>
      <c r="W552" s="1344"/>
      <c r="X552" s="1344"/>
      <c r="Y552" s="1344"/>
      <c r="Z552" s="1344"/>
      <c r="AA552" s="1344"/>
      <c r="AB552" s="1344"/>
      <c r="AC552" s="1344"/>
      <c r="AD552" s="1344"/>
      <c r="AE552" s="1344"/>
      <c r="AF552" s="1344"/>
      <c r="AG552" s="1345"/>
      <c r="AI552" s="1240">
        <v>62</v>
      </c>
      <c r="AJ552" s="1243">
        <v>13.62</v>
      </c>
      <c r="AK552" s="1243">
        <v>13.65</v>
      </c>
      <c r="AL552" s="1243">
        <v>13.73</v>
      </c>
      <c r="AM552" s="1243">
        <v>13.84</v>
      </c>
      <c r="AN552" s="1243">
        <v>14.09</v>
      </c>
      <c r="AO552" s="1243">
        <v>14.9</v>
      </c>
      <c r="AP552" s="1243" t="s">
        <v>842</v>
      </c>
      <c r="AQ552" s="1243">
        <v>15.35</v>
      </c>
      <c r="AR552" s="1243">
        <v>15.56</v>
      </c>
      <c r="AS552" s="1243"/>
      <c r="AT552" s="1344"/>
      <c r="AU552" s="1344"/>
      <c r="AV552" s="1344"/>
      <c r="AW552" s="1344"/>
      <c r="AX552" s="1344"/>
      <c r="AY552" s="1344"/>
      <c r="AZ552" s="1344"/>
      <c r="BA552" s="1344"/>
      <c r="BB552" s="1344"/>
      <c r="BC552" s="1344"/>
      <c r="BD552" s="1344"/>
      <c r="BE552" s="1344"/>
      <c r="BF552" s="1344"/>
      <c r="BG552" s="1344"/>
      <c r="BH552" s="1344"/>
      <c r="BI552" s="1344"/>
      <c r="BJ552" s="1344"/>
      <c r="BK552" s="1344"/>
      <c r="BL552" s="1344"/>
      <c r="BM552" s="1344"/>
    </row>
    <row r="553" spans="1:65" ht="15" customHeight="1">
      <c r="B553" s="1341">
        <v>63</v>
      </c>
      <c r="C553" s="1243">
        <v>22.03</v>
      </c>
      <c r="D553" s="1243">
        <v>22.33</v>
      </c>
      <c r="E553" s="1243">
        <v>22.67</v>
      </c>
      <c r="F553" s="1243">
        <v>23.15</v>
      </c>
      <c r="G553" s="1243">
        <v>23.6</v>
      </c>
      <c r="H553" s="1243">
        <v>25.05</v>
      </c>
      <c r="I553" s="1243">
        <v>25.46</v>
      </c>
      <c r="J553" s="1243">
        <v>25.88</v>
      </c>
      <c r="K553" s="1344"/>
      <c r="L553" s="1344"/>
      <c r="M553" s="1344"/>
      <c r="N553" s="1344"/>
      <c r="O553" s="1344"/>
      <c r="P553" s="1344"/>
      <c r="Q553" s="1344"/>
      <c r="R553" s="1344"/>
      <c r="S553" s="1344"/>
      <c r="T553" s="1344"/>
      <c r="U553" s="1344"/>
      <c r="V553" s="1344"/>
      <c r="W553" s="1344"/>
      <c r="X553" s="1344"/>
      <c r="Y553" s="1344"/>
      <c r="Z553" s="1344"/>
      <c r="AA553" s="1344"/>
      <c r="AB553" s="1344"/>
      <c r="AC553" s="1344"/>
      <c r="AD553" s="1344"/>
      <c r="AE553" s="1344"/>
      <c r="AF553" s="1344"/>
      <c r="AG553" s="1345"/>
      <c r="AI553" s="1240">
        <v>63</v>
      </c>
      <c r="AJ553" s="1243">
        <v>14.01</v>
      </c>
      <c r="AK553" s="1243">
        <v>14.06</v>
      </c>
      <c r="AL553" s="1243">
        <v>14.15</v>
      </c>
      <c r="AM553" s="1243">
        <v>14.41</v>
      </c>
      <c r="AN553" s="1243">
        <v>14.66</v>
      </c>
      <c r="AO553" s="1243">
        <v>15.52</v>
      </c>
      <c r="AP553" s="1243">
        <v>15.75</v>
      </c>
      <c r="AQ553" s="1243">
        <v>15.97</v>
      </c>
      <c r="AR553" s="1344"/>
      <c r="AS553" s="1344"/>
      <c r="AT553" s="1344"/>
      <c r="AU553" s="1344"/>
      <c r="AV553" s="1344"/>
      <c r="AW553" s="1344"/>
      <c r="AX553" s="1344"/>
      <c r="AY553" s="1344"/>
      <c r="AZ553" s="1344"/>
      <c r="BA553" s="1344"/>
      <c r="BB553" s="1344"/>
      <c r="BC553" s="1344"/>
      <c r="BD553" s="1344"/>
      <c r="BE553" s="1344"/>
      <c r="BF553" s="1344"/>
      <c r="BG553" s="1344"/>
      <c r="BH553" s="1344"/>
      <c r="BI553" s="1344"/>
      <c r="BJ553" s="1344"/>
      <c r="BK553" s="1344"/>
      <c r="BL553" s="1344"/>
      <c r="BM553" s="1344"/>
    </row>
    <row r="554" spans="1:65" ht="15" customHeight="1">
      <c r="B554" s="1341">
        <v>64</v>
      </c>
      <c r="C554" s="1243">
        <v>23.19</v>
      </c>
      <c r="D554" s="1243">
        <v>23.47</v>
      </c>
      <c r="E554" s="1243">
        <v>23.95</v>
      </c>
      <c r="F554" s="1243">
        <v>24.41</v>
      </c>
      <c r="G554" s="1243">
        <v>24.88</v>
      </c>
      <c r="H554" s="1243">
        <v>26.39</v>
      </c>
      <c r="I554" s="1243">
        <v>26.81</v>
      </c>
      <c r="J554" s="1344"/>
      <c r="K554" s="1344"/>
      <c r="L554" s="1344"/>
      <c r="M554" s="1344"/>
      <c r="N554" s="1344"/>
      <c r="O554" s="1344"/>
      <c r="P554" s="1344"/>
      <c r="Q554" s="1344"/>
      <c r="R554" s="1344"/>
      <c r="S554" s="1344"/>
      <c r="T554" s="1344"/>
      <c r="U554" s="1344"/>
      <c r="V554" s="1344"/>
      <c r="W554" s="1344"/>
      <c r="X554" s="1344"/>
      <c r="Y554" s="1344"/>
      <c r="Z554" s="1344"/>
      <c r="AA554" s="1344"/>
      <c r="AB554" s="1344"/>
      <c r="AC554" s="1344"/>
      <c r="AD554" s="1344"/>
      <c r="AE554" s="1344"/>
      <c r="AF554" s="1344"/>
      <c r="AG554" s="1345"/>
      <c r="AI554" s="1240">
        <v>64</v>
      </c>
      <c r="AJ554" s="1243">
        <v>14.42</v>
      </c>
      <c r="AK554" s="1243">
        <v>14.49</v>
      </c>
      <c r="AL554" s="1243">
        <v>14.75</v>
      </c>
      <c r="AM554" s="1243">
        <v>15.01</v>
      </c>
      <c r="AN554" s="1243">
        <v>15.29</v>
      </c>
      <c r="AO554" s="1243">
        <v>16.170000000000002</v>
      </c>
      <c r="AP554" s="1243">
        <v>16.39</v>
      </c>
      <c r="AQ554" s="1344"/>
      <c r="AR554" s="1344"/>
      <c r="AS554" s="1344"/>
      <c r="AT554" s="1344"/>
      <c r="AU554" s="1344"/>
      <c r="AV554" s="1344"/>
      <c r="AW554" s="1344"/>
      <c r="AX554" s="1344"/>
      <c r="AY554" s="1344"/>
      <c r="AZ554" s="1344"/>
      <c r="BA554" s="1344"/>
      <c r="BB554" s="1344"/>
      <c r="BC554" s="1344"/>
      <c r="BD554" s="1344"/>
      <c r="BE554" s="1344"/>
      <c r="BF554" s="1344"/>
      <c r="BG554" s="1344"/>
      <c r="BH554" s="1344"/>
      <c r="BI554" s="1344"/>
      <c r="BJ554" s="1344"/>
      <c r="BK554" s="1344"/>
      <c r="BL554" s="1344"/>
      <c r="BM554" s="1344"/>
    </row>
    <row r="555" spans="1:65" ht="15" customHeight="1">
      <c r="B555" s="1341">
        <v>65</v>
      </c>
      <c r="C555" s="1243">
        <v>24.33</v>
      </c>
      <c r="D555" s="1243">
        <v>24.79</v>
      </c>
      <c r="E555" s="1243">
        <v>25.24</v>
      </c>
      <c r="F555" s="1243">
        <v>25.71</v>
      </c>
      <c r="G555" s="1243">
        <v>26.19</v>
      </c>
      <c r="H555" s="1243">
        <v>27.76</v>
      </c>
      <c r="I555" s="1344"/>
      <c r="J555" s="1344"/>
      <c r="K555" s="1344"/>
      <c r="L555" s="1344"/>
      <c r="M555" s="1344"/>
      <c r="N555" s="1344"/>
      <c r="O555" s="1344"/>
      <c r="P555" s="1344"/>
      <c r="Q555" s="1344"/>
      <c r="R555" s="1344"/>
      <c r="S555" s="1344"/>
      <c r="T555" s="1344"/>
      <c r="U555" s="1344"/>
      <c r="V555" s="1344"/>
      <c r="W555" s="1344"/>
      <c r="X555" s="1344"/>
      <c r="Y555" s="1344"/>
      <c r="Z555" s="1344"/>
      <c r="AA555" s="1344"/>
      <c r="AB555" s="1344"/>
      <c r="AC555" s="1344"/>
      <c r="AD555" s="1344"/>
      <c r="AE555" s="1344"/>
      <c r="AF555" s="1344"/>
      <c r="AG555" s="1345"/>
      <c r="AI555" s="1240">
        <v>65</v>
      </c>
      <c r="AJ555" s="1243">
        <v>14.87</v>
      </c>
      <c r="AK555" s="1243">
        <v>15.13</v>
      </c>
      <c r="AL555" s="1243">
        <v>15.4</v>
      </c>
      <c r="AM555" s="1243">
        <v>15.68</v>
      </c>
      <c r="AN555" s="1243">
        <v>15.96</v>
      </c>
      <c r="AO555" s="1243">
        <v>16.86</v>
      </c>
      <c r="AP555" s="1344"/>
      <c r="AQ555" s="1344"/>
      <c r="AR555" s="1344"/>
      <c r="AS555" s="1344"/>
      <c r="AT555" s="1344"/>
      <c r="AU555" s="1344"/>
      <c r="AV555" s="1344"/>
      <c r="AW555" s="1344"/>
      <c r="AX555" s="1344"/>
      <c r="AY555" s="1344"/>
      <c r="AZ555" s="1344"/>
      <c r="BA555" s="1344"/>
      <c r="BB555" s="1344"/>
      <c r="BC555" s="1344"/>
      <c r="BD555" s="1344"/>
      <c r="BE555" s="1344"/>
      <c r="BF555" s="1344"/>
      <c r="BG555" s="1344"/>
      <c r="BH555" s="1344"/>
      <c r="BI555" s="1344"/>
      <c r="BJ555" s="1344"/>
      <c r="BK555" s="1344"/>
      <c r="BL555" s="1344"/>
      <c r="BM555" s="1344"/>
    </row>
    <row r="556" spans="1:65" ht="15" customHeight="1"/>
    <row r="557" spans="1:65" ht="15" customHeight="1">
      <c r="A557" s="824">
        <f>Main!E11</f>
        <v>25</v>
      </c>
      <c r="B557" s="824">
        <f>B506</f>
        <v>30</v>
      </c>
      <c r="C557" s="1205">
        <f>LOOKUP(A557,C507:AG507,C506:AG506)</f>
        <v>3.36</v>
      </c>
      <c r="D557" s="1206">
        <f>LOOKUP(A557,AJ507:BN507,AJ506:BN506)</f>
        <v>3.34</v>
      </c>
      <c r="E557" s="831">
        <f>IF($A$439=1,C557,D557)</f>
        <v>3.36</v>
      </c>
    </row>
    <row r="558" spans="1:65" ht="15" customHeight="1">
      <c r="A558" s="824">
        <f t="shared" ref="A558:A563" si="104">A557-5</f>
        <v>20</v>
      </c>
      <c r="B558" s="824">
        <f>B505</f>
        <v>35</v>
      </c>
      <c r="C558" s="1206">
        <f>LOOKUP(A558,C507:AG507,C505:AG505)</f>
        <v>4.3600000000000003</v>
      </c>
      <c r="D558" s="1206">
        <f>LOOKUP(A558,AJ507:BN507,AJ505:BN505)</f>
        <v>4.18</v>
      </c>
      <c r="E558" s="831">
        <f t="shared" ref="E558:E563" si="105">IF($A$439=1,C558,D558)</f>
        <v>4.3600000000000003</v>
      </c>
    </row>
    <row r="559" spans="1:65" ht="15" customHeight="1">
      <c r="A559" s="824">
        <f t="shared" si="104"/>
        <v>15</v>
      </c>
      <c r="B559" s="824">
        <f>B504</f>
        <v>40</v>
      </c>
      <c r="C559" s="1206">
        <f>LOOKUP(A559,C507:AG507,C504:AG504)</f>
        <v>5.68</v>
      </c>
      <c r="D559" s="1206">
        <f>LOOKUP(A559,AJ507:BN507,AJ504:BN504)</f>
        <v>5.17</v>
      </c>
      <c r="E559" s="831">
        <f t="shared" si="105"/>
        <v>5.68</v>
      </c>
    </row>
    <row r="560" spans="1:65" ht="15" customHeight="1">
      <c r="A560" s="824">
        <f t="shared" si="104"/>
        <v>10</v>
      </c>
      <c r="B560" s="824">
        <f>B503</f>
        <v>45</v>
      </c>
      <c r="C560" s="1206">
        <f>LOOKUP(A560,C507:AG507,C503:AG503)</f>
        <v>7.2</v>
      </c>
      <c r="D560" s="1206">
        <f>LOOKUP(A560,AJ507:BN507,AJ503:BN503)</f>
        <v>6.27</v>
      </c>
      <c r="E560" s="831">
        <f t="shared" si="105"/>
        <v>7.2</v>
      </c>
    </row>
    <row r="561" spans="1:5" ht="15" customHeight="1">
      <c r="A561" s="824">
        <f t="shared" si="104"/>
        <v>5</v>
      </c>
      <c r="B561" s="824">
        <f>B502</f>
        <v>50</v>
      </c>
      <c r="C561" s="1206">
        <f>LOOKUP(A561,C507:AG507,C502:AG502)</f>
        <v>9.1300000000000008</v>
      </c>
      <c r="D561" s="1206">
        <f>LOOKUP(A561,AJ507:BN507,AJ502:BN502)</f>
        <v>7.49</v>
      </c>
      <c r="E561" s="831">
        <f t="shared" si="105"/>
        <v>9.1300000000000008</v>
      </c>
    </row>
    <row r="562" spans="1:5" ht="15" customHeight="1">
      <c r="A562" s="824">
        <f t="shared" si="104"/>
        <v>0</v>
      </c>
      <c r="B562" s="824">
        <f>B501</f>
        <v>55</v>
      </c>
      <c r="C562" s="1206" t="e">
        <f>LOOKUP(A562,C507:AG507,C501:AG501)</f>
        <v>#N/A</v>
      </c>
      <c r="D562" s="1206" t="e">
        <f>LOOKUP(A562,AJ507:BN507,AJ501:BN501)</f>
        <v>#N/A</v>
      </c>
      <c r="E562" s="831" t="e">
        <f t="shared" si="105"/>
        <v>#N/A</v>
      </c>
    </row>
    <row r="563" spans="1:5" ht="15" customHeight="1">
      <c r="A563" s="824">
        <f t="shared" si="104"/>
        <v>-5</v>
      </c>
      <c r="B563" s="824">
        <f>B500</f>
        <v>60</v>
      </c>
      <c r="C563" s="824" t="e">
        <f>LOOKUP(A563,C507:AG507,C500:AG500)</f>
        <v>#N/A</v>
      </c>
      <c r="D563" s="824" t="e">
        <f>LOOKUP(A563,AJ507:BN507,AJ500:BN500)</f>
        <v>#N/A</v>
      </c>
      <c r="E563" s="831" t="e">
        <f t="shared" si="105"/>
        <v>#N/A</v>
      </c>
    </row>
    <row r="564" spans="1:5" ht="15" customHeight="1"/>
    <row r="565" spans="1:5" ht="15" customHeight="1"/>
    <row r="566" spans="1:5" ht="15" customHeight="1"/>
    <row r="567" spans="1:5" ht="15" customHeight="1"/>
    <row r="568" spans="1:5" ht="15" customHeight="1"/>
    <row r="569" spans="1:5" ht="15" customHeight="1"/>
    <row r="570" spans="1:5" ht="15" customHeight="1"/>
    <row r="571" spans="1:5" ht="15" customHeight="1"/>
    <row r="572" spans="1:5" ht="15" customHeight="1"/>
    <row r="573" spans="1:5" ht="15" customHeight="1"/>
    <row r="574" spans="1:5" ht="15" customHeight="1"/>
    <row r="575" spans="1:5" ht="15" customHeight="1"/>
  </sheetData>
  <mergeCells count="16">
    <mergeCell ref="K445:L445"/>
    <mergeCell ref="K446:L446"/>
    <mergeCell ref="M445:N445"/>
    <mergeCell ref="O445:P445"/>
    <mergeCell ref="M446:N446"/>
    <mergeCell ref="O446:P446"/>
    <mergeCell ref="AL358:AP359"/>
    <mergeCell ref="AR358:AV359"/>
    <mergeCell ref="AX358:BB359"/>
    <mergeCell ref="BD358:BH359"/>
    <mergeCell ref="B358:F359"/>
    <mergeCell ref="H358:L359"/>
    <mergeCell ref="N358:R359"/>
    <mergeCell ref="T358:X359"/>
    <mergeCell ref="Z358:AD359"/>
    <mergeCell ref="AF358:AJ359"/>
  </mergeCells>
  <pageMargins left="0.7" right="0.7" top="0.75" bottom="0.75" header="0.3" footer="0.3"/>
  <pageSetup orientation="portrait" horizontalDpi="4294967293" verticalDpi="4294967293" r:id="rId1"/>
</worksheet>
</file>

<file path=xl/worksheets/sheet29.xml><?xml version="1.0" encoding="utf-8"?>
<worksheet xmlns="http://schemas.openxmlformats.org/spreadsheetml/2006/main" xmlns:r="http://schemas.openxmlformats.org/officeDocument/2006/relationships">
  <sheetPr codeName="Sheet541"/>
  <dimension ref="A1:CA642"/>
  <sheetViews>
    <sheetView showRowColHeaders="0" workbookViewId="0">
      <selection activeCell="N18" sqref="N18"/>
    </sheetView>
  </sheetViews>
  <sheetFormatPr defaultColWidth="0" defaultRowHeight="15"/>
  <cols>
    <col min="1" max="1" width="1.625" style="912" customWidth="1"/>
    <col min="2" max="2" width="3.5" style="912" customWidth="1"/>
    <col min="3" max="3" width="5.5" style="912" customWidth="1"/>
    <col min="4" max="4" width="15.5" style="912" customWidth="1"/>
    <col min="5" max="5" width="8.375" style="912" customWidth="1"/>
    <col min="6" max="6" width="7.375" style="912" customWidth="1"/>
    <col min="7" max="7" width="8" style="912" customWidth="1"/>
    <col min="8" max="8" width="4" style="912" customWidth="1"/>
    <col min="9" max="9" width="15.125" style="912" customWidth="1"/>
    <col min="10" max="10" width="5.5" style="912" customWidth="1"/>
    <col min="11" max="11" width="16.5" style="912" customWidth="1"/>
    <col min="12" max="12" width="5.125" style="912" customWidth="1"/>
    <col min="13" max="13" width="11.125" style="912" customWidth="1"/>
    <col min="14" max="14" width="15.125" style="912" customWidth="1"/>
    <col min="15" max="15" width="6.625" style="912" customWidth="1"/>
    <col min="16" max="16" width="3.5" style="912" customWidth="1"/>
    <col min="17" max="17" width="1.5" style="912" customWidth="1"/>
    <col min="18" max="18" width="7.375" style="912" customWidth="1"/>
    <col min="19" max="21" width="9.125" style="912" customWidth="1"/>
    <col min="22" max="22" width="9.5" style="912" customWidth="1"/>
    <col min="23" max="23" width="8" style="2" customWidth="1"/>
    <col min="24" max="24" width="1.125" style="2" customWidth="1"/>
    <col min="25" max="25" width="0.5" style="2" hidden="1" customWidth="1"/>
    <col min="26" max="26" width="5.625" style="887" hidden="1" customWidth="1"/>
    <col min="27" max="27" width="8.625" style="887" hidden="1" customWidth="1"/>
    <col min="28" max="28" width="8.5" style="887" hidden="1" customWidth="1"/>
    <col min="29" max="29" width="16.125" style="887" hidden="1" customWidth="1"/>
    <col min="30" max="30" width="9.5" style="887" hidden="1" customWidth="1"/>
    <col min="31" max="31" width="7.375" style="887" hidden="1" customWidth="1"/>
    <col min="32" max="32" width="6" style="887" hidden="1" customWidth="1"/>
    <col min="33" max="33" width="8.375" style="887" hidden="1" customWidth="1"/>
    <col min="34" max="34" width="1.5" style="887" hidden="1" customWidth="1"/>
    <col min="35" max="35" width="9.125" style="887" hidden="1" customWidth="1"/>
    <col min="36" max="36" width="14.5" style="887" hidden="1" customWidth="1"/>
    <col min="37" max="37" width="11.375" style="887" hidden="1" customWidth="1"/>
    <col min="38" max="38" width="6.625" style="887" hidden="1" customWidth="1"/>
    <col min="39" max="39" width="8" style="887" hidden="1" customWidth="1"/>
    <col min="40" max="40" width="6.375" style="887" hidden="1" customWidth="1"/>
    <col min="41" max="41" width="7.5" style="887" hidden="1" customWidth="1"/>
    <col min="42" max="42" width="6.5" style="887" hidden="1" customWidth="1"/>
    <col min="43" max="43" width="6.375" style="886" hidden="1" customWidth="1"/>
    <col min="44" max="44" width="7.625" style="3" hidden="1" customWidth="1"/>
    <col min="45" max="45" width="5.5" style="3" hidden="1" customWidth="1"/>
    <col min="46" max="46" width="8.5" style="3" hidden="1" customWidth="1"/>
    <col min="47" max="47" width="2" style="3" hidden="1" customWidth="1"/>
    <col min="48" max="48" width="7.5" style="3" hidden="1" customWidth="1"/>
    <col min="49" max="49" width="9" style="3" hidden="1" customWidth="1"/>
    <col min="50" max="50" width="11.125" style="3" hidden="1" customWidth="1"/>
    <col min="51" max="51" width="13.125" style="3" hidden="1" customWidth="1"/>
    <col min="52" max="52" width="14.125" style="3" hidden="1" customWidth="1"/>
    <col min="53" max="53" width="17" style="3" hidden="1" customWidth="1"/>
    <col min="54" max="54" width="16.375" style="4" hidden="1" customWidth="1"/>
    <col min="55" max="55" width="14.375" style="4" hidden="1" customWidth="1"/>
    <col min="56" max="56" width="8.375" style="4" hidden="1" customWidth="1"/>
    <col min="57" max="57" width="7.375" style="4" hidden="1" customWidth="1"/>
    <col min="58" max="58" width="5.875" style="4" hidden="1" customWidth="1"/>
    <col min="59" max="59" width="5.625" style="4" hidden="1" customWidth="1"/>
    <col min="60" max="60" width="5.5" style="4" customWidth="1"/>
    <col min="61" max="61" width="14.875" style="4" customWidth="1"/>
    <col min="62" max="74" width="9.125" style="4" customWidth="1"/>
    <col min="75" max="79" width="0" style="4" hidden="1" customWidth="1"/>
    <col min="80" max="16384" width="9.125" style="4" hidden="1"/>
  </cols>
  <sheetData>
    <row r="1" spans="1:79" ht="10.5" customHeight="1">
      <c r="A1" s="913"/>
      <c r="B1" s="913"/>
      <c r="C1" s="2371" t="s">
        <v>469</v>
      </c>
      <c r="D1" s="2371"/>
      <c r="E1" s="2371"/>
      <c r="F1" s="2371"/>
      <c r="G1" s="2371"/>
      <c r="H1" s="2371"/>
      <c r="I1" s="2371"/>
      <c r="J1" s="2371"/>
      <c r="K1" s="2371"/>
      <c r="L1" s="2371"/>
      <c r="M1" s="2371"/>
      <c r="N1" s="2371"/>
      <c r="O1" s="2371"/>
      <c r="P1" s="913"/>
      <c r="Q1" s="913"/>
      <c r="R1" s="913"/>
      <c r="S1" s="913"/>
      <c r="T1" s="913"/>
      <c r="U1" s="913"/>
      <c r="V1" s="913"/>
      <c r="AK1" s="890"/>
      <c r="AL1" s="890"/>
      <c r="AM1" s="890"/>
      <c r="AN1" s="890"/>
      <c r="AO1" s="890"/>
      <c r="AP1" s="890"/>
      <c r="AQ1" s="888"/>
      <c r="BB1" s="3"/>
      <c r="BC1" s="3"/>
      <c r="BD1" s="3"/>
      <c r="BE1" s="3"/>
      <c r="BF1" s="3"/>
      <c r="BG1" s="3"/>
      <c r="BH1" s="890"/>
      <c r="BI1" s="890"/>
      <c r="BJ1" s="890"/>
      <c r="BK1" s="890"/>
      <c r="BL1" s="890"/>
      <c r="BM1" s="890"/>
      <c r="BN1" s="890"/>
      <c r="BO1" s="890"/>
      <c r="BP1" s="890"/>
      <c r="BQ1" s="890"/>
      <c r="BR1" s="890"/>
      <c r="BS1" s="890"/>
      <c r="BT1" s="890"/>
      <c r="BU1" s="890"/>
      <c r="BV1" s="890"/>
      <c r="BW1" s="890"/>
      <c r="BX1" s="890"/>
      <c r="BY1" s="890"/>
      <c r="BZ1" s="890"/>
      <c r="CA1" s="890"/>
    </row>
    <row r="2" spans="1:79" ht="23.25" customHeight="1">
      <c r="A2" s="913"/>
      <c r="B2" s="913"/>
      <c r="C2" s="2371"/>
      <c r="D2" s="2371"/>
      <c r="E2" s="2371"/>
      <c r="F2" s="2371"/>
      <c r="G2" s="2371"/>
      <c r="H2" s="2371"/>
      <c r="I2" s="2371"/>
      <c r="J2" s="2371"/>
      <c r="K2" s="2371"/>
      <c r="L2" s="2371"/>
      <c r="M2" s="2371"/>
      <c r="N2" s="2371"/>
      <c r="O2" s="2371"/>
      <c r="P2" s="895"/>
      <c r="Q2" s="913"/>
      <c r="R2" s="2375" t="s">
        <v>865</v>
      </c>
      <c r="S2" s="2376"/>
      <c r="T2" s="2376"/>
      <c r="U2" s="2376"/>
      <c r="V2" s="913"/>
      <c r="AK2" s="890"/>
      <c r="AL2" s="890"/>
      <c r="AM2" s="890"/>
      <c r="AN2" s="890"/>
      <c r="AO2" s="890"/>
      <c r="AP2" s="890"/>
      <c r="AQ2" s="888"/>
      <c r="BB2" s="3"/>
      <c r="BC2" s="3"/>
      <c r="BD2" s="3"/>
      <c r="BE2" s="3"/>
      <c r="BF2" s="3"/>
      <c r="BG2" s="3"/>
      <c r="BH2" s="919"/>
      <c r="BI2" s="890"/>
      <c r="BJ2" s="890"/>
      <c r="BK2" s="890"/>
      <c r="BL2" s="890"/>
      <c r="BM2" s="890"/>
      <c r="BN2" s="890"/>
      <c r="BO2" s="890"/>
      <c r="BP2" s="890"/>
      <c r="BQ2" s="890"/>
      <c r="BR2" s="890"/>
      <c r="BS2" s="890"/>
      <c r="BT2" s="890"/>
      <c r="BU2" s="890"/>
      <c r="BV2" s="890"/>
      <c r="BW2" s="890"/>
      <c r="BX2" s="890"/>
      <c r="BY2" s="890"/>
      <c r="BZ2" s="890"/>
      <c r="CA2" s="890"/>
    </row>
    <row r="3" spans="1:79" ht="15" customHeight="1">
      <c r="A3" s="913"/>
      <c r="B3" s="913"/>
      <c r="C3" s="2371"/>
      <c r="D3" s="2371"/>
      <c r="E3" s="2371"/>
      <c r="F3" s="2371"/>
      <c r="G3" s="2371"/>
      <c r="H3" s="2371"/>
      <c r="I3" s="2371"/>
      <c r="J3" s="2371"/>
      <c r="K3" s="2371"/>
      <c r="L3" s="2371"/>
      <c r="M3" s="2371"/>
      <c r="N3" s="2371"/>
      <c r="O3" s="2371"/>
      <c r="P3" s="913"/>
      <c r="Q3" s="913"/>
      <c r="R3" s="2375"/>
      <c r="S3" s="2376"/>
      <c r="T3" s="2376"/>
      <c r="U3" s="2376"/>
      <c r="V3" s="913"/>
      <c r="AK3" s="890"/>
      <c r="AL3" s="890"/>
      <c r="AM3" s="890"/>
      <c r="AN3" s="890"/>
      <c r="AO3" s="890"/>
      <c r="AP3" s="890"/>
      <c r="AQ3" s="888"/>
      <c r="BB3" s="3"/>
      <c r="BC3" s="3"/>
      <c r="BD3" s="3"/>
      <c r="BE3" s="3"/>
      <c r="BF3" s="3"/>
      <c r="BG3" s="3"/>
      <c r="BH3" s="890"/>
      <c r="BI3" s="890"/>
      <c r="BJ3" s="890"/>
      <c r="BK3" s="890"/>
      <c r="BL3" s="890"/>
      <c r="BM3" s="890"/>
      <c r="BN3" s="890"/>
      <c r="BO3" s="890"/>
      <c r="BP3" s="890"/>
      <c r="BQ3" s="890"/>
      <c r="BR3" s="890"/>
      <c r="BS3" s="890"/>
      <c r="BT3" s="890"/>
      <c r="BU3" s="890"/>
      <c r="BV3" s="890"/>
      <c r="BW3" s="890"/>
      <c r="BX3" s="890"/>
      <c r="BY3" s="890"/>
      <c r="BZ3" s="890"/>
      <c r="CA3" s="890"/>
    </row>
    <row r="4" spans="1:79" ht="26.25" customHeight="1" thickBot="1">
      <c r="A4" s="913"/>
      <c r="B4" s="913"/>
      <c r="C4" s="2410" t="s">
        <v>2178</v>
      </c>
      <c r="D4" s="2410"/>
      <c r="E4" s="2410"/>
      <c r="F4" s="2410"/>
      <c r="G4" s="2410"/>
      <c r="H4" s="2410"/>
      <c r="I4" s="2410"/>
      <c r="J4" s="2410"/>
      <c r="K4" s="2410"/>
      <c r="L4" s="2410"/>
      <c r="M4" s="2410"/>
      <c r="N4" s="2410"/>
      <c r="O4" s="2410"/>
      <c r="P4" s="913"/>
      <c r="Q4" s="913"/>
      <c r="R4" s="913"/>
      <c r="S4" s="913"/>
      <c r="T4" s="913"/>
      <c r="U4" s="913"/>
      <c r="V4" s="913"/>
      <c r="AB4" s="1346"/>
      <c r="AC4" s="1346"/>
      <c r="AH4" s="1346"/>
      <c r="AI4" s="1346"/>
      <c r="AJ4" s="1346"/>
      <c r="AK4" s="1346"/>
      <c r="AL4" s="890"/>
      <c r="AM4" s="890"/>
      <c r="AN4" s="890"/>
      <c r="AO4" s="890"/>
      <c r="AP4" s="890"/>
      <c r="AQ4" s="888"/>
      <c r="BB4" s="3"/>
      <c r="BC4" s="3"/>
      <c r="BD4" s="3"/>
      <c r="BE4" s="3"/>
      <c r="BF4" s="3"/>
      <c r="BG4" s="3"/>
      <c r="BH4" s="890"/>
      <c r="BI4" s="890"/>
      <c r="BJ4" s="890"/>
      <c r="BK4" s="890"/>
      <c r="BL4" s="890"/>
      <c r="BM4" s="890"/>
      <c r="BN4" s="890"/>
      <c r="BO4" s="890"/>
      <c r="BP4" s="890"/>
      <c r="BQ4" s="890"/>
      <c r="BR4" s="890"/>
      <c r="BS4" s="890"/>
      <c r="BT4" s="890"/>
      <c r="BU4" s="890"/>
      <c r="BV4" s="890"/>
      <c r="BW4" s="890"/>
      <c r="BX4" s="890"/>
      <c r="BY4" s="890"/>
      <c r="BZ4" s="890"/>
      <c r="CA4" s="890"/>
    </row>
    <row r="5" spans="1:79" ht="18" customHeight="1" thickTop="1" thickBot="1">
      <c r="A5" s="913"/>
      <c r="B5" s="711"/>
      <c r="C5" s="711"/>
      <c r="D5" s="711"/>
      <c r="E5" s="711"/>
      <c r="F5" s="711"/>
      <c r="G5" s="711"/>
      <c r="H5" s="711"/>
      <c r="I5" s="711"/>
      <c r="J5" s="711"/>
      <c r="K5" s="711"/>
      <c r="L5" s="711"/>
      <c r="M5" s="711"/>
      <c r="N5" s="711"/>
      <c r="O5" s="711"/>
      <c r="P5" s="711"/>
      <c r="Q5" s="913"/>
      <c r="R5" s="2383" t="s">
        <v>201</v>
      </c>
      <c r="S5" s="2383"/>
      <c r="T5" s="2383"/>
      <c r="U5" s="2383"/>
      <c r="V5" s="2383"/>
      <c r="W5" s="2383"/>
      <c r="AB5" s="1346">
        <f>LOOKUP(E7,AA6:AA23,AB6:AB23)</f>
        <v>22</v>
      </c>
      <c r="AC5" s="1346">
        <f>LOOKUP(E7,AA6:AA23,AC6:AC23)</f>
        <v>25</v>
      </c>
      <c r="AF5" s="887">
        <f>IF(L10="NO",0,1)</f>
        <v>1</v>
      </c>
      <c r="AG5" s="1347"/>
      <c r="AH5" s="1346">
        <f>LOOKUP($E$7,$AG$6:$AG$24,AH6:AH24)</f>
        <v>25</v>
      </c>
      <c r="AI5" s="1346">
        <f>LOOKUP($E$7,$AG$6:$AG$24,AI6:AI24)</f>
        <v>2500000</v>
      </c>
      <c r="AJ5" s="1346">
        <f>LOOKUP($E$7,$AG$6:$AG$24,AJ6:AJ24)</f>
        <v>30</v>
      </c>
      <c r="AK5" s="1346">
        <f>LOOKUP($E$7,$AG$6:$AG$24,AK6:AK24)</f>
        <v>1</v>
      </c>
      <c r="AL5" s="1346">
        <f>LOOKUP($E$7,$AG$6:$AG$24,AL6:AL24)</f>
        <v>0</v>
      </c>
      <c r="AM5" s="890"/>
      <c r="AN5" s="890"/>
      <c r="AO5" s="890"/>
      <c r="AP5" s="890"/>
      <c r="AQ5" s="888"/>
      <c r="BB5" s="3"/>
      <c r="BC5" s="3"/>
      <c r="BD5" s="3"/>
      <c r="BE5" s="3"/>
      <c r="BF5" s="3"/>
      <c r="BG5" s="3"/>
      <c r="BH5" s="2412" t="str">
        <f>IF(I9="Standard","STANDARD AGE PROOFS","NON-STANDARD AGE PROOFS")</f>
        <v>STANDARD AGE PROOFS</v>
      </c>
      <c r="BI5" s="2412"/>
      <c r="BJ5" s="2412"/>
      <c r="BK5" s="2412"/>
      <c r="BL5" s="2412"/>
      <c r="BM5" s="2412"/>
      <c r="BN5" s="2412"/>
      <c r="BO5" s="890"/>
      <c r="BP5" s="890"/>
      <c r="BQ5" s="890"/>
      <c r="BR5" s="890"/>
      <c r="BS5" s="890"/>
      <c r="BT5" s="890"/>
      <c r="BU5" s="890"/>
      <c r="BV5" s="890"/>
      <c r="BW5" s="890"/>
      <c r="BX5" s="890"/>
      <c r="BY5" s="890"/>
      <c r="BZ5" s="890"/>
      <c r="CA5" s="890"/>
    </row>
    <row r="6" spans="1:79" ht="17.25" thickTop="1" thickBot="1">
      <c r="A6" s="913"/>
      <c r="B6" s="711"/>
      <c r="C6" s="896"/>
      <c r="D6" s="896"/>
      <c r="E6" s="896"/>
      <c r="F6" s="896"/>
      <c r="G6" s="2364" t="str">
        <f>IF(OR((E7=822),(E7=823),(E7=830),(E7=832),(E7=834)),"Kindly note it - Only Standard Age proof is accepted"," ")</f>
        <v xml:space="preserve"> </v>
      </c>
      <c r="H6" s="2364"/>
      <c r="I6" s="2364"/>
      <c r="J6" s="2364"/>
      <c r="K6" s="2364"/>
      <c r="L6" s="2364"/>
      <c r="M6" s="2365" t="str">
        <f>IF(OR((E7=843),(E7=844)),"AADHAAR CARD IS MUST"," ")</f>
        <v xml:space="preserve"> </v>
      </c>
      <c r="N6" s="897"/>
      <c r="O6" s="896"/>
      <c r="P6" s="711"/>
      <c r="Q6" s="913"/>
      <c r="R6" s="2384" t="str">
        <f>DAT!A2</f>
        <v>JEEVAN LAKSHYA</v>
      </c>
      <c r="S6" s="2384"/>
      <c r="T6" s="2384"/>
      <c r="U6" s="2384"/>
      <c r="V6" s="2384"/>
      <c r="W6" s="2384"/>
      <c r="AA6" s="887">
        <v>814</v>
      </c>
      <c r="AB6" s="887">
        <f>E11</f>
        <v>25</v>
      </c>
      <c r="AC6" s="887">
        <f>DAT!M5</f>
        <v>25</v>
      </c>
      <c r="AF6" s="887">
        <f>IF(L11="NO",0,1)</f>
        <v>0</v>
      </c>
      <c r="AG6" s="1347">
        <v>814</v>
      </c>
      <c r="AH6" s="887">
        <f>DAT!M5</f>
        <v>25</v>
      </c>
      <c r="AI6" s="887">
        <f>DAT!L5</f>
        <v>2500000</v>
      </c>
      <c r="AJ6" s="887">
        <f>DAT!O5</f>
        <v>30</v>
      </c>
      <c r="AK6" s="887">
        <v>1</v>
      </c>
      <c r="AL6" s="887">
        <v>0</v>
      </c>
      <c r="AM6" s="890"/>
      <c r="AN6" s="890"/>
      <c r="AO6" s="890"/>
      <c r="AP6" s="890"/>
      <c r="AQ6" s="888"/>
      <c r="BB6" s="3"/>
      <c r="BC6" s="3"/>
      <c r="BD6" s="3"/>
      <c r="BE6" s="3"/>
      <c r="BF6" s="3"/>
      <c r="BG6" s="3"/>
      <c r="BH6" s="918">
        <v>1</v>
      </c>
      <c r="BI6" s="2411" t="str">
        <f>IF(I$9="Standard","MUNICIPAL CERTIFICATE","ESIS- CARD")</f>
        <v>MUNICIPAL CERTIFICATE</v>
      </c>
      <c r="BJ6" s="2411"/>
      <c r="BK6" s="2411"/>
      <c r="BL6" s="2411"/>
      <c r="BM6" s="2411"/>
      <c r="BN6" s="2411"/>
      <c r="BO6" s="890"/>
      <c r="BP6" s="890"/>
      <c r="BQ6" s="890"/>
      <c r="BR6" s="890"/>
      <c r="BS6" s="890"/>
      <c r="BT6" s="890"/>
      <c r="BU6" s="890"/>
      <c r="BV6" s="890"/>
      <c r="BW6" s="890"/>
      <c r="BX6" s="890"/>
      <c r="BY6" s="890"/>
      <c r="BZ6" s="890"/>
      <c r="CA6" s="890"/>
    </row>
    <row r="7" spans="1:79" ht="15.75" customHeight="1" thickTop="1" thickBot="1">
      <c r="A7" s="913"/>
      <c r="B7" s="711"/>
      <c r="C7" s="896"/>
      <c r="D7" s="898" t="s">
        <v>149</v>
      </c>
      <c r="E7" s="2398">
        <v>833</v>
      </c>
      <c r="F7" s="2399"/>
      <c r="G7" s="899"/>
      <c r="H7" s="899"/>
      <c r="I7" s="2391" t="str">
        <f>DAT!A2</f>
        <v>JEEVAN LAKSHYA</v>
      </c>
      <c r="J7" s="2392"/>
      <c r="K7" s="2392"/>
      <c r="L7" s="2393"/>
      <c r="M7" s="2365"/>
      <c r="N7" s="2390" t="str">
        <f>IF(OR((AH5=0),(AI5=0),(AJ5=0),(AK5=0),(AL5=5)),"ERROR - RECHECK THE DATA ENTRY"," ")</f>
        <v xml:space="preserve"> </v>
      </c>
      <c r="O7" s="897"/>
      <c r="P7" s="711"/>
      <c r="Q7" s="913"/>
      <c r="R7" s="2361" t="s">
        <v>202</v>
      </c>
      <c r="S7" s="2361"/>
      <c r="T7" s="2361"/>
      <c r="U7" s="2361"/>
      <c r="V7" s="2361"/>
      <c r="W7" s="2361"/>
      <c r="AA7" s="887">
        <v>815</v>
      </c>
      <c r="AB7" s="887">
        <f>E11</f>
        <v>25</v>
      </c>
      <c r="AC7" s="887">
        <f>DAT!M6</f>
        <v>25</v>
      </c>
      <c r="AG7" s="1347">
        <v>815</v>
      </c>
      <c r="AH7" s="887">
        <f>DAT!M6</f>
        <v>25</v>
      </c>
      <c r="AI7" s="887">
        <f>DAT!L6</f>
        <v>2500000</v>
      </c>
      <c r="AJ7" s="887">
        <f>DAT!O6</f>
        <v>30</v>
      </c>
      <c r="AK7" s="887">
        <v>1</v>
      </c>
      <c r="AL7" s="887">
        <v>0</v>
      </c>
      <c r="AM7" s="890"/>
      <c r="AN7" s="890"/>
      <c r="AO7" s="890"/>
      <c r="AP7" s="890"/>
      <c r="AQ7" s="888"/>
      <c r="BB7" s="3"/>
      <c r="BC7" s="3"/>
      <c r="BD7" s="3"/>
      <c r="BE7" s="3"/>
      <c r="BF7" s="3"/>
      <c r="BG7" s="3"/>
      <c r="BH7" s="918">
        <v>2</v>
      </c>
      <c r="BI7" s="2411" t="str">
        <f>IF(I$9="Standard","SCHOOL CERTIFICATE","MARRIAGE CERTIFICATE in case of MUSLIMS")</f>
        <v>SCHOOL CERTIFICATE</v>
      </c>
      <c r="BJ7" s="2411"/>
      <c r="BK7" s="2411"/>
      <c r="BL7" s="2411"/>
      <c r="BM7" s="2411"/>
      <c r="BN7" s="2411"/>
      <c r="BO7" s="890"/>
      <c r="BP7" s="890"/>
      <c r="BQ7" s="890"/>
      <c r="BR7" s="890"/>
      <c r="BS7" s="890"/>
      <c r="BT7" s="890"/>
      <c r="BU7" s="890"/>
      <c r="BV7" s="890"/>
      <c r="BW7" s="890"/>
      <c r="BX7" s="890"/>
      <c r="BY7" s="890"/>
      <c r="BZ7" s="890"/>
      <c r="CA7" s="890"/>
    </row>
    <row r="8" spans="1:79" ht="17.25" thickTop="1" thickBot="1">
      <c r="A8" s="913"/>
      <c r="B8" s="711"/>
      <c r="C8" s="896"/>
      <c r="D8" s="900" t="s">
        <v>187</v>
      </c>
      <c r="E8" s="5" t="s">
        <v>188</v>
      </c>
      <c r="F8" s="2404" t="s">
        <v>2179</v>
      </c>
      <c r="G8" s="2405"/>
      <c r="H8" s="2406"/>
      <c r="I8" s="2394"/>
      <c r="J8" s="2395"/>
      <c r="K8" s="2395"/>
      <c r="L8" s="2396"/>
      <c r="M8" s="2366"/>
      <c r="N8" s="2390"/>
      <c r="O8" s="897"/>
      <c r="P8" s="711"/>
      <c r="Q8" s="913"/>
      <c r="R8" s="2363" t="s">
        <v>203</v>
      </c>
      <c r="S8" s="2363"/>
      <c r="T8" s="2363"/>
      <c r="U8" s="2361" t="str">
        <f>CONCATENATE((DAT!BA2), " "," ",(X8))</f>
        <v>18  Yrs</v>
      </c>
      <c r="V8" s="2361"/>
      <c r="W8" s="2361"/>
      <c r="X8" s="887" t="str">
        <f>IF(E7=817,"DAYS","Yrs")</f>
        <v>Yrs</v>
      </c>
      <c r="AA8" s="887">
        <v>816</v>
      </c>
      <c r="AB8" s="887">
        <v>1</v>
      </c>
      <c r="AC8" s="887">
        <f>DAT!M7</f>
        <v>0</v>
      </c>
      <c r="AF8" s="887">
        <f>IF(DAT!O8=0,2,0)</f>
        <v>0</v>
      </c>
      <c r="AG8" s="1347">
        <v>816</v>
      </c>
      <c r="AH8" s="887">
        <f>DAT!M7</f>
        <v>0</v>
      </c>
      <c r="AI8" s="887">
        <f>DAT!L7</f>
        <v>2500000</v>
      </c>
      <c r="AJ8" s="887">
        <f>DAT!O7</f>
        <v>30</v>
      </c>
      <c r="AK8" s="887">
        <v>1</v>
      </c>
      <c r="AL8" s="887">
        <v>0</v>
      </c>
      <c r="AM8" s="890"/>
      <c r="AN8" s="890"/>
      <c r="AO8" s="890"/>
      <c r="AP8" s="890"/>
      <c r="AQ8" s="888"/>
      <c r="BB8" s="3"/>
      <c r="BC8" s="3"/>
      <c r="BD8" s="3"/>
      <c r="BE8" s="3"/>
      <c r="BF8" s="3"/>
      <c r="BG8" s="3"/>
      <c r="BH8" s="918">
        <v>3</v>
      </c>
      <c r="BI8" s="2411" t="str">
        <f>IF(I$9="Standard","BAPTISM CERTIFICATE","Service Record Extract where age not verified")</f>
        <v>BAPTISM CERTIFICATE</v>
      </c>
      <c r="BJ8" s="2411"/>
      <c r="BK8" s="2411"/>
      <c r="BL8" s="2411"/>
      <c r="BM8" s="2411"/>
      <c r="BN8" s="2411"/>
      <c r="BO8" s="890"/>
      <c r="BP8" s="890"/>
      <c r="BQ8" s="890"/>
      <c r="BR8" s="890"/>
      <c r="BS8" s="890"/>
      <c r="BT8" s="890"/>
      <c r="BU8" s="890"/>
      <c r="BV8" s="890"/>
      <c r="BW8" s="890"/>
      <c r="BX8" s="890"/>
      <c r="BY8" s="890"/>
      <c r="BZ8" s="890"/>
      <c r="CA8" s="890"/>
    </row>
    <row r="9" spans="1:79" ht="17.25" thickTop="1" thickBot="1">
      <c r="A9" s="913"/>
      <c r="B9" s="711"/>
      <c r="C9" s="896"/>
      <c r="D9" s="898" t="s">
        <v>138</v>
      </c>
      <c r="E9" s="2400">
        <v>30</v>
      </c>
      <c r="F9" s="2401"/>
      <c r="G9" s="2377" t="s">
        <v>802</v>
      </c>
      <c r="H9" s="2378"/>
      <c r="I9" s="729" t="s">
        <v>864</v>
      </c>
      <c r="J9" s="2377" t="s">
        <v>803</v>
      </c>
      <c r="K9" s="2378"/>
      <c r="L9" s="2379" t="s">
        <v>863</v>
      </c>
      <c r="M9" s="2380"/>
      <c r="N9" s="896"/>
      <c r="O9" s="896"/>
      <c r="P9" s="711"/>
      <c r="Q9" s="913"/>
      <c r="R9" s="2362" t="s">
        <v>204</v>
      </c>
      <c r="S9" s="2362"/>
      <c r="T9" s="2362"/>
      <c r="U9" s="2361" t="str">
        <f>CONCATENATE((DAT!BC2), " "," ","Yrs")</f>
        <v>50  Yrs</v>
      </c>
      <c r="V9" s="2361"/>
      <c r="W9" s="2361"/>
      <c r="X9" s="887">
        <f>IF(L11="YES",1,2)</f>
        <v>2</v>
      </c>
      <c r="AA9" s="887">
        <v>817</v>
      </c>
      <c r="AB9" s="887">
        <v>1</v>
      </c>
      <c r="AC9" s="887">
        <f>DAT!M8</f>
        <v>25</v>
      </c>
      <c r="AD9" s="887">
        <v>10</v>
      </c>
      <c r="AE9" s="887">
        <v>0</v>
      </c>
      <c r="AF9" s="887">
        <f>IF(DAT!O8&gt;DAT!BC8,0,2)</f>
        <v>2</v>
      </c>
      <c r="AG9" s="887">
        <v>817</v>
      </c>
      <c r="AH9" s="887">
        <f>DAT!M8</f>
        <v>25</v>
      </c>
      <c r="AI9" s="887">
        <f>DAT!L8</f>
        <v>2500000</v>
      </c>
      <c r="AJ9" s="887">
        <f>IF(AND(($AF$8=0),($AF$9=0)),0,3)</f>
        <v>3</v>
      </c>
      <c r="AK9" s="887">
        <v>1</v>
      </c>
      <c r="AL9" s="887">
        <v>0</v>
      </c>
      <c r="AM9" s="890"/>
      <c r="AN9" s="890"/>
      <c r="AO9" s="890"/>
      <c r="AP9" s="890"/>
      <c r="AQ9" s="888"/>
      <c r="BB9" s="3"/>
      <c r="BC9" s="3"/>
      <c r="BD9" s="3"/>
      <c r="BE9" s="3"/>
      <c r="BF9" s="3"/>
      <c r="BG9" s="3"/>
      <c r="BH9" s="918">
        <v>4</v>
      </c>
      <c r="BI9" s="2411" t="str">
        <f>IF(I$9="Standard","PASSPORT","ELDERS DECLARATION- FORM NO. 3261")</f>
        <v>PASSPORT</v>
      </c>
      <c r="BJ9" s="2411"/>
      <c r="BK9" s="2411"/>
      <c r="BL9" s="2411"/>
      <c r="BM9" s="2411"/>
      <c r="BN9" s="2411"/>
      <c r="BO9" s="890"/>
      <c r="BP9" s="890"/>
      <c r="BQ9" s="890"/>
      <c r="BR9" s="890"/>
      <c r="BS9" s="890"/>
      <c r="BT9" s="890"/>
      <c r="BU9" s="890"/>
      <c r="BV9" s="890"/>
      <c r="BW9" s="890"/>
      <c r="BX9" s="890"/>
      <c r="BY9" s="890"/>
      <c r="BZ9" s="890"/>
      <c r="CA9" s="890"/>
    </row>
    <row r="10" spans="1:79" ht="17.25" thickTop="1" thickBot="1">
      <c r="A10" s="913"/>
      <c r="B10" s="711"/>
      <c r="C10" s="896"/>
      <c r="D10" s="900" t="s">
        <v>141</v>
      </c>
      <c r="E10" s="2402">
        <v>2500000</v>
      </c>
      <c r="F10" s="2403"/>
      <c r="G10" s="2381" t="s">
        <v>191</v>
      </c>
      <c r="H10" s="2382"/>
      <c r="I10" s="901" t="str">
        <f>IF(OR((E7=816),(E7=817),(E7=822),(E7=823),(E7=832),(E7=834),(E7=837)),"NO ADDB","ADDB")</f>
        <v>ADDB</v>
      </c>
      <c r="J10" s="902" t="s">
        <v>190</v>
      </c>
      <c r="K10" s="915" t="str">
        <f>IF(OR((E7=814),(E7=815),(E7=820),(E7=821),(E7=830),(E7=833),(E7=836),(E7=841)),"TERM RIDER"," ")</f>
        <v>TERM RIDER</v>
      </c>
      <c r="L10" s="903" t="s">
        <v>190</v>
      </c>
      <c r="M10" s="915">
        <v>2500000</v>
      </c>
      <c r="N10" s="904"/>
      <c r="O10" s="896"/>
      <c r="P10" s="711"/>
      <c r="Q10" s="913"/>
      <c r="R10" s="2362" t="str">
        <f>IF(E7=818,"MINIMUM VESTING AGE:","MINIMUM TERM:")</f>
        <v>MINIMUM TERM:</v>
      </c>
      <c r="S10" s="2362"/>
      <c r="T10" s="2362"/>
      <c r="U10" s="2361" t="str">
        <f>CONCATENATE((DAT!J2), " "," ","Yrs")</f>
        <v>13  Yrs</v>
      </c>
      <c r="V10" s="2361"/>
      <c r="W10" s="2361"/>
      <c r="AA10" s="887">
        <v>818</v>
      </c>
      <c r="AB10" s="887">
        <f>E11-E9</f>
        <v>-5</v>
      </c>
      <c r="AC10" s="887">
        <f>DAT!M9</f>
        <v>0</v>
      </c>
      <c r="AD10" s="887">
        <v>16</v>
      </c>
      <c r="AE10" s="887">
        <v>10</v>
      </c>
      <c r="AG10" s="1347">
        <v>818</v>
      </c>
      <c r="AH10" s="887">
        <f>DAT!M9</f>
        <v>0</v>
      </c>
      <c r="AI10" s="887">
        <f>DAT!L9</f>
        <v>2500000</v>
      </c>
      <c r="AJ10" s="887">
        <f>DAT!O9</f>
        <v>30</v>
      </c>
      <c r="AK10" s="887">
        <v>1</v>
      </c>
      <c r="AL10" s="887">
        <v>0</v>
      </c>
      <c r="AM10" s="890"/>
      <c r="AN10" s="890"/>
      <c r="AO10" s="890"/>
      <c r="AP10" s="890"/>
      <c r="AQ10" s="888"/>
      <c r="BB10" s="3"/>
      <c r="BC10" s="3"/>
      <c r="BD10" s="3"/>
      <c r="BE10" s="3"/>
      <c r="BF10" s="3"/>
      <c r="BG10" s="3"/>
      <c r="BH10" s="918">
        <v>5</v>
      </c>
      <c r="BI10" s="2411" t="str">
        <f>IF(I$9="Standard","ADHAR CARD WITH FULL DOB","ADHAR CARD WITH YEAR OF BIRTH ONLY")</f>
        <v>ADHAR CARD WITH FULL DOB</v>
      </c>
      <c r="BJ10" s="2411"/>
      <c r="BK10" s="2411"/>
      <c r="BL10" s="2411"/>
      <c r="BM10" s="2411"/>
      <c r="BN10" s="2411"/>
      <c r="BO10" s="890"/>
      <c r="BP10" s="890"/>
      <c r="BQ10" s="890"/>
      <c r="BR10" s="890"/>
      <c r="BS10" s="890"/>
      <c r="BT10" s="890"/>
      <c r="BU10" s="890"/>
      <c r="BV10" s="890"/>
      <c r="BW10" s="890"/>
      <c r="BX10" s="890"/>
      <c r="BY10" s="890"/>
      <c r="BZ10" s="890"/>
      <c r="CA10" s="890"/>
    </row>
    <row r="11" spans="1:79" ht="17.25" thickTop="1" thickBot="1">
      <c r="A11" s="913"/>
      <c r="B11" s="711"/>
      <c r="C11" s="896"/>
      <c r="D11" s="900" t="str">
        <f>IF(E7=818,"VESTING AGE","Term")</f>
        <v>Term</v>
      </c>
      <c r="E11" s="2402">
        <v>25</v>
      </c>
      <c r="F11" s="2403"/>
      <c r="G11" s="2381"/>
      <c r="H11" s="2382"/>
      <c r="I11" s="905" t="str">
        <f>IF(OR((E7=816),(E7=817),(E7=822),(E7=823),(E7=832),(E7=834))," ","Police Duty")</f>
        <v>Police Duty</v>
      </c>
      <c r="J11" s="7" t="s">
        <v>80</v>
      </c>
      <c r="K11" s="915" t="str">
        <f>IF(OR((E7=814),(E7=815),(E7=820),(E7=821),(E7=830),(E7=833),(E7=836),),"Critical Illness"," ")</f>
        <v>Critical Illness</v>
      </c>
      <c r="L11" s="903" t="s">
        <v>80</v>
      </c>
      <c r="M11" s="915" t="str">
        <f>IF(AF6=1,"CIBR. S.A."," ")</f>
        <v/>
      </c>
      <c r="N11" s="904"/>
      <c r="O11" s="896"/>
      <c r="P11" s="711"/>
      <c r="Q11" s="913"/>
      <c r="R11" s="2362" t="str">
        <f>IF(E7=818,"MAXIMUM VESTING AGE:","MAXIMUM TERM:")</f>
        <v>MAXIMUM TERM:</v>
      </c>
      <c r="S11" s="2362"/>
      <c r="T11" s="2362"/>
      <c r="U11" s="2361" t="str">
        <f>CONCATENATE((DAT!K2), " "," ","Yrs")</f>
        <v>25  Yrs</v>
      </c>
      <c r="V11" s="2361"/>
      <c r="W11" s="2361"/>
      <c r="AA11" s="887">
        <v>820</v>
      </c>
      <c r="AB11" s="887">
        <v>15</v>
      </c>
      <c r="AC11" s="887">
        <f>DAT!M10</f>
        <v>0</v>
      </c>
      <c r="AD11" s="887">
        <v>21</v>
      </c>
      <c r="AE11" s="887">
        <v>15</v>
      </c>
      <c r="AG11" s="1347">
        <v>820</v>
      </c>
      <c r="AH11" s="887">
        <f>DAT!M10</f>
        <v>0</v>
      </c>
      <c r="AI11" s="887">
        <f>DAT!L10</f>
        <v>2500000</v>
      </c>
      <c r="AJ11" s="887">
        <f>DAT!O10</f>
        <v>30</v>
      </c>
      <c r="AK11" s="887">
        <v>1</v>
      </c>
      <c r="AL11" s="887">
        <v>0</v>
      </c>
      <c r="AM11" s="890"/>
      <c r="AN11" s="890"/>
      <c r="AO11" s="890"/>
      <c r="AP11" s="890"/>
      <c r="AQ11" s="888"/>
      <c r="BB11" s="3"/>
      <c r="BC11" s="3"/>
      <c r="BD11" s="3"/>
      <c r="BE11" s="3"/>
      <c r="BF11" s="3"/>
      <c r="BG11" s="3"/>
      <c r="BH11" s="918">
        <v>6</v>
      </c>
      <c r="BI11" s="2411" t="str">
        <f>IF(I$9="Standard","PAN CARD","SELF DECLARATION FORM NO 133/3260/5096")</f>
        <v>PAN CARD</v>
      </c>
      <c r="BJ11" s="2411"/>
      <c r="BK11" s="2411"/>
      <c r="BL11" s="2411"/>
      <c r="BM11" s="2411"/>
      <c r="BN11" s="2411"/>
      <c r="BO11" s="890"/>
      <c r="BP11" s="890"/>
      <c r="BQ11" s="890"/>
      <c r="BR11" s="890"/>
      <c r="BS11" s="890"/>
      <c r="BT11" s="890"/>
      <c r="BU11" s="890"/>
      <c r="BV11" s="890"/>
      <c r="BW11" s="890"/>
      <c r="BX11" s="890"/>
      <c r="BY11" s="890"/>
      <c r="BZ11" s="890"/>
      <c r="CA11" s="890"/>
    </row>
    <row r="12" spans="1:79" ht="17.25" thickTop="1" thickBot="1">
      <c r="A12" s="913"/>
      <c r="B12" s="711"/>
      <c r="C12" s="896"/>
      <c r="D12" s="900" t="s">
        <v>139</v>
      </c>
      <c r="E12" s="2388">
        <f>IF((E7=830),"SELECT ==&gt;",AB5)</f>
        <v>22</v>
      </c>
      <c r="F12" s="2389"/>
      <c r="G12" s="6">
        <v>8</v>
      </c>
      <c r="H12" s="899"/>
      <c r="I12" s="915" t="str">
        <f>IF(OR((E7=832),(E7=834)),"PWB"," ")</f>
        <v xml:space="preserve"> </v>
      </c>
      <c r="J12" s="903" t="s">
        <v>190</v>
      </c>
      <c r="K12" s="915" t="str">
        <f>IF(OR((E7=832),(E7=834)),"Proposer  Age"," ")</f>
        <v xml:space="preserve"> </v>
      </c>
      <c r="L12" s="6">
        <v>35</v>
      </c>
      <c r="M12" s="915" t="str">
        <f>IF(E7=834,"S.B. "," ")</f>
        <v xml:space="preserve"> </v>
      </c>
      <c r="N12" s="915" t="s">
        <v>57</v>
      </c>
      <c r="O12" s="896"/>
      <c r="P12" s="711"/>
      <c r="Q12" s="913"/>
      <c r="R12" s="2362" t="str">
        <f>IF(E7=818,"MAXIMUM DEFERMENT TERM:","MAXIMUM MATURITY AGE :")</f>
        <v>MAXIMUM MATURITY AGE :</v>
      </c>
      <c r="S12" s="2362"/>
      <c r="T12" s="2362"/>
      <c r="U12" s="2361" t="str">
        <f>CONCATENATE((DAT!BI2), " "," ","Yrs")</f>
        <v>65  Yrs</v>
      </c>
      <c r="V12" s="2361"/>
      <c r="W12" s="2361"/>
      <c r="AA12" s="887">
        <v>821</v>
      </c>
      <c r="AB12" s="887">
        <v>20</v>
      </c>
      <c r="AC12" s="887">
        <f>DAT!M11</f>
        <v>25</v>
      </c>
      <c r="AD12" s="887">
        <v>25</v>
      </c>
      <c r="AE12" s="887">
        <v>16</v>
      </c>
      <c r="AG12" s="1347">
        <v>821</v>
      </c>
      <c r="AH12" s="887">
        <f>DAT!M11</f>
        <v>25</v>
      </c>
      <c r="AI12" s="887">
        <f>DAT!L11</f>
        <v>2500000</v>
      </c>
      <c r="AJ12" s="887">
        <f>DAT!O11</f>
        <v>30</v>
      </c>
      <c r="AK12" s="887">
        <v>1</v>
      </c>
      <c r="AL12" s="887">
        <v>0</v>
      </c>
      <c r="AM12" s="890"/>
      <c r="AN12" s="890"/>
      <c r="AO12" s="890"/>
      <c r="AP12" s="890"/>
      <c r="AQ12" s="888"/>
      <c r="BB12" s="3"/>
      <c r="BC12" s="3"/>
      <c r="BD12" s="3"/>
      <c r="BE12" s="3"/>
      <c r="BF12" s="3"/>
      <c r="BG12" s="3"/>
      <c r="BH12" s="918">
        <v>7</v>
      </c>
      <c r="BI12" s="2411" t="str">
        <f>IF(I$9="Standard","IDENTITY CARD ISSUED BY DEFENCE DEPARTMENT","RATION CARD WITH Date of Issue")</f>
        <v>IDENTITY CARD ISSUED BY DEFENCE DEPARTMENT</v>
      </c>
      <c r="BJ12" s="2411"/>
      <c r="BK12" s="2411"/>
      <c r="BL12" s="2411"/>
      <c r="BM12" s="2411"/>
      <c r="BN12" s="2411"/>
      <c r="BO12" s="890"/>
      <c r="BP12" s="890"/>
      <c r="BQ12" s="890"/>
      <c r="BR12" s="890"/>
      <c r="BS12" s="890"/>
      <c r="BT12" s="890"/>
      <c r="BU12" s="890"/>
      <c r="BV12" s="890"/>
      <c r="BW12" s="890"/>
      <c r="BX12" s="890"/>
      <c r="BY12" s="890"/>
      <c r="BZ12" s="890"/>
      <c r="CA12" s="890"/>
    </row>
    <row r="13" spans="1:79" ht="23.25" customHeight="1" thickTop="1" thickBot="1">
      <c r="A13" s="913"/>
      <c r="B13" s="711"/>
      <c r="C13" s="896"/>
      <c r="D13" s="900" t="s">
        <v>2108</v>
      </c>
      <c r="E13" s="2372">
        <v>4.4999999999999998E-2</v>
      </c>
      <c r="F13" s="2373"/>
      <c r="G13" s="2368">
        <v>0.18</v>
      </c>
      <c r="H13" s="2369"/>
      <c r="I13" s="2397" t="str">
        <f>IF(OR((E7=814),(E7=815),(E7=820),(E7=821),(E7=827),(E7=830),(E7=832),(E7=833),(E7=834),(E7=836),(E7=838),(E7=841),(E7=843),(E7=844))," Whether  IRR  Shown  in PRINT ?"," ")</f>
        <v xml:space="preserve"> Whether  IRR  Shown  in PRINT ?</v>
      </c>
      <c r="J13" s="2397"/>
      <c r="K13" s="2397"/>
      <c r="L13" s="8" t="s">
        <v>80</v>
      </c>
      <c r="M13" s="896"/>
      <c r="N13" s="896"/>
      <c r="O13" s="896"/>
      <c r="P13" s="711"/>
      <c r="Q13" s="913"/>
      <c r="R13" s="2362" t="s">
        <v>205</v>
      </c>
      <c r="S13" s="2362"/>
      <c r="T13" s="2362"/>
      <c r="U13" s="2356" t="str">
        <f>CONCATENATE("Rs."," ",(DAT!BE2), " ",(DAT!BF2))</f>
        <v>Rs. 100000 &amp; Multiples of 10000</v>
      </c>
      <c r="V13" s="2356"/>
      <c r="W13" s="2356"/>
      <c r="AA13" s="887">
        <v>822</v>
      </c>
      <c r="AB13" s="887">
        <f>E11</f>
        <v>25</v>
      </c>
      <c r="AC13" s="887">
        <f>DAT!M12</f>
        <v>25</v>
      </c>
      <c r="AD13" s="887">
        <f>E11</f>
        <v>25</v>
      </c>
      <c r="AE13" s="887">
        <f>VLOOKUP(AD13,AD9:AE12,2)</f>
        <v>16</v>
      </c>
      <c r="AG13" s="1347">
        <v>822</v>
      </c>
      <c r="AH13" s="887">
        <f>DAT!M12</f>
        <v>25</v>
      </c>
      <c r="AI13" s="887">
        <f>DAT!L12</f>
        <v>0</v>
      </c>
      <c r="AJ13" s="887">
        <f>DAT!O12</f>
        <v>30</v>
      </c>
      <c r="AK13" s="887">
        <v>1</v>
      </c>
      <c r="AL13" s="887">
        <v>0</v>
      </c>
      <c r="AM13" s="890"/>
      <c r="AN13" s="890"/>
      <c r="AO13" s="890"/>
      <c r="AP13" s="890"/>
      <c r="AQ13" s="888"/>
      <c r="BB13" s="3"/>
      <c r="BC13" s="3"/>
      <c r="BD13" s="3"/>
      <c r="BE13" s="3"/>
      <c r="BF13" s="3"/>
      <c r="BG13" s="3"/>
      <c r="BH13" s="918">
        <v>8</v>
      </c>
      <c r="BI13" s="2411" t="str">
        <f>IF(I$9="Standard","S.R. Extract or IDENTITY CARD issued by GOVT./QUASI GOVT","ELECTORS CARD / VOTERS CARD with Date of Issue")</f>
        <v>S.R. Extract or IDENTITY CARD issued by GOVT./QUASI GOVT</v>
      </c>
      <c r="BJ13" s="2411"/>
      <c r="BK13" s="2411"/>
      <c r="BL13" s="2411"/>
      <c r="BM13" s="2411"/>
      <c r="BN13" s="2411"/>
      <c r="BO13" s="890"/>
      <c r="BP13" s="890"/>
      <c r="BQ13" s="890"/>
      <c r="BR13" s="890"/>
      <c r="BS13" s="890"/>
      <c r="BT13" s="890"/>
      <c r="BU13" s="890"/>
      <c r="BV13" s="890"/>
      <c r="BW13" s="890"/>
      <c r="BX13" s="890"/>
      <c r="BY13" s="890"/>
      <c r="BZ13" s="890"/>
      <c r="CA13" s="890"/>
    </row>
    <row r="14" spans="1:79" ht="17.25" customHeight="1" thickTop="1" thickBot="1">
      <c r="A14" s="913"/>
      <c r="B14" s="711"/>
      <c r="C14" s="2407" t="str">
        <f>IF(L11="YES","KINDLY NOTE : CIBR PREMIUM IS NOT ADDED IN THIS PAYABLE PREMIUM. IT IS AN ADDITIONAL PREMIUM. SEE THE CIBR PAGE FOR ADDITIONAL CIBR PREMIUM."," ")</f>
        <v/>
      </c>
      <c r="D14" s="2407"/>
      <c r="E14" s="2407"/>
      <c r="F14" s="2407"/>
      <c r="G14" s="2407"/>
      <c r="H14" s="2407"/>
      <c r="I14" s="2397" t="str">
        <f>IF(E7=818,"COMMUTATION  REQUIRED"," ")</f>
        <v xml:space="preserve"> </v>
      </c>
      <c r="J14" s="2397"/>
      <c r="K14" s="2397"/>
      <c r="L14" s="903" t="s">
        <v>190</v>
      </c>
      <c r="M14" s="896"/>
      <c r="N14" s="906"/>
      <c r="O14" s="896"/>
      <c r="P14" s="711"/>
      <c r="Q14" s="913"/>
      <c r="R14" s="2362" t="s">
        <v>206</v>
      </c>
      <c r="S14" s="2362"/>
      <c r="T14" s="2362"/>
      <c r="U14" s="2367" t="str">
        <f>CONCATENATE("Rs."," ",(DAT!BG2))</f>
        <v>Rs. NO LIMIT</v>
      </c>
      <c r="V14" s="2367"/>
      <c r="W14" s="2367"/>
      <c r="AA14" s="887">
        <v>823</v>
      </c>
      <c r="AB14" s="887">
        <f>E11</f>
        <v>25</v>
      </c>
      <c r="AC14" s="887">
        <f>DAT!M13</f>
        <v>25</v>
      </c>
      <c r="AG14" s="1347">
        <v>823</v>
      </c>
      <c r="AH14" s="887">
        <f>DAT!M13</f>
        <v>25</v>
      </c>
      <c r="AI14" s="887">
        <f>DAT!L13</f>
        <v>2500000</v>
      </c>
      <c r="AJ14" s="887">
        <f>DAT!O13</f>
        <v>30</v>
      </c>
      <c r="AK14" s="887">
        <v>1</v>
      </c>
      <c r="AL14" s="887">
        <v>0</v>
      </c>
      <c r="AM14" s="890"/>
      <c r="AN14" s="890"/>
      <c r="AO14" s="890"/>
      <c r="AP14" s="890"/>
      <c r="AQ14" s="888"/>
      <c r="BB14" s="3"/>
      <c r="BC14" s="3"/>
      <c r="BD14" s="3"/>
      <c r="BE14" s="3"/>
      <c r="BF14" s="3"/>
      <c r="BG14" s="3"/>
      <c r="BH14" s="918">
        <v>9</v>
      </c>
      <c r="BI14" s="2411" t="str">
        <f>IF(I$9="Standard","MARRIAGE CERTIFICATE Issued by Roman Catholic","Stamped Declaration Form No. 5220")</f>
        <v>MARRIAGE CERTIFICATE Issued by Roman Catholic</v>
      </c>
      <c r="BJ14" s="2411"/>
      <c r="BK14" s="2411"/>
      <c r="BL14" s="2411"/>
      <c r="BM14" s="2411"/>
      <c r="BN14" s="2411"/>
      <c r="BO14" s="890"/>
      <c r="BP14" s="890"/>
      <c r="BQ14" s="890"/>
      <c r="BR14" s="890"/>
      <c r="BS14" s="890"/>
      <c r="BT14" s="890"/>
      <c r="BU14" s="890"/>
      <c r="BV14" s="890"/>
      <c r="BW14" s="890"/>
      <c r="BX14" s="890"/>
      <c r="BY14" s="890"/>
      <c r="BZ14" s="890"/>
      <c r="CA14" s="890"/>
    </row>
    <row r="15" spans="1:79" ht="21.75" customHeight="1" thickTop="1" thickBot="1">
      <c r="A15" s="913"/>
      <c r="B15" s="711"/>
      <c r="C15" s="2407"/>
      <c r="D15" s="2407"/>
      <c r="E15" s="2407"/>
      <c r="F15" s="2407"/>
      <c r="G15" s="2407"/>
      <c r="H15" s="2407"/>
      <c r="I15" s="907"/>
      <c r="J15" s="907"/>
      <c r="K15" s="2408" t="s">
        <v>200</v>
      </c>
      <c r="L15" s="2408"/>
      <c r="M15" s="2408"/>
      <c r="N15" s="2408"/>
      <c r="O15" s="896"/>
      <c r="P15" s="711"/>
      <c r="Q15" s="913"/>
      <c r="R15" s="2356" t="s">
        <v>207</v>
      </c>
      <c r="S15" s="2356"/>
      <c r="T15" s="2356"/>
      <c r="U15" s="2361" t="str">
        <f>IF(DAT!P2=1,"ALLOWED","NOT ALLOWED")</f>
        <v>ALLOWED</v>
      </c>
      <c r="V15" s="2361"/>
      <c r="W15" s="2361"/>
      <c r="AA15" s="887">
        <v>827</v>
      </c>
      <c r="AB15" s="887">
        <f>E11</f>
        <v>25</v>
      </c>
      <c r="AC15" s="887">
        <f>DAT!M14</f>
        <v>0</v>
      </c>
      <c r="AG15" s="1347">
        <v>827</v>
      </c>
      <c r="AH15" s="887">
        <f>DAT!M14</f>
        <v>0</v>
      </c>
      <c r="AI15" s="887">
        <f>DAT!L14</f>
        <v>0</v>
      </c>
      <c r="AJ15" s="887">
        <f>DAT!O14</f>
        <v>30</v>
      </c>
      <c r="AK15" s="887">
        <v>1</v>
      </c>
      <c r="AL15" s="887">
        <v>0</v>
      </c>
      <c r="AM15" s="890"/>
      <c r="AN15" s="890"/>
      <c r="AO15" s="890"/>
      <c r="AP15" s="890"/>
      <c r="AQ15" s="888"/>
      <c r="BB15" s="3"/>
      <c r="BC15" s="3"/>
      <c r="BD15" s="3"/>
      <c r="BE15" s="3"/>
      <c r="BF15" s="3"/>
      <c r="BG15" s="3"/>
      <c r="BH15" s="918">
        <v>10</v>
      </c>
      <c r="BI15" s="2411" t="str">
        <f>IF(I$9="Standard","DOMICILE CERTIFICATE","VILLAGE PANCHAYAT CERTIFICATE")</f>
        <v>DOMICILE CERTIFICATE</v>
      </c>
      <c r="BJ15" s="2411"/>
      <c r="BK15" s="2411"/>
      <c r="BL15" s="2411"/>
      <c r="BM15" s="2411"/>
      <c r="BN15" s="2411"/>
      <c r="BO15" s="890"/>
      <c r="BP15" s="890"/>
      <c r="BQ15" s="890"/>
      <c r="BR15" s="890"/>
      <c r="BS15" s="890"/>
      <c r="BT15" s="890"/>
      <c r="BU15" s="890"/>
      <c r="BV15" s="890"/>
      <c r="BW15" s="890"/>
      <c r="BX15" s="890"/>
      <c r="BY15" s="890"/>
      <c r="BZ15" s="890"/>
      <c r="CA15" s="890"/>
    </row>
    <row r="16" spans="1:79" ht="16.5" customHeight="1" thickTop="1" thickBot="1">
      <c r="A16" s="913"/>
      <c r="B16" s="711"/>
      <c r="C16" s="896"/>
      <c r="D16" s="2370" t="s">
        <v>192</v>
      </c>
      <c r="E16" s="2370"/>
      <c r="F16" s="2370"/>
      <c r="G16" s="2370"/>
      <c r="H16" s="2370"/>
      <c r="I16" s="2370"/>
      <c r="J16" s="908"/>
      <c r="K16" s="2408"/>
      <c r="L16" s="2408"/>
      <c r="M16" s="2408"/>
      <c r="N16" s="2408"/>
      <c r="O16" s="896"/>
      <c r="P16" s="711"/>
      <c r="Q16" s="913"/>
      <c r="R16" s="2356"/>
      <c r="S16" s="2356"/>
      <c r="T16" s="2356"/>
      <c r="U16" s="2361"/>
      <c r="V16" s="2361"/>
      <c r="W16" s="2361"/>
      <c r="AA16" s="1348">
        <v>832</v>
      </c>
      <c r="AB16" s="887">
        <f>E11-E9</f>
        <v>-5</v>
      </c>
      <c r="AC16" s="887">
        <f>DAT!M16</f>
        <v>25</v>
      </c>
      <c r="AG16" s="1347">
        <v>830</v>
      </c>
      <c r="AH16" s="887">
        <f>DAT!M15</f>
        <v>0</v>
      </c>
      <c r="AI16" s="887">
        <f>DAT!L15</f>
        <v>2500000</v>
      </c>
      <c r="AJ16" s="887">
        <f>DAT!O15</f>
        <v>30</v>
      </c>
      <c r="AK16" s="887">
        <v>1</v>
      </c>
      <c r="AL16" s="887">
        <v>0</v>
      </c>
      <c r="BB16" s="3"/>
      <c r="BC16" s="3"/>
      <c r="BD16" s="3"/>
      <c r="BE16" s="3"/>
      <c r="BF16" s="3"/>
      <c r="BG16" s="3"/>
      <c r="BH16" s="918">
        <v>11</v>
      </c>
      <c r="BI16" s="2411" t="str">
        <f>IF(I$9="Standard","DRIVING LICENSE VALID","HORROSCOPE")</f>
        <v>DRIVING LICENSE VALID</v>
      </c>
      <c r="BJ16" s="2411"/>
      <c r="BK16" s="2411"/>
      <c r="BL16" s="2411"/>
      <c r="BM16" s="2411"/>
      <c r="BN16" s="2411"/>
      <c r="BO16" s="890"/>
      <c r="BP16" s="890"/>
      <c r="BQ16" s="890"/>
      <c r="BR16" s="890"/>
      <c r="BS16" s="890"/>
      <c r="BT16" s="890"/>
      <c r="BU16" s="890"/>
      <c r="BV16" s="890"/>
      <c r="BW16" s="890"/>
      <c r="BX16" s="890"/>
      <c r="BY16" s="890"/>
      <c r="BZ16" s="890"/>
      <c r="CA16" s="890"/>
    </row>
    <row r="17" spans="1:79" ht="17.25" thickTop="1" thickBot="1">
      <c r="A17" s="913"/>
      <c r="B17" s="711"/>
      <c r="C17" s="896"/>
      <c r="D17" s="1093" t="s">
        <v>193</v>
      </c>
      <c r="E17" s="2374" t="s">
        <v>194</v>
      </c>
      <c r="F17" s="2374"/>
      <c r="G17" s="2413" t="s">
        <v>2108</v>
      </c>
      <c r="H17" s="2413"/>
      <c r="I17" s="1094" t="s">
        <v>195</v>
      </c>
      <c r="J17" s="909"/>
      <c r="K17" s="914" t="str">
        <f>IF($E$7=814,"814 VIEW - CLICK"," ")</f>
        <v xml:space="preserve"> </v>
      </c>
      <c r="L17" s="2387" t="str">
        <f>IF($E$7=820,"820 VIEW - CLICK"," ")</f>
        <v xml:space="preserve"> </v>
      </c>
      <c r="M17" s="2387"/>
      <c r="N17" s="914" t="str">
        <f>IF($E$7=832,"832 VIEW - CLICK"," ")</f>
        <v xml:space="preserve"> </v>
      </c>
      <c r="O17" s="896"/>
      <c r="P17" s="711"/>
      <c r="Q17" s="913"/>
      <c r="R17" s="2356" t="s">
        <v>208</v>
      </c>
      <c r="S17" s="2356"/>
      <c r="T17" s="2356"/>
      <c r="U17" s="2355" t="str">
        <f>IF(OR((E7=814),(E7=815),(E7=820),(E7=821),(E7=830),(E7=833),(E7=836)),"ALLOWED - 18 Yrs &amp; Above","NOT ALLOWED")</f>
        <v>ALLOWED - 18 Yrs &amp; Above</v>
      </c>
      <c r="V17" s="2355"/>
      <c r="W17" s="2355"/>
      <c r="AA17" s="887">
        <v>833</v>
      </c>
      <c r="AB17" s="887">
        <f>E11-3</f>
        <v>22</v>
      </c>
      <c r="AC17" s="887">
        <f>DAT!M17</f>
        <v>25</v>
      </c>
      <c r="AE17" s="887">
        <f>IF(DAT!O16=100,0,DAT!O16)</f>
        <v>0</v>
      </c>
      <c r="AF17" s="887">
        <f>IF(DAT!O16=0,1,DAT!O16)</f>
        <v>100</v>
      </c>
      <c r="AG17" s="1347">
        <v>832</v>
      </c>
      <c r="AH17" s="887">
        <f>IF(DAT!M16=E11,DAT!M16,0)</f>
        <v>25</v>
      </c>
      <c r="AI17" s="887">
        <f>DAT!L16</f>
        <v>2500000</v>
      </c>
      <c r="AJ17" s="887">
        <f>AF17</f>
        <v>100</v>
      </c>
      <c r="AK17" s="887">
        <f>IF(E9&gt;12,0,1)</f>
        <v>0</v>
      </c>
      <c r="AL17" s="887">
        <v>0</v>
      </c>
      <c r="BB17" s="3"/>
      <c r="BC17" s="3"/>
      <c r="BD17" s="3"/>
      <c r="BE17" s="3"/>
      <c r="BF17" s="3"/>
      <c r="BG17" s="3"/>
      <c r="BH17" s="918">
        <v>12</v>
      </c>
      <c r="BI17" s="2411" t="str">
        <f>IF(I$9="Standard","Horroscope maintained by family if satisfied Manager NB","ANY OTHER AGEPROOF not classified as Std.ageproofs. ")</f>
        <v>Horroscope maintained by family if satisfied Manager NB</v>
      </c>
      <c r="BJ17" s="2411"/>
      <c r="BK17" s="2411"/>
      <c r="BL17" s="2411"/>
      <c r="BM17" s="2411"/>
      <c r="BN17" s="2411"/>
      <c r="BO17" s="890"/>
      <c r="BP17" s="890"/>
      <c r="BQ17" s="890"/>
      <c r="BR17" s="890"/>
      <c r="BS17" s="890"/>
      <c r="BT17" s="890"/>
      <c r="BU17" s="890"/>
      <c r="BV17" s="890"/>
      <c r="BW17" s="890"/>
      <c r="BX17" s="890"/>
      <c r="BY17" s="890"/>
      <c r="BZ17" s="890"/>
      <c r="CA17" s="890"/>
    </row>
    <row r="18" spans="1:79" ht="18.75" thickTop="1" thickBot="1">
      <c r="A18" s="913"/>
      <c r="B18" s="711"/>
      <c r="C18" s="896"/>
      <c r="D18" s="1093" t="s">
        <v>124</v>
      </c>
      <c r="E18" s="2386">
        <f>DAT!AB2</f>
        <v>0</v>
      </c>
      <c r="F18" s="2386"/>
      <c r="G18" s="2386">
        <f>I18-E18</f>
        <v>0</v>
      </c>
      <c r="H18" s="2386"/>
      <c r="I18" s="1095">
        <f>DAT!AS2</f>
        <v>0</v>
      </c>
      <c r="J18" s="909"/>
      <c r="K18" s="910" t="str">
        <f>IF($E$7=815,"815 VIEW - CLICK"," ")</f>
        <v xml:space="preserve"> </v>
      </c>
      <c r="L18" s="2387" t="str">
        <f>IF($E$7=821,"821 VIEW - CLICK"," ")</f>
        <v xml:space="preserve"> </v>
      </c>
      <c r="M18" s="2387"/>
      <c r="N18" s="914" t="str">
        <f>IF($E$7=833,"833 VIEW - CLICK"," ")</f>
        <v>833 VIEW - CLICK</v>
      </c>
      <c r="O18" s="896"/>
      <c r="P18" s="711"/>
      <c r="Q18" s="913"/>
      <c r="R18" s="2356" t="str">
        <f>IF(OR((E7=814),(E7=815),(E7=820),(E7=821),(E7=830),(E7=833),(E7=836),),"Critical Illness Benefit Rider"," ")</f>
        <v>Critical Illness Benefit Rider</v>
      </c>
      <c r="S18" s="2356"/>
      <c r="T18" s="2356"/>
      <c r="U18" s="2355" t="str">
        <f>IF(OR((E7=814),(E7=815),(E7=820),(E7=821),(E7=830),(E7=833),(E7=836),),"ALLOWED - 18 Yrs &amp; Above"," ")</f>
        <v>ALLOWED - 18 Yrs &amp; Above</v>
      </c>
      <c r="V18" s="2355"/>
      <c r="W18" s="2355"/>
      <c r="AA18" s="887">
        <v>834</v>
      </c>
      <c r="AB18" s="887">
        <f>20-E9</f>
        <v>-10</v>
      </c>
      <c r="AC18" s="887">
        <f>DAT!M18</f>
        <v>25</v>
      </c>
      <c r="AG18" s="1347">
        <v>833</v>
      </c>
      <c r="AH18" s="887">
        <f>DAT!M17</f>
        <v>25</v>
      </c>
      <c r="AI18" s="887">
        <f>DAT!L17</f>
        <v>2500000</v>
      </c>
      <c r="AJ18" s="887">
        <f>DAT!O17</f>
        <v>30</v>
      </c>
      <c r="AK18" s="887">
        <v>1</v>
      </c>
      <c r="AL18" s="887">
        <v>0</v>
      </c>
      <c r="BB18" s="3"/>
      <c r="BC18" s="3"/>
      <c r="BD18" s="3"/>
      <c r="BE18" s="3"/>
      <c r="BF18" s="3"/>
      <c r="BG18" s="3"/>
      <c r="BH18" s="2357"/>
      <c r="BI18" s="2357"/>
      <c r="BJ18" s="953"/>
      <c r="BK18" s="953"/>
      <c r="BL18" s="953"/>
      <c r="BM18" s="953"/>
      <c r="BN18" s="953"/>
      <c r="BO18" s="890"/>
      <c r="BP18" s="890"/>
      <c r="BQ18" s="890"/>
      <c r="BR18" s="890"/>
      <c r="BS18" s="890"/>
      <c r="BT18" s="890"/>
      <c r="BU18" s="890"/>
      <c r="BV18" s="890"/>
      <c r="BW18" s="890"/>
      <c r="BX18" s="890"/>
      <c r="BY18" s="890"/>
      <c r="BZ18" s="890"/>
      <c r="CA18" s="890"/>
    </row>
    <row r="19" spans="1:79" ht="18.75" thickTop="1" thickBot="1">
      <c r="A19" s="913"/>
      <c r="B19" s="711"/>
      <c r="C19" s="896"/>
      <c r="D19" s="1093" t="s">
        <v>196</v>
      </c>
      <c r="E19" s="2386">
        <f>DAT!AN2</f>
        <v>104398</v>
      </c>
      <c r="F19" s="2386"/>
      <c r="G19" s="2386">
        <f t="shared" ref="G19:G22" si="0">I19-E19</f>
        <v>4698</v>
      </c>
      <c r="H19" s="2386"/>
      <c r="I19" s="1095">
        <f>DAT!AT2</f>
        <v>109096</v>
      </c>
      <c r="J19" s="909"/>
      <c r="K19" s="910" t="str">
        <f>IF($E$7=816,"816 VIEW - CLICK"," ")</f>
        <v xml:space="preserve"> </v>
      </c>
      <c r="L19" s="2387" t="str">
        <f>IF($E$7=822,"822 VIEW - CLICK"," ")</f>
        <v xml:space="preserve"> </v>
      </c>
      <c r="M19" s="2387"/>
      <c r="N19" s="914" t="str">
        <f>IF($E$7=834,"834 VIEW - CLICK"," ")</f>
        <v xml:space="preserve"> </v>
      </c>
      <c r="O19" s="896"/>
      <c r="P19" s="711"/>
      <c r="Q19" s="913"/>
      <c r="R19" s="2356" t="str">
        <f>IF(OR((E7=832),(E7=834)),"Premium Waiver Benefit"," ")</f>
        <v xml:space="preserve"> </v>
      </c>
      <c r="S19" s="2356"/>
      <c r="T19" s="2356"/>
      <c r="U19" s="2367" t="str">
        <f>IF(OR((E7=832),(E7=834)),"ALLOWED"," ")</f>
        <v xml:space="preserve"> </v>
      </c>
      <c r="V19" s="2367"/>
      <c r="W19" s="2367"/>
      <c r="AA19" s="887">
        <v>836</v>
      </c>
      <c r="AB19" s="887">
        <f>AE13</f>
        <v>16</v>
      </c>
      <c r="AC19" s="887">
        <f>DAT!M19</f>
        <v>25</v>
      </c>
      <c r="AE19" s="887">
        <f>IF(DAT!O18=100,0,DAT!O18)</f>
        <v>0</v>
      </c>
      <c r="AF19" s="887">
        <f>IF(DAT!O18=0,1,DAT!O18)</f>
        <v>100</v>
      </c>
      <c r="AG19" s="1347">
        <v>834</v>
      </c>
      <c r="AH19" s="887">
        <f>IF(DAT!M18=E11,DAT!M18,0)</f>
        <v>25</v>
      </c>
      <c r="AI19" s="887">
        <f>DAT!L18</f>
        <v>2500000</v>
      </c>
      <c r="AJ19" s="887">
        <f>AF19</f>
        <v>100</v>
      </c>
      <c r="AK19" s="887">
        <f>IF(E9&gt;12,0,1)</f>
        <v>0</v>
      </c>
      <c r="AL19" s="887">
        <v>0</v>
      </c>
      <c r="BB19" s="3"/>
      <c r="BC19" s="3"/>
      <c r="BD19" s="3"/>
      <c r="BE19" s="3"/>
      <c r="BF19" s="3"/>
      <c r="BG19" s="3"/>
      <c r="BH19" s="2358"/>
      <c r="BI19" s="2358"/>
      <c r="BJ19" s="894"/>
      <c r="BK19" s="894"/>
      <c r="BL19" s="894"/>
      <c r="BM19" s="894"/>
      <c r="BN19" s="894"/>
      <c r="BO19" s="890"/>
      <c r="BP19" s="890"/>
      <c r="BQ19" s="890"/>
      <c r="BR19" s="890"/>
      <c r="BS19" s="890"/>
      <c r="BT19" s="890"/>
      <c r="BU19" s="890"/>
      <c r="BV19" s="890"/>
      <c r="BW19" s="890"/>
      <c r="BX19" s="890"/>
      <c r="BY19" s="890"/>
      <c r="BZ19" s="890"/>
      <c r="CA19" s="890"/>
    </row>
    <row r="20" spans="1:79" ht="18.75" thickTop="1" thickBot="1">
      <c r="A20" s="913"/>
      <c r="B20" s="711"/>
      <c r="C20" s="896"/>
      <c r="D20" s="1093" t="s">
        <v>197</v>
      </c>
      <c r="E20" s="2386">
        <f>DAT!AO2</f>
        <v>52756</v>
      </c>
      <c r="F20" s="2386"/>
      <c r="G20" s="2386">
        <f t="shared" si="0"/>
        <v>2374</v>
      </c>
      <c r="H20" s="2386"/>
      <c r="I20" s="1095">
        <f>DAT!AU2</f>
        <v>55130</v>
      </c>
      <c r="J20" s="909"/>
      <c r="K20" s="910" t="str">
        <f>IF($E$7=817,"817 VIEW - CLICK"," ")</f>
        <v xml:space="preserve"> </v>
      </c>
      <c r="L20" s="2387" t="str">
        <f>IF($E$7=823,"823 VIEW - CLICK"," ")</f>
        <v xml:space="preserve"> </v>
      </c>
      <c r="M20" s="2387"/>
      <c r="N20" s="914" t="str">
        <f>IF($E$7=836,"836 VIEW - CLICK"," ")</f>
        <v xml:space="preserve"> </v>
      </c>
      <c r="O20" s="896"/>
      <c r="P20" s="711"/>
      <c r="Q20" s="913"/>
      <c r="R20" s="885"/>
      <c r="S20" s="885"/>
      <c r="T20" s="885"/>
      <c r="U20" s="885"/>
      <c r="V20" s="885"/>
      <c r="W20" s="891"/>
      <c r="AA20" s="887">
        <v>838</v>
      </c>
      <c r="AB20" s="887">
        <f>E11</f>
        <v>25</v>
      </c>
      <c r="AC20" s="887">
        <f>DAT!M20</f>
        <v>0</v>
      </c>
      <c r="AG20" s="1347">
        <v>836</v>
      </c>
      <c r="AH20" s="887">
        <f>DAT!M19</f>
        <v>25</v>
      </c>
      <c r="AI20" s="887">
        <f>DAT!L19</f>
        <v>2500000</v>
      </c>
      <c r="AJ20" s="887">
        <f>DAT!O19</f>
        <v>30</v>
      </c>
      <c r="AK20" s="887">
        <v>1</v>
      </c>
      <c r="AL20" s="887">
        <v>0</v>
      </c>
      <c r="BB20" s="3"/>
      <c r="BC20" s="3"/>
      <c r="BD20" s="3"/>
      <c r="BE20" s="3"/>
      <c r="BF20" s="3"/>
      <c r="BG20" s="3"/>
      <c r="BH20" s="2358"/>
      <c r="BI20" s="2358"/>
      <c r="BJ20" s="894"/>
      <c r="BK20" s="894"/>
      <c r="BL20" s="894"/>
      <c r="BM20" s="894"/>
      <c r="BN20" s="894"/>
      <c r="BO20" s="890"/>
      <c r="BP20" s="890"/>
      <c r="BQ20" s="890"/>
      <c r="BR20" s="890"/>
      <c r="BS20" s="890"/>
      <c r="BT20" s="890"/>
      <c r="BU20" s="890"/>
      <c r="BV20" s="890"/>
      <c r="BW20" s="890"/>
      <c r="BX20" s="890"/>
      <c r="BY20" s="890"/>
      <c r="BZ20" s="890"/>
      <c r="CA20" s="890"/>
    </row>
    <row r="21" spans="1:79" ht="18.75" thickTop="1" thickBot="1">
      <c r="A21" s="913"/>
      <c r="B21" s="711"/>
      <c r="C21" s="896"/>
      <c r="D21" s="1093" t="s">
        <v>198</v>
      </c>
      <c r="E21" s="2386">
        <f>DAT!AP2</f>
        <v>26656</v>
      </c>
      <c r="F21" s="2386"/>
      <c r="G21" s="2386">
        <f t="shared" si="0"/>
        <v>1200</v>
      </c>
      <c r="H21" s="2386"/>
      <c r="I21" s="1095">
        <f>DAT!AV2</f>
        <v>27856</v>
      </c>
      <c r="J21" s="909"/>
      <c r="K21" s="914" t="str">
        <f>IF($E$7=818,"818 SINGLE- CLICK"," ")</f>
        <v xml:space="preserve"> </v>
      </c>
      <c r="L21" s="2387" t="str">
        <f>IF($E$7=827,"827 VIEW - CLICK"," ")</f>
        <v xml:space="preserve"> </v>
      </c>
      <c r="M21" s="2387"/>
      <c r="N21" s="914" t="str">
        <f>IF($E$7=838,"838 VIEW - CLICK"," ")</f>
        <v xml:space="preserve"> </v>
      </c>
      <c r="O21" s="896"/>
      <c r="P21" s="711"/>
      <c r="Q21" s="913"/>
      <c r="R21" s="2360" t="s">
        <v>484</v>
      </c>
      <c r="S21" s="2360"/>
      <c r="T21" s="2360"/>
      <c r="U21" s="2360"/>
      <c r="V21" s="2360"/>
      <c r="W21" s="891"/>
      <c r="X21" s="891"/>
      <c r="Y21" s="891"/>
      <c r="Z21" s="966"/>
      <c r="AA21" s="966">
        <v>843</v>
      </c>
      <c r="AB21" s="1349">
        <f>E11</f>
        <v>25</v>
      </c>
      <c r="AC21" s="966">
        <f>DAT!M21</f>
        <v>0</v>
      </c>
      <c r="AD21" s="966"/>
      <c r="AE21" s="966"/>
      <c r="AF21" s="966"/>
      <c r="AG21" s="966">
        <v>838</v>
      </c>
      <c r="AH21" s="966">
        <f>DAT!M20</f>
        <v>0</v>
      </c>
      <c r="AI21" s="966">
        <f>DAT!L20</f>
        <v>2500000</v>
      </c>
      <c r="AJ21" s="966">
        <f>DAT!O20</f>
        <v>30</v>
      </c>
      <c r="AK21" s="966">
        <v>1</v>
      </c>
      <c r="AL21" s="966">
        <v>0</v>
      </c>
      <c r="AM21" s="966"/>
      <c r="AN21" s="966"/>
      <c r="AO21" s="966"/>
      <c r="AP21" s="966"/>
      <c r="AQ21" s="967"/>
      <c r="AR21" s="893"/>
      <c r="AS21" s="893"/>
      <c r="AT21" s="893"/>
      <c r="AU21" s="893"/>
      <c r="AV21" s="893"/>
      <c r="AW21" s="893"/>
      <c r="AX21" s="893"/>
      <c r="AY21" s="893"/>
      <c r="AZ21" s="893"/>
      <c r="BA21" s="893"/>
      <c r="BB21" s="893"/>
      <c r="BC21" s="893"/>
      <c r="BD21" s="893"/>
      <c r="BE21" s="893"/>
      <c r="BF21" s="893"/>
      <c r="BG21" s="893"/>
      <c r="BH21" s="894"/>
      <c r="BI21" s="894"/>
      <c r="BJ21" s="2360"/>
      <c r="BK21" s="2360"/>
      <c r="BL21" s="2360"/>
      <c r="BM21" s="2360"/>
      <c r="BN21" s="2360"/>
      <c r="BO21" s="890"/>
      <c r="BP21" s="890"/>
      <c r="BQ21" s="890"/>
      <c r="BR21" s="890"/>
      <c r="BS21" s="890"/>
      <c r="BT21" s="890"/>
      <c r="BU21" s="890"/>
      <c r="BV21" s="890"/>
      <c r="BW21" s="890"/>
      <c r="BX21" s="890"/>
      <c r="BY21" s="890"/>
      <c r="BZ21" s="890"/>
      <c r="CA21" s="890"/>
    </row>
    <row r="22" spans="1:79" ht="18.75" thickTop="1" thickBot="1">
      <c r="A22" s="913"/>
      <c r="B22" s="711"/>
      <c r="C22" s="896"/>
      <c r="D22" s="1093" t="s">
        <v>199</v>
      </c>
      <c r="E22" s="2386">
        <f>DAT!AQ2</f>
        <v>8885</v>
      </c>
      <c r="F22" s="2386"/>
      <c r="G22" s="2386">
        <f t="shared" si="0"/>
        <v>400</v>
      </c>
      <c r="H22" s="2386"/>
      <c r="I22" s="1095">
        <f>DAT!AW2</f>
        <v>9285</v>
      </c>
      <c r="J22" s="909"/>
      <c r="K22" s="914" t="str">
        <f>IF($E$7=818,"818 REGULAR- CLICK"," ")</f>
        <v xml:space="preserve"> </v>
      </c>
      <c r="L22" s="2387" t="str">
        <f>IF($E$7=830,"830 VIEW - CLICK"," ")</f>
        <v xml:space="preserve"> </v>
      </c>
      <c r="M22" s="2387"/>
      <c r="N22" s="914"/>
      <c r="O22" s="896"/>
      <c r="P22" s="711"/>
      <c r="Q22" s="913"/>
      <c r="R22" s="2359" t="s">
        <v>485</v>
      </c>
      <c r="S22" s="2359"/>
      <c r="T22" s="2359"/>
      <c r="U22" s="2359"/>
      <c r="V22" s="2359"/>
      <c r="W22" s="892"/>
      <c r="X22" s="891"/>
      <c r="Y22" s="891"/>
      <c r="Z22" s="966"/>
      <c r="AA22" s="966">
        <v>844</v>
      </c>
      <c r="AB22" s="966">
        <f>E11</f>
        <v>25</v>
      </c>
      <c r="AC22" s="966">
        <f>DAT!M22</f>
        <v>0</v>
      </c>
      <c r="AD22" s="966"/>
      <c r="AE22" s="966"/>
      <c r="AF22" s="966"/>
      <c r="AG22" s="966">
        <v>843</v>
      </c>
      <c r="AH22" s="966">
        <f>DAT!M21</f>
        <v>0</v>
      </c>
      <c r="AI22" s="966">
        <f>DAT!L21</f>
        <v>0</v>
      </c>
      <c r="AJ22" s="966">
        <f>DAT!O21</f>
        <v>30</v>
      </c>
      <c r="AK22" s="966">
        <v>1</v>
      </c>
      <c r="AL22" s="966">
        <f>IF(OR((E8="Sri."),(E8="Mr."),(E8="Selvan."),(E8="Master.")),3,5)</f>
        <v>3</v>
      </c>
      <c r="AM22" s="966"/>
      <c r="AN22" s="966"/>
      <c r="AO22" s="966"/>
      <c r="AP22" s="966"/>
      <c r="AQ22" s="967"/>
      <c r="AR22" s="893"/>
      <c r="AS22" s="893"/>
      <c r="AT22" s="893"/>
      <c r="AU22" s="893"/>
      <c r="AV22" s="893"/>
      <c r="AW22" s="893"/>
      <c r="AX22" s="893"/>
      <c r="AY22" s="893"/>
      <c r="AZ22" s="893"/>
      <c r="BA22" s="893"/>
      <c r="BB22" s="893"/>
      <c r="BC22" s="893"/>
      <c r="BD22" s="893"/>
      <c r="BE22" s="893"/>
      <c r="BF22" s="893"/>
      <c r="BG22" s="893"/>
      <c r="BH22" s="894"/>
      <c r="BI22" s="894"/>
      <c r="BJ22" s="2359"/>
      <c r="BK22" s="2359"/>
      <c r="BL22" s="2359"/>
      <c r="BM22" s="2359"/>
      <c r="BN22" s="2359"/>
      <c r="BO22" s="890"/>
      <c r="BP22" s="890"/>
      <c r="BQ22" s="890"/>
      <c r="BR22" s="890"/>
      <c r="BS22" s="890"/>
      <c r="BT22" s="890"/>
      <c r="BU22" s="890"/>
      <c r="BV22" s="890"/>
      <c r="BW22" s="890"/>
      <c r="BX22" s="890"/>
      <c r="BY22" s="890"/>
      <c r="BZ22" s="890"/>
      <c r="CA22" s="890"/>
    </row>
    <row r="23" spans="1:79" ht="15" customHeight="1" thickTop="1">
      <c r="A23" s="913"/>
      <c r="B23" s="711"/>
      <c r="C23" s="896"/>
      <c r="D23" s="896"/>
      <c r="E23" s="2385"/>
      <c r="F23" s="2385"/>
      <c r="G23" s="2385"/>
      <c r="H23" s="2385"/>
      <c r="I23" s="911"/>
      <c r="J23" s="911"/>
      <c r="K23" s="952" t="str">
        <f>IF($E$7=843,"843 VIEW - CLICK"," ")</f>
        <v xml:space="preserve"> </v>
      </c>
      <c r="L23" s="2409" t="str">
        <f>IF(L11="YES","CIBR VIEW-CLICK"," ")</f>
        <v/>
      </c>
      <c r="M23" s="2409"/>
      <c r="N23" s="952" t="str">
        <f>IF($E$7=844,"844 VIEW - CLICK"," ")</f>
        <v xml:space="preserve"> </v>
      </c>
      <c r="O23" s="896"/>
      <c r="P23" s="711"/>
      <c r="Q23" s="913"/>
      <c r="R23" s="2359" t="s">
        <v>486</v>
      </c>
      <c r="S23" s="2359"/>
      <c r="T23" s="2359"/>
      <c r="U23" s="2359"/>
      <c r="V23" s="2359"/>
      <c r="W23" s="966"/>
      <c r="X23" s="966"/>
      <c r="Y23" s="966"/>
      <c r="Z23" s="966"/>
      <c r="AA23" s="966"/>
      <c r="AB23" s="966"/>
      <c r="AC23" s="966"/>
      <c r="AD23" s="966"/>
      <c r="AE23" s="966"/>
      <c r="AF23" s="966"/>
      <c r="AG23" s="966">
        <v>844</v>
      </c>
      <c r="AH23" s="966">
        <f>DAT!M22</f>
        <v>0</v>
      </c>
      <c r="AI23" s="966">
        <f>DAT!L22</f>
        <v>0</v>
      </c>
      <c r="AJ23" s="966">
        <f>DAT!O22</f>
        <v>30</v>
      </c>
      <c r="AK23" s="966">
        <v>1</v>
      </c>
      <c r="AL23" s="966">
        <f>IF(OR((E8="Smt."),(E8="Mrs."),(E8="Selvi."),(E8="Miss."),(E8="Ms")),3,5)</f>
        <v>5</v>
      </c>
      <c r="AM23" s="966"/>
      <c r="AN23" s="966"/>
      <c r="AO23" s="966"/>
      <c r="AP23" s="966"/>
      <c r="AQ23" s="967"/>
      <c r="AR23" s="893"/>
      <c r="AS23" s="893"/>
      <c r="AT23" s="893"/>
      <c r="AU23" s="893"/>
      <c r="AV23" s="893"/>
      <c r="AW23" s="893"/>
      <c r="AX23" s="893"/>
      <c r="AY23" s="893"/>
      <c r="AZ23" s="893"/>
      <c r="BA23" s="893"/>
      <c r="BB23" s="893"/>
      <c r="BC23" s="893"/>
      <c r="BD23" s="893"/>
      <c r="BE23" s="893"/>
      <c r="BF23" s="893"/>
      <c r="BG23" s="893"/>
      <c r="BH23" s="894"/>
      <c r="BI23" s="894"/>
      <c r="BJ23" s="2359"/>
      <c r="BK23" s="2359"/>
      <c r="BL23" s="2359"/>
      <c r="BM23" s="2359"/>
      <c r="BN23" s="2359"/>
      <c r="BO23" s="890"/>
      <c r="BP23" s="890"/>
      <c r="BQ23" s="890"/>
      <c r="BR23" s="890"/>
      <c r="BS23" s="890"/>
      <c r="BT23" s="890"/>
      <c r="BU23" s="890"/>
      <c r="BV23" s="890"/>
      <c r="BW23" s="890"/>
      <c r="BX23" s="890"/>
      <c r="BY23" s="890"/>
      <c r="BZ23" s="890"/>
      <c r="CA23" s="890"/>
    </row>
    <row r="24" spans="1:79" s="3" customFormat="1" ht="0.75" customHeight="1">
      <c r="A24" s="913"/>
      <c r="B24" s="711"/>
      <c r="C24" s="896"/>
      <c r="D24" s="896"/>
      <c r="E24" s="896"/>
      <c r="F24" s="896"/>
      <c r="G24" s="896"/>
      <c r="H24" s="896"/>
      <c r="I24" s="896"/>
      <c r="J24" s="896"/>
      <c r="K24" s="896"/>
      <c r="L24" s="2385"/>
      <c r="M24" s="2385"/>
      <c r="N24" s="896"/>
      <c r="O24" s="896"/>
      <c r="P24" s="711"/>
      <c r="Q24" s="913"/>
      <c r="R24" s="2359"/>
      <c r="S24" s="2359"/>
      <c r="T24" s="2359"/>
      <c r="U24" s="2359"/>
      <c r="V24" s="2359"/>
      <c r="W24" s="966"/>
      <c r="X24" s="966"/>
      <c r="Y24" s="966"/>
      <c r="Z24" s="966"/>
      <c r="AA24" s="966"/>
      <c r="AB24" s="966"/>
      <c r="AC24" s="966"/>
      <c r="AD24" s="966"/>
      <c r="AE24" s="966"/>
      <c r="AF24" s="966"/>
      <c r="AG24" s="966"/>
      <c r="AH24" s="966"/>
      <c r="AI24" s="966"/>
      <c r="AJ24" s="966"/>
      <c r="AK24" s="966"/>
      <c r="AL24" s="966"/>
      <c r="AM24" s="966"/>
      <c r="AN24" s="966"/>
      <c r="AO24" s="966"/>
      <c r="AP24" s="966"/>
      <c r="AQ24" s="967"/>
      <c r="AR24" s="893"/>
      <c r="AS24" s="893"/>
      <c r="AT24" s="893"/>
      <c r="AU24" s="893"/>
      <c r="AV24" s="893"/>
      <c r="AW24" s="893"/>
      <c r="AX24" s="893"/>
      <c r="AY24" s="893"/>
      <c r="AZ24" s="893"/>
      <c r="BA24" s="893"/>
      <c r="BB24" s="893"/>
      <c r="BC24" s="893"/>
      <c r="BD24" s="893"/>
      <c r="BE24" s="893"/>
      <c r="BF24" s="893"/>
      <c r="BG24" s="893"/>
      <c r="BH24" s="894"/>
      <c r="BI24" s="894"/>
      <c r="BJ24" s="2359"/>
      <c r="BK24" s="2359"/>
      <c r="BL24" s="2359"/>
      <c r="BM24" s="2359"/>
      <c r="BN24" s="2359"/>
      <c r="BO24" s="890"/>
      <c r="BP24" s="890"/>
      <c r="BQ24" s="890"/>
      <c r="BR24" s="890"/>
      <c r="BS24" s="890"/>
      <c r="BT24" s="890"/>
      <c r="BU24" s="890"/>
      <c r="BV24" s="890"/>
      <c r="BW24" s="890"/>
      <c r="BX24" s="890"/>
      <c r="BY24" s="890"/>
      <c r="BZ24" s="890"/>
      <c r="CA24" s="890"/>
    </row>
    <row r="25" spans="1:79" s="3" customFormat="1" hidden="1">
      <c r="A25" s="913"/>
      <c r="B25" s="711"/>
      <c r="C25" s="896"/>
      <c r="D25" s="896"/>
      <c r="E25" s="896"/>
      <c r="F25" s="896"/>
      <c r="G25" s="896"/>
      <c r="H25" s="896"/>
      <c r="I25" s="896"/>
      <c r="J25" s="896"/>
      <c r="K25" s="896"/>
      <c r="L25" s="2385"/>
      <c r="M25" s="2385"/>
      <c r="N25" s="896"/>
      <c r="O25" s="896"/>
      <c r="P25" s="711"/>
      <c r="Q25" s="913"/>
      <c r="R25" s="2359"/>
      <c r="S25" s="2359"/>
      <c r="T25" s="2359"/>
      <c r="U25" s="2359"/>
      <c r="V25" s="2359"/>
      <c r="W25" s="966"/>
      <c r="X25" s="966"/>
      <c r="Y25" s="966"/>
      <c r="Z25" s="966"/>
      <c r="AA25" s="966"/>
      <c r="AB25" s="966"/>
      <c r="AC25" s="966"/>
      <c r="AD25" s="966"/>
      <c r="AE25" s="966"/>
      <c r="AF25" s="966"/>
      <c r="AG25" s="966"/>
      <c r="AH25" s="966"/>
      <c r="AI25" s="966"/>
      <c r="AJ25" s="966"/>
      <c r="AK25" s="966"/>
      <c r="AL25" s="966"/>
      <c r="AM25" s="966"/>
      <c r="AN25" s="966"/>
      <c r="AO25" s="966"/>
      <c r="AP25" s="966"/>
      <c r="AQ25" s="967"/>
      <c r="AR25" s="893"/>
      <c r="AS25" s="893"/>
      <c r="AT25" s="893"/>
      <c r="AU25" s="893"/>
      <c r="AV25" s="893"/>
      <c r="AW25" s="893"/>
      <c r="AX25" s="893"/>
      <c r="AY25" s="893"/>
      <c r="AZ25" s="893"/>
      <c r="BA25" s="893"/>
      <c r="BB25" s="893"/>
      <c r="BC25" s="893"/>
      <c r="BD25" s="893"/>
      <c r="BE25" s="893"/>
      <c r="BF25" s="893"/>
      <c r="BG25" s="893"/>
      <c r="BH25" s="894"/>
      <c r="BI25" s="894"/>
      <c r="BJ25" s="2359"/>
      <c r="BK25" s="2359"/>
      <c r="BL25" s="2359"/>
      <c r="BM25" s="2359"/>
      <c r="BN25" s="2359"/>
      <c r="BO25" s="890"/>
      <c r="BP25" s="890"/>
      <c r="BQ25" s="890"/>
      <c r="BR25" s="890"/>
      <c r="BS25" s="890"/>
      <c r="BT25" s="890"/>
      <c r="BU25" s="890"/>
      <c r="BV25" s="890"/>
      <c r="BW25" s="890"/>
      <c r="BX25" s="890"/>
      <c r="BY25" s="890"/>
      <c r="BZ25" s="890"/>
      <c r="CA25" s="890"/>
    </row>
    <row r="26" spans="1:79" ht="18" customHeight="1">
      <c r="A26" s="913"/>
      <c r="B26" s="711"/>
      <c r="C26" s="711"/>
      <c r="D26" s="711"/>
      <c r="E26" s="711"/>
      <c r="F26" s="711"/>
      <c r="G26" s="711"/>
      <c r="H26" s="711"/>
      <c r="I26" s="711"/>
      <c r="J26" s="711"/>
      <c r="K26" s="711"/>
      <c r="L26" s="711"/>
      <c r="M26" s="711"/>
      <c r="N26" s="711"/>
      <c r="O26" s="711"/>
      <c r="P26" s="711"/>
      <c r="Q26" s="913"/>
      <c r="R26" s="2359" t="s">
        <v>487</v>
      </c>
      <c r="S26" s="2359"/>
      <c r="T26" s="2359"/>
      <c r="U26" s="2359"/>
      <c r="V26" s="2359"/>
      <c r="W26" s="966"/>
      <c r="X26" s="966">
        <v>1</v>
      </c>
      <c r="Y26" s="966">
        <v>2</v>
      </c>
      <c r="Z26" s="966">
        <v>3</v>
      </c>
      <c r="AA26" s="966">
        <v>4</v>
      </c>
      <c r="AB26" s="966">
        <v>5</v>
      </c>
      <c r="AC26" s="966">
        <v>6</v>
      </c>
      <c r="AD26" s="966">
        <v>7</v>
      </c>
      <c r="AE26" s="966">
        <v>8</v>
      </c>
      <c r="AF26" s="966">
        <v>9</v>
      </c>
      <c r="AG26" s="966">
        <v>10</v>
      </c>
      <c r="AH26" s="966">
        <v>11</v>
      </c>
      <c r="AI26" s="966">
        <v>12</v>
      </c>
      <c r="AJ26" s="966">
        <v>13</v>
      </c>
      <c r="AK26" s="966">
        <v>14</v>
      </c>
      <c r="AL26" s="966">
        <v>15</v>
      </c>
      <c r="AM26" s="966">
        <v>16</v>
      </c>
      <c r="AN26" s="966">
        <v>17</v>
      </c>
      <c r="AO26" s="966">
        <v>18</v>
      </c>
      <c r="AP26" s="966">
        <v>19</v>
      </c>
      <c r="AQ26" s="967"/>
      <c r="AR26" s="893"/>
      <c r="AS26" s="893"/>
      <c r="AT26" s="893"/>
      <c r="AU26" s="893"/>
      <c r="AV26" s="893"/>
      <c r="AW26" s="893"/>
      <c r="AX26" s="893"/>
      <c r="AY26" s="893"/>
      <c r="AZ26" s="893"/>
      <c r="BA26" s="893"/>
      <c r="BB26" s="893"/>
      <c r="BC26" s="893"/>
      <c r="BD26" s="893"/>
      <c r="BE26" s="893"/>
      <c r="BF26" s="893"/>
      <c r="BG26" s="893"/>
      <c r="BH26" s="894"/>
      <c r="BI26" s="894"/>
      <c r="BJ26" s="2359"/>
      <c r="BK26" s="2359"/>
      <c r="BL26" s="2359"/>
      <c r="BM26" s="2359"/>
      <c r="BN26" s="2359"/>
      <c r="BO26" s="890"/>
      <c r="BP26" s="890"/>
      <c r="BQ26" s="890"/>
      <c r="BR26" s="890"/>
      <c r="BS26" s="890"/>
      <c r="BT26" s="890"/>
      <c r="BU26" s="890"/>
      <c r="BV26" s="890"/>
      <c r="BW26" s="890"/>
      <c r="BX26" s="890"/>
      <c r="BY26" s="890"/>
      <c r="BZ26" s="890"/>
      <c r="CA26" s="890"/>
    </row>
    <row r="27" spans="1:79">
      <c r="A27" s="913"/>
      <c r="B27" s="913"/>
      <c r="C27" s="913"/>
      <c r="D27" s="913"/>
      <c r="E27" s="913"/>
      <c r="F27" s="913"/>
      <c r="G27" s="913"/>
      <c r="H27" s="913"/>
      <c r="I27" s="913"/>
      <c r="J27" s="913"/>
      <c r="K27" s="913"/>
      <c r="L27" s="913"/>
      <c r="M27" s="913"/>
      <c r="N27" s="913"/>
      <c r="O27" s="913"/>
      <c r="P27" s="913"/>
      <c r="Q27" s="913"/>
      <c r="R27" s="2359" t="s">
        <v>488</v>
      </c>
      <c r="S27" s="2359"/>
      <c r="T27" s="2359"/>
      <c r="U27" s="2359"/>
      <c r="V27" s="2359"/>
      <c r="W27" s="966">
        <v>1</v>
      </c>
      <c r="X27" s="966">
        <v>814</v>
      </c>
      <c r="Y27" s="966">
        <v>815</v>
      </c>
      <c r="Z27" s="966">
        <v>816</v>
      </c>
      <c r="AA27" s="966">
        <v>817</v>
      </c>
      <c r="AB27" s="966">
        <v>818</v>
      </c>
      <c r="AC27" s="966">
        <v>820</v>
      </c>
      <c r="AD27" s="966">
        <v>821</v>
      </c>
      <c r="AE27" s="966">
        <v>822</v>
      </c>
      <c r="AF27" s="966">
        <v>823</v>
      </c>
      <c r="AG27" s="966">
        <v>830</v>
      </c>
      <c r="AH27" s="966">
        <v>827</v>
      </c>
      <c r="AI27" s="966">
        <v>832</v>
      </c>
      <c r="AJ27" s="966">
        <v>833</v>
      </c>
      <c r="AK27" s="966">
        <v>834</v>
      </c>
      <c r="AL27" s="966">
        <v>836</v>
      </c>
      <c r="AM27" s="966">
        <v>838</v>
      </c>
      <c r="AN27" s="966">
        <v>841</v>
      </c>
      <c r="AO27" s="966">
        <v>843</v>
      </c>
      <c r="AP27" s="966">
        <v>844</v>
      </c>
      <c r="AQ27" s="967">
        <f>E7</f>
        <v>833</v>
      </c>
      <c r="AR27" s="893"/>
      <c r="AS27" s="893"/>
      <c r="AT27" s="893"/>
      <c r="AU27" s="893"/>
      <c r="AV27" s="893"/>
      <c r="AW27" s="893"/>
      <c r="AX27" s="893"/>
      <c r="AY27" s="893"/>
      <c r="AZ27" s="893"/>
      <c r="BA27" s="893"/>
      <c r="BB27" s="893"/>
      <c r="BC27" s="893"/>
      <c r="BD27" s="893"/>
      <c r="BE27" s="893"/>
      <c r="BF27" s="893"/>
      <c r="BG27" s="893"/>
      <c r="BH27" s="894"/>
      <c r="BI27" s="894"/>
      <c r="BJ27" s="2359"/>
      <c r="BK27" s="2359"/>
      <c r="BL27" s="2359"/>
      <c r="BM27" s="2359"/>
      <c r="BN27" s="2359"/>
      <c r="BO27" s="890"/>
      <c r="BP27" s="890"/>
      <c r="BQ27" s="890"/>
      <c r="BR27" s="890"/>
      <c r="BS27" s="890"/>
      <c r="BT27" s="890"/>
      <c r="BU27" s="890"/>
      <c r="BV27" s="890"/>
      <c r="BW27" s="890"/>
      <c r="BX27" s="890"/>
      <c r="BY27" s="890"/>
      <c r="BZ27" s="890"/>
      <c r="CA27" s="890"/>
    </row>
    <row r="28" spans="1:79">
      <c r="A28" s="913"/>
      <c r="B28" s="913"/>
      <c r="C28" s="913"/>
      <c r="D28" s="913"/>
      <c r="E28" s="913"/>
      <c r="F28" s="913"/>
      <c r="G28" s="913"/>
      <c r="H28" s="913"/>
      <c r="I28" s="913"/>
      <c r="J28" s="913"/>
      <c r="K28" s="913"/>
      <c r="L28" s="913"/>
      <c r="M28" s="913"/>
      <c r="N28" s="913"/>
      <c r="O28" s="913"/>
      <c r="P28" s="913"/>
      <c r="Q28" s="913"/>
      <c r="R28" s="913"/>
      <c r="S28" s="913"/>
      <c r="T28" s="913"/>
      <c r="U28" s="913"/>
      <c r="V28" s="913"/>
      <c r="W28" s="887">
        <v>2</v>
      </c>
      <c r="X28" s="887">
        <v>8</v>
      </c>
      <c r="Y28" s="887">
        <v>18</v>
      </c>
      <c r="Z28" s="887">
        <v>15</v>
      </c>
      <c r="AA28" s="887">
        <v>0</v>
      </c>
      <c r="AB28" s="887">
        <v>20</v>
      </c>
      <c r="AC28" s="887">
        <v>13</v>
      </c>
      <c r="AD28" s="887">
        <v>13</v>
      </c>
      <c r="AE28" s="887">
        <v>18</v>
      </c>
      <c r="AF28" s="887">
        <v>18</v>
      </c>
      <c r="AG28" s="887">
        <v>18</v>
      </c>
      <c r="AH28" s="887">
        <v>8</v>
      </c>
      <c r="AI28" s="887">
        <v>0</v>
      </c>
      <c r="AJ28" s="887">
        <v>18</v>
      </c>
      <c r="AK28" s="887">
        <v>0</v>
      </c>
      <c r="AL28" s="887">
        <v>8</v>
      </c>
      <c r="AM28" s="887">
        <v>12</v>
      </c>
      <c r="AN28" s="887">
        <v>14</v>
      </c>
      <c r="AO28" s="887">
        <v>8</v>
      </c>
      <c r="AP28" s="887">
        <v>8</v>
      </c>
      <c r="AQ28" s="889">
        <f>IFERROR(IF((HLOOKUP(AQ$27,$X$27:$AP$93,$W28,FALSE))=0,0,HLOOKUP(AQ$27,$X$27:$AP$93,$W28,FALSE)),"")</f>
        <v>18</v>
      </c>
      <c r="BH28" s="890"/>
      <c r="BI28" s="890"/>
      <c r="BJ28" s="890"/>
      <c r="BK28" s="890"/>
      <c r="BL28" s="890"/>
      <c r="BM28" s="890"/>
      <c r="BN28" s="890"/>
      <c r="BO28" s="890"/>
      <c r="BP28" s="890"/>
      <c r="BQ28" s="890"/>
      <c r="BR28" s="890"/>
      <c r="BS28" s="890"/>
      <c r="BT28" s="890"/>
      <c r="BU28" s="890"/>
      <c r="BV28" s="890"/>
    </row>
    <row r="29" spans="1:79">
      <c r="A29" s="913"/>
      <c r="B29" s="913"/>
      <c r="C29" s="913"/>
      <c r="D29" s="913"/>
      <c r="E29" s="913"/>
      <c r="F29" s="913"/>
      <c r="G29" s="913"/>
      <c r="H29" s="913"/>
      <c r="I29" s="913"/>
      <c r="J29" s="913"/>
      <c r="K29" s="913"/>
      <c r="L29" s="913"/>
      <c r="M29" s="913"/>
      <c r="N29" s="913"/>
      <c r="O29" s="913"/>
      <c r="P29" s="913"/>
      <c r="Q29" s="913"/>
      <c r="R29" s="913"/>
      <c r="S29" s="913"/>
      <c r="T29" s="913"/>
      <c r="U29" s="913"/>
      <c r="V29" s="913"/>
      <c r="W29" s="887">
        <v>3</v>
      </c>
      <c r="X29" s="887">
        <v>9</v>
      </c>
      <c r="Y29" s="887">
        <v>19</v>
      </c>
      <c r="Z29" s="887">
        <v>16</v>
      </c>
      <c r="AA29" s="887">
        <v>1</v>
      </c>
      <c r="AB29" s="887">
        <v>21</v>
      </c>
      <c r="AC29" s="887">
        <v>14</v>
      </c>
      <c r="AD29" s="887">
        <v>14</v>
      </c>
      <c r="AE29" s="887">
        <v>19</v>
      </c>
      <c r="AF29" s="887">
        <v>19</v>
      </c>
      <c r="AG29" s="887">
        <v>19</v>
      </c>
      <c r="AH29" s="887">
        <v>9</v>
      </c>
      <c r="AI29" s="887">
        <v>1</v>
      </c>
      <c r="AJ29" s="887">
        <v>19</v>
      </c>
      <c r="AK29" s="887">
        <v>1</v>
      </c>
      <c r="AL29" s="887">
        <v>9</v>
      </c>
      <c r="AM29" s="887">
        <v>13</v>
      </c>
      <c r="AN29" s="887">
        <v>15</v>
      </c>
      <c r="AO29" s="887">
        <v>9</v>
      </c>
      <c r="AP29" s="887">
        <v>9</v>
      </c>
      <c r="AQ29" s="889">
        <f>IFERROR(IF((HLOOKUP(AQ$27,$X$27:$AP$93,$W29,FALSE))=0,"",HLOOKUP(AQ$27,$X$27:$AP$93,$W29,FALSE)),"")</f>
        <v>19</v>
      </c>
      <c r="BH29" s="890"/>
      <c r="BI29" s="890"/>
      <c r="BJ29" s="890"/>
      <c r="BK29" s="890"/>
      <c r="BL29" s="890"/>
      <c r="BM29" s="890"/>
      <c r="BN29" s="890"/>
      <c r="BO29" s="890"/>
      <c r="BP29" s="890"/>
      <c r="BQ29" s="890"/>
      <c r="BR29" s="890"/>
      <c r="BS29" s="890"/>
      <c r="BT29" s="890"/>
      <c r="BU29" s="890"/>
      <c r="BV29" s="890"/>
    </row>
    <row r="30" spans="1:79">
      <c r="A30" s="913"/>
      <c r="B30" s="913"/>
      <c r="C30" s="913"/>
      <c r="D30" s="913"/>
      <c r="E30" s="913"/>
      <c r="F30" s="913"/>
      <c r="G30" s="913"/>
      <c r="H30" s="913"/>
      <c r="I30" s="913"/>
      <c r="J30" s="913"/>
      <c r="K30" s="913"/>
      <c r="L30" s="913"/>
      <c r="M30" s="913"/>
      <c r="N30" s="913"/>
      <c r="O30" s="913"/>
      <c r="P30" s="913"/>
      <c r="Q30" s="913"/>
      <c r="R30" s="913"/>
      <c r="S30" s="913"/>
      <c r="T30" s="913"/>
      <c r="U30" s="913"/>
      <c r="V30" s="913"/>
      <c r="W30" s="887">
        <v>4</v>
      </c>
      <c r="X30" s="887">
        <v>10</v>
      </c>
      <c r="Y30" s="887">
        <v>20</v>
      </c>
      <c r="Z30" s="887">
        <v>17</v>
      </c>
      <c r="AA30" s="887">
        <v>2</v>
      </c>
      <c r="AB30" s="887">
        <v>22</v>
      </c>
      <c r="AC30" s="887">
        <v>15</v>
      </c>
      <c r="AD30" s="887">
        <v>15</v>
      </c>
      <c r="AE30" s="887">
        <v>20</v>
      </c>
      <c r="AF30" s="887">
        <v>20</v>
      </c>
      <c r="AG30" s="887">
        <v>20</v>
      </c>
      <c r="AH30" s="887">
        <v>10</v>
      </c>
      <c r="AI30" s="887">
        <v>2</v>
      </c>
      <c r="AJ30" s="887">
        <v>20</v>
      </c>
      <c r="AK30" s="887">
        <v>2</v>
      </c>
      <c r="AL30" s="887">
        <v>10</v>
      </c>
      <c r="AM30" s="887">
        <v>14</v>
      </c>
      <c r="AN30" s="887">
        <v>16</v>
      </c>
      <c r="AO30" s="887">
        <v>10</v>
      </c>
      <c r="AP30" s="887">
        <v>10</v>
      </c>
      <c r="AQ30" s="889">
        <f t="shared" ref="AQ30:AQ93" si="1">IFERROR(IF((HLOOKUP(AQ$27,$X$27:$AP$93,$W30,FALSE))=0,"",HLOOKUP(AQ$27,$X$27:$AP$93,$W30,FALSE)),"")</f>
        <v>20</v>
      </c>
      <c r="BH30" s="890"/>
      <c r="BI30" s="890"/>
      <c r="BJ30" s="890"/>
      <c r="BK30" s="890"/>
      <c r="BL30" s="890"/>
      <c r="BM30" s="890"/>
      <c r="BN30" s="890"/>
      <c r="BO30" s="890"/>
      <c r="BP30" s="890"/>
      <c r="BQ30" s="890"/>
      <c r="BR30" s="890"/>
      <c r="BS30" s="890"/>
      <c r="BT30" s="890"/>
      <c r="BU30" s="890"/>
      <c r="BV30" s="890"/>
    </row>
    <row r="31" spans="1:79">
      <c r="A31" s="913"/>
      <c r="B31" s="913"/>
      <c r="C31" s="913"/>
      <c r="D31" s="913"/>
      <c r="E31" s="913"/>
      <c r="F31" s="913"/>
      <c r="G31" s="913"/>
      <c r="H31" s="913"/>
      <c r="I31" s="913"/>
      <c r="J31" s="913"/>
      <c r="K31" s="913"/>
      <c r="L31" s="913"/>
      <c r="M31" s="913"/>
      <c r="N31" s="913"/>
      <c r="O31" s="913"/>
      <c r="P31" s="913"/>
      <c r="Q31" s="913"/>
      <c r="R31" s="913"/>
      <c r="S31" s="913"/>
      <c r="T31" s="913"/>
      <c r="U31" s="913"/>
      <c r="V31" s="913"/>
      <c r="W31" s="887">
        <v>5</v>
      </c>
      <c r="X31" s="887">
        <v>11</v>
      </c>
      <c r="Y31" s="887">
        <v>21</v>
      </c>
      <c r="Z31" s="887">
        <v>18</v>
      </c>
      <c r="AA31" s="887">
        <v>3</v>
      </c>
      <c r="AB31" s="887">
        <v>23</v>
      </c>
      <c r="AC31" s="887">
        <v>16</v>
      </c>
      <c r="AD31" s="887">
        <v>16</v>
      </c>
      <c r="AE31" s="887">
        <v>21</v>
      </c>
      <c r="AF31" s="887">
        <v>21</v>
      </c>
      <c r="AG31" s="887">
        <v>21</v>
      </c>
      <c r="AH31" s="887">
        <v>11</v>
      </c>
      <c r="AI31" s="887">
        <v>3</v>
      </c>
      <c r="AJ31" s="887">
        <v>21</v>
      </c>
      <c r="AK31" s="887">
        <v>3</v>
      </c>
      <c r="AL31" s="887">
        <v>11</v>
      </c>
      <c r="AM31" s="887">
        <v>15</v>
      </c>
      <c r="AN31" s="887">
        <v>17</v>
      </c>
      <c r="AO31" s="887">
        <v>11</v>
      </c>
      <c r="AP31" s="887">
        <v>11</v>
      </c>
      <c r="AQ31" s="889">
        <f t="shared" si="1"/>
        <v>21</v>
      </c>
      <c r="BH31" s="890"/>
      <c r="BI31" s="890"/>
      <c r="BJ31" s="890"/>
      <c r="BK31" s="890"/>
      <c r="BL31" s="890"/>
      <c r="BM31" s="890"/>
      <c r="BN31" s="890"/>
      <c r="BO31" s="890"/>
      <c r="BP31" s="890"/>
      <c r="BQ31" s="890"/>
      <c r="BR31" s="890"/>
      <c r="BS31" s="890"/>
      <c r="BT31" s="890"/>
      <c r="BU31" s="890"/>
      <c r="BV31" s="890"/>
    </row>
    <row r="32" spans="1:79">
      <c r="A32" s="913"/>
      <c r="B32" s="913"/>
      <c r="C32" s="913"/>
      <c r="D32" s="913"/>
      <c r="E32" s="913"/>
      <c r="F32" s="913"/>
      <c r="G32" s="913"/>
      <c r="H32" s="913"/>
      <c r="I32" s="913"/>
      <c r="J32" s="913"/>
      <c r="K32" s="913"/>
      <c r="L32" s="913"/>
      <c r="M32" s="913"/>
      <c r="N32" s="913"/>
      <c r="O32" s="913"/>
      <c r="P32" s="913"/>
      <c r="Q32" s="913"/>
      <c r="R32" s="913"/>
      <c r="S32" s="913"/>
      <c r="T32" s="913"/>
      <c r="U32" s="913"/>
      <c r="V32" s="913"/>
      <c r="W32" s="887">
        <v>6</v>
      </c>
      <c r="X32" s="887">
        <v>12</v>
      </c>
      <c r="Y32" s="887">
        <v>22</v>
      </c>
      <c r="Z32" s="887">
        <v>19</v>
      </c>
      <c r="AA32" s="887">
        <v>4</v>
      </c>
      <c r="AB32" s="887">
        <v>24</v>
      </c>
      <c r="AC32" s="887">
        <v>17</v>
      </c>
      <c r="AD32" s="887">
        <v>17</v>
      </c>
      <c r="AE32" s="887">
        <v>22</v>
      </c>
      <c r="AF32" s="887">
        <v>22</v>
      </c>
      <c r="AG32" s="887">
        <v>22</v>
      </c>
      <c r="AH32" s="887">
        <v>12</v>
      </c>
      <c r="AI32" s="887">
        <v>4</v>
      </c>
      <c r="AJ32" s="887">
        <v>22</v>
      </c>
      <c r="AK32" s="887">
        <v>4</v>
      </c>
      <c r="AL32" s="887">
        <v>12</v>
      </c>
      <c r="AM32" s="887">
        <v>16</v>
      </c>
      <c r="AN32" s="887">
        <v>18</v>
      </c>
      <c r="AO32" s="887">
        <v>12</v>
      </c>
      <c r="AP32" s="887">
        <v>12</v>
      </c>
      <c r="AQ32" s="889">
        <f t="shared" si="1"/>
        <v>22</v>
      </c>
      <c r="BH32" s="890"/>
      <c r="BI32" s="890"/>
      <c r="BJ32" s="890"/>
      <c r="BK32" s="890"/>
      <c r="BL32" s="890"/>
      <c r="BM32" s="890"/>
      <c r="BN32" s="890"/>
      <c r="BO32" s="890"/>
      <c r="BP32" s="890"/>
      <c r="BQ32" s="890"/>
      <c r="BR32" s="890"/>
      <c r="BS32" s="890"/>
      <c r="BT32" s="890"/>
      <c r="BU32" s="890"/>
      <c r="BV32" s="890"/>
    </row>
    <row r="33" spans="1:75">
      <c r="A33" s="913"/>
      <c r="B33" s="913"/>
      <c r="C33" s="913"/>
      <c r="D33" s="913"/>
      <c r="E33" s="913"/>
      <c r="F33" s="913"/>
      <c r="G33" s="913"/>
      <c r="H33" s="913"/>
      <c r="I33" s="913"/>
      <c r="J33" s="913"/>
      <c r="K33" s="913"/>
      <c r="L33" s="913"/>
      <c r="M33" s="913"/>
      <c r="N33" s="913"/>
      <c r="O33" s="913"/>
      <c r="P33" s="913"/>
      <c r="Q33" s="913"/>
      <c r="R33" s="913"/>
      <c r="S33" s="913"/>
      <c r="T33" s="913"/>
      <c r="U33" s="913"/>
      <c r="V33" s="913"/>
      <c r="W33" s="887">
        <v>7</v>
      </c>
      <c r="X33" s="887">
        <v>13</v>
      </c>
      <c r="Y33" s="887">
        <v>23</v>
      </c>
      <c r="Z33" s="887">
        <v>20</v>
      </c>
      <c r="AA33" s="887">
        <v>5</v>
      </c>
      <c r="AB33" s="887">
        <v>25</v>
      </c>
      <c r="AC33" s="887">
        <v>18</v>
      </c>
      <c r="AD33" s="887">
        <v>18</v>
      </c>
      <c r="AE33" s="887">
        <v>23</v>
      </c>
      <c r="AF33" s="887">
        <v>23</v>
      </c>
      <c r="AG33" s="887">
        <v>23</v>
      </c>
      <c r="AH33" s="887">
        <v>13</v>
      </c>
      <c r="AI33" s="887">
        <v>5</v>
      </c>
      <c r="AJ33" s="887">
        <v>23</v>
      </c>
      <c r="AK33" s="887">
        <v>5</v>
      </c>
      <c r="AL33" s="887">
        <v>13</v>
      </c>
      <c r="AM33" s="887">
        <v>17</v>
      </c>
      <c r="AN33" s="887">
        <v>19</v>
      </c>
      <c r="AO33" s="887">
        <v>13</v>
      </c>
      <c r="AP33" s="887">
        <v>13</v>
      </c>
      <c r="AQ33" s="889">
        <f t="shared" si="1"/>
        <v>23</v>
      </c>
      <c r="BH33" s="890"/>
      <c r="BI33" s="890"/>
      <c r="BJ33" s="890"/>
      <c r="BK33" s="890"/>
      <c r="BL33" s="890"/>
      <c r="BM33" s="890"/>
      <c r="BN33" s="890"/>
      <c r="BO33" s="890"/>
      <c r="BP33" s="890"/>
      <c r="BQ33" s="890"/>
      <c r="BR33" s="890"/>
      <c r="BS33" s="890"/>
      <c r="BT33" s="890"/>
      <c r="BU33" s="890"/>
      <c r="BV33" s="890"/>
    </row>
    <row r="34" spans="1:75">
      <c r="A34" s="709"/>
      <c r="B34" s="709"/>
      <c r="C34" s="709"/>
      <c r="D34" s="709"/>
      <c r="E34" s="709"/>
      <c r="F34" s="709"/>
      <c r="G34" s="709"/>
      <c r="H34" s="709"/>
      <c r="I34" s="709"/>
      <c r="J34" s="709"/>
      <c r="K34" s="709"/>
      <c r="L34" s="709"/>
      <c r="M34" s="709"/>
      <c r="N34" s="709"/>
      <c r="O34" s="709"/>
      <c r="P34" s="709"/>
      <c r="Q34" s="709"/>
      <c r="R34" s="709"/>
      <c r="S34" s="709"/>
      <c r="T34" s="709"/>
      <c r="U34" s="709"/>
      <c r="V34" s="709"/>
      <c r="W34" s="887">
        <v>8</v>
      </c>
      <c r="X34" s="887">
        <v>14</v>
      </c>
      <c r="Y34" s="887">
        <v>24</v>
      </c>
      <c r="Z34" s="887">
        <v>21</v>
      </c>
      <c r="AA34" s="887">
        <v>6</v>
      </c>
      <c r="AB34" s="887">
        <v>26</v>
      </c>
      <c r="AC34" s="887">
        <v>19</v>
      </c>
      <c r="AD34" s="887">
        <v>19</v>
      </c>
      <c r="AE34" s="887">
        <v>24</v>
      </c>
      <c r="AF34" s="887">
        <v>24</v>
      </c>
      <c r="AG34" s="887">
        <v>24</v>
      </c>
      <c r="AH34" s="887">
        <v>14</v>
      </c>
      <c r="AI34" s="887">
        <v>6</v>
      </c>
      <c r="AJ34" s="887">
        <v>24</v>
      </c>
      <c r="AK34" s="887">
        <v>6</v>
      </c>
      <c r="AL34" s="887">
        <v>14</v>
      </c>
      <c r="AM34" s="887">
        <v>18</v>
      </c>
      <c r="AN34" s="887">
        <v>20</v>
      </c>
      <c r="AO34" s="887">
        <v>14</v>
      </c>
      <c r="AP34" s="887">
        <v>14</v>
      </c>
      <c r="AQ34" s="889">
        <f t="shared" si="1"/>
        <v>24</v>
      </c>
      <c r="BB34" s="3"/>
      <c r="BC34" s="3"/>
      <c r="BD34" s="3"/>
      <c r="BE34" s="3"/>
      <c r="BF34" s="3"/>
      <c r="BG34" s="890"/>
      <c r="BH34" s="890"/>
      <c r="BI34" s="890"/>
      <c r="BJ34" s="890"/>
      <c r="BK34" s="890"/>
      <c r="BL34" s="890"/>
      <c r="BM34" s="890"/>
      <c r="BN34" s="890"/>
      <c r="BO34" s="890"/>
      <c r="BP34" s="890"/>
      <c r="BQ34" s="890"/>
      <c r="BR34" s="890"/>
      <c r="BS34" s="890"/>
      <c r="BT34" s="890"/>
      <c r="BU34" s="890"/>
      <c r="BV34" s="890"/>
    </row>
    <row r="35" spans="1:75">
      <c r="A35" s="709"/>
      <c r="B35" s="709"/>
      <c r="C35" s="709"/>
      <c r="D35" s="709"/>
      <c r="E35" s="709"/>
      <c r="F35" s="709"/>
      <c r="G35" s="709"/>
      <c r="H35" s="709"/>
      <c r="I35" s="709"/>
      <c r="J35" s="709"/>
      <c r="K35" s="709"/>
      <c r="L35" s="709"/>
      <c r="M35" s="709"/>
      <c r="N35" s="709"/>
      <c r="O35" s="709"/>
      <c r="P35" s="709"/>
      <c r="Q35" s="709"/>
      <c r="R35" s="709"/>
      <c r="S35" s="709"/>
      <c r="T35" s="709"/>
      <c r="U35" s="709"/>
      <c r="V35" s="709"/>
      <c r="W35" s="887">
        <v>9</v>
      </c>
      <c r="X35" s="887">
        <v>15</v>
      </c>
      <c r="Y35" s="887">
        <v>25</v>
      </c>
      <c r="Z35" s="887">
        <v>22</v>
      </c>
      <c r="AA35" s="887">
        <v>7</v>
      </c>
      <c r="AB35" s="887">
        <v>27</v>
      </c>
      <c r="AC35" s="887">
        <v>20</v>
      </c>
      <c r="AD35" s="887">
        <v>20</v>
      </c>
      <c r="AE35" s="887">
        <v>25</v>
      </c>
      <c r="AF35" s="887">
        <v>25</v>
      </c>
      <c r="AG35" s="887">
        <v>25</v>
      </c>
      <c r="AH35" s="887">
        <v>15</v>
      </c>
      <c r="AI35" s="887">
        <v>7</v>
      </c>
      <c r="AJ35" s="887">
        <v>25</v>
      </c>
      <c r="AK35" s="887">
        <v>7</v>
      </c>
      <c r="AL35" s="887">
        <v>15</v>
      </c>
      <c r="AM35" s="887">
        <v>19</v>
      </c>
      <c r="AN35" s="887">
        <v>21</v>
      </c>
      <c r="AO35" s="887">
        <v>15</v>
      </c>
      <c r="AP35" s="887">
        <v>15</v>
      </c>
      <c r="AQ35" s="889">
        <f t="shared" si="1"/>
        <v>25</v>
      </c>
      <c r="BB35" s="3"/>
      <c r="BC35" s="3"/>
      <c r="BD35" s="3"/>
      <c r="BE35" s="3"/>
      <c r="BF35" s="3"/>
      <c r="BG35" s="890"/>
      <c r="BH35" s="890"/>
      <c r="BI35" s="890"/>
      <c r="BJ35" s="890"/>
      <c r="BK35" s="890"/>
      <c r="BL35" s="890"/>
      <c r="BM35" s="890"/>
      <c r="BN35" s="890"/>
      <c r="BO35" s="890"/>
      <c r="BP35" s="890"/>
      <c r="BQ35" s="890"/>
      <c r="BR35" s="890"/>
      <c r="BS35" s="890"/>
      <c r="BT35" s="890"/>
      <c r="BU35" s="890"/>
      <c r="BV35" s="890"/>
    </row>
    <row r="36" spans="1:75">
      <c r="A36" s="709"/>
      <c r="B36" s="709"/>
      <c r="C36" s="709"/>
      <c r="D36" s="709"/>
      <c r="E36" s="709"/>
      <c r="F36" s="709"/>
      <c r="G36" s="709"/>
      <c r="H36" s="709"/>
      <c r="I36" s="709"/>
      <c r="J36" s="709"/>
      <c r="K36" s="709"/>
      <c r="L36" s="709"/>
      <c r="M36" s="709"/>
      <c r="N36" s="709"/>
      <c r="O36" s="709"/>
      <c r="P36" s="709"/>
      <c r="Q36" s="709"/>
      <c r="R36" s="709"/>
      <c r="S36" s="709"/>
      <c r="T36" s="709"/>
      <c r="U36" s="709"/>
      <c r="V36" s="709"/>
      <c r="W36" s="887">
        <v>10</v>
      </c>
      <c r="X36" s="887">
        <v>16</v>
      </c>
      <c r="Y36" s="887">
        <v>26</v>
      </c>
      <c r="Z36" s="887">
        <v>23</v>
      </c>
      <c r="AA36" s="887">
        <v>8</v>
      </c>
      <c r="AB36" s="887">
        <v>28</v>
      </c>
      <c r="AC36" s="887">
        <v>21</v>
      </c>
      <c r="AD36" s="887">
        <v>21</v>
      </c>
      <c r="AE36" s="887">
        <v>26</v>
      </c>
      <c r="AF36" s="887">
        <v>26</v>
      </c>
      <c r="AG36" s="887">
        <v>26</v>
      </c>
      <c r="AH36" s="887">
        <v>16</v>
      </c>
      <c r="AI36" s="887">
        <v>8</v>
      </c>
      <c r="AJ36" s="887">
        <v>26</v>
      </c>
      <c r="AK36" s="887">
        <v>8</v>
      </c>
      <c r="AL36" s="887">
        <v>16</v>
      </c>
      <c r="AM36" s="887">
        <v>20</v>
      </c>
      <c r="AN36" s="887">
        <v>22</v>
      </c>
      <c r="AO36" s="887">
        <v>16</v>
      </c>
      <c r="AP36" s="887">
        <v>16</v>
      </c>
      <c r="AQ36" s="889">
        <f t="shared" si="1"/>
        <v>26</v>
      </c>
      <c r="BB36" s="3"/>
      <c r="BC36" s="3"/>
      <c r="BD36" s="3"/>
      <c r="BE36" s="3"/>
      <c r="BF36" s="3"/>
      <c r="BG36" s="890"/>
      <c r="BH36" s="890"/>
      <c r="BI36" s="890"/>
      <c r="BJ36" s="890"/>
      <c r="BK36" s="890"/>
      <c r="BL36" s="890"/>
      <c r="BM36" s="890"/>
      <c r="BN36" s="890"/>
      <c r="BO36" s="890"/>
      <c r="BP36" s="890"/>
      <c r="BQ36" s="890"/>
      <c r="BR36" s="890"/>
      <c r="BS36" s="890"/>
      <c r="BT36" s="890"/>
      <c r="BU36" s="890"/>
      <c r="BV36" s="890"/>
      <c r="BW36" s="890"/>
    </row>
    <row r="37" spans="1:75">
      <c r="A37" s="709"/>
      <c r="B37" s="709"/>
      <c r="C37" s="709"/>
      <c r="D37" s="709"/>
      <c r="E37" s="709"/>
      <c r="F37" s="709"/>
      <c r="G37" s="709"/>
      <c r="H37" s="709"/>
      <c r="I37" s="709"/>
      <c r="J37" s="709"/>
      <c r="K37" s="709"/>
      <c r="L37" s="709"/>
      <c r="M37" s="709"/>
      <c r="N37" s="709"/>
      <c r="O37" s="709"/>
      <c r="P37" s="709"/>
      <c r="Q37" s="709"/>
      <c r="R37" s="709"/>
      <c r="S37" s="709"/>
      <c r="T37" s="709"/>
      <c r="U37" s="709"/>
      <c r="V37" s="709"/>
      <c r="W37" s="887">
        <v>11</v>
      </c>
      <c r="X37" s="887">
        <v>17</v>
      </c>
      <c r="Y37" s="887">
        <v>27</v>
      </c>
      <c r="Z37" s="887">
        <v>24</v>
      </c>
      <c r="AA37" s="887">
        <v>9</v>
      </c>
      <c r="AB37" s="887">
        <v>29</v>
      </c>
      <c r="AC37" s="887">
        <v>22</v>
      </c>
      <c r="AD37" s="887">
        <v>22</v>
      </c>
      <c r="AE37" s="887">
        <v>27</v>
      </c>
      <c r="AF37" s="887">
        <v>27</v>
      </c>
      <c r="AG37" s="887">
        <v>27</v>
      </c>
      <c r="AH37" s="887">
        <v>17</v>
      </c>
      <c r="AI37" s="887">
        <v>9</v>
      </c>
      <c r="AJ37" s="887">
        <v>27</v>
      </c>
      <c r="AK37" s="887">
        <v>9</v>
      </c>
      <c r="AL37" s="887">
        <v>17</v>
      </c>
      <c r="AM37" s="887">
        <v>21</v>
      </c>
      <c r="AN37" s="887">
        <v>23</v>
      </c>
      <c r="AO37" s="887">
        <v>17</v>
      </c>
      <c r="AP37" s="887">
        <v>17</v>
      </c>
      <c r="AQ37" s="889">
        <f t="shared" si="1"/>
        <v>27</v>
      </c>
      <c r="BB37" s="3"/>
      <c r="BC37" s="3"/>
      <c r="BD37" s="3"/>
      <c r="BE37" s="3"/>
      <c r="BF37" s="3"/>
      <c r="BG37" s="890"/>
      <c r="BH37" s="890"/>
      <c r="BI37" s="890"/>
      <c r="BJ37" s="890"/>
      <c r="BK37" s="890"/>
      <c r="BL37" s="890"/>
      <c r="BM37" s="890"/>
      <c r="BN37" s="890"/>
      <c r="BO37" s="890"/>
      <c r="BP37" s="890"/>
      <c r="BQ37" s="890"/>
      <c r="BR37" s="890"/>
      <c r="BS37" s="890"/>
      <c r="BT37" s="890"/>
      <c r="BU37" s="890"/>
      <c r="BV37" s="890"/>
      <c r="BW37" s="890"/>
    </row>
    <row r="38" spans="1:75">
      <c r="A38" s="709"/>
      <c r="B38" s="709"/>
      <c r="C38" s="709"/>
      <c r="D38" s="709"/>
      <c r="E38" s="709"/>
      <c r="F38" s="709"/>
      <c r="G38" s="709"/>
      <c r="H38" s="709"/>
      <c r="I38" s="709"/>
      <c r="J38" s="709"/>
      <c r="K38" s="709"/>
      <c r="L38" s="709"/>
      <c r="M38" s="709"/>
      <c r="N38" s="709"/>
      <c r="O38" s="709"/>
      <c r="P38" s="709"/>
      <c r="Q38" s="709"/>
      <c r="R38" s="709"/>
      <c r="S38" s="709"/>
      <c r="T38" s="709"/>
      <c r="U38" s="709"/>
      <c r="V38" s="709"/>
      <c r="W38" s="887">
        <v>12</v>
      </c>
      <c r="X38" s="887">
        <v>18</v>
      </c>
      <c r="Y38" s="887">
        <v>28</v>
      </c>
      <c r="Z38" s="887">
        <v>25</v>
      </c>
      <c r="AA38" s="887">
        <v>10</v>
      </c>
      <c r="AB38" s="887">
        <v>30</v>
      </c>
      <c r="AC38" s="887">
        <v>23</v>
      </c>
      <c r="AD38" s="887">
        <v>23</v>
      </c>
      <c r="AE38" s="887">
        <v>28</v>
      </c>
      <c r="AF38" s="887">
        <v>28</v>
      </c>
      <c r="AG38" s="887">
        <v>28</v>
      </c>
      <c r="AH38" s="887">
        <v>18</v>
      </c>
      <c r="AI38" s="887">
        <v>10</v>
      </c>
      <c r="AJ38" s="887">
        <v>28</v>
      </c>
      <c r="AK38" s="887">
        <v>10</v>
      </c>
      <c r="AL38" s="887">
        <v>18</v>
      </c>
      <c r="AM38" s="887">
        <v>22</v>
      </c>
      <c r="AN38" s="887">
        <v>24</v>
      </c>
      <c r="AO38" s="887">
        <v>18</v>
      </c>
      <c r="AP38" s="887">
        <v>18</v>
      </c>
      <c r="AQ38" s="889">
        <f t="shared" si="1"/>
        <v>28</v>
      </c>
      <c r="BB38" s="3"/>
      <c r="BC38" s="3"/>
      <c r="BD38" s="3"/>
      <c r="BE38" s="3"/>
      <c r="BF38" s="3"/>
      <c r="BG38" s="890"/>
      <c r="BH38" s="890"/>
      <c r="BI38" s="890"/>
      <c r="BJ38" s="890"/>
      <c r="BK38" s="890"/>
      <c r="BL38" s="890"/>
      <c r="BM38" s="890"/>
      <c r="BN38" s="890"/>
      <c r="BO38" s="890"/>
      <c r="BP38" s="890"/>
      <c r="BQ38" s="890"/>
      <c r="BR38" s="890"/>
      <c r="BS38" s="890"/>
      <c r="BT38" s="890"/>
      <c r="BU38" s="890"/>
      <c r="BV38" s="890"/>
      <c r="BW38" s="890"/>
    </row>
    <row r="39" spans="1:75">
      <c r="A39" s="709"/>
      <c r="B39" s="709"/>
      <c r="C39" s="709"/>
      <c r="D39" s="709"/>
      <c r="E39" s="709"/>
      <c r="F39" s="709"/>
      <c r="G39" s="709"/>
      <c r="H39" s="709"/>
      <c r="I39" s="709"/>
      <c r="J39" s="709"/>
      <c r="K39" s="709"/>
      <c r="L39" s="709"/>
      <c r="M39" s="709"/>
      <c r="N39" s="709"/>
      <c r="O39" s="709"/>
      <c r="P39" s="709"/>
      <c r="Q39" s="709"/>
      <c r="R39" s="709"/>
      <c r="S39" s="709"/>
      <c r="T39" s="709"/>
      <c r="U39" s="709"/>
      <c r="V39" s="709"/>
      <c r="W39" s="887">
        <v>13</v>
      </c>
      <c r="X39" s="887">
        <v>19</v>
      </c>
      <c r="Y39" s="887">
        <v>29</v>
      </c>
      <c r="Z39" s="887">
        <v>26</v>
      </c>
      <c r="AA39" s="887">
        <v>11</v>
      </c>
      <c r="AB39" s="887">
        <v>31</v>
      </c>
      <c r="AC39" s="887">
        <v>24</v>
      </c>
      <c r="AD39" s="887">
        <v>24</v>
      </c>
      <c r="AE39" s="887">
        <v>29</v>
      </c>
      <c r="AF39" s="887">
        <v>29</v>
      </c>
      <c r="AG39" s="887">
        <v>29</v>
      </c>
      <c r="AH39" s="887">
        <v>19</v>
      </c>
      <c r="AI39" s="887">
        <v>11</v>
      </c>
      <c r="AJ39" s="887">
        <v>29</v>
      </c>
      <c r="AK39" s="887">
        <v>11</v>
      </c>
      <c r="AL39" s="887">
        <v>19</v>
      </c>
      <c r="AM39" s="887">
        <v>23</v>
      </c>
      <c r="AN39" s="887">
        <v>25</v>
      </c>
      <c r="AO39" s="887">
        <v>19</v>
      </c>
      <c r="AP39" s="887">
        <v>19</v>
      </c>
      <c r="AQ39" s="889">
        <f t="shared" si="1"/>
        <v>29</v>
      </c>
      <c r="BB39" s="3"/>
      <c r="BC39" s="3"/>
      <c r="BD39" s="3"/>
      <c r="BE39" s="3"/>
      <c r="BF39" s="3"/>
      <c r="BG39" s="890"/>
      <c r="BH39" s="890"/>
      <c r="BI39" s="890"/>
      <c r="BJ39" s="890"/>
      <c r="BK39" s="890"/>
      <c r="BL39" s="890"/>
      <c r="BM39" s="890"/>
      <c r="BN39" s="890"/>
      <c r="BO39" s="890"/>
      <c r="BP39" s="890"/>
      <c r="BQ39" s="890"/>
      <c r="BR39" s="890"/>
      <c r="BS39" s="890"/>
      <c r="BT39" s="890"/>
      <c r="BU39" s="890"/>
      <c r="BV39" s="890"/>
      <c r="BW39" s="890"/>
    </row>
    <row r="40" spans="1:75">
      <c r="A40" s="709"/>
      <c r="B40" s="709"/>
      <c r="C40" s="709"/>
      <c r="D40" s="709"/>
      <c r="E40" s="709"/>
      <c r="F40" s="709"/>
      <c r="G40" s="709"/>
      <c r="H40" s="709"/>
      <c r="I40" s="709"/>
      <c r="J40" s="709"/>
      <c r="K40" s="709"/>
      <c r="L40" s="709"/>
      <c r="M40" s="709"/>
      <c r="N40" s="709"/>
      <c r="O40" s="709"/>
      <c r="P40" s="709"/>
      <c r="Q40" s="709"/>
      <c r="R40" s="709"/>
      <c r="S40" s="709"/>
      <c r="T40" s="709"/>
      <c r="U40" s="709"/>
      <c r="V40" s="709"/>
      <c r="W40" s="887">
        <v>14</v>
      </c>
      <c r="X40" s="887">
        <v>20</v>
      </c>
      <c r="Y40" s="887">
        <v>30</v>
      </c>
      <c r="Z40" s="887">
        <v>27</v>
      </c>
      <c r="AA40" s="887">
        <v>12</v>
      </c>
      <c r="AB40" s="887">
        <v>32</v>
      </c>
      <c r="AC40" s="887">
        <v>25</v>
      </c>
      <c r="AD40" s="887">
        <v>25</v>
      </c>
      <c r="AE40" s="887">
        <v>30</v>
      </c>
      <c r="AF40" s="887">
        <v>30</v>
      </c>
      <c r="AG40" s="887">
        <v>30</v>
      </c>
      <c r="AH40" s="887">
        <v>20</v>
      </c>
      <c r="AI40" s="887">
        <v>12</v>
      </c>
      <c r="AJ40" s="887">
        <v>30</v>
      </c>
      <c r="AK40" s="887">
        <v>12</v>
      </c>
      <c r="AL40" s="887">
        <v>20</v>
      </c>
      <c r="AM40" s="887">
        <v>24</v>
      </c>
      <c r="AN40" s="887">
        <v>26</v>
      </c>
      <c r="AO40" s="887">
        <v>20</v>
      </c>
      <c r="AP40" s="887">
        <v>20</v>
      </c>
      <c r="AQ40" s="889">
        <f t="shared" si="1"/>
        <v>30</v>
      </c>
      <c r="BB40" s="3"/>
      <c r="BC40" s="3"/>
      <c r="BD40" s="3"/>
      <c r="BE40" s="3"/>
      <c r="BF40" s="3"/>
      <c r="BG40" s="890"/>
      <c r="BH40" s="890"/>
      <c r="BI40" s="890"/>
      <c r="BJ40" s="890"/>
      <c r="BK40" s="890"/>
      <c r="BL40" s="890"/>
      <c r="BM40" s="890"/>
      <c r="BN40" s="890"/>
      <c r="BO40" s="890"/>
      <c r="BP40" s="890"/>
      <c r="BQ40" s="890"/>
      <c r="BR40" s="890"/>
      <c r="BS40" s="890"/>
      <c r="BT40" s="890"/>
      <c r="BU40" s="890"/>
      <c r="BV40" s="890"/>
      <c r="BW40" s="890"/>
    </row>
    <row r="41" spans="1:75">
      <c r="A41" s="709"/>
      <c r="B41" s="709"/>
      <c r="C41" s="709"/>
      <c r="D41" s="709"/>
      <c r="E41" s="709"/>
      <c r="F41" s="709"/>
      <c r="G41" s="709"/>
      <c r="H41" s="709"/>
      <c r="I41" s="709"/>
      <c r="J41" s="709"/>
      <c r="K41" s="709"/>
      <c r="L41" s="709"/>
      <c r="M41" s="709"/>
      <c r="N41" s="709"/>
      <c r="O41" s="709"/>
      <c r="P41" s="709"/>
      <c r="Q41" s="709"/>
      <c r="R41" s="709"/>
      <c r="S41" s="709"/>
      <c r="T41" s="709"/>
      <c r="U41" s="709"/>
      <c r="V41" s="709"/>
      <c r="W41" s="887">
        <v>15</v>
      </c>
      <c r="X41" s="887">
        <v>21</v>
      </c>
      <c r="Y41" s="887">
        <v>31</v>
      </c>
      <c r="Z41" s="887">
        <v>28</v>
      </c>
      <c r="AA41" s="887">
        <v>13</v>
      </c>
      <c r="AB41" s="887">
        <v>33</v>
      </c>
      <c r="AC41" s="887">
        <v>26</v>
      </c>
      <c r="AD41" s="887">
        <v>26</v>
      </c>
      <c r="AE41" s="887">
        <v>31</v>
      </c>
      <c r="AF41" s="887">
        <v>31</v>
      </c>
      <c r="AG41" s="887">
        <v>31</v>
      </c>
      <c r="AH41" s="887">
        <v>21</v>
      </c>
      <c r="AJ41" s="887">
        <v>31</v>
      </c>
      <c r="AL41" s="887">
        <v>21</v>
      </c>
      <c r="AM41" s="887">
        <v>25</v>
      </c>
      <c r="AN41" s="887">
        <v>27</v>
      </c>
      <c r="AO41" s="887">
        <v>21</v>
      </c>
      <c r="AP41" s="887">
        <v>21</v>
      </c>
      <c r="AQ41" s="889">
        <f t="shared" si="1"/>
        <v>31</v>
      </c>
      <c r="BB41" s="3"/>
      <c r="BC41" s="3"/>
      <c r="BD41" s="3"/>
      <c r="BE41" s="3"/>
      <c r="BF41" s="3"/>
      <c r="BG41" s="890"/>
      <c r="BH41" s="890"/>
      <c r="BI41" s="890"/>
      <c r="BJ41" s="890"/>
      <c r="BK41" s="890"/>
      <c r="BL41" s="890"/>
      <c r="BM41" s="890"/>
      <c r="BN41" s="890"/>
      <c r="BO41" s="890"/>
      <c r="BP41" s="890"/>
      <c r="BQ41" s="890"/>
      <c r="BR41" s="890"/>
      <c r="BS41" s="890"/>
      <c r="BT41" s="890"/>
      <c r="BU41" s="890"/>
      <c r="BV41" s="890"/>
      <c r="BW41" s="890"/>
    </row>
    <row r="42" spans="1:75">
      <c r="A42" s="709"/>
      <c r="B42" s="709"/>
      <c r="C42" s="709"/>
      <c r="D42" s="709"/>
      <c r="E42" s="709"/>
      <c r="F42" s="709"/>
      <c r="G42" s="709"/>
      <c r="H42" s="709"/>
      <c r="I42" s="709"/>
      <c r="J42" s="709"/>
      <c r="K42" s="709"/>
      <c r="L42" s="709"/>
      <c r="M42" s="709"/>
      <c r="N42" s="709"/>
      <c r="O42" s="709"/>
      <c r="P42" s="709"/>
      <c r="Q42" s="709"/>
      <c r="R42" s="709"/>
      <c r="S42" s="709"/>
      <c r="T42" s="709"/>
      <c r="U42" s="709"/>
      <c r="V42" s="709"/>
      <c r="W42" s="887">
        <v>16</v>
      </c>
      <c r="X42" s="887">
        <v>22</v>
      </c>
      <c r="Y42" s="887">
        <v>32</v>
      </c>
      <c r="Z42" s="887">
        <v>29</v>
      </c>
      <c r="AA42" s="887">
        <v>14</v>
      </c>
      <c r="AB42" s="887">
        <v>34</v>
      </c>
      <c r="AC42" s="887">
        <v>27</v>
      </c>
      <c r="AD42" s="887">
        <v>27</v>
      </c>
      <c r="AE42" s="887">
        <v>32</v>
      </c>
      <c r="AF42" s="887">
        <v>32</v>
      </c>
      <c r="AG42" s="887">
        <v>32</v>
      </c>
      <c r="AH42" s="887">
        <v>22</v>
      </c>
      <c r="AJ42" s="887">
        <v>32</v>
      </c>
      <c r="AL42" s="887">
        <v>22</v>
      </c>
      <c r="AM42" s="887">
        <v>26</v>
      </c>
      <c r="AN42" s="887">
        <v>28</v>
      </c>
      <c r="AO42" s="887">
        <v>22</v>
      </c>
      <c r="AP42" s="887">
        <v>22</v>
      </c>
      <c r="AQ42" s="889">
        <f t="shared" si="1"/>
        <v>32</v>
      </c>
      <c r="BB42" s="3"/>
      <c r="BC42" s="3"/>
      <c r="BD42" s="3"/>
      <c r="BE42" s="3"/>
      <c r="BF42" s="3"/>
      <c r="BG42" s="890"/>
      <c r="BH42" s="890"/>
      <c r="BI42" s="890"/>
      <c r="BJ42" s="890"/>
      <c r="BK42" s="890"/>
      <c r="BL42" s="890"/>
      <c r="BM42" s="890"/>
      <c r="BN42" s="890"/>
      <c r="BO42" s="890"/>
      <c r="BP42" s="890"/>
      <c r="BQ42" s="890"/>
      <c r="BR42" s="890"/>
      <c r="BS42" s="890"/>
      <c r="BT42" s="890"/>
      <c r="BU42" s="890"/>
      <c r="BV42" s="890"/>
      <c r="BW42" s="890"/>
    </row>
    <row r="43" spans="1:75">
      <c r="A43" s="709"/>
      <c r="B43" s="709"/>
      <c r="C43" s="709"/>
      <c r="D43" s="709"/>
      <c r="E43" s="709"/>
      <c r="F43" s="709"/>
      <c r="G43" s="709"/>
      <c r="H43" s="709"/>
      <c r="I43" s="709"/>
      <c r="J43" s="709"/>
      <c r="K43" s="709"/>
      <c r="L43" s="709"/>
      <c r="M43" s="709"/>
      <c r="N43" s="709"/>
      <c r="O43" s="709"/>
      <c r="P43" s="709"/>
      <c r="Q43" s="709"/>
      <c r="R43" s="709"/>
      <c r="S43" s="709"/>
      <c r="T43" s="709"/>
      <c r="U43" s="709"/>
      <c r="V43" s="709"/>
      <c r="W43" s="887">
        <v>17</v>
      </c>
      <c r="X43" s="887">
        <v>23</v>
      </c>
      <c r="Y43" s="887">
        <v>33</v>
      </c>
      <c r="Z43" s="887">
        <v>30</v>
      </c>
      <c r="AA43" s="887">
        <v>15</v>
      </c>
      <c r="AB43" s="887">
        <v>35</v>
      </c>
      <c r="AC43" s="887">
        <v>28</v>
      </c>
      <c r="AD43" s="887">
        <v>28</v>
      </c>
      <c r="AE43" s="887">
        <v>33</v>
      </c>
      <c r="AF43" s="887">
        <v>33</v>
      </c>
      <c r="AG43" s="887">
        <v>33</v>
      </c>
      <c r="AH43" s="887">
        <v>23</v>
      </c>
      <c r="AJ43" s="887">
        <v>33</v>
      </c>
      <c r="AL43" s="887">
        <v>23</v>
      </c>
      <c r="AM43" s="887">
        <v>27</v>
      </c>
      <c r="AN43" s="887">
        <v>29</v>
      </c>
      <c r="AO43" s="887">
        <v>23</v>
      </c>
      <c r="AP43" s="887">
        <v>23</v>
      </c>
      <c r="AQ43" s="889">
        <f t="shared" si="1"/>
        <v>33</v>
      </c>
      <c r="BB43" s="3"/>
      <c r="BC43" s="3"/>
      <c r="BD43" s="3"/>
      <c r="BE43" s="3"/>
      <c r="BF43" s="3"/>
      <c r="BG43" s="890"/>
      <c r="BH43" s="890"/>
      <c r="BI43" s="890"/>
      <c r="BJ43" s="890"/>
      <c r="BK43" s="890"/>
      <c r="BL43" s="890"/>
      <c r="BM43" s="890"/>
      <c r="BN43" s="890"/>
      <c r="BO43" s="890"/>
      <c r="BP43" s="890"/>
      <c r="BQ43" s="890"/>
      <c r="BR43" s="890"/>
      <c r="BS43" s="890"/>
      <c r="BT43" s="890"/>
      <c r="BU43" s="890"/>
      <c r="BV43" s="890"/>
      <c r="BW43" s="890"/>
    </row>
    <row r="44" spans="1:75">
      <c r="A44" s="709"/>
      <c r="B44" s="709"/>
      <c r="C44" s="709"/>
      <c r="D44" s="709"/>
      <c r="E44" s="709"/>
      <c r="F44" s="709"/>
      <c r="G44" s="709"/>
      <c r="H44" s="709"/>
      <c r="I44" s="709"/>
      <c r="J44" s="709"/>
      <c r="K44" s="709"/>
      <c r="L44" s="709"/>
      <c r="M44" s="709"/>
      <c r="N44" s="709"/>
      <c r="O44" s="709"/>
      <c r="P44" s="709"/>
      <c r="Q44" s="709"/>
      <c r="R44" s="709"/>
      <c r="S44" s="709"/>
      <c r="T44" s="709"/>
      <c r="U44" s="709"/>
      <c r="V44" s="709"/>
      <c r="W44" s="887">
        <v>18</v>
      </c>
      <c r="X44" s="887">
        <v>24</v>
      </c>
      <c r="Y44" s="887">
        <v>34</v>
      </c>
      <c r="Z44" s="887">
        <v>31</v>
      </c>
      <c r="AA44" s="887">
        <v>16</v>
      </c>
      <c r="AB44" s="887">
        <v>36</v>
      </c>
      <c r="AC44" s="887">
        <v>29</v>
      </c>
      <c r="AD44" s="887">
        <v>29</v>
      </c>
      <c r="AE44" s="887">
        <v>34</v>
      </c>
      <c r="AF44" s="887">
        <v>34</v>
      </c>
      <c r="AG44" s="887">
        <v>34</v>
      </c>
      <c r="AH44" s="887">
        <v>24</v>
      </c>
      <c r="AJ44" s="887">
        <v>34</v>
      </c>
      <c r="AL44" s="887">
        <v>24</v>
      </c>
      <c r="AM44" s="887">
        <v>28</v>
      </c>
      <c r="AN44" s="887">
        <v>30</v>
      </c>
      <c r="AO44" s="887">
        <v>24</v>
      </c>
      <c r="AP44" s="887">
        <v>24</v>
      </c>
      <c r="AQ44" s="889">
        <f t="shared" si="1"/>
        <v>34</v>
      </c>
      <c r="BB44" s="3"/>
      <c r="BC44" s="3"/>
      <c r="BD44" s="3"/>
      <c r="BE44" s="3"/>
      <c r="BF44" s="3"/>
      <c r="BG44" s="890"/>
      <c r="BH44" s="890"/>
      <c r="BI44" s="890"/>
      <c r="BJ44" s="890"/>
      <c r="BK44" s="890"/>
      <c r="BL44" s="890"/>
      <c r="BM44" s="890"/>
      <c r="BN44" s="890"/>
      <c r="BO44" s="890"/>
      <c r="BP44" s="890"/>
      <c r="BQ44" s="890"/>
      <c r="BR44" s="890"/>
      <c r="BS44" s="890"/>
      <c r="BT44" s="890"/>
      <c r="BU44" s="890"/>
      <c r="BV44" s="890"/>
      <c r="BW44" s="890"/>
    </row>
    <row r="45" spans="1:75">
      <c r="A45" s="709"/>
      <c r="B45" s="709"/>
      <c r="C45" s="709"/>
      <c r="D45" s="709"/>
      <c r="E45" s="709"/>
      <c r="F45" s="709"/>
      <c r="G45" s="709"/>
      <c r="H45" s="709"/>
      <c r="I45" s="709"/>
      <c r="J45" s="709"/>
      <c r="K45" s="709"/>
      <c r="L45" s="709"/>
      <c r="M45" s="709"/>
      <c r="N45" s="709"/>
      <c r="O45" s="709"/>
      <c r="P45" s="709"/>
      <c r="Q45" s="709"/>
      <c r="R45" s="709"/>
      <c r="S45" s="709"/>
      <c r="T45" s="709"/>
      <c r="U45" s="709"/>
      <c r="V45" s="709"/>
      <c r="W45" s="887">
        <v>19</v>
      </c>
      <c r="X45" s="887">
        <v>25</v>
      </c>
      <c r="Y45" s="887">
        <v>35</v>
      </c>
      <c r="Z45" s="887">
        <v>32</v>
      </c>
      <c r="AA45" s="887">
        <v>17</v>
      </c>
      <c r="AB45" s="887">
        <v>37</v>
      </c>
      <c r="AC45" s="887">
        <v>30</v>
      </c>
      <c r="AD45" s="887">
        <v>30</v>
      </c>
      <c r="AE45" s="887">
        <v>35</v>
      </c>
      <c r="AF45" s="887">
        <v>35</v>
      </c>
      <c r="AG45" s="887">
        <v>35</v>
      </c>
      <c r="AH45" s="887">
        <v>25</v>
      </c>
      <c r="AJ45" s="887">
        <v>35</v>
      </c>
      <c r="AL45" s="887">
        <v>25</v>
      </c>
      <c r="AM45" s="887">
        <v>29</v>
      </c>
      <c r="AN45" s="887">
        <v>31</v>
      </c>
      <c r="AO45" s="887">
        <v>25</v>
      </c>
      <c r="AP45" s="887">
        <v>25</v>
      </c>
      <c r="AQ45" s="889">
        <f t="shared" si="1"/>
        <v>35</v>
      </c>
      <c r="BB45" s="3"/>
      <c r="BC45" s="3"/>
      <c r="BD45" s="3"/>
      <c r="BE45" s="3"/>
      <c r="BF45" s="3"/>
      <c r="BG45" s="890"/>
      <c r="BH45" s="890"/>
      <c r="BI45" s="890"/>
      <c r="BJ45" s="890"/>
      <c r="BK45" s="890"/>
      <c r="BL45" s="890"/>
      <c r="BM45" s="890"/>
      <c r="BN45" s="890"/>
      <c r="BO45" s="890"/>
      <c r="BP45" s="890"/>
      <c r="BQ45" s="890"/>
      <c r="BR45" s="890"/>
      <c r="BS45" s="890"/>
      <c r="BT45" s="890"/>
      <c r="BU45" s="890"/>
      <c r="BV45" s="890"/>
      <c r="BW45" s="890"/>
    </row>
    <row r="46" spans="1:75">
      <c r="A46" s="709"/>
      <c r="B46" s="709"/>
      <c r="C46" s="709"/>
      <c r="D46" s="709"/>
      <c r="E46" s="709"/>
      <c r="F46" s="709"/>
      <c r="G46" s="709"/>
      <c r="H46" s="709"/>
      <c r="I46" s="709"/>
      <c r="J46" s="709"/>
      <c r="K46" s="709"/>
      <c r="L46" s="709"/>
      <c r="M46" s="709"/>
      <c r="N46" s="709"/>
      <c r="O46" s="709"/>
      <c r="P46" s="709"/>
      <c r="Q46" s="709"/>
      <c r="R46" s="709"/>
      <c r="S46" s="709"/>
      <c r="T46" s="709"/>
      <c r="U46" s="709"/>
      <c r="V46" s="709"/>
      <c r="W46" s="887">
        <v>20</v>
      </c>
      <c r="X46" s="887">
        <v>26</v>
      </c>
      <c r="Y46" s="887">
        <v>36</v>
      </c>
      <c r="Z46" s="887">
        <v>33</v>
      </c>
      <c r="AA46" s="887">
        <v>18</v>
      </c>
      <c r="AB46" s="887">
        <v>38</v>
      </c>
      <c r="AC46" s="887">
        <v>31</v>
      </c>
      <c r="AD46" s="887">
        <v>31</v>
      </c>
      <c r="AE46" s="887">
        <v>36</v>
      </c>
      <c r="AF46" s="887">
        <v>36</v>
      </c>
      <c r="AG46" s="887">
        <v>36</v>
      </c>
      <c r="AH46" s="887">
        <v>26</v>
      </c>
      <c r="AJ46" s="887">
        <v>36</v>
      </c>
      <c r="AL46" s="887">
        <v>26</v>
      </c>
      <c r="AM46" s="887">
        <v>30</v>
      </c>
      <c r="AN46" s="887">
        <v>32</v>
      </c>
      <c r="AO46" s="887">
        <v>26</v>
      </c>
      <c r="AP46" s="887">
        <v>26</v>
      </c>
      <c r="AQ46" s="889">
        <f t="shared" si="1"/>
        <v>36</v>
      </c>
      <c r="BB46" s="3"/>
      <c r="BC46" s="3"/>
      <c r="BD46" s="3"/>
      <c r="BE46" s="3"/>
      <c r="BF46" s="3"/>
      <c r="BG46" s="890"/>
      <c r="BH46" s="890"/>
      <c r="BI46" s="890"/>
      <c r="BJ46" s="890"/>
      <c r="BK46" s="890"/>
      <c r="BL46" s="890"/>
      <c r="BM46" s="890"/>
      <c r="BN46" s="890"/>
      <c r="BO46" s="890"/>
      <c r="BP46" s="890"/>
      <c r="BQ46" s="890"/>
      <c r="BR46" s="890"/>
      <c r="BS46" s="890"/>
      <c r="BT46" s="890"/>
      <c r="BU46" s="890"/>
      <c r="BV46" s="890"/>
      <c r="BW46" s="890"/>
    </row>
    <row r="47" spans="1:75">
      <c r="A47" s="709"/>
      <c r="B47" s="709"/>
      <c r="C47" s="709"/>
      <c r="D47" s="709"/>
      <c r="E47" s="709"/>
      <c r="F47" s="709"/>
      <c r="G47" s="709"/>
      <c r="H47" s="709"/>
      <c r="I47" s="709"/>
      <c r="J47" s="709"/>
      <c r="K47" s="709"/>
      <c r="L47" s="709"/>
      <c r="M47" s="709"/>
      <c r="N47" s="709"/>
      <c r="O47" s="709"/>
      <c r="P47" s="709"/>
      <c r="Q47" s="709"/>
      <c r="R47" s="709"/>
      <c r="S47" s="709"/>
      <c r="T47" s="709"/>
      <c r="U47" s="709"/>
      <c r="V47" s="709"/>
      <c r="W47" s="887">
        <v>21</v>
      </c>
      <c r="X47" s="887">
        <v>27</v>
      </c>
      <c r="Y47" s="887">
        <v>37</v>
      </c>
      <c r="Z47" s="887">
        <v>34</v>
      </c>
      <c r="AA47" s="887">
        <v>19</v>
      </c>
      <c r="AB47" s="887">
        <v>39</v>
      </c>
      <c r="AC47" s="887">
        <v>32</v>
      </c>
      <c r="AD47" s="887">
        <v>32</v>
      </c>
      <c r="AE47" s="887">
        <v>37</v>
      </c>
      <c r="AF47" s="887">
        <v>37</v>
      </c>
      <c r="AG47" s="887">
        <v>37</v>
      </c>
      <c r="AH47" s="887">
        <v>27</v>
      </c>
      <c r="AJ47" s="887">
        <v>37</v>
      </c>
      <c r="AL47" s="887">
        <v>27</v>
      </c>
      <c r="AM47" s="887">
        <v>31</v>
      </c>
      <c r="AN47" s="887">
        <v>33</v>
      </c>
      <c r="AO47" s="887">
        <v>27</v>
      </c>
      <c r="AP47" s="887">
        <v>27</v>
      </c>
      <c r="AQ47" s="889">
        <f t="shared" si="1"/>
        <v>37</v>
      </c>
      <c r="BB47" s="3"/>
      <c r="BC47" s="3"/>
      <c r="BD47" s="3"/>
      <c r="BE47" s="3"/>
      <c r="BF47" s="3"/>
      <c r="BG47" s="890"/>
      <c r="BH47" s="890"/>
      <c r="BI47" s="890"/>
      <c r="BJ47" s="890"/>
      <c r="BK47" s="890"/>
      <c r="BL47" s="890"/>
      <c r="BM47" s="890"/>
      <c r="BN47" s="890"/>
      <c r="BO47" s="890"/>
      <c r="BP47" s="890"/>
      <c r="BQ47" s="890"/>
      <c r="BR47" s="890"/>
      <c r="BS47" s="890"/>
      <c r="BT47" s="890"/>
      <c r="BU47" s="890"/>
      <c r="BV47" s="890"/>
      <c r="BW47" s="890"/>
    </row>
    <row r="48" spans="1:75">
      <c r="A48" s="709"/>
      <c r="B48" s="709"/>
      <c r="C48" s="709"/>
      <c r="D48" s="709"/>
      <c r="E48" s="709"/>
      <c r="F48" s="709"/>
      <c r="G48" s="709"/>
      <c r="H48" s="709"/>
      <c r="I48" s="709"/>
      <c r="J48" s="709"/>
      <c r="K48" s="709"/>
      <c r="L48" s="709"/>
      <c r="M48" s="709"/>
      <c r="N48" s="709"/>
      <c r="O48" s="709"/>
      <c r="P48" s="709"/>
      <c r="Q48" s="709"/>
      <c r="R48" s="709"/>
      <c r="S48" s="709"/>
      <c r="T48" s="709"/>
      <c r="U48" s="709"/>
      <c r="V48" s="709"/>
      <c r="W48" s="887">
        <v>22</v>
      </c>
      <c r="X48" s="887">
        <v>28</v>
      </c>
      <c r="Y48" s="887">
        <v>38</v>
      </c>
      <c r="Z48" s="887">
        <v>35</v>
      </c>
      <c r="AA48" s="887">
        <v>20</v>
      </c>
      <c r="AB48" s="887">
        <v>40</v>
      </c>
      <c r="AC48" s="887">
        <v>33</v>
      </c>
      <c r="AD48" s="887">
        <v>33</v>
      </c>
      <c r="AE48" s="887">
        <v>38</v>
      </c>
      <c r="AF48" s="887">
        <v>38</v>
      </c>
      <c r="AG48" s="887">
        <v>38</v>
      </c>
      <c r="AH48" s="887">
        <v>28</v>
      </c>
      <c r="AJ48" s="887">
        <v>38</v>
      </c>
      <c r="AL48" s="887">
        <v>28</v>
      </c>
      <c r="AM48" s="887">
        <v>32</v>
      </c>
      <c r="AN48" s="887">
        <v>34</v>
      </c>
      <c r="AO48" s="887">
        <v>28</v>
      </c>
      <c r="AP48" s="887">
        <v>28</v>
      </c>
      <c r="AQ48" s="889">
        <f t="shared" si="1"/>
        <v>38</v>
      </c>
      <c r="BB48" s="3"/>
      <c r="BC48" s="3"/>
      <c r="BD48" s="3"/>
      <c r="BE48" s="3"/>
      <c r="BF48" s="3"/>
      <c r="BG48" s="890"/>
      <c r="BH48" s="890"/>
      <c r="BI48" s="890"/>
      <c r="BJ48" s="890"/>
      <c r="BK48" s="890"/>
      <c r="BL48" s="890"/>
      <c r="BM48" s="890"/>
      <c r="BN48" s="890"/>
      <c r="BO48" s="890"/>
      <c r="BP48" s="890"/>
      <c r="BQ48" s="890"/>
      <c r="BR48" s="890"/>
      <c r="BS48" s="890"/>
      <c r="BT48" s="890"/>
      <c r="BU48" s="890"/>
      <c r="BV48" s="890"/>
      <c r="BW48" s="890"/>
    </row>
    <row r="49" spans="1:75">
      <c r="A49" s="709"/>
      <c r="B49" s="709"/>
      <c r="C49" s="709"/>
      <c r="D49" s="709"/>
      <c r="E49" s="709"/>
      <c r="F49" s="709"/>
      <c r="G49" s="709"/>
      <c r="H49" s="709"/>
      <c r="I49" s="709"/>
      <c r="J49" s="709"/>
      <c r="K49" s="709"/>
      <c r="L49" s="709"/>
      <c r="M49" s="709"/>
      <c r="N49" s="709"/>
      <c r="O49" s="709"/>
      <c r="P49" s="709"/>
      <c r="Q49" s="709"/>
      <c r="R49" s="709"/>
      <c r="S49" s="709"/>
      <c r="T49" s="709"/>
      <c r="U49" s="709"/>
      <c r="V49" s="709"/>
      <c r="W49" s="887">
        <v>23</v>
      </c>
      <c r="X49" s="887">
        <v>29</v>
      </c>
      <c r="Y49" s="887">
        <v>39</v>
      </c>
      <c r="Z49" s="887">
        <v>36</v>
      </c>
      <c r="AA49" s="887">
        <v>21</v>
      </c>
      <c r="AB49" s="887">
        <v>41</v>
      </c>
      <c r="AC49" s="887">
        <v>34</v>
      </c>
      <c r="AD49" s="887">
        <v>34</v>
      </c>
      <c r="AE49" s="887">
        <v>39</v>
      </c>
      <c r="AF49" s="887">
        <v>39</v>
      </c>
      <c r="AG49" s="887">
        <v>39</v>
      </c>
      <c r="AH49" s="887">
        <v>29</v>
      </c>
      <c r="AJ49" s="887">
        <v>39</v>
      </c>
      <c r="AL49" s="887">
        <v>29</v>
      </c>
      <c r="AM49" s="887">
        <v>33</v>
      </c>
      <c r="AN49" s="887">
        <v>35</v>
      </c>
      <c r="AO49" s="887">
        <v>29</v>
      </c>
      <c r="AP49" s="887">
        <v>29</v>
      </c>
      <c r="AQ49" s="889">
        <f t="shared" si="1"/>
        <v>39</v>
      </c>
      <c r="BB49" s="3"/>
      <c r="BC49" s="3"/>
      <c r="BD49" s="3"/>
      <c r="BE49" s="3"/>
      <c r="BF49" s="3"/>
      <c r="BG49" s="890"/>
      <c r="BH49" s="890"/>
      <c r="BI49" s="890"/>
      <c r="BJ49" s="890"/>
      <c r="BK49" s="890"/>
      <c r="BL49" s="890"/>
      <c r="BM49" s="890"/>
      <c r="BN49" s="890"/>
      <c r="BO49" s="890"/>
      <c r="BP49" s="890"/>
      <c r="BQ49" s="890"/>
      <c r="BR49" s="890"/>
      <c r="BS49" s="890"/>
      <c r="BT49" s="890"/>
      <c r="BU49" s="890"/>
      <c r="BV49" s="890"/>
      <c r="BW49" s="890"/>
    </row>
    <row r="50" spans="1:75">
      <c r="A50" s="709"/>
      <c r="B50" s="709"/>
      <c r="C50" s="709"/>
      <c r="D50" s="709"/>
      <c r="E50" s="709"/>
      <c r="F50" s="709"/>
      <c r="G50" s="709"/>
      <c r="H50" s="709"/>
      <c r="I50" s="709"/>
      <c r="J50" s="709"/>
      <c r="K50" s="709"/>
      <c r="L50" s="709"/>
      <c r="M50" s="709"/>
      <c r="N50" s="709"/>
      <c r="O50" s="709"/>
      <c r="P50" s="709"/>
      <c r="Q50" s="709"/>
      <c r="R50" s="709"/>
      <c r="S50" s="709"/>
      <c r="T50" s="709"/>
      <c r="U50" s="709"/>
      <c r="V50" s="709"/>
      <c r="W50" s="887">
        <v>24</v>
      </c>
      <c r="X50" s="887">
        <v>30</v>
      </c>
      <c r="Y50" s="887">
        <v>40</v>
      </c>
      <c r="Z50" s="887">
        <v>37</v>
      </c>
      <c r="AA50" s="887">
        <v>22</v>
      </c>
      <c r="AB50" s="887">
        <v>42</v>
      </c>
      <c r="AC50" s="887">
        <v>35</v>
      </c>
      <c r="AD50" s="887">
        <v>35</v>
      </c>
      <c r="AE50" s="887">
        <v>40</v>
      </c>
      <c r="AF50" s="887">
        <v>40</v>
      </c>
      <c r="AG50" s="887">
        <v>40</v>
      </c>
      <c r="AH50" s="887">
        <v>30</v>
      </c>
      <c r="AJ50" s="887">
        <v>40</v>
      </c>
      <c r="AL50" s="887">
        <v>30</v>
      </c>
      <c r="AM50" s="887">
        <v>34</v>
      </c>
      <c r="AN50" s="887">
        <v>36</v>
      </c>
      <c r="AO50" s="887">
        <v>30</v>
      </c>
      <c r="AP50" s="887">
        <v>30</v>
      </c>
      <c r="AQ50" s="889">
        <f t="shared" si="1"/>
        <v>40</v>
      </c>
      <c r="BB50" s="3"/>
      <c r="BC50" s="3"/>
      <c r="BD50" s="3"/>
      <c r="BE50" s="3"/>
      <c r="BF50" s="3"/>
      <c r="BG50" s="890"/>
      <c r="BH50" s="890"/>
      <c r="BI50" s="890"/>
      <c r="BJ50" s="890"/>
      <c r="BK50" s="890"/>
      <c r="BL50" s="890"/>
      <c r="BM50" s="890"/>
      <c r="BN50" s="890"/>
      <c r="BO50" s="890"/>
      <c r="BP50" s="890"/>
      <c r="BQ50" s="890"/>
      <c r="BR50" s="890"/>
      <c r="BS50" s="890"/>
      <c r="BT50" s="890"/>
      <c r="BU50" s="890"/>
      <c r="BV50" s="890"/>
      <c r="BW50" s="890"/>
    </row>
    <row r="51" spans="1:75">
      <c r="A51" s="709"/>
      <c r="B51" s="709"/>
      <c r="C51" s="709"/>
      <c r="D51" s="709"/>
      <c r="E51" s="709"/>
      <c r="F51" s="709"/>
      <c r="G51" s="709"/>
      <c r="H51" s="709"/>
      <c r="I51" s="709"/>
      <c r="J51" s="709"/>
      <c r="K51" s="709"/>
      <c r="L51" s="709"/>
      <c r="M51" s="709"/>
      <c r="N51" s="709"/>
      <c r="O51" s="709"/>
      <c r="P51" s="709"/>
      <c r="Q51" s="709"/>
      <c r="R51" s="709"/>
      <c r="S51" s="709"/>
      <c r="T51" s="709"/>
      <c r="U51" s="709"/>
      <c r="V51" s="709"/>
      <c r="W51" s="887">
        <v>25</v>
      </c>
      <c r="X51" s="887">
        <v>31</v>
      </c>
      <c r="Y51" s="887">
        <v>41</v>
      </c>
      <c r="Z51" s="887">
        <v>38</v>
      </c>
      <c r="AA51" s="887">
        <v>23</v>
      </c>
      <c r="AB51" s="887">
        <v>43</v>
      </c>
      <c r="AC51" s="887">
        <v>36</v>
      </c>
      <c r="AD51" s="887">
        <v>36</v>
      </c>
      <c r="AE51" s="887">
        <v>41</v>
      </c>
      <c r="AF51" s="887">
        <v>41</v>
      </c>
      <c r="AG51" s="887">
        <v>41</v>
      </c>
      <c r="AH51" s="887">
        <v>31</v>
      </c>
      <c r="AJ51" s="887">
        <v>41</v>
      </c>
      <c r="AL51" s="887">
        <v>31</v>
      </c>
      <c r="AM51" s="887">
        <v>35</v>
      </c>
      <c r="AN51" s="887">
        <v>37</v>
      </c>
      <c r="AO51" s="887">
        <v>31</v>
      </c>
      <c r="AP51" s="887">
        <v>31</v>
      </c>
      <c r="AQ51" s="889">
        <f t="shared" si="1"/>
        <v>41</v>
      </c>
      <c r="BB51" s="3"/>
      <c r="BC51" s="3"/>
      <c r="BD51" s="3"/>
      <c r="BE51" s="3"/>
      <c r="BF51" s="3"/>
      <c r="BG51" s="890"/>
      <c r="BH51" s="890"/>
      <c r="BI51" s="890"/>
      <c r="BJ51" s="890"/>
      <c r="BK51" s="890"/>
      <c r="BL51" s="890"/>
      <c r="BM51" s="890"/>
      <c r="BN51" s="890"/>
      <c r="BO51" s="890"/>
      <c r="BP51" s="890"/>
      <c r="BQ51" s="890"/>
      <c r="BR51" s="890"/>
      <c r="BS51" s="890"/>
      <c r="BT51" s="890"/>
      <c r="BU51" s="890"/>
      <c r="BV51" s="890"/>
      <c r="BW51" s="890"/>
    </row>
    <row r="52" spans="1:75">
      <c r="A52" s="709"/>
      <c r="B52" s="709"/>
      <c r="C52" s="709"/>
      <c r="D52" s="709"/>
      <c r="E52" s="709"/>
      <c r="F52" s="709"/>
      <c r="G52" s="709"/>
      <c r="H52" s="709"/>
      <c r="I52" s="709"/>
      <c r="J52" s="709"/>
      <c r="K52" s="709"/>
      <c r="L52" s="709"/>
      <c r="M52" s="709"/>
      <c r="N52" s="709"/>
      <c r="O52" s="709"/>
      <c r="P52" s="709"/>
      <c r="Q52" s="709"/>
      <c r="R52" s="709"/>
      <c r="S52" s="709"/>
      <c r="T52" s="709"/>
      <c r="U52" s="709"/>
      <c r="V52" s="709"/>
      <c r="W52" s="887">
        <v>26</v>
      </c>
      <c r="X52" s="887">
        <v>32</v>
      </c>
      <c r="Y52" s="887">
        <v>42</v>
      </c>
      <c r="Z52" s="887">
        <v>39</v>
      </c>
      <c r="AA52" s="887">
        <v>24</v>
      </c>
      <c r="AB52" s="887">
        <v>44</v>
      </c>
      <c r="AC52" s="887">
        <v>37</v>
      </c>
      <c r="AD52" s="887">
        <v>37</v>
      </c>
      <c r="AE52" s="887">
        <v>42</v>
      </c>
      <c r="AF52" s="887">
        <v>42</v>
      </c>
      <c r="AG52" s="887">
        <v>42</v>
      </c>
      <c r="AH52" s="887">
        <v>32</v>
      </c>
      <c r="AJ52" s="887">
        <v>42</v>
      </c>
      <c r="AL52" s="887">
        <v>32</v>
      </c>
      <c r="AM52" s="887">
        <v>36</v>
      </c>
      <c r="AN52" s="887">
        <v>38</v>
      </c>
      <c r="AO52" s="887">
        <v>32</v>
      </c>
      <c r="AP52" s="887">
        <v>32</v>
      </c>
      <c r="AQ52" s="889">
        <f t="shared" si="1"/>
        <v>42</v>
      </c>
      <c r="BB52" s="3"/>
      <c r="BC52" s="3"/>
      <c r="BD52" s="3"/>
      <c r="BE52" s="3"/>
      <c r="BF52" s="3"/>
      <c r="BG52" s="890"/>
      <c r="BH52" s="890"/>
      <c r="BI52" s="890"/>
      <c r="BJ52" s="890"/>
      <c r="BK52" s="890"/>
      <c r="BL52" s="890"/>
      <c r="BM52" s="890"/>
      <c r="BN52" s="890"/>
      <c r="BO52" s="890"/>
      <c r="BP52" s="890"/>
      <c r="BQ52" s="890"/>
      <c r="BR52" s="890"/>
      <c r="BS52" s="890"/>
      <c r="BT52" s="890"/>
      <c r="BU52" s="890"/>
      <c r="BV52" s="890"/>
      <c r="BW52" s="890"/>
    </row>
    <row r="53" spans="1:75">
      <c r="A53" s="709"/>
      <c r="B53" s="709"/>
      <c r="C53" s="709"/>
      <c r="D53" s="709"/>
      <c r="E53" s="709"/>
      <c r="F53" s="709"/>
      <c r="G53" s="709"/>
      <c r="H53" s="709"/>
      <c r="I53" s="709"/>
      <c r="J53" s="709"/>
      <c r="K53" s="709"/>
      <c r="L53" s="709"/>
      <c r="M53" s="709"/>
      <c r="N53" s="709"/>
      <c r="O53" s="709"/>
      <c r="P53" s="709"/>
      <c r="Q53" s="709"/>
      <c r="R53" s="709"/>
      <c r="S53" s="709"/>
      <c r="T53" s="709"/>
      <c r="U53" s="709"/>
      <c r="V53" s="709"/>
      <c r="W53" s="887">
        <v>27</v>
      </c>
      <c r="X53" s="887">
        <v>33</v>
      </c>
      <c r="Y53" s="887">
        <v>43</v>
      </c>
      <c r="Z53" s="887">
        <v>40</v>
      </c>
      <c r="AA53" s="887">
        <v>25</v>
      </c>
      <c r="AB53" s="887">
        <v>45</v>
      </c>
      <c r="AC53" s="887">
        <v>38</v>
      </c>
      <c r="AD53" s="887">
        <v>38</v>
      </c>
      <c r="AE53" s="887">
        <v>43</v>
      </c>
      <c r="AF53" s="887">
        <v>43</v>
      </c>
      <c r="AG53" s="887">
        <v>43</v>
      </c>
      <c r="AH53" s="887">
        <v>33</v>
      </c>
      <c r="AJ53" s="887">
        <v>43</v>
      </c>
      <c r="AL53" s="887">
        <v>33</v>
      </c>
      <c r="AM53" s="887">
        <v>37</v>
      </c>
      <c r="AN53" s="887">
        <v>39</v>
      </c>
      <c r="AO53" s="887">
        <v>33</v>
      </c>
      <c r="AP53" s="887">
        <v>33</v>
      </c>
      <c r="AQ53" s="889">
        <f t="shared" si="1"/>
        <v>43</v>
      </c>
      <c r="BB53" s="3"/>
      <c r="BC53" s="3"/>
      <c r="BD53" s="3"/>
      <c r="BE53" s="3"/>
      <c r="BF53" s="3"/>
      <c r="BG53" s="890"/>
      <c r="BH53" s="890"/>
      <c r="BI53" s="890"/>
      <c r="BJ53" s="890"/>
      <c r="BK53" s="890"/>
      <c r="BL53" s="890"/>
      <c r="BM53" s="890"/>
      <c r="BN53" s="890"/>
      <c r="BO53" s="890"/>
      <c r="BP53" s="890"/>
      <c r="BQ53" s="890"/>
      <c r="BR53" s="890"/>
      <c r="BS53" s="890"/>
      <c r="BT53" s="890"/>
      <c r="BU53" s="890"/>
      <c r="BV53" s="890"/>
      <c r="BW53" s="890"/>
    </row>
    <row r="54" spans="1:75">
      <c r="A54" s="709"/>
      <c r="B54" s="709"/>
      <c r="C54" s="709"/>
      <c r="D54" s="709"/>
      <c r="E54" s="709"/>
      <c r="F54" s="709"/>
      <c r="G54" s="709"/>
      <c r="H54" s="709"/>
      <c r="I54" s="709"/>
      <c r="J54" s="709"/>
      <c r="K54" s="709"/>
      <c r="L54" s="709"/>
      <c r="M54" s="709"/>
      <c r="N54" s="709"/>
      <c r="O54" s="709"/>
      <c r="P54" s="709"/>
      <c r="Q54" s="709"/>
      <c r="R54" s="709"/>
      <c r="S54" s="709"/>
      <c r="T54" s="709"/>
      <c r="U54" s="709"/>
      <c r="V54" s="709"/>
      <c r="W54" s="887">
        <v>28</v>
      </c>
      <c r="X54" s="887">
        <v>34</v>
      </c>
      <c r="Y54" s="887">
        <v>44</v>
      </c>
      <c r="Z54" s="887">
        <v>41</v>
      </c>
      <c r="AA54" s="887">
        <v>26</v>
      </c>
      <c r="AB54" s="887">
        <v>46</v>
      </c>
      <c r="AC54" s="887">
        <v>39</v>
      </c>
      <c r="AD54" s="887">
        <v>39</v>
      </c>
      <c r="AE54" s="887">
        <v>44</v>
      </c>
      <c r="AF54" s="887">
        <v>44</v>
      </c>
      <c r="AG54" s="887">
        <v>44</v>
      </c>
      <c r="AH54" s="887">
        <v>34</v>
      </c>
      <c r="AJ54" s="887">
        <v>44</v>
      </c>
      <c r="AL54" s="887">
        <v>34</v>
      </c>
      <c r="AM54" s="887">
        <v>38</v>
      </c>
      <c r="AN54" s="887">
        <v>40</v>
      </c>
      <c r="AO54" s="887">
        <v>34</v>
      </c>
      <c r="AP54" s="887">
        <v>34</v>
      </c>
      <c r="AQ54" s="889">
        <f t="shared" si="1"/>
        <v>44</v>
      </c>
      <c r="BB54" s="3"/>
      <c r="BC54" s="3"/>
      <c r="BD54" s="3"/>
      <c r="BE54" s="3"/>
      <c r="BF54" s="3"/>
      <c r="BG54" s="890"/>
      <c r="BH54" s="890"/>
      <c r="BI54" s="890"/>
      <c r="BJ54" s="890"/>
      <c r="BK54" s="890"/>
      <c r="BL54" s="890"/>
      <c r="BM54" s="890"/>
      <c r="BN54" s="890"/>
      <c r="BO54" s="890"/>
      <c r="BP54" s="890"/>
      <c r="BQ54" s="890"/>
      <c r="BR54" s="890"/>
      <c r="BS54" s="890"/>
      <c r="BT54" s="890"/>
      <c r="BU54" s="890"/>
      <c r="BV54" s="890"/>
      <c r="BW54" s="890"/>
    </row>
    <row r="55" spans="1:75">
      <c r="A55" s="709"/>
      <c r="B55" s="709"/>
      <c r="C55" s="709"/>
      <c r="D55" s="709"/>
      <c r="E55" s="709"/>
      <c r="F55" s="709"/>
      <c r="G55" s="709"/>
      <c r="H55" s="709"/>
      <c r="I55" s="709"/>
      <c r="J55" s="709"/>
      <c r="K55" s="709"/>
      <c r="L55" s="709"/>
      <c r="M55" s="709"/>
      <c r="N55" s="709"/>
      <c r="O55" s="709"/>
      <c r="P55" s="709"/>
      <c r="Q55" s="709"/>
      <c r="R55" s="709"/>
      <c r="S55" s="709"/>
      <c r="T55" s="709"/>
      <c r="U55" s="709"/>
      <c r="V55" s="709"/>
      <c r="W55" s="887">
        <v>29</v>
      </c>
      <c r="X55" s="887">
        <v>35</v>
      </c>
      <c r="Y55" s="887">
        <v>45</v>
      </c>
      <c r="Z55" s="887">
        <v>42</v>
      </c>
      <c r="AA55" s="887">
        <v>27</v>
      </c>
      <c r="AB55" s="887">
        <v>47</v>
      </c>
      <c r="AC55" s="887">
        <v>40</v>
      </c>
      <c r="AD55" s="887">
        <v>40</v>
      </c>
      <c r="AE55" s="887">
        <v>45</v>
      </c>
      <c r="AF55" s="887">
        <v>45</v>
      </c>
      <c r="AG55" s="887">
        <v>45</v>
      </c>
      <c r="AH55" s="887">
        <v>35</v>
      </c>
      <c r="AJ55" s="887">
        <v>45</v>
      </c>
      <c r="AL55" s="887">
        <v>35</v>
      </c>
      <c r="AM55" s="887">
        <v>39</v>
      </c>
      <c r="AN55" s="887">
        <v>41</v>
      </c>
      <c r="AO55" s="887">
        <v>35</v>
      </c>
      <c r="AP55" s="887">
        <v>35</v>
      </c>
      <c r="AQ55" s="889">
        <f t="shared" si="1"/>
        <v>45</v>
      </c>
      <c r="BB55" s="3"/>
      <c r="BC55" s="3"/>
      <c r="BD55" s="3"/>
      <c r="BE55" s="3"/>
      <c r="BF55" s="3"/>
      <c r="BG55" s="890"/>
      <c r="BH55" s="890"/>
      <c r="BI55" s="890"/>
      <c r="BJ55" s="890"/>
      <c r="BK55" s="890"/>
      <c r="BL55" s="890"/>
      <c r="BM55" s="890"/>
      <c r="BN55" s="890"/>
      <c r="BO55" s="890"/>
      <c r="BP55" s="890"/>
      <c r="BQ55" s="890"/>
      <c r="BR55" s="890"/>
      <c r="BS55" s="890"/>
      <c r="BT55" s="890"/>
      <c r="BU55" s="890"/>
      <c r="BV55" s="890"/>
      <c r="BW55" s="890"/>
    </row>
    <row r="56" spans="1:75">
      <c r="A56" s="709"/>
      <c r="B56" s="709"/>
      <c r="C56" s="709"/>
      <c r="D56" s="709"/>
      <c r="E56" s="709"/>
      <c r="F56" s="709"/>
      <c r="G56" s="709"/>
      <c r="H56" s="709"/>
      <c r="I56" s="709"/>
      <c r="J56" s="709"/>
      <c r="K56" s="709"/>
      <c r="L56" s="709"/>
      <c r="M56" s="709"/>
      <c r="N56" s="709"/>
      <c r="O56" s="709"/>
      <c r="P56" s="709"/>
      <c r="Q56" s="709"/>
      <c r="R56" s="709"/>
      <c r="S56" s="709"/>
      <c r="T56" s="709"/>
      <c r="U56" s="709"/>
      <c r="V56" s="709"/>
      <c r="W56" s="887">
        <v>30</v>
      </c>
      <c r="X56" s="887">
        <v>36</v>
      </c>
      <c r="Y56" s="887">
        <v>46</v>
      </c>
      <c r="Z56" s="887">
        <v>43</v>
      </c>
      <c r="AA56" s="887">
        <v>28</v>
      </c>
      <c r="AB56" s="887">
        <v>48</v>
      </c>
      <c r="AC56" s="887">
        <v>41</v>
      </c>
      <c r="AD56" s="887">
        <v>41</v>
      </c>
      <c r="AE56" s="887">
        <v>46</v>
      </c>
      <c r="AF56" s="887">
        <v>46</v>
      </c>
      <c r="AG56" s="887">
        <v>46</v>
      </c>
      <c r="AH56" s="887">
        <v>36</v>
      </c>
      <c r="AJ56" s="887">
        <v>46</v>
      </c>
      <c r="AL56" s="887">
        <v>36</v>
      </c>
      <c r="AM56" s="887">
        <v>40</v>
      </c>
      <c r="AN56" s="887">
        <v>42</v>
      </c>
      <c r="AO56" s="887">
        <v>36</v>
      </c>
      <c r="AP56" s="887">
        <v>36</v>
      </c>
      <c r="AQ56" s="889">
        <f t="shared" si="1"/>
        <v>46</v>
      </c>
      <c r="BB56" s="3"/>
      <c r="BC56" s="3"/>
      <c r="BD56" s="3"/>
      <c r="BE56" s="3"/>
      <c r="BF56" s="3"/>
      <c r="BG56" s="890"/>
      <c r="BH56" s="890"/>
      <c r="BI56" s="890"/>
      <c r="BJ56" s="890"/>
      <c r="BK56" s="890"/>
      <c r="BL56" s="890"/>
      <c r="BM56" s="890"/>
      <c r="BN56" s="890"/>
      <c r="BO56" s="890"/>
      <c r="BP56" s="890"/>
      <c r="BQ56" s="890"/>
      <c r="BR56" s="890"/>
      <c r="BS56" s="890"/>
      <c r="BT56" s="890"/>
      <c r="BU56" s="890"/>
      <c r="BV56" s="890"/>
      <c r="BW56" s="890"/>
    </row>
    <row r="57" spans="1:75">
      <c r="A57" s="709"/>
      <c r="B57" s="709"/>
      <c r="C57" s="709"/>
      <c r="D57" s="709"/>
      <c r="E57" s="709"/>
      <c r="F57" s="709"/>
      <c r="G57" s="709"/>
      <c r="H57" s="709"/>
      <c r="I57" s="709"/>
      <c r="J57" s="709"/>
      <c r="K57" s="709"/>
      <c r="L57" s="709"/>
      <c r="M57" s="709"/>
      <c r="N57" s="709"/>
      <c r="O57" s="709"/>
      <c r="P57" s="709"/>
      <c r="Q57" s="709"/>
      <c r="R57" s="709"/>
      <c r="S57" s="709"/>
      <c r="T57" s="709"/>
      <c r="U57" s="709"/>
      <c r="V57" s="709"/>
      <c r="W57" s="887">
        <v>31</v>
      </c>
      <c r="X57" s="887">
        <v>37</v>
      </c>
      <c r="Y57" s="887">
        <v>47</v>
      </c>
      <c r="Z57" s="887">
        <v>44</v>
      </c>
      <c r="AA57" s="887">
        <v>29</v>
      </c>
      <c r="AB57" s="887">
        <v>49</v>
      </c>
      <c r="AC57" s="887">
        <v>42</v>
      </c>
      <c r="AD57" s="887">
        <v>42</v>
      </c>
      <c r="AE57" s="887">
        <v>47</v>
      </c>
      <c r="AF57" s="887">
        <v>47</v>
      </c>
      <c r="AG57" s="887">
        <v>47</v>
      </c>
      <c r="AH57" s="887">
        <v>37</v>
      </c>
      <c r="AJ57" s="887">
        <v>47</v>
      </c>
      <c r="AL57" s="887">
        <v>37</v>
      </c>
      <c r="AM57" s="887">
        <v>41</v>
      </c>
      <c r="AN57" s="887">
        <v>43</v>
      </c>
      <c r="AO57" s="887">
        <v>37</v>
      </c>
      <c r="AP57" s="887">
        <v>37</v>
      </c>
      <c r="AQ57" s="889">
        <f t="shared" si="1"/>
        <v>47</v>
      </c>
      <c r="BB57" s="3"/>
      <c r="BC57" s="3"/>
      <c r="BD57" s="3"/>
      <c r="BE57" s="3"/>
      <c r="BF57" s="3"/>
      <c r="BG57" s="890"/>
      <c r="BH57" s="890"/>
      <c r="BI57" s="890"/>
      <c r="BJ57" s="890"/>
      <c r="BK57" s="890"/>
      <c r="BL57" s="890"/>
      <c r="BM57" s="890"/>
      <c r="BN57" s="890"/>
      <c r="BO57" s="890"/>
      <c r="BP57" s="890"/>
      <c r="BQ57" s="890"/>
      <c r="BR57" s="890"/>
      <c r="BS57" s="890"/>
      <c r="BT57" s="890"/>
      <c r="BU57" s="890"/>
      <c r="BV57" s="890"/>
      <c r="BW57" s="890"/>
    </row>
    <row r="58" spans="1:75">
      <c r="A58" s="709"/>
      <c r="B58" s="709"/>
      <c r="C58" s="709"/>
      <c r="D58" s="709"/>
      <c r="E58" s="709"/>
      <c r="F58" s="709"/>
      <c r="G58" s="709"/>
      <c r="H58" s="709"/>
      <c r="I58" s="709"/>
      <c r="J58" s="709"/>
      <c r="K58" s="709"/>
      <c r="L58" s="709"/>
      <c r="M58" s="709"/>
      <c r="N58" s="709"/>
      <c r="O58" s="709"/>
      <c r="P58" s="709"/>
      <c r="Q58" s="709"/>
      <c r="R58" s="709"/>
      <c r="S58" s="709"/>
      <c r="T58" s="709"/>
      <c r="U58" s="709"/>
      <c r="V58" s="709"/>
      <c r="W58" s="887">
        <v>32</v>
      </c>
      <c r="X58" s="887">
        <v>38</v>
      </c>
      <c r="Y58" s="887">
        <v>48</v>
      </c>
      <c r="Z58" s="887">
        <v>45</v>
      </c>
      <c r="AA58" s="887">
        <v>30</v>
      </c>
      <c r="AB58" s="887">
        <v>50</v>
      </c>
      <c r="AC58" s="887">
        <v>43</v>
      </c>
      <c r="AD58" s="887">
        <v>43</v>
      </c>
      <c r="AE58" s="887">
        <v>48</v>
      </c>
      <c r="AF58" s="887">
        <v>48</v>
      </c>
      <c r="AG58" s="887">
        <v>48</v>
      </c>
      <c r="AH58" s="887">
        <v>38</v>
      </c>
      <c r="AJ58" s="887">
        <v>48</v>
      </c>
      <c r="AL58" s="887">
        <v>38</v>
      </c>
      <c r="AM58" s="887">
        <v>42</v>
      </c>
      <c r="AN58" s="887">
        <v>44</v>
      </c>
      <c r="AO58" s="887">
        <v>38</v>
      </c>
      <c r="AP58" s="887">
        <v>38</v>
      </c>
      <c r="AQ58" s="889">
        <f t="shared" si="1"/>
        <v>48</v>
      </c>
      <c r="BB58" s="3"/>
      <c r="BC58" s="3"/>
      <c r="BD58" s="3"/>
      <c r="BE58" s="3"/>
      <c r="BF58" s="3"/>
      <c r="BG58" s="890"/>
      <c r="BH58" s="890"/>
      <c r="BI58" s="890"/>
      <c r="BJ58" s="890"/>
      <c r="BK58" s="890"/>
      <c r="BL58" s="890"/>
      <c r="BM58" s="890"/>
      <c r="BN58" s="890"/>
      <c r="BO58" s="890"/>
      <c r="BP58" s="890"/>
      <c r="BQ58" s="890"/>
      <c r="BR58" s="890"/>
      <c r="BS58" s="890"/>
      <c r="BT58" s="890"/>
      <c r="BU58" s="890"/>
      <c r="BV58" s="890"/>
      <c r="BW58" s="890"/>
    </row>
    <row r="59" spans="1:75">
      <c r="A59" s="709"/>
      <c r="B59" s="709"/>
      <c r="C59" s="709"/>
      <c r="D59" s="709"/>
      <c r="E59" s="709"/>
      <c r="F59" s="709"/>
      <c r="G59" s="709"/>
      <c r="H59" s="709"/>
      <c r="I59" s="709"/>
      <c r="J59" s="709"/>
      <c r="K59" s="709"/>
      <c r="L59" s="709"/>
      <c r="M59" s="709"/>
      <c r="N59" s="709"/>
      <c r="O59" s="709"/>
      <c r="P59" s="709"/>
      <c r="Q59" s="709"/>
      <c r="R59" s="709"/>
      <c r="S59" s="709"/>
      <c r="T59" s="709"/>
      <c r="U59" s="709"/>
      <c r="V59" s="709"/>
      <c r="W59" s="887">
        <v>33</v>
      </c>
      <c r="X59" s="887">
        <v>39</v>
      </c>
      <c r="Y59" s="887">
        <v>49</v>
      </c>
      <c r="Z59" s="887">
        <v>46</v>
      </c>
      <c r="AA59" s="887">
        <v>31</v>
      </c>
      <c r="AB59" s="887">
        <v>51</v>
      </c>
      <c r="AC59" s="887">
        <v>44</v>
      </c>
      <c r="AD59" s="887">
        <v>44</v>
      </c>
      <c r="AE59" s="887">
        <v>49</v>
      </c>
      <c r="AF59" s="887">
        <v>49</v>
      </c>
      <c r="AG59" s="887">
        <v>49</v>
      </c>
      <c r="AH59" s="887">
        <v>39</v>
      </c>
      <c r="AJ59" s="887">
        <v>49</v>
      </c>
      <c r="AL59" s="887">
        <v>39</v>
      </c>
      <c r="AM59" s="887">
        <v>43</v>
      </c>
      <c r="AN59" s="887">
        <v>45</v>
      </c>
      <c r="AO59" s="887">
        <v>39</v>
      </c>
      <c r="AP59" s="887">
        <v>39</v>
      </c>
      <c r="AQ59" s="889">
        <f t="shared" si="1"/>
        <v>49</v>
      </c>
      <c r="BB59" s="3"/>
      <c r="BC59" s="3"/>
      <c r="BD59" s="3"/>
      <c r="BE59" s="3"/>
      <c r="BF59" s="3"/>
      <c r="BG59" s="890"/>
      <c r="BH59" s="890"/>
      <c r="BI59" s="890"/>
      <c r="BJ59" s="890"/>
      <c r="BK59" s="890"/>
      <c r="BL59" s="890"/>
      <c r="BM59" s="890"/>
      <c r="BN59" s="890"/>
      <c r="BO59" s="890"/>
      <c r="BP59" s="890"/>
      <c r="BQ59" s="890"/>
      <c r="BR59" s="890"/>
      <c r="BS59" s="890"/>
      <c r="BT59" s="890"/>
      <c r="BU59" s="890"/>
      <c r="BV59" s="890"/>
      <c r="BW59" s="890"/>
    </row>
    <row r="60" spans="1:75">
      <c r="A60" s="709"/>
      <c r="B60" s="709"/>
      <c r="C60" s="709"/>
      <c r="D60" s="709"/>
      <c r="E60" s="709"/>
      <c r="F60" s="709"/>
      <c r="G60" s="709"/>
      <c r="H60" s="709"/>
      <c r="I60" s="709"/>
      <c r="J60" s="709"/>
      <c r="K60" s="709"/>
      <c r="L60" s="709"/>
      <c r="M60" s="709"/>
      <c r="N60" s="709"/>
      <c r="O60" s="709"/>
      <c r="P60" s="709"/>
      <c r="Q60" s="709"/>
      <c r="R60" s="709"/>
      <c r="S60" s="709"/>
      <c r="T60" s="709"/>
      <c r="U60" s="709"/>
      <c r="V60" s="709"/>
      <c r="W60" s="887">
        <v>34</v>
      </c>
      <c r="X60" s="887">
        <v>40</v>
      </c>
      <c r="Y60" s="887">
        <v>50</v>
      </c>
      <c r="Z60" s="887">
        <v>47</v>
      </c>
      <c r="AA60" s="887">
        <v>32</v>
      </c>
      <c r="AB60" s="887">
        <v>52</v>
      </c>
      <c r="AC60" s="887">
        <v>45</v>
      </c>
      <c r="AD60" s="887">
        <v>45</v>
      </c>
      <c r="AE60" s="887">
        <v>50</v>
      </c>
      <c r="AF60" s="887">
        <v>50</v>
      </c>
      <c r="AG60" s="887">
        <v>50</v>
      </c>
      <c r="AH60" s="887">
        <v>40</v>
      </c>
      <c r="AJ60" s="887">
        <v>50</v>
      </c>
      <c r="AL60" s="887">
        <v>40</v>
      </c>
      <c r="AM60" s="887">
        <v>44</v>
      </c>
      <c r="AN60" s="887">
        <v>46</v>
      </c>
      <c r="AO60" s="887">
        <v>40</v>
      </c>
      <c r="AP60" s="887">
        <v>40</v>
      </c>
      <c r="AQ60" s="889">
        <f t="shared" si="1"/>
        <v>50</v>
      </c>
      <c r="BB60" s="3"/>
      <c r="BC60" s="3"/>
      <c r="BD60" s="3"/>
      <c r="BE60" s="3"/>
      <c r="BF60" s="3"/>
      <c r="BG60" s="890"/>
      <c r="BH60" s="890"/>
      <c r="BI60" s="890"/>
      <c r="BJ60" s="890"/>
      <c r="BK60" s="890"/>
      <c r="BL60" s="890"/>
      <c r="BM60" s="890"/>
      <c r="BN60" s="890"/>
      <c r="BO60" s="890"/>
      <c r="BP60" s="890"/>
      <c r="BQ60" s="890"/>
      <c r="BR60" s="890"/>
      <c r="BS60" s="890"/>
      <c r="BT60" s="890"/>
      <c r="BU60" s="890"/>
      <c r="BV60" s="890"/>
      <c r="BW60" s="890"/>
    </row>
    <row r="61" spans="1:75">
      <c r="A61" s="709"/>
      <c r="B61" s="709"/>
      <c r="C61" s="709"/>
      <c r="D61" s="709"/>
      <c r="E61" s="709"/>
      <c r="F61" s="709"/>
      <c r="G61" s="709"/>
      <c r="H61" s="709"/>
      <c r="I61" s="709"/>
      <c r="J61" s="709"/>
      <c r="K61" s="709"/>
      <c r="L61" s="709"/>
      <c r="M61" s="709"/>
      <c r="N61" s="709"/>
      <c r="O61" s="709"/>
      <c r="P61" s="709"/>
      <c r="Q61" s="709"/>
      <c r="R61" s="709"/>
      <c r="S61" s="709"/>
      <c r="T61" s="709"/>
      <c r="U61" s="709"/>
      <c r="V61" s="709"/>
      <c r="W61" s="887">
        <v>35</v>
      </c>
      <c r="X61" s="887">
        <v>41</v>
      </c>
      <c r="Y61" s="887"/>
      <c r="Z61" s="887">
        <v>48</v>
      </c>
      <c r="AA61" s="887">
        <v>33</v>
      </c>
      <c r="AB61" s="887">
        <v>53</v>
      </c>
      <c r="AC61" s="887">
        <v>46</v>
      </c>
      <c r="AE61" s="887">
        <v>51</v>
      </c>
      <c r="AF61" s="887">
        <v>51</v>
      </c>
      <c r="AG61" s="887">
        <v>51</v>
      </c>
      <c r="AH61" s="887">
        <v>41</v>
      </c>
      <c r="AL61" s="887">
        <v>41</v>
      </c>
      <c r="AM61" s="887">
        <v>45</v>
      </c>
      <c r="AN61" s="887">
        <v>47</v>
      </c>
      <c r="AO61" s="887">
        <v>41</v>
      </c>
      <c r="AP61" s="887">
        <v>41</v>
      </c>
      <c r="AQ61" s="889" t="str">
        <f t="shared" si="1"/>
        <v/>
      </c>
      <c r="BB61" s="3"/>
      <c r="BC61" s="3"/>
      <c r="BD61" s="3"/>
      <c r="BE61" s="3"/>
      <c r="BF61" s="3"/>
      <c r="BG61" s="890"/>
      <c r="BH61" s="890"/>
      <c r="BI61" s="890"/>
      <c r="BJ61" s="890"/>
      <c r="BK61" s="890"/>
      <c r="BL61" s="890"/>
      <c r="BM61" s="890"/>
      <c r="BN61" s="890"/>
      <c r="BO61" s="890"/>
      <c r="BP61" s="890"/>
      <c r="BQ61" s="890"/>
      <c r="BR61" s="890"/>
      <c r="BS61" s="890"/>
      <c r="BT61" s="890"/>
      <c r="BU61" s="890"/>
      <c r="BV61" s="890"/>
      <c r="BW61" s="890"/>
    </row>
    <row r="62" spans="1:75">
      <c r="A62" s="709"/>
      <c r="B62" s="709"/>
      <c r="C62" s="709"/>
      <c r="D62" s="709"/>
      <c r="E62" s="709"/>
      <c r="F62" s="709"/>
      <c r="G62" s="709"/>
      <c r="H62" s="709"/>
      <c r="I62" s="709"/>
      <c r="J62" s="709"/>
      <c r="K62" s="709"/>
      <c r="L62" s="709"/>
      <c r="M62" s="709"/>
      <c r="N62" s="709"/>
      <c r="O62" s="709"/>
      <c r="P62" s="709"/>
      <c r="Q62" s="709"/>
      <c r="R62" s="709"/>
      <c r="S62" s="709"/>
      <c r="T62" s="709"/>
      <c r="U62" s="709"/>
      <c r="V62" s="709"/>
      <c r="W62" s="887">
        <v>36</v>
      </c>
      <c r="X62" s="887">
        <v>42</v>
      </c>
      <c r="Y62" s="887"/>
      <c r="Z62" s="887">
        <v>49</v>
      </c>
      <c r="AA62" s="887">
        <v>34</v>
      </c>
      <c r="AB62" s="887">
        <v>54</v>
      </c>
      <c r="AC62" s="887">
        <v>47</v>
      </c>
      <c r="AE62" s="887">
        <v>52</v>
      </c>
      <c r="AF62" s="887">
        <v>52</v>
      </c>
      <c r="AG62" s="887">
        <v>52</v>
      </c>
      <c r="AH62" s="887">
        <v>42</v>
      </c>
      <c r="AL62" s="887">
        <v>42</v>
      </c>
      <c r="AN62" s="887">
        <v>48</v>
      </c>
      <c r="AO62" s="887">
        <v>42</v>
      </c>
      <c r="AP62" s="887">
        <v>42</v>
      </c>
      <c r="AQ62" s="889" t="str">
        <f t="shared" si="1"/>
        <v/>
      </c>
      <c r="BB62" s="3"/>
      <c r="BC62" s="3"/>
      <c r="BD62" s="3"/>
      <c r="BE62" s="3"/>
      <c r="BF62" s="3"/>
      <c r="BG62" s="890"/>
      <c r="BH62" s="890"/>
      <c r="BI62" s="890"/>
      <c r="BJ62" s="890"/>
      <c r="BK62" s="890"/>
      <c r="BL62" s="890"/>
      <c r="BM62" s="890"/>
      <c r="BN62" s="890"/>
      <c r="BO62" s="890"/>
      <c r="BP62" s="890"/>
      <c r="BQ62" s="890"/>
      <c r="BR62" s="890"/>
      <c r="BS62" s="890"/>
      <c r="BT62" s="890"/>
      <c r="BU62" s="890"/>
      <c r="BV62" s="890"/>
      <c r="BW62" s="890"/>
    </row>
    <row r="63" spans="1:75">
      <c r="A63" s="709"/>
      <c r="B63" s="709"/>
      <c r="C63" s="709"/>
      <c r="D63" s="709"/>
      <c r="E63" s="709"/>
      <c r="F63" s="709"/>
      <c r="G63" s="709"/>
      <c r="H63" s="709"/>
      <c r="I63" s="709"/>
      <c r="J63" s="709"/>
      <c r="K63" s="709"/>
      <c r="L63" s="709"/>
      <c r="M63" s="709"/>
      <c r="N63" s="709"/>
      <c r="O63" s="709"/>
      <c r="P63" s="709"/>
      <c r="Q63" s="709"/>
      <c r="R63" s="709"/>
      <c r="S63" s="709"/>
      <c r="T63" s="709"/>
      <c r="U63" s="709"/>
      <c r="V63" s="709"/>
      <c r="W63" s="887">
        <v>37</v>
      </c>
      <c r="X63" s="887">
        <v>43</v>
      </c>
      <c r="Y63" s="887"/>
      <c r="Z63" s="887">
        <v>50</v>
      </c>
      <c r="AA63" s="887">
        <v>35</v>
      </c>
      <c r="AB63" s="887">
        <v>55</v>
      </c>
      <c r="AC63" s="887">
        <v>48</v>
      </c>
      <c r="AE63" s="887">
        <v>53</v>
      </c>
      <c r="AF63" s="887">
        <v>53</v>
      </c>
      <c r="AG63" s="887">
        <v>53</v>
      </c>
      <c r="AH63" s="887">
        <v>43</v>
      </c>
      <c r="AL63" s="887">
        <v>43</v>
      </c>
      <c r="AN63" s="887">
        <v>49</v>
      </c>
      <c r="AO63" s="887">
        <v>43</v>
      </c>
      <c r="AP63" s="887">
        <v>43</v>
      </c>
      <c r="AQ63" s="889" t="str">
        <f t="shared" si="1"/>
        <v/>
      </c>
      <c r="BB63" s="3"/>
      <c r="BC63" s="3"/>
      <c r="BD63" s="3"/>
      <c r="BE63" s="3"/>
      <c r="BF63" s="3"/>
      <c r="BG63" s="890"/>
      <c r="BH63" s="890"/>
      <c r="BI63" s="890"/>
      <c r="BJ63" s="890"/>
      <c r="BK63" s="890"/>
      <c r="BL63" s="890"/>
      <c r="BM63" s="890"/>
      <c r="BN63" s="890"/>
      <c r="BO63" s="890"/>
      <c r="BP63" s="890"/>
      <c r="BQ63" s="890"/>
      <c r="BR63" s="890"/>
      <c r="BS63" s="890"/>
      <c r="BT63" s="890"/>
      <c r="BU63" s="890"/>
      <c r="BV63" s="890"/>
      <c r="BW63" s="890"/>
    </row>
    <row r="64" spans="1:75">
      <c r="A64" s="709"/>
      <c r="B64" s="709"/>
      <c r="C64" s="709"/>
      <c r="D64" s="709"/>
      <c r="E64" s="709"/>
      <c r="F64" s="709"/>
      <c r="G64" s="709"/>
      <c r="H64" s="709"/>
      <c r="I64" s="709"/>
      <c r="J64" s="709"/>
      <c r="K64" s="709"/>
      <c r="L64" s="709"/>
      <c r="M64" s="709"/>
      <c r="N64" s="709"/>
      <c r="O64" s="709"/>
      <c r="P64" s="709"/>
      <c r="Q64" s="709"/>
      <c r="R64" s="709"/>
      <c r="S64" s="709"/>
      <c r="T64" s="709"/>
      <c r="U64" s="709"/>
      <c r="V64" s="709"/>
      <c r="W64" s="887">
        <v>38</v>
      </c>
      <c r="X64" s="887">
        <v>44</v>
      </c>
      <c r="Y64" s="887"/>
      <c r="Z64" s="887">
        <v>51</v>
      </c>
      <c r="AA64" s="887">
        <v>36</v>
      </c>
      <c r="AB64" s="887">
        <v>56</v>
      </c>
      <c r="AC64" s="887">
        <v>49</v>
      </c>
      <c r="AE64" s="887">
        <v>54</v>
      </c>
      <c r="AF64" s="887">
        <v>54</v>
      </c>
      <c r="AG64" s="887">
        <v>54</v>
      </c>
      <c r="AH64" s="887">
        <v>44</v>
      </c>
      <c r="AL64" s="887">
        <v>44</v>
      </c>
      <c r="AN64" s="887">
        <v>50</v>
      </c>
      <c r="AO64" s="887">
        <v>44</v>
      </c>
      <c r="AP64" s="887">
        <v>44</v>
      </c>
      <c r="AQ64" s="889" t="str">
        <f t="shared" si="1"/>
        <v/>
      </c>
      <c r="BB64" s="3"/>
      <c r="BC64" s="3"/>
      <c r="BD64" s="3"/>
      <c r="BE64" s="3"/>
      <c r="BF64" s="3"/>
      <c r="BG64" s="890"/>
      <c r="BH64" s="890"/>
      <c r="BI64" s="890"/>
      <c r="BJ64" s="890"/>
      <c r="BK64" s="890"/>
      <c r="BL64" s="890"/>
      <c r="BM64" s="890"/>
      <c r="BN64" s="890"/>
      <c r="BO64" s="890"/>
      <c r="BP64" s="890"/>
      <c r="BQ64" s="890"/>
      <c r="BR64" s="890"/>
      <c r="BS64" s="890"/>
      <c r="BT64" s="890"/>
      <c r="BU64" s="890"/>
      <c r="BV64" s="890"/>
      <c r="BW64" s="890"/>
    </row>
    <row r="65" spans="1:75">
      <c r="A65" s="709"/>
      <c r="B65" s="709"/>
      <c r="C65" s="709"/>
      <c r="D65" s="709"/>
      <c r="E65" s="709"/>
      <c r="F65" s="709"/>
      <c r="G65" s="709"/>
      <c r="H65" s="709"/>
      <c r="I65" s="709"/>
      <c r="J65" s="709"/>
      <c r="K65" s="709"/>
      <c r="L65" s="709"/>
      <c r="M65" s="709"/>
      <c r="N65" s="709"/>
      <c r="O65" s="709"/>
      <c r="P65" s="709"/>
      <c r="Q65" s="709"/>
      <c r="R65" s="709"/>
      <c r="S65" s="709"/>
      <c r="T65" s="709"/>
      <c r="U65" s="709"/>
      <c r="V65" s="709"/>
      <c r="W65" s="887">
        <v>39</v>
      </c>
      <c r="X65" s="887">
        <v>45</v>
      </c>
      <c r="Y65" s="887"/>
      <c r="Z65" s="887">
        <v>52</v>
      </c>
      <c r="AA65" s="887">
        <v>37</v>
      </c>
      <c r="AB65" s="887">
        <v>57</v>
      </c>
      <c r="AC65" s="887">
        <v>50</v>
      </c>
      <c r="AE65" s="887">
        <v>55</v>
      </c>
      <c r="AF65" s="887">
        <v>55</v>
      </c>
      <c r="AG65" s="887">
        <v>55</v>
      </c>
      <c r="AH65" s="887">
        <v>45</v>
      </c>
      <c r="AL65" s="887">
        <v>45</v>
      </c>
      <c r="AO65" s="887">
        <v>45</v>
      </c>
      <c r="AP65" s="887">
        <v>45</v>
      </c>
      <c r="AQ65" s="889" t="str">
        <f t="shared" si="1"/>
        <v/>
      </c>
      <c r="BB65" s="3"/>
      <c r="BC65" s="3"/>
      <c r="BD65" s="3"/>
      <c r="BE65" s="3"/>
      <c r="BF65" s="3"/>
      <c r="BG65" s="890"/>
      <c r="BH65" s="890"/>
      <c r="BI65" s="890"/>
      <c r="BJ65" s="890"/>
      <c r="BK65" s="890"/>
      <c r="BL65" s="890"/>
      <c r="BM65" s="890"/>
      <c r="BN65" s="890"/>
      <c r="BO65" s="890"/>
      <c r="BP65" s="890"/>
      <c r="BQ65" s="890"/>
      <c r="BR65" s="890"/>
      <c r="BS65" s="890"/>
      <c r="BT65" s="890"/>
      <c r="BU65" s="890"/>
      <c r="BV65" s="890"/>
      <c r="BW65" s="890"/>
    </row>
    <row r="66" spans="1:75">
      <c r="A66" s="709"/>
      <c r="B66" s="709"/>
      <c r="C66" s="709"/>
      <c r="D66" s="709"/>
      <c r="E66" s="709"/>
      <c r="F66" s="709"/>
      <c r="G66" s="709"/>
      <c r="H66" s="709"/>
      <c r="I66" s="709"/>
      <c r="J66" s="709"/>
      <c r="K66" s="709"/>
      <c r="L66" s="709"/>
      <c r="M66" s="709"/>
      <c r="N66" s="709"/>
      <c r="O66" s="709"/>
      <c r="P66" s="709"/>
      <c r="Q66" s="709"/>
      <c r="R66" s="709"/>
      <c r="S66" s="709"/>
      <c r="T66" s="709"/>
      <c r="U66" s="709"/>
      <c r="V66" s="709"/>
      <c r="W66" s="887">
        <v>40</v>
      </c>
      <c r="X66" s="887">
        <v>46</v>
      </c>
      <c r="Y66" s="887"/>
      <c r="Z66" s="887">
        <v>53</v>
      </c>
      <c r="AA66" s="887">
        <v>38</v>
      </c>
      <c r="AB66" s="887">
        <v>58</v>
      </c>
      <c r="AF66" s="887">
        <v>56</v>
      </c>
      <c r="AG66" s="887">
        <v>56</v>
      </c>
      <c r="AH66" s="887">
        <v>46</v>
      </c>
      <c r="AL66" s="887">
        <v>46</v>
      </c>
      <c r="AO66" s="887">
        <v>46</v>
      </c>
      <c r="AP66" s="887">
        <v>46</v>
      </c>
      <c r="AQ66" s="889" t="str">
        <f t="shared" si="1"/>
        <v/>
      </c>
      <c r="BB66" s="3"/>
      <c r="BC66" s="3"/>
      <c r="BD66" s="3"/>
      <c r="BE66" s="3"/>
      <c r="BF66" s="3"/>
      <c r="BG66" s="890"/>
      <c r="BH66" s="890"/>
      <c r="BI66" s="890"/>
      <c r="BJ66" s="890"/>
      <c r="BK66" s="890"/>
      <c r="BL66" s="890"/>
      <c r="BM66" s="890"/>
      <c r="BN66" s="890"/>
      <c r="BO66" s="890"/>
      <c r="BP66" s="890"/>
      <c r="BQ66" s="890"/>
      <c r="BR66" s="890"/>
      <c r="BS66" s="890"/>
      <c r="BT66" s="890"/>
      <c r="BU66" s="890"/>
      <c r="BV66" s="890"/>
      <c r="BW66" s="890"/>
    </row>
    <row r="67" spans="1:75">
      <c r="A67" s="709"/>
      <c r="B67" s="709"/>
      <c r="C67" s="709"/>
      <c r="D67" s="709"/>
      <c r="E67" s="709"/>
      <c r="F67" s="709"/>
      <c r="G67" s="709"/>
      <c r="H67" s="709"/>
      <c r="I67" s="709"/>
      <c r="J67" s="709"/>
      <c r="K67" s="709"/>
      <c r="L67" s="709"/>
      <c r="M67" s="709"/>
      <c r="N67" s="709"/>
      <c r="O67" s="709"/>
      <c r="P67" s="709"/>
      <c r="Q67" s="709"/>
      <c r="R67" s="709"/>
      <c r="S67" s="709"/>
      <c r="T67" s="709"/>
      <c r="U67" s="709"/>
      <c r="V67" s="709"/>
      <c r="W67" s="887">
        <v>41</v>
      </c>
      <c r="X67" s="887">
        <v>47</v>
      </c>
      <c r="Y67" s="887"/>
      <c r="Z67" s="887">
        <v>54</v>
      </c>
      <c r="AA67" s="887">
        <v>39</v>
      </c>
      <c r="AB67" s="887">
        <v>59</v>
      </c>
      <c r="AF67" s="887">
        <v>57</v>
      </c>
      <c r="AG67" s="887">
        <v>57</v>
      </c>
      <c r="AH67" s="887">
        <v>47</v>
      </c>
      <c r="AL67" s="887">
        <v>47</v>
      </c>
      <c r="AO67" s="887">
        <v>47</v>
      </c>
      <c r="AP67" s="887">
        <v>47</v>
      </c>
      <c r="AQ67" s="889" t="str">
        <f t="shared" si="1"/>
        <v/>
      </c>
      <c r="BB67" s="3"/>
      <c r="BC67" s="3"/>
      <c r="BD67" s="3"/>
      <c r="BE67" s="3"/>
      <c r="BF67" s="3"/>
      <c r="BG67" s="890"/>
      <c r="BH67" s="890"/>
      <c r="BI67" s="890"/>
      <c r="BJ67" s="890"/>
      <c r="BK67" s="890"/>
      <c r="BL67" s="890"/>
      <c r="BM67" s="890"/>
      <c r="BN67" s="890"/>
      <c r="BO67" s="890"/>
      <c r="BP67" s="890"/>
      <c r="BQ67" s="890"/>
      <c r="BR67" s="890"/>
      <c r="BS67" s="890"/>
      <c r="BT67" s="890"/>
      <c r="BU67" s="890"/>
      <c r="BV67" s="890"/>
      <c r="BW67" s="890"/>
    </row>
    <row r="68" spans="1:75">
      <c r="A68" s="709"/>
      <c r="B68" s="709"/>
      <c r="C68" s="709"/>
      <c r="D68" s="709"/>
      <c r="E68" s="709"/>
      <c r="F68" s="709"/>
      <c r="G68" s="709"/>
      <c r="H68" s="709"/>
      <c r="I68" s="709"/>
      <c r="J68" s="709"/>
      <c r="K68" s="709"/>
      <c r="L68" s="709"/>
      <c r="M68" s="709"/>
      <c r="N68" s="709"/>
      <c r="O68" s="709"/>
      <c r="P68" s="709"/>
      <c r="Q68" s="709"/>
      <c r="R68" s="709"/>
      <c r="S68" s="709"/>
      <c r="T68" s="709"/>
      <c r="U68" s="709"/>
      <c r="V68" s="709"/>
      <c r="W68" s="887">
        <v>42</v>
      </c>
      <c r="X68" s="887">
        <v>48</v>
      </c>
      <c r="Y68" s="887"/>
      <c r="Z68" s="887">
        <v>55</v>
      </c>
      <c r="AA68" s="887">
        <v>40</v>
      </c>
      <c r="AB68" s="887">
        <v>60</v>
      </c>
      <c r="AF68" s="887">
        <v>58</v>
      </c>
      <c r="AG68" s="887">
        <v>58</v>
      </c>
      <c r="AH68" s="887">
        <v>48</v>
      </c>
      <c r="AL68" s="887">
        <v>48</v>
      </c>
      <c r="AO68" s="887">
        <v>48</v>
      </c>
      <c r="AP68" s="887">
        <v>48</v>
      </c>
      <c r="AQ68" s="889" t="str">
        <f t="shared" si="1"/>
        <v/>
      </c>
      <c r="BB68" s="3"/>
      <c r="BC68" s="3"/>
      <c r="BD68" s="3"/>
      <c r="BE68" s="3"/>
      <c r="BF68" s="3"/>
      <c r="BG68" s="890"/>
      <c r="BH68" s="890"/>
      <c r="BI68" s="890"/>
      <c r="BJ68" s="890"/>
      <c r="BK68" s="890"/>
      <c r="BL68" s="890"/>
      <c r="BM68" s="890"/>
      <c r="BN68" s="890"/>
      <c r="BO68" s="890"/>
      <c r="BP68" s="890"/>
      <c r="BQ68" s="890"/>
      <c r="BR68" s="890"/>
      <c r="BS68" s="890"/>
      <c r="BT68" s="890"/>
      <c r="BU68" s="890"/>
      <c r="BV68" s="890"/>
      <c r="BW68" s="890"/>
    </row>
    <row r="69" spans="1:75">
      <c r="A69" s="709"/>
      <c r="B69" s="709"/>
      <c r="C69" s="709"/>
      <c r="D69" s="709"/>
      <c r="E69" s="709"/>
      <c r="F69" s="709"/>
      <c r="G69" s="709"/>
      <c r="H69" s="709"/>
      <c r="I69" s="709"/>
      <c r="J69" s="709"/>
      <c r="K69" s="709"/>
      <c r="L69" s="709"/>
      <c r="M69" s="709"/>
      <c r="N69" s="709"/>
      <c r="O69" s="709"/>
      <c r="P69" s="709"/>
      <c r="Q69" s="709"/>
      <c r="R69" s="709"/>
      <c r="S69" s="709"/>
      <c r="T69" s="709"/>
      <c r="U69" s="709"/>
      <c r="V69" s="709"/>
      <c r="W69" s="887">
        <v>43</v>
      </c>
      <c r="X69" s="887">
        <v>49</v>
      </c>
      <c r="Y69" s="887"/>
      <c r="Z69" s="887">
        <v>56</v>
      </c>
      <c r="AA69" s="887">
        <v>41</v>
      </c>
      <c r="AF69" s="887">
        <v>59</v>
      </c>
      <c r="AG69" s="887">
        <v>59</v>
      </c>
      <c r="AH69" s="887">
        <v>49</v>
      </c>
      <c r="AL69" s="887">
        <v>49</v>
      </c>
      <c r="AO69" s="887">
        <v>49</v>
      </c>
      <c r="AP69" s="887">
        <v>49</v>
      </c>
      <c r="AQ69" s="889" t="str">
        <f t="shared" si="1"/>
        <v/>
      </c>
      <c r="BB69" s="3"/>
      <c r="BC69" s="3"/>
      <c r="BD69" s="3"/>
      <c r="BE69" s="3"/>
      <c r="BF69" s="3"/>
      <c r="BG69" s="890"/>
      <c r="BH69" s="890"/>
      <c r="BI69" s="890"/>
      <c r="BJ69" s="890"/>
      <c r="BK69" s="890"/>
      <c r="BL69" s="890"/>
      <c r="BM69" s="890"/>
      <c r="BN69" s="890"/>
      <c r="BO69" s="890"/>
      <c r="BP69" s="890"/>
      <c r="BQ69" s="890"/>
      <c r="BR69" s="890"/>
      <c r="BS69" s="890"/>
      <c r="BT69" s="890"/>
      <c r="BU69" s="890"/>
      <c r="BV69" s="890"/>
      <c r="BW69" s="890"/>
    </row>
    <row r="70" spans="1:75">
      <c r="A70" s="709"/>
      <c r="B70" s="709"/>
      <c r="C70" s="709"/>
      <c r="D70" s="709"/>
      <c r="E70" s="709"/>
      <c r="F70" s="709"/>
      <c r="G70" s="709"/>
      <c r="H70" s="709"/>
      <c r="I70" s="709"/>
      <c r="J70" s="709"/>
      <c r="K70" s="709"/>
      <c r="L70" s="709"/>
      <c r="M70" s="709"/>
      <c r="N70" s="709"/>
      <c r="O70" s="709"/>
      <c r="P70" s="709"/>
      <c r="Q70" s="709"/>
      <c r="R70" s="709"/>
      <c r="S70" s="709"/>
      <c r="T70" s="709"/>
      <c r="U70" s="709"/>
      <c r="V70" s="709"/>
      <c r="W70" s="887">
        <v>44</v>
      </c>
      <c r="X70" s="887">
        <v>50</v>
      </c>
      <c r="Y70" s="887"/>
      <c r="Z70" s="887">
        <v>57</v>
      </c>
      <c r="AA70" s="887">
        <v>42</v>
      </c>
      <c r="AF70" s="887">
        <v>60</v>
      </c>
      <c r="AG70" s="887">
        <v>60</v>
      </c>
      <c r="AH70" s="887">
        <v>50</v>
      </c>
      <c r="AL70" s="887">
        <v>50</v>
      </c>
      <c r="AO70" s="887">
        <v>50</v>
      </c>
      <c r="AP70" s="887">
        <v>50</v>
      </c>
      <c r="AQ70" s="889" t="str">
        <f t="shared" si="1"/>
        <v/>
      </c>
      <c r="BB70" s="3"/>
      <c r="BC70" s="3"/>
      <c r="BD70" s="3"/>
      <c r="BE70" s="3"/>
      <c r="BF70" s="3"/>
      <c r="BG70" s="890"/>
      <c r="BH70" s="890"/>
      <c r="BI70" s="890"/>
      <c r="BJ70" s="890"/>
      <c r="BK70" s="890"/>
      <c r="BL70" s="890"/>
      <c r="BM70" s="890"/>
      <c r="BN70" s="890"/>
      <c r="BO70" s="890"/>
      <c r="BP70" s="890"/>
      <c r="BQ70" s="890"/>
      <c r="BR70" s="890"/>
      <c r="BS70" s="890"/>
      <c r="BT70" s="890"/>
      <c r="BU70" s="890"/>
      <c r="BV70" s="890"/>
      <c r="BW70" s="890"/>
    </row>
    <row r="71" spans="1:75">
      <c r="A71" s="709"/>
      <c r="B71" s="709"/>
      <c r="C71" s="709"/>
      <c r="D71" s="709"/>
      <c r="E71" s="709"/>
      <c r="F71" s="709"/>
      <c r="G71" s="709"/>
      <c r="H71" s="709"/>
      <c r="I71" s="709"/>
      <c r="J71" s="709"/>
      <c r="K71" s="709"/>
      <c r="L71" s="709"/>
      <c r="M71" s="709"/>
      <c r="N71" s="709"/>
      <c r="O71" s="709"/>
      <c r="P71" s="709"/>
      <c r="Q71" s="709"/>
      <c r="R71" s="709"/>
      <c r="S71" s="709"/>
      <c r="T71" s="709"/>
      <c r="U71" s="709"/>
      <c r="V71" s="709"/>
      <c r="W71" s="887">
        <v>45</v>
      </c>
      <c r="X71" s="887">
        <v>51</v>
      </c>
      <c r="Y71" s="887"/>
      <c r="Z71" s="887">
        <v>58</v>
      </c>
      <c r="AA71" s="887">
        <v>43</v>
      </c>
      <c r="AG71" s="887">
        <v>61</v>
      </c>
      <c r="AH71" s="887">
        <v>51</v>
      </c>
      <c r="AL71" s="887">
        <v>51</v>
      </c>
      <c r="AO71" s="887">
        <v>51</v>
      </c>
      <c r="AP71" s="887">
        <v>51</v>
      </c>
      <c r="AQ71" s="889" t="str">
        <f t="shared" si="1"/>
        <v/>
      </c>
      <c r="BB71" s="3"/>
      <c r="BC71" s="3"/>
      <c r="BD71" s="3"/>
      <c r="BE71" s="3"/>
      <c r="BF71" s="3"/>
      <c r="BG71" s="890"/>
      <c r="BH71" s="890"/>
      <c r="BI71" s="890"/>
      <c r="BJ71" s="890"/>
      <c r="BK71" s="890"/>
      <c r="BL71" s="890"/>
      <c r="BM71" s="890"/>
      <c r="BN71" s="890"/>
      <c r="BO71" s="890"/>
      <c r="BP71" s="890"/>
      <c r="BQ71" s="890"/>
      <c r="BR71" s="890"/>
      <c r="BS71" s="890"/>
      <c r="BT71" s="890"/>
      <c r="BU71" s="890"/>
      <c r="BV71" s="890"/>
      <c r="BW71" s="890"/>
    </row>
    <row r="72" spans="1:75">
      <c r="A72" s="709"/>
      <c r="B72" s="709"/>
      <c r="C72" s="709"/>
      <c r="D72" s="709"/>
      <c r="E72" s="709"/>
      <c r="F72" s="709"/>
      <c r="G72" s="709"/>
      <c r="H72" s="709"/>
      <c r="I72" s="709"/>
      <c r="J72" s="709"/>
      <c r="K72" s="709"/>
      <c r="L72" s="709"/>
      <c r="M72" s="709"/>
      <c r="N72" s="709"/>
      <c r="O72" s="709"/>
      <c r="P72" s="709"/>
      <c r="Q72" s="709"/>
      <c r="R72" s="709"/>
      <c r="S72" s="709"/>
      <c r="T72" s="709"/>
      <c r="U72" s="709"/>
      <c r="V72" s="709"/>
      <c r="W72" s="887">
        <v>46</v>
      </c>
      <c r="X72" s="887">
        <v>52</v>
      </c>
      <c r="Y72" s="887"/>
      <c r="Z72" s="887">
        <v>59</v>
      </c>
      <c r="AA72" s="887">
        <v>44</v>
      </c>
      <c r="AG72" s="887">
        <v>62</v>
      </c>
      <c r="AH72" s="887">
        <v>52</v>
      </c>
      <c r="AL72" s="887">
        <v>52</v>
      </c>
      <c r="AO72" s="887">
        <v>52</v>
      </c>
      <c r="AP72" s="887">
        <v>52</v>
      </c>
      <c r="AQ72" s="889" t="str">
        <f t="shared" si="1"/>
        <v/>
      </c>
      <c r="BB72" s="3"/>
      <c r="BC72" s="3"/>
      <c r="BD72" s="3"/>
      <c r="BE72" s="3"/>
      <c r="BF72" s="3"/>
      <c r="BG72" s="890"/>
      <c r="BH72" s="890"/>
      <c r="BI72" s="890"/>
      <c r="BJ72" s="890"/>
      <c r="BK72" s="890"/>
      <c r="BL72" s="890"/>
      <c r="BM72" s="890"/>
      <c r="BN72" s="890"/>
      <c r="BO72" s="890"/>
      <c r="BP72" s="890"/>
      <c r="BQ72" s="890"/>
      <c r="BR72" s="890"/>
      <c r="BS72" s="890"/>
      <c r="BT72" s="890"/>
      <c r="BU72" s="890"/>
      <c r="BV72" s="890"/>
      <c r="BW72" s="890"/>
    </row>
    <row r="73" spans="1:75">
      <c r="A73" s="709"/>
      <c r="B73" s="709"/>
      <c r="C73" s="709"/>
      <c r="D73" s="709"/>
      <c r="E73" s="709"/>
      <c r="F73" s="709"/>
      <c r="G73" s="709"/>
      <c r="H73" s="709"/>
      <c r="I73" s="709"/>
      <c r="J73" s="709"/>
      <c r="K73" s="709"/>
      <c r="L73" s="709"/>
      <c r="M73" s="709"/>
      <c r="N73" s="709"/>
      <c r="O73" s="709"/>
      <c r="P73" s="709"/>
      <c r="Q73" s="709"/>
      <c r="R73" s="709"/>
      <c r="S73" s="709"/>
      <c r="T73" s="709"/>
      <c r="U73" s="709"/>
      <c r="V73" s="709"/>
      <c r="W73" s="887">
        <v>47</v>
      </c>
      <c r="X73" s="887">
        <v>53</v>
      </c>
      <c r="Y73" s="887"/>
      <c r="Z73" s="887">
        <v>60</v>
      </c>
      <c r="AA73" s="887">
        <v>45</v>
      </c>
      <c r="AH73" s="887">
        <v>53</v>
      </c>
      <c r="AL73" s="887">
        <v>53</v>
      </c>
      <c r="AO73" s="887">
        <v>53</v>
      </c>
      <c r="AP73" s="887">
        <v>53</v>
      </c>
      <c r="AQ73" s="889" t="str">
        <f t="shared" si="1"/>
        <v/>
      </c>
      <c r="BB73" s="3"/>
      <c r="BC73" s="3"/>
      <c r="BD73" s="3"/>
      <c r="BE73" s="3"/>
      <c r="BF73" s="3"/>
      <c r="BG73" s="890"/>
      <c r="BH73" s="890"/>
      <c r="BI73" s="890"/>
      <c r="BJ73" s="890"/>
      <c r="BK73" s="890"/>
      <c r="BL73" s="890"/>
      <c r="BM73" s="890"/>
      <c r="BN73" s="890"/>
      <c r="BO73" s="890"/>
      <c r="BP73" s="890"/>
      <c r="BQ73" s="890"/>
      <c r="BR73" s="890"/>
      <c r="BS73" s="890"/>
      <c r="BT73" s="890"/>
      <c r="BU73" s="890"/>
      <c r="BV73" s="890"/>
      <c r="BW73" s="890"/>
    </row>
    <row r="74" spans="1:75">
      <c r="A74" s="709"/>
      <c r="B74" s="709"/>
      <c r="C74" s="709"/>
      <c r="D74" s="709"/>
      <c r="E74" s="709"/>
      <c r="F74" s="709"/>
      <c r="G74" s="709"/>
      <c r="H74" s="709"/>
      <c r="I74" s="709"/>
      <c r="J74" s="709"/>
      <c r="K74" s="709"/>
      <c r="L74" s="709"/>
      <c r="M74" s="709"/>
      <c r="N74" s="709"/>
      <c r="O74" s="709"/>
      <c r="P74" s="709"/>
      <c r="Q74" s="709"/>
      <c r="R74" s="709"/>
      <c r="S74" s="709"/>
      <c r="T74" s="709"/>
      <c r="U74" s="709"/>
      <c r="V74" s="709"/>
      <c r="W74" s="887">
        <v>48</v>
      </c>
      <c r="X74" s="887">
        <v>54</v>
      </c>
      <c r="Y74" s="887"/>
      <c r="Z74" s="887">
        <v>61</v>
      </c>
      <c r="AA74" s="887">
        <v>46</v>
      </c>
      <c r="AH74" s="887">
        <v>54</v>
      </c>
      <c r="AL74" s="887">
        <v>54</v>
      </c>
      <c r="AO74" s="887">
        <v>54</v>
      </c>
      <c r="AP74" s="887">
        <v>54</v>
      </c>
      <c r="AQ74" s="889" t="str">
        <f t="shared" si="1"/>
        <v/>
      </c>
      <c r="BB74" s="3"/>
      <c r="BC74" s="3"/>
      <c r="BD74" s="3"/>
      <c r="BE74" s="3"/>
      <c r="BF74" s="3"/>
      <c r="BG74" s="890"/>
      <c r="BH74" s="890"/>
      <c r="BI74" s="890"/>
      <c r="BJ74" s="890"/>
      <c r="BK74" s="890"/>
      <c r="BL74" s="890"/>
      <c r="BM74" s="890"/>
      <c r="BN74" s="890"/>
      <c r="BO74" s="890"/>
      <c r="BP74" s="890"/>
      <c r="BQ74" s="890"/>
      <c r="BR74" s="890"/>
      <c r="BS74" s="890"/>
      <c r="BT74" s="890"/>
      <c r="BU74" s="890"/>
      <c r="BV74" s="890"/>
      <c r="BW74" s="890"/>
    </row>
    <row r="75" spans="1:75">
      <c r="A75" s="709"/>
      <c r="B75" s="709"/>
      <c r="C75" s="709"/>
      <c r="D75" s="709"/>
      <c r="E75" s="709"/>
      <c r="F75" s="709"/>
      <c r="G75" s="709"/>
      <c r="H75" s="709"/>
      <c r="I75" s="709"/>
      <c r="J75" s="709"/>
      <c r="K75" s="709"/>
      <c r="L75" s="709"/>
      <c r="M75" s="709"/>
      <c r="N75" s="709"/>
      <c r="O75" s="709"/>
      <c r="P75" s="709"/>
      <c r="Q75" s="709"/>
      <c r="R75" s="709"/>
      <c r="S75" s="709"/>
      <c r="T75" s="709"/>
      <c r="U75" s="709"/>
      <c r="V75" s="709"/>
      <c r="W75" s="887">
        <v>49</v>
      </c>
      <c r="X75" s="887">
        <v>55</v>
      </c>
      <c r="Y75" s="887"/>
      <c r="Z75" s="887">
        <v>62</v>
      </c>
      <c r="AA75" s="887">
        <v>47</v>
      </c>
      <c r="AH75" s="887">
        <v>55</v>
      </c>
      <c r="AL75" s="887">
        <v>55</v>
      </c>
      <c r="AO75" s="887">
        <v>55</v>
      </c>
      <c r="AP75" s="887">
        <v>55</v>
      </c>
      <c r="AQ75" s="889" t="str">
        <f t="shared" si="1"/>
        <v/>
      </c>
      <c r="BB75" s="3"/>
      <c r="BC75" s="3"/>
      <c r="BD75" s="3"/>
      <c r="BE75" s="3"/>
      <c r="BF75" s="3"/>
      <c r="BG75" s="890"/>
      <c r="BH75" s="890"/>
      <c r="BI75" s="890"/>
      <c r="BJ75" s="890"/>
      <c r="BK75" s="890"/>
      <c r="BL75" s="890"/>
      <c r="BM75" s="890"/>
      <c r="BN75" s="890"/>
      <c r="BO75" s="890"/>
      <c r="BP75" s="890"/>
      <c r="BQ75" s="890"/>
      <c r="BR75" s="890"/>
      <c r="BS75" s="890"/>
      <c r="BT75" s="890"/>
      <c r="BU75" s="890"/>
      <c r="BV75" s="890"/>
      <c r="BW75" s="890"/>
    </row>
    <row r="76" spans="1:75">
      <c r="A76" s="709"/>
      <c r="B76" s="709"/>
      <c r="C76" s="709"/>
      <c r="D76" s="709"/>
      <c r="E76" s="709"/>
      <c r="F76" s="709"/>
      <c r="G76" s="709"/>
      <c r="H76" s="709"/>
      <c r="I76" s="709"/>
      <c r="J76" s="709"/>
      <c r="K76" s="709"/>
      <c r="L76" s="709"/>
      <c r="M76" s="709"/>
      <c r="N76" s="709"/>
      <c r="O76" s="709"/>
      <c r="P76" s="709"/>
      <c r="Q76" s="709"/>
      <c r="R76" s="709"/>
      <c r="S76" s="709"/>
      <c r="T76" s="709"/>
      <c r="U76" s="709"/>
      <c r="V76" s="709"/>
      <c r="W76" s="887">
        <v>50</v>
      </c>
      <c r="X76" s="887"/>
      <c r="Y76" s="887"/>
      <c r="Z76" s="887">
        <v>63</v>
      </c>
      <c r="AA76" s="887">
        <v>48</v>
      </c>
      <c r="AL76" s="887">
        <v>56</v>
      </c>
      <c r="AQ76" s="889" t="str">
        <f t="shared" si="1"/>
        <v/>
      </c>
      <c r="BB76" s="3"/>
      <c r="BC76" s="3"/>
      <c r="BD76" s="3"/>
      <c r="BE76" s="3"/>
      <c r="BF76" s="3"/>
      <c r="BG76" s="890"/>
      <c r="BH76" s="890"/>
      <c r="BI76" s="890"/>
      <c r="BJ76" s="890"/>
      <c r="BK76" s="890"/>
      <c r="BL76" s="890"/>
      <c r="BM76" s="890"/>
      <c r="BN76" s="890"/>
      <c r="BO76" s="890"/>
      <c r="BP76" s="890"/>
      <c r="BQ76" s="890"/>
      <c r="BR76" s="890"/>
      <c r="BS76" s="890"/>
      <c r="BT76" s="890"/>
      <c r="BU76" s="890"/>
      <c r="BV76" s="890"/>
      <c r="BW76" s="890"/>
    </row>
    <row r="77" spans="1:75">
      <c r="A77" s="709"/>
      <c r="B77" s="709"/>
      <c r="C77" s="709"/>
      <c r="D77" s="709"/>
      <c r="E77" s="709"/>
      <c r="F77" s="709"/>
      <c r="G77" s="709"/>
      <c r="H77" s="709"/>
      <c r="I77" s="709"/>
      <c r="J77" s="709"/>
      <c r="K77" s="709"/>
      <c r="L77" s="709"/>
      <c r="M77" s="709"/>
      <c r="N77" s="709"/>
      <c r="O77" s="709"/>
      <c r="P77" s="709"/>
      <c r="Q77" s="709"/>
      <c r="R77" s="709"/>
      <c r="S77" s="709"/>
      <c r="T77" s="709"/>
      <c r="U77" s="709"/>
      <c r="V77" s="709"/>
      <c r="W77" s="887">
        <v>51</v>
      </c>
      <c r="X77" s="887"/>
      <c r="Y77" s="887"/>
      <c r="Z77" s="887">
        <v>64</v>
      </c>
      <c r="AA77" s="887">
        <v>49</v>
      </c>
      <c r="AL77" s="887">
        <v>57</v>
      </c>
      <c r="AQ77" s="889" t="str">
        <f t="shared" si="1"/>
        <v/>
      </c>
      <c r="BB77" s="3"/>
      <c r="BC77" s="3"/>
      <c r="BD77" s="3"/>
      <c r="BE77" s="3"/>
      <c r="BF77" s="3"/>
      <c r="BG77" s="890"/>
      <c r="BH77" s="890"/>
      <c r="BI77" s="890"/>
      <c r="BJ77" s="890"/>
      <c r="BK77" s="890"/>
      <c r="BL77" s="890"/>
      <c r="BM77" s="890"/>
      <c r="BN77" s="890"/>
      <c r="BO77" s="890"/>
      <c r="BP77" s="890"/>
      <c r="BQ77" s="890"/>
      <c r="BR77" s="890"/>
      <c r="BS77" s="890"/>
      <c r="BT77" s="890"/>
      <c r="BU77" s="890"/>
      <c r="BV77" s="890"/>
      <c r="BW77" s="890"/>
    </row>
    <row r="78" spans="1:75">
      <c r="A78" s="709"/>
      <c r="B78" s="709"/>
      <c r="C78" s="709"/>
      <c r="D78" s="709"/>
      <c r="E78" s="709"/>
      <c r="F78" s="709"/>
      <c r="G78" s="709"/>
      <c r="H78" s="709"/>
      <c r="I78" s="709"/>
      <c r="J78" s="709"/>
      <c r="K78" s="709"/>
      <c r="L78" s="709"/>
      <c r="M78" s="709"/>
      <c r="N78" s="709"/>
      <c r="O78" s="709"/>
      <c r="P78" s="709"/>
      <c r="Q78" s="709"/>
      <c r="R78" s="709"/>
      <c r="S78" s="709"/>
      <c r="T78" s="709"/>
      <c r="U78" s="709"/>
      <c r="V78" s="709"/>
      <c r="W78" s="887">
        <v>52</v>
      </c>
      <c r="X78" s="887"/>
      <c r="Y78" s="887"/>
      <c r="Z78" s="887">
        <v>65</v>
      </c>
      <c r="AA78" s="887">
        <v>50</v>
      </c>
      <c r="AL78" s="887">
        <v>58</v>
      </c>
      <c r="AQ78" s="889" t="str">
        <f t="shared" si="1"/>
        <v/>
      </c>
      <c r="BB78" s="3"/>
      <c r="BC78" s="3"/>
      <c r="BD78" s="3"/>
      <c r="BE78" s="3"/>
      <c r="BF78" s="3"/>
      <c r="BG78" s="890"/>
      <c r="BH78" s="890"/>
      <c r="BI78" s="890"/>
      <c r="BJ78" s="890"/>
      <c r="BK78" s="890"/>
      <c r="BL78" s="890"/>
      <c r="BM78" s="890"/>
      <c r="BN78" s="890"/>
      <c r="BO78" s="890"/>
      <c r="BP78" s="890"/>
      <c r="BQ78" s="890"/>
      <c r="BR78" s="890"/>
      <c r="BS78" s="890"/>
      <c r="BT78" s="890"/>
      <c r="BU78" s="890"/>
      <c r="BV78" s="890"/>
      <c r="BW78" s="890"/>
    </row>
    <row r="79" spans="1:75">
      <c r="A79" s="709"/>
      <c r="B79" s="709"/>
      <c r="C79" s="709"/>
      <c r="D79" s="709"/>
      <c r="E79" s="709"/>
      <c r="F79" s="709"/>
      <c r="G79" s="709"/>
      <c r="H79" s="709"/>
      <c r="I79" s="709"/>
      <c r="J79" s="709"/>
      <c r="K79" s="709"/>
      <c r="L79" s="709"/>
      <c r="M79" s="709"/>
      <c r="N79" s="709"/>
      <c r="O79" s="709"/>
      <c r="P79" s="709"/>
      <c r="Q79" s="709"/>
      <c r="R79" s="709"/>
      <c r="S79" s="709"/>
      <c r="T79" s="709"/>
      <c r="U79" s="709"/>
      <c r="V79" s="709"/>
      <c r="W79" s="887">
        <v>53</v>
      </c>
      <c r="X79" s="887"/>
      <c r="Y79" s="887"/>
      <c r="Z79" s="887">
        <v>66</v>
      </c>
      <c r="AA79" s="887">
        <v>51</v>
      </c>
      <c r="AL79" s="887">
        <v>59</v>
      </c>
      <c r="AQ79" s="889" t="str">
        <f t="shared" si="1"/>
        <v/>
      </c>
      <c r="BB79" s="3"/>
      <c r="BC79" s="3"/>
      <c r="BD79" s="3"/>
      <c r="BE79" s="3"/>
      <c r="BF79" s="3"/>
      <c r="BG79" s="890"/>
      <c r="BH79" s="890"/>
      <c r="BI79" s="890"/>
      <c r="BJ79" s="890"/>
      <c r="BK79" s="890"/>
      <c r="BL79" s="890"/>
      <c r="BM79" s="890"/>
      <c r="BN79" s="890"/>
      <c r="BO79" s="890"/>
      <c r="BP79" s="890"/>
      <c r="BQ79" s="890"/>
      <c r="BR79" s="890"/>
      <c r="BS79" s="890"/>
      <c r="BT79" s="890"/>
      <c r="BU79" s="890"/>
      <c r="BV79" s="890"/>
      <c r="BW79" s="890"/>
    </row>
    <row r="80" spans="1:75">
      <c r="A80" s="709"/>
      <c r="B80" s="709"/>
      <c r="C80" s="709"/>
      <c r="D80" s="709"/>
      <c r="E80" s="709"/>
      <c r="F80" s="709"/>
      <c r="G80" s="709"/>
      <c r="H80" s="709"/>
      <c r="I80" s="709"/>
      <c r="J80" s="709"/>
      <c r="K80" s="709"/>
      <c r="L80" s="709"/>
      <c r="M80" s="709"/>
      <c r="N80" s="709"/>
      <c r="O80" s="709"/>
      <c r="P80" s="709"/>
      <c r="Q80" s="709"/>
      <c r="R80" s="709"/>
      <c r="S80" s="709"/>
      <c r="T80" s="709"/>
      <c r="U80" s="709"/>
      <c r="V80" s="709"/>
      <c r="W80" s="887">
        <v>54</v>
      </c>
      <c r="X80" s="887"/>
      <c r="Y80" s="887"/>
      <c r="AA80" s="887">
        <v>52</v>
      </c>
      <c r="AQ80" s="889" t="str">
        <f t="shared" si="1"/>
        <v/>
      </c>
      <c r="BB80" s="3"/>
      <c r="BC80" s="3"/>
      <c r="BD80" s="3"/>
      <c r="BE80" s="3"/>
      <c r="BF80" s="3"/>
      <c r="BG80" s="890"/>
      <c r="BH80" s="890"/>
      <c r="BI80" s="890"/>
      <c r="BJ80" s="890"/>
      <c r="BK80" s="890"/>
      <c r="BL80" s="890"/>
      <c r="BM80" s="890"/>
      <c r="BN80" s="890"/>
      <c r="BO80" s="890"/>
      <c r="BP80" s="890"/>
      <c r="BQ80" s="890"/>
      <c r="BR80" s="890"/>
      <c r="BS80" s="890"/>
      <c r="BT80" s="890"/>
      <c r="BU80" s="890"/>
      <c r="BV80" s="890"/>
      <c r="BW80" s="890"/>
    </row>
    <row r="81" spans="1:75">
      <c r="A81" s="709"/>
      <c r="B81" s="709"/>
      <c r="C81" s="709"/>
      <c r="D81" s="709"/>
      <c r="E81" s="709"/>
      <c r="F81" s="709"/>
      <c r="G81" s="709"/>
      <c r="H81" s="709"/>
      <c r="I81" s="709"/>
      <c r="J81" s="709"/>
      <c r="K81" s="709"/>
      <c r="L81" s="709"/>
      <c r="M81" s="709"/>
      <c r="N81" s="709"/>
      <c r="O81" s="709"/>
      <c r="P81" s="709"/>
      <c r="Q81" s="709"/>
      <c r="R81" s="709"/>
      <c r="S81" s="709"/>
      <c r="T81" s="709"/>
      <c r="U81" s="709"/>
      <c r="V81" s="709"/>
      <c r="W81" s="887">
        <v>55</v>
      </c>
      <c r="AA81" s="887">
        <v>53</v>
      </c>
      <c r="AQ81" s="889" t="str">
        <f t="shared" si="1"/>
        <v/>
      </c>
      <c r="BB81" s="3"/>
      <c r="BC81" s="3"/>
      <c r="BD81" s="3"/>
      <c r="BE81" s="3"/>
      <c r="BF81" s="3"/>
      <c r="BG81" s="890"/>
      <c r="BH81" s="890"/>
      <c r="BI81" s="890"/>
      <c r="BJ81" s="890"/>
      <c r="BK81" s="890"/>
      <c r="BL81" s="890"/>
      <c r="BM81" s="890"/>
      <c r="BN81" s="890"/>
      <c r="BO81" s="890"/>
      <c r="BP81" s="890"/>
      <c r="BQ81" s="890"/>
      <c r="BR81" s="890"/>
      <c r="BS81" s="890"/>
      <c r="BT81" s="890"/>
      <c r="BU81" s="890"/>
      <c r="BV81" s="890"/>
      <c r="BW81" s="890"/>
    </row>
    <row r="82" spans="1:75">
      <c r="A82" s="709"/>
      <c r="B82" s="709"/>
      <c r="C82" s="709"/>
      <c r="D82" s="709"/>
      <c r="E82" s="709"/>
      <c r="F82" s="709"/>
      <c r="G82" s="709"/>
      <c r="H82" s="709"/>
      <c r="I82" s="709"/>
      <c r="J82" s="709"/>
      <c r="K82" s="709"/>
      <c r="L82" s="709"/>
      <c r="M82" s="709"/>
      <c r="N82" s="709"/>
      <c r="O82" s="709"/>
      <c r="P82" s="709"/>
      <c r="Q82" s="709"/>
      <c r="R82" s="709"/>
      <c r="S82" s="709"/>
      <c r="T82" s="709"/>
      <c r="U82" s="709"/>
      <c r="V82" s="709"/>
      <c r="W82" s="887">
        <v>56</v>
      </c>
      <c r="AA82" s="887">
        <v>54</v>
      </c>
      <c r="AQ82" s="889" t="str">
        <f t="shared" si="1"/>
        <v/>
      </c>
      <c r="BB82" s="3"/>
      <c r="BC82" s="3"/>
      <c r="BD82" s="3"/>
      <c r="BE82" s="3"/>
      <c r="BF82" s="3"/>
      <c r="BG82" s="890"/>
      <c r="BH82" s="890"/>
      <c r="BI82" s="890"/>
      <c r="BJ82" s="890"/>
      <c r="BK82" s="890"/>
      <c r="BL82" s="890"/>
      <c r="BM82" s="890"/>
      <c r="BN82" s="890"/>
      <c r="BO82" s="890"/>
      <c r="BP82" s="890"/>
      <c r="BQ82" s="890"/>
      <c r="BR82" s="890"/>
      <c r="BS82" s="890"/>
      <c r="BT82" s="890"/>
      <c r="BU82" s="890"/>
      <c r="BV82" s="890"/>
      <c r="BW82" s="890"/>
    </row>
    <row r="83" spans="1:75">
      <c r="A83" s="709"/>
      <c r="B83" s="709"/>
      <c r="C83" s="709"/>
      <c r="D83" s="709"/>
      <c r="E83" s="709"/>
      <c r="F83" s="709"/>
      <c r="G83" s="709"/>
      <c r="H83" s="709"/>
      <c r="I83" s="709"/>
      <c r="J83" s="709"/>
      <c r="K83" s="709"/>
      <c r="L83" s="709"/>
      <c r="M83" s="709"/>
      <c r="N83" s="709"/>
      <c r="O83" s="709"/>
      <c r="P83" s="709"/>
      <c r="Q83" s="709"/>
      <c r="R83" s="709"/>
      <c r="S83" s="709"/>
      <c r="T83" s="709"/>
      <c r="U83" s="709"/>
      <c r="V83" s="709"/>
      <c r="W83" s="887">
        <v>57</v>
      </c>
      <c r="AA83" s="887">
        <v>55</v>
      </c>
      <c r="AQ83" s="889" t="str">
        <f t="shared" si="1"/>
        <v/>
      </c>
      <c r="BB83" s="3"/>
      <c r="BC83" s="3"/>
      <c r="BD83" s="3"/>
      <c r="BE83" s="3"/>
      <c r="BF83" s="3"/>
      <c r="BG83" s="890"/>
      <c r="BH83" s="890"/>
      <c r="BI83" s="890"/>
      <c r="BJ83" s="890"/>
      <c r="BK83" s="890"/>
      <c r="BL83" s="890"/>
      <c r="BM83" s="890"/>
      <c r="BN83" s="890"/>
      <c r="BO83" s="890"/>
      <c r="BP83" s="890"/>
      <c r="BQ83" s="890"/>
      <c r="BR83" s="890"/>
      <c r="BS83" s="890"/>
      <c r="BT83" s="890"/>
      <c r="BU83" s="890"/>
      <c r="BV83" s="890"/>
      <c r="BW83" s="890"/>
    </row>
    <row r="84" spans="1:75">
      <c r="A84" s="709"/>
      <c r="B84" s="709"/>
      <c r="C84" s="709"/>
      <c r="D84" s="709"/>
      <c r="E84" s="709"/>
      <c r="F84" s="709"/>
      <c r="G84" s="709"/>
      <c r="H84" s="709"/>
      <c r="I84" s="709"/>
      <c r="J84" s="709"/>
      <c r="K84" s="709"/>
      <c r="L84" s="709"/>
      <c r="M84" s="709"/>
      <c r="N84" s="709"/>
      <c r="O84" s="709"/>
      <c r="P84" s="709"/>
      <c r="Q84" s="709"/>
      <c r="R84" s="709"/>
      <c r="S84" s="709"/>
      <c r="T84" s="709"/>
      <c r="U84" s="709"/>
      <c r="V84" s="709"/>
      <c r="W84" s="887">
        <v>58</v>
      </c>
      <c r="AA84" s="887">
        <v>56</v>
      </c>
      <c r="AQ84" s="889" t="str">
        <f t="shared" si="1"/>
        <v/>
      </c>
      <c r="BB84" s="3"/>
      <c r="BC84" s="3"/>
      <c r="BD84" s="3"/>
      <c r="BE84" s="3"/>
      <c r="BF84" s="3"/>
      <c r="BG84" s="890"/>
      <c r="BH84" s="890"/>
      <c r="BI84" s="890"/>
      <c r="BJ84" s="890"/>
      <c r="BK84" s="890"/>
      <c r="BL84" s="890"/>
      <c r="BM84" s="890"/>
      <c r="BN84" s="890"/>
      <c r="BO84" s="890"/>
      <c r="BP84" s="890"/>
      <c r="BQ84" s="890"/>
      <c r="BR84" s="890"/>
      <c r="BS84" s="890"/>
      <c r="BT84" s="890"/>
      <c r="BU84" s="890"/>
      <c r="BV84" s="890"/>
      <c r="BW84" s="890"/>
    </row>
    <row r="85" spans="1:75">
      <c r="A85" s="709"/>
      <c r="B85" s="709"/>
      <c r="C85" s="709"/>
      <c r="D85" s="709"/>
      <c r="E85" s="709"/>
      <c r="F85" s="709"/>
      <c r="G85" s="709"/>
      <c r="H85" s="709"/>
      <c r="I85" s="709"/>
      <c r="J85" s="709"/>
      <c r="K85" s="709"/>
      <c r="L85" s="709"/>
      <c r="M85" s="709"/>
      <c r="N85" s="709"/>
      <c r="O85" s="709"/>
      <c r="P85" s="709"/>
      <c r="Q85" s="709"/>
      <c r="R85" s="709"/>
      <c r="S85" s="709"/>
      <c r="T85" s="709"/>
      <c r="U85" s="709"/>
      <c r="V85" s="709"/>
      <c r="W85" s="887">
        <v>59</v>
      </c>
      <c r="AA85" s="887">
        <v>57</v>
      </c>
      <c r="AQ85" s="889" t="str">
        <f t="shared" si="1"/>
        <v/>
      </c>
      <c r="BB85" s="3"/>
      <c r="BC85" s="3"/>
      <c r="BD85" s="3"/>
      <c r="BE85" s="3"/>
      <c r="BF85" s="3"/>
      <c r="BG85" s="890"/>
      <c r="BH85" s="890"/>
      <c r="BI85" s="890"/>
      <c r="BJ85" s="890"/>
      <c r="BK85" s="890"/>
      <c r="BL85" s="890"/>
      <c r="BM85" s="890"/>
      <c r="BN85" s="890"/>
      <c r="BO85" s="890"/>
      <c r="BP85" s="890"/>
      <c r="BQ85" s="890"/>
      <c r="BR85" s="890"/>
      <c r="BS85" s="890"/>
      <c r="BT85" s="890"/>
      <c r="BU85" s="890"/>
      <c r="BV85" s="890"/>
      <c r="BW85" s="890"/>
    </row>
    <row r="86" spans="1:75">
      <c r="A86" s="709"/>
      <c r="B86" s="709"/>
      <c r="C86" s="709"/>
      <c r="D86" s="709"/>
      <c r="E86" s="709"/>
      <c r="F86" s="709"/>
      <c r="G86" s="709"/>
      <c r="H86" s="709"/>
      <c r="I86" s="709"/>
      <c r="J86" s="709"/>
      <c r="K86" s="709"/>
      <c r="L86" s="709"/>
      <c r="M86" s="709"/>
      <c r="N86" s="709"/>
      <c r="O86" s="709"/>
      <c r="P86" s="709"/>
      <c r="Q86" s="709"/>
      <c r="R86" s="709"/>
      <c r="S86" s="709"/>
      <c r="T86" s="709"/>
      <c r="U86" s="709"/>
      <c r="V86" s="709"/>
      <c r="W86" s="887">
        <v>60</v>
      </c>
      <c r="AA86" s="887">
        <v>58</v>
      </c>
      <c r="AQ86" s="889" t="str">
        <f t="shared" si="1"/>
        <v/>
      </c>
      <c r="BB86" s="3"/>
      <c r="BC86" s="3"/>
      <c r="BD86" s="3"/>
      <c r="BE86" s="3"/>
      <c r="BF86" s="3"/>
      <c r="BG86" s="890"/>
      <c r="BH86" s="890"/>
      <c r="BI86" s="890"/>
      <c r="BJ86" s="890"/>
      <c r="BK86" s="890"/>
      <c r="BL86" s="890"/>
      <c r="BM86" s="890"/>
      <c r="BN86" s="890"/>
      <c r="BO86" s="890"/>
      <c r="BP86" s="890"/>
      <c r="BQ86" s="890"/>
      <c r="BR86" s="890"/>
      <c r="BS86" s="890"/>
      <c r="BT86" s="890"/>
      <c r="BU86" s="890"/>
      <c r="BV86" s="890"/>
      <c r="BW86" s="890"/>
    </row>
    <row r="87" spans="1:75">
      <c r="A87" s="709"/>
      <c r="B87" s="709"/>
      <c r="C87" s="709"/>
      <c r="D87" s="709"/>
      <c r="E87" s="709"/>
      <c r="F87" s="709"/>
      <c r="G87" s="709"/>
      <c r="H87" s="709"/>
      <c r="I87" s="709"/>
      <c r="J87" s="709"/>
      <c r="K87" s="709"/>
      <c r="L87" s="709"/>
      <c r="M87" s="709"/>
      <c r="N87" s="709"/>
      <c r="O87" s="709"/>
      <c r="P87" s="709"/>
      <c r="Q87" s="709"/>
      <c r="R87" s="709"/>
      <c r="S87" s="709"/>
      <c r="T87" s="709"/>
      <c r="U87" s="709"/>
      <c r="V87" s="709"/>
      <c r="W87" s="887">
        <v>61</v>
      </c>
      <c r="AA87" s="887">
        <v>59</v>
      </c>
      <c r="AQ87" s="889" t="str">
        <f t="shared" si="1"/>
        <v/>
      </c>
      <c r="BB87" s="3"/>
      <c r="BC87" s="3"/>
      <c r="BD87" s="3"/>
      <c r="BE87" s="3"/>
      <c r="BF87" s="3"/>
      <c r="BG87" s="890"/>
      <c r="BH87" s="890"/>
      <c r="BI87" s="890"/>
      <c r="BJ87" s="890"/>
      <c r="BK87" s="890"/>
      <c r="BL87" s="890"/>
      <c r="BM87" s="890"/>
      <c r="BN87" s="890"/>
      <c r="BO87" s="890"/>
      <c r="BP87" s="890"/>
      <c r="BQ87" s="890"/>
      <c r="BR87" s="890"/>
      <c r="BS87" s="890"/>
      <c r="BT87" s="890"/>
      <c r="BU87" s="890"/>
      <c r="BV87" s="890"/>
      <c r="BW87" s="890"/>
    </row>
    <row r="88" spans="1:75">
      <c r="A88" s="709"/>
      <c r="B88" s="709"/>
      <c r="C88" s="709"/>
      <c r="D88" s="709"/>
      <c r="E88" s="709"/>
      <c r="F88" s="709"/>
      <c r="G88" s="709"/>
      <c r="H88" s="709"/>
      <c r="I88" s="709"/>
      <c r="J88" s="709"/>
      <c r="K88" s="709"/>
      <c r="L88" s="709"/>
      <c r="M88" s="709"/>
      <c r="N88" s="709"/>
      <c r="O88" s="709"/>
      <c r="P88" s="709"/>
      <c r="Q88" s="709"/>
      <c r="R88" s="709"/>
      <c r="S88" s="709"/>
      <c r="T88" s="709"/>
      <c r="U88" s="709"/>
      <c r="V88" s="709"/>
      <c r="W88" s="887">
        <v>62</v>
      </c>
      <c r="AA88" s="887">
        <v>60</v>
      </c>
      <c r="AQ88" s="889" t="str">
        <f t="shared" si="1"/>
        <v/>
      </c>
      <c r="BB88" s="3"/>
      <c r="BC88" s="3"/>
      <c r="BD88" s="3"/>
      <c r="BE88" s="3"/>
      <c r="BF88" s="3"/>
      <c r="BG88" s="890"/>
      <c r="BH88" s="890"/>
      <c r="BI88" s="890"/>
      <c r="BJ88" s="890"/>
      <c r="BK88" s="890"/>
      <c r="BL88" s="890"/>
      <c r="BM88" s="890"/>
      <c r="BN88" s="890"/>
      <c r="BO88" s="890"/>
      <c r="BP88" s="890"/>
      <c r="BQ88" s="890"/>
      <c r="BR88" s="890"/>
      <c r="BS88" s="890"/>
      <c r="BT88" s="890"/>
      <c r="BU88" s="890"/>
      <c r="BV88" s="890"/>
      <c r="BW88" s="890"/>
    </row>
    <row r="89" spans="1:75">
      <c r="A89" s="709"/>
      <c r="B89" s="709"/>
      <c r="C89" s="709"/>
      <c r="D89" s="709"/>
      <c r="E89" s="709"/>
      <c r="F89" s="709"/>
      <c r="G89" s="709"/>
      <c r="H89" s="709"/>
      <c r="I89" s="709"/>
      <c r="J89" s="709"/>
      <c r="K89" s="709"/>
      <c r="L89" s="709"/>
      <c r="M89" s="709"/>
      <c r="N89" s="709"/>
      <c r="O89" s="709"/>
      <c r="P89" s="709"/>
      <c r="Q89" s="709"/>
      <c r="R89" s="709"/>
      <c r="S89" s="709"/>
      <c r="T89" s="709"/>
      <c r="U89" s="709"/>
      <c r="V89" s="709"/>
      <c r="W89" s="887">
        <v>63</v>
      </c>
      <c r="AA89" s="887">
        <v>61</v>
      </c>
      <c r="AQ89" s="889" t="str">
        <f t="shared" si="1"/>
        <v/>
      </c>
      <c r="BB89" s="3"/>
      <c r="BC89" s="3"/>
      <c r="BD89" s="3"/>
      <c r="BE89" s="3"/>
      <c r="BF89" s="3"/>
      <c r="BG89" s="890"/>
      <c r="BH89" s="890"/>
      <c r="BI89" s="890"/>
      <c r="BJ89" s="890"/>
      <c r="BK89" s="890"/>
      <c r="BL89" s="890"/>
      <c r="BM89" s="890"/>
      <c r="BN89" s="890"/>
      <c r="BO89" s="890"/>
      <c r="BP89" s="890"/>
      <c r="BQ89" s="890"/>
      <c r="BR89" s="890"/>
      <c r="BS89" s="890"/>
      <c r="BT89" s="890"/>
      <c r="BU89" s="890"/>
      <c r="BV89" s="890"/>
      <c r="BW89" s="890"/>
    </row>
    <row r="90" spans="1:75">
      <c r="A90" s="709"/>
      <c r="B90" s="709"/>
      <c r="C90" s="709"/>
      <c r="D90" s="709"/>
      <c r="E90" s="709"/>
      <c r="F90" s="709"/>
      <c r="G90" s="709"/>
      <c r="H90" s="709"/>
      <c r="I90" s="709"/>
      <c r="J90" s="709"/>
      <c r="K90" s="709"/>
      <c r="L90" s="709"/>
      <c r="M90" s="709"/>
      <c r="N90" s="709"/>
      <c r="O90" s="709"/>
      <c r="P90" s="709"/>
      <c r="Q90" s="709"/>
      <c r="R90" s="709"/>
      <c r="S90" s="709"/>
      <c r="T90" s="709"/>
      <c r="U90" s="709"/>
      <c r="V90" s="709"/>
      <c r="W90" s="887">
        <v>64</v>
      </c>
      <c r="AA90" s="887">
        <v>62</v>
      </c>
      <c r="AQ90" s="889" t="str">
        <f t="shared" si="1"/>
        <v/>
      </c>
      <c r="BB90" s="3"/>
      <c r="BC90" s="3"/>
      <c r="BD90" s="3"/>
      <c r="BE90" s="3"/>
      <c r="BF90" s="3"/>
      <c r="BG90" s="890"/>
      <c r="BH90" s="890"/>
      <c r="BI90" s="890"/>
      <c r="BJ90" s="890"/>
      <c r="BK90" s="890"/>
      <c r="BL90" s="890"/>
      <c r="BM90" s="890"/>
      <c r="BN90" s="890"/>
      <c r="BO90" s="890"/>
      <c r="BP90" s="890"/>
      <c r="BQ90" s="890"/>
      <c r="BR90" s="890"/>
      <c r="BS90" s="890"/>
      <c r="BT90" s="890"/>
      <c r="BU90" s="890"/>
      <c r="BV90" s="890"/>
      <c r="BW90" s="890"/>
    </row>
    <row r="91" spans="1:75">
      <c r="A91" s="709"/>
      <c r="B91" s="709"/>
      <c r="C91" s="709"/>
      <c r="D91" s="709"/>
      <c r="E91" s="709"/>
      <c r="F91" s="709"/>
      <c r="G91" s="709"/>
      <c r="H91" s="709"/>
      <c r="I91" s="709"/>
      <c r="J91" s="709"/>
      <c r="K91" s="709"/>
      <c r="L91" s="709"/>
      <c r="M91" s="709"/>
      <c r="N91" s="709"/>
      <c r="O91" s="709"/>
      <c r="P91" s="709"/>
      <c r="Q91" s="709"/>
      <c r="R91" s="709"/>
      <c r="S91" s="709"/>
      <c r="T91" s="709"/>
      <c r="U91" s="709"/>
      <c r="V91" s="709"/>
      <c r="W91" s="887">
        <v>65</v>
      </c>
      <c r="AA91" s="887">
        <v>63</v>
      </c>
      <c r="AQ91" s="889" t="str">
        <f t="shared" si="1"/>
        <v/>
      </c>
      <c r="BB91" s="3"/>
      <c r="BC91" s="3"/>
      <c r="BD91" s="3"/>
      <c r="BE91" s="3"/>
      <c r="BF91" s="3"/>
      <c r="BG91" s="890"/>
      <c r="BH91" s="890"/>
      <c r="BI91" s="890"/>
      <c r="BJ91" s="890"/>
      <c r="BK91" s="890"/>
      <c r="BL91" s="890"/>
      <c r="BM91" s="890"/>
      <c r="BN91" s="890"/>
      <c r="BO91" s="890"/>
      <c r="BP91" s="890"/>
      <c r="BQ91" s="890"/>
      <c r="BR91" s="890"/>
      <c r="BS91" s="890"/>
      <c r="BT91" s="890"/>
      <c r="BU91" s="890"/>
      <c r="BV91" s="890"/>
      <c r="BW91" s="890"/>
    </row>
    <row r="92" spans="1:75">
      <c r="A92" s="709"/>
      <c r="B92" s="709"/>
      <c r="C92" s="709"/>
      <c r="D92" s="709"/>
      <c r="E92" s="709"/>
      <c r="F92" s="709"/>
      <c r="G92" s="709"/>
      <c r="H92" s="709"/>
      <c r="I92" s="709"/>
      <c r="J92" s="709"/>
      <c r="K92" s="709"/>
      <c r="L92" s="709"/>
      <c r="M92" s="709"/>
      <c r="N92" s="709"/>
      <c r="O92" s="709"/>
      <c r="P92" s="709"/>
      <c r="Q92" s="709"/>
      <c r="R92" s="709"/>
      <c r="S92" s="709"/>
      <c r="T92" s="709"/>
      <c r="U92" s="709"/>
      <c r="V92" s="709"/>
      <c r="W92" s="887">
        <v>66</v>
      </c>
      <c r="AA92" s="887">
        <v>64</v>
      </c>
      <c r="AQ92" s="889" t="str">
        <f t="shared" si="1"/>
        <v/>
      </c>
      <c r="BB92" s="3"/>
      <c r="BC92" s="3"/>
      <c r="BD92" s="3"/>
      <c r="BE92" s="3"/>
      <c r="BF92" s="3"/>
      <c r="BG92" s="890"/>
      <c r="BH92" s="890"/>
      <c r="BI92" s="890"/>
      <c r="BJ92" s="890"/>
      <c r="BK92" s="890"/>
      <c r="BL92" s="890"/>
      <c r="BM92" s="890"/>
      <c r="BN92" s="890"/>
      <c r="BO92" s="890"/>
      <c r="BP92" s="890"/>
      <c r="BQ92" s="890"/>
      <c r="BR92" s="890"/>
      <c r="BS92" s="890"/>
      <c r="BT92" s="890"/>
      <c r="BU92" s="890"/>
      <c r="BV92" s="890"/>
      <c r="BW92" s="890"/>
    </row>
    <row r="93" spans="1:75">
      <c r="A93" s="709"/>
      <c r="B93" s="709"/>
      <c r="C93" s="709"/>
      <c r="D93" s="709"/>
      <c r="E93" s="709"/>
      <c r="F93" s="709"/>
      <c r="G93" s="709"/>
      <c r="H93" s="709"/>
      <c r="I93" s="709"/>
      <c r="J93" s="709"/>
      <c r="K93" s="709"/>
      <c r="L93" s="709"/>
      <c r="M93" s="709"/>
      <c r="N93" s="709"/>
      <c r="O93" s="709"/>
      <c r="P93" s="709"/>
      <c r="Q93" s="709"/>
      <c r="R93" s="709"/>
      <c r="S93" s="709"/>
      <c r="T93" s="709"/>
      <c r="U93" s="709"/>
      <c r="V93" s="709"/>
      <c r="W93" s="887">
        <v>67</v>
      </c>
      <c r="AA93" s="887">
        <v>65</v>
      </c>
      <c r="AQ93" s="889" t="str">
        <f t="shared" si="1"/>
        <v/>
      </c>
      <c r="BB93" s="3"/>
      <c r="BC93" s="3"/>
      <c r="BD93" s="3"/>
      <c r="BE93" s="3"/>
      <c r="BF93" s="3"/>
      <c r="BG93" s="890"/>
      <c r="BH93" s="890"/>
      <c r="BI93" s="890"/>
      <c r="BJ93" s="890"/>
      <c r="BK93" s="890"/>
      <c r="BL93" s="890"/>
      <c r="BM93" s="890"/>
      <c r="BN93" s="890"/>
      <c r="BO93" s="890"/>
      <c r="BP93" s="890"/>
      <c r="BQ93" s="890"/>
      <c r="BR93" s="890"/>
      <c r="BS93" s="890"/>
      <c r="BT93" s="890"/>
      <c r="BU93" s="890"/>
      <c r="BV93" s="890"/>
      <c r="BW93" s="890"/>
    </row>
    <row r="94" spans="1:75">
      <c r="A94" s="709"/>
      <c r="B94" s="709"/>
      <c r="C94" s="709"/>
      <c r="D94" s="709"/>
      <c r="E94" s="709"/>
      <c r="F94" s="709"/>
      <c r="G94" s="709"/>
      <c r="H94" s="709"/>
      <c r="I94" s="709"/>
      <c r="J94" s="709"/>
      <c r="K94" s="709"/>
      <c r="L94" s="709"/>
      <c r="M94" s="709"/>
      <c r="N94" s="709"/>
      <c r="O94" s="709"/>
      <c r="P94" s="709"/>
      <c r="Q94" s="709"/>
      <c r="R94" s="709"/>
      <c r="S94" s="709"/>
      <c r="T94" s="709"/>
      <c r="U94" s="709"/>
      <c r="V94" s="709"/>
      <c r="W94" s="887"/>
      <c r="BB94" s="3"/>
      <c r="BC94" s="3"/>
      <c r="BD94" s="3"/>
      <c r="BE94" s="3"/>
      <c r="BF94" s="3"/>
      <c r="BG94" s="890"/>
      <c r="BH94" s="890"/>
      <c r="BI94" s="890"/>
      <c r="BJ94" s="890"/>
      <c r="BK94" s="890"/>
      <c r="BL94" s="890"/>
      <c r="BM94" s="890"/>
      <c r="BN94" s="890"/>
      <c r="BO94" s="890"/>
      <c r="BP94" s="890"/>
      <c r="BQ94" s="890"/>
      <c r="BR94" s="890"/>
      <c r="BS94" s="890"/>
      <c r="BT94" s="890"/>
      <c r="BU94" s="890"/>
      <c r="BV94" s="890"/>
      <c r="BW94" s="890"/>
    </row>
    <row r="95" spans="1:75">
      <c r="A95" s="709"/>
      <c r="B95" s="709"/>
      <c r="C95" s="709"/>
      <c r="D95" s="709"/>
      <c r="E95" s="709"/>
      <c r="F95" s="709"/>
      <c r="G95" s="709"/>
      <c r="H95" s="709"/>
      <c r="I95" s="709"/>
      <c r="J95" s="709"/>
      <c r="K95" s="709"/>
      <c r="L95" s="709"/>
      <c r="M95" s="709"/>
      <c r="N95" s="709"/>
      <c r="O95" s="709"/>
      <c r="P95" s="709"/>
      <c r="Q95" s="709"/>
      <c r="R95" s="709"/>
      <c r="S95" s="709"/>
      <c r="T95" s="709"/>
      <c r="U95" s="709"/>
      <c r="V95" s="709"/>
      <c r="W95" s="887"/>
      <c r="BB95" s="3"/>
      <c r="BC95" s="3"/>
      <c r="BD95" s="3"/>
      <c r="BE95" s="3"/>
      <c r="BF95" s="3"/>
      <c r="BG95" s="890"/>
      <c r="BH95" s="890"/>
      <c r="BI95" s="890"/>
      <c r="BJ95" s="890"/>
      <c r="BK95" s="890"/>
      <c r="BL95" s="890"/>
      <c r="BM95" s="890"/>
      <c r="BN95" s="890"/>
      <c r="BO95" s="890"/>
      <c r="BP95" s="890"/>
      <c r="BQ95" s="890"/>
      <c r="BR95" s="890"/>
      <c r="BS95" s="890"/>
      <c r="BT95" s="890"/>
      <c r="BU95" s="890"/>
      <c r="BV95" s="890"/>
      <c r="BW95" s="890"/>
    </row>
    <row r="96" spans="1:75">
      <c r="A96" s="709"/>
      <c r="B96" s="709"/>
      <c r="C96" s="709"/>
      <c r="D96" s="709"/>
      <c r="E96" s="709"/>
      <c r="F96" s="709"/>
      <c r="G96" s="709"/>
      <c r="H96" s="709"/>
      <c r="I96" s="709"/>
      <c r="J96" s="709"/>
      <c r="K96" s="709"/>
      <c r="L96" s="709"/>
      <c r="M96" s="709"/>
      <c r="N96" s="709"/>
      <c r="O96" s="709"/>
      <c r="P96" s="709"/>
      <c r="Q96" s="709"/>
      <c r="R96" s="709"/>
      <c r="S96" s="709"/>
      <c r="T96" s="709"/>
      <c r="U96" s="709"/>
      <c r="V96" s="709"/>
      <c r="W96" s="887"/>
      <c r="BB96" s="3"/>
      <c r="BC96" s="3"/>
      <c r="BD96" s="3"/>
      <c r="BE96" s="3"/>
      <c r="BF96" s="3"/>
      <c r="BG96" s="890"/>
      <c r="BH96" s="890"/>
      <c r="BI96" s="890"/>
      <c r="BJ96" s="890"/>
      <c r="BK96" s="890"/>
      <c r="BL96" s="890"/>
      <c r="BM96" s="890"/>
      <c r="BN96" s="890"/>
      <c r="BO96" s="890"/>
      <c r="BP96" s="890"/>
      <c r="BQ96" s="890"/>
      <c r="BR96" s="890"/>
      <c r="BS96" s="890"/>
      <c r="BT96" s="890"/>
      <c r="BU96" s="890"/>
      <c r="BV96" s="890"/>
      <c r="BW96" s="890"/>
    </row>
    <row r="97" spans="1:75">
      <c r="A97" s="709"/>
      <c r="B97" s="709"/>
      <c r="C97" s="709"/>
      <c r="D97" s="709"/>
      <c r="E97" s="709"/>
      <c r="F97" s="709"/>
      <c r="G97" s="709"/>
      <c r="H97" s="709"/>
      <c r="I97" s="709"/>
      <c r="J97" s="709"/>
      <c r="K97" s="709"/>
      <c r="L97" s="709"/>
      <c r="M97" s="709"/>
      <c r="N97" s="709"/>
      <c r="O97" s="709"/>
      <c r="P97" s="709"/>
      <c r="Q97" s="709"/>
      <c r="R97" s="709"/>
      <c r="S97" s="709"/>
      <c r="T97" s="709"/>
      <c r="U97" s="709"/>
      <c r="V97" s="709"/>
      <c r="W97" s="887"/>
      <c r="X97" s="2">
        <v>1</v>
      </c>
      <c r="Y97" s="2">
        <v>2</v>
      </c>
      <c r="Z97" s="887">
        <v>3</v>
      </c>
      <c r="AA97" s="887">
        <v>4</v>
      </c>
      <c r="AB97" s="887">
        <v>5</v>
      </c>
      <c r="AC97" s="887">
        <v>6</v>
      </c>
      <c r="AD97" s="887">
        <v>7</v>
      </c>
      <c r="AE97" s="887">
        <v>8</v>
      </c>
      <c r="AF97" s="887">
        <v>9</v>
      </c>
      <c r="AG97" s="887">
        <v>10</v>
      </c>
      <c r="AH97" s="887">
        <v>11</v>
      </c>
      <c r="AI97" s="887">
        <v>12</v>
      </c>
      <c r="AJ97" s="887">
        <v>13</v>
      </c>
      <c r="AK97" s="887">
        <v>14</v>
      </c>
      <c r="AL97" s="887">
        <v>15</v>
      </c>
      <c r="AM97" s="887">
        <v>16</v>
      </c>
      <c r="AN97" s="887">
        <v>17</v>
      </c>
      <c r="AO97" s="887">
        <v>18</v>
      </c>
      <c r="AP97" s="887">
        <v>19</v>
      </c>
      <c r="BB97" s="3"/>
      <c r="BC97" s="3"/>
      <c r="BD97" s="3"/>
      <c r="BE97" s="3"/>
      <c r="BF97" s="3"/>
      <c r="BG97" s="890"/>
      <c r="BH97" s="890"/>
      <c r="BI97" s="890"/>
      <c r="BJ97" s="890"/>
      <c r="BK97" s="890"/>
      <c r="BL97" s="890"/>
      <c r="BM97" s="890"/>
      <c r="BN97" s="890"/>
      <c r="BO97" s="890"/>
      <c r="BP97" s="890"/>
      <c r="BQ97" s="890"/>
      <c r="BR97" s="890"/>
      <c r="BS97" s="890"/>
      <c r="BT97" s="890"/>
      <c r="BU97" s="890"/>
      <c r="BV97" s="890"/>
      <c r="BW97" s="890"/>
    </row>
    <row r="98" spans="1:75">
      <c r="A98" s="709"/>
      <c r="B98" s="709"/>
      <c r="C98" s="709"/>
      <c r="D98" s="709"/>
      <c r="E98" s="709"/>
      <c r="F98" s="709"/>
      <c r="G98" s="709"/>
      <c r="H98" s="709"/>
      <c r="I98" s="709"/>
      <c r="J98" s="709"/>
      <c r="K98" s="709"/>
      <c r="L98" s="709"/>
      <c r="M98" s="709"/>
      <c r="N98" s="709"/>
      <c r="O98" s="709"/>
      <c r="P98" s="709"/>
      <c r="Q98" s="709"/>
      <c r="R98" s="709"/>
      <c r="S98" s="709"/>
      <c r="T98" s="709"/>
      <c r="U98" s="709"/>
      <c r="V98" s="709"/>
      <c r="W98" s="887">
        <v>1</v>
      </c>
      <c r="X98" s="2">
        <v>814</v>
      </c>
      <c r="Y98" s="2">
        <v>815</v>
      </c>
      <c r="Z98" s="887">
        <v>816</v>
      </c>
      <c r="AA98" s="887">
        <v>817</v>
      </c>
      <c r="AB98" s="887">
        <v>818</v>
      </c>
      <c r="AC98" s="887">
        <v>820</v>
      </c>
      <c r="AD98" s="887">
        <v>821</v>
      </c>
      <c r="AE98" s="887">
        <v>822</v>
      </c>
      <c r="AF98" s="887">
        <v>823</v>
      </c>
      <c r="AG98" s="887">
        <v>830</v>
      </c>
      <c r="AH98" s="887">
        <v>827</v>
      </c>
      <c r="AI98" s="887">
        <v>832</v>
      </c>
      <c r="AJ98" s="887">
        <v>833</v>
      </c>
      <c r="AK98" s="887">
        <v>834</v>
      </c>
      <c r="AL98" s="887">
        <v>836</v>
      </c>
      <c r="AM98" s="887">
        <v>838</v>
      </c>
      <c r="AN98" s="887">
        <v>841</v>
      </c>
      <c r="AO98" s="887">
        <v>843</v>
      </c>
      <c r="AP98" s="887">
        <v>844</v>
      </c>
      <c r="AQ98" s="886">
        <f>E7</f>
        <v>833</v>
      </c>
      <c r="BB98" s="3"/>
      <c r="BC98" s="3"/>
      <c r="BD98" s="3"/>
      <c r="BE98" s="3"/>
      <c r="BF98" s="3"/>
      <c r="BG98" s="890"/>
      <c r="BH98" s="890"/>
      <c r="BI98" s="890"/>
      <c r="BJ98" s="890"/>
      <c r="BK98" s="890"/>
      <c r="BL98" s="890"/>
      <c r="BM98" s="890"/>
      <c r="BN98" s="890"/>
      <c r="BO98" s="890"/>
      <c r="BP98" s="890"/>
      <c r="BQ98" s="890"/>
      <c r="BR98" s="890"/>
      <c r="BS98" s="890"/>
      <c r="BT98" s="890"/>
      <c r="BU98" s="890"/>
      <c r="BV98" s="890"/>
      <c r="BW98" s="890"/>
    </row>
    <row r="99" spans="1:75">
      <c r="A99" s="709"/>
      <c r="B99" s="709"/>
      <c r="C99" s="709"/>
      <c r="D99" s="709"/>
      <c r="E99" s="709"/>
      <c r="F99" s="709"/>
      <c r="G99" s="709"/>
      <c r="H99" s="709"/>
      <c r="I99" s="709"/>
      <c r="J99" s="709"/>
      <c r="K99" s="709"/>
      <c r="L99" s="709"/>
      <c r="M99" s="709"/>
      <c r="N99" s="709"/>
      <c r="O99" s="709"/>
      <c r="P99" s="709"/>
      <c r="Q99" s="709"/>
      <c r="R99" s="709"/>
      <c r="S99" s="709"/>
      <c r="T99" s="709"/>
      <c r="U99" s="709"/>
      <c r="V99" s="709"/>
      <c r="W99" s="887">
        <v>2</v>
      </c>
      <c r="X99" s="2">
        <v>12</v>
      </c>
      <c r="Y99" s="2">
        <v>15</v>
      </c>
      <c r="Z99" s="887">
        <v>9</v>
      </c>
      <c r="AA99" s="887">
        <v>10</v>
      </c>
      <c r="AB99" s="887">
        <v>55</v>
      </c>
      <c r="AC99" s="887">
        <v>20</v>
      </c>
      <c r="AD99" s="887">
        <v>25</v>
      </c>
      <c r="AE99" s="887">
        <v>5</v>
      </c>
      <c r="AF99" s="887">
        <v>5</v>
      </c>
      <c r="AG99" s="887">
        <v>12</v>
      </c>
      <c r="AH99" s="887">
        <v>10</v>
      </c>
      <c r="AI99" s="887">
        <v>25</v>
      </c>
      <c r="AJ99" s="887">
        <v>13</v>
      </c>
      <c r="AK99" s="887">
        <v>25</v>
      </c>
      <c r="AL99" s="887">
        <v>16</v>
      </c>
      <c r="AM99" s="887">
        <v>12</v>
      </c>
      <c r="AN99" s="887">
        <v>16</v>
      </c>
      <c r="AO99" s="887">
        <v>10</v>
      </c>
      <c r="AP99" s="887">
        <v>10</v>
      </c>
      <c r="AQ99" s="889">
        <f>IFERROR(IF((HLOOKUP(AQ$98,$X$98:$AP$129,$W99,FALSE))=0,0,HLOOKUP(AQ$98,$X$98:$AP$129,$W99,FALSE)),"")</f>
        <v>13</v>
      </c>
      <c r="BB99" s="3"/>
      <c r="BC99" s="3"/>
      <c r="BD99" s="3"/>
      <c r="BE99" s="3"/>
      <c r="BF99" s="3"/>
      <c r="BG99" s="890"/>
      <c r="BH99" s="890"/>
      <c r="BI99" s="890"/>
      <c r="BJ99" s="890"/>
      <c r="BK99" s="890"/>
      <c r="BL99" s="890"/>
      <c r="BM99" s="890"/>
      <c r="BN99" s="890"/>
      <c r="BO99" s="890"/>
      <c r="BP99" s="890"/>
      <c r="BQ99" s="890"/>
      <c r="BR99" s="890"/>
      <c r="BS99" s="890"/>
      <c r="BT99" s="890"/>
      <c r="BU99" s="890"/>
      <c r="BV99" s="890"/>
      <c r="BW99" s="890"/>
    </row>
    <row r="100" spans="1:75">
      <c r="A100" s="709"/>
      <c r="B100" s="709"/>
      <c r="C100" s="709"/>
      <c r="D100" s="709"/>
      <c r="E100" s="709"/>
      <c r="F100" s="709"/>
      <c r="G100" s="709"/>
      <c r="H100" s="709"/>
      <c r="I100" s="709"/>
      <c r="J100" s="709"/>
      <c r="K100" s="709"/>
      <c r="L100" s="709"/>
      <c r="M100" s="709"/>
      <c r="N100" s="709"/>
      <c r="O100" s="709"/>
      <c r="P100" s="709"/>
      <c r="Q100" s="709"/>
      <c r="R100" s="709"/>
      <c r="S100" s="709"/>
      <c r="T100" s="709"/>
      <c r="U100" s="709"/>
      <c r="V100" s="709"/>
      <c r="W100" s="887">
        <v>3</v>
      </c>
      <c r="X100" s="2">
        <v>13</v>
      </c>
      <c r="Y100" s="2">
        <v>16</v>
      </c>
      <c r="Z100" s="887">
        <v>12</v>
      </c>
      <c r="AA100" s="887">
        <v>11</v>
      </c>
      <c r="AB100" s="887">
        <v>56</v>
      </c>
      <c r="AE100" s="887">
        <v>6</v>
      </c>
      <c r="AF100" s="887">
        <v>6</v>
      </c>
      <c r="AG100" s="887">
        <v>16</v>
      </c>
      <c r="AH100" s="887">
        <v>11</v>
      </c>
      <c r="AJ100" s="887">
        <v>14</v>
      </c>
      <c r="AL100" s="887">
        <v>21</v>
      </c>
      <c r="AM100" s="887">
        <v>13</v>
      </c>
      <c r="AN100" s="887">
        <v>20</v>
      </c>
      <c r="AO100" s="887">
        <v>11</v>
      </c>
      <c r="AP100" s="887">
        <v>11</v>
      </c>
      <c r="AQ100" s="889">
        <f>IFERROR(IF((HLOOKUP(AQ$98,$X$98:$AP$129,$W100,FALSE))=0,"",HLOOKUP(AQ$98,$X$98:$AP$129,$W100,FALSE)),"")</f>
        <v>14</v>
      </c>
      <c r="BB100" s="3"/>
      <c r="BC100" s="3"/>
      <c r="BD100" s="3"/>
      <c r="BE100" s="3"/>
      <c r="BF100" s="3"/>
      <c r="BG100" s="890"/>
      <c r="BH100" s="890"/>
      <c r="BI100" s="890"/>
      <c r="BJ100" s="890"/>
      <c r="BK100" s="890"/>
      <c r="BL100" s="890"/>
      <c r="BM100" s="890"/>
      <c r="BN100" s="890"/>
      <c r="BO100" s="890"/>
      <c r="BP100" s="890"/>
      <c r="BQ100" s="890"/>
      <c r="BR100" s="890"/>
      <c r="BS100" s="890"/>
      <c r="BT100" s="890"/>
      <c r="BU100" s="890"/>
      <c r="BV100" s="890"/>
      <c r="BW100" s="890"/>
    </row>
    <row r="101" spans="1:75">
      <c r="A101" s="709"/>
      <c r="B101" s="709"/>
      <c r="C101" s="709"/>
      <c r="D101" s="709"/>
      <c r="E101" s="709"/>
      <c r="F101" s="709"/>
      <c r="G101" s="709"/>
      <c r="H101" s="709"/>
      <c r="I101" s="709"/>
      <c r="J101" s="709"/>
      <c r="K101" s="709"/>
      <c r="L101" s="709"/>
      <c r="M101" s="709"/>
      <c r="N101" s="709"/>
      <c r="O101" s="709"/>
      <c r="P101" s="709"/>
      <c r="Q101" s="709"/>
      <c r="R101" s="709"/>
      <c r="S101" s="709"/>
      <c r="T101" s="709"/>
      <c r="U101" s="709"/>
      <c r="V101" s="709"/>
      <c r="W101" s="887">
        <v>4</v>
      </c>
      <c r="X101" s="2">
        <v>14</v>
      </c>
      <c r="Y101" s="2">
        <v>17</v>
      </c>
      <c r="Z101" s="887">
        <v>15</v>
      </c>
      <c r="AA101" s="887">
        <v>12</v>
      </c>
      <c r="AB101" s="887">
        <v>57</v>
      </c>
      <c r="AE101" s="887">
        <v>7</v>
      </c>
      <c r="AF101" s="887">
        <v>7</v>
      </c>
      <c r="AG101" s="887">
        <v>21</v>
      </c>
      <c r="AH101" s="887">
        <v>12</v>
      </c>
      <c r="AJ101" s="887">
        <v>15</v>
      </c>
      <c r="AL101" s="887">
        <v>25</v>
      </c>
      <c r="AM101" s="887">
        <v>14</v>
      </c>
      <c r="AN101" s="887">
        <v>24</v>
      </c>
      <c r="AO101" s="887">
        <v>12</v>
      </c>
      <c r="AP101" s="887">
        <v>12</v>
      </c>
      <c r="AQ101" s="889">
        <f t="shared" ref="AQ101:AQ129" si="2">IFERROR(IF((HLOOKUP(AQ$98,$X$98:$AP$129,$W101,FALSE))=0,"",HLOOKUP(AQ$98,$X$98:$AP$129,$W101,FALSE)),"")</f>
        <v>15</v>
      </c>
      <c r="BB101" s="3"/>
      <c r="BC101" s="3"/>
      <c r="BD101" s="3"/>
      <c r="BE101" s="3"/>
      <c r="BF101" s="3"/>
      <c r="BG101" s="890"/>
      <c r="BH101" s="890"/>
      <c r="BI101" s="890"/>
      <c r="BJ101" s="890"/>
      <c r="BK101" s="890"/>
      <c r="BL101" s="890"/>
      <c r="BM101" s="890"/>
      <c r="BN101" s="890"/>
      <c r="BO101" s="890"/>
      <c r="BP101" s="890"/>
      <c r="BQ101" s="890"/>
      <c r="BR101" s="890"/>
      <c r="BS101" s="890"/>
      <c r="BT101" s="890"/>
      <c r="BU101" s="890"/>
      <c r="BV101" s="890"/>
      <c r="BW101" s="890"/>
    </row>
    <row r="102" spans="1:75">
      <c r="A102" s="709"/>
      <c r="B102" s="709"/>
      <c r="C102" s="709"/>
      <c r="D102" s="709"/>
      <c r="E102" s="709"/>
      <c r="F102" s="709"/>
      <c r="G102" s="709"/>
      <c r="H102" s="709"/>
      <c r="I102" s="709"/>
      <c r="J102" s="709"/>
      <c r="K102" s="709"/>
      <c r="L102" s="709"/>
      <c r="M102" s="709"/>
      <c r="N102" s="709"/>
      <c r="O102" s="709"/>
      <c r="P102" s="709"/>
      <c r="Q102" s="709"/>
      <c r="R102" s="709"/>
      <c r="S102" s="709"/>
      <c r="T102" s="709"/>
      <c r="U102" s="709"/>
      <c r="V102" s="709"/>
      <c r="W102" s="887">
        <v>5</v>
      </c>
      <c r="X102" s="2">
        <v>15</v>
      </c>
      <c r="Y102" s="2">
        <v>18</v>
      </c>
      <c r="AA102" s="887">
        <v>13</v>
      </c>
      <c r="AB102" s="887">
        <v>58</v>
      </c>
      <c r="AE102" s="887">
        <v>8</v>
      </c>
      <c r="AF102" s="887">
        <v>8</v>
      </c>
      <c r="AH102" s="887">
        <v>13</v>
      </c>
      <c r="AJ102" s="887">
        <v>16</v>
      </c>
      <c r="AM102" s="887">
        <v>15</v>
      </c>
      <c r="AO102" s="887">
        <v>13</v>
      </c>
      <c r="AP102" s="887">
        <v>13</v>
      </c>
      <c r="AQ102" s="889">
        <f t="shared" si="2"/>
        <v>16</v>
      </c>
      <c r="BB102" s="3"/>
      <c r="BC102" s="3"/>
      <c r="BD102" s="3"/>
      <c r="BE102" s="3"/>
      <c r="BF102" s="3"/>
      <c r="BG102" s="890"/>
      <c r="BH102" s="890"/>
      <c r="BI102" s="890"/>
      <c r="BJ102" s="890"/>
      <c r="BK102" s="890"/>
      <c r="BL102" s="890"/>
      <c r="BM102" s="890"/>
      <c r="BN102" s="890"/>
      <c r="BO102" s="890"/>
      <c r="BP102" s="890"/>
      <c r="BQ102" s="890"/>
      <c r="BR102" s="890"/>
      <c r="BS102" s="890"/>
      <c r="BT102" s="890"/>
      <c r="BU102" s="890"/>
      <c r="BV102" s="890"/>
      <c r="BW102" s="890"/>
    </row>
    <row r="103" spans="1:75">
      <c r="A103" s="709"/>
      <c r="B103" s="709"/>
      <c r="C103" s="709"/>
      <c r="D103" s="709"/>
      <c r="E103" s="709"/>
      <c r="F103" s="709"/>
      <c r="G103" s="709"/>
      <c r="H103" s="709"/>
      <c r="I103" s="709"/>
      <c r="J103" s="709"/>
      <c r="K103" s="709"/>
      <c r="L103" s="709"/>
      <c r="M103" s="709"/>
      <c r="N103" s="709"/>
      <c r="O103" s="709"/>
      <c r="P103" s="709"/>
      <c r="Q103" s="709"/>
      <c r="R103" s="709"/>
      <c r="S103" s="709"/>
      <c r="T103" s="709"/>
      <c r="U103" s="709"/>
      <c r="V103" s="709"/>
      <c r="W103" s="887">
        <v>6</v>
      </c>
      <c r="X103" s="2">
        <v>16</v>
      </c>
      <c r="Y103" s="2">
        <v>19</v>
      </c>
      <c r="AA103" s="887">
        <v>14</v>
      </c>
      <c r="AB103" s="887">
        <v>59</v>
      </c>
      <c r="AE103" s="887">
        <v>9</v>
      </c>
      <c r="AF103" s="887">
        <v>9</v>
      </c>
      <c r="AH103" s="887">
        <v>14</v>
      </c>
      <c r="AJ103" s="887">
        <v>17</v>
      </c>
      <c r="AM103" s="887">
        <v>16</v>
      </c>
      <c r="AO103" s="887">
        <v>14</v>
      </c>
      <c r="AP103" s="887">
        <v>14</v>
      </c>
      <c r="AQ103" s="889">
        <f t="shared" si="2"/>
        <v>17</v>
      </c>
      <c r="BB103" s="3"/>
      <c r="BC103" s="3"/>
      <c r="BD103" s="3"/>
      <c r="BE103" s="3"/>
      <c r="BF103" s="3"/>
      <c r="BG103" s="890"/>
      <c r="BH103" s="890"/>
      <c r="BI103" s="890"/>
      <c r="BJ103" s="890"/>
      <c r="BK103" s="890"/>
      <c r="BL103" s="890"/>
      <c r="BM103" s="890"/>
      <c r="BN103" s="890"/>
      <c r="BO103" s="890"/>
      <c r="BP103" s="890"/>
      <c r="BQ103" s="890"/>
      <c r="BR103" s="890"/>
      <c r="BS103" s="890"/>
      <c r="BT103" s="890"/>
      <c r="BU103" s="890"/>
      <c r="BV103" s="890"/>
      <c r="BW103" s="890"/>
    </row>
    <row r="104" spans="1:75">
      <c r="A104" s="709"/>
      <c r="B104" s="709"/>
      <c r="C104" s="709"/>
      <c r="D104" s="709"/>
      <c r="E104" s="709"/>
      <c r="F104" s="709"/>
      <c r="G104" s="709"/>
      <c r="H104" s="709"/>
      <c r="I104" s="709"/>
      <c r="J104" s="709"/>
      <c r="K104" s="709"/>
      <c r="L104" s="709"/>
      <c r="M104" s="709"/>
      <c r="N104" s="709"/>
      <c r="O104" s="709"/>
      <c r="P104" s="709"/>
      <c r="Q104" s="709"/>
      <c r="R104" s="709"/>
      <c r="S104" s="709"/>
      <c r="T104" s="709"/>
      <c r="U104" s="709"/>
      <c r="V104" s="709"/>
      <c r="W104" s="887">
        <v>7</v>
      </c>
      <c r="X104" s="2">
        <v>17</v>
      </c>
      <c r="Y104" s="2">
        <v>20</v>
      </c>
      <c r="AA104" s="887">
        <v>15</v>
      </c>
      <c r="AB104" s="887">
        <v>60</v>
      </c>
      <c r="AE104" s="887">
        <v>10</v>
      </c>
      <c r="AF104" s="887">
        <v>10</v>
      </c>
      <c r="AH104" s="887">
        <v>15</v>
      </c>
      <c r="AJ104" s="887">
        <v>18</v>
      </c>
      <c r="AM104" s="887">
        <v>17</v>
      </c>
      <c r="AO104" s="887">
        <v>15</v>
      </c>
      <c r="AP104" s="887">
        <v>15</v>
      </c>
      <c r="AQ104" s="889">
        <f t="shared" si="2"/>
        <v>18</v>
      </c>
      <c r="BB104" s="3"/>
      <c r="BC104" s="3"/>
      <c r="BD104" s="3"/>
      <c r="BE104" s="3"/>
      <c r="BF104" s="3"/>
      <c r="BG104" s="890"/>
      <c r="BH104" s="890"/>
      <c r="BI104" s="890"/>
      <c r="BJ104" s="890"/>
      <c r="BK104" s="890"/>
      <c r="BL104" s="890"/>
      <c r="BM104" s="890"/>
      <c r="BN104" s="890"/>
      <c r="BO104" s="890"/>
      <c r="BP104" s="890"/>
      <c r="BQ104" s="890"/>
      <c r="BR104" s="890"/>
      <c r="BS104" s="890"/>
      <c r="BT104" s="890"/>
      <c r="BU104" s="890"/>
      <c r="BV104" s="890"/>
      <c r="BW104" s="890"/>
    </row>
    <row r="105" spans="1:75">
      <c r="A105" s="709"/>
      <c r="B105" s="709"/>
      <c r="C105" s="709"/>
      <c r="D105" s="709"/>
      <c r="E105" s="709"/>
      <c r="F105" s="709"/>
      <c r="G105" s="709"/>
      <c r="H105" s="709"/>
      <c r="I105" s="709"/>
      <c r="J105" s="709"/>
      <c r="K105" s="709"/>
      <c r="L105" s="709"/>
      <c r="M105" s="709"/>
      <c r="N105" s="709"/>
      <c r="O105" s="709"/>
      <c r="P105" s="709"/>
      <c r="Q105" s="709"/>
      <c r="R105" s="709"/>
      <c r="S105" s="709"/>
      <c r="T105" s="709"/>
      <c r="U105" s="709"/>
      <c r="V105" s="709"/>
      <c r="W105" s="887">
        <v>8</v>
      </c>
      <c r="X105" s="2">
        <v>18</v>
      </c>
      <c r="Y105" s="2">
        <v>21</v>
      </c>
      <c r="AA105" s="887">
        <v>16</v>
      </c>
      <c r="AB105" s="887">
        <v>61</v>
      </c>
      <c r="AE105" s="887">
        <v>11</v>
      </c>
      <c r="AF105" s="887">
        <v>11</v>
      </c>
      <c r="AH105" s="887">
        <v>16</v>
      </c>
      <c r="AJ105" s="887">
        <v>19</v>
      </c>
      <c r="AM105" s="887">
        <v>18</v>
      </c>
      <c r="AO105" s="887">
        <v>16</v>
      </c>
      <c r="AP105" s="887">
        <v>16</v>
      </c>
      <c r="AQ105" s="889">
        <f t="shared" si="2"/>
        <v>19</v>
      </c>
      <c r="BB105" s="3"/>
      <c r="BC105" s="3"/>
      <c r="BD105" s="3"/>
      <c r="BE105" s="3"/>
      <c r="BF105" s="3"/>
      <c r="BG105" s="890"/>
      <c r="BH105" s="890"/>
      <c r="BI105" s="890"/>
      <c r="BJ105" s="890"/>
      <c r="BK105" s="890"/>
      <c r="BL105" s="890"/>
      <c r="BM105" s="890"/>
      <c r="BN105" s="890"/>
      <c r="BO105" s="890"/>
      <c r="BP105" s="890"/>
      <c r="BQ105" s="890"/>
      <c r="BR105" s="890"/>
      <c r="BS105" s="890"/>
      <c r="BT105" s="890"/>
      <c r="BU105" s="890"/>
      <c r="BV105" s="890"/>
      <c r="BW105" s="890"/>
    </row>
    <row r="106" spans="1:75">
      <c r="A106" s="709"/>
      <c r="B106" s="709"/>
      <c r="C106" s="709"/>
      <c r="D106" s="709"/>
      <c r="E106" s="709"/>
      <c r="F106" s="709"/>
      <c r="G106" s="709"/>
      <c r="H106" s="709"/>
      <c r="I106" s="709"/>
      <c r="J106" s="709"/>
      <c r="K106" s="709"/>
      <c r="L106" s="709"/>
      <c r="M106" s="709"/>
      <c r="N106" s="709"/>
      <c r="O106" s="709"/>
      <c r="P106" s="709"/>
      <c r="Q106" s="709"/>
      <c r="R106" s="709"/>
      <c r="S106" s="709"/>
      <c r="T106" s="709"/>
      <c r="U106" s="709"/>
      <c r="V106" s="709"/>
      <c r="W106" s="887">
        <v>9</v>
      </c>
      <c r="X106" s="2">
        <v>19</v>
      </c>
      <c r="Y106" s="2">
        <v>22</v>
      </c>
      <c r="AA106" s="887">
        <v>17</v>
      </c>
      <c r="AB106" s="887">
        <v>62</v>
      </c>
      <c r="AE106" s="887">
        <v>12</v>
      </c>
      <c r="AF106" s="887">
        <v>12</v>
      </c>
      <c r="AH106" s="887">
        <v>17</v>
      </c>
      <c r="AJ106" s="887">
        <v>20</v>
      </c>
      <c r="AM106" s="887">
        <v>19</v>
      </c>
      <c r="AO106" s="887">
        <v>17</v>
      </c>
      <c r="AP106" s="887">
        <v>17</v>
      </c>
      <c r="AQ106" s="889">
        <f t="shared" si="2"/>
        <v>20</v>
      </c>
      <c r="BB106" s="3"/>
      <c r="BC106" s="3"/>
      <c r="BD106" s="3"/>
      <c r="BE106" s="3"/>
      <c r="BF106" s="3"/>
      <c r="BG106" s="890"/>
      <c r="BH106" s="890"/>
      <c r="BI106" s="890"/>
      <c r="BJ106" s="890"/>
      <c r="BK106" s="890"/>
      <c r="BL106" s="890"/>
      <c r="BM106" s="890"/>
      <c r="BN106" s="890"/>
      <c r="BO106" s="890"/>
      <c r="BP106" s="890"/>
      <c r="BQ106" s="890"/>
      <c r="BR106" s="890"/>
      <c r="BS106" s="890"/>
      <c r="BT106" s="890"/>
      <c r="BU106" s="890"/>
      <c r="BV106" s="890"/>
      <c r="BW106" s="890"/>
    </row>
    <row r="107" spans="1:75">
      <c r="A107" s="709"/>
      <c r="B107" s="709"/>
      <c r="C107" s="709"/>
      <c r="D107" s="709"/>
      <c r="E107" s="709"/>
      <c r="F107" s="709"/>
      <c r="G107" s="709"/>
      <c r="H107" s="709"/>
      <c r="I107" s="709"/>
      <c r="J107" s="709"/>
      <c r="K107" s="709"/>
      <c r="L107" s="709"/>
      <c r="M107" s="709"/>
      <c r="N107" s="709"/>
      <c r="O107" s="709"/>
      <c r="P107" s="709"/>
      <c r="Q107" s="709"/>
      <c r="R107" s="709"/>
      <c r="S107" s="709"/>
      <c r="T107" s="709"/>
      <c r="U107" s="709"/>
      <c r="V107" s="709"/>
      <c r="W107" s="887">
        <v>10</v>
      </c>
      <c r="X107" s="2">
        <v>20</v>
      </c>
      <c r="Y107" s="2">
        <v>23</v>
      </c>
      <c r="AA107" s="887">
        <v>18</v>
      </c>
      <c r="AB107" s="887">
        <v>63</v>
      </c>
      <c r="AE107" s="887">
        <v>13</v>
      </c>
      <c r="AF107" s="887">
        <v>13</v>
      </c>
      <c r="AH107" s="887">
        <v>18</v>
      </c>
      <c r="AJ107" s="887">
        <v>21</v>
      </c>
      <c r="AM107" s="887">
        <v>20</v>
      </c>
      <c r="AO107" s="887">
        <v>18</v>
      </c>
      <c r="AP107" s="887">
        <v>18</v>
      </c>
      <c r="AQ107" s="889">
        <f t="shared" si="2"/>
        <v>21</v>
      </c>
      <c r="BB107" s="3"/>
      <c r="BC107" s="3"/>
      <c r="BD107" s="3"/>
      <c r="BE107" s="3"/>
      <c r="BF107" s="3"/>
      <c r="BG107" s="890"/>
      <c r="BH107" s="890"/>
      <c r="BI107" s="890"/>
      <c r="BJ107" s="890"/>
      <c r="BK107" s="890"/>
      <c r="BL107" s="890"/>
      <c r="BM107" s="890"/>
      <c r="BN107" s="890"/>
      <c r="BO107" s="890"/>
      <c r="BP107" s="890"/>
      <c r="BQ107" s="890"/>
      <c r="BR107" s="890"/>
      <c r="BS107" s="890"/>
      <c r="BT107" s="890"/>
      <c r="BU107" s="890"/>
      <c r="BV107" s="890"/>
      <c r="BW107" s="890"/>
    </row>
    <row r="108" spans="1:75">
      <c r="A108" s="709"/>
      <c r="B108" s="709"/>
      <c r="C108" s="709"/>
      <c r="D108" s="709"/>
      <c r="E108" s="709"/>
      <c r="F108" s="709"/>
      <c r="G108" s="709"/>
      <c r="H108" s="709"/>
      <c r="I108" s="709"/>
      <c r="J108" s="709"/>
      <c r="K108" s="709"/>
      <c r="L108" s="709"/>
      <c r="M108" s="709"/>
      <c r="N108" s="709"/>
      <c r="O108" s="709"/>
      <c r="P108" s="709"/>
      <c r="Q108" s="709"/>
      <c r="R108" s="709"/>
      <c r="S108" s="709"/>
      <c r="T108" s="709"/>
      <c r="U108" s="709"/>
      <c r="V108" s="709"/>
      <c r="W108" s="887">
        <v>11</v>
      </c>
      <c r="X108" s="2">
        <v>21</v>
      </c>
      <c r="Y108" s="2">
        <v>24</v>
      </c>
      <c r="AA108" s="887">
        <v>19</v>
      </c>
      <c r="AB108" s="887">
        <v>64</v>
      </c>
      <c r="AE108" s="887">
        <v>14</v>
      </c>
      <c r="AF108" s="887">
        <v>14</v>
      </c>
      <c r="AH108" s="887">
        <v>19</v>
      </c>
      <c r="AJ108" s="887">
        <v>22</v>
      </c>
      <c r="AO108" s="887">
        <v>19</v>
      </c>
      <c r="AP108" s="887">
        <v>19</v>
      </c>
      <c r="AQ108" s="889">
        <f t="shared" si="2"/>
        <v>22</v>
      </c>
      <c r="BB108" s="3"/>
      <c r="BC108" s="3"/>
      <c r="BD108" s="3"/>
      <c r="BE108" s="3"/>
      <c r="BF108" s="3"/>
      <c r="BG108" s="890"/>
      <c r="BH108" s="890"/>
      <c r="BI108" s="890"/>
      <c r="BJ108" s="890"/>
      <c r="BK108" s="890"/>
      <c r="BL108" s="890"/>
      <c r="BM108" s="890"/>
      <c r="BN108" s="890"/>
      <c r="BO108" s="890"/>
      <c r="BP108" s="890"/>
      <c r="BQ108" s="890"/>
      <c r="BR108" s="890"/>
      <c r="BS108" s="890"/>
      <c r="BT108" s="890"/>
      <c r="BU108" s="890"/>
      <c r="BV108" s="890"/>
      <c r="BW108" s="890"/>
    </row>
    <row r="109" spans="1:75">
      <c r="A109" s="709"/>
      <c r="B109" s="709"/>
      <c r="C109" s="709"/>
      <c r="D109" s="709"/>
      <c r="E109" s="709"/>
      <c r="F109" s="709"/>
      <c r="G109" s="709"/>
      <c r="H109" s="709"/>
      <c r="I109" s="709"/>
      <c r="J109" s="709"/>
      <c r="K109" s="709"/>
      <c r="L109" s="709"/>
      <c r="M109" s="709"/>
      <c r="N109" s="709"/>
      <c r="O109" s="709"/>
      <c r="P109" s="709"/>
      <c r="Q109" s="709"/>
      <c r="R109" s="709"/>
      <c r="S109" s="709"/>
      <c r="T109" s="709"/>
      <c r="U109" s="709"/>
      <c r="V109" s="709"/>
      <c r="W109" s="887">
        <v>12</v>
      </c>
      <c r="X109" s="2">
        <v>22</v>
      </c>
      <c r="Y109" s="2">
        <v>25</v>
      </c>
      <c r="AA109" s="887">
        <v>20</v>
      </c>
      <c r="AB109" s="887">
        <v>65</v>
      </c>
      <c r="AE109" s="887">
        <v>15</v>
      </c>
      <c r="AF109" s="887">
        <v>15</v>
      </c>
      <c r="AH109" s="887">
        <v>20</v>
      </c>
      <c r="AJ109" s="887">
        <v>23</v>
      </c>
      <c r="AO109" s="887">
        <v>20</v>
      </c>
      <c r="AP109" s="887">
        <v>20</v>
      </c>
      <c r="AQ109" s="889">
        <f t="shared" si="2"/>
        <v>23</v>
      </c>
      <c r="BB109" s="3"/>
      <c r="BC109" s="3"/>
      <c r="BD109" s="3"/>
      <c r="BE109" s="3"/>
      <c r="BF109" s="3"/>
      <c r="BG109" s="890"/>
      <c r="BH109" s="890"/>
      <c r="BI109" s="890"/>
      <c r="BJ109" s="890"/>
      <c r="BK109" s="890"/>
      <c r="BL109" s="890"/>
      <c r="BM109" s="890"/>
      <c r="BN109" s="890"/>
      <c r="BO109" s="890"/>
      <c r="BP109" s="890"/>
      <c r="BQ109" s="890"/>
      <c r="BR109" s="890"/>
      <c r="BS109" s="890"/>
      <c r="BT109" s="890"/>
      <c r="BU109" s="890"/>
      <c r="BV109" s="890"/>
      <c r="BW109" s="890"/>
    </row>
    <row r="110" spans="1:75">
      <c r="A110" s="709"/>
      <c r="B110" s="709"/>
      <c r="C110" s="709"/>
      <c r="D110" s="709"/>
      <c r="E110" s="709"/>
      <c r="F110" s="709"/>
      <c r="G110" s="709"/>
      <c r="H110" s="709"/>
      <c r="I110" s="709"/>
      <c r="J110" s="709"/>
      <c r="K110" s="709"/>
      <c r="L110" s="709"/>
      <c r="M110" s="709"/>
      <c r="N110" s="709"/>
      <c r="O110" s="709"/>
      <c r="P110" s="709"/>
      <c r="Q110" s="709"/>
      <c r="R110" s="709"/>
      <c r="S110" s="709"/>
      <c r="T110" s="709"/>
      <c r="U110" s="709"/>
      <c r="V110" s="709"/>
      <c r="W110" s="887">
        <v>13</v>
      </c>
      <c r="X110" s="2">
        <v>23</v>
      </c>
      <c r="Y110" s="2">
        <v>26</v>
      </c>
      <c r="AA110" s="887">
        <v>21</v>
      </c>
      <c r="AE110" s="887">
        <v>16</v>
      </c>
      <c r="AF110" s="887">
        <v>16</v>
      </c>
      <c r="AJ110" s="887">
        <v>24</v>
      </c>
      <c r="AQ110" s="889">
        <f t="shared" si="2"/>
        <v>24</v>
      </c>
      <c r="BB110" s="3"/>
      <c r="BC110" s="3"/>
      <c r="BD110" s="3"/>
      <c r="BE110" s="3"/>
      <c r="BF110" s="3"/>
      <c r="BG110" s="890"/>
      <c r="BH110" s="890"/>
      <c r="BI110" s="890"/>
      <c r="BJ110" s="890"/>
      <c r="BK110" s="890"/>
      <c r="BL110" s="890"/>
      <c r="BM110" s="890"/>
      <c r="BN110" s="890"/>
      <c r="BO110" s="890"/>
      <c r="BP110" s="890"/>
      <c r="BQ110" s="890"/>
      <c r="BR110" s="890"/>
      <c r="BS110" s="890"/>
      <c r="BT110" s="890"/>
      <c r="BU110" s="890"/>
      <c r="BV110" s="890"/>
      <c r="BW110" s="890"/>
    </row>
    <row r="111" spans="1:75">
      <c r="A111" s="709"/>
      <c r="B111" s="709"/>
      <c r="C111" s="709"/>
      <c r="D111" s="709"/>
      <c r="E111" s="709"/>
      <c r="F111" s="709"/>
      <c r="G111" s="709"/>
      <c r="H111" s="709"/>
      <c r="I111" s="709"/>
      <c r="J111" s="709"/>
      <c r="K111" s="709"/>
      <c r="L111" s="709"/>
      <c r="M111" s="709"/>
      <c r="N111" s="709"/>
      <c r="O111" s="709"/>
      <c r="P111" s="709"/>
      <c r="Q111" s="709"/>
      <c r="R111" s="709"/>
      <c r="S111" s="709"/>
      <c r="T111" s="709"/>
      <c r="U111" s="709"/>
      <c r="V111" s="709"/>
      <c r="W111" s="887">
        <v>14</v>
      </c>
      <c r="X111" s="2">
        <v>24</v>
      </c>
      <c r="Y111" s="2">
        <v>27</v>
      </c>
      <c r="AA111" s="887">
        <v>22</v>
      </c>
      <c r="AE111" s="887">
        <v>17</v>
      </c>
      <c r="AF111" s="887">
        <v>17</v>
      </c>
      <c r="AJ111" s="887">
        <v>25</v>
      </c>
      <c r="AQ111" s="889">
        <f t="shared" si="2"/>
        <v>25</v>
      </c>
      <c r="BB111" s="3"/>
      <c r="BC111" s="3"/>
      <c r="BD111" s="3"/>
      <c r="BE111" s="3"/>
      <c r="BF111" s="3"/>
      <c r="BG111" s="890"/>
      <c r="BH111" s="890"/>
      <c r="BI111" s="890"/>
      <c r="BJ111" s="890"/>
      <c r="BK111" s="890"/>
      <c r="BL111" s="890"/>
      <c r="BM111" s="890"/>
      <c r="BN111" s="890"/>
      <c r="BO111" s="890"/>
      <c r="BP111" s="890"/>
      <c r="BQ111" s="890"/>
      <c r="BR111" s="890"/>
      <c r="BS111" s="890"/>
      <c r="BT111" s="890"/>
      <c r="BU111" s="890"/>
      <c r="BV111" s="890"/>
      <c r="BW111" s="890"/>
    </row>
    <row r="112" spans="1:75">
      <c r="A112" s="709"/>
      <c r="B112" s="709"/>
      <c r="C112" s="709"/>
      <c r="D112" s="709"/>
      <c r="E112" s="709"/>
      <c r="F112" s="709"/>
      <c r="G112" s="709"/>
      <c r="H112" s="709"/>
      <c r="I112" s="709"/>
      <c r="J112" s="709"/>
      <c r="K112" s="709"/>
      <c r="L112" s="709"/>
      <c r="M112" s="709"/>
      <c r="N112" s="709"/>
      <c r="O112" s="709"/>
      <c r="P112" s="709"/>
      <c r="Q112" s="709"/>
      <c r="R112" s="709"/>
      <c r="S112" s="709"/>
      <c r="T112" s="709"/>
      <c r="U112" s="709"/>
      <c r="V112" s="709"/>
      <c r="W112" s="887">
        <v>15</v>
      </c>
      <c r="X112" s="2">
        <v>25</v>
      </c>
      <c r="Y112" s="2">
        <v>28</v>
      </c>
      <c r="AA112" s="887">
        <v>23</v>
      </c>
      <c r="AE112" s="887">
        <v>18</v>
      </c>
      <c r="AF112" s="887">
        <v>18</v>
      </c>
      <c r="AQ112" s="889" t="str">
        <f t="shared" si="2"/>
        <v/>
      </c>
      <c r="BB112" s="3"/>
      <c r="BC112" s="3"/>
      <c r="BD112" s="3"/>
      <c r="BE112" s="3"/>
      <c r="BF112" s="3"/>
      <c r="BG112" s="890"/>
      <c r="BH112" s="890"/>
      <c r="BI112" s="890"/>
      <c r="BJ112" s="890"/>
      <c r="BK112" s="890"/>
      <c r="BL112" s="890"/>
      <c r="BM112" s="890"/>
      <c r="BN112" s="890"/>
      <c r="BO112" s="890"/>
      <c r="BP112" s="890"/>
      <c r="BQ112" s="890"/>
      <c r="BR112" s="890"/>
      <c r="BS112" s="890"/>
      <c r="BT112" s="890"/>
      <c r="BU112" s="890"/>
      <c r="BV112" s="890"/>
      <c r="BW112" s="890"/>
    </row>
    <row r="113" spans="1:75">
      <c r="A113" s="709"/>
      <c r="B113" s="709"/>
      <c r="C113" s="709"/>
      <c r="D113" s="709"/>
      <c r="E113" s="709"/>
      <c r="F113" s="709"/>
      <c r="G113" s="709"/>
      <c r="H113" s="709"/>
      <c r="I113" s="709"/>
      <c r="J113" s="709"/>
      <c r="K113" s="709"/>
      <c r="L113" s="709"/>
      <c r="M113" s="709"/>
      <c r="N113" s="709"/>
      <c r="O113" s="709"/>
      <c r="P113" s="709"/>
      <c r="Q113" s="709"/>
      <c r="R113" s="709"/>
      <c r="S113" s="709"/>
      <c r="T113" s="709"/>
      <c r="U113" s="709"/>
      <c r="V113" s="709"/>
      <c r="W113" s="887">
        <v>16</v>
      </c>
      <c r="X113" s="2">
        <v>26</v>
      </c>
      <c r="Y113" s="2">
        <v>29</v>
      </c>
      <c r="AA113" s="887">
        <v>24</v>
      </c>
      <c r="AE113" s="887">
        <v>19</v>
      </c>
      <c r="AF113" s="887">
        <v>19</v>
      </c>
      <c r="AQ113" s="889" t="str">
        <f t="shared" si="2"/>
        <v/>
      </c>
      <c r="BB113" s="3"/>
      <c r="BC113" s="3"/>
      <c r="BD113" s="3"/>
      <c r="BE113" s="3"/>
      <c r="BF113" s="3"/>
      <c r="BG113" s="890"/>
      <c r="BH113" s="890"/>
      <c r="BI113" s="890"/>
      <c r="BJ113" s="890"/>
      <c r="BK113" s="890"/>
      <c r="BL113" s="890"/>
      <c r="BM113" s="890"/>
      <c r="BN113" s="890"/>
      <c r="BO113" s="890"/>
      <c r="BP113" s="890"/>
      <c r="BQ113" s="890"/>
      <c r="BR113" s="890"/>
      <c r="BS113" s="890"/>
      <c r="BT113" s="890"/>
      <c r="BU113" s="890"/>
      <c r="BV113" s="890"/>
      <c r="BW113" s="890"/>
    </row>
    <row r="114" spans="1:75">
      <c r="A114" s="709"/>
      <c r="B114" s="709"/>
      <c r="C114" s="709"/>
      <c r="D114" s="709"/>
      <c r="E114" s="709"/>
      <c r="F114" s="709"/>
      <c r="G114" s="709"/>
      <c r="H114" s="709"/>
      <c r="I114" s="709"/>
      <c r="J114" s="709"/>
      <c r="K114" s="709"/>
      <c r="L114" s="709"/>
      <c r="M114" s="709"/>
      <c r="N114" s="709"/>
      <c r="O114" s="709"/>
      <c r="P114" s="709"/>
      <c r="Q114" s="709"/>
      <c r="R114" s="709"/>
      <c r="S114" s="709"/>
      <c r="T114" s="709"/>
      <c r="U114" s="709"/>
      <c r="V114" s="709"/>
      <c r="W114" s="887">
        <v>17</v>
      </c>
      <c r="X114" s="2">
        <v>27</v>
      </c>
      <c r="Y114" s="2">
        <v>30</v>
      </c>
      <c r="AA114" s="887">
        <v>25</v>
      </c>
      <c r="AE114" s="887">
        <v>20</v>
      </c>
      <c r="AF114" s="887">
        <v>20</v>
      </c>
      <c r="AQ114" s="889" t="str">
        <f t="shared" si="2"/>
        <v/>
      </c>
      <c r="BB114" s="3"/>
      <c r="BC114" s="3"/>
      <c r="BD114" s="3"/>
      <c r="BE114" s="3"/>
      <c r="BF114" s="3"/>
      <c r="BG114" s="890"/>
      <c r="BH114" s="890"/>
      <c r="BI114" s="890"/>
      <c r="BJ114" s="890"/>
      <c r="BK114" s="890"/>
      <c r="BL114" s="890"/>
      <c r="BM114" s="890"/>
      <c r="BN114" s="890"/>
      <c r="BO114" s="890"/>
      <c r="BP114" s="890"/>
      <c r="BQ114" s="890"/>
      <c r="BR114" s="890"/>
      <c r="BS114" s="890"/>
      <c r="BT114" s="890"/>
      <c r="BU114" s="890"/>
      <c r="BV114" s="890"/>
      <c r="BW114" s="890"/>
    </row>
    <row r="115" spans="1:75">
      <c r="A115" s="709"/>
      <c r="B115" s="709"/>
      <c r="C115" s="709"/>
      <c r="D115" s="709"/>
      <c r="E115" s="709"/>
      <c r="F115" s="709"/>
      <c r="G115" s="709"/>
      <c r="H115" s="709"/>
      <c r="I115" s="709"/>
      <c r="J115" s="709"/>
      <c r="K115" s="709"/>
      <c r="L115" s="709"/>
      <c r="M115" s="709"/>
      <c r="N115" s="709"/>
      <c r="O115" s="709"/>
      <c r="P115" s="709"/>
      <c r="Q115" s="709"/>
      <c r="R115" s="709"/>
      <c r="S115" s="709"/>
      <c r="T115" s="709"/>
      <c r="U115" s="709"/>
      <c r="V115" s="709"/>
      <c r="W115" s="887">
        <v>18</v>
      </c>
      <c r="X115" s="2">
        <v>28</v>
      </c>
      <c r="Y115" s="2">
        <v>31</v>
      </c>
      <c r="AE115" s="887">
        <v>21</v>
      </c>
      <c r="AF115" s="887">
        <v>21</v>
      </c>
      <c r="AQ115" s="889" t="str">
        <f t="shared" si="2"/>
        <v/>
      </c>
      <c r="BB115" s="3"/>
      <c r="BC115" s="3"/>
      <c r="BD115" s="3"/>
      <c r="BE115" s="3"/>
      <c r="BF115" s="3"/>
      <c r="BG115" s="890"/>
      <c r="BH115" s="890"/>
      <c r="BI115" s="890"/>
      <c r="BJ115" s="890"/>
      <c r="BK115" s="890"/>
      <c r="BL115" s="890"/>
      <c r="BM115" s="890"/>
      <c r="BN115" s="890"/>
      <c r="BO115" s="890"/>
      <c r="BP115" s="890"/>
      <c r="BQ115" s="890"/>
      <c r="BR115" s="890"/>
      <c r="BS115" s="890"/>
      <c r="BT115" s="890"/>
      <c r="BU115" s="890"/>
      <c r="BV115" s="890"/>
      <c r="BW115" s="890"/>
    </row>
    <row r="116" spans="1:75">
      <c r="A116" s="709"/>
      <c r="B116" s="709"/>
      <c r="C116" s="709"/>
      <c r="D116" s="709"/>
      <c r="E116" s="709"/>
      <c r="F116" s="709"/>
      <c r="G116" s="709"/>
      <c r="H116" s="709"/>
      <c r="I116" s="709"/>
      <c r="J116" s="709"/>
      <c r="K116" s="709"/>
      <c r="L116" s="709"/>
      <c r="M116" s="709"/>
      <c r="N116" s="709"/>
      <c r="O116" s="709"/>
      <c r="P116" s="709"/>
      <c r="Q116" s="709"/>
      <c r="R116" s="709"/>
      <c r="S116" s="709"/>
      <c r="T116" s="709"/>
      <c r="U116" s="709"/>
      <c r="V116" s="709"/>
      <c r="W116" s="887">
        <v>19</v>
      </c>
      <c r="X116" s="2">
        <v>29</v>
      </c>
      <c r="Y116" s="2">
        <v>32</v>
      </c>
      <c r="AE116" s="887">
        <v>22</v>
      </c>
      <c r="AF116" s="887">
        <v>22</v>
      </c>
      <c r="AQ116" s="889" t="str">
        <f t="shared" si="2"/>
        <v/>
      </c>
      <c r="BB116" s="3"/>
      <c r="BC116" s="3"/>
      <c r="BD116" s="3"/>
      <c r="BE116" s="3"/>
      <c r="BF116" s="3"/>
      <c r="BG116" s="890"/>
      <c r="BH116" s="890"/>
      <c r="BI116" s="890"/>
      <c r="BJ116" s="890"/>
      <c r="BK116" s="890"/>
      <c r="BL116" s="890"/>
      <c r="BM116" s="890"/>
      <c r="BN116" s="890"/>
      <c r="BO116" s="890"/>
      <c r="BP116" s="890"/>
      <c r="BQ116" s="890"/>
      <c r="BR116" s="890"/>
      <c r="BS116" s="890"/>
      <c r="BT116" s="890"/>
      <c r="BU116" s="890"/>
      <c r="BV116" s="890"/>
      <c r="BW116" s="890"/>
    </row>
    <row r="117" spans="1:75">
      <c r="A117" s="709"/>
      <c r="B117" s="709"/>
      <c r="C117" s="709"/>
      <c r="D117" s="709"/>
      <c r="E117" s="709"/>
      <c r="F117" s="709"/>
      <c r="G117" s="709"/>
      <c r="H117" s="709"/>
      <c r="I117" s="709"/>
      <c r="J117" s="709"/>
      <c r="K117" s="709"/>
      <c r="L117" s="709"/>
      <c r="M117" s="709"/>
      <c r="N117" s="709"/>
      <c r="O117" s="709"/>
      <c r="P117" s="709"/>
      <c r="Q117" s="709"/>
      <c r="R117" s="709"/>
      <c r="S117" s="709"/>
      <c r="T117" s="709"/>
      <c r="U117" s="709"/>
      <c r="V117" s="709"/>
      <c r="W117" s="887">
        <v>20</v>
      </c>
      <c r="X117" s="2">
        <v>30</v>
      </c>
      <c r="Y117" s="2">
        <v>33</v>
      </c>
      <c r="AE117" s="887">
        <v>23</v>
      </c>
      <c r="AF117" s="887">
        <v>23</v>
      </c>
      <c r="AQ117" s="889" t="str">
        <f t="shared" si="2"/>
        <v/>
      </c>
      <c r="BB117" s="3"/>
      <c r="BC117" s="3"/>
      <c r="BD117" s="3"/>
      <c r="BE117" s="3"/>
      <c r="BF117" s="3"/>
      <c r="BG117" s="890"/>
      <c r="BH117" s="890"/>
      <c r="BI117" s="890"/>
      <c r="BJ117" s="890"/>
      <c r="BK117" s="890"/>
      <c r="BL117" s="890"/>
      <c r="BM117" s="890"/>
      <c r="BN117" s="890"/>
      <c r="BO117" s="890"/>
      <c r="BP117" s="890"/>
      <c r="BQ117" s="890"/>
      <c r="BR117" s="890"/>
      <c r="BS117" s="890"/>
      <c r="BT117" s="890"/>
      <c r="BU117" s="890"/>
      <c r="BV117" s="890"/>
      <c r="BW117" s="890"/>
    </row>
    <row r="118" spans="1:75">
      <c r="A118" s="709"/>
      <c r="B118" s="709"/>
      <c r="C118" s="709"/>
      <c r="D118" s="709"/>
      <c r="E118" s="709"/>
      <c r="F118" s="709"/>
      <c r="G118" s="709"/>
      <c r="H118" s="709"/>
      <c r="I118" s="709"/>
      <c r="J118" s="709"/>
      <c r="K118" s="709"/>
      <c r="L118" s="709"/>
      <c r="M118" s="709"/>
      <c r="N118" s="709"/>
      <c r="O118" s="709"/>
      <c r="P118" s="709"/>
      <c r="Q118" s="709"/>
      <c r="R118" s="709"/>
      <c r="S118" s="709"/>
      <c r="T118" s="709"/>
      <c r="U118" s="709"/>
      <c r="V118" s="709"/>
      <c r="W118" s="887">
        <v>21</v>
      </c>
      <c r="X118" s="2">
        <v>31</v>
      </c>
      <c r="Y118" s="2">
        <v>34</v>
      </c>
      <c r="AE118" s="887">
        <v>24</v>
      </c>
      <c r="AF118" s="887">
        <v>24</v>
      </c>
      <c r="AQ118" s="889" t="str">
        <f t="shared" si="2"/>
        <v/>
      </c>
      <c r="BB118" s="3"/>
      <c r="BC118" s="3"/>
      <c r="BD118" s="3"/>
      <c r="BE118" s="3"/>
      <c r="BF118" s="3"/>
      <c r="BG118" s="890"/>
      <c r="BH118" s="890"/>
      <c r="BI118" s="890"/>
      <c r="BJ118" s="890"/>
      <c r="BK118" s="890"/>
      <c r="BL118" s="890"/>
      <c r="BM118" s="890"/>
      <c r="BN118" s="890"/>
      <c r="BO118" s="890"/>
      <c r="BP118" s="890"/>
      <c r="BQ118" s="890"/>
      <c r="BR118" s="890"/>
      <c r="BS118" s="890"/>
      <c r="BT118" s="890"/>
      <c r="BU118" s="890"/>
      <c r="BV118" s="890"/>
      <c r="BW118" s="890"/>
    </row>
    <row r="119" spans="1:75">
      <c r="A119" s="709"/>
      <c r="B119" s="709"/>
      <c r="C119" s="709"/>
      <c r="D119" s="709"/>
      <c r="E119" s="709"/>
      <c r="F119" s="709"/>
      <c r="G119" s="709"/>
      <c r="H119" s="709"/>
      <c r="I119" s="709"/>
      <c r="J119" s="709"/>
      <c r="K119" s="709"/>
      <c r="L119" s="709"/>
      <c r="M119" s="709"/>
      <c r="N119" s="709"/>
      <c r="O119" s="709"/>
      <c r="P119" s="709"/>
      <c r="Q119" s="709"/>
      <c r="R119" s="709"/>
      <c r="S119" s="709"/>
      <c r="T119" s="709"/>
      <c r="U119" s="709"/>
      <c r="V119" s="709"/>
      <c r="W119" s="887">
        <v>22</v>
      </c>
      <c r="X119" s="2">
        <v>32</v>
      </c>
      <c r="Y119" s="2">
        <v>35</v>
      </c>
      <c r="AE119" s="887">
        <v>25</v>
      </c>
      <c r="AF119" s="887">
        <v>25</v>
      </c>
      <c r="AQ119" s="889" t="str">
        <f t="shared" si="2"/>
        <v/>
      </c>
      <c r="BB119" s="3"/>
      <c r="BC119" s="3"/>
      <c r="BD119" s="3"/>
      <c r="BE119" s="3"/>
      <c r="BF119" s="3"/>
      <c r="BG119" s="890"/>
      <c r="BH119" s="890"/>
      <c r="BI119" s="890"/>
      <c r="BJ119" s="890"/>
      <c r="BK119" s="890"/>
      <c r="BL119" s="890"/>
      <c r="BM119" s="890"/>
      <c r="BN119" s="890"/>
      <c r="BO119" s="890"/>
      <c r="BP119" s="890"/>
      <c r="BQ119" s="890"/>
      <c r="BR119" s="890"/>
      <c r="BS119" s="890"/>
      <c r="BT119" s="890"/>
      <c r="BU119" s="890"/>
      <c r="BV119" s="890"/>
      <c r="BW119" s="890"/>
    </row>
    <row r="120" spans="1:75">
      <c r="A120" s="709"/>
      <c r="B120" s="709"/>
      <c r="C120" s="709"/>
      <c r="D120" s="709"/>
      <c r="E120" s="709"/>
      <c r="F120" s="709"/>
      <c r="G120" s="709"/>
      <c r="H120" s="709"/>
      <c r="I120" s="709"/>
      <c r="J120" s="709"/>
      <c r="K120" s="709"/>
      <c r="L120" s="709"/>
      <c r="M120" s="709"/>
      <c r="N120" s="709"/>
      <c r="O120" s="709"/>
      <c r="P120" s="709"/>
      <c r="Q120" s="709"/>
      <c r="R120" s="709"/>
      <c r="S120" s="709"/>
      <c r="T120" s="709"/>
      <c r="U120" s="709"/>
      <c r="V120" s="709"/>
      <c r="W120" s="887">
        <v>23</v>
      </c>
      <c r="X120" s="2">
        <v>33</v>
      </c>
      <c r="AF120" s="887">
        <v>26</v>
      </c>
      <c r="AQ120" s="889" t="str">
        <f t="shared" si="2"/>
        <v/>
      </c>
      <c r="BB120" s="3"/>
      <c r="BC120" s="3"/>
      <c r="BD120" s="3"/>
      <c r="BE120" s="3"/>
      <c r="BF120" s="3"/>
      <c r="BG120" s="890"/>
      <c r="BH120" s="890"/>
      <c r="BI120" s="890"/>
      <c r="BJ120" s="890"/>
      <c r="BK120" s="890"/>
      <c r="BL120" s="890"/>
      <c r="BM120" s="890"/>
      <c r="BN120" s="890"/>
      <c r="BO120" s="890"/>
      <c r="BP120" s="890"/>
      <c r="BQ120" s="890"/>
      <c r="BR120" s="890"/>
      <c r="BS120" s="890"/>
      <c r="BT120" s="890"/>
      <c r="BU120" s="890"/>
      <c r="BV120" s="890"/>
      <c r="BW120" s="890"/>
    </row>
    <row r="121" spans="1:75">
      <c r="A121" s="709"/>
      <c r="B121" s="709"/>
      <c r="C121" s="709"/>
      <c r="D121" s="709"/>
      <c r="E121" s="709"/>
      <c r="F121" s="709"/>
      <c r="G121" s="709"/>
      <c r="H121" s="709"/>
      <c r="I121" s="709"/>
      <c r="J121" s="709"/>
      <c r="K121" s="709"/>
      <c r="L121" s="709"/>
      <c r="M121" s="709"/>
      <c r="N121" s="709"/>
      <c r="O121" s="709"/>
      <c r="P121" s="709"/>
      <c r="Q121" s="709"/>
      <c r="R121" s="709"/>
      <c r="S121" s="709"/>
      <c r="T121" s="709"/>
      <c r="U121" s="709"/>
      <c r="V121" s="709"/>
      <c r="W121" s="887">
        <v>24</v>
      </c>
      <c r="X121" s="2">
        <v>34</v>
      </c>
      <c r="AF121" s="887">
        <v>27</v>
      </c>
      <c r="AQ121" s="889" t="str">
        <f t="shared" si="2"/>
        <v/>
      </c>
      <c r="BB121" s="3"/>
      <c r="BC121" s="3"/>
      <c r="BD121" s="3"/>
      <c r="BE121" s="3"/>
      <c r="BF121" s="3"/>
      <c r="BG121" s="890"/>
      <c r="BH121" s="890"/>
      <c r="BI121" s="890"/>
      <c r="BJ121" s="890"/>
      <c r="BK121" s="890"/>
      <c r="BL121" s="890"/>
      <c r="BM121" s="890"/>
      <c r="BN121" s="890"/>
      <c r="BO121" s="890"/>
      <c r="BP121" s="890"/>
      <c r="BQ121" s="890"/>
      <c r="BR121" s="890"/>
      <c r="BS121" s="890"/>
      <c r="BT121" s="890"/>
      <c r="BU121" s="890"/>
      <c r="BV121" s="890"/>
      <c r="BW121" s="890"/>
    </row>
    <row r="122" spans="1:75">
      <c r="A122" s="709"/>
      <c r="B122" s="709"/>
      <c r="C122" s="709"/>
      <c r="D122" s="709"/>
      <c r="E122" s="709"/>
      <c r="F122" s="709"/>
      <c r="G122" s="709"/>
      <c r="H122" s="709"/>
      <c r="I122" s="709"/>
      <c r="J122" s="709"/>
      <c r="K122" s="709"/>
      <c r="L122" s="709"/>
      <c r="M122" s="709"/>
      <c r="N122" s="709"/>
      <c r="O122" s="709"/>
      <c r="P122" s="709"/>
      <c r="Q122" s="709"/>
      <c r="R122" s="709"/>
      <c r="S122" s="709"/>
      <c r="T122" s="709"/>
      <c r="U122" s="709"/>
      <c r="V122" s="709"/>
      <c r="W122" s="887">
        <v>25</v>
      </c>
      <c r="X122" s="2">
        <v>35</v>
      </c>
      <c r="AF122" s="887">
        <v>28</v>
      </c>
      <c r="AQ122" s="889" t="str">
        <f t="shared" si="2"/>
        <v/>
      </c>
      <c r="BB122" s="3"/>
      <c r="BC122" s="3"/>
      <c r="BD122" s="3"/>
      <c r="BE122" s="3"/>
      <c r="BF122" s="3"/>
      <c r="BG122" s="890"/>
      <c r="BH122" s="890"/>
      <c r="BI122" s="890"/>
      <c r="BJ122" s="890"/>
      <c r="BK122" s="890"/>
      <c r="BL122" s="890"/>
      <c r="BM122" s="890"/>
      <c r="BN122" s="890"/>
      <c r="BO122" s="890"/>
      <c r="BP122" s="890"/>
      <c r="BQ122" s="890"/>
      <c r="BR122" s="890"/>
      <c r="BS122" s="890"/>
      <c r="BT122" s="890"/>
      <c r="BU122" s="890"/>
      <c r="BV122" s="890"/>
      <c r="BW122" s="890"/>
    </row>
    <row r="123" spans="1:75">
      <c r="A123" s="709"/>
      <c r="B123" s="709"/>
      <c r="C123" s="709"/>
      <c r="D123" s="709"/>
      <c r="E123" s="709"/>
      <c r="F123" s="709"/>
      <c r="G123" s="709"/>
      <c r="H123" s="709"/>
      <c r="I123" s="709"/>
      <c r="J123" s="709"/>
      <c r="K123" s="709"/>
      <c r="L123" s="709"/>
      <c r="M123" s="709"/>
      <c r="N123" s="709"/>
      <c r="O123" s="709"/>
      <c r="P123" s="709"/>
      <c r="Q123" s="709"/>
      <c r="R123" s="709"/>
      <c r="S123" s="709"/>
      <c r="T123" s="709"/>
      <c r="U123" s="709"/>
      <c r="V123" s="709"/>
      <c r="W123" s="887">
        <v>26</v>
      </c>
      <c r="AF123" s="887">
        <v>29</v>
      </c>
      <c r="AQ123" s="889" t="str">
        <f t="shared" si="2"/>
        <v/>
      </c>
      <c r="BB123" s="3"/>
      <c r="BC123" s="3"/>
      <c r="BD123" s="3"/>
      <c r="BE123" s="3"/>
      <c r="BF123" s="3"/>
      <c r="BG123" s="890"/>
      <c r="BH123" s="890"/>
      <c r="BI123" s="890"/>
      <c r="BJ123" s="890"/>
      <c r="BK123" s="890"/>
      <c r="BL123" s="890"/>
      <c r="BM123" s="890"/>
      <c r="BN123" s="890"/>
      <c r="BO123" s="890"/>
      <c r="BP123" s="890"/>
      <c r="BQ123" s="890"/>
      <c r="BR123" s="890"/>
      <c r="BS123" s="890"/>
      <c r="BT123" s="890"/>
      <c r="BU123" s="890"/>
      <c r="BV123" s="890"/>
      <c r="BW123" s="890"/>
    </row>
    <row r="124" spans="1:75">
      <c r="A124" s="709"/>
      <c r="B124" s="709"/>
      <c r="C124" s="709"/>
      <c r="D124" s="709"/>
      <c r="E124" s="709"/>
      <c r="F124" s="709"/>
      <c r="G124" s="709"/>
      <c r="H124" s="709"/>
      <c r="I124" s="709"/>
      <c r="J124" s="709"/>
      <c r="K124" s="709"/>
      <c r="L124" s="709"/>
      <c r="M124" s="709"/>
      <c r="N124" s="709"/>
      <c r="O124" s="709"/>
      <c r="P124" s="709"/>
      <c r="Q124" s="709"/>
      <c r="R124" s="709"/>
      <c r="S124" s="709"/>
      <c r="T124" s="709"/>
      <c r="U124" s="709"/>
      <c r="V124" s="709"/>
      <c r="W124" s="887">
        <v>27</v>
      </c>
      <c r="AF124" s="887">
        <v>30</v>
      </c>
      <c r="AQ124" s="889" t="str">
        <f t="shared" si="2"/>
        <v/>
      </c>
      <c r="BB124" s="3"/>
      <c r="BC124" s="3"/>
      <c r="BD124" s="3"/>
      <c r="BE124" s="3"/>
      <c r="BF124" s="3"/>
      <c r="BG124" s="890"/>
      <c r="BH124" s="890"/>
      <c r="BI124" s="890"/>
      <c r="BJ124" s="890"/>
      <c r="BK124" s="890"/>
      <c r="BL124" s="890"/>
      <c r="BM124" s="890"/>
      <c r="BN124" s="890"/>
      <c r="BO124" s="890"/>
      <c r="BP124" s="890"/>
      <c r="BQ124" s="890"/>
      <c r="BR124" s="890"/>
      <c r="BS124" s="890"/>
      <c r="BT124" s="890"/>
      <c r="BU124" s="890"/>
      <c r="BV124" s="890"/>
      <c r="BW124" s="890"/>
    </row>
    <row r="125" spans="1:75">
      <c r="A125" s="709"/>
      <c r="B125" s="709"/>
      <c r="C125" s="709"/>
      <c r="D125" s="709"/>
      <c r="E125" s="709"/>
      <c r="F125" s="709"/>
      <c r="G125" s="709"/>
      <c r="H125" s="709"/>
      <c r="I125" s="709"/>
      <c r="J125" s="709"/>
      <c r="K125" s="709"/>
      <c r="L125" s="709"/>
      <c r="M125" s="709"/>
      <c r="N125" s="709"/>
      <c r="O125" s="709"/>
      <c r="P125" s="709"/>
      <c r="Q125" s="709"/>
      <c r="R125" s="709"/>
      <c r="S125" s="709"/>
      <c r="T125" s="709"/>
      <c r="U125" s="709"/>
      <c r="V125" s="709"/>
      <c r="W125" s="887">
        <v>28</v>
      </c>
      <c r="AF125" s="887">
        <v>31</v>
      </c>
      <c r="AQ125" s="889" t="str">
        <f t="shared" si="2"/>
        <v/>
      </c>
      <c r="BB125" s="3"/>
      <c r="BC125" s="3"/>
      <c r="BD125" s="3"/>
      <c r="BE125" s="3"/>
      <c r="BF125" s="3"/>
      <c r="BG125" s="890"/>
      <c r="BH125" s="890"/>
      <c r="BI125" s="890"/>
      <c r="BJ125" s="890"/>
      <c r="BK125" s="890"/>
      <c r="BL125" s="890"/>
      <c r="BM125" s="890"/>
      <c r="BN125" s="890"/>
      <c r="BO125" s="890"/>
      <c r="BP125" s="890"/>
      <c r="BQ125" s="890"/>
      <c r="BR125" s="890"/>
      <c r="BS125" s="890"/>
      <c r="BT125" s="890"/>
      <c r="BU125" s="890"/>
      <c r="BV125" s="890"/>
      <c r="BW125" s="890"/>
    </row>
    <row r="126" spans="1:75">
      <c r="A126" s="709"/>
      <c r="B126" s="709"/>
      <c r="C126" s="709"/>
      <c r="D126" s="709"/>
      <c r="E126" s="709"/>
      <c r="F126" s="709"/>
      <c r="G126" s="709"/>
      <c r="H126" s="709"/>
      <c r="I126" s="709"/>
      <c r="J126" s="709"/>
      <c r="K126" s="709"/>
      <c r="L126" s="709"/>
      <c r="M126" s="709"/>
      <c r="N126" s="709"/>
      <c r="O126" s="709"/>
      <c r="P126" s="709"/>
      <c r="Q126" s="709"/>
      <c r="R126" s="709"/>
      <c r="S126" s="709"/>
      <c r="T126" s="709"/>
      <c r="U126" s="709"/>
      <c r="V126" s="709"/>
      <c r="W126" s="887">
        <v>29</v>
      </c>
      <c r="AF126" s="887">
        <v>32</v>
      </c>
      <c r="AQ126" s="889" t="str">
        <f t="shared" si="2"/>
        <v/>
      </c>
      <c r="BB126" s="3"/>
      <c r="BC126" s="3"/>
      <c r="BD126" s="3"/>
      <c r="BE126" s="3"/>
      <c r="BF126" s="3"/>
      <c r="BG126" s="890"/>
      <c r="BH126" s="890"/>
      <c r="BI126" s="890"/>
      <c r="BJ126" s="890"/>
      <c r="BK126" s="890"/>
      <c r="BL126" s="890"/>
      <c r="BM126" s="890"/>
      <c r="BN126" s="890"/>
      <c r="BO126" s="890"/>
      <c r="BP126" s="890"/>
      <c r="BQ126" s="890"/>
      <c r="BR126" s="890"/>
      <c r="BS126" s="890"/>
      <c r="BT126" s="890"/>
      <c r="BU126" s="890"/>
      <c r="BV126" s="890"/>
      <c r="BW126" s="890"/>
    </row>
    <row r="127" spans="1:75">
      <c r="A127" s="709"/>
      <c r="B127" s="709"/>
      <c r="C127" s="709"/>
      <c r="D127" s="709"/>
      <c r="E127" s="709"/>
      <c r="F127" s="709"/>
      <c r="G127" s="709"/>
      <c r="H127" s="709"/>
      <c r="I127" s="709"/>
      <c r="J127" s="709"/>
      <c r="K127" s="709"/>
      <c r="L127" s="709"/>
      <c r="M127" s="709"/>
      <c r="N127" s="709"/>
      <c r="O127" s="709"/>
      <c r="P127" s="709"/>
      <c r="Q127" s="709"/>
      <c r="R127" s="709"/>
      <c r="S127" s="709"/>
      <c r="T127" s="709"/>
      <c r="U127" s="709"/>
      <c r="V127" s="709"/>
      <c r="W127" s="887">
        <v>30</v>
      </c>
      <c r="AF127" s="887">
        <v>33</v>
      </c>
      <c r="AQ127" s="889" t="str">
        <f t="shared" si="2"/>
        <v/>
      </c>
      <c r="BB127" s="3"/>
      <c r="BC127" s="3"/>
      <c r="BD127" s="3"/>
      <c r="BE127" s="3"/>
      <c r="BF127" s="3"/>
      <c r="BG127" s="890"/>
      <c r="BH127" s="890"/>
      <c r="BI127" s="890"/>
      <c r="BJ127" s="890"/>
      <c r="BK127" s="890"/>
      <c r="BL127" s="890"/>
      <c r="BM127" s="890"/>
      <c r="BN127" s="890"/>
      <c r="BO127" s="890"/>
      <c r="BP127" s="890"/>
      <c r="BQ127" s="890"/>
      <c r="BR127" s="890"/>
      <c r="BS127" s="890"/>
      <c r="BT127" s="890"/>
      <c r="BU127" s="890"/>
      <c r="BV127" s="890"/>
      <c r="BW127" s="890"/>
    </row>
    <row r="128" spans="1:75">
      <c r="A128" s="709"/>
      <c r="B128" s="709"/>
      <c r="C128" s="709"/>
      <c r="D128" s="709"/>
      <c r="E128" s="709"/>
      <c r="F128" s="709"/>
      <c r="G128" s="709"/>
      <c r="H128" s="709"/>
      <c r="I128" s="709"/>
      <c r="J128" s="709"/>
      <c r="K128" s="709"/>
      <c r="L128" s="709"/>
      <c r="M128" s="709"/>
      <c r="N128" s="709"/>
      <c r="O128" s="709"/>
      <c r="P128" s="709"/>
      <c r="Q128" s="709"/>
      <c r="R128" s="709"/>
      <c r="S128" s="709"/>
      <c r="T128" s="709"/>
      <c r="U128" s="709"/>
      <c r="V128" s="709"/>
      <c r="W128" s="887">
        <v>31</v>
      </c>
      <c r="AF128" s="887">
        <v>34</v>
      </c>
      <c r="AQ128" s="889" t="str">
        <f t="shared" si="2"/>
        <v/>
      </c>
      <c r="BB128" s="3"/>
      <c r="BC128" s="3"/>
      <c r="BD128" s="3"/>
      <c r="BE128" s="3"/>
      <c r="BF128" s="3"/>
      <c r="BG128" s="890"/>
      <c r="BH128" s="890"/>
      <c r="BI128" s="890"/>
      <c r="BJ128" s="890"/>
      <c r="BK128" s="890"/>
      <c r="BL128" s="890"/>
      <c r="BM128" s="890"/>
      <c r="BN128" s="890"/>
      <c r="BO128" s="890"/>
      <c r="BP128" s="890"/>
      <c r="BQ128" s="890"/>
      <c r="BR128" s="890"/>
      <c r="BS128" s="890"/>
      <c r="BT128" s="890"/>
      <c r="BU128" s="890"/>
      <c r="BV128" s="890"/>
      <c r="BW128" s="890"/>
    </row>
    <row r="129" spans="1:75">
      <c r="A129" s="709"/>
      <c r="B129" s="709"/>
      <c r="C129" s="709"/>
      <c r="D129" s="709"/>
      <c r="E129" s="709"/>
      <c r="F129" s="709"/>
      <c r="G129" s="709"/>
      <c r="H129" s="709"/>
      <c r="I129" s="709"/>
      <c r="J129" s="709"/>
      <c r="K129" s="709"/>
      <c r="L129" s="709"/>
      <c r="M129" s="709"/>
      <c r="N129" s="709"/>
      <c r="O129" s="709"/>
      <c r="P129" s="709"/>
      <c r="Q129" s="709"/>
      <c r="R129" s="709"/>
      <c r="S129" s="709"/>
      <c r="T129" s="709"/>
      <c r="U129" s="709"/>
      <c r="V129" s="709"/>
      <c r="W129" s="887"/>
      <c r="AF129" s="887">
        <v>35</v>
      </c>
      <c r="AQ129" s="889" t="str">
        <f t="shared" si="2"/>
        <v/>
      </c>
      <c r="BB129" s="3"/>
      <c r="BC129" s="3"/>
      <c r="BD129" s="3"/>
      <c r="BE129" s="3"/>
      <c r="BF129" s="3"/>
      <c r="BG129" s="890"/>
      <c r="BH129" s="890"/>
      <c r="BI129" s="890"/>
      <c r="BJ129" s="890"/>
      <c r="BK129" s="890"/>
      <c r="BL129" s="890"/>
      <c r="BM129" s="890"/>
      <c r="BN129" s="890"/>
      <c r="BO129" s="890"/>
      <c r="BP129" s="890"/>
      <c r="BQ129" s="890"/>
      <c r="BR129" s="890"/>
      <c r="BS129" s="890"/>
      <c r="BT129" s="890"/>
      <c r="BU129" s="890"/>
      <c r="BV129" s="890"/>
      <c r="BW129" s="890"/>
    </row>
    <row r="130" spans="1:75">
      <c r="A130" s="709"/>
      <c r="B130" s="709"/>
      <c r="C130" s="709"/>
      <c r="D130" s="709"/>
      <c r="E130" s="709"/>
      <c r="F130" s="709"/>
      <c r="G130" s="709"/>
      <c r="H130" s="709"/>
      <c r="I130" s="709"/>
      <c r="J130" s="709"/>
      <c r="K130" s="709"/>
      <c r="L130" s="709"/>
      <c r="M130" s="709"/>
      <c r="N130" s="709"/>
      <c r="O130" s="709"/>
      <c r="P130" s="709"/>
      <c r="Q130" s="709"/>
      <c r="R130" s="709"/>
      <c r="S130" s="709"/>
      <c r="T130" s="709"/>
      <c r="U130" s="709"/>
      <c r="V130" s="709"/>
      <c r="W130" s="887"/>
      <c r="AQ130" s="889"/>
      <c r="BB130" s="3"/>
      <c r="BC130" s="3"/>
      <c r="BD130" s="3"/>
      <c r="BE130" s="3"/>
      <c r="BF130" s="3"/>
      <c r="BG130" s="890"/>
      <c r="BH130" s="890"/>
      <c r="BI130" s="890"/>
      <c r="BJ130" s="890"/>
      <c r="BK130" s="890"/>
      <c r="BL130" s="890"/>
      <c r="BM130" s="890"/>
      <c r="BN130" s="890"/>
      <c r="BO130" s="890"/>
      <c r="BP130" s="890"/>
      <c r="BQ130" s="890"/>
      <c r="BR130" s="890"/>
      <c r="BS130" s="890"/>
      <c r="BT130" s="890"/>
      <c r="BU130" s="890"/>
      <c r="BV130" s="890"/>
      <c r="BW130" s="890"/>
    </row>
    <row r="131" spans="1:75">
      <c r="A131" s="709"/>
      <c r="B131" s="709"/>
      <c r="C131" s="709"/>
      <c r="D131" s="709"/>
      <c r="E131" s="709"/>
      <c r="F131" s="709"/>
      <c r="G131" s="709"/>
      <c r="H131" s="709"/>
      <c r="I131" s="709"/>
      <c r="J131" s="709"/>
      <c r="K131" s="709"/>
      <c r="L131" s="709"/>
      <c r="M131" s="709"/>
      <c r="N131" s="709"/>
      <c r="O131" s="709"/>
      <c r="P131" s="709"/>
      <c r="Q131" s="709"/>
      <c r="R131" s="709"/>
      <c r="S131" s="709"/>
      <c r="T131" s="709"/>
      <c r="U131" s="709"/>
      <c r="V131" s="709"/>
      <c r="W131" s="887"/>
      <c r="AQ131" s="889"/>
      <c r="BB131" s="3"/>
      <c r="BC131" s="3"/>
      <c r="BD131" s="3"/>
      <c r="BE131" s="3"/>
      <c r="BF131" s="3"/>
      <c r="BG131" s="890"/>
      <c r="BH131" s="890"/>
      <c r="BI131" s="890"/>
      <c r="BJ131" s="890"/>
      <c r="BK131" s="890"/>
      <c r="BL131" s="890"/>
      <c r="BM131" s="890"/>
      <c r="BN131" s="890"/>
      <c r="BO131" s="890"/>
      <c r="BP131" s="890"/>
      <c r="BQ131" s="890"/>
      <c r="BR131" s="890"/>
      <c r="BS131" s="890"/>
      <c r="BT131" s="890"/>
      <c r="BU131" s="890"/>
      <c r="BV131" s="890"/>
      <c r="BW131" s="890"/>
    </row>
    <row r="132" spans="1:75">
      <c r="A132" s="709"/>
      <c r="B132" s="709"/>
      <c r="C132" s="709"/>
      <c r="D132" s="709"/>
      <c r="E132" s="709"/>
      <c r="F132" s="709"/>
      <c r="G132" s="709"/>
      <c r="H132" s="709"/>
      <c r="I132" s="709"/>
      <c r="J132" s="709"/>
      <c r="K132" s="709"/>
      <c r="L132" s="709"/>
      <c r="M132" s="709"/>
      <c r="N132" s="709"/>
      <c r="O132" s="709"/>
      <c r="P132" s="709"/>
      <c r="Q132" s="709"/>
      <c r="R132" s="709"/>
      <c r="S132" s="709"/>
      <c r="T132" s="709"/>
      <c r="U132" s="709"/>
      <c r="V132" s="709"/>
      <c r="W132" s="887"/>
      <c r="BB132" s="3"/>
      <c r="BC132" s="3"/>
      <c r="BD132" s="3"/>
      <c r="BE132" s="3"/>
      <c r="BF132" s="3"/>
      <c r="BG132" s="890"/>
      <c r="BH132" s="890"/>
      <c r="BI132" s="890"/>
      <c r="BJ132" s="890"/>
      <c r="BK132" s="890"/>
      <c r="BL132" s="890"/>
      <c r="BM132" s="890"/>
      <c r="BN132" s="890"/>
      <c r="BO132" s="890"/>
      <c r="BP132" s="890"/>
      <c r="BQ132" s="890"/>
      <c r="BR132" s="890"/>
      <c r="BS132" s="890"/>
      <c r="BT132" s="890"/>
      <c r="BU132" s="890"/>
      <c r="BV132" s="890"/>
      <c r="BW132" s="890"/>
    </row>
    <row r="133" spans="1:75">
      <c r="A133" s="709"/>
      <c r="B133" s="709"/>
      <c r="C133" s="709"/>
      <c r="D133" s="709"/>
      <c r="E133" s="709"/>
      <c r="F133" s="709"/>
      <c r="G133" s="709"/>
      <c r="H133" s="709"/>
      <c r="I133" s="709"/>
      <c r="J133" s="709"/>
      <c r="K133" s="709"/>
      <c r="L133" s="709"/>
      <c r="M133" s="709"/>
      <c r="N133" s="709"/>
      <c r="O133" s="709"/>
      <c r="P133" s="709"/>
      <c r="Q133" s="709"/>
      <c r="R133" s="709"/>
      <c r="S133" s="709"/>
      <c r="T133" s="709"/>
      <c r="U133" s="709"/>
      <c r="V133" s="709"/>
      <c r="W133" s="887"/>
      <c r="BB133" s="3"/>
      <c r="BC133" s="3"/>
      <c r="BD133" s="3"/>
      <c r="BE133" s="3"/>
      <c r="BF133" s="3"/>
      <c r="BG133" s="890"/>
      <c r="BH133" s="890"/>
      <c r="BI133" s="890"/>
      <c r="BJ133" s="890"/>
      <c r="BK133" s="890"/>
      <c r="BL133" s="890"/>
      <c r="BM133" s="890"/>
      <c r="BN133" s="890"/>
      <c r="BO133" s="890"/>
      <c r="BP133" s="890"/>
      <c r="BQ133" s="890"/>
      <c r="BR133" s="890"/>
      <c r="BS133" s="890"/>
      <c r="BT133" s="890"/>
      <c r="BU133" s="890"/>
      <c r="BV133" s="890"/>
      <c r="BW133" s="890"/>
    </row>
    <row r="134" spans="1:75">
      <c r="A134" s="709"/>
      <c r="B134" s="709"/>
      <c r="C134" s="709"/>
      <c r="D134" s="709"/>
      <c r="E134" s="709"/>
      <c r="F134" s="709"/>
      <c r="G134" s="709"/>
      <c r="H134" s="709"/>
      <c r="I134" s="709"/>
      <c r="J134" s="709"/>
      <c r="K134" s="709"/>
      <c r="L134" s="709"/>
      <c r="M134" s="709"/>
      <c r="N134" s="709"/>
      <c r="O134" s="709"/>
      <c r="P134" s="709"/>
      <c r="Q134" s="709"/>
      <c r="R134" s="709"/>
      <c r="S134" s="709"/>
      <c r="T134" s="709"/>
      <c r="U134" s="709"/>
      <c r="V134" s="709"/>
      <c r="W134" s="887"/>
      <c r="BB134" s="3"/>
      <c r="BC134" s="3"/>
      <c r="BD134" s="3"/>
      <c r="BE134" s="3"/>
      <c r="BF134" s="3"/>
      <c r="BG134" s="890"/>
      <c r="BH134" s="890"/>
      <c r="BI134" s="890"/>
      <c r="BJ134" s="890"/>
      <c r="BK134" s="890"/>
      <c r="BL134" s="890"/>
      <c r="BM134" s="890"/>
      <c r="BN134" s="890"/>
      <c r="BO134" s="890"/>
      <c r="BP134" s="890"/>
      <c r="BQ134" s="890"/>
      <c r="BR134" s="890"/>
      <c r="BS134" s="890"/>
      <c r="BT134" s="890"/>
      <c r="BU134" s="890"/>
      <c r="BV134" s="890"/>
      <c r="BW134" s="890"/>
    </row>
    <row r="135" spans="1:75">
      <c r="A135" s="709"/>
      <c r="B135" s="709"/>
      <c r="C135" s="709"/>
      <c r="D135" s="709"/>
      <c r="E135" s="709"/>
      <c r="F135" s="709"/>
      <c r="G135" s="709"/>
      <c r="H135" s="709"/>
      <c r="I135" s="709"/>
      <c r="J135" s="709"/>
      <c r="K135" s="709"/>
      <c r="L135" s="709"/>
      <c r="M135" s="709"/>
      <c r="N135" s="709"/>
      <c r="O135" s="709"/>
      <c r="P135" s="709"/>
      <c r="Q135" s="709"/>
      <c r="R135" s="709"/>
      <c r="S135" s="709"/>
      <c r="T135" s="709"/>
      <c r="U135" s="709"/>
      <c r="V135" s="709"/>
      <c r="W135" s="887"/>
      <c r="BB135" s="3"/>
      <c r="BC135" s="3"/>
      <c r="BD135" s="3"/>
      <c r="BE135" s="3"/>
      <c r="BF135" s="3"/>
      <c r="BG135" s="890"/>
      <c r="BH135" s="890"/>
      <c r="BI135" s="890"/>
      <c r="BJ135" s="890"/>
      <c r="BK135" s="890"/>
      <c r="BL135" s="890"/>
      <c r="BM135" s="890"/>
      <c r="BN135" s="890"/>
      <c r="BO135" s="890"/>
      <c r="BP135" s="890"/>
      <c r="BQ135" s="890"/>
      <c r="BR135" s="890"/>
      <c r="BS135" s="890"/>
      <c r="BT135" s="890"/>
      <c r="BU135" s="890"/>
      <c r="BV135" s="890"/>
      <c r="BW135" s="890"/>
    </row>
    <row r="136" spans="1:75">
      <c r="A136" s="709"/>
      <c r="B136" s="709"/>
      <c r="C136" s="709"/>
      <c r="D136" s="709"/>
      <c r="E136" s="709"/>
      <c r="F136" s="709"/>
      <c r="G136" s="709"/>
      <c r="H136" s="709"/>
      <c r="I136" s="709"/>
      <c r="J136" s="709"/>
      <c r="K136" s="709"/>
      <c r="L136" s="709"/>
      <c r="M136" s="709"/>
      <c r="N136" s="709"/>
      <c r="O136" s="709"/>
      <c r="P136" s="709"/>
      <c r="Q136" s="709"/>
      <c r="R136" s="709"/>
      <c r="S136" s="709"/>
      <c r="T136" s="709"/>
      <c r="U136" s="709"/>
      <c r="V136" s="709"/>
      <c r="W136" s="887"/>
      <c r="BB136" s="3"/>
      <c r="BC136" s="3"/>
      <c r="BD136" s="3"/>
      <c r="BE136" s="3"/>
      <c r="BF136" s="3"/>
      <c r="BG136" s="890"/>
      <c r="BH136" s="890"/>
      <c r="BI136" s="890"/>
      <c r="BJ136" s="890"/>
      <c r="BK136" s="890"/>
      <c r="BL136" s="890"/>
      <c r="BM136" s="890"/>
      <c r="BN136" s="890"/>
      <c r="BO136" s="890"/>
      <c r="BP136" s="890"/>
      <c r="BQ136" s="890"/>
      <c r="BR136" s="890"/>
      <c r="BS136" s="890"/>
      <c r="BT136" s="890"/>
      <c r="BU136" s="890"/>
      <c r="BV136" s="890"/>
      <c r="BW136" s="890"/>
    </row>
    <row r="137" spans="1:75">
      <c r="A137" s="709"/>
      <c r="B137" s="709"/>
      <c r="C137" s="709"/>
      <c r="D137" s="709"/>
      <c r="E137" s="709"/>
      <c r="F137" s="709"/>
      <c r="G137" s="709"/>
      <c r="H137" s="709"/>
      <c r="I137" s="709"/>
      <c r="J137" s="709"/>
      <c r="K137" s="709"/>
      <c r="L137" s="709"/>
      <c r="M137" s="709"/>
      <c r="N137" s="709"/>
      <c r="O137" s="709"/>
      <c r="P137" s="709"/>
      <c r="Q137" s="709"/>
      <c r="R137" s="709"/>
      <c r="S137" s="709"/>
      <c r="T137" s="709"/>
      <c r="U137" s="709"/>
      <c r="V137" s="709"/>
      <c r="W137" s="887"/>
      <c r="BB137" s="3"/>
      <c r="BC137" s="3"/>
      <c r="BD137" s="3"/>
      <c r="BE137" s="3"/>
      <c r="BF137" s="3"/>
      <c r="BG137" s="890"/>
      <c r="BH137" s="890"/>
      <c r="BI137" s="890"/>
      <c r="BJ137" s="890"/>
      <c r="BK137" s="890"/>
      <c r="BL137" s="890"/>
      <c r="BM137" s="890"/>
      <c r="BN137" s="890"/>
      <c r="BO137" s="890"/>
      <c r="BP137" s="890"/>
      <c r="BQ137" s="890"/>
      <c r="BR137" s="890"/>
      <c r="BS137" s="890"/>
      <c r="BT137" s="890"/>
      <c r="BU137" s="890"/>
      <c r="BV137" s="890"/>
      <c r="BW137" s="890"/>
    </row>
    <row r="138" spans="1:75">
      <c r="A138" s="709"/>
      <c r="B138" s="709"/>
      <c r="C138" s="709"/>
      <c r="D138" s="709"/>
      <c r="E138" s="709"/>
      <c r="F138" s="709"/>
      <c r="G138" s="709"/>
      <c r="H138" s="709"/>
      <c r="I138" s="709"/>
      <c r="J138" s="709"/>
      <c r="K138" s="709"/>
      <c r="L138" s="709"/>
      <c r="M138" s="709"/>
      <c r="N138" s="709"/>
      <c r="O138" s="709"/>
      <c r="P138" s="709"/>
      <c r="Q138" s="709"/>
      <c r="R138" s="709"/>
      <c r="S138" s="709"/>
      <c r="T138" s="709"/>
      <c r="U138" s="709"/>
      <c r="V138" s="709"/>
      <c r="W138" s="887"/>
      <c r="BB138" s="3"/>
      <c r="BC138" s="3"/>
      <c r="BD138" s="3"/>
      <c r="BE138" s="3"/>
      <c r="BF138" s="3"/>
      <c r="BG138" s="890"/>
      <c r="BH138" s="890"/>
      <c r="BI138" s="890"/>
      <c r="BJ138" s="890"/>
      <c r="BK138" s="890"/>
      <c r="BL138" s="890"/>
      <c r="BM138" s="890"/>
      <c r="BN138" s="890"/>
      <c r="BO138" s="890"/>
      <c r="BP138" s="890"/>
      <c r="BQ138" s="890"/>
      <c r="BR138" s="890"/>
      <c r="BS138" s="890"/>
      <c r="BT138" s="890"/>
      <c r="BU138" s="890"/>
      <c r="BV138" s="890"/>
      <c r="BW138" s="890"/>
    </row>
    <row r="139" spans="1:75">
      <c r="A139" s="709"/>
      <c r="B139" s="709"/>
      <c r="C139" s="709"/>
      <c r="D139" s="709"/>
      <c r="E139" s="709"/>
      <c r="F139" s="709"/>
      <c r="G139" s="709"/>
      <c r="H139" s="709"/>
      <c r="I139" s="709"/>
      <c r="J139" s="709"/>
      <c r="K139" s="709"/>
      <c r="L139" s="709"/>
      <c r="M139" s="709"/>
      <c r="N139" s="709"/>
      <c r="O139" s="709"/>
      <c r="P139" s="709"/>
      <c r="Q139" s="709"/>
      <c r="R139" s="709"/>
      <c r="S139" s="709"/>
      <c r="T139" s="709"/>
      <c r="U139" s="709"/>
      <c r="V139" s="709"/>
      <c r="W139" s="887"/>
      <c r="BB139" s="3"/>
      <c r="BC139" s="3"/>
      <c r="BD139" s="3"/>
      <c r="BE139" s="3"/>
      <c r="BF139" s="3"/>
      <c r="BG139" s="890"/>
      <c r="BH139" s="890"/>
      <c r="BI139" s="890"/>
      <c r="BJ139" s="890"/>
      <c r="BK139" s="890"/>
      <c r="BL139" s="890"/>
      <c r="BM139" s="890"/>
      <c r="BN139" s="890"/>
      <c r="BO139" s="890"/>
      <c r="BP139" s="890"/>
      <c r="BQ139" s="890"/>
      <c r="BR139" s="890"/>
      <c r="BS139" s="890"/>
      <c r="BT139" s="890"/>
      <c r="BU139" s="890"/>
      <c r="BV139" s="890"/>
      <c r="BW139" s="890"/>
    </row>
    <row r="140" spans="1:75">
      <c r="A140" s="709"/>
      <c r="B140" s="709"/>
      <c r="C140" s="709"/>
      <c r="D140" s="709"/>
      <c r="E140" s="709"/>
      <c r="F140" s="709"/>
      <c r="G140" s="709"/>
      <c r="H140" s="709"/>
      <c r="I140" s="709"/>
      <c r="J140" s="709"/>
      <c r="K140" s="709"/>
      <c r="L140" s="709"/>
      <c r="M140" s="709"/>
      <c r="N140" s="709"/>
      <c r="O140" s="709"/>
      <c r="P140" s="709"/>
      <c r="Q140" s="709"/>
      <c r="R140" s="709"/>
      <c r="S140" s="709"/>
      <c r="T140" s="709"/>
      <c r="U140" s="709"/>
      <c r="V140" s="709"/>
      <c r="W140" s="887"/>
      <c r="BB140" s="3"/>
      <c r="BC140" s="3"/>
      <c r="BD140" s="3"/>
      <c r="BE140" s="3"/>
      <c r="BF140" s="3"/>
      <c r="BG140" s="890"/>
      <c r="BH140" s="890"/>
      <c r="BI140" s="890"/>
      <c r="BJ140" s="890"/>
      <c r="BK140" s="890"/>
      <c r="BL140" s="890"/>
      <c r="BM140" s="890"/>
      <c r="BN140" s="890"/>
      <c r="BO140" s="890"/>
      <c r="BP140" s="890"/>
      <c r="BQ140" s="890"/>
      <c r="BR140" s="890"/>
      <c r="BS140" s="890"/>
      <c r="BT140" s="890"/>
      <c r="BU140" s="890"/>
      <c r="BV140" s="890"/>
      <c r="BW140" s="890"/>
    </row>
    <row r="141" spans="1:75">
      <c r="A141" s="709"/>
      <c r="B141" s="709"/>
      <c r="C141" s="709"/>
      <c r="D141" s="709"/>
      <c r="E141" s="709"/>
      <c r="F141" s="709"/>
      <c r="G141" s="709"/>
      <c r="H141" s="709"/>
      <c r="I141" s="709"/>
      <c r="J141" s="709"/>
      <c r="K141" s="709"/>
      <c r="L141" s="709"/>
      <c r="M141" s="709"/>
      <c r="N141" s="709"/>
      <c r="O141" s="709"/>
      <c r="P141" s="709"/>
      <c r="Q141" s="709"/>
      <c r="R141" s="709"/>
      <c r="S141" s="709"/>
      <c r="T141" s="709"/>
      <c r="U141" s="709"/>
      <c r="V141" s="709"/>
      <c r="W141" s="887"/>
      <c r="BB141" s="3"/>
      <c r="BC141" s="3"/>
      <c r="BD141" s="3"/>
      <c r="BE141" s="3"/>
      <c r="BF141" s="3"/>
      <c r="BG141" s="890"/>
      <c r="BH141" s="890"/>
      <c r="BI141" s="890"/>
      <c r="BJ141" s="890"/>
      <c r="BK141" s="890"/>
      <c r="BL141" s="890"/>
      <c r="BM141" s="890"/>
      <c r="BN141" s="890"/>
      <c r="BO141" s="890"/>
      <c r="BP141" s="890"/>
      <c r="BQ141" s="890"/>
      <c r="BR141" s="890"/>
      <c r="BS141" s="890"/>
      <c r="BT141" s="890"/>
      <c r="BU141" s="890"/>
      <c r="BV141" s="890"/>
      <c r="BW141" s="890"/>
    </row>
    <row r="142" spans="1:75">
      <c r="A142" s="709"/>
      <c r="B142" s="709"/>
      <c r="C142" s="709"/>
      <c r="D142" s="709"/>
      <c r="E142" s="709"/>
      <c r="F142" s="709"/>
      <c r="G142" s="709"/>
      <c r="H142" s="709"/>
      <c r="I142" s="709"/>
      <c r="J142" s="709"/>
      <c r="K142" s="709"/>
      <c r="L142" s="709"/>
      <c r="M142" s="709"/>
      <c r="N142" s="709"/>
      <c r="O142" s="709"/>
      <c r="P142" s="709"/>
      <c r="Q142" s="709"/>
      <c r="R142" s="709"/>
      <c r="S142" s="709"/>
      <c r="T142" s="709"/>
      <c r="U142" s="709"/>
      <c r="V142" s="709"/>
      <c r="W142" s="887"/>
      <c r="BB142" s="3"/>
      <c r="BC142" s="3"/>
      <c r="BD142" s="3"/>
      <c r="BE142" s="3"/>
      <c r="BF142" s="3"/>
      <c r="BG142" s="890"/>
      <c r="BH142" s="890"/>
      <c r="BI142" s="890"/>
      <c r="BJ142" s="890"/>
      <c r="BK142" s="890"/>
      <c r="BL142" s="890"/>
      <c r="BM142" s="890"/>
      <c r="BN142" s="890"/>
      <c r="BO142" s="890"/>
      <c r="BP142" s="890"/>
      <c r="BQ142" s="890"/>
      <c r="BR142" s="890"/>
      <c r="BS142" s="890"/>
      <c r="BT142" s="890"/>
      <c r="BU142" s="890"/>
      <c r="BV142" s="890"/>
      <c r="BW142" s="890"/>
    </row>
    <row r="143" spans="1:75">
      <c r="A143" s="709"/>
      <c r="B143" s="709"/>
      <c r="C143" s="709"/>
      <c r="D143" s="709"/>
      <c r="E143" s="709"/>
      <c r="F143" s="709"/>
      <c r="G143" s="709"/>
      <c r="H143" s="709"/>
      <c r="I143" s="709"/>
      <c r="J143" s="709"/>
      <c r="K143" s="709"/>
      <c r="L143" s="709"/>
      <c r="M143" s="709"/>
      <c r="N143" s="709"/>
      <c r="O143" s="709"/>
      <c r="P143" s="709"/>
      <c r="Q143" s="709"/>
      <c r="R143" s="709"/>
      <c r="S143" s="709"/>
      <c r="T143" s="709"/>
      <c r="U143" s="709"/>
      <c r="V143" s="709"/>
      <c r="W143" s="887"/>
      <c r="BB143" s="3"/>
      <c r="BC143" s="3"/>
      <c r="BD143" s="3"/>
      <c r="BE143" s="3"/>
      <c r="BF143" s="3"/>
      <c r="BG143" s="890"/>
      <c r="BH143" s="890"/>
      <c r="BI143" s="890"/>
      <c r="BJ143" s="890"/>
      <c r="BK143" s="890"/>
      <c r="BL143" s="890"/>
      <c r="BM143" s="890"/>
      <c r="BN143" s="890"/>
      <c r="BO143" s="890"/>
      <c r="BP143" s="890"/>
      <c r="BQ143" s="890"/>
      <c r="BR143" s="890"/>
      <c r="BS143" s="890"/>
      <c r="BT143" s="890"/>
      <c r="BU143" s="890"/>
      <c r="BV143" s="890"/>
      <c r="BW143" s="890"/>
    </row>
    <row r="144" spans="1:75">
      <c r="A144" s="709"/>
      <c r="B144" s="709"/>
      <c r="C144" s="709"/>
      <c r="D144" s="709"/>
      <c r="E144" s="709"/>
      <c r="F144" s="709"/>
      <c r="G144" s="709"/>
      <c r="H144" s="709"/>
      <c r="I144" s="709"/>
      <c r="J144" s="709"/>
      <c r="K144" s="709"/>
      <c r="L144" s="709"/>
      <c r="M144" s="709"/>
      <c r="N144" s="709"/>
      <c r="O144" s="709"/>
      <c r="P144" s="709"/>
      <c r="Q144" s="709"/>
      <c r="R144" s="709"/>
      <c r="S144" s="709"/>
      <c r="T144" s="709"/>
      <c r="U144" s="709"/>
      <c r="V144" s="709"/>
      <c r="W144" s="887"/>
      <c r="BB144" s="3"/>
      <c r="BC144" s="3"/>
      <c r="BD144" s="3"/>
      <c r="BE144" s="3"/>
      <c r="BF144" s="3"/>
      <c r="BG144" s="890"/>
      <c r="BH144" s="890"/>
      <c r="BI144" s="890"/>
      <c r="BJ144" s="890"/>
      <c r="BK144" s="890"/>
      <c r="BL144" s="890"/>
      <c r="BM144" s="890"/>
      <c r="BN144" s="890"/>
      <c r="BO144" s="890"/>
      <c r="BP144" s="890"/>
      <c r="BQ144" s="890"/>
      <c r="BR144" s="890"/>
      <c r="BS144" s="890"/>
      <c r="BT144" s="890"/>
      <c r="BU144" s="890"/>
      <c r="BV144" s="890"/>
      <c r="BW144" s="890"/>
    </row>
    <row r="145" spans="1:75">
      <c r="A145" s="709"/>
      <c r="B145" s="709"/>
      <c r="C145" s="709"/>
      <c r="D145" s="709"/>
      <c r="E145" s="709"/>
      <c r="F145" s="709"/>
      <c r="G145" s="709"/>
      <c r="H145" s="709"/>
      <c r="I145" s="709"/>
      <c r="J145" s="709"/>
      <c r="K145" s="709"/>
      <c r="L145" s="709"/>
      <c r="M145" s="709"/>
      <c r="N145" s="709"/>
      <c r="O145" s="709"/>
      <c r="P145" s="709"/>
      <c r="Q145" s="709"/>
      <c r="R145" s="709"/>
      <c r="S145" s="709"/>
      <c r="T145" s="709"/>
      <c r="U145" s="709"/>
      <c r="V145" s="709"/>
      <c r="W145" s="887"/>
      <c r="BB145" s="3"/>
      <c r="BC145" s="3"/>
      <c r="BD145" s="3"/>
      <c r="BE145" s="3"/>
      <c r="BF145" s="3"/>
      <c r="BG145" s="890"/>
      <c r="BH145" s="890"/>
      <c r="BI145" s="890"/>
      <c r="BJ145" s="890"/>
      <c r="BK145" s="890"/>
      <c r="BL145" s="890"/>
      <c r="BM145" s="890"/>
      <c r="BN145" s="890"/>
      <c r="BO145" s="890"/>
      <c r="BP145" s="890"/>
      <c r="BQ145" s="890"/>
      <c r="BR145" s="890"/>
      <c r="BS145" s="890"/>
      <c r="BT145" s="890"/>
      <c r="BU145" s="890"/>
      <c r="BV145" s="890"/>
      <c r="BW145" s="890"/>
    </row>
    <row r="146" spans="1:75">
      <c r="A146" s="709"/>
      <c r="B146" s="709"/>
      <c r="C146" s="709"/>
      <c r="D146" s="709"/>
      <c r="E146" s="709"/>
      <c r="F146" s="709"/>
      <c r="G146" s="709"/>
      <c r="H146" s="709"/>
      <c r="I146" s="709"/>
      <c r="J146" s="709"/>
      <c r="K146" s="709"/>
      <c r="L146" s="709"/>
      <c r="M146" s="709"/>
      <c r="N146" s="709"/>
      <c r="O146" s="709"/>
      <c r="P146" s="709"/>
      <c r="Q146" s="709"/>
      <c r="R146" s="709"/>
      <c r="S146" s="709"/>
      <c r="T146" s="709"/>
      <c r="U146" s="709"/>
      <c r="V146" s="709"/>
      <c r="W146" s="887"/>
      <c r="BB146" s="3"/>
      <c r="BC146" s="3"/>
      <c r="BD146" s="3"/>
      <c r="BE146" s="3"/>
      <c r="BF146" s="3"/>
      <c r="BG146" s="890"/>
      <c r="BH146" s="890"/>
      <c r="BI146" s="890"/>
      <c r="BJ146" s="890"/>
      <c r="BK146" s="890"/>
      <c r="BL146" s="890"/>
      <c r="BM146" s="890"/>
      <c r="BN146" s="890"/>
      <c r="BO146" s="890"/>
      <c r="BP146" s="890"/>
      <c r="BQ146" s="890"/>
      <c r="BR146" s="890"/>
      <c r="BS146" s="890"/>
      <c r="BT146" s="890"/>
      <c r="BU146" s="890"/>
      <c r="BV146" s="890"/>
      <c r="BW146" s="890"/>
    </row>
    <row r="147" spans="1:75">
      <c r="A147" s="709"/>
      <c r="B147" s="709"/>
      <c r="C147" s="709"/>
      <c r="D147" s="709"/>
      <c r="E147" s="709"/>
      <c r="F147" s="709"/>
      <c r="G147" s="709"/>
      <c r="H147" s="709"/>
      <c r="I147" s="709"/>
      <c r="J147" s="709"/>
      <c r="K147" s="709"/>
      <c r="L147" s="709"/>
      <c r="M147" s="709"/>
      <c r="N147" s="709"/>
      <c r="O147" s="709"/>
      <c r="P147" s="709"/>
      <c r="Q147" s="709"/>
      <c r="R147" s="709"/>
      <c r="S147" s="709"/>
      <c r="T147" s="709"/>
      <c r="U147" s="709"/>
      <c r="V147" s="709"/>
      <c r="W147" s="887"/>
      <c r="BB147" s="3"/>
      <c r="BC147" s="3"/>
      <c r="BD147" s="3"/>
      <c r="BE147" s="3"/>
      <c r="BF147" s="3"/>
      <c r="BG147" s="890"/>
      <c r="BH147" s="890"/>
      <c r="BI147" s="890"/>
      <c r="BJ147" s="890"/>
      <c r="BK147" s="890"/>
      <c r="BL147" s="890"/>
      <c r="BM147" s="890"/>
      <c r="BN147" s="890"/>
      <c r="BO147" s="890"/>
      <c r="BP147" s="890"/>
      <c r="BQ147" s="890"/>
      <c r="BR147" s="890"/>
      <c r="BS147" s="890"/>
      <c r="BT147" s="890"/>
      <c r="BU147" s="890"/>
      <c r="BV147" s="890"/>
      <c r="BW147" s="890"/>
    </row>
    <row r="148" spans="1:75">
      <c r="A148" s="709"/>
      <c r="B148" s="709"/>
      <c r="C148" s="709"/>
      <c r="D148" s="709"/>
      <c r="E148" s="709"/>
      <c r="F148" s="709"/>
      <c r="G148" s="709"/>
      <c r="H148" s="709"/>
      <c r="I148" s="709"/>
      <c r="J148" s="709"/>
      <c r="K148" s="709"/>
      <c r="L148" s="709"/>
      <c r="M148" s="709"/>
      <c r="N148" s="709"/>
      <c r="O148" s="709"/>
      <c r="P148" s="709"/>
      <c r="Q148" s="709"/>
      <c r="R148" s="709"/>
      <c r="S148" s="709"/>
      <c r="T148" s="709"/>
      <c r="U148" s="709"/>
      <c r="V148" s="709"/>
      <c r="W148" s="887"/>
      <c r="BB148" s="3"/>
      <c r="BC148" s="3"/>
      <c r="BD148" s="3"/>
      <c r="BE148" s="3"/>
      <c r="BF148" s="3"/>
      <c r="BG148" s="890"/>
      <c r="BH148" s="890"/>
      <c r="BI148" s="890"/>
      <c r="BJ148" s="890"/>
      <c r="BK148" s="890"/>
      <c r="BL148" s="890"/>
      <c r="BM148" s="890"/>
      <c r="BN148" s="890"/>
      <c r="BO148" s="890"/>
      <c r="BP148" s="890"/>
      <c r="BQ148" s="890"/>
      <c r="BR148" s="890"/>
      <c r="BS148" s="890"/>
      <c r="BT148" s="890"/>
      <c r="BU148" s="890"/>
      <c r="BV148" s="890"/>
      <c r="BW148" s="890"/>
    </row>
    <row r="149" spans="1:75">
      <c r="A149" s="709"/>
      <c r="B149" s="709"/>
      <c r="C149" s="709"/>
      <c r="D149" s="709"/>
      <c r="E149" s="709"/>
      <c r="F149" s="709"/>
      <c r="G149" s="709"/>
      <c r="H149" s="709"/>
      <c r="I149" s="709"/>
      <c r="J149" s="709"/>
      <c r="K149" s="709"/>
      <c r="L149" s="709"/>
      <c r="M149" s="709"/>
      <c r="N149" s="709"/>
      <c r="O149" s="709"/>
      <c r="P149" s="709"/>
      <c r="Q149" s="709"/>
      <c r="R149" s="709"/>
      <c r="S149" s="709"/>
      <c r="T149" s="709"/>
      <c r="U149" s="709"/>
      <c r="V149" s="709"/>
      <c r="W149" s="887"/>
      <c r="BB149" s="3"/>
      <c r="BC149" s="3"/>
      <c r="BD149" s="3"/>
      <c r="BE149" s="3"/>
      <c r="BF149" s="3"/>
      <c r="BG149" s="890"/>
      <c r="BH149" s="890"/>
      <c r="BI149" s="890"/>
      <c r="BJ149" s="890"/>
      <c r="BK149" s="890"/>
      <c r="BL149" s="890"/>
      <c r="BM149" s="890"/>
      <c r="BN149" s="890"/>
      <c r="BO149" s="890"/>
      <c r="BP149" s="890"/>
      <c r="BQ149" s="890"/>
      <c r="BR149" s="890"/>
      <c r="BS149" s="890"/>
      <c r="BT149" s="890"/>
      <c r="BU149" s="890"/>
      <c r="BV149" s="890"/>
      <c r="BW149" s="890"/>
    </row>
    <row r="150" spans="1:75">
      <c r="A150" s="709"/>
      <c r="B150" s="709"/>
      <c r="C150" s="709"/>
      <c r="D150" s="709"/>
      <c r="E150" s="709"/>
      <c r="F150" s="709"/>
      <c r="G150" s="709"/>
      <c r="H150" s="709"/>
      <c r="I150" s="709"/>
      <c r="J150" s="709"/>
      <c r="K150" s="709"/>
      <c r="L150" s="709"/>
      <c r="M150" s="709"/>
      <c r="N150" s="709"/>
      <c r="O150" s="709"/>
      <c r="P150" s="709"/>
      <c r="Q150" s="709"/>
      <c r="R150" s="709"/>
      <c r="S150" s="709"/>
      <c r="T150" s="709"/>
      <c r="U150" s="709"/>
      <c r="V150" s="709"/>
      <c r="W150" s="887"/>
      <c r="BB150" s="3"/>
      <c r="BC150" s="3"/>
      <c r="BD150" s="3"/>
      <c r="BE150" s="3"/>
      <c r="BF150" s="3"/>
      <c r="BG150" s="890"/>
      <c r="BH150" s="890"/>
      <c r="BI150" s="890"/>
      <c r="BJ150" s="890"/>
      <c r="BK150" s="890"/>
      <c r="BL150" s="890"/>
      <c r="BM150" s="890"/>
      <c r="BN150" s="890"/>
      <c r="BO150" s="890"/>
      <c r="BP150" s="890"/>
      <c r="BQ150" s="890"/>
      <c r="BR150" s="890"/>
      <c r="BS150" s="890"/>
      <c r="BT150" s="890"/>
      <c r="BU150" s="890"/>
      <c r="BV150" s="890"/>
      <c r="BW150" s="890"/>
    </row>
    <row r="151" spans="1:75">
      <c r="A151" s="709"/>
      <c r="B151" s="709"/>
      <c r="C151" s="709"/>
      <c r="D151" s="709"/>
      <c r="E151" s="709"/>
      <c r="F151" s="709"/>
      <c r="G151" s="709"/>
      <c r="H151" s="709"/>
      <c r="I151" s="709"/>
      <c r="J151" s="709"/>
      <c r="K151" s="709"/>
      <c r="L151" s="709"/>
      <c r="M151" s="709"/>
      <c r="N151" s="709"/>
      <c r="O151" s="709"/>
      <c r="P151" s="709"/>
      <c r="Q151" s="709"/>
      <c r="R151" s="709"/>
      <c r="S151" s="709"/>
      <c r="T151" s="709"/>
      <c r="U151" s="709"/>
      <c r="V151" s="709"/>
      <c r="W151" s="887"/>
      <c r="BB151" s="3"/>
      <c r="BC151" s="3"/>
      <c r="BD151" s="3"/>
      <c r="BE151" s="3"/>
      <c r="BF151" s="3"/>
      <c r="BG151" s="890"/>
      <c r="BH151" s="890"/>
      <c r="BI151" s="890"/>
      <c r="BJ151" s="890"/>
      <c r="BK151" s="890"/>
      <c r="BL151" s="890"/>
      <c r="BM151" s="890"/>
      <c r="BN151" s="890"/>
      <c r="BO151" s="890"/>
      <c r="BP151" s="890"/>
      <c r="BQ151" s="890"/>
      <c r="BR151" s="890"/>
      <c r="BS151" s="890"/>
      <c r="BT151" s="890"/>
      <c r="BU151" s="890"/>
      <c r="BV151" s="890"/>
      <c r="BW151" s="890"/>
    </row>
    <row r="152" spans="1:75">
      <c r="A152" s="709"/>
      <c r="B152" s="709"/>
      <c r="C152" s="709"/>
      <c r="D152" s="709"/>
      <c r="E152" s="709"/>
      <c r="F152" s="709"/>
      <c r="G152" s="709"/>
      <c r="H152" s="709"/>
      <c r="I152" s="709"/>
      <c r="J152" s="709"/>
      <c r="K152" s="709"/>
      <c r="L152" s="709"/>
      <c r="M152" s="709"/>
      <c r="N152" s="709"/>
      <c r="O152" s="709"/>
      <c r="P152" s="709"/>
      <c r="Q152" s="709"/>
      <c r="R152" s="709"/>
      <c r="S152" s="709"/>
      <c r="T152" s="709"/>
      <c r="U152" s="709"/>
      <c r="V152" s="709"/>
      <c r="W152" s="887"/>
      <c r="BB152" s="3"/>
      <c r="BC152" s="3"/>
      <c r="BD152" s="3"/>
      <c r="BE152" s="3"/>
      <c r="BF152" s="3"/>
      <c r="BG152" s="890"/>
      <c r="BH152" s="890"/>
      <c r="BI152" s="890"/>
      <c r="BJ152" s="890"/>
      <c r="BK152" s="890"/>
      <c r="BL152" s="890"/>
      <c r="BM152" s="890"/>
      <c r="BN152" s="890"/>
      <c r="BO152" s="890"/>
      <c r="BP152" s="890"/>
      <c r="BQ152" s="890"/>
      <c r="BR152" s="890"/>
      <c r="BS152" s="890"/>
      <c r="BT152" s="890"/>
      <c r="BU152" s="890"/>
      <c r="BV152" s="890"/>
      <c r="BW152" s="890"/>
    </row>
    <row r="153" spans="1:75">
      <c r="A153" s="709"/>
      <c r="B153" s="709"/>
      <c r="C153" s="709"/>
      <c r="D153" s="709"/>
      <c r="E153" s="709"/>
      <c r="F153" s="709"/>
      <c r="G153" s="709"/>
      <c r="H153" s="709"/>
      <c r="I153" s="709"/>
      <c r="J153" s="709"/>
      <c r="K153" s="709"/>
      <c r="L153" s="709"/>
      <c r="M153" s="709"/>
      <c r="N153" s="709"/>
      <c r="O153" s="709"/>
      <c r="P153" s="709"/>
      <c r="Q153" s="709"/>
      <c r="R153" s="709"/>
      <c r="S153" s="709"/>
      <c r="T153" s="709"/>
      <c r="U153" s="709"/>
      <c r="V153" s="709"/>
      <c r="W153" s="887"/>
      <c r="BB153" s="3"/>
      <c r="BC153" s="3"/>
      <c r="BD153" s="3"/>
      <c r="BE153" s="3"/>
      <c r="BF153" s="3"/>
      <c r="BG153" s="890"/>
      <c r="BH153" s="890"/>
      <c r="BI153" s="890"/>
      <c r="BJ153" s="890"/>
      <c r="BK153" s="890"/>
      <c r="BL153" s="890"/>
      <c r="BM153" s="890"/>
      <c r="BN153" s="890"/>
      <c r="BO153" s="890"/>
      <c r="BP153" s="890"/>
      <c r="BQ153" s="890"/>
      <c r="BR153" s="890"/>
      <c r="BS153" s="890"/>
      <c r="BT153" s="890"/>
      <c r="BU153" s="890"/>
      <c r="BV153" s="890"/>
      <c r="BW153" s="890"/>
    </row>
    <row r="154" spans="1:75">
      <c r="A154" s="709"/>
      <c r="B154" s="709"/>
      <c r="C154" s="709"/>
      <c r="D154" s="709"/>
      <c r="E154" s="709"/>
      <c r="F154" s="709"/>
      <c r="G154" s="709"/>
      <c r="H154" s="709"/>
      <c r="I154" s="709"/>
      <c r="J154" s="709"/>
      <c r="K154" s="709"/>
      <c r="L154" s="709"/>
      <c r="M154" s="709"/>
      <c r="N154" s="709"/>
      <c r="O154" s="709"/>
      <c r="P154" s="709"/>
      <c r="Q154" s="709"/>
      <c r="R154" s="709"/>
      <c r="S154" s="709"/>
      <c r="T154" s="709"/>
      <c r="U154" s="709"/>
      <c r="V154" s="709"/>
      <c r="W154" s="887"/>
      <c r="BB154" s="3"/>
      <c r="BC154" s="3"/>
      <c r="BD154" s="3"/>
      <c r="BE154" s="3"/>
      <c r="BF154" s="3"/>
      <c r="BG154" s="890"/>
      <c r="BH154" s="890"/>
      <c r="BI154" s="890"/>
      <c r="BJ154" s="890"/>
      <c r="BK154" s="890"/>
      <c r="BL154" s="890"/>
      <c r="BM154" s="890"/>
      <c r="BN154" s="890"/>
      <c r="BO154" s="890"/>
      <c r="BP154" s="890"/>
      <c r="BQ154" s="890"/>
      <c r="BR154" s="890"/>
      <c r="BS154" s="890"/>
      <c r="BT154" s="890"/>
      <c r="BU154" s="890"/>
      <c r="BV154" s="890"/>
      <c r="BW154" s="890"/>
    </row>
    <row r="155" spans="1:75">
      <c r="A155" s="709"/>
      <c r="B155" s="709"/>
      <c r="C155" s="709"/>
      <c r="D155" s="709"/>
      <c r="E155" s="709"/>
      <c r="F155" s="709"/>
      <c r="G155" s="709"/>
      <c r="H155" s="709"/>
      <c r="I155" s="709"/>
      <c r="J155" s="709"/>
      <c r="K155" s="709"/>
      <c r="L155" s="709"/>
      <c r="M155" s="709"/>
      <c r="N155" s="709"/>
      <c r="O155" s="709"/>
      <c r="P155" s="709"/>
      <c r="Q155" s="709"/>
      <c r="R155" s="709"/>
      <c r="S155" s="709"/>
      <c r="T155" s="709"/>
      <c r="U155" s="709"/>
      <c r="V155" s="709"/>
      <c r="W155" s="887"/>
      <c r="BB155" s="3"/>
      <c r="BC155" s="3"/>
      <c r="BD155" s="3"/>
      <c r="BE155" s="3"/>
      <c r="BF155" s="3"/>
      <c r="BG155" s="890"/>
      <c r="BH155" s="890"/>
      <c r="BI155" s="890"/>
      <c r="BJ155" s="890"/>
      <c r="BK155" s="890"/>
      <c r="BL155" s="890"/>
      <c r="BM155" s="890"/>
      <c r="BN155" s="890"/>
      <c r="BO155" s="890"/>
      <c r="BP155" s="890"/>
      <c r="BQ155" s="890"/>
      <c r="BR155" s="890"/>
      <c r="BS155" s="890"/>
      <c r="BT155" s="890"/>
      <c r="BU155" s="890"/>
      <c r="BV155" s="890"/>
      <c r="BW155" s="890"/>
    </row>
    <row r="156" spans="1:75">
      <c r="A156" s="709"/>
      <c r="B156" s="709"/>
      <c r="C156" s="709"/>
      <c r="D156" s="709"/>
      <c r="E156" s="709"/>
      <c r="F156" s="709"/>
      <c r="G156" s="709"/>
      <c r="H156" s="709"/>
      <c r="I156" s="709"/>
      <c r="J156" s="709"/>
      <c r="K156" s="709"/>
      <c r="L156" s="709"/>
      <c r="M156" s="709"/>
      <c r="N156" s="709"/>
      <c r="O156" s="709"/>
      <c r="P156" s="709"/>
      <c r="Q156" s="709"/>
      <c r="R156" s="709"/>
      <c r="S156" s="709"/>
      <c r="T156" s="709"/>
      <c r="U156" s="709"/>
      <c r="V156" s="709"/>
      <c r="W156" s="887"/>
      <c r="BB156" s="3"/>
      <c r="BC156" s="3"/>
      <c r="BD156" s="3"/>
      <c r="BE156" s="3"/>
      <c r="BF156" s="3"/>
      <c r="BG156" s="890"/>
      <c r="BH156" s="890"/>
      <c r="BI156" s="890"/>
      <c r="BJ156" s="890"/>
      <c r="BK156" s="890"/>
      <c r="BL156" s="890"/>
      <c r="BM156" s="890"/>
      <c r="BN156" s="890"/>
      <c r="BO156" s="890"/>
      <c r="BP156" s="890"/>
      <c r="BQ156" s="890"/>
      <c r="BR156" s="890"/>
      <c r="BS156" s="890"/>
      <c r="BT156" s="890"/>
      <c r="BU156" s="890"/>
      <c r="BV156" s="890"/>
      <c r="BW156" s="890"/>
    </row>
    <row r="157" spans="1:75">
      <c r="A157" s="709"/>
      <c r="B157" s="709"/>
      <c r="C157" s="709"/>
      <c r="D157" s="709"/>
      <c r="E157" s="709"/>
      <c r="F157" s="709"/>
      <c r="G157" s="709"/>
      <c r="H157" s="709"/>
      <c r="I157" s="709"/>
      <c r="J157" s="709"/>
      <c r="K157" s="709"/>
      <c r="L157" s="709"/>
      <c r="M157" s="709"/>
      <c r="N157" s="709"/>
      <c r="O157" s="709"/>
      <c r="P157" s="709"/>
      <c r="Q157" s="709"/>
      <c r="R157" s="709"/>
      <c r="S157" s="709"/>
      <c r="T157" s="709"/>
      <c r="U157" s="709"/>
      <c r="V157" s="709"/>
      <c r="W157" s="887"/>
      <c r="BB157" s="3"/>
      <c r="BC157" s="3"/>
      <c r="BD157" s="3"/>
      <c r="BE157" s="3"/>
      <c r="BF157" s="3"/>
      <c r="BG157" s="890"/>
      <c r="BH157" s="890"/>
      <c r="BI157" s="890"/>
      <c r="BJ157" s="890"/>
      <c r="BK157" s="890"/>
      <c r="BL157" s="890"/>
      <c r="BM157" s="890"/>
      <c r="BN157" s="890"/>
      <c r="BO157" s="890"/>
      <c r="BP157" s="890"/>
      <c r="BQ157" s="890"/>
      <c r="BR157" s="890"/>
      <c r="BS157" s="890"/>
      <c r="BT157" s="890"/>
      <c r="BU157" s="890"/>
      <c r="BV157" s="890"/>
      <c r="BW157" s="890"/>
    </row>
    <row r="158" spans="1:75">
      <c r="A158" s="709"/>
      <c r="B158" s="709"/>
      <c r="C158" s="709"/>
      <c r="D158" s="709"/>
      <c r="E158" s="709"/>
      <c r="F158" s="709"/>
      <c r="G158" s="709"/>
      <c r="H158" s="709"/>
      <c r="I158" s="709"/>
      <c r="J158" s="709"/>
      <c r="K158" s="709"/>
      <c r="L158" s="709"/>
      <c r="M158" s="709"/>
      <c r="N158" s="709"/>
      <c r="O158" s="709"/>
      <c r="P158" s="709"/>
      <c r="Q158" s="709"/>
      <c r="R158" s="709"/>
      <c r="S158" s="709"/>
      <c r="T158" s="709"/>
      <c r="U158" s="709"/>
      <c r="V158" s="709"/>
      <c r="W158" s="887"/>
      <c r="BB158" s="3"/>
      <c r="BC158" s="3"/>
      <c r="BD158" s="3"/>
      <c r="BE158" s="3"/>
      <c r="BF158" s="3"/>
      <c r="BG158" s="890"/>
      <c r="BH158" s="890"/>
      <c r="BI158" s="890"/>
      <c r="BJ158" s="890"/>
      <c r="BK158" s="890"/>
      <c r="BL158" s="890"/>
      <c r="BM158" s="890"/>
      <c r="BN158" s="890"/>
      <c r="BO158" s="890"/>
      <c r="BP158" s="890"/>
      <c r="BQ158" s="890"/>
      <c r="BR158" s="890"/>
      <c r="BS158" s="890"/>
      <c r="BT158" s="890"/>
      <c r="BU158" s="890"/>
      <c r="BV158" s="890"/>
      <c r="BW158" s="890"/>
    </row>
    <row r="159" spans="1:75">
      <c r="A159" s="709"/>
      <c r="B159" s="709"/>
      <c r="C159" s="709"/>
      <c r="D159" s="709"/>
      <c r="E159" s="709"/>
      <c r="F159" s="709"/>
      <c r="G159" s="709"/>
      <c r="H159" s="709"/>
      <c r="I159" s="709"/>
      <c r="J159" s="709"/>
      <c r="K159" s="709"/>
      <c r="L159" s="709"/>
      <c r="M159" s="709"/>
      <c r="N159" s="709"/>
      <c r="O159" s="709"/>
      <c r="P159" s="709"/>
      <c r="Q159" s="709"/>
      <c r="R159" s="709"/>
      <c r="S159" s="709"/>
      <c r="T159" s="709"/>
      <c r="U159" s="709"/>
      <c r="V159" s="709"/>
      <c r="W159" s="887"/>
      <c r="BB159" s="3"/>
      <c r="BC159" s="3"/>
      <c r="BD159" s="3"/>
      <c r="BE159" s="3"/>
      <c r="BF159" s="3"/>
      <c r="BG159" s="890"/>
      <c r="BH159" s="890"/>
      <c r="BI159" s="890"/>
      <c r="BJ159" s="890"/>
      <c r="BK159" s="890"/>
      <c r="BL159" s="890"/>
      <c r="BM159" s="890"/>
      <c r="BN159" s="890"/>
      <c r="BO159" s="890"/>
      <c r="BP159" s="890"/>
      <c r="BQ159" s="890"/>
      <c r="BR159" s="890"/>
      <c r="BS159" s="890"/>
      <c r="BT159" s="890"/>
      <c r="BU159" s="890"/>
      <c r="BV159" s="890"/>
      <c r="BW159" s="890"/>
    </row>
    <row r="160" spans="1:75">
      <c r="A160" s="709"/>
      <c r="B160" s="709"/>
      <c r="C160" s="709"/>
      <c r="D160" s="709"/>
      <c r="E160" s="709"/>
      <c r="F160" s="709"/>
      <c r="G160" s="709"/>
      <c r="H160" s="709"/>
      <c r="I160" s="709"/>
      <c r="J160" s="709"/>
      <c r="K160" s="709"/>
      <c r="L160" s="709"/>
      <c r="M160" s="709"/>
      <c r="N160" s="709"/>
      <c r="O160" s="709"/>
      <c r="P160" s="709"/>
      <c r="Q160" s="709"/>
      <c r="R160" s="709"/>
      <c r="S160" s="709"/>
      <c r="T160" s="709"/>
      <c r="U160" s="709"/>
      <c r="V160" s="709"/>
      <c r="W160" s="887"/>
      <c r="BB160" s="3"/>
      <c r="BC160" s="3"/>
      <c r="BD160" s="3"/>
      <c r="BE160" s="3"/>
      <c r="BF160" s="3"/>
      <c r="BG160" s="890"/>
      <c r="BH160" s="890"/>
      <c r="BI160" s="890"/>
      <c r="BJ160" s="890"/>
      <c r="BK160" s="890"/>
      <c r="BL160" s="890"/>
      <c r="BM160" s="890"/>
      <c r="BN160" s="890"/>
      <c r="BO160" s="890"/>
      <c r="BP160" s="890"/>
      <c r="BQ160" s="890"/>
      <c r="BR160" s="890"/>
      <c r="BS160" s="890"/>
      <c r="BT160" s="890"/>
      <c r="BU160" s="890"/>
      <c r="BV160" s="890"/>
      <c r="BW160" s="890"/>
    </row>
    <row r="161" spans="1:75">
      <c r="A161" s="709"/>
      <c r="B161" s="709"/>
      <c r="C161" s="709"/>
      <c r="D161" s="709"/>
      <c r="E161" s="709"/>
      <c r="F161" s="709"/>
      <c r="G161" s="709"/>
      <c r="H161" s="709"/>
      <c r="I161" s="709"/>
      <c r="J161" s="709"/>
      <c r="K161" s="709"/>
      <c r="L161" s="709"/>
      <c r="M161" s="709"/>
      <c r="N161" s="709"/>
      <c r="O161" s="709"/>
      <c r="P161" s="709"/>
      <c r="Q161" s="709"/>
      <c r="R161" s="709"/>
      <c r="S161" s="709"/>
      <c r="T161" s="709"/>
      <c r="U161" s="709"/>
      <c r="V161" s="709"/>
      <c r="W161" s="887"/>
      <c r="BB161" s="3"/>
      <c r="BC161" s="3"/>
      <c r="BD161" s="3"/>
      <c r="BE161" s="3"/>
      <c r="BF161" s="3"/>
      <c r="BG161" s="890"/>
      <c r="BH161" s="890"/>
      <c r="BI161" s="890"/>
      <c r="BJ161" s="890"/>
      <c r="BK161" s="890"/>
      <c r="BL161" s="890"/>
      <c r="BM161" s="890"/>
      <c r="BN161" s="890"/>
      <c r="BO161" s="890"/>
      <c r="BP161" s="890"/>
      <c r="BQ161" s="890"/>
      <c r="BR161" s="890"/>
      <c r="BS161" s="890"/>
      <c r="BT161" s="890"/>
      <c r="BU161" s="890"/>
      <c r="BV161" s="890"/>
      <c r="BW161" s="890"/>
    </row>
    <row r="162" spans="1:75">
      <c r="A162" s="709"/>
      <c r="B162" s="709"/>
      <c r="C162" s="709"/>
      <c r="D162" s="709"/>
      <c r="E162" s="709"/>
      <c r="F162" s="709"/>
      <c r="G162" s="709"/>
      <c r="H162" s="709"/>
      <c r="I162" s="709"/>
      <c r="J162" s="709"/>
      <c r="K162" s="709"/>
      <c r="L162" s="709"/>
      <c r="M162" s="709"/>
      <c r="N162" s="709"/>
      <c r="O162" s="709"/>
      <c r="P162" s="709"/>
      <c r="Q162" s="709"/>
      <c r="R162" s="709"/>
      <c r="S162" s="709"/>
      <c r="T162" s="709"/>
      <c r="U162" s="709"/>
      <c r="V162" s="709"/>
      <c r="W162" s="887"/>
      <c r="BB162" s="3"/>
      <c r="BC162" s="3"/>
      <c r="BD162" s="3"/>
      <c r="BE162" s="3"/>
      <c r="BF162" s="3"/>
      <c r="BG162" s="890"/>
      <c r="BH162" s="890"/>
      <c r="BI162" s="890"/>
      <c r="BJ162" s="890"/>
      <c r="BK162" s="890"/>
      <c r="BL162" s="890"/>
      <c r="BM162" s="890"/>
      <c r="BN162" s="890"/>
      <c r="BO162" s="890"/>
      <c r="BP162" s="890"/>
      <c r="BQ162" s="890"/>
      <c r="BR162" s="890"/>
      <c r="BS162" s="890"/>
      <c r="BT162" s="890"/>
      <c r="BU162" s="890"/>
      <c r="BV162" s="890"/>
      <c r="BW162" s="890"/>
    </row>
    <row r="163" spans="1:75">
      <c r="A163" s="709"/>
      <c r="B163" s="709"/>
      <c r="C163" s="709"/>
      <c r="D163" s="709"/>
      <c r="E163" s="709"/>
      <c r="F163" s="709"/>
      <c r="G163" s="709"/>
      <c r="H163" s="709"/>
      <c r="I163" s="709"/>
      <c r="J163" s="709"/>
      <c r="K163" s="709"/>
      <c r="L163" s="709"/>
      <c r="M163" s="709"/>
      <c r="N163" s="709"/>
      <c r="O163" s="709"/>
      <c r="P163" s="709"/>
      <c r="Q163" s="709"/>
      <c r="R163" s="709"/>
      <c r="S163" s="709"/>
      <c r="T163" s="709"/>
      <c r="U163" s="709"/>
      <c r="V163" s="709"/>
      <c r="W163" s="887"/>
      <c r="BB163" s="3"/>
      <c r="BC163" s="3"/>
      <c r="BD163" s="3"/>
      <c r="BE163" s="3"/>
      <c r="BF163" s="3"/>
      <c r="BG163" s="890"/>
      <c r="BH163" s="890"/>
      <c r="BI163" s="890"/>
      <c r="BJ163" s="890"/>
      <c r="BK163" s="890"/>
      <c r="BL163" s="890"/>
      <c r="BM163" s="890"/>
      <c r="BN163" s="890"/>
      <c r="BO163" s="890"/>
      <c r="BP163" s="890"/>
      <c r="BQ163" s="890"/>
      <c r="BR163" s="890"/>
      <c r="BS163" s="890"/>
      <c r="BT163" s="890"/>
      <c r="BU163" s="890"/>
      <c r="BV163" s="890"/>
      <c r="BW163" s="890"/>
    </row>
    <row r="164" spans="1:75">
      <c r="A164" s="709"/>
      <c r="B164" s="709"/>
      <c r="C164" s="709"/>
      <c r="D164" s="709"/>
      <c r="E164" s="709"/>
      <c r="F164" s="709"/>
      <c r="G164" s="709"/>
      <c r="H164" s="709"/>
      <c r="I164" s="709"/>
      <c r="J164" s="709"/>
      <c r="K164" s="709"/>
      <c r="L164" s="709"/>
      <c r="M164" s="709"/>
      <c r="N164" s="709"/>
      <c r="O164" s="709"/>
      <c r="P164" s="709"/>
      <c r="Q164" s="709"/>
      <c r="R164" s="709"/>
      <c r="S164" s="709"/>
      <c r="T164" s="709"/>
      <c r="U164" s="709"/>
      <c r="V164" s="709"/>
      <c r="W164" s="887"/>
      <c r="BB164" s="3"/>
      <c r="BC164" s="3"/>
      <c r="BD164" s="3"/>
      <c r="BE164" s="3"/>
      <c r="BF164" s="3"/>
      <c r="BG164" s="890"/>
      <c r="BH164" s="890"/>
      <c r="BI164" s="890"/>
      <c r="BJ164" s="890"/>
      <c r="BK164" s="890"/>
      <c r="BL164" s="890"/>
      <c r="BM164" s="890"/>
      <c r="BN164" s="890"/>
      <c r="BO164" s="890"/>
      <c r="BP164" s="890"/>
      <c r="BQ164" s="890"/>
      <c r="BR164" s="890"/>
      <c r="BS164" s="890"/>
      <c r="BT164" s="890"/>
      <c r="BU164" s="890"/>
      <c r="BV164" s="890"/>
      <c r="BW164" s="890"/>
    </row>
    <row r="165" spans="1:75">
      <c r="A165" s="709"/>
      <c r="B165" s="709"/>
      <c r="C165" s="709"/>
      <c r="D165" s="709"/>
      <c r="E165" s="709"/>
      <c r="F165" s="709"/>
      <c r="G165" s="709"/>
      <c r="H165" s="709"/>
      <c r="I165" s="709"/>
      <c r="J165" s="709"/>
      <c r="K165" s="709"/>
      <c r="L165" s="709"/>
      <c r="M165" s="709"/>
      <c r="N165" s="709"/>
      <c r="O165" s="709"/>
      <c r="P165" s="709"/>
      <c r="Q165" s="709"/>
      <c r="R165" s="709"/>
      <c r="S165" s="709"/>
      <c r="T165" s="709"/>
      <c r="U165" s="709"/>
      <c r="V165" s="709"/>
      <c r="W165" s="887"/>
      <c r="BB165" s="3"/>
      <c r="BC165" s="3"/>
      <c r="BD165" s="3"/>
      <c r="BE165" s="3"/>
      <c r="BF165" s="3"/>
      <c r="BG165" s="890"/>
      <c r="BH165" s="890"/>
      <c r="BI165" s="890"/>
      <c r="BJ165" s="890"/>
      <c r="BK165" s="890"/>
      <c r="BL165" s="890"/>
      <c r="BM165" s="890"/>
      <c r="BN165" s="890"/>
      <c r="BO165" s="890"/>
      <c r="BP165" s="890"/>
      <c r="BQ165" s="890"/>
      <c r="BR165" s="890"/>
      <c r="BS165" s="890"/>
      <c r="BT165" s="890"/>
      <c r="BU165" s="890"/>
      <c r="BV165" s="890"/>
      <c r="BW165" s="890"/>
    </row>
    <row r="166" spans="1:75">
      <c r="A166" s="709"/>
      <c r="B166" s="709"/>
      <c r="C166" s="709"/>
      <c r="D166" s="709"/>
      <c r="E166" s="709"/>
      <c r="F166" s="709"/>
      <c r="G166" s="709"/>
      <c r="H166" s="709"/>
      <c r="I166" s="709"/>
      <c r="J166" s="709"/>
      <c r="K166" s="709"/>
      <c r="L166" s="709"/>
      <c r="M166" s="709"/>
      <c r="N166" s="709"/>
      <c r="O166" s="709"/>
      <c r="P166" s="709"/>
      <c r="Q166" s="709"/>
      <c r="R166" s="709"/>
      <c r="S166" s="709"/>
      <c r="T166" s="709"/>
      <c r="U166" s="709"/>
      <c r="V166" s="709"/>
      <c r="W166" s="887"/>
      <c r="BB166" s="3"/>
      <c r="BC166" s="3"/>
      <c r="BD166" s="3"/>
      <c r="BE166" s="3"/>
      <c r="BF166" s="3"/>
      <c r="BG166" s="890"/>
      <c r="BH166" s="890"/>
      <c r="BI166" s="890"/>
      <c r="BJ166" s="890"/>
      <c r="BK166" s="890"/>
      <c r="BL166" s="890"/>
      <c r="BM166" s="890"/>
      <c r="BN166" s="890"/>
      <c r="BO166" s="890"/>
      <c r="BP166" s="890"/>
      <c r="BQ166" s="890"/>
      <c r="BR166" s="890"/>
      <c r="BS166" s="890"/>
      <c r="BT166" s="890"/>
      <c r="BU166" s="890"/>
      <c r="BV166" s="890"/>
      <c r="BW166" s="890"/>
    </row>
    <row r="167" spans="1:75">
      <c r="A167" s="709"/>
      <c r="B167" s="709"/>
      <c r="C167" s="709"/>
      <c r="D167" s="709"/>
      <c r="E167" s="709"/>
      <c r="F167" s="709"/>
      <c r="G167" s="709"/>
      <c r="H167" s="709"/>
      <c r="I167" s="709"/>
      <c r="J167" s="709"/>
      <c r="K167" s="709"/>
      <c r="L167" s="709"/>
      <c r="M167" s="709"/>
      <c r="N167" s="709"/>
      <c r="O167" s="709"/>
      <c r="P167" s="709"/>
      <c r="Q167" s="709"/>
      <c r="R167" s="709"/>
      <c r="S167" s="709"/>
      <c r="T167" s="709"/>
      <c r="U167" s="709"/>
      <c r="V167" s="709"/>
      <c r="W167" s="887"/>
      <c r="BB167" s="3"/>
      <c r="BC167" s="3"/>
      <c r="BD167" s="3"/>
      <c r="BE167" s="3"/>
      <c r="BF167" s="3"/>
      <c r="BG167" s="890"/>
      <c r="BH167" s="890"/>
      <c r="BI167" s="890"/>
      <c r="BJ167" s="890"/>
      <c r="BK167" s="890"/>
      <c r="BL167" s="890"/>
      <c r="BM167" s="890"/>
      <c r="BN167" s="890"/>
      <c r="BO167" s="890"/>
      <c r="BP167" s="890"/>
      <c r="BQ167" s="890"/>
      <c r="BR167" s="890"/>
      <c r="BS167" s="890"/>
      <c r="BT167" s="890"/>
      <c r="BU167" s="890"/>
      <c r="BV167" s="890"/>
      <c r="BW167" s="890"/>
    </row>
    <row r="168" spans="1:75">
      <c r="A168" s="709"/>
      <c r="B168" s="709"/>
      <c r="C168" s="709"/>
      <c r="D168" s="709"/>
      <c r="E168" s="709"/>
      <c r="F168" s="709"/>
      <c r="G168" s="709"/>
      <c r="H168" s="709"/>
      <c r="I168" s="709"/>
      <c r="J168" s="709"/>
      <c r="K168" s="709"/>
      <c r="L168" s="709"/>
      <c r="M168" s="709"/>
      <c r="N168" s="709"/>
      <c r="O168" s="709"/>
      <c r="P168" s="709"/>
      <c r="Q168" s="709"/>
      <c r="R168" s="709"/>
      <c r="S168" s="709"/>
      <c r="T168" s="709"/>
      <c r="U168" s="709"/>
      <c r="V168" s="709"/>
      <c r="W168" s="887"/>
      <c r="BB168" s="3"/>
      <c r="BC168" s="3"/>
      <c r="BD168" s="3"/>
      <c r="BE168" s="3"/>
      <c r="BF168" s="3"/>
      <c r="BG168" s="890"/>
      <c r="BH168" s="890"/>
      <c r="BI168" s="890"/>
      <c r="BJ168" s="890"/>
      <c r="BK168" s="890"/>
      <c r="BL168" s="890"/>
      <c r="BM168" s="890"/>
      <c r="BN168" s="890"/>
      <c r="BO168" s="890"/>
      <c r="BP168" s="890"/>
      <c r="BQ168" s="890"/>
      <c r="BR168" s="890"/>
      <c r="BS168" s="890"/>
      <c r="BT168" s="890"/>
      <c r="BU168" s="890"/>
      <c r="BV168" s="890"/>
      <c r="BW168" s="890"/>
    </row>
    <row r="169" spans="1:75">
      <c r="A169" s="709"/>
      <c r="B169" s="709"/>
      <c r="C169" s="709"/>
      <c r="D169" s="709"/>
      <c r="E169" s="709"/>
      <c r="F169" s="709"/>
      <c r="G169" s="709"/>
      <c r="H169" s="709"/>
      <c r="I169" s="709"/>
      <c r="J169" s="709"/>
      <c r="K169" s="709"/>
      <c r="L169" s="709"/>
      <c r="M169" s="709"/>
      <c r="N169" s="709"/>
      <c r="O169" s="709"/>
      <c r="P169" s="709"/>
      <c r="Q169" s="709"/>
      <c r="R169" s="709"/>
      <c r="S169" s="709"/>
      <c r="T169" s="709"/>
      <c r="U169" s="709"/>
      <c r="V169" s="709"/>
      <c r="W169" s="887"/>
      <c r="BB169" s="3"/>
      <c r="BC169" s="3"/>
      <c r="BD169" s="3"/>
      <c r="BE169" s="3"/>
      <c r="BF169" s="3"/>
      <c r="BG169" s="890"/>
      <c r="BH169" s="890"/>
      <c r="BI169" s="890"/>
      <c r="BJ169" s="890"/>
      <c r="BK169" s="890"/>
      <c r="BL169" s="890"/>
      <c r="BM169" s="890"/>
      <c r="BN169" s="890"/>
      <c r="BO169" s="890"/>
      <c r="BP169" s="890"/>
      <c r="BQ169" s="890"/>
      <c r="BR169" s="890"/>
      <c r="BS169" s="890"/>
      <c r="BT169" s="890"/>
      <c r="BU169" s="890"/>
      <c r="BV169" s="890"/>
      <c r="BW169" s="890"/>
    </row>
    <row r="170" spans="1:75">
      <c r="A170" s="709"/>
      <c r="B170" s="709"/>
      <c r="C170" s="709"/>
      <c r="D170" s="709"/>
      <c r="E170" s="709"/>
      <c r="F170" s="709"/>
      <c r="G170" s="709"/>
      <c r="H170" s="709"/>
      <c r="I170" s="709"/>
      <c r="J170" s="709"/>
      <c r="K170" s="709"/>
      <c r="L170" s="709"/>
      <c r="M170" s="709"/>
      <c r="N170" s="709"/>
      <c r="O170" s="709"/>
      <c r="P170" s="709"/>
      <c r="Q170" s="709"/>
      <c r="R170" s="709"/>
      <c r="S170" s="709"/>
      <c r="T170" s="709"/>
      <c r="U170" s="709"/>
      <c r="V170" s="709"/>
      <c r="W170" s="887"/>
      <c r="BB170" s="3"/>
      <c r="BC170" s="3"/>
      <c r="BD170" s="3"/>
      <c r="BE170" s="3"/>
      <c r="BF170" s="3"/>
      <c r="BG170" s="890"/>
      <c r="BH170" s="890"/>
      <c r="BI170" s="890"/>
      <c r="BJ170" s="890"/>
      <c r="BK170" s="890"/>
      <c r="BL170" s="890"/>
      <c r="BM170" s="890"/>
      <c r="BN170" s="890"/>
      <c r="BO170" s="890"/>
      <c r="BP170" s="890"/>
      <c r="BQ170" s="890"/>
      <c r="BR170" s="890"/>
      <c r="BS170" s="890"/>
      <c r="BT170" s="890"/>
      <c r="BU170" s="890"/>
      <c r="BV170" s="890"/>
      <c r="BW170" s="890"/>
    </row>
    <row r="171" spans="1:75">
      <c r="A171" s="709"/>
      <c r="B171" s="709"/>
      <c r="C171" s="709"/>
      <c r="D171" s="709"/>
      <c r="E171" s="709"/>
      <c r="F171" s="709"/>
      <c r="G171" s="709"/>
      <c r="H171" s="709"/>
      <c r="I171" s="709"/>
      <c r="J171" s="709"/>
      <c r="K171" s="709"/>
      <c r="L171" s="709"/>
      <c r="M171" s="709"/>
      <c r="N171" s="709"/>
      <c r="O171" s="709"/>
      <c r="P171" s="709"/>
      <c r="Q171" s="709"/>
      <c r="R171" s="709"/>
      <c r="S171" s="709"/>
      <c r="T171" s="709"/>
      <c r="U171" s="709"/>
      <c r="V171" s="709"/>
      <c r="W171" s="887"/>
      <c r="BB171" s="3"/>
      <c r="BC171" s="3"/>
      <c r="BD171" s="3"/>
      <c r="BE171" s="3"/>
      <c r="BF171" s="3"/>
      <c r="BG171" s="890"/>
      <c r="BH171" s="890"/>
      <c r="BI171" s="890"/>
      <c r="BJ171" s="890"/>
      <c r="BK171" s="890"/>
      <c r="BL171" s="890"/>
      <c r="BM171" s="890"/>
      <c r="BN171" s="890"/>
      <c r="BO171" s="890"/>
      <c r="BP171" s="890"/>
      <c r="BQ171" s="890"/>
      <c r="BR171" s="890"/>
      <c r="BS171" s="890"/>
      <c r="BT171" s="890"/>
      <c r="BU171" s="890"/>
      <c r="BV171" s="890"/>
      <c r="BW171" s="890"/>
    </row>
    <row r="172" spans="1:75">
      <c r="A172" s="709"/>
      <c r="B172" s="709"/>
      <c r="C172" s="709"/>
      <c r="D172" s="709"/>
      <c r="E172" s="709"/>
      <c r="F172" s="709"/>
      <c r="G172" s="709"/>
      <c r="H172" s="709"/>
      <c r="I172" s="709"/>
      <c r="J172" s="709"/>
      <c r="K172" s="709"/>
      <c r="L172" s="709"/>
      <c r="M172" s="709"/>
      <c r="N172" s="709"/>
      <c r="O172" s="709"/>
      <c r="P172" s="709"/>
      <c r="Q172" s="709"/>
      <c r="R172" s="709"/>
      <c r="S172" s="709"/>
      <c r="T172" s="709"/>
      <c r="U172" s="709"/>
      <c r="V172" s="709"/>
      <c r="W172" s="887"/>
      <c r="BB172" s="3"/>
      <c r="BC172" s="3"/>
      <c r="BD172" s="3"/>
      <c r="BE172" s="3"/>
      <c r="BF172" s="3"/>
      <c r="BG172" s="890"/>
      <c r="BH172" s="890"/>
      <c r="BI172" s="890"/>
      <c r="BJ172" s="890"/>
      <c r="BK172" s="890"/>
      <c r="BL172" s="890"/>
      <c r="BM172" s="890"/>
      <c r="BN172" s="890"/>
      <c r="BO172" s="890"/>
      <c r="BP172" s="890"/>
      <c r="BQ172" s="890"/>
      <c r="BR172" s="890"/>
      <c r="BS172" s="890"/>
      <c r="BT172" s="890"/>
      <c r="BU172" s="890"/>
      <c r="BV172" s="890"/>
      <c r="BW172" s="890"/>
    </row>
    <row r="173" spans="1:75">
      <c r="A173" s="709"/>
      <c r="B173" s="709"/>
      <c r="C173" s="709"/>
      <c r="D173" s="709"/>
      <c r="E173" s="709"/>
      <c r="F173" s="709"/>
      <c r="G173" s="709"/>
      <c r="H173" s="709"/>
      <c r="I173" s="709"/>
      <c r="J173" s="709"/>
      <c r="K173" s="709"/>
      <c r="L173" s="709"/>
      <c r="M173" s="709"/>
      <c r="N173" s="709"/>
      <c r="O173" s="709"/>
      <c r="P173" s="709"/>
      <c r="Q173" s="709"/>
      <c r="R173" s="709"/>
      <c r="S173" s="709"/>
      <c r="T173" s="709"/>
      <c r="U173" s="709"/>
      <c r="V173" s="709"/>
      <c r="W173" s="887"/>
      <c r="BB173" s="3"/>
      <c r="BC173" s="3"/>
      <c r="BD173" s="3"/>
      <c r="BE173" s="3"/>
      <c r="BF173" s="3"/>
      <c r="BG173" s="890"/>
      <c r="BH173" s="890"/>
      <c r="BI173" s="890"/>
      <c r="BJ173" s="890"/>
      <c r="BK173" s="890"/>
      <c r="BL173" s="890"/>
      <c r="BM173" s="890"/>
      <c r="BN173" s="890"/>
      <c r="BO173" s="890"/>
      <c r="BP173" s="890"/>
      <c r="BQ173" s="890"/>
      <c r="BR173" s="890"/>
      <c r="BS173" s="890"/>
      <c r="BT173" s="890"/>
      <c r="BU173" s="890"/>
      <c r="BV173" s="890"/>
      <c r="BW173" s="890"/>
    </row>
    <row r="174" spans="1:75">
      <c r="A174" s="709"/>
      <c r="B174" s="709"/>
      <c r="C174" s="709"/>
      <c r="D174" s="709"/>
      <c r="E174" s="709"/>
      <c r="F174" s="709"/>
      <c r="G174" s="709"/>
      <c r="H174" s="709"/>
      <c r="I174" s="709"/>
      <c r="J174" s="709"/>
      <c r="K174" s="709"/>
      <c r="L174" s="709"/>
      <c r="M174" s="709"/>
      <c r="N174" s="709"/>
      <c r="O174" s="709"/>
      <c r="P174" s="709"/>
      <c r="Q174" s="709"/>
      <c r="R174" s="709"/>
      <c r="S174" s="709"/>
      <c r="T174" s="709"/>
      <c r="U174" s="709"/>
      <c r="V174" s="709"/>
      <c r="W174" s="887"/>
      <c r="BB174" s="3"/>
      <c r="BC174" s="3"/>
      <c r="BD174" s="3"/>
      <c r="BE174" s="3"/>
      <c r="BF174" s="3"/>
      <c r="BG174" s="890"/>
      <c r="BH174" s="890"/>
      <c r="BI174" s="890"/>
      <c r="BJ174" s="890"/>
      <c r="BK174" s="890"/>
      <c r="BL174" s="890"/>
      <c r="BM174" s="890"/>
      <c r="BN174" s="890"/>
      <c r="BO174" s="890"/>
      <c r="BP174" s="890"/>
      <c r="BQ174" s="890"/>
      <c r="BR174" s="890"/>
      <c r="BS174" s="890"/>
      <c r="BT174" s="890"/>
      <c r="BU174" s="890"/>
      <c r="BV174" s="890"/>
      <c r="BW174" s="890"/>
    </row>
    <row r="175" spans="1:75">
      <c r="A175" s="709"/>
      <c r="B175" s="709"/>
      <c r="C175" s="709"/>
      <c r="D175" s="709"/>
      <c r="E175" s="709"/>
      <c r="F175" s="709"/>
      <c r="G175" s="709"/>
      <c r="H175" s="709"/>
      <c r="I175" s="709"/>
      <c r="J175" s="709"/>
      <c r="K175" s="709"/>
      <c r="L175" s="709"/>
      <c r="M175" s="709"/>
      <c r="N175" s="709"/>
      <c r="O175" s="709"/>
      <c r="P175" s="709"/>
      <c r="Q175" s="709"/>
      <c r="R175" s="709"/>
      <c r="S175" s="709"/>
      <c r="T175" s="709"/>
      <c r="U175" s="709"/>
      <c r="V175" s="709"/>
      <c r="W175" s="887"/>
      <c r="BB175" s="3"/>
      <c r="BC175" s="3"/>
      <c r="BD175" s="3"/>
      <c r="BE175" s="3"/>
      <c r="BF175" s="3"/>
      <c r="BG175" s="890"/>
      <c r="BH175" s="890"/>
      <c r="BI175" s="890"/>
      <c r="BJ175" s="890"/>
      <c r="BK175" s="890"/>
      <c r="BL175" s="890"/>
      <c r="BM175" s="890"/>
      <c r="BN175" s="890"/>
      <c r="BO175" s="890"/>
      <c r="BP175" s="890"/>
      <c r="BQ175" s="890"/>
      <c r="BR175" s="890"/>
      <c r="BS175" s="890"/>
      <c r="BT175" s="890"/>
      <c r="BU175" s="890"/>
      <c r="BV175" s="890"/>
      <c r="BW175" s="890"/>
    </row>
    <row r="176" spans="1:75">
      <c r="A176" s="709"/>
      <c r="B176" s="709"/>
      <c r="C176" s="709"/>
      <c r="D176" s="709"/>
      <c r="E176" s="709"/>
      <c r="F176" s="709"/>
      <c r="G176" s="709"/>
      <c r="H176" s="709"/>
      <c r="I176" s="709"/>
      <c r="J176" s="709"/>
      <c r="K176" s="709"/>
      <c r="L176" s="709"/>
      <c r="M176" s="709"/>
      <c r="N176" s="709"/>
      <c r="O176" s="709"/>
      <c r="P176" s="709"/>
      <c r="Q176" s="709"/>
      <c r="R176" s="709"/>
      <c r="S176" s="709"/>
      <c r="T176" s="709"/>
      <c r="U176" s="709"/>
      <c r="V176" s="709"/>
      <c r="W176" s="887"/>
      <c r="BB176" s="3"/>
      <c r="BC176" s="3"/>
      <c r="BD176" s="3"/>
      <c r="BE176" s="3"/>
      <c r="BF176" s="3"/>
      <c r="BG176" s="890"/>
      <c r="BH176" s="890"/>
      <c r="BI176" s="890"/>
      <c r="BJ176" s="890"/>
      <c r="BK176" s="890"/>
      <c r="BL176" s="890"/>
      <c r="BM176" s="890"/>
      <c r="BN176" s="890"/>
      <c r="BO176" s="890"/>
      <c r="BP176" s="890"/>
      <c r="BQ176" s="890"/>
      <c r="BR176" s="890"/>
      <c r="BS176" s="890"/>
      <c r="BT176" s="890"/>
      <c r="BU176" s="890"/>
      <c r="BV176" s="890"/>
      <c r="BW176" s="890"/>
    </row>
    <row r="177" spans="1:75">
      <c r="A177" s="709"/>
      <c r="B177" s="709"/>
      <c r="C177" s="709"/>
      <c r="D177" s="709"/>
      <c r="E177" s="709"/>
      <c r="F177" s="709"/>
      <c r="G177" s="709"/>
      <c r="H177" s="709"/>
      <c r="I177" s="709"/>
      <c r="J177" s="709"/>
      <c r="K177" s="709"/>
      <c r="L177" s="709"/>
      <c r="M177" s="709"/>
      <c r="N177" s="709"/>
      <c r="O177" s="709"/>
      <c r="P177" s="709"/>
      <c r="Q177" s="709"/>
      <c r="R177" s="709"/>
      <c r="S177" s="709"/>
      <c r="T177" s="709"/>
      <c r="U177" s="709"/>
      <c r="V177" s="709"/>
      <c r="W177" s="887"/>
      <c r="BB177" s="3"/>
      <c r="BC177" s="3"/>
      <c r="BD177" s="3"/>
      <c r="BE177" s="3"/>
      <c r="BF177" s="3"/>
      <c r="BG177" s="890"/>
      <c r="BH177" s="890"/>
      <c r="BI177" s="890"/>
      <c r="BJ177" s="890"/>
      <c r="BK177" s="890"/>
      <c r="BL177" s="890"/>
      <c r="BM177" s="890"/>
      <c r="BN177" s="890"/>
      <c r="BO177" s="890"/>
      <c r="BP177" s="890"/>
      <c r="BQ177" s="890"/>
      <c r="BR177" s="890"/>
      <c r="BS177" s="890"/>
      <c r="BT177" s="890"/>
      <c r="BU177" s="890"/>
      <c r="BV177" s="890"/>
      <c r="BW177" s="890"/>
    </row>
    <row r="178" spans="1:75">
      <c r="A178" s="709"/>
      <c r="B178" s="709"/>
      <c r="C178" s="709"/>
      <c r="D178" s="709"/>
      <c r="E178" s="709"/>
      <c r="F178" s="709"/>
      <c r="G178" s="709"/>
      <c r="H178" s="709"/>
      <c r="I178" s="709"/>
      <c r="J178" s="709"/>
      <c r="K178" s="709"/>
      <c r="L178" s="709"/>
      <c r="M178" s="709"/>
      <c r="N178" s="709"/>
      <c r="O178" s="709"/>
      <c r="P178" s="709"/>
      <c r="Q178" s="709"/>
      <c r="R178" s="709"/>
      <c r="S178" s="709"/>
      <c r="T178" s="709"/>
      <c r="U178" s="709"/>
      <c r="V178" s="709"/>
      <c r="W178" s="887"/>
      <c r="BB178" s="3"/>
      <c r="BC178" s="3"/>
      <c r="BD178" s="3"/>
      <c r="BE178" s="3"/>
      <c r="BF178" s="3"/>
      <c r="BG178" s="890"/>
      <c r="BH178" s="890"/>
      <c r="BI178" s="890"/>
      <c r="BJ178" s="890"/>
      <c r="BK178" s="890"/>
      <c r="BL178" s="890"/>
      <c r="BM178" s="890"/>
      <c r="BN178" s="890"/>
      <c r="BO178" s="890"/>
      <c r="BP178" s="890"/>
      <c r="BQ178" s="890"/>
      <c r="BR178" s="890"/>
      <c r="BS178" s="890"/>
      <c r="BT178" s="890"/>
      <c r="BU178" s="890"/>
      <c r="BV178" s="890"/>
      <c r="BW178" s="890"/>
    </row>
    <row r="179" spans="1:75">
      <c r="A179" s="709"/>
      <c r="B179" s="709"/>
      <c r="C179" s="709"/>
      <c r="D179" s="709"/>
      <c r="E179" s="709"/>
      <c r="F179" s="709"/>
      <c r="G179" s="709"/>
      <c r="H179" s="709"/>
      <c r="I179" s="709"/>
      <c r="J179" s="709"/>
      <c r="K179" s="709"/>
      <c r="L179" s="709"/>
      <c r="M179" s="709"/>
      <c r="N179" s="709"/>
      <c r="O179" s="709"/>
      <c r="P179" s="709"/>
      <c r="Q179" s="709"/>
      <c r="R179" s="709"/>
      <c r="S179" s="709"/>
      <c r="T179" s="709"/>
      <c r="U179" s="709"/>
      <c r="V179" s="709"/>
      <c r="W179" s="887"/>
      <c r="BB179" s="3"/>
      <c r="BC179" s="3"/>
      <c r="BD179" s="3"/>
      <c r="BE179" s="3"/>
      <c r="BF179" s="3"/>
      <c r="BG179" s="890"/>
      <c r="BH179" s="890"/>
      <c r="BI179" s="890"/>
      <c r="BJ179" s="890"/>
      <c r="BK179" s="890"/>
      <c r="BL179" s="890"/>
      <c r="BM179" s="890"/>
      <c r="BN179" s="890"/>
      <c r="BO179" s="890"/>
      <c r="BP179" s="890"/>
      <c r="BQ179" s="890"/>
      <c r="BR179" s="890"/>
      <c r="BS179" s="890"/>
      <c r="BT179" s="890"/>
      <c r="BU179" s="890"/>
      <c r="BV179" s="890"/>
      <c r="BW179" s="890"/>
    </row>
    <row r="180" spans="1:75">
      <c r="A180" s="709"/>
      <c r="B180" s="709"/>
      <c r="C180" s="709"/>
      <c r="D180" s="709"/>
      <c r="E180" s="709"/>
      <c r="F180" s="709"/>
      <c r="G180" s="709"/>
      <c r="H180" s="709"/>
      <c r="I180" s="709"/>
      <c r="J180" s="709"/>
      <c r="K180" s="709"/>
      <c r="L180" s="709"/>
      <c r="M180" s="709"/>
      <c r="N180" s="709"/>
      <c r="O180" s="709"/>
      <c r="P180" s="709"/>
      <c r="Q180" s="709"/>
      <c r="R180" s="709"/>
      <c r="S180" s="709"/>
      <c r="T180" s="709"/>
      <c r="U180" s="709"/>
      <c r="V180" s="709"/>
      <c r="W180" s="887"/>
      <c r="BB180" s="3"/>
      <c r="BC180" s="3"/>
      <c r="BD180" s="3"/>
      <c r="BE180" s="3"/>
      <c r="BF180" s="3"/>
      <c r="BG180" s="890"/>
      <c r="BH180" s="890"/>
      <c r="BI180" s="890"/>
      <c r="BJ180" s="890"/>
      <c r="BK180" s="890"/>
      <c r="BL180" s="890"/>
      <c r="BM180" s="890"/>
      <c r="BN180" s="890"/>
      <c r="BO180" s="890"/>
      <c r="BP180" s="890"/>
      <c r="BQ180" s="890"/>
      <c r="BR180" s="890"/>
      <c r="BS180" s="890"/>
      <c r="BT180" s="890"/>
      <c r="BU180" s="890"/>
      <c r="BV180" s="890"/>
      <c r="BW180" s="890"/>
    </row>
    <row r="181" spans="1:75">
      <c r="A181" s="709"/>
      <c r="B181" s="709"/>
      <c r="C181" s="709"/>
      <c r="D181" s="709"/>
      <c r="E181" s="709"/>
      <c r="F181" s="709"/>
      <c r="G181" s="709"/>
      <c r="H181" s="709"/>
      <c r="I181" s="709"/>
      <c r="J181" s="709"/>
      <c r="K181" s="709"/>
      <c r="L181" s="709"/>
      <c r="M181" s="709"/>
      <c r="N181" s="709"/>
      <c r="O181" s="709"/>
      <c r="P181" s="709"/>
      <c r="Q181" s="709"/>
      <c r="R181" s="709"/>
      <c r="S181" s="709"/>
      <c r="T181" s="709"/>
      <c r="U181" s="709"/>
      <c r="V181" s="709"/>
      <c r="W181" s="887"/>
      <c r="BB181" s="3"/>
      <c r="BC181" s="3"/>
      <c r="BD181" s="3"/>
      <c r="BE181" s="3"/>
      <c r="BF181" s="3"/>
      <c r="BG181" s="890"/>
      <c r="BH181" s="890"/>
      <c r="BI181" s="890"/>
      <c r="BJ181" s="890"/>
      <c r="BK181" s="890"/>
      <c r="BL181" s="890"/>
      <c r="BM181" s="890"/>
      <c r="BN181" s="890"/>
      <c r="BO181" s="890"/>
      <c r="BP181" s="890"/>
      <c r="BQ181" s="890"/>
      <c r="BR181" s="890"/>
      <c r="BS181" s="890"/>
      <c r="BT181" s="890"/>
      <c r="BU181" s="890"/>
      <c r="BV181" s="890"/>
      <c r="BW181" s="890"/>
    </row>
    <row r="182" spans="1:75">
      <c r="A182" s="709"/>
      <c r="B182" s="709"/>
      <c r="C182" s="709"/>
      <c r="D182" s="709"/>
      <c r="E182" s="709"/>
      <c r="F182" s="709"/>
      <c r="G182" s="709"/>
      <c r="H182" s="709"/>
      <c r="I182" s="709"/>
      <c r="J182" s="709"/>
      <c r="K182" s="709"/>
      <c r="L182" s="709"/>
      <c r="M182" s="709"/>
      <c r="N182" s="709"/>
      <c r="O182" s="709"/>
      <c r="P182" s="709"/>
      <c r="Q182" s="709"/>
      <c r="R182" s="709"/>
      <c r="S182" s="709"/>
      <c r="T182" s="709"/>
      <c r="U182" s="709"/>
      <c r="V182" s="709"/>
      <c r="W182" s="887"/>
      <c r="BB182" s="3"/>
      <c r="BC182" s="3"/>
      <c r="BD182" s="3"/>
      <c r="BE182" s="3"/>
      <c r="BF182" s="3"/>
      <c r="BG182" s="890"/>
      <c r="BH182" s="890"/>
      <c r="BI182" s="890"/>
      <c r="BJ182" s="890"/>
      <c r="BK182" s="890"/>
      <c r="BL182" s="890"/>
      <c r="BM182" s="890"/>
      <c r="BN182" s="890"/>
      <c r="BO182" s="890"/>
      <c r="BP182" s="890"/>
      <c r="BQ182" s="890"/>
      <c r="BR182" s="890"/>
      <c r="BS182" s="890"/>
      <c r="BT182" s="890"/>
      <c r="BU182" s="890"/>
      <c r="BV182" s="890"/>
      <c r="BW182" s="890"/>
    </row>
    <row r="183" spans="1:75">
      <c r="A183" s="709"/>
      <c r="B183" s="709"/>
      <c r="C183" s="709"/>
      <c r="D183" s="709"/>
      <c r="E183" s="709"/>
      <c r="F183" s="709"/>
      <c r="G183" s="709"/>
      <c r="H183" s="709"/>
      <c r="I183" s="709"/>
      <c r="J183" s="709"/>
      <c r="K183" s="709"/>
      <c r="L183" s="709"/>
      <c r="M183" s="709"/>
      <c r="N183" s="709"/>
      <c r="O183" s="709"/>
      <c r="P183" s="709"/>
      <c r="Q183" s="709"/>
      <c r="R183" s="709"/>
      <c r="S183" s="709"/>
      <c r="T183" s="709"/>
      <c r="U183" s="709"/>
      <c r="V183" s="709"/>
      <c r="W183" s="887"/>
      <c r="BB183" s="3"/>
      <c r="BC183" s="3"/>
      <c r="BD183" s="3"/>
      <c r="BE183" s="3"/>
      <c r="BF183" s="3"/>
      <c r="BG183" s="890"/>
      <c r="BH183" s="890"/>
      <c r="BI183" s="890"/>
      <c r="BJ183" s="890"/>
      <c r="BK183" s="890"/>
      <c r="BL183" s="890"/>
      <c r="BM183" s="890"/>
      <c r="BN183" s="890"/>
      <c r="BO183" s="890"/>
      <c r="BP183" s="890"/>
      <c r="BQ183" s="890"/>
      <c r="BR183" s="890"/>
      <c r="BS183" s="890"/>
      <c r="BT183" s="890"/>
      <c r="BU183" s="890"/>
      <c r="BV183" s="890"/>
      <c r="BW183" s="890"/>
    </row>
    <row r="184" spans="1:75">
      <c r="A184" s="709"/>
      <c r="B184" s="709"/>
      <c r="C184" s="709"/>
      <c r="D184" s="709"/>
      <c r="E184" s="709"/>
      <c r="F184" s="709"/>
      <c r="G184" s="709"/>
      <c r="H184" s="709"/>
      <c r="I184" s="709"/>
      <c r="J184" s="709"/>
      <c r="K184" s="709"/>
      <c r="L184" s="709"/>
      <c r="M184" s="709"/>
      <c r="N184" s="709"/>
      <c r="O184" s="709"/>
      <c r="P184" s="709"/>
      <c r="Q184" s="709"/>
      <c r="R184" s="709"/>
      <c r="S184" s="709"/>
      <c r="T184" s="709"/>
      <c r="U184" s="709"/>
      <c r="V184" s="709"/>
      <c r="W184" s="887"/>
      <c r="BB184" s="3"/>
      <c r="BC184" s="3"/>
      <c r="BD184" s="3"/>
      <c r="BE184" s="3"/>
      <c r="BF184" s="3"/>
      <c r="BG184" s="890"/>
      <c r="BH184" s="890"/>
      <c r="BI184" s="890"/>
      <c r="BJ184" s="890"/>
      <c r="BK184" s="890"/>
      <c r="BL184" s="890"/>
      <c r="BM184" s="890"/>
      <c r="BN184" s="890"/>
      <c r="BO184" s="890"/>
      <c r="BP184" s="890"/>
      <c r="BQ184" s="890"/>
      <c r="BR184" s="890"/>
      <c r="BS184" s="890"/>
      <c r="BT184" s="890"/>
      <c r="BU184" s="890"/>
      <c r="BV184" s="890"/>
      <c r="BW184" s="890"/>
    </row>
    <row r="185" spans="1:75">
      <c r="A185" s="709"/>
      <c r="B185" s="709"/>
      <c r="C185" s="709"/>
      <c r="D185" s="709"/>
      <c r="E185" s="709"/>
      <c r="F185" s="709"/>
      <c r="G185" s="709"/>
      <c r="H185" s="709"/>
      <c r="I185" s="709"/>
      <c r="J185" s="709"/>
      <c r="K185" s="709"/>
      <c r="L185" s="709"/>
      <c r="M185" s="709"/>
      <c r="N185" s="709"/>
      <c r="O185" s="709"/>
      <c r="P185" s="709"/>
      <c r="Q185" s="709"/>
      <c r="R185" s="709"/>
      <c r="S185" s="709"/>
      <c r="T185" s="709"/>
      <c r="U185" s="709"/>
      <c r="V185" s="709"/>
      <c r="W185" s="887"/>
      <c r="BB185" s="3"/>
      <c r="BC185" s="3"/>
      <c r="BD185" s="3"/>
      <c r="BE185" s="3"/>
      <c r="BF185" s="3"/>
      <c r="BG185" s="890"/>
      <c r="BH185" s="890"/>
      <c r="BI185" s="890"/>
      <c r="BJ185" s="890"/>
      <c r="BK185" s="890"/>
      <c r="BL185" s="890"/>
      <c r="BM185" s="890"/>
      <c r="BN185" s="890"/>
      <c r="BO185" s="890"/>
      <c r="BP185" s="890"/>
      <c r="BQ185" s="890"/>
      <c r="BR185" s="890"/>
      <c r="BS185" s="890"/>
      <c r="BT185" s="890"/>
      <c r="BU185" s="890"/>
      <c r="BV185" s="890"/>
      <c r="BW185" s="890"/>
    </row>
    <row r="186" spans="1:75">
      <c r="A186" s="709"/>
      <c r="B186" s="709"/>
      <c r="C186" s="709"/>
      <c r="D186" s="709"/>
      <c r="E186" s="709"/>
      <c r="F186" s="709"/>
      <c r="G186" s="709"/>
      <c r="H186" s="709"/>
      <c r="I186" s="709"/>
      <c r="J186" s="709"/>
      <c r="K186" s="709"/>
      <c r="L186" s="709"/>
      <c r="M186" s="709"/>
      <c r="N186" s="709"/>
      <c r="O186" s="709"/>
      <c r="P186" s="709"/>
      <c r="Q186" s="709"/>
      <c r="R186" s="709"/>
      <c r="S186" s="709"/>
      <c r="T186" s="709"/>
      <c r="U186" s="709"/>
      <c r="V186" s="709"/>
      <c r="W186" s="887"/>
      <c r="BB186" s="3"/>
      <c r="BC186" s="3"/>
      <c r="BD186" s="3"/>
      <c r="BE186" s="3"/>
      <c r="BF186" s="3"/>
      <c r="BG186" s="890"/>
      <c r="BH186" s="890"/>
      <c r="BI186" s="890"/>
      <c r="BJ186" s="890"/>
      <c r="BK186" s="890"/>
      <c r="BL186" s="890"/>
      <c r="BM186" s="890"/>
      <c r="BN186" s="890"/>
      <c r="BO186" s="890"/>
      <c r="BP186" s="890"/>
      <c r="BQ186" s="890"/>
      <c r="BR186" s="890"/>
      <c r="BS186" s="890"/>
      <c r="BT186" s="890"/>
      <c r="BU186" s="890"/>
      <c r="BV186" s="890"/>
      <c r="BW186" s="890"/>
    </row>
    <row r="187" spans="1:75">
      <c r="A187" s="709"/>
      <c r="B187" s="709"/>
      <c r="C187" s="709"/>
      <c r="D187" s="709"/>
      <c r="E187" s="709"/>
      <c r="F187" s="709"/>
      <c r="G187" s="709"/>
      <c r="H187" s="709"/>
      <c r="I187" s="709"/>
      <c r="J187" s="709"/>
      <c r="K187" s="709"/>
      <c r="L187" s="709"/>
      <c r="M187" s="709"/>
      <c r="N187" s="709"/>
      <c r="O187" s="709"/>
      <c r="P187" s="709"/>
      <c r="Q187" s="709"/>
      <c r="R187" s="709"/>
      <c r="S187" s="709"/>
      <c r="T187" s="709"/>
      <c r="U187" s="709"/>
      <c r="V187" s="709"/>
      <c r="W187" s="887"/>
      <c r="BB187" s="3"/>
      <c r="BC187" s="3"/>
      <c r="BD187" s="3"/>
      <c r="BE187" s="3"/>
      <c r="BF187" s="3"/>
      <c r="BG187" s="890"/>
      <c r="BH187" s="890"/>
      <c r="BI187" s="890"/>
      <c r="BJ187" s="890"/>
      <c r="BK187" s="890"/>
      <c r="BL187" s="890"/>
      <c r="BM187" s="890"/>
      <c r="BN187" s="890"/>
      <c r="BO187" s="890"/>
      <c r="BP187" s="890"/>
      <c r="BQ187" s="890"/>
      <c r="BR187" s="890"/>
      <c r="BS187" s="890"/>
      <c r="BT187" s="890"/>
      <c r="BU187" s="890"/>
      <c r="BV187" s="890"/>
      <c r="BW187" s="890"/>
    </row>
    <row r="188" spans="1:75">
      <c r="A188" s="709"/>
      <c r="B188" s="709"/>
      <c r="C188" s="709"/>
      <c r="D188" s="709"/>
      <c r="E188" s="709"/>
      <c r="F188" s="709"/>
      <c r="G188" s="709"/>
      <c r="H188" s="709"/>
      <c r="I188" s="709"/>
      <c r="J188" s="709"/>
      <c r="K188" s="709"/>
      <c r="L188" s="709"/>
      <c r="M188" s="709"/>
      <c r="N188" s="709"/>
      <c r="O188" s="709"/>
      <c r="P188" s="709"/>
      <c r="Q188" s="709"/>
      <c r="R188" s="709"/>
      <c r="S188" s="709"/>
      <c r="T188" s="709"/>
      <c r="U188" s="709"/>
      <c r="V188" s="709"/>
      <c r="W188" s="887"/>
      <c r="BB188" s="3"/>
      <c r="BC188" s="3"/>
      <c r="BD188" s="3"/>
      <c r="BE188" s="3"/>
      <c r="BF188" s="3"/>
      <c r="BG188" s="890"/>
      <c r="BH188" s="890"/>
      <c r="BI188" s="890"/>
      <c r="BJ188" s="890"/>
      <c r="BK188" s="890"/>
      <c r="BL188" s="890"/>
      <c r="BM188" s="890"/>
      <c r="BN188" s="890"/>
      <c r="BO188" s="890"/>
      <c r="BP188" s="890"/>
      <c r="BQ188" s="890"/>
      <c r="BR188" s="890"/>
      <c r="BS188" s="890"/>
      <c r="BT188" s="890"/>
      <c r="BU188" s="890"/>
      <c r="BV188" s="890"/>
      <c r="BW188" s="890"/>
    </row>
    <row r="189" spans="1:75">
      <c r="A189" s="709"/>
      <c r="B189" s="709"/>
      <c r="C189" s="709"/>
      <c r="D189" s="709"/>
      <c r="E189" s="709"/>
      <c r="F189" s="709"/>
      <c r="G189" s="709"/>
      <c r="H189" s="709"/>
      <c r="I189" s="709"/>
      <c r="J189" s="709"/>
      <c r="K189" s="709"/>
      <c r="L189" s="709"/>
      <c r="M189" s="709"/>
      <c r="N189" s="709"/>
      <c r="O189" s="709"/>
      <c r="P189" s="709"/>
      <c r="Q189" s="709"/>
      <c r="R189" s="709"/>
      <c r="S189" s="709"/>
      <c r="T189" s="709"/>
      <c r="U189" s="709"/>
      <c r="V189" s="709"/>
      <c r="W189" s="887"/>
      <c r="BB189" s="3"/>
      <c r="BC189" s="3"/>
      <c r="BD189" s="3"/>
      <c r="BE189" s="3"/>
      <c r="BF189" s="3"/>
      <c r="BG189" s="890"/>
      <c r="BH189" s="890"/>
      <c r="BI189" s="890"/>
      <c r="BJ189" s="890"/>
      <c r="BK189" s="890"/>
      <c r="BL189" s="890"/>
      <c r="BM189" s="890"/>
      <c r="BN189" s="890"/>
      <c r="BO189" s="890"/>
      <c r="BP189" s="890"/>
      <c r="BQ189" s="890"/>
      <c r="BR189" s="890"/>
      <c r="BS189" s="890"/>
      <c r="BT189" s="890"/>
      <c r="BU189" s="890"/>
      <c r="BV189" s="890"/>
      <c r="BW189" s="890"/>
    </row>
    <row r="190" spans="1:75">
      <c r="A190" s="709"/>
      <c r="B190" s="709"/>
      <c r="C190" s="709"/>
      <c r="D190" s="709"/>
      <c r="E190" s="709"/>
      <c r="F190" s="709"/>
      <c r="G190" s="709"/>
      <c r="H190" s="709"/>
      <c r="I190" s="709"/>
      <c r="J190" s="709"/>
      <c r="K190" s="709"/>
      <c r="L190" s="709"/>
      <c r="M190" s="709"/>
      <c r="N190" s="709"/>
      <c r="O190" s="709"/>
      <c r="P190" s="709"/>
      <c r="Q190" s="709"/>
      <c r="R190" s="709"/>
      <c r="S190" s="709"/>
      <c r="T190" s="709"/>
      <c r="U190" s="709"/>
      <c r="V190" s="709"/>
      <c r="W190" s="887"/>
      <c r="BB190" s="3"/>
      <c r="BC190" s="3"/>
      <c r="BD190" s="3"/>
      <c r="BE190" s="3"/>
      <c r="BF190" s="3"/>
      <c r="BG190" s="890"/>
      <c r="BH190" s="890"/>
      <c r="BI190" s="890"/>
      <c r="BJ190" s="890"/>
      <c r="BK190" s="890"/>
      <c r="BL190" s="890"/>
      <c r="BM190" s="890"/>
      <c r="BN190" s="890"/>
      <c r="BO190" s="890"/>
      <c r="BP190" s="890"/>
      <c r="BQ190" s="890"/>
      <c r="BR190" s="890"/>
      <c r="BS190" s="890"/>
      <c r="BT190" s="890"/>
      <c r="BU190" s="890"/>
      <c r="BV190" s="890"/>
      <c r="BW190" s="890"/>
    </row>
    <row r="191" spans="1:75">
      <c r="A191" s="709"/>
      <c r="B191" s="709"/>
      <c r="C191" s="709"/>
      <c r="D191" s="709"/>
      <c r="E191" s="709"/>
      <c r="F191" s="709"/>
      <c r="G191" s="709"/>
      <c r="H191" s="709"/>
      <c r="I191" s="709"/>
      <c r="J191" s="709"/>
      <c r="K191" s="709"/>
      <c r="L191" s="709"/>
      <c r="M191" s="709"/>
      <c r="N191" s="709"/>
      <c r="O191" s="709"/>
      <c r="P191" s="709"/>
      <c r="Q191" s="709"/>
      <c r="R191" s="709"/>
      <c r="S191" s="709"/>
      <c r="T191" s="709"/>
      <c r="U191" s="709"/>
      <c r="V191" s="709"/>
      <c r="W191" s="887"/>
      <c r="BB191" s="3"/>
      <c r="BC191" s="3"/>
      <c r="BD191" s="3"/>
      <c r="BE191" s="3"/>
      <c r="BF191" s="3"/>
      <c r="BG191" s="890"/>
      <c r="BH191" s="890"/>
      <c r="BI191" s="890"/>
      <c r="BJ191" s="890"/>
      <c r="BK191" s="890"/>
      <c r="BL191" s="890"/>
      <c r="BM191" s="890"/>
      <c r="BN191" s="890"/>
      <c r="BO191" s="890"/>
      <c r="BP191" s="890"/>
      <c r="BQ191" s="890"/>
      <c r="BR191" s="890"/>
      <c r="BS191" s="890"/>
      <c r="BT191" s="890"/>
      <c r="BU191" s="890"/>
      <c r="BV191" s="890"/>
      <c r="BW191" s="890"/>
    </row>
    <row r="192" spans="1:75">
      <c r="A192" s="709"/>
      <c r="B192" s="709"/>
      <c r="C192" s="709"/>
      <c r="D192" s="709"/>
      <c r="E192" s="709"/>
      <c r="F192" s="709"/>
      <c r="G192" s="709"/>
      <c r="H192" s="709"/>
      <c r="I192" s="709"/>
      <c r="J192" s="709"/>
      <c r="K192" s="709"/>
      <c r="L192" s="709"/>
      <c r="M192" s="709"/>
      <c r="N192" s="709"/>
      <c r="O192" s="709"/>
      <c r="P192" s="709"/>
      <c r="Q192" s="709"/>
      <c r="R192" s="709"/>
      <c r="S192" s="709"/>
      <c r="T192" s="709"/>
      <c r="U192" s="709"/>
      <c r="V192" s="709"/>
      <c r="W192" s="887"/>
      <c r="BB192" s="3"/>
      <c r="BC192" s="3"/>
      <c r="BD192" s="3"/>
      <c r="BE192" s="3"/>
      <c r="BF192" s="3"/>
      <c r="BG192" s="890"/>
      <c r="BH192" s="890"/>
      <c r="BI192" s="890"/>
      <c r="BJ192" s="890"/>
      <c r="BK192" s="890"/>
      <c r="BL192" s="890"/>
      <c r="BM192" s="890"/>
      <c r="BN192" s="890"/>
      <c r="BO192" s="890"/>
      <c r="BP192" s="890"/>
      <c r="BQ192" s="890"/>
      <c r="BR192" s="890"/>
      <c r="BS192" s="890"/>
      <c r="BT192" s="890"/>
      <c r="BU192" s="890"/>
      <c r="BV192" s="890"/>
      <c r="BW192" s="890"/>
    </row>
    <row r="193" spans="1:75">
      <c r="A193" s="709"/>
      <c r="B193" s="709"/>
      <c r="C193" s="709"/>
      <c r="D193" s="709"/>
      <c r="E193" s="709"/>
      <c r="F193" s="709"/>
      <c r="G193" s="709"/>
      <c r="H193" s="709"/>
      <c r="I193" s="709"/>
      <c r="J193" s="709"/>
      <c r="K193" s="709"/>
      <c r="L193" s="709"/>
      <c r="M193" s="709"/>
      <c r="N193" s="709"/>
      <c r="O193" s="709"/>
      <c r="P193" s="709"/>
      <c r="Q193" s="709"/>
      <c r="R193" s="709"/>
      <c r="S193" s="709"/>
      <c r="T193" s="709"/>
      <c r="U193" s="709"/>
      <c r="V193" s="709"/>
      <c r="W193" s="887"/>
      <c r="BB193" s="3"/>
      <c r="BC193" s="3"/>
      <c r="BD193" s="3"/>
      <c r="BE193" s="3"/>
      <c r="BF193" s="3"/>
      <c r="BG193" s="890"/>
      <c r="BH193" s="890"/>
      <c r="BI193" s="890"/>
      <c r="BJ193" s="890"/>
      <c r="BK193" s="890"/>
      <c r="BL193" s="890"/>
      <c r="BM193" s="890"/>
      <c r="BN193" s="890"/>
      <c r="BO193" s="890"/>
      <c r="BP193" s="890"/>
      <c r="BQ193" s="890"/>
      <c r="BR193" s="890"/>
      <c r="BS193" s="890"/>
      <c r="BT193" s="890"/>
      <c r="BU193" s="890"/>
      <c r="BV193" s="890"/>
      <c r="BW193" s="890"/>
    </row>
    <row r="194" spans="1:75">
      <c r="A194" s="709"/>
      <c r="B194" s="709"/>
      <c r="C194" s="709"/>
      <c r="D194" s="709"/>
      <c r="E194" s="709"/>
      <c r="F194" s="709"/>
      <c r="G194" s="709"/>
      <c r="H194" s="709"/>
      <c r="I194" s="709"/>
      <c r="J194" s="709"/>
      <c r="K194" s="709"/>
      <c r="L194" s="709"/>
      <c r="M194" s="709"/>
      <c r="N194" s="709"/>
      <c r="O194" s="709"/>
      <c r="P194" s="709"/>
      <c r="Q194" s="709"/>
      <c r="R194" s="709"/>
      <c r="S194" s="709"/>
      <c r="T194" s="709"/>
      <c r="U194" s="709"/>
      <c r="V194" s="709"/>
      <c r="W194" s="887"/>
      <c r="BB194" s="3"/>
      <c r="BC194" s="3"/>
      <c r="BD194" s="3"/>
      <c r="BE194" s="3"/>
      <c r="BF194" s="3"/>
      <c r="BG194" s="890"/>
      <c r="BH194" s="890"/>
      <c r="BI194" s="890"/>
      <c r="BJ194" s="890"/>
      <c r="BK194" s="890"/>
      <c r="BL194" s="890"/>
      <c r="BM194" s="890"/>
      <c r="BN194" s="890"/>
      <c r="BO194" s="890"/>
      <c r="BP194" s="890"/>
      <c r="BQ194" s="890"/>
      <c r="BR194" s="890"/>
      <c r="BS194" s="890"/>
      <c r="BT194" s="890"/>
      <c r="BU194" s="890"/>
      <c r="BV194" s="890"/>
      <c r="BW194" s="890"/>
    </row>
    <row r="195" spans="1:75">
      <c r="A195" s="709"/>
      <c r="B195" s="709"/>
      <c r="C195" s="709"/>
      <c r="D195" s="709"/>
      <c r="E195" s="709"/>
      <c r="F195" s="709"/>
      <c r="G195" s="709"/>
      <c r="H195" s="709"/>
      <c r="I195" s="709"/>
      <c r="J195" s="709"/>
      <c r="K195" s="709"/>
      <c r="L195" s="709"/>
      <c r="M195" s="709"/>
      <c r="N195" s="709"/>
      <c r="O195" s="709"/>
      <c r="P195" s="709"/>
      <c r="Q195" s="709"/>
      <c r="R195" s="709"/>
      <c r="S195" s="709"/>
      <c r="T195" s="709"/>
      <c r="U195" s="709"/>
      <c r="V195" s="709"/>
      <c r="W195" s="887"/>
      <c r="BB195" s="3"/>
      <c r="BC195" s="3"/>
      <c r="BD195" s="3"/>
      <c r="BE195" s="3"/>
      <c r="BF195" s="3"/>
      <c r="BG195" s="890"/>
      <c r="BH195" s="890"/>
      <c r="BI195" s="890"/>
      <c r="BJ195" s="890"/>
      <c r="BK195" s="890"/>
      <c r="BL195" s="890"/>
      <c r="BM195" s="890"/>
      <c r="BN195" s="890"/>
      <c r="BO195" s="890"/>
      <c r="BP195" s="890"/>
      <c r="BQ195" s="890"/>
      <c r="BR195" s="890"/>
      <c r="BS195" s="890"/>
      <c r="BT195" s="890"/>
      <c r="BU195" s="890"/>
      <c r="BV195" s="890"/>
      <c r="BW195" s="890"/>
    </row>
    <row r="196" spans="1:75">
      <c r="A196" s="709"/>
      <c r="B196" s="709"/>
      <c r="C196" s="709"/>
      <c r="D196" s="709"/>
      <c r="E196" s="709"/>
      <c r="F196" s="709"/>
      <c r="G196" s="709"/>
      <c r="H196" s="709"/>
      <c r="I196" s="709"/>
      <c r="J196" s="709"/>
      <c r="K196" s="709"/>
      <c r="L196" s="709"/>
      <c r="M196" s="709"/>
      <c r="N196" s="709"/>
      <c r="O196" s="709"/>
      <c r="P196" s="709"/>
      <c r="Q196" s="709"/>
      <c r="R196" s="709"/>
      <c r="S196" s="709"/>
      <c r="T196" s="709"/>
      <c r="U196" s="709"/>
      <c r="V196" s="709"/>
      <c r="W196" s="887"/>
      <c r="BB196" s="3"/>
      <c r="BC196" s="3"/>
      <c r="BD196" s="3"/>
      <c r="BE196" s="3"/>
      <c r="BF196" s="3"/>
      <c r="BG196" s="890"/>
      <c r="BH196" s="890"/>
      <c r="BI196" s="890"/>
      <c r="BJ196" s="890"/>
      <c r="BK196" s="890"/>
      <c r="BL196" s="890"/>
      <c r="BM196" s="890"/>
      <c r="BN196" s="890"/>
      <c r="BO196" s="890"/>
      <c r="BP196" s="890"/>
      <c r="BQ196" s="890"/>
      <c r="BR196" s="890"/>
      <c r="BS196" s="890"/>
      <c r="BT196" s="890"/>
      <c r="BU196" s="890"/>
      <c r="BV196" s="890"/>
      <c r="BW196" s="890"/>
    </row>
    <row r="197" spans="1:75">
      <c r="A197" s="709"/>
      <c r="B197" s="709"/>
      <c r="C197" s="709"/>
      <c r="D197" s="709"/>
      <c r="E197" s="709"/>
      <c r="F197" s="709"/>
      <c r="G197" s="709"/>
      <c r="H197" s="709"/>
      <c r="I197" s="709"/>
      <c r="J197" s="709"/>
      <c r="K197" s="709"/>
      <c r="L197" s="709"/>
      <c r="M197" s="709"/>
      <c r="N197" s="709"/>
      <c r="O197" s="709"/>
      <c r="P197" s="709"/>
      <c r="Q197" s="709"/>
      <c r="R197" s="709"/>
      <c r="S197" s="709"/>
      <c r="T197" s="709"/>
      <c r="U197" s="709"/>
      <c r="V197" s="709"/>
      <c r="W197" s="887"/>
      <c r="BB197" s="3"/>
      <c r="BC197" s="3"/>
      <c r="BD197" s="3"/>
      <c r="BE197" s="3"/>
      <c r="BF197" s="3"/>
      <c r="BG197" s="890"/>
      <c r="BH197" s="890"/>
      <c r="BI197" s="890"/>
      <c r="BJ197" s="890"/>
      <c r="BK197" s="890"/>
      <c r="BL197" s="890"/>
      <c r="BM197" s="890"/>
      <c r="BN197" s="890"/>
      <c r="BO197" s="890"/>
      <c r="BP197" s="890"/>
      <c r="BQ197" s="890"/>
      <c r="BR197" s="890"/>
      <c r="BS197" s="890"/>
      <c r="BT197" s="890"/>
      <c r="BU197" s="890"/>
      <c r="BV197" s="890"/>
      <c r="BW197" s="890"/>
    </row>
    <row r="198" spans="1:75">
      <c r="A198" s="709"/>
      <c r="B198" s="709"/>
      <c r="C198" s="709"/>
      <c r="D198" s="709"/>
      <c r="E198" s="709"/>
      <c r="F198" s="709"/>
      <c r="G198" s="709"/>
      <c r="H198" s="709"/>
      <c r="I198" s="709"/>
      <c r="J198" s="709"/>
      <c r="K198" s="709"/>
      <c r="L198" s="709"/>
      <c r="M198" s="709"/>
      <c r="N198" s="709"/>
      <c r="O198" s="709"/>
      <c r="P198" s="709"/>
      <c r="Q198" s="709"/>
      <c r="R198" s="709"/>
      <c r="S198" s="709"/>
      <c r="T198" s="709"/>
      <c r="U198" s="709"/>
      <c r="V198" s="709"/>
      <c r="W198" s="887"/>
      <c r="BB198" s="3"/>
      <c r="BC198" s="3"/>
      <c r="BD198" s="3"/>
      <c r="BE198" s="3"/>
      <c r="BF198" s="3"/>
      <c r="BG198" s="890"/>
      <c r="BH198" s="890"/>
      <c r="BI198" s="890"/>
      <c r="BJ198" s="890"/>
      <c r="BK198" s="890"/>
      <c r="BL198" s="890"/>
      <c r="BM198" s="890"/>
      <c r="BN198" s="890"/>
      <c r="BO198" s="890"/>
      <c r="BP198" s="890"/>
      <c r="BQ198" s="890"/>
      <c r="BR198" s="890"/>
      <c r="BS198" s="890"/>
      <c r="BT198" s="890"/>
      <c r="BU198" s="890"/>
      <c r="BV198" s="890"/>
      <c r="BW198" s="890"/>
    </row>
    <row r="199" spans="1:75">
      <c r="A199" s="709"/>
      <c r="B199" s="709"/>
      <c r="C199" s="709"/>
      <c r="D199" s="709"/>
      <c r="E199" s="709"/>
      <c r="F199" s="709"/>
      <c r="G199" s="709"/>
      <c r="H199" s="709"/>
      <c r="I199" s="709"/>
      <c r="J199" s="709"/>
      <c r="K199" s="709"/>
      <c r="L199" s="709"/>
      <c r="M199" s="709"/>
      <c r="N199" s="709"/>
      <c r="O199" s="709"/>
      <c r="P199" s="709"/>
      <c r="Q199" s="709"/>
      <c r="R199" s="709"/>
      <c r="S199" s="709"/>
      <c r="T199" s="709"/>
      <c r="U199" s="709"/>
      <c r="V199" s="709"/>
      <c r="W199" s="887"/>
      <c r="BB199" s="3"/>
      <c r="BC199" s="3"/>
      <c r="BD199" s="3"/>
      <c r="BE199" s="3"/>
      <c r="BF199" s="3"/>
      <c r="BG199" s="890"/>
      <c r="BH199" s="890"/>
      <c r="BI199" s="890"/>
      <c r="BJ199" s="890"/>
      <c r="BK199" s="890"/>
      <c r="BL199" s="890"/>
      <c r="BM199" s="890"/>
      <c r="BN199" s="890"/>
      <c r="BO199" s="890"/>
      <c r="BP199" s="890"/>
      <c r="BQ199" s="890"/>
      <c r="BR199" s="890"/>
      <c r="BS199" s="890"/>
      <c r="BT199" s="890"/>
      <c r="BU199" s="890"/>
      <c r="BV199" s="890"/>
      <c r="BW199" s="890"/>
    </row>
    <row r="200" spans="1:75">
      <c r="A200" s="709"/>
      <c r="B200" s="709"/>
      <c r="C200" s="709"/>
      <c r="D200" s="709"/>
      <c r="E200" s="709"/>
      <c r="F200" s="709"/>
      <c r="G200" s="709"/>
      <c r="H200" s="709"/>
      <c r="I200" s="709"/>
      <c r="J200" s="709"/>
      <c r="K200" s="709"/>
      <c r="L200" s="709"/>
      <c r="M200" s="709"/>
      <c r="N200" s="709"/>
      <c r="O200" s="709"/>
      <c r="P200" s="709"/>
      <c r="Q200" s="709"/>
      <c r="R200" s="709"/>
      <c r="S200" s="709"/>
      <c r="T200" s="709"/>
      <c r="U200" s="709"/>
      <c r="V200" s="709"/>
      <c r="W200" s="887"/>
      <c r="BB200" s="3"/>
      <c r="BC200" s="3"/>
      <c r="BD200" s="3"/>
      <c r="BE200" s="3"/>
      <c r="BF200" s="3"/>
      <c r="BG200" s="890"/>
      <c r="BH200" s="890"/>
      <c r="BI200" s="890"/>
      <c r="BJ200" s="890"/>
      <c r="BK200" s="890"/>
      <c r="BL200" s="890"/>
      <c r="BM200" s="890"/>
      <c r="BN200" s="890"/>
      <c r="BO200" s="890"/>
      <c r="BP200" s="890"/>
      <c r="BQ200" s="890"/>
      <c r="BR200" s="890"/>
      <c r="BS200" s="890"/>
      <c r="BT200" s="890"/>
      <c r="BU200" s="890"/>
      <c r="BV200" s="890"/>
      <c r="BW200" s="890"/>
    </row>
    <row r="201" spans="1:75">
      <c r="A201" s="709"/>
      <c r="B201" s="709"/>
      <c r="C201" s="709"/>
      <c r="D201" s="709"/>
      <c r="E201" s="709"/>
      <c r="F201" s="709"/>
      <c r="G201" s="709"/>
      <c r="H201" s="709"/>
      <c r="I201" s="709"/>
      <c r="J201" s="709"/>
      <c r="K201" s="709"/>
      <c r="L201" s="709"/>
      <c r="M201" s="709"/>
      <c r="N201" s="709"/>
      <c r="O201" s="709"/>
      <c r="P201" s="709"/>
      <c r="Q201" s="709"/>
      <c r="R201" s="709"/>
      <c r="S201" s="709"/>
      <c r="T201" s="709"/>
      <c r="U201" s="709"/>
      <c r="V201" s="709"/>
      <c r="W201" s="887"/>
      <c r="BB201" s="3"/>
      <c r="BC201" s="3"/>
      <c r="BD201" s="3"/>
      <c r="BE201" s="3"/>
      <c r="BF201" s="3"/>
      <c r="BG201" s="890"/>
      <c r="BH201" s="890"/>
      <c r="BI201" s="890"/>
      <c r="BJ201" s="890"/>
      <c r="BK201" s="890"/>
      <c r="BL201" s="890"/>
      <c r="BM201" s="890"/>
      <c r="BN201" s="890"/>
      <c r="BO201" s="890"/>
      <c r="BP201" s="890"/>
      <c r="BQ201" s="890"/>
      <c r="BR201" s="890"/>
      <c r="BS201" s="890"/>
      <c r="BT201" s="890"/>
      <c r="BU201" s="890"/>
      <c r="BV201" s="890"/>
      <c r="BW201" s="890"/>
    </row>
    <row r="202" spans="1:75">
      <c r="A202" s="709"/>
      <c r="B202" s="709"/>
      <c r="C202" s="709"/>
      <c r="D202" s="709"/>
      <c r="E202" s="709"/>
      <c r="F202" s="709"/>
      <c r="G202" s="709"/>
      <c r="H202" s="709"/>
      <c r="I202" s="709"/>
      <c r="J202" s="709"/>
      <c r="K202" s="709"/>
      <c r="L202" s="709"/>
      <c r="M202" s="709"/>
      <c r="N202" s="709"/>
      <c r="O202" s="709"/>
      <c r="P202" s="709"/>
      <c r="Q202" s="709"/>
      <c r="R202" s="709"/>
      <c r="S202" s="709"/>
      <c r="T202" s="709"/>
      <c r="U202" s="709"/>
      <c r="V202" s="709"/>
      <c r="W202" s="887"/>
      <c r="BB202" s="3"/>
      <c r="BC202" s="3"/>
      <c r="BD202" s="3"/>
      <c r="BE202" s="3"/>
      <c r="BF202" s="3"/>
      <c r="BG202" s="890"/>
      <c r="BH202" s="890"/>
      <c r="BI202" s="890"/>
      <c r="BJ202" s="890"/>
      <c r="BK202" s="890"/>
      <c r="BL202" s="890"/>
      <c r="BM202" s="890"/>
      <c r="BN202" s="890"/>
      <c r="BO202" s="890"/>
      <c r="BP202" s="890"/>
      <c r="BQ202" s="890"/>
      <c r="BR202" s="890"/>
      <c r="BS202" s="890"/>
      <c r="BT202" s="890"/>
      <c r="BU202" s="890"/>
      <c r="BV202" s="890"/>
      <c r="BW202" s="890"/>
    </row>
    <row r="203" spans="1:75">
      <c r="A203" s="709"/>
      <c r="B203" s="709"/>
      <c r="C203" s="709"/>
      <c r="D203" s="709"/>
      <c r="E203" s="709"/>
      <c r="F203" s="709"/>
      <c r="G203" s="709"/>
      <c r="H203" s="709"/>
      <c r="I203" s="709"/>
      <c r="J203" s="709"/>
      <c r="K203" s="709"/>
      <c r="L203" s="709"/>
      <c r="M203" s="709"/>
      <c r="N203" s="709"/>
      <c r="O203" s="709"/>
      <c r="P203" s="709"/>
      <c r="Q203" s="709"/>
      <c r="R203" s="709"/>
      <c r="S203" s="709"/>
      <c r="T203" s="709"/>
      <c r="U203" s="709"/>
      <c r="V203" s="709"/>
      <c r="W203" s="887"/>
      <c r="BB203" s="3"/>
      <c r="BC203" s="3"/>
      <c r="BD203" s="3"/>
      <c r="BE203" s="3"/>
      <c r="BF203" s="3"/>
      <c r="BG203" s="890"/>
      <c r="BH203" s="890"/>
      <c r="BI203" s="890"/>
      <c r="BJ203" s="890"/>
      <c r="BK203" s="890"/>
      <c r="BL203" s="890"/>
      <c r="BM203" s="890"/>
      <c r="BN203" s="890"/>
      <c r="BO203" s="890"/>
      <c r="BP203" s="890"/>
      <c r="BQ203" s="890"/>
      <c r="BR203" s="890"/>
      <c r="BS203" s="890"/>
      <c r="BT203" s="890"/>
      <c r="BU203" s="890"/>
      <c r="BV203" s="890"/>
      <c r="BW203" s="890"/>
    </row>
    <row r="204" spans="1:75">
      <c r="A204" s="709"/>
      <c r="B204" s="709"/>
      <c r="C204" s="709"/>
      <c r="D204" s="709"/>
      <c r="E204" s="709"/>
      <c r="F204" s="709"/>
      <c r="G204" s="709"/>
      <c r="H204" s="709"/>
      <c r="I204" s="709"/>
      <c r="J204" s="709"/>
      <c r="K204" s="709"/>
      <c r="L204" s="709"/>
      <c r="M204" s="709"/>
      <c r="N204" s="709"/>
      <c r="O204" s="709"/>
      <c r="P204" s="709"/>
      <c r="Q204" s="709"/>
      <c r="R204" s="709"/>
      <c r="S204" s="709"/>
      <c r="T204" s="709"/>
      <c r="U204" s="709"/>
      <c r="V204" s="709"/>
      <c r="W204" s="887"/>
      <c r="BB204" s="3"/>
      <c r="BC204" s="3"/>
      <c r="BD204" s="3"/>
      <c r="BE204" s="3"/>
      <c r="BF204" s="3"/>
      <c r="BG204" s="890"/>
      <c r="BH204" s="890"/>
      <c r="BI204" s="890"/>
      <c r="BJ204" s="890"/>
      <c r="BK204" s="890"/>
      <c r="BL204" s="890"/>
      <c r="BM204" s="890"/>
      <c r="BN204" s="890"/>
      <c r="BO204" s="890"/>
      <c r="BP204" s="890"/>
      <c r="BQ204" s="890"/>
      <c r="BR204" s="890"/>
      <c r="BS204" s="890"/>
      <c r="BT204" s="890"/>
      <c r="BU204" s="890"/>
      <c r="BV204" s="890"/>
      <c r="BW204" s="890"/>
    </row>
    <row r="205" spans="1:75">
      <c r="A205" s="709"/>
      <c r="B205" s="709"/>
      <c r="C205" s="709"/>
      <c r="D205" s="709"/>
      <c r="E205" s="709"/>
      <c r="F205" s="709"/>
      <c r="G205" s="709"/>
      <c r="H205" s="709"/>
      <c r="I205" s="709"/>
      <c r="J205" s="709"/>
      <c r="K205" s="709"/>
      <c r="L205" s="709"/>
      <c r="M205" s="709"/>
      <c r="N205" s="709"/>
      <c r="O205" s="709"/>
      <c r="P205" s="709"/>
      <c r="Q205" s="709"/>
      <c r="R205" s="709"/>
      <c r="S205" s="709"/>
      <c r="T205" s="709"/>
      <c r="U205" s="709"/>
      <c r="V205" s="709"/>
      <c r="W205" s="887"/>
      <c r="BB205" s="3"/>
      <c r="BC205" s="3"/>
      <c r="BD205" s="3"/>
      <c r="BE205" s="3"/>
      <c r="BF205" s="3"/>
      <c r="BG205" s="890"/>
      <c r="BH205" s="890"/>
      <c r="BI205" s="890"/>
      <c r="BJ205" s="890"/>
      <c r="BK205" s="890"/>
      <c r="BL205" s="890"/>
      <c r="BM205" s="890"/>
      <c r="BN205" s="890"/>
      <c r="BO205" s="890"/>
      <c r="BP205" s="890"/>
      <c r="BQ205" s="890"/>
      <c r="BR205" s="890"/>
      <c r="BS205" s="890"/>
      <c r="BT205" s="890"/>
      <c r="BU205" s="890"/>
      <c r="BV205" s="890"/>
      <c r="BW205" s="890"/>
    </row>
    <row r="206" spans="1:75">
      <c r="A206" s="709"/>
      <c r="B206" s="709"/>
      <c r="C206" s="709"/>
      <c r="D206" s="709"/>
      <c r="E206" s="709"/>
      <c r="F206" s="709"/>
      <c r="G206" s="709"/>
      <c r="H206" s="709"/>
      <c r="I206" s="709"/>
      <c r="J206" s="709"/>
      <c r="K206" s="709"/>
      <c r="L206" s="709"/>
      <c r="M206" s="709"/>
      <c r="N206" s="709"/>
      <c r="O206" s="709"/>
      <c r="P206" s="709"/>
      <c r="Q206" s="709"/>
      <c r="R206" s="709"/>
      <c r="S206" s="709"/>
      <c r="T206" s="709"/>
      <c r="U206" s="709"/>
      <c r="V206" s="709"/>
      <c r="W206" s="887"/>
      <c r="BB206" s="3"/>
      <c r="BC206" s="3"/>
      <c r="BD206" s="3"/>
      <c r="BE206" s="3"/>
      <c r="BF206" s="3"/>
      <c r="BG206" s="890"/>
      <c r="BH206" s="890"/>
      <c r="BI206" s="890"/>
      <c r="BJ206" s="890"/>
      <c r="BK206" s="890"/>
      <c r="BL206" s="890"/>
      <c r="BM206" s="890"/>
      <c r="BN206" s="890"/>
      <c r="BO206" s="890"/>
      <c r="BP206" s="890"/>
      <c r="BQ206" s="890"/>
      <c r="BR206" s="890"/>
      <c r="BS206" s="890"/>
      <c r="BT206" s="890"/>
      <c r="BU206" s="890"/>
      <c r="BV206" s="890"/>
      <c r="BW206" s="890"/>
    </row>
    <row r="207" spans="1:75">
      <c r="A207" s="709"/>
      <c r="B207" s="709"/>
      <c r="C207" s="709"/>
      <c r="D207" s="709"/>
      <c r="E207" s="709"/>
      <c r="F207" s="709"/>
      <c r="G207" s="709"/>
      <c r="H207" s="709"/>
      <c r="I207" s="709"/>
      <c r="J207" s="709"/>
      <c r="K207" s="709"/>
      <c r="L207" s="709"/>
      <c r="M207" s="709"/>
      <c r="N207" s="709"/>
      <c r="O207" s="709"/>
      <c r="P207" s="709"/>
      <c r="Q207" s="709"/>
      <c r="R207" s="709"/>
      <c r="S207" s="709"/>
      <c r="T207" s="709"/>
      <c r="U207" s="709"/>
      <c r="V207" s="709"/>
      <c r="W207" s="887"/>
      <c r="BB207" s="3"/>
      <c r="BC207" s="3"/>
      <c r="BD207" s="3"/>
      <c r="BE207" s="3"/>
      <c r="BF207" s="3"/>
      <c r="BG207" s="890"/>
      <c r="BH207" s="890"/>
      <c r="BI207" s="890"/>
      <c r="BJ207" s="890"/>
      <c r="BK207" s="890"/>
      <c r="BL207" s="890"/>
      <c r="BM207" s="890"/>
      <c r="BN207" s="890"/>
      <c r="BO207" s="890"/>
      <c r="BP207" s="890"/>
      <c r="BQ207" s="890"/>
      <c r="BR207" s="890"/>
      <c r="BS207" s="890"/>
      <c r="BT207" s="890"/>
      <c r="BU207" s="890"/>
      <c r="BV207" s="890"/>
      <c r="BW207" s="890"/>
    </row>
    <row r="208" spans="1:75">
      <c r="A208" s="709"/>
      <c r="B208" s="709"/>
      <c r="C208" s="709"/>
      <c r="D208" s="709"/>
      <c r="E208" s="709"/>
      <c r="F208" s="709"/>
      <c r="G208" s="709"/>
      <c r="H208" s="709"/>
      <c r="I208" s="709"/>
      <c r="J208" s="709"/>
      <c r="K208" s="709"/>
      <c r="L208" s="709"/>
      <c r="M208" s="709"/>
      <c r="N208" s="709"/>
      <c r="O208" s="709"/>
      <c r="P208" s="709"/>
      <c r="Q208" s="709"/>
      <c r="R208" s="709"/>
      <c r="S208" s="709"/>
      <c r="T208" s="709"/>
      <c r="U208" s="709"/>
      <c r="V208" s="709"/>
      <c r="W208" s="887"/>
      <c r="BB208" s="3"/>
      <c r="BC208" s="3"/>
      <c r="BD208" s="3"/>
      <c r="BE208" s="3"/>
      <c r="BF208" s="3"/>
      <c r="BG208" s="890"/>
      <c r="BH208" s="890"/>
      <c r="BI208" s="890"/>
      <c r="BJ208" s="890"/>
      <c r="BK208" s="890"/>
      <c r="BL208" s="890"/>
      <c r="BM208" s="890"/>
      <c r="BN208" s="890"/>
      <c r="BO208" s="890"/>
      <c r="BP208" s="890"/>
      <c r="BQ208" s="890"/>
      <c r="BR208" s="890"/>
      <c r="BS208" s="890"/>
      <c r="BT208" s="890"/>
      <c r="BU208" s="890"/>
      <c r="BV208" s="890"/>
      <c r="BW208" s="890"/>
    </row>
    <row r="209" spans="1:75">
      <c r="A209" s="709"/>
      <c r="B209" s="709"/>
      <c r="C209" s="709"/>
      <c r="D209" s="709"/>
      <c r="E209" s="709"/>
      <c r="F209" s="709"/>
      <c r="G209" s="709"/>
      <c r="H209" s="709"/>
      <c r="I209" s="709"/>
      <c r="J209" s="709"/>
      <c r="K209" s="709"/>
      <c r="L209" s="709"/>
      <c r="M209" s="709"/>
      <c r="N209" s="709"/>
      <c r="O209" s="709"/>
      <c r="P209" s="709"/>
      <c r="Q209" s="709"/>
      <c r="R209" s="709"/>
      <c r="S209" s="709"/>
      <c r="T209" s="709"/>
      <c r="U209" s="709"/>
      <c r="V209" s="709"/>
      <c r="W209" s="887"/>
      <c r="BB209" s="3"/>
      <c r="BC209" s="3"/>
      <c r="BD209" s="3"/>
      <c r="BE209" s="3"/>
      <c r="BF209" s="3"/>
      <c r="BG209" s="890"/>
      <c r="BH209" s="890"/>
      <c r="BI209" s="890"/>
      <c r="BJ209" s="890"/>
      <c r="BK209" s="890"/>
      <c r="BL209" s="890"/>
      <c r="BM209" s="890"/>
      <c r="BN209" s="890"/>
      <c r="BO209" s="890"/>
      <c r="BP209" s="890"/>
      <c r="BQ209" s="890"/>
      <c r="BR209" s="890"/>
      <c r="BS209" s="890"/>
      <c r="BT209" s="890"/>
      <c r="BU209" s="890"/>
      <c r="BV209" s="890"/>
      <c r="BW209" s="890"/>
    </row>
    <row r="210" spans="1:75">
      <c r="A210" s="709"/>
      <c r="B210" s="709"/>
      <c r="C210" s="709"/>
      <c r="D210" s="709"/>
      <c r="E210" s="709"/>
      <c r="F210" s="709"/>
      <c r="G210" s="709"/>
      <c r="H210" s="709"/>
      <c r="I210" s="709"/>
      <c r="J210" s="709"/>
      <c r="K210" s="709"/>
      <c r="L210" s="709"/>
      <c r="M210" s="709"/>
      <c r="N210" s="709"/>
      <c r="O210" s="709"/>
      <c r="P210" s="709"/>
      <c r="Q210" s="709"/>
      <c r="R210" s="709"/>
      <c r="S210" s="709"/>
      <c r="T210" s="709"/>
      <c r="U210" s="709"/>
      <c r="V210" s="709"/>
      <c r="W210" s="887"/>
      <c r="BB210" s="3"/>
      <c r="BC210" s="3"/>
      <c r="BD210" s="3"/>
      <c r="BE210" s="3"/>
      <c r="BF210" s="3"/>
      <c r="BG210" s="890"/>
      <c r="BH210" s="890"/>
      <c r="BI210" s="890"/>
      <c r="BJ210" s="890"/>
      <c r="BK210" s="890"/>
      <c r="BL210" s="890"/>
      <c r="BM210" s="890"/>
      <c r="BN210" s="890"/>
      <c r="BO210" s="890"/>
      <c r="BP210" s="890"/>
      <c r="BQ210" s="890"/>
      <c r="BR210" s="890"/>
      <c r="BS210" s="890"/>
      <c r="BT210" s="890"/>
      <c r="BU210" s="890"/>
      <c r="BV210" s="890"/>
      <c r="BW210" s="890"/>
    </row>
    <row r="211" spans="1:75">
      <c r="A211" s="709"/>
      <c r="B211" s="709"/>
      <c r="C211" s="709"/>
      <c r="D211" s="709"/>
      <c r="E211" s="709"/>
      <c r="F211" s="709"/>
      <c r="G211" s="709"/>
      <c r="H211" s="709"/>
      <c r="I211" s="709"/>
      <c r="J211" s="709"/>
      <c r="K211" s="709"/>
      <c r="L211" s="709"/>
      <c r="M211" s="709"/>
      <c r="N211" s="709"/>
      <c r="O211" s="709"/>
      <c r="P211" s="709"/>
      <c r="Q211" s="709"/>
      <c r="R211" s="709"/>
      <c r="S211" s="709"/>
      <c r="T211" s="709"/>
      <c r="U211" s="709"/>
      <c r="V211" s="709"/>
      <c r="W211" s="887"/>
      <c r="BB211" s="3"/>
      <c r="BC211" s="3"/>
      <c r="BD211" s="3"/>
      <c r="BE211" s="3"/>
      <c r="BF211" s="3"/>
      <c r="BG211" s="890"/>
      <c r="BH211" s="890"/>
      <c r="BI211" s="890"/>
      <c r="BJ211" s="890"/>
      <c r="BK211" s="890"/>
      <c r="BL211" s="890"/>
      <c r="BM211" s="890"/>
      <c r="BN211" s="890"/>
      <c r="BO211" s="890"/>
      <c r="BP211" s="890"/>
      <c r="BQ211" s="890"/>
      <c r="BR211" s="890"/>
      <c r="BS211" s="890"/>
      <c r="BT211" s="890"/>
      <c r="BU211" s="890"/>
      <c r="BV211" s="890"/>
      <c r="BW211" s="890"/>
    </row>
    <row r="212" spans="1:75">
      <c r="A212" s="709"/>
      <c r="B212" s="709"/>
      <c r="C212" s="709"/>
      <c r="D212" s="709"/>
      <c r="E212" s="709"/>
      <c r="F212" s="709"/>
      <c r="G212" s="709"/>
      <c r="H212" s="709"/>
      <c r="I212" s="709"/>
      <c r="J212" s="709"/>
      <c r="K212" s="709"/>
      <c r="L212" s="709"/>
      <c r="M212" s="709"/>
      <c r="N212" s="709"/>
      <c r="O212" s="709"/>
      <c r="P212" s="709"/>
      <c r="Q212" s="709"/>
      <c r="R212" s="709"/>
      <c r="S212" s="709"/>
      <c r="T212" s="709"/>
      <c r="U212" s="709"/>
      <c r="V212" s="709"/>
      <c r="W212" s="887"/>
      <c r="BB212" s="3"/>
      <c r="BC212" s="3"/>
      <c r="BD212" s="3"/>
      <c r="BE212" s="3"/>
      <c r="BF212" s="3"/>
      <c r="BG212" s="890"/>
      <c r="BH212" s="890"/>
      <c r="BI212" s="890"/>
      <c r="BJ212" s="890"/>
      <c r="BK212" s="890"/>
      <c r="BL212" s="890"/>
      <c r="BM212" s="890"/>
      <c r="BN212" s="890"/>
      <c r="BO212" s="890"/>
      <c r="BP212" s="890"/>
      <c r="BQ212" s="890"/>
      <c r="BR212" s="890"/>
      <c r="BS212" s="890"/>
      <c r="BT212" s="890"/>
      <c r="BU212" s="890"/>
      <c r="BV212" s="890"/>
      <c r="BW212" s="890"/>
    </row>
    <row r="213" spans="1:75">
      <c r="A213" s="709"/>
      <c r="B213" s="709"/>
      <c r="C213" s="709"/>
      <c r="D213" s="709"/>
      <c r="E213" s="709"/>
      <c r="F213" s="709"/>
      <c r="G213" s="709"/>
      <c r="H213" s="709"/>
      <c r="I213" s="709"/>
      <c r="J213" s="709"/>
      <c r="K213" s="709"/>
      <c r="L213" s="709"/>
      <c r="M213" s="709"/>
      <c r="N213" s="709"/>
      <c r="O213" s="709"/>
      <c r="P213" s="709"/>
      <c r="Q213" s="709"/>
      <c r="R213" s="709"/>
      <c r="S213" s="709"/>
      <c r="T213" s="709"/>
      <c r="U213" s="709"/>
      <c r="V213" s="709"/>
      <c r="W213" s="887"/>
      <c r="BB213" s="3"/>
      <c r="BC213" s="3"/>
      <c r="BD213" s="3"/>
      <c r="BE213" s="3"/>
      <c r="BF213" s="3"/>
      <c r="BG213" s="890"/>
      <c r="BH213" s="890"/>
      <c r="BI213" s="890"/>
      <c r="BJ213" s="890"/>
      <c r="BK213" s="890"/>
      <c r="BL213" s="890"/>
      <c r="BM213" s="890"/>
      <c r="BN213" s="890"/>
      <c r="BO213" s="890"/>
      <c r="BP213" s="890"/>
      <c r="BQ213" s="890"/>
      <c r="BR213" s="890"/>
      <c r="BS213" s="890"/>
      <c r="BT213" s="890"/>
      <c r="BU213" s="890"/>
      <c r="BV213" s="890"/>
      <c r="BW213" s="890"/>
    </row>
    <row r="214" spans="1:75">
      <c r="A214" s="709"/>
      <c r="B214" s="709"/>
      <c r="C214" s="709"/>
      <c r="D214" s="709"/>
      <c r="E214" s="709"/>
      <c r="F214" s="709"/>
      <c r="G214" s="709"/>
      <c r="H214" s="709"/>
      <c r="I214" s="709"/>
      <c r="J214" s="709"/>
      <c r="K214" s="709"/>
      <c r="L214" s="709"/>
      <c r="M214" s="709"/>
      <c r="N214" s="709"/>
      <c r="O214" s="709"/>
      <c r="P214" s="709"/>
      <c r="Q214" s="709"/>
      <c r="R214" s="709"/>
      <c r="S214" s="709"/>
      <c r="T214" s="709"/>
      <c r="U214" s="709"/>
      <c r="V214" s="709"/>
      <c r="W214" s="887"/>
      <c r="BB214" s="3"/>
      <c r="BC214" s="3"/>
      <c r="BD214" s="3"/>
      <c r="BE214" s="3"/>
      <c r="BF214" s="3"/>
      <c r="BG214" s="890"/>
      <c r="BH214" s="890"/>
      <c r="BI214" s="890"/>
      <c r="BJ214" s="890"/>
      <c r="BK214" s="890"/>
      <c r="BL214" s="890"/>
      <c r="BM214" s="890"/>
      <c r="BN214" s="890"/>
      <c r="BO214" s="890"/>
      <c r="BP214" s="890"/>
      <c r="BQ214" s="890"/>
      <c r="BR214" s="890"/>
      <c r="BS214" s="890"/>
      <c r="BT214" s="890"/>
      <c r="BU214" s="890"/>
      <c r="BV214" s="890"/>
      <c r="BW214" s="890"/>
    </row>
    <row r="215" spans="1:75">
      <c r="A215" s="709"/>
      <c r="B215" s="709"/>
      <c r="C215" s="709"/>
      <c r="D215" s="709"/>
      <c r="E215" s="709"/>
      <c r="F215" s="709"/>
      <c r="G215" s="709"/>
      <c r="H215" s="709"/>
      <c r="I215" s="709"/>
      <c r="J215" s="709"/>
      <c r="K215" s="709"/>
      <c r="L215" s="709"/>
      <c r="M215" s="709"/>
      <c r="N215" s="709"/>
      <c r="O215" s="709"/>
      <c r="P215" s="709"/>
      <c r="Q215" s="709"/>
      <c r="R215" s="709"/>
      <c r="S215" s="709"/>
      <c r="T215" s="709"/>
      <c r="U215" s="709"/>
      <c r="V215" s="709"/>
      <c r="W215" s="887"/>
      <c r="BB215" s="3"/>
      <c r="BC215" s="3"/>
      <c r="BD215" s="3"/>
      <c r="BE215" s="3"/>
      <c r="BF215" s="3"/>
      <c r="BG215" s="890"/>
      <c r="BH215" s="890"/>
      <c r="BI215" s="890"/>
      <c r="BJ215" s="890"/>
      <c r="BK215" s="890"/>
      <c r="BL215" s="890"/>
      <c r="BM215" s="890"/>
      <c r="BN215" s="890"/>
      <c r="BO215" s="890"/>
      <c r="BP215" s="890"/>
      <c r="BQ215" s="890"/>
      <c r="BR215" s="890"/>
      <c r="BS215" s="890"/>
      <c r="BT215" s="890"/>
      <c r="BU215" s="890"/>
      <c r="BV215" s="890"/>
      <c r="BW215" s="890"/>
    </row>
    <row r="216" spans="1:75">
      <c r="A216" s="709"/>
      <c r="B216" s="709"/>
      <c r="C216" s="709"/>
      <c r="D216" s="709"/>
      <c r="E216" s="709"/>
      <c r="F216" s="709"/>
      <c r="G216" s="709"/>
      <c r="H216" s="709"/>
      <c r="I216" s="709"/>
      <c r="J216" s="709"/>
      <c r="K216" s="709"/>
      <c r="L216" s="709"/>
      <c r="M216" s="709"/>
      <c r="N216" s="709"/>
      <c r="O216" s="709"/>
      <c r="P216" s="709"/>
      <c r="Q216" s="709"/>
      <c r="R216" s="709"/>
      <c r="S216" s="709"/>
      <c r="T216" s="709"/>
      <c r="U216" s="709"/>
      <c r="V216" s="709"/>
      <c r="W216" s="887"/>
      <c r="BB216" s="3"/>
      <c r="BC216" s="3"/>
      <c r="BD216" s="3"/>
      <c r="BE216" s="3"/>
      <c r="BF216" s="3"/>
      <c r="BG216" s="890"/>
      <c r="BH216" s="890"/>
      <c r="BI216" s="890"/>
      <c r="BJ216" s="890"/>
      <c r="BK216" s="890"/>
      <c r="BL216" s="890"/>
      <c r="BM216" s="890"/>
      <c r="BN216" s="890"/>
      <c r="BO216" s="890"/>
      <c r="BP216" s="890"/>
      <c r="BQ216" s="890"/>
      <c r="BR216" s="890"/>
      <c r="BS216" s="890"/>
      <c r="BT216" s="890"/>
      <c r="BU216" s="890"/>
      <c r="BV216" s="890"/>
      <c r="BW216" s="890"/>
    </row>
    <row r="217" spans="1:75">
      <c r="A217" s="709"/>
      <c r="B217" s="709"/>
      <c r="C217" s="709"/>
      <c r="D217" s="709"/>
      <c r="E217" s="709"/>
      <c r="F217" s="709"/>
      <c r="G217" s="709"/>
      <c r="H217" s="709"/>
      <c r="I217" s="709"/>
      <c r="J217" s="709"/>
      <c r="K217" s="709"/>
      <c r="L217" s="709"/>
      <c r="M217" s="709"/>
      <c r="N217" s="709"/>
      <c r="O217" s="709"/>
      <c r="P217" s="709"/>
      <c r="Q217" s="709"/>
      <c r="R217" s="709"/>
      <c r="S217" s="709"/>
      <c r="T217" s="709"/>
      <c r="U217" s="709"/>
      <c r="V217" s="709"/>
      <c r="W217" s="887"/>
      <c r="BB217" s="3"/>
      <c r="BC217" s="3"/>
      <c r="BD217" s="3"/>
      <c r="BE217" s="3"/>
      <c r="BF217" s="3"/>
      <c r="BG217" s="890"/>
      <c r="BH217" s="890"/>
      <c r="BI217" s="890"/>
      <c r="BJ217" s="890"/>
      <c r="BK217" s="890"/>
      <c r="BL217" s="890"/>
      <c r="BM217" s="890"/>
      <c r="BN217" s="890"/>
      <c r="BO217" s="890"/>
      <c r="BP217" s="890"/>
      <c r="BQ217" s="890"/>
      <c r="BR217" s="890"/>
      <c r="BS217" s="890"/>
      <c r="BT217" s="890"/>
      <c r="BU217" s="890"/>
      <c r="BV217" s="890"/>
      <c r="BW217" s="890"/>
    </row>
    <row r="218" spans="1:75">
      <c r="A218" s="709"/>
      <c r="B218" s="709"/>
      <c r="C218" s="709"/>
      <c r="D218" s="709"/>
      <c r="E218" s="709"/>
      <c r="F218" s="709"/>
      <c r="G218" s="709"/>
      <c r="H218" s="709"/>
      <c r="I218" s="709"/>
      <c r="J218" s="709"/>
      <c r="K218" s="709"/>
      <c r="L218" s="709"/>
      <c r="M218" s="709"/>
      <c r="N218" s="709"/>
      <c r="O218" s="709"/>
      <c r="P218" s="709"/>
      <c r="Q218" s="709"/>
      <c r="R218" s="709"/>
      <c r="S218" s="709"/>
      <c r="T218" s="709"/>
      <c r="U218" s="709"/>
      <c r="V218" s="709"/>
      <c r="W218" s="887"/>
      <c r="BB218" s="3"/>
      <c r="BC218" s="3"/>
      <c r="BD218" s="3"/>
      <c r="BE218" s="3"/>
      <c r="BF218" s="3"/>
      <c r="BG218" s="890"/>
      <c r="BH218" s="890"/>
      <c r="BI218" s="890"/>
      <c r="BJ218" s="890"/>
      <c r="BK218" s="890"/>
      <c r="BL218" s="890"/>
      <c r="BM218" s="890"/>
      <c r="BN218" s="890"/>
      <c r="BO218" s="890"/>
      <c r="BP218" s="890"/>
      <c r="BQ218" s="890"/>
      <c r="BR218" s="890"/>
      <c r="BS218" s="890"/>
      <c r="BT218" s="890"/>
      <c r="BU218" s="890"/>
      <c r="BV218" s="890"/>
      <c r="BW218" s="890"/>
    </row>
    <row r="219" spans="1:75">
      <c r="A219" s="709"/>
      <c r="B219" s="709"/>
      <c r="C219" s="709"/>
      <c r="D219" s="709"/>
      <c r="E219" s="709"/>
      <c r="F219" s="709"/>
      <c r="G219" s="709"/>
      <c r="H219" s="709"/>
      <c r="I219" s="709"/>
      <c r="J219" s="709"/>
      <c r="K219" s="709"/>
      <c r="L219" s="709"/>
      <c r="M219" s="709"/>
      <c r="N219" s="709"/>
      <c r="O219" s="709"/>
      <c r="P219" s="709"/>
      <c r="Q219" s="709"/>
      <c r="R219" s="709"/>
      <c r="S219" s="709"/>
      <c r="T219" s="709"/>
      <c r="U219" s="709"/>
      <c r="V219" s="709"/>
      <c r="W219" s="887"/>
      <c r="BB219" s="3"/>
      <c r="BC219" s="3"/>
      <c r="BD219" s="3"/>
      <c r="BE219" s="3"/>
      <c r="BF219" s="3"/>
      <c r="BG219" s="890"/>
      <c r="BH219" s="890"/>
      <c r="BI219" s="890"/>
      <c r="BJ219" s="890"/>
      <c r="BK219" s="890"/>
      <c r="BL219" s="890"/>
      <c r="BM219" s="890"/>
      <c r="BN219" s="890"/>
      <c r="BO219" s="890"/>
      <c r="BP219" s="890"/>
      <c r="BQ219" s="890"/>
      <c r="BR219" s="890"/>
      <c r="BS219" s="890"/>
      <c r="BT219" s="890"/>
      <c r="BU219" s="890"/>
      <c r="BV219" s="890"/>
      <c r="BW219" s="890"/>
    </row>
    <row r="220" spans="1:75">
      <c r="A220" s="709"/>
      <c r="B220" s="709"/>
      <c r="C220" s="709"/>
      <c r="D220" s="709"/>
      <c r="E220" s="709"/>
      <c r="F220" s="709"/>
      <c r="G220" s="709"/>
      <c r="H220" s="709"/>
      <c r="I220" s="709"/>
      <c r="J220" s="709"/>
      <c r="K220" s="709"/>
      <c r="L220" s="709"/>
      <c r="M220" s="709"/>
      <c r="N220" s="709"/>
      <c r="O220" s="709"/>
      <c r="P220" s="709"/>
      <c r="Q220" s="709"/>
      <c r="R220" s="709"/>
      <c r="S220" s="709"/>
      <c r="T220" s="709"/>
      <c r="U220" s="709"/>
      <c r="V220" s="709"/>
      <c r="W220" s="887"/>
      <c r="BB220" s="3"/>
      <c r="BC220" s="3"/>
      <c r="BD220" s="3"/>
      <c r="BE220" s="3"/>
      <c r="BF220" s="3"/>
      <c r="BG220" s="890"/>
      <c r="BH220" s="890"/>
      <c r="BI220" s="890"/>
      <c r="BJ220" s="890"/>
      <c r="BK220" s="890"/>
      <c r="BL220" s="890"/>
      <c r="BM220" s="890"/>
      <c r="BN220" s="890"/>
      <c r="BO220" s="890"/>
      <c r="BP220" s="890"/>
      <c r="BQ220" s="890"/>
      <c r="BR220" s="890"/>
      <c r="BS220" s="890"/>
      <c r="BT220" s="890"/>
      <c r="BU220" s="890"/>
      <c r="BV220" s="890"/>
      <c r="BW220" s="890"/>
    </row>
    <row r="221" spans="1:75">
      <c r="A221" s="709"/>
      <c r="B221" s="709"/>
      <c r="C221" s="709"/>
      <c r="D221" s="709"/>
      <c r="E221" s="709"/>
      <c r="F221" s="709"/>
      <c r="G221" s="709"/>
      <c r="H221" s="709"/>
      <c r="I221" s="709"/>
      <c r="J221" s="709"/>
      <c r="K221" s="709"/>
      <c r="L221" s="709"/>
      <c r="M221" s="709"/>
      <c r="N221" s="709"/>
      <c r="O221" s="709"/>
      <c r="P221" s="709"/>
      <c r="Q221" s="709"/>
      <c r="R221" s="709"/>
      <c r="S221" s="709"/>
      <c r="T221" s="709"/>
      <c r="U221" s="709"/>
      <c r="V221" s="709"/>
      <c r="W221" s="887"/>
      <c r="BB221" s="3"/>
      <c r="BC221" s="3"/>
      <c r="BD221" s="3"/>
      <c r="BE221" s="3"/>
      <c r="BF221" s="3"/>
      <c r="BG221" s="890"/>
      <c r="BH221" s="890"/>
      <c r="BI221" s="890"/>
      <c r="BJ221" s="890"/>
      <c r="BK221" s="890"/>
      <c r="BL221" s="890"/>
      <c r="BM221" s="890"/>
      <c r="BN221" s="890"/>
      <c r="BO221" s="890"/>
      <c r="BP221" s="890"/>
      <c r="BQ221" s="890"/>
      <c r="BR221" s="890"/>
      <c r="BS221" s="890"/>
      <c r="BT221" s="890"/>
      <c r="BU221" s="890"/>
      <c r="BV221" s="890"/>
      <c r="BW221" s="890"/>
    </row>
    <row r="222" spans="1:75">
      <c r="A222" s="709"/>
      <c r="B222" s="709"/>
      <c r="C222" s="709"/>
      <c r="D222" s="709"/>
      <c r="E222" s="709"/>
      <c r="F222" s="709"/>
      <c r="G222" s="709"/>
      <c r="H222" s="709"/>
      <c r="I222" s="709"/>
      <c r="J222" s="709"/>
      <c r="K222" s="709"/>
      <c r="L222" s="709"/>
      <c r="M222" s="709"/>
      <c r="N222" s="709"/>
      <c r="O222" s="709"/>
      <c r="P222" s="709"/>
      <c r="Q222" s="709"/>
      <c r="R222" s="709"/>
      <c r="S222" s="709"/>
      <c r="T222" s="709"/>
      <c r="U222" s="709"/>
      <c r="V222" s="709"/>
      <c r="W222" s="887"/>
      <c r="BB222" s="3"/>
      <c r="BC222" s="3"/>
      <c r="BD222" s="3"/>
      <c r="BE222" s="3"/>
      <c r="BF222" s="3"/>
      <c r="BG222" s="890"/>
      <c r="BH222" s="890"/>
      <c r="BI222" s="890"/>
      <c r="BJ222" s="890"/>
      <c r="BK222" s="890"/>
      <c r="BL222" s="890"/>
      <c r="BM222" s="890"/>
      <c r="BN222" s="890"/>
      <c r="BO222" s="890"/>
      <c r="BP222" s="890"/>
      <c r="BQ222" s="890"/>
      <c r="BR222" s="890"/>
      <c r="BS222" s="890"/>
      <c r="BT222" s="890"/>
      <c r="BU222" s="890"/>
      <c r="BV222" s="890"/>
      <c r="BW222" s="890"/>
    </row>
    <row r="223" spans="1:75">
      <c r="A223" s="709"/>
      <c r="B223" s="709"/>
      <c r="C223" s="709"/>
      <c r="D223" s="709"/>
      <c r="E223" s="709"/>
      <c r="F223" s="709"/>
      <c r="G223" s="709"/>
      <c r="H223" s="709"/>
      <c r="I223" s="709"/>
      <c r="J223" s="709"/>
      <c r="K223" s="709"/>
      <c r="L223" s="709"/>
      <c r="M223" s="709"/>
      <c r="N223" s="709"/>
      <c r="O223" s="709"/>
      <c r="P223" s="709"/>
      <c r="Q223" s="709"/>
      <c r="R223" s="709"/>
      <c r="S223" s="709"/>
      <c r="T223" s="709"/>
      <c r="U223" s="709"/>
      <c r="V223" s="709"/>
      <c r="W223" s="887"/>
      <c r="BB223" s="3"/>
      <c r="BC223" s="3"/>
      <c r="BD223" s="3"/>
      <c r="BE223" s="3"/>
      <c r="BF223" s="3"/>
      <c r="BG223" s="890"/>
      <c r="BH223" s="890"/>
      <c r="BI223" s="890"/>
      <c r="BJ223" s="890"/>
      <c r="BK223" s="890"/>
      <c r="BL223" s="890"/>
      <c r="BM223" s="890"/>
      <c r="BN223" s="890"/>
      <c r="BO223" s="890"/>
      <c r="BP223" s="890"/>
      <c r="BQ223" s="890"/>
      <c r="BR223" s="890"/>
      <c r="BS223" s="890"/>
      <c r="BT223" s="890"/>
      <c r="BU223" s="890"/>
      <c r="BV223" s="890"/>
      <c r="BW223" s="890"/>
    </row>
    <row r="224" spans="1:75">
      <c r="A224" s="709"/>
      <c r="B224" s="709"/>
      <c r="C224" s="709"/>
      <c r="D224" s="709"/>
      <c r="E224" s="709"/>
      <c r="F224" s="709"/>
      <c r="G224" s="709"/>
      <c r="H224" s="709"/>
      <c r="I224" s="709"/>
      <c r="J224" s="709"/>
      <c r="K224" s="709"/>
      <c r="L224" s="709"/>
      <c r="M224" s="709"/>
      <c r="N224" s="709"/>
      <c r="O224" s="709"/>
      <c r="P224" s="709"/>
      <c r="Q224" s="709"/>
      <c r="R224" s="709"/>
      <c r="S224" s="709"/>
      <c r="T224" s="709"/>
      <c r="U224" s="709"/>
      <c r="V224" s="709"/>
      <c r="W224" s="887"/>
      <c r="BB224" s="3"/>
      <c r="BC224" s="3"/>
      <c r="BD224" s="3"/>
      <c r="BE224" s="3"/>
      <c r="BF224" s="3"/>
      <c r="BG224" s="890"/>
      <c r="BH224" s="890"/>
      <c r="BI224" s="890"/>
      <c r="BJ224" s="890"/>
      <c r="BK224" s="890"/>
      <c r="BL224" s="890"/>
      <c r="BM224" s="890"/>
      <c r="BN224" s="890"/>
      <c r="BO224" s="890"/>
      <c r="BP224" s="890"/>
      <c r="BQ224" s="890"/>
      <c r="BR224" s="890"/>
      <c r="BS224" s="890"/>
      <c r="BT224" s="890"/>
      <c r="BU224" s="890"/>
      <c r="BV224" s="890"/>
      <c r="BW224" s="890"/>
    </row>
    <row r="225" spans="1:75">
      <c r="A225" s="709"/>
      <c r="B225" s="709"/>
      <c r="C225" s="709"/>
      <c r="D225" s="709"/>
      <c r="E225" s="709"/>
      <c r="F225" s="709"/>
      <c r="G225" s="709"/>
      <c r="H225" s="709"/>
      <c r="I225" s="709"/>
      <c r="J225" s="709"/>
      <c r="K225" s="709"/>
      <c r="L225" s="709"/>
      <c r="M225" s="709"/>
      <c r="N225" s="709"/>
      <c r="O225" s="709"/>
      <c r="P225" s="709"/>
      <c r="Q225" s="709"/>
      <c r="R225" s="709"/>
      <c r="S225" s="709"/>
      <c r="T225" s="709"/>
      <c r="U225" s="709"/>
      <c r="V225" s="709"/>
      <c r="W225" s="887"/>
      <c r="BB225" s="3"/>
      <c r="BC225" s="3"/>
      <c r="BD225" s="3"/>
      <c r="BE225" s="3"/>
      <c r="BF225" s="3"/>
      <c r="BG225" s="890"/>
      <c r="BH225" s="890"/>
      <c r="BI225" s="890"/>
      <c r="BJ225" s="890"/>
      <c r="BK225" s="890"/>
      <c r="BL225" s="890"/>
      <c r="BM225" s="890"/>
      <c r="BN225" s="890"/>
      <c r="BO225" s="890"/>
      <c r="BP225" s="890"/>
      <c r="BQ225" s="890"/>
      <c r="BR225" s="890"/>
      <c r="BS225" s="890"/>
      <c r="BT225" s="890"/>
      <c r="BU225" s="890"/>
      <c r="BV225" s="890"/>
      <c r="BW225" s="890"/>
    </row>
    <row r="226" spans="1:75">
      <c r="A226" s="709"/>
      <c r="B226" s="709"/>
      <c r="C226" s="709"/>
      <c r="D226" s="709"/>
      <c r="E226" s="709"/>
      <c r="F226" s="709"/>
      <c r="G226" s="709"/>
      <c r="H226" s="709"/>
      <c r="I226" s="709"/>
      <c r="J226" s="709"/>
      <c r="K226" s="709"/>
      <c r="L226" s="709"/>
      <c r="M226" s="709"/>
      <c r="N226" s="709"/>
      <c r="O226" s="709"/>
      <c r="P226" s="709"/>
      <c r="Q226" s="709"/>
      <c r="R226" s="709"/>
      <c r="S226" s="709"/>
      <c r="T226" s="709"/>
      <c r="U226" s="709"/>
      <c r="V226" s="709"/>
      <c r="W226" s="887"/>
      <c r="BB226" s="3"/>
      <c r="BC226" s="3"/>
      <c r="BD226" s="3"/>
      <c r="BE226" s="3"/>
      <c r="BF226" s="3"/>
      <c r="BG226" s="890"/>
      <c r="BH226" s="890"/>
      <c r="BI226" s="890"/>
      <c r="BJ226" s="890"/>
      <c r="BK226" s="890"/>
      <c r="BL226" s="890"/>
      <c r="BM226" s="890"/>
      <c r="BN226" s="890"/>
      <c r="BO226" s="890"/>
      <c r="BP226" s="890"/>
      <c r="BQ226" s="890"/>
      <c r="BR226" s="890"/>
      <c r="BS226" s="890"/>
      <c r="BT226" s="890"/>
      <c r="BU226" s="890"/>
      <c r="BV226" s="890"/>
      <c r="BW226" s="890"/>
    </row>
    <row r="227" spans="1:75">
      <c r="A227" s="709"/>
      <c r="B227" s="709"/>
      <c r="C227" s="709"/>
      <c r="D227" s="709"/>
      <c r="E227" s="709"/>
      <c r="F227" s="709"/>
      <c r="G227" s="709"/>
      <c r="H227" s="709"/>
      <c r="I227" s="709"/>
      <c r="J227" s="709"/>
      <c r="K227" s="709"/>
      <c r="L227" s="709"/>
      <c r="M227" s="709"/>
      <c r="N227" s="709"/>
      <c r="O227" s="709"/>
      <c r="P227" s="709"/>
      <c r="Q227" s="709"/>
      <c r="R227" s="709"/>
      <c r="S227" s="709"/>
      <c r="T227" s="709"/>
      <c r="U227" s="709"/>
      <c r="V227" s="709"/>
      <c r="W227" s="887"/>
      <c r="BB227" s="3"/>
      <c r="BC227" s="3"/>
      <c r="BD227" s="3"/>
      <c r="BE227" s="3"/>
      <c r="BF227" s="3"/>
      <c r="BG227" s="890"/>
      <c r="BH227" s="890"/>
      <c r="BI227" s="890"/>
      <c r="BJ227" s="890"/>
      <c r="BK227" s="890"/>
      <c r="BL227" s="890"/>
      <c r="BM227" s="890"/>
      <c r="BN227" s="890"/>
      <c r="BO227" s="890"/>
      <c r="BP227" s="890"/>
      <c r="BQ227" s="890"/>
      <c r="BR227" s="890"/>
      <c r="BS227" s="890"/>
      <c r="BT227" s="890"/>
      <c r="BU227" s="890"/>
      <c r="BV227" s="890"/>
      <c r="BW227" s="890"/>
    </row>
    <row r="228" spans="1:75">
      <c r="A228" s="709"/>
      <c r="B228" s="709"/>
      <c r="C228" s="709"/>
      <c r="D228" s="709"/>
      <c r="E228" s="709"/>
      <c r="F228" s="709"/>
      <c r="G228" s="709"/>
      <c r="H228" s="709"/>
      <c r="I228" s="709"/>
      <c r="J228" s="709"/>
      <c r="K228" s="709"/>
      <c r="L228" s="709"/>
      <c r="M228" s="709"/>
      <c r="N228" s="709"/>
      <c r="O228" s="709"/>
      <c r="P228" s="709"/>
      <c r="Q228" s="709"/>
      <c r="R228" s="709"/>
      <c r="S228" s="709"/>
      <c r="T228" s="709"/>
      <c r="U228" s="709"/>
      <c r="V228" s="709"/>
      <c r="W228" s="887"/>
      <c r="BB228" s="3"/>
      <c r="BC228" s="3"/>
      <c r="BD228" s="3"/>
      <c r="BE228" s="3"/>
      <c r="BF228" s="3"/>
      <c r="BG228" s="890"/>
      <c r="BH228" s="890"/>
      <c r="BI228" s="890"/>
      <c r="BJ228" s="890"/>
      <c r="BK228" s="890"/>
      <c r="BL228" s="890"/>
      <c r="BM228" s="890"/>
      <c r="BN228" s="890"/>
      <c r="BO228" s="890"/>
      <c r="BP228" s="890"/>
      <c r="BQ228" s="890"/>
      <c r="BR228" s="890"/>
      <c r="BS228" s="890"/>
      <c r="BT228" s="890"/>
      <c r="BU228" s="890"/>
      <c r="BV228" s="890"/>
      <c r="BW228" s="890"/>
    </row>
    <row r="229" spans="1:75">
      <c r="A229" s="709"/>
      <c r="B229" s="709"/>
      <c r="C229" s="709"/>
      <c r="D229" s="709"/>
      <c r="E229" s="709"/>
      <c r="F229" s="709"/>
      <c r="G229" s="709"/>
      <c r="H229" s="709"/>
      <c r="I229" s="709"/>
      <c r="J229" s="709"/>
      <c r="K229" s="709"/>
      <c r="L229" s="709"/>
      <c r="M229" s="709"/>
      <c r="N229" s="709"/>
      <c r="O229" s="709"/>
      <c r="P229" s="709"/>
      <c r="Q229" s="709"/>
      <c r="R229" s="709"/>
      <c r="S229" s="709"/>
      <c r="T229" s="709"/>
      <c r="U229" s="709"/>
      <c r="V229" s="709"/>
      <c r="W229" s="887"/>
      <c r="BB229" s="3"/>
      <c r="BC229" s="3"/>
      <c r="BD229" s="3"/>
      <c r="BE229" s="3"/>
      <c r="BF229" s="3"/>
      <c r="BG229" s="890"/>
      <c r="BH229" s="890"/>
      <c r="BI229" s="890"/>
      <c r="BJ229" s="890"/>
      <c r="BK229" s="890"/>
      <c r="BL229" s="890"/>
      <c r="BM229" s="890"/>
      <c r="BN229" s="890"/>
      <c r="BO229" s="890"/>
      <c r="BP229" s="890"/>
      <c r="BQ229" s="890"/>
      <c r="BR229" s="890"/>
      <c r="BS229" s="890"/>
      <c r="BT229" s="890"/>
      <c r="BU229" s="890"/>
      <c r="BV229" s="890"/>
      <c r="BW229" s="890"/>
    </row>
    <row r="230" spans="1:75">
      <c r="A230" s="709"/>
      <c r="B230" s="709"/>
      <c r="C230" s="709"/>
      <c r="D230" s="709"/>
      <c r="E230" s="709"/>
      <c r="F230" s="709"/>
      <c r="G230" s="709"/>
      <c r="H230" s="709"/>
      <c r="I230" s="709"/>
      <c r="J230" s="709"/>
      <c r="K230" s="709"/>
      <c r="L230" s="709"/>
      <c r="M230" s="709"/>
      <c r="N230" s="709"/>
      <c r="O230" s="709"/>
      <c r="P230" s="709"/>
      <c r="Q230" s="709"/>
      <c r="R230" s="709"/>
      <c r="S230" s="709"/>
      <c r="T230" s="709"/>
      <c r="U230" s="709"/>
      <c r="V230" s="709"/>
      <c r="W230" s="887"/>
      <c r="BB230" s="3"/>
      <c r="BC230" s="3"/>
      <c r="BD230" s="3"/>
      <c r="BE230" s="3"/>
      <c r="BF230" s="3"/>
      <c r="BG230" s="890"/>
      <c r="BH230" s="890"/>
      <c r="BI230" s="890"/>
      <c r="BJ230" s="890"/>
      <c r="BK230" s="890"/>
      <c r="BL230" s="890"/>
      <c r="BM230" s="890"/>
      <c r="BN230" s="890"/>
      <c r="BO230" s="890"/>
      <c r="BP230" s="890"/>
      <c r="BQ230" s="890"/>
      <c r="BR230" s="890"/>
      <c r="BS230" s="890"/>
      <c r="BT230" s="890"/>
      <c r="BU230" s="890"/>
      <c r="BV230" s="890"/>
      <c r="BW230" s="890"/>
    </row>
    <row r="231" spans="1:75">
      <c r="A231" s="709"/>
      <c r="B231" s="709"/>
      <c r="C231" s="709"/>
      <c r="D231" s="709"/>
      <c r="E231" s="709"/>
      <c r="F231" s="709"/>
      <c r="G231" s="709"/>
      <c r="H231" s="709"/>
      <c r="I231" s="709"/>
      <c r="J231" s="709"/>
      <c r="K231" s="709"/>
      <c r="L231" s="709"/>
      <c r="M231" s="709"/>
      <c r="N231" s="709"/>
      <c r="O231" s="709"/>
      <c r="P231" s="709"/>
      <c r="Q231" s="709"/>
      <c r="R231" s="709"/>
      <c r="S231" s="709"/>
      <c r="T231" s="709"/>
      <c r="U231" s="709"/>
      <c r="V231" s="709"/>
      <c r="W231" s="887"/>
      <c r="BB231" s="3"/>
      <c r="BC231" s="3"/>
      <c r="BD231" s="3"/>
      <c r="BE231" s="3"/>
      <c r="BF231" s="3"/>
      <c r="BG231" s="890"/>
      <c r="BH231" s="890"/>
      <c r="BI231" s="890"/>
      <c r="BJ231" s="890"/>
      <c r="BK231" s="890"/>
      <c r="BL231" s="890"/>
      <c r="BM231" s="890"/>
      <c r="BN231" s="890"/>
      <c r="BO231" s="890"/>
      <c r="BP231" s="890"/>
      <c r="BQ231" s="890"/>
      <c r="BR231" s="890"/>
      <c r="BS231" s="890"/>
      <c r="BT231" s="890"/>
      <c r="BU231" s="890"/>
      <c r="BV231" s="890"/>
      <c r="BW231" s="890"/>
    </row>
    <row r="232" spans="1:75">
      <c r="A232" s="709"/>
      <c r="B232" s="709"/>
      <c r="C232" s="709"/>
      <c r="D232" s="709"/>
      <c r="E232" s="709"/>
      <c r="F232" s="709"/>
      <c r="G232" s="709"/>
      <c r="H232" s="709"/>
      <c r="I232" s="709"/>
      <c r="J232" s="709"/>
      <c r="K232" s="709"/>
      <c r="L232" s="709"/>
      <c r="M232" s="709"/>
      <c r="N232" s="709"/>
      <c r="O232" s="709"/>
      <c r="P232" s="709"/>
      <c r="Q232" s="709"/>
      <c r="R232" s="709"/>
      <c r="S232" s="709"/>
      <c r="T232" s="709"/>
      <c r="U232" s="709"/>
      <c r="V232" s="709"/>
      <c r="W232" s="887"/>
      <c r="BB232" s="3"/>
      <c r="BC232" s="3"/>
      <c r="BD232" s="3"/>
      <c r="BE232" s="3"/>
      <c r="BF232" s="3"/>
      <c r="BG232" s="890"/>
      <c r="BH232" s="890"/>
      <c r="BI232" s="890"/>
      <c r="BJ232" s="890"/>
      <c r="BK232" s="890"/>
      <c r="BL232" s="890"/>
      <c r="BM232" s="890"/>
      <c r="BN232" s="890"/>
      <c r="BO232" s="890"/>
      <c r="BP232" s="890"/>
      <c r="BQ232" s="890"/>
      <c r="BR232" s="890"/>
      <c r="BS232" s="890"/>
      <c r="BT232" s="890"/>
      <c r="BU232" s="890"/>
      <c r="BV232" s="890"/>
      <c r="BW232" s="890"/>
    </row>
    <row r="233" spans="1:75">
      <c r="A233" s="709"/>
      <c r="B233" s="709"/>
      <c r="C233" s="709"/>
      <c r="D233" s="709"/>
      <c r="E233" s="709"/>
      <c r="F233" s="709"/>
      <c r="G233" s="709"/>
      <c r="H233" s="709"/>
      <c r="I233" s="709"/>
      <c r="J233" s="709"/>
      <c r="K233" s="709"/>
      <c r="L233" s="709"/>
      <c r="M233" s="709"/>
      <c r="N233" s="709"/>
      <c r="O233" s="709"/>
      <c r="P233" s="709"/>
      <c r="Q233" s="709"/>
      <c r="R233" s="709"/>
      <c r="S233" s="709"/>
      <c r="T233" s="709"/>
      <c r="U233" s="709"/>
      <c r="V233" s="709"/>
      <c r="W233" s="887"/>
      <c r="BB233" s="3"/>
      <c r="BC233" s="3"/>
      <c r="BD233" s="3"/>
      <c r="BE233" s="3"/>
      <c r="BF233" s="3"/>
      <c r="BG233" s="890"/>
      <c r="BH233" s="890"/>
      <c r="BI233" s="890"/>
      <c r="BJ233" s="890"/>
      <c r="BK233" s="890"/>
      <c r="BL233" s="890"/>
      <c r="BM233" s="890"/>
      <c r="BN233" s="890"/>
      <c r="BO233" s="890"/>
      <c r="BP233" s="890"/>
      <c r="BQ233" s="890"/>
      <c r="BR233" s="890"/>
      <c r="BS233" s="890"/>
      <c r="BT233" s="890"/>
      <c r="BU233" s="890"/>
      <c r="BV233" s="890"/>
      <c r="BW233" s="890"/>
    </row>
    <row r="234" spans="1:75">
      <c r="A234" s="709"/>
      <c r="B234" s="709"/>
      <c r="C234" s="709"/>
      <c r="D234" s="709"/>
      <c r="E234" s="709"/>
      <c r="F234" s="709"/>
      <c r="G234" s="709"/>
      <c r="H234" s="709"/>
      <c r="I234" s="709"/>
      <c r="J234" s="709"/>
      <c r="K234" s="709"/>
      <c r="L234" s="709"/>
      <c r="M234" s="709"/>
      <c r="N234" s="709"/>
      <c r="O234" s="709"/>
      <c r="P234" s="709"/>
      <c r="Q234" s="709"/>
      <c r="R234" s="709"/>
      <c r="S234" s="709"/>
      <c r="T234" s="709"/>
      <c r="U234" s="709"/>
      <c r="V234" s="709"/>
      <c r="W234" s="887"/>
      <c r="BB234" s="3"/>
      <c r="BC234" s="3"/>
      <c r="BD234" s="3"/>
      <c r="BE234" s="3"/>
      <c r="BF234" s="3"/>
      <c r="BG234" s="890"/>
      <c r="BH234" s="890"/>
      <c r="BI234" s="890"/>
      <c r="BJ234" s="890"/>
      <c r="BK234" s="890"/>
      <c r="BL234" s="890"/>
      <c r="BM234" s="890"/>
      <c r="BN234" s="890"/>
      <c r="BO234" s="890"/>
      <c r="BP234" s="890"/>
      <c r="BQ234" s="890"/>
      <c r="BR234" s="890"/>
      <c r="BS234" s="890"/>
      <c r="BT234" s="890"/>
      <c r="BU234" s="890"/>
      <c r="BV234" s="890"/>
      <c r="BW234" s="890"/>
    </row>
    <row r="235" spans="1:75">
      <c r="A235" s="709"/>
      <c r="B235" s="709"/>
      <c r="C235" s="709"/>
      <c r="D235" s="709"/>
      <c r="E235" s="709"/>
      <c r="F235" s="709"/>
      <c r="G235" s="709"/>
      <c r="H235" s="709"/>
      <c r="I235" s="709"/>
      <c r="J235" s="709"/>
      <c r="K235" s="709"/>
      <c r="L235" s="709"/>
      <c r="M235" s="709"/>
      <c r="N235" s="709"/>
      <c r="O235" s="709"/>
      <c r="P235" s="709"/>
      <c r="Q235" s="709"/>
      <c r="R235" s="709"/>
      <c r="S235" s="709"/>
      <c r="T235" s="709"/>
      <c r="U235" s="709"/>
      <c r="V235" s="709"/>
      <c r="W235" s="887"/>
      <c r="BB235" s="3"/>
      <c r="BC235" s="3"/>
      <c r="BD235" s="3"/>
      <c r="BE235" s="3"/>
      <c r="BF235" s="3"/>
      <c r="BG235" s="890"/>
      <c r="BH235" s="890"/>
      <c r="BI235" s="890"/>
      <c r="BJ235" s="890"/>
      <c r="BK235" s="890"/>
      <c r="BL235" s="890"/>
      <c r="BM235" s="890"/>
      <c r="BN235" s="890"/>
      <c r="BO235" s="890"/>
      <c r="BP235" s="890"/>
      <c r="BQ235" s="890"/>
      <c r="BR235" s="890"/>
      <c r="BS235" s="890"/>
      <c r="BT235" s="890"/>
      <c r="BU235" s="890"/>
      <c r="BV235" s="890"/>
      <c r="BW235" s="890"/>
    </row>
    <row r="236" spans="1:75">
      <c r="A236" s="709"/>
      <c r="B236" s="709"/>
      <c r="C236" s="709"/>
      <c r="D236" s="709"/>
      <c r="E236" s="709"/>
      <c r="F236" s="709"/>
      <c r="G236" s="709"/>
      <c r="H236" s="709"/>
      <c r="I236" s="709"/>
      <c r="J236" s="709"/>
      <c r="K236" s="709"/>
      <c r="L236" s="709"/>
      <c r="M236" s="709"/>
      <c r="N236" s="709"/>
      <c r="O236" s="709"/>
      <c r="P236" s="709"/>
      <c r="Q236" s="709"/>
      <c r="R236" s="709"/>
      <c r="S236" s="709"/>
      <c r="T236" s="709"/>
      <c r="U236" s="709"/>
      <c r="V236" s="709"/>
      <c r="W236" s="887"/>
      <c r="BB236" s="3"/>
      <c r="BC236" s="3"/>
      <c r="BD236" s="3"/>
      <c r="BE236" s="3"/>
      <c r="BF236" s="3"/>
      <c r="BG236" s="890"/>
      <c r="BH236" s="890"/>
      <c r="BI236" s="890"/>
      <c r="BJ236" s="890"/>
      <c r="BK236" s="890"/>
      <c r="BL236" s="890"/>
      <c r="BM236" s="890"/>
      <c r="BN236" s="890"/>
      <c r="BO236" s="890"/>
      <c r="BP236" s="890"/>
      <c r="BQ236" s="890"/>
      <c r="BR236" s="890"/>
      <c r="BS236" s="890"/>
      <c r="BT236" s="890"/>
      <c r="BU236" s="890"/>
      <c r="BV236" s="890"/>
      <c r="BW236" s="890"/>
    </row>
    <row r="237" spans="1:75">
      <c r="A237" s="709"/>
      <c r="B237" s="709"/>
      <c r="C237" s="709"/>
      <c r="D237" s="709"/>
      <c r="E237" s="709"/>
      <c r="F237" s="709"/>
      <c r="G237" s="709"/>
      <c r="H237" s="709"/>
      <c r="I237" s="709"/>
      <c r="J237" s="709"/>
      <c r="K237" s="709"/>
      <c r="L237" s="709"/>
      <c r="M237" s="709"/>
      <c r="N237" s="709"/>
      <c r="O237" s="709"/>
      <c r="P237" s="709"/>
      <c r="Q237" s="709"/>
      <c r="R237" s="709"/>
      <c r="S237" s="709"/>
      <c r="T237" s="709"/>
      <c r="U237" s="709"/>
      <c r="V237" s="709"/>
      <c r="W237" s="887"/>
      <c r="BB237" s="3"/>
      <c r="BC237" s="3"/>
      <c r="BD237" s="3"/>
      <c r="BE237" s="3"/>
      <c r="BF237" s="3"/>
      <c r="BG237" s="890"/>
      <c r="BH237" s="890"/>
      <c r="BI237" s="890"/>
      <c r="BJ237" s="890"/>
      <c r="BK237" s="890"/>
      <c r="BL237" s="890"/>
      <c r="BM237" s="890"/>
      <c r="BN237" s="890"/>
      <c r="BO237" s="890"/>
      <c r="BP237" s="890"/>
      <c r="BQ237" s="890"/>
      <c r="BR237" s="890"/>
      <c r="BS237" s="890"/>
      <c r="BT237" s="890"/>
      <c r="BU237" s="890"/>
      <c r="BV237" s="890"/>
      <c r="BW237" s="890"/>
    </row>
    <row r="238" spans="1:75">
      <c r="A238" s="709"/>
      <c r="B238" s="709"/>
      <c r="C238" s="709"/>
      <c r="D238" s="709"/>
      <c r="E238" s="709"/>
      <c r="F238" s="709"/>
      <c r="G238" s="709"/>
      <c r="H238" s="709"/>
      <c r="I238" s="709"/>
      <c r="J238" s="709"/>
      <c r="K238" s="709"/>
      <c r="L238" s="709"/>
      <c r="M238" s="709"/>
      <c r="N238" s="709"/>
      <c r="O238" s="709"/>
      <c r="P238" s="709"/>
      <c r="Q238" s="709"/>
      <c r="R238" s="709"/>
      <c r="S238" s="709"/>
      <c r="T238" s="709"/>
      <c r="U238" s="709"/>
      <c r="V238" s="709"/>
      <c r="W238" s="887"/>
      <c r="BB238" s="3"/>
      <c r="BC238" s="3"/>
      <c r="BD238" s="3"/>
      <c r="BE238" s="3"/>
      <c r="BF238" s="3"/>
      <c r="BG238" s="890"/>
      <c r="BH238" s="890"/>
      <c r="BI238" s="890"/>
      <c r="BJ238" s="890"/>
      <c r="BK238" s="890"/>
      <c r="BL238" s="890"/>
      <c r="BM238" s="890"/>
      <c r="BN238" s="890"/>
      <c r="BO238" s="890"/>
      <c r="BP238" s="890"/>
      <c r="BQ238" s="890"/>
      <c r="BR238" s="890"/>
      <c r="BS238" s="890"/>
      <c r="BT238" s="890"/>
      <c r="BU238" s="890"/>
      <c r="BV238" s="890"/>
      <c r="BW238" s="890"/>
    </row>
    <row r="239" spans="1:75">
      <c r="A239" s="709"/>
      <c r="B239" s="709"/>
      <c r="C239" s="709"/>
      <c r="D239" s="709"/>
      <c r="E239" s="709"/>
      <c r="F239" s="709"/>
      <c r="G239" s="709"/>
      <c r="H239" s="709"/>
      <c r="I239" s="709"/>
      <c r="J239" s="709"/>
      <c r="K239" s="709"/>
      <c r="L239" s="709"/>
      <c r="M239" s="709"/>
      <c r="N239" s="709"/>
      <c r="O239" s="709"/>
      <c r="P239" s="709"/>
      <c r="Q239" s="709"/>
      <c r="R239" s="709"/>
      <c r="S239" s="709"/>
      <c r="T239" s="709"/>
      <c r="U239" s="709"/>
      <c r="V239" s="709"/>
      <c r="W239" s="887"/>
      <c r="BB239" s="3"/>
      <c r="BC239" s="3"/>
      <c r="BD239" s="3"/>
      <c r="BE239" s="3"/>
      <c r="BF239" s="3"/>
      <c r="BG239" s="890"/>
      <c r="BH239" s="890"/>
      <c r="BI239" s="890"/>
      <c r="BJ239" s="890"/>
      <c r="BK239" s="890"/>
      <c r="BL239" s="890"/>
      <c r="BM239" s="890"/>
      <c r="BN239" s="890"/>
      <c r="BO239" s="890"/>
      <c r="BP239" s="890"/>
      <c r="BQ239" s="890"/>
      <c r="BR239" s="890"/>
      <c r="BS239" s="890"/>
      <c r="BT239" s="890"/>
      <c r="BU239" s="890"/>
      <c r="BV239" s="890"/>
      <c r="BW239" s="890"/>
    </row>
    <row r="240" spans="1:75">
      <c r="A240" s="709"/>
      <c r="B240" s="709"/>
      <c r="C240" s="709"/>
      <c r="D240" s="709"/>
      <c r="E240" s="709"/>
      <c r="F240" s="709"/>
      <c r="G240" s="709"/>
      <c r="H240" s="709"/>
      <c r="I240" s="709"/>
      <c r="J240" s="709"/>
      <c r="K240" s="709"/>
      <c r="L240" s="709"/>
      <c r="M240" s="709"/>
      <c r="N240" s="709"/>
      <c r="O240" s="709"/>
      <c r="P240" s="709"/>
      <c r="Q240" s="709"/>
      <c r="R240" s="709"/>
      <c r="S240" s="709"/>
      <c r="T240" s="709"/>
      <c r="U240" s="709"/>
      <c r="V240" s="709"/>
      <c r="W240" s="887"/>
      <c r="BB240" s="3"/>
      <c r="BC240" s="3"/>
      <c r="BD240" s="3"/>
      <c r="BE240" s="3"/>
      <c r="BF240" s="3"/>
      <c r="BG240" s="890"/>
      <c r="BH240" s="890"/>
      <c r="BI240" s="890"/>
      <c r="BJ240" s="890"/>
      <c r="BK240" s="890"/>
      <c r="BL240" s="890"/>
      <c r="BM240" s="890"/>
      <c r="BN240" s="890"/>
      <c r="BO240" s="890"/>
      <c r="BP240" s="890"/>
      <c r="BQ240" s="890"/>
      <c r="BR240" s="890"/>
      <c r="BS240" s="890"/>
      <c r="BT240" s="890"/>
      <c r="BU240" s="890"/>
      <c r="BV240" s="890"/>
      <c r="BW240" s="890"/>
    </row>
    <row r="241" spans="1:75">
      <c r="A241" s="709"/>
      <c r="B241" s="709"/>
      <c r="C241" s="709"/>
      <c r="D241" s="709"/>
      <c r="E241" s="709"/>
      <c r="F241" s="709"/>
      <c r="G241" s="709"/>
      <c r="H241" s="709"/>
      <c r="I241" s="709"/>
      <c r="J241" s="709"/>
      <c r="K241" s="709"/>
      <c r="L241" s="709"/>
      <c r="M241" s="709"/>
      <c r="N241" s="709"/>
      <c r="O241" s="709"/>
      <c r="P241" s="709"/>
      <c r="Q241" s="709"/>
      <c r="R241" s="709"/>
      <c r="S241" s="709"/>
      <c r="T241" s="709"/>
      <c r="U241" s="709"/>
      <c r="V241" s="709"/>
      <c r="W241" s="887"/>
      <c r="BB241" s="3"/>
      <c r="BC241" s="3"/>
      <c r="BD241" s="3"/>
      <c r="BE241" s="3"/>
      <c r="BF241" s="3"/>
      <c r="BG241" s="890"/>
      <c r="BH241" s="890"/>
      <c r="BI241" s="890"/>
      <c r="BJ241" s="890"/>
      <c r="BK241" s="890"/>
      <c r="BL241" s="890"/>
      <c r="BM241" s="890"/>
      <c r="BN241" s="890"/>
      <c r="BO241" s="890"/>
      <c r="BP241" s="890"/>
      <c r="BQ241" s="890"/>
      <c r="BR241" s="890"/>
      <c r="BS241" s="890"/>
      <c r="BT241" s="890"/>
      <c r="BU241" s="890"/>
      <c r="BV241" s="890"/>
      <c r="BW241" s="890"/>
    </row>
    <row r="242" spans="1:75">
      <c r="A242" s="709"/>
      <c r="B242" s="709"/>
      <c r="C242" s="709"/>
      <c r="D242" s="709"/>
      <c r="E242" s="709"/>
      <c r="F242" s="709"/>
      <c r="G242" s="709"/>
      <c r="H242" s="709"/>
      <c r="I242" s="709"/>
      <c r="J242" s="709"/>
      <c r="K242" s="709"/>
      <c r="L242" s="709"/>
      <c r="M242" s="709"/>
      <c r="N242" s="709"/>
      <c r="O242" s="709"/>
      <c r="P242" s="709"/>
      <c r="Q242" s="709"/>
      <c r="R242" s="709"/>
      <c r="S242" s="709"/>
      <c r="T242" s="709"/>
      <c r="U242" s="709"/>
      <c r="V242" s="709"/>
      <c r="W242" s="887"/>
      <c r="BB242" s="3"/>
      <c r="BC242" s="3"/>
      <c r="BD242" s="3"/>
      <c r="BE242" s="3"/>
      <c r="BF242" s="3"/>
      <c r="BG242" s="890"/>
      <c r="BH242" s="890"/>
      <c r="BI242" s="890"/>
      <c r="BJ242" s="890"/>
      <c r="BK242" s="890"/>
      <c r="BL242" s="890"/>
      <c r="BM242" s="890"/>
      <c r="BN242" s="890"/>
      <c r="BO242" s="890"/>
      <c r="BP242" s="890"/>
      <c r="BQ242" s="890"/>
      <c r="BR242" s="890"/>
      <c r="BS242" s="890"/>
      <c r="BT242" s="890"/>
      <c r="BU242" s="890"/>
      <c r="BV242" s="890"/>
      <c r="BW242" s="890"/>
    </row>
    <row r="243" spans="1:75">
      <c r="A243" s="709"/>
      <c r="B243" s="709"/>
      <c r="C243" s="709"/>
      <c r="D243" s="709"/>
      <c r="E243" s="709"/>
      <c r="F243" s="709"/>
      <c r="G243" s="709"/>
      <c r="H243" s="709"/>
      <c r="I243" s="709"/>
      <c r="J243" s="709"/>
      <c r="K243" s="709"/>
      <c r="L243" s="709"/>
      <c r="M243" s="709"/>
      <c r="N243" s="709"/>
      <c r="O243" s="709"/>
      <c r="P243" s="709"/>
      <c r="Q243" s="709"/>
      <c r="R243" s="709"/>
      <c r="S243" s="709"/>
      <c r="T243" s="709"/>
      <c r="U243" s="709"/>
      <c r="V243" s="709"/>
      <c r="W243" s="887"/>
      <c r="BB243" s="3"/>
      <c r="BC243" s="3"/>
      <c r="BD243" s="3"/>
      <c r="BE243" s="3"/>
      <c r="BF243" s="3"/>
      <c r="BG243" s="890"/>
      <c r="BH243" s="890"/>
      <c r="BI243" s="890"/>
      <c r="BJ243" s="890"/>
      <c r="BK243" s="890"/>
      <c r="BL243" s="890"/>
      <c r="BM243" s="890"/>
      <c r="BN243" s="890"/>
      <c r="BO243" s="890"/>
      <c r="BP243" s="890"/>
      <c r="BQ243" s="890"/>
      <c r="BR243" s="890"/>
      <c r="BS243" s="890"/>
      <c r="BT243" s="890"/>
      <c r="BU243" s="890"/>
      <c r="BV243" s="890"/>
      <c r="BW243" s="890"/>
    </row>
    <row r="244" spans="1:75">
      <c r="A244" s="709"/>
      <c r="B244" s="709"/>
      <c r="C244" s="709"/>
      <c r="D244" s="709"/>
      <c r="E244" s="709"/>
      <c r="F244" s="709"/>
      <c r="G244" s="709"/>
      <c r="H244" s="709"/>
      <c r="I244" s="709"/>
      <c r="J244" s="709"/>
      <c r="K244" s="709"/>
      <c r="L244" s="709"/>
      <c r="M244" s="709"/>
      <c r="N244" s="709"/>
      <c r="O244" s="709"/>
      <c r="P244" s="709"/>
      <c r="Q244" s="709"/>
      <c r="R244" s="709"/>
      <c r="S244" s="709"/>
      <c r="T244" s="709"/>
      <c r="U244" s="709"/>
      <c r="V244" s="709"/>
      <c r="W244" s="887"/>
      <c r="BB244" s="3"/>
      <c r="BC244" s="3"/>
      <c r="BD244" s="3"/>
      <c r="BE244" s="3"/>
      <c r="BF244" s="3"/>
      <c r="BG244" s="890"/>
      <c r="BH244" s="890"/>
      <c r="BI244" s="890"/>
      <c r="BJ244" s="890"/>
      <c r="BK244" s="890"/>
      <c r="BL244" s="890"/>
      <c r="BM244" s="890"/>
      <c r="BN244" s="890"/>
      <c r="BO244" s="890"/>
      <c r="BP244" s="890"/>
      <c r="BQ244" s="890"/>
      <c r="BR244" s="890"/>
      <c r="BS244" s="890"/>
      <c r="BT244" s="890"/>
      <c r="BU244" s="890"/>
      <c r="BV244" s="890"/>
      <c r="BW244" s="890"/>
    </row>
    <row r="245" spans="1:75">
      <c r="A245" s="709"/>
      <c r="B245" s="709"/>
      <c r="C245" s="709"/>
      <c r="D245" s="709"/>
      <c r="E245" s="709"/>
      <c r="F245" s="709"/>
      <c r="G245" s="709"/>
      <c r="H245" s="709"/>
      <c r="I245" s="709"/>
      <c r="J245" s="709"/>
      <c r="K245" s="709"/>
      <c r="L245" s="709"/>
      <c r="M245" s="709"/>
      <c r="N245" s="709"/>
      <c r="O245" s="709"/>
      <c r="P245" s="709"/>
      <c r="Q245" s="709"/>
      <c r="R245" s="709"/>
      <c r="S245" s="709"/>
      <c r="T245" s="709"/>
      <c r="U245" s="709"/>
      <c r="V245" s="709"/>
      <c r="W245" s="887"/>
      <c r="BB245" s="3"/>
      <c r="BC245" s="3"/>
      <c r="BD245" s="3"/>
      <c r="BE245" s="3"/>
      <c r="BF245" s="3"/>
      <c r="BG245" s="890"/>
      <c r="BH245" s="890"/>
      <c r="BI245" s="890"/>
      <c r="BJ245" s="890"/>
      <c r="BK245" s="890"/>
      <c r="BL245" s="890"/>
      <c r="BM245" s="890"/>
      <c r="BN245" s="890"/>
      <c r="BO245" s="890"/>
      <c r="BP245" s="890"/>
      <c r="BQ245" s="890"/>
      <c r="BR245" s="890"/>
      <c r="BS245" s="890"/>
      <c r="BT245" s="890"/>
      <c r="BU245" s="890"/>
      <c r="BV245" s="890"/>
      <c r="BW245" s="890"/>
    </row>
    <row r="246" spans="1:75">
      <c r="A246" s="709"/>
      <c r="B246" s="709"/>
      <c r="C246" s="709"/>
      <c r="D246" s="709"/>
      <c r="E246" s="709"/>
      <c r="F246" s="709"/>
      <c r="G246" s="709"/>
      <c r="H246" s="709"/>
      <c r="I246" s="709"/>
      <c r="J246" s="709"/>
      <c r="K246" s="709"/>
      <c r="L246" s="709"/>
      <c r="M246" s="709"/>
      <c r="N246" s="709"/>
      <c r="O246" s="709"/>
      <c r="P246" s="709"/>
      <c r="Q246" s="709"/>
      <c r="R246" s="709"/>
      <c r="S246" s="709"/>
      <c r="T246" s="709"/>
      <c r="U246" s="709"/>
      <c r="V246" s="709"/>
      <c r="W246" s="887"/>
      <c r="BB246" s="3"/>
      <c r="BC246" s="3"/>
      <c r="BD246" s="3"/>
      <c r="BE246" s="3"/>
      <c r="BF246" s="3"/>
      <c r="BG246" s="890"/>
      <c r="BH246" s="890"/>
      <c r="BI246" s="890"/>
      <c r="BJ246" s="890"/>
      <c r="BK246" s="890"/>
      <c r="BL246" s="890"/>
      <c r="BM246" s="890"/>
      <c r="BN246" s="890"/>
      <c r="BO246" s="890"/>
      <c r="BP246" s="890"/>
      <c r="BQ246" s="890"/>
      <c r="BR246" s="890"/>
      <c r="BS246" s="890"/>
      <c r="BT246" s="890"/>
      <c r="BU246" s="890"/>
      <c r="BV246" s="890"/>
      <c r="BW246" s="890"/>
    </row>
    <row r="247" spans="1:75">
      <c r="A247" s="709"/>
      <c r="B247" s="709"/>
      <c r="C247" s="709"/>
      <c r="D247" s="709"/>
      <c r="E247" s="709"/>
      <c r="F247" s="709"/>
      <c r="G247" s="709"/>
      <c r="H247" s="709"/>
      <c r="I247" s="709"/>
      <c r="J247" s="709"/>
      <c r="K247" s="709"/>
      <c r="L247" s="709"/>
      <c r="M247" s="709"/>
      <c r="N247" s="709"/>
      <c r="O247" s="709"/>
      <c r="P247" s="709"/>
      <c r="Q247" s="709"/>
      <c r="R247" s="709"/>
      <c r="S247" s="709"/>
      <c r="T247" s="709"/>
      <c r="U247" s="709"/>
      <c r="V247" s="709"/>
      <c r="W247" s="887"/>
      <c r="BB247" s="3"/>
      <c r="BC247" s="3"/>
      <c r="BD247" s="3"/>
      <c r="BE247" s="3"/>
      <c r="BF247" s="3"/>
      <c r="BG247" s="890"/>
      <c r="BH247" s="890"/>
      <c r="BI247" s="890"/>
      <c r="BJ247" s="890"/>
      <c r="BK247" s="890"/>
      <c r="BL247" s="890"/>
      <c r="BM247" s="890"/>
      <c r="BN247" s="890"/>
      <c r="BO247" s="890"/>
      <c r="BP247" s="890"/>
      <c r="BQ247" s="890"/>
      <c r="BR247" s="890"/>
      <c r="BS247" s="890"/>
      <c r="BT247" s="890"/>
      <c r="BU247" s="890"/>
      <c r="BV247" s="890"/>
      <c r="BW247" s="890"/>
    </row>
    <row r="248" spans="1:75">
      <c r="A248" s="709"/>
      <c r="B248" s="709"/>
      <c r="C248" s="709"/>
      <c r="D248" s="709"/>
      <c r="E248" s="709"/>
      <c r="F248" s="709"/>
      <c r="G248" s="709"/>
      <c r="H248" s="709"/>
      <c r="I248" s="709"/>
      <c r="J248" s="709"/>
      <c r="K248" s="709"/>
      <c r="L248" s="709"/>
      <c r="M248" s="709"/>
      <c r="N248" s="709"/>
      <c r="O248" s="709"/>
      <c r="P248" s="709"/>
      <c r="Q248" s="709"/>
      <c r="R248" s="709"/>
      <c r="S248" s="709"/>
      <c r="T248" s="709"/>
      <c r="U248" s="709"/>
      <c r="V248" s="709"/>
      <c r="W248" s="887"/>
      <c r="BB248" s="3"/>
      <c r="BC248" s="3"/>
      <c r="BD248" s="3"/>
      <c r="BE248" s="3"/>
      <c r="BF248" s="3"/>
      <c r="BG248" s="890"/>
      <c r="BH248" s="890"/>
      <c r="BI248" s="890"/>
      <c r="BJ248" s="890"/>
      <c r="BK248" s="890"/>
      <c r="BL248" s="890"/>
      <c r="BM248" s="890"/>
      <c r="BN248" s="890"/>
      <c r="BO248" s="890"/>
      <c r="BP248" s="890"/>
      <c r="BQ248" s="890"/>
      <c r="BR248" s="890"/>
      <c r="BS248" s="890"/>
      <c r="BT248" s="890"/>
      <c r="BU248" s="890"/>
      <c r="BV248" s="890"/>
      <c r="BW248" s="890"/>
    </row>
    <row r="249" spans="1:75">
      <c r="A249" s="709"/>
      <c r="B249" s="709"/>
      <c r="C249" s="709"/>
      <c r="D249" s="709"/>
      <c r="E249" s="709"/>
      <c r="F249" s="709"/>
      <c r="G249" s="709"/>
      <c r="H249" s="709"/>
      <c r="I249" s="709"/>
      <c r="J249" s="709"/>
      <c r="K249" s="709"/>
      <c r="L249" s="709"/>
      <c r="M249" s="709"/>
      <c r="N249" s="709"/>
      <c r="O249" s="709"/>
      <c r="P249" s="709"/>
      <c r="Q249" s="709"/>
      <c r="R249" s="709"/>
      <c r="S249" s="709"/>
      <c r="T249" s="709"/>
      <c r="U249" s="709"/>
      <c r="V249" s="709"/>
      <c r="W249" s="887"/>
      <c r="BB249" s="3"/>
      <c r="BC249" s="3"/>
      <c r="BD249" s="3"/>
      <c r="BE249" s="3"/>
      <c r="BF249" s="3"/>
      <c r="BG249" s="890"/>
      <c r="BH249" s="890"/>
      <c r="BI249" s="890"/>
      <c r="BJ249" s="890"/>
      <c r="BK249" s="890"/>
      <c r="BL249" s="890"/>
      <c r="BM249" s="890"/>
      <c r="BN249" s="890"/>
      <c r="BO249" s="890"/>
      <c r="BP249" s="890"/>
      <c r="BQ249" s="890"/>
      <c r="BR249" s="890"/>
      <c r="BS249" s="890"/>
      <c r="BT249" s="890"/>
      <c r="BU249" s="890"/>
      <c r="BV249" s="890"/>
      <c r="BW249" s="890"/>
    </row>
    <row r="250" spans="1:75">
      <c r="A250" s="709"/>
      <c r="B250" s="709"/>
      <c r="C250" s="709"/>
      <c r="D250" s="709"/>
      <c r="E250" s="709"/>
      <c r="F250" s="709"/>
      <c r="G250" s="709"/>
      <c r="H250" s="709"/>
      <c r="I250" s="709"/>
      <c r="J250" s="709"/>
      <c r="K250" s="709"/>
      <c r="L250" s="709"/>
      <c r="M250" s="709"/>
      <c r="N250" s="709"/>
      <c r="O250" s="709"/>
      <c r="P250" s="709"/>
      <c r="Q250" s="709"/>
      <c r="R250" s="709"/>
      <c r="S250" s="709"/>
      <c r="T250" s="709"/>
      <c r="U250" s="709"/>
      <c r="V250" s="709"/>
      <c r="W250" s="887"/>
      <c r="BB250" s="3"/>
      <c r="BC250" s="3"/>
      <c r="BD250" s="3"/>
      <c r="BE250" s="3"/>
      <c r="BF250" s="3"/>
      <c r="BG250" s="890"/>
      <c r="BH250" s="890"/>
      <c r="BI250" s="890"/>
      <c r="BJ250" s="890"/>
      <c r="BK250" s="890"/>
      <c r="BL250" s="890"/>
      <c r="BM250" s="890"/>
      <c r="BN250" s="890"/>
      <c r="BO250" s="890"/>
      <c r="BP250" s="890"/>
      <c r="BQ250" s="890"/>
      <c r="BR250" s="890"/>
      <c r="BS250" s="890"/>
      <c r="BT250" s="890"/>
      <c r="BU250" s="890"/>
      <c r="BV250" s="890"/>
      <c r="BW250" s="890"/>
    </row>
    <row r="251" spans="1:75">
      <c r="A251" s="709"/>
      <c r="B251" s="709"/>
      <c r="C251" s="709"/>
      <c r="D251" s="709"/>
      <c r="E251" s="709"/>
      <c r="F251" s="709"/>
      <c r="G251" s="709"/>
      <c r="H251" s="709"/>
      <c r="I251" s="709"/>
      <c r="J251" s="709"/>
      <c r="K251" s="709"/>
      <c r="L251" s="709"/>
      <c r="M251" s="709"/>
      <c r="N251" s="709"/>
      <c r="O251" s="709"/>
      <c r="P251" s="709"/>
      <c r="Q251" s="709"/>
      <c r="R251" s="709"/>
      <c r="S251" s="709"/>
      <c r="T251" s="709"/>
      <c r="U251" s="709"/>
      <c r="V251" s="709"/>
      <c r="W251" s="887"/>
      <c r="BB251" s="3"/>
      <c r="BC251" s="3"/>
      <c r="BD251" s="3"/>
      <c r="BE251" s="3"/>
      <c r="BF251" s="3"/>
      <c r="BG251" s="890"/>
      <c r="BH251" s="890"/>
      <c r="BI251" s="890"/>
      <c r="BJ251" s="890"/>
      <c r="BK251" s="890"/>
      <c r="BL251" s="890"/>
      <c r="BM251" s="890"/>
      <c r="BN251" s="890"/>
      <c r="BO251" s="890"/>
      <c r="BP251" s="890"/>
      <c r="BQ251" s="890"/>
      <c r="BR251" s="890"/>
      <c r="BS251" s="890"/>
      <c r="BT251" s="890"/>
      <c r="BU251" s="890"/>
      <c r="BV251" s="890"/>
      <c r="BW251" s="890"/>
    </row>
    <row r="252" spans="1:75">
      <c r="A252" s="709"/>
      <c r="B252" s="709"/>
      <c r="C252" s="709"/>
      <c r="D252" s="709"/>
      <c r="E252" s="709"/>
      <c r="F252" s="709"/>
      <c r="G252" s="709"/>
      <c r="H252" s="709"/>
      <c r="I252" s="709"/>
      <c r="J252" s="709"/>
      <c r="K252" s="709"/>
      <c r="L252" s="709"/>
      <c r="M252" s="709"/>
      <c r="N252" s="709"/>
      <c r="O252" s="709"/>
      <c r="P252" s="709"/>
      <c r="Q252" s="709"/>
      <c r="R252" s="709"/>
      <c r="S252" s="709"/>
      <c r="T252" s="709"/>
      <c r="U252" s="709"/>
      <c r="V252" s="709"/>
      <c r="W252" s="887"/>
      <c r="BB252" s="3"/>
      <c r="BC252" s="3"/>
      <c r="BD252" s="3"/>
      <c r="BE252" s="3"/>
      <c r="BF252" s="3"/>
      <c r="BG252" s="890"/>
      <c r="BH252" s="890"/>
      <c r="BI252" s="890"/>
      <c r="BJ252" s="890"/>
      <c r="BK252" s="890"/>
      <c r="BL252" s="890"/>
      <c r="BM252" s="890"/>
      <c r="BN252" s="890"/>
      <c r="BO252" s="890"/>
      <c r="BP252" s="890"/>
      <c r="BQ252" s="890"/>
      <c r="BR252" s="890"/>
      <c r="BS252" s="890"/>
      <c r="BT252" s="890"/>
      <c r="BU252" s="890"/>
      <c r="BV252" s="890"/>
      <c r="BW252" s="890"/>
    </row>
    <row r="253" spans="1:75">
      <c r="A253" s="709"/>
      <c r="B253" s="709"/>
      <c r="C253" s="709"/>
      <c r="D253" s="709"/>
      <c r="E253" s="709"/>
      <c r="F253" s="709"/>
      <c r="G253" s="709"/>
      <c r="H253" s="709"/>
      <c r="I253" s="709"/>
      <c r="J253" s="709"/>
      <c r="K253" s="709"/>
      <c r="L253" s="709"/>
      <c r="M253" s="709"/>
      <c r="N253" s="709"/>
      <c r="O253" s="709"/>
      <c r="P253" s="709"/>
      <c r="Q253" s="709"/>
      <c r="R253" s="709"/>
      <c r="S253" s="709"/>
      <c r="T253" s="709"/>
      <c r="U253" s="709"/>
      <c r="V253" s="709"/>
      <c r="W253" s="887"/>
      <c r="BB253" s="3"/>
      <c r="BC253" s="3"/>
      <c r="BD253" s="3"/>
      <c r="BE253" s="3"/>
      <c r="BF253" s="3"/>
      <c r="BG253" s="890"/>
      <c r="BH253" s="890"/>
      <c r="BI253" s="890"/>
      <c r="BJ253" s="890"/>
      <c r="BK253" s="890"/>
      <c r="BL253" s="890"/>
      <c r="BM253" s="890"/>
      <c r="BN253" s="890"/>
      <c r="BO253" s="890"/>
      <c r="BP253" s="890"/>
      <c r="BQ253" s="890"/>
      <c r="BR253" s="890"/>
      <c r="BS253" s="890"/>
      <c r="BT253" s="890"/>
      <c r="BU253" s="890"/>
      <c r="BV253" s="890"/>
      <c r="BW253" s="890"/>
    </row>
    <row r="254" spans="1:75">
      <c r="A254" s="709"/>
      <c r="B254" s="709"/>
      <c r="C254" s="709"/>
      <c r="D254" s="709"/>
      <c r="E254" s="709"/>
      <c r="F254" s="709"/>
      <c r="G254" s="709"/>
      <c r="H254" s="709"/>
      <c r="I254" s="709"/>
      <c r="J254" s="709"/>
      <c r="K254" s="709"/>
      <c r="L254" s="709"/>
      <c r="M254" s="709"/>
      <c r="N254" s="709"/>
      <c r="O254" s="709"/>
      <c r="P254" s="709"/>
      <c r="Q254" s="709"/>
      <c r="R254" s="709"/>
      <c r="S254" s="709"/>
      <c r="T254" s="709"/>
      <c r="U254" s="709"/>
      <c r="V254" s="709"/>
      <c r="W254" s="887"/>
      <c r="BB254" s="3"/>
      <c r="BC254" s="3"/>
      <c r="BD254" s="3"/>
      <c r="BE254" s="3"/>
      <c r="BF254" s="3"/>
      <c r="BG254" s="890"/>
      <c r="BH254" s="890"/>
      <c r="BI254" s="890"/>
      <c r="BJ254" s="890"/>
      <c r="BK254" s="890"/>
      <c r="BL254" s="890"/>
      <c r="BM254" s="890"/>
      <c r="BN254" s="890"/>
      <c r="BO254" s="890"/>
      <c r="BP254" s="890"/>
      <c r="BQ254" s="890"/>
      <c r="BR254" s="890"/>
      <c r="BS254" s="890"/>
      <c r="BT254" s="890"/>
      <c r="BU254" s="890"/>
      <c r="BV254" s="890"/>
      <c r="BW254" s="890"/>
    </row>
    <row r="255" spans="1:75">
      <c r="A255" s="709"/>
      <c r="B255" s="709"/>
      <c r="C255" s="709"/>
      <c r="D255" s="709"/>
      <c r="E255" s="709"/>
      <c r="F255" s="709"/>
      <c r="G255" s="709"/>
      <c r="H255" s="709"/>
      <c r="I255" s="709"/>
      <c r="J255" s="709"/>
      <c r="K255" s="709"/>
      <c r="L255" s="709"/>
      <c r="M255" s="709"/>
      <c r="N255" s="709"/>
      <c r="O255" s="709"/>
      <c r="P255" s="709"/>
      <c r="Q255" s="709"/>
      <c r="R255" s="709"/>
      <c r="S255" s="709"/>
      <c r="T255" s="709"/>
      <c r="U255" s="709"/>
      <c r="V255" s="709"/>
      <c r="W255" s="887"/>
      <c r="BB255" s="3"/>
      <c r="BC255" s="3"/>
      <c r="BD255" s="3"/>
      <c r="BE255" s="3"/>
      <c r="BF255" s="3"/>
      <c r="BG255" s="890"/>
      <c r="BH255" s="890"/>
      <c r="BI255" s="890"/>
      <c r="BJ255" s="890"/>
      <c r="BK255" s="890"/>
      <c r="BL255" s="890"/>
      <c r="BM255" s="890"/>
      <c r="BN255" s="890"/>
      <c r="BO255" s="890"/>
      <c r="BP255" s="890"/>
      <c r="BQ255" s="890"/>
      <c r="BR255" s="890"/>
      <c r="BS255" s="890"/>
      <c r="BT255" s="890"/>
      <c r="BU255" s="890"/>
      <c r="BV255" s="890"/>
      <c r="BW255" s="890"/>
    </row>
    <row r="256" spans="1:75">
      <c r="A256" s="709"/>
      <c r="B256" s="709"/>
      <c r="C256" s="709"/>
      <c r="D256" s="709"/>
      <c r="E256" s="709"/>
      <c r="F256" s="709"/>
      <c r="G256" s="709"/>
      <c r="H256" s="709"/>
      <c r="I256" s="709"/>
      <c r="J256" s="709"/>
      <c r="K256" s="709"/>
      <c r="L256" s="709"/>
      <c r="M256" s="709"/>
      <c r="N256" s="709"/>
      <c r="O256" s="709"/>
      <c r="P256" s="709"/>
      <c r="Q256" s="709"/>
      <c r="R256" s="709"/>
      <c r="S256" s="709"/>
      <c r="T256" s="709"/>
      <c r="U256" s="709"/>
      <c r="V256" s="709"/>
      <c r="W256" s="887"/>
      <c r="BB256" s="3"/>
      <c r="BC256" s="3"/>
      <c r="BD256" s="3"/>
      <c r="BE256" s="3"/>
      <c r="BF256" s="3"/>
      <c r="BG256" s="890"/>
      <c r="BH256" s="890"/>
      <c r="BI256" s="890"/>
      <c r="BJ256" s="890"/>
      <c r="BK256" s="890"/>
      <c r="BL256" s="890"/>
      <c r="BM256" s="890"/>
      <c r="BN256" s="890"/>
      <c r="BO256" s="890"/>
      <c r="BP256" s="890"/>
      <c r="BQ256" s="890"/>
      <c r="BR256" s="890"/>
      <c r="BS256" s="890"/>
      <c r="BT256" s="890"/>
      <c r="BU256" s="890"/>
      <c r="BV256" s="890"/>
      <c r="BW256" s="890"/>
    </row>
    <row r="257" spans="1:75">
      <c r="A257" s="709"/>
      <c r="B257" s="709"/>
      <c r="C257" s="709"/>
      <c r="D257" s="709"/>
      <c r="E257" s="709"/>
      <c r="F257" s="709"/>
      <c r="G257" s="709"/>
      <c r="H257" s="709"/>
      <c r="I257" s="709"/>
      <c r="J257" s="709"/>
      <c r="K257" s="709"/>
      <c r="L257" s="709"/>
      <c r="M257" s="709"/>
      <c r="N257" s="709"/>
      <c r="O257" s="709"/>
      <c r="P257" s="709"/>
      <c r="Q257" s="709"/>
      <c r="R257" s="709"/>
      <c r="S257" s="709"/>
      <c r="T257" s="709"/>
      <c r="U257" s="709"/>
      <c r="V257" s="709"/>
      <c r="W257" s="887"/>
      <c r="BB257" s="3"/>
      <c r="BC257" s="3"/>
      <c r="BD257" s="3"/>
      <c r="BE257" s="3"/>
      <c r="BF257" s="3"/>
      <c r="BG257" s="890"/>
      <c r="BH257" s="890"/>
      <c r="BI257" s="890"/>
      <c r="BJ257" s="890"/>
      <c r="BK257" s="890"/>
      <c r="BL257" s="890"/>
      <c r="BM257" s="890"/>
      <c r="BN257" s="890"/>
      <c r="BO257" s="890"/>
      <c r="BP257" s="890"/>
      <c r="BQ257" s="890"/>
      <c r="BR257" s="890"/>
      <c r="BS257" s="890"/>
      <c r="BT257" s="890"/>
      <c r="BU257" s="890"/>
      <c r="BV257" s="890"/>
      <c r="BW257" s="890"/>
    </row>
    <row r="258" spans="1:75">
      <c r="A258" s="709"/>
      <c r="B258" s="709"/>
      <c r="C258" s="709"/>
      <c r="D258" s="709"/>
      <c r="E258" s="709"/>
      <c r="F258" s="709"/>
      <c r="G258" s="709"/>
      <c r="H258" s="709"/>
      <c r="I258" s="709"/>
      <c r="J258" s="709"/>
      <c r="K258" s="709"/>
      <c r="L258" s="709"/>
      <c r="M258" s="709"/>
      <c r="N258" s="709"/>
      <c r="O258" s="709"/>
      <c r="P258" s="709"/>
      <c r="Q258" s="709"/>
      <c r="R258" s="709"/>
      <c r="S258" s="709"/>
      <c r="T258" s="709"/>
      <c r="U258" s="709"/>
      <c r="V258" s="709"/>
      <c r="W258" s="887"/>
      <c r="BB258" s="3"/>
      <c r="BC258" s="3"/>
      <c r="BD258" s="3"/>
      <c r="BE258" s="3"/>
      <c r="BF258" s="3"/>
      <c r="BG258" s="890"/>
      <c r="BH258" s="890"/>
      <c r="BI258" s="890"/>
      <c r="BJ258" s="890"/>
      <c r="BK258" s="890"/>
      <c r="BL258" s="890"/>
      <c r="BM258" s="890"/>
      <c r="BN258" s="890"/>
      <c r="BO258" s="890"/>
      <c r="BP258" s="890"/>
      <c r="BQ258" s="890"/>
      <c r="BR258" s="890"/>
      <c r="BS258" s="890"/>
      <c r="BT258" s="890"/>
      <c r="BU258" s="890"/>
      <c r="BV258" s="890"/>
      <c r="BW258" s="890"/>
    </row>
    <row r="259" spans="1:75">
      <c r="A259" s="709"/>
      <c r="B259" s="709"/>
      <c r="C259" s="709"/>
      <c r="D259" s="709"/>
      <c r="E259" s="709"/>
      <c r="F259" s="709"/>
      <c r="G259" s="709"/>
      <c r="H259" s="709"/>
      <c r="I259" s="709"/>
      <c r="J259" s="709"/>
      <c r="K259" s="709"/>
      <c r="L259" s="709"/>
      <c r="M259" s="709"/>
      <c r="N259" s="709"/>
      <c r="O259" s="709"/>
      <c r="P259" s="709"/>
      <c r="Q259" s="709"/>
      <c r="R259" s="709"/>
      <c r="S259" s="709"/>
      <c r="T259" s="709"/>
      <c r="U259" s="709"/>
      <c r="V259" s="709"/>
      <c r="W259" s="887"/>
      <c r="BB259" s="3"/>
      <c r="BC259" s="3"/>
      <c r="BD259" s="3"/>
      <c r="BE259" s="3"/>
      <c r="BF259" s="3"/>
      <c r="BG259" s="890"/>
      <c r="BH259" s="890"/>
      <c r="BI259" s="890"/>
      <c r="BJ259" s="890"/>
      <c r="BK259" s="890"/>
      <c r="BL259" s="890"/>
      <c r="BM259" s="890"/>
      <c r="BN259" s="890"/>
      <c r="BO259" s="890"/>
      <c r="BP259" s="890"/>
      <c r="BQ259" s="890"/>
      <c r="BR259" s="890"/>
      <c r="BS259" s="890"/>
      <c r="BT259" s="890"/>
      <c r="BU259" s="890"/>
      <c r="BV259" s="890"/>
      <c r="BW259" s="890"/>
    </row>
    <row r="260" spans="1:75">
      <c r="A260" s="709"/>
      <c r="B260" s="709"/>
      <c r="C260" s="709"/>
      <c r="D260" s="709"/>
      <c r="E260" s="709"/>
      <c r="F260" s="709"/>
      <c r="G260" s="709"/>
      <c r="H260" s="709"/>
      <c r="I260" s="709"/>
      <c r="J260" s="709"/>
      <c r="K260" s="709"/>
      <c r="L260" s="709"/>
      <c r="M260" s="709"/>
      <c r="N260" s="709"/>
      <c r="O260" s="709"/>
      <c r="P260" s="709"/>
      <c r="Q260" s="709"/>
      <c r="R260" s="709"/>
      <c r="S260" s="709"/>
      <c r="T260" s="709"/>
      <c r="U260" s="709"/>
      <c r="V260" s="709"/>
      <c r="W260" s="887"/>
      <c r="BB260" s="3"/>
      <c r="BC260" s="3"/>
      <c r="BD260" s="3"/>
      <c r="BE260" s="3"/>
      <c r="BF260" s="3"/>
      <c r="BG260" s="890"/>
      <c r="BH260" s="890"/>
      <c r="BI260" s="890"/>
      <c r="BJ260" s="890"/>
      <c r="BK260" s="890"/>
      <c r="BL260" s="890"/>
      <c r="BM260" s="890"/>
      <c r="BN260" s="890"/>
      <c r="BO260" s="890"/>
      <c r="BP260" s="890"/>
      <c r="BQ260" s="890"/>
      <c r="BR260" s="890"/>
      <c r="BS260" s="890"/>
      <c r="BT260" s="890"/>
      <c r="BU260" s="890"/>
      <c r="BV260" s="890"/>
      <c r="BW260" s="890"/>
    </row>
    <row r="261" spans="1:75">
      <c r="A261" s="709"/>
      <c r="B261" s="709"/>
      <c r="C261" s="709"/>
      <c r="D261" s="709"/>
      <c r="E261" s="709"/>
      <c r="F261" s="709"/>
      <c r="G261" s="709"/>
      <c r="H261" s="709"/>
      <c r="I261" s="709"/>
      <c r="J261" s="709"/>
      <c r="K261" s="709"/>
      <c r="L261" s="709"/>
      <c r="M261" s="709"/>
      <c r="N261" s="709"/>
      <c r="O261" s="709"/>
      <c r="P261" s="709"/>
      <c r="Q261" s="709"/>
      <c r="R261" s="709"/>
      <c r="S261" s="709"/>
      <c r="T261" s="709"/>
      <c r="U261" s="709"/>
      <c r="V261" s="709"/>
      <c r="W261" s="887"/>
      <c r="BB261" s="3"/>
      <c r="BC261" s="3"/>
      <c r="BD261" s="3"/>
      <c r="BE261" s="3"/>
      <c r="BF261" s="3"/>
      <c r="BG261" s="890"/>
      <c r="BH261" s="890"/>
      <c r="BI261" s="890"/>
      <c r="BJ261" s="890"/>
      <c r="BK261" s="890"/>
      <c r="BL261" s="890"/>
      <c r="BM261" s="890"/>
      <c r="BN261" s="890"/>
      <c r="BO261" s="890"/>
      <c r="BP261" s="890"/>
      <c r="BQ261" s="890"/>
      <c r="BR261" s="890"/>
      <c r="BS261" s="890"/>
      <c r="BT261" s="890"/>
      <c r="BU261" s="890"/>
      <c r="BV261" s="890"/>
      <c r="BW261" s="890"/>
    </row>
    <row r="262" spans="1:75">
      <c r="A262" s="709"/>
      <c r="B262" s="709"/>
      <c r="C262" s="709"/>
      <c r="D262" s="709"/>
      <c r="E262" s="709"/>
      <c r="F262" s="709"/>
      <c r="G262" s="709"/>
      <c r="H262" s="709"/>
      <c r="I262" s="709"/>
      <c r="J262" s="709"/>
      <c r="K262" s="709"/>
      <c r="L262" s="709"/>
      <c r="M262" s="709"/>
      <c r="N262" s="709"/>
      <c r="O262" s="709"/>
      <c r="P262" s="709"/>
      <c r="Q262" s="709"/>
      <c r="R262" s="709"/>
      <c r="S262" s="709"/>
      <c r="T262" s="709"/>
      <c r="U262" s="709"/>
      <c r="V262" s="709"/>
      <c r="W262" s="887"/>
      <c r="BB262" s="3"/>
      <c r="BC262" s="3"/>
      <c r="BD262" s="3"/>
      <c r="BE262" s="3"/>
      <c r="BF262" s="3"/>
      <c r="BG262" s="890"/>
      <c r="BH262" s="890"/>
      <c r="BI262" s="890"/>
      <c r="BJ262" s="890"/>
      <c r="BK262" s="890"/>
      <c r="BL262" s="890"/>
      <c r="BM262" s="890"/>
      <c r="BN262" s="890"/>
      <c r="BO262" s="890"/>
      <c r="BP262" s="890"/>
      <c r="BQ262" s="890"/>
      <c r="BR262" s="890"/>
      <c r="BS262" s="890"/>
      <c r="BT262" s="890"/>
      <c r="BU262" s="890"/>
      <c r="BV262" s="890"/>
      <c r="BW262" s="890"/>
    </row>
    <row r="263" spans="1:75">
      <c r="A263" s="709"/>
      <c r="B263" s="709"/>
      <c r="C263" s="709"/>
      <c r="D263" s="709"/>
      <c r="E263" s="709"/>
      <c r="F263" s="709"/>
      <c r="G263" s="709"/>
      <c r="H263" s="709"/>
      <c r="I263" s="709"/>
      <c r="J263" s="709"/>
      <c r="K263" s="709"/>
      <c r="L263" s="709"/>
      <c r="M263" s="709"/>
      <c r="N263" s="709"/>
      <c r="O263" s="709"/>
      <c r="P263" s="709"/>
      <c r="Q263" s="709"/>
      <c r="R263" s="709"/>
      <c r="S263" s="709"/>
      <c r="T263" s="709"/>
      <c r="U263" s="709"/>
      <c r="V263" s="709"/>
      <c r="W263" s="887"/>
      <c r="BB263" s="3"/>
      <c r="BC263" s="3"/>
      <c r="BD263" s="3"/>
      <c r="BE263" s="3"/>
      <c r="BF263" s="3"/>
      <c r="BG263" s="890"/>
      <c r="BH263" s="890"/>
      <c r="BI263" s="890"/>
      <c r="BJ263" s="890"/>
      <c r="BK263" s="890"/>
      <c r="BL263" s="890"/>
      <c r="BM263" s="890"/>
      <c r="BN263" s="890"/>
      <c r="BO263" s="890"/>
      <c r="BP263" s="890"/>
      <c r="BQ263" s="890"/>
      <c r="BR263" s="890"/>
      <c r="BS263" s="890"/>
      <c r="BT263" s="890"/>
      <c r="BU263" s="890"/>
      <c r="BV263" s="890"/>
      <c r="BW263" s="890"/>
    </row>
    <row r="264" spans="1:75">
      <c r="A264" s="709"/>
      <c r="B264" s="709"/>
      <c r="C264" s="709"/>
      <c r="D264" s="709"/>
      <c r="E264" s="709"/>
      <c r="F264" s="709"/>
      <c r="G264" s="709"/>
      <c r="H264" s="709"/>
      <c r="I264" s="709"/>
      <c r="J264" s="709"/>
      <c r="K264" s="709"/>
      <c r="L264" s="709"/>
      <c r="M264" s="709"/>
      <c r="N264" s="709"/>
      <c r="O264" s="709"/>
      <c r="P264" s="709"/>
      <c r="Q264" s="709"/>
      <c r="R264" s="709"/>
      <c r="S264" s="709"/>
      <c r="T264" s="709"/>
      <c r="U264" s="709"/>
      <c r="V264" s="709"/>
      <c r="W264" s="887"/>
      <c r="BB264" s="3"/>
      <c r="BC264" s="3"/>
      <c r="BD264" s="3"/>
      <c r="BE264" s="3"/>
      <c r="BF264" s="3"/>
      <c r="BG264" s="890"/>
      <c r="BH264" s="890"/>
      <c r="BI264" s="890"/>
      <c r="BJ264" s="890"/>
      <c r="BK264" s="890"/>
      <c r="BL264" s="890"/>
      <c r="BM264" s="890"/>
      <c r="BN264" s="890"/>
      <c r="BO264" s="890"/>
      <c r="BP264" s="890"/>
      <c r="BQ264" s="890"/>
      <c r="BR264" s="890"/>
      <c r="BS264" s="890"/>
      <c r="BT264" s="890"/>
      <c r="BU264" s="890"/>
      <c r="BV264" s="890"/>
      <c r="BW264" s="890"/>
    </row>
    <row r="265" spans="1:75">
      <c r="A265" s="709"/>
      <c r="B265" s="709"/>
      <c r="C265" s="709"/>
      <c r="D265" s="709"/>
      <c r="E265" s="709"/>
      <c r="F265" s="709"/>
      <c r="G265" s="709"/>
      <c r="H265" s="709"/>
      <c r="I265" s="709"/>
      <c r="J265" s="709"/>
      <c r="K265" s="709"/>
      <c r="L265" s="709"/>
      <c r="M265" s="709"/>
      <c r="N265" s="709"/>
      <c r="O265" s="709"/>
      <c r="P265" s="709"/>
      <c r="Q265" s="709"/>
      <c r="R265" s="709"/>
      <c r="S265" s="709"/>
      <c r="T265" s="709"/>
      <c r="U265" s="709"/>
      <c r="V265" s="709"/>
      <c r="W265" s="887"/>
      <c r="BB265" s="3"/>
      <c r="BC265" s="3"/>
      <c r="BD265" s="3"/>
      <c r="BE265" s="3"/>
      <c r="BF265" s="3"/>
      <c r="BG265" s="890"/>
      <c r="BH265" s="890"/>
      <c r="BI265" s="890"/>
      <c r="BJ265" s="890"/>
      <c r="BK265" s="890"/>
      <c r="BL265" s="890"/>
      <c r="BM265" s="890"/>
      <c r="BN265" s="890"/>
      <c r="BO265" s="890"/>
      <c r="BP265" s="890"/>
      <c r="BQ265" s="890"/>
      <c r="BR265" s="890"/>
      <c r="BS265" s="890"/>
      <c r="BT265" s="890"/>
      <c r="BU265" s="890"/>
      <c r="BV265" s="890"/>
      <c r="BW265" s="890"/>
    </row>
    <row r="266" spans="1:75">
      <c r="A266" s="709"/>
      <c r="B266" s="709"/>
      <c r="C266" s="709"/>
      <c r="D266" s="709"/>
      <c r="E266" s="709"/>
      <c r="F266" s="709"/>
      <c r="G266" s="709"/>
      <c r="H266" s="709"/>
      <c r="I266" s="709"/>
      <c r="J266" s="709"/>
      <c r="K266" s="709"/>
      <c r="L266" s="709"/>
      <c r="M266" s="709"/>
      <c r="N266" s="709"/>
      <c r="O266" s="709"/>
      <c r="P266" s="709"/>
      <c r="Q266" s="709"/>
      <c r="R266" s="709"/>
      <c r="S266" s="709"/>
      <c r="T266" s="709"/>
      <c r="U266" s="709"/>
      <c r="V266" s="709"/>
      <c r="W266" s="887"/>
      <c r="BB266" s="3"/>
      <c r="BC266" s="3"/>
      <c r="BD266" s="3"/>
      <c r="BE266" s="3"/>
      <c r="BF266" s="3"/>
      <c r="BG266" s="890"/>
      <c r="BH266" s="890"/>
      <c r="BI266" s="890"/>
      <c r="BJ266" s="890"/>
      <c r="BK266" s="890"/>
      <c r="BL266" s="890"/>
      <c r="BM266" s="890"/>
      <c r="BN266" s="890"/>
      <c r="BO266" s="890"/>
      <c r="BP266" s="890"/>
      <c r="BQ266" s="890"/>
      <c r="BR266" s="890"/>
      <c r="BS266" s="890"/>
      <c r="BT266" s="890"/>
      <c r="BU266" s="890"/>
      <c r="BV266" s="890"/>
      <c r="BW266" s="890"/>
    </row>
    <row r="267" spans="1:75">
      <c r="A267" s="709"/>
      <c r="B267" s="709"/>
      <c r="C267" s="709"/>
      <c r="D267" s="709"/>
      <c r="E267" s="709"/>
      <c r="F267" s="709"/>
      <c r="G267" s="709"/>
      <c r="H267" s="709"/>
      <c r="I267" s="709"/>
      <c r="J267" s="709"/>
      <c r="K267" s="709"/>
      <c r="L267" s="709"/>
      <c r="M267" s="709"/>
      <c r="N267" s="709"/>
      <c r="O267" s="709"/>
      <c r="P267" s="709"/>
      <c r="Q267" s="709"/>
      <c r="R267" s="709"/>
      <c r="S267" s="709"/>
      <c r="T267" s="709"/>
      <c r="U267" s="709"/>
      <c r="V267" s="709"/>
      <c r="W267" s="887"/>
      <c r="BB267" s="3"/>
      <c r="BC267" s="3"/>
      <c r="BD267" s="3"/>
      <c r="BE267" s="3"/>
      <c r="BF267" s="3"/>
      <c r="BG267" s="890"/>
      <c r="BH267" s="890"/>
      <c r="BI267" s="890"/>
      <c r="BJ267" s="890"/>
      <c r="BK267" s="890"/>
      <c r="BL267" s="890"/>
      <c r="BM267" s="890"/>
      <c r="BN267" s="890"/>
      <c r="BO267" s="890"/>
      <c r="BP267" s="890"/>
      <c r="BQ267" s="890"/>
      <c r="BR267" s="890"/>
      <c r="BS267" s="890"/>
      <c r="BT267" s="890"/>
      <c r="BU267" s="890"/>
      <c r="BV267" s="890"/>
      <c r="BW267" s="890"/>
    </row>
    <row r="268" spans="1:75">
      <c r="A268" s="709"/>
      <c r="B268" s="709"/>
      <c r="C268" s="709"/>
      <c r="D268" s="709"/>
      <c r="E268" s="709"/>
      <c r="F268" s="709"/>
      <c r="G268" s="709"/>
      <c r="H268" s="709"/>
      <c r="I268" s="709"/>
      <c r="J268" s="709"/>
      <c r="K268" s="709"/>
      <c r="L268" s="709"/>
      <c r="M268" s="709"/>
      <c r="N268" s="709"/>
      <c r="O268" s="709"/>
      <c r="P268" s="709"/>
      <c r="Q268" s="709"/>
      <c r="R268" s="709"/>
      <c r="S268" s="709"/>
      <c r="T268" s="709"/>
      <c r="U268" s="709"/>
      <c r="V268" s="709"/>
      <c r="W268" s="887"/>
      <c r="BB268" s="3"/>
      <c r="BC268" s="3"/>
      <c r="BD268" s="3"/>
      <c r="BE268" s="3"/>
      <c r="BF268" s="3"/>
      <c r="BG268" s="890"/>
      <c r="BH268" s="890"/>
      <c r="BI268" s="890"/>
      <c r="BJ268" s="890"/>
      <c r="BK268" s="890"/>
      <c r="BL268" s="890"/>
      <c r="BM268" s="890"/>
      <c r="BN268" s="890"/>
      <c r="BO268" s="890"/>
      <c r="BP268" s="890"/>
      <c r="BQ268" s="890"/>
      <c r="BR268" s="890"/>
      <c r="BS268" s="890"/>
      <c r="BT268" s="890"/>
      <c r="BU268" s="890"/>
      <c r="BV268" s="890"/>
      <c r="BW268" s="890"/>
    </row>
    <row r="269" spans="1:75">
      <c r="A269" s="709"/>
      <c r="B269" s="709"/>
      <c r="C269" s="709"/>
      <c r="D269" s="709"/>
      <c r="E269" s="709"/>
      <c r="F269" s="709"/>
      <c r="G269" s="709"/>
      <c r="H269" s="709"/>
      <c r="I269" s="709"/>
      <c r="J269" s="709"/>
      <c r="K269" s="709"/>
      <c r="L269" s="709"/>
      <c r="M269" s="709"/>
      <c r="N269" s="709"/>
      <c r="O269" s="709"/>
      <c r="P269" s="709"/>
      <c r="Q269" s="709"/>
      <c r="R269" s="709"/>
      <c r="S269" s="709"/>
      <c r="T269" s="709"/>
      <c r="U269" s="709"/>
      <c r="V269" s="709"/>
      <c r="W269" s="887"/>
      <c r="BB269" s="3"/>
      <c r="BC269" s="3"/>
      <c r="BD269" s="3"/>
      <c r="BE269" s="3"/>
      <c r="BF269" s="3"/>
      <c r="BG269" s="890"/>
      <c r="BH269" s="890"/>
      <c r="BI269" s="890"/>
      <c r="BJ269" s="890"/>
      <c r="BK269" s="890"/>
      <c r="BL269" s="890"/>
      <c r="BM269" s="890"/>
      <c r="BN269" s="890"/>
      <c r="BO269" s="890"/>
      <c r="BP269" s="890"/>
      <c r="BQ269" s="890"/>
      <c r="BR269" s="890"/>
      <c r="BS269" s="890"/>
      <c r="BT269" s="890"/>
      <c r="BU269" s="890"/>
      <c r="BV269" s="890"/>
      <c r="BW269" s="890"/>
    </row>
    <row r="270" spans="1:75">
      <c r="A270" s="709"/>
      <c r="B270" s="709"/>
      <c r="C270" s="709"/>
      <c r="D270" s="709"/>
      <c r="E270" s="709"/>
      <c r="F270" s="709"/>
      <c r="G270" s="709"/>
      <c r="H270" s="709"/>
      <c r="I270" s="709"/>
      <c r="J270" s="709"/>
      <c r="K270" s="709"/>
      <c r="L270" s="709"/>
      <c r="M270" s="709"/>
      <c r="N270" s="709"/>
      <c r="O270" s="709"/>
      <c r="P270" s="709"/>
      <c r="Q270" s="709"/>
      <c r="R270" s="709"/>
      <c r="S270" s="709"/>
      <c r="T270" s="709"/>
      <c r="U270" s="709"/>
      <c r="V270" s="709"/>
      <c r="W270" s="887"/>
      <c r="BB270" s="3"/>
      <c r="BC270" s="3"/>
      <c r="BD270" s="3"/>
      <c r="BE270" s="3"/>
      <c r="BF270" s="3"/>
      <c r="BG270" s="890"/>
      <c r="BH270" s="890"/>
      <c r="BI270" s="890"/>
      <c r="BJ270" s="890"/>
      <c r="BK270" s="890"/>
      <c r="BL270" s="890"/>
      <c r="BM270" s="890"/>
      <c r="BN270" s="890"/>
      <c r="BO270" s="890"/>
      <c r="BP270" s="890"/>
      <c r="BQ270" s="890"/>
      <c r="BR270" s="890"/>
      <c r="BS270" s="890"/>
      <c r="BT270" s="890"/>
      <c r="BU270" s="890"/>
      <c r="BV270" s="890"/>
      <c r="BW270" s="890"/>
    </row>
    <row r="271" spans="1:75">
      <c r="A271" s="709"/>
      <c r="B271" s="709"/>
      <c r="C271" s="709"/>
      <c r="D271" s="709"/>
      <c r="E271" s="709"/>
      <c r="F271" s="709"/>
      <c r="G271" s="709"/>
      <c r="H271" s="709"/>
      <c r="I271" s="709"/>
      <c r="J271" s="709"/>
      <c r="K271" s="709"/>
      <c r="L271" s="709"/>
      <c r="M271" s="709"/>
      <c r="N271" s="709"/>
      <c r="O271" s="709"/>
      <c r="P271" s="709"/>
      <c r="Q271" s="709"/>
      <c r="R271" s="709"/>
      <c r="S271" s="709"/>
      <c r="T271" s="709"/>
      <c r="U271" s="709"/>
      <c r="V271" s="709"/>
      <c r="W271" s="887"/>
      <c r="BB271" s="3"/>
      <c r="BC271" s="3"/>
      <c r="BD271" s="3"/>
      <c r="BE271" s="3"/>
      <c r="BF271" s="3"/>
      <c r="BG271" s="890"/>
      <c r="BH271" s="890"/>
      <c r="BI271" s="890"/>
      <c r="BJ271" s="890"/>
      <c r="BK271" s="890"/>
      <c r="BL271" s="890"/>
      <c r="BM271" s="890"/>
      <c r="BN271" s="890"/>
      <c r="BO271" s="890"/>
      <c r="BP271" s="890"/>
      <c r="BQ271" s="890"/>
      <c r="BR271" s="890"/>
      <c r="BS271" s="890"/>
      <c r="BT271" s="890"/>
      <c r="BU271" s="890"/>
      <c r="BV271" s="890"/>
      <c r="BW271" s="890"/>
    </row>
    <row r="272" spans="1:75">
      <c r="A272" s="709"/>
      <c r="B272" s="709"/>
      <c r="C272" s="709"/>
      <c r="D272" s="709"/>
      <c r="E272" s="709"/>
      <c r="F272" s="709"/>
      <c r="G272" s="709"/>
      <c r="H272" s="709"/>
      <c r="I272" s="709"/>
      <c r="J272" s="709"/>
      <c r="K272" s="709"/>
      <c r="L272" s="709"/>
      <c r="M272" s="709"/>
      <c r="N272" s="709"/>
      <c r="O272" s="709"/>
      <c r="P272" s="709"/>
      <c r="Q272" s="709"/>
      <c r="R272" s="709"/>
      <c r="S272" s="709"/>
      <c r="T272" s="709"/>
      <c r="U272" s="709"/>
      <c r="V272" s="709"/>
      <c r="W272" s="887"/>
      <c r="BB272" s="3"/>
      <c r="BC272" s="3"/>
      <c r="BD272" s="3"/>
      <c r="BE272" s="3"/>
      <c r="BF272" s="3"/>
      <c r="BG272" s="890"/>
      <c r="BH272" s="890"/>
      <c r="BI272" s="890"/>
      <c r="BJ272" s="890"/>
      <c r="BK272" s="890"/>
      <c r="BL272" s="890"/>
      <c r="BM272" s="890"/>
      <c r="BN272" s="890"/>
      <c r="BO272" s="890"/>
      <c r="BP272" s="890"/>
      <c r="BQ272" s="890"/>
      <c r="BR272" s="890"/>
      <c r="BS272" s="890"/>
      <c r="BT272" s="890"/>
      <c r="BU272" s="890"/>
      <c r="BV272" s="890"/>
      <c r="BW272" s="890"/>
    </row>
    <row r="273" spans="1:75">
      <c r="A273" s="709"/>
      <c r="B273" s="709"/>
      <c r="C273" s="709"/>
      <c r="D273" s="709"/>
      <c r="E273" s="709"/>
      <c r="F273" s="709"/>
      <c r="G273" s="709"/>
      <c r="H273" s="709"/>
      <c r="I273" s="709"/>
      <c r="J273" s="709"/>
      <c r="K273" s="709"/>
      <c r="L273" s="709"/>
      <c r="M273" s="709"/>
      <c r="N273" s="709"/>
      <c r="O273" s="709"/>
      <c r="P273" s="709"/>
      <c r="Q273" s="709"/>
      <c r="R273" s="709"/>
      <c r="S273" s="709"/>
      <c r="T273" s="709"/>
      <c r="U273" s="709"/>
      <c r="V273" s="709"/>
      <c r="W273" s="887"/>
      <c r="BB273" s="3"/>
      <c r="BC273" s="3"/>
      <c r="BD273" s="3"/>
      <c r="BE273" s="3"/>
      <c r="BF273" s="3"/>
      <c r="BG273" s="890"/>
      <c r="BH273" s="890"/>
      <c r="BI273" s="890"/>
      <c r="BJ273" s="890"/>
      <c r="BK273" s="890"/>
      <c r="BL273" s="890"/>
      <c r="BM273" s="890"/>
      <c r="BN273" s="890"/>
      <c r="BO273" s="890"/>
      <c r="BP273" s="890"/>
      <c r="BQ273" s="890"/>
      <c r="BR273" s="890"/>
      <c r="BS273" s="890"/>
      <c r="BT273" s="890"/>
      <c r="BU273" s="890"/>
      <c r="BV273" s="890"/>
      <c r="BW273" s="890"/>
    </row>
    <row r="274" spans="1:75">
      <c r="A274" s="709"/>
      <c r="B274" s="709"/>
      <c r="C274" s="709"/>
      <c r="D274" s="709"/>
      <c r="E274" s="709"/>
      <c r="F274" s="709"/>
      <c r="G274" s="709"/>
      <c r="H274" s="709"/>
      <c r="I274" s="709"/>
      <c r="J274" s="709"/>
      <c r="K274" s="709"/>
      <c r="L274" s="709"/>
      <c r="M274" s="709"/>
      <c r="N274" s="709"/>
      <c r="O274" s="709"/>
      <c r="P274" s="709"/>
      <c r="Q274" s="709"/>
      <c r="R274" s="709"/>
      <c r="S274" s="709"/>
      <c r="T274" s="709"/>
      <c r="U274" s="709"/>
      <c r="V274" s="709"/>
      <c r="W274" s="887"/>
      <c r="BB274" s="3"/>
      <c r="BC274" s="3"/>
      <c r="BD274" s="3"/>
      <c r="BE274" s="3"/>
      <c r="BF274" s="3"/>
      <c r="BG274" s="890"/>
      <c r="BH274" s="890"/>
      <c r="BI274" s="890"/>
      <c r="BJ274" s="890"/>
      <c r="BK274" s="890"/>
      <c r="BL274" s="890"/>
      <c r="BM274" s="890"/>
      <c r="BN274" s="890"/>
      <c r="BO274" s="890"/>
      <c r="BP274" s="890"/>
      <c r="BQ274" s="890"/>
      <c r="BR274" s="890"/>
      <c r="BS274" s="890"/>
      <c r="BT274" s="890"/>
      <c r="BU274" s="890"/>
      <c r="BV274" s="890"/>
      <c r="BW274" s="890"/>
    </row>
    <row r="275" spans="1:75">
      <c r="A275" s="709"/>
      <c r="B275" s="709"/>
      <c r="C275" s="709"/>
      <c r="D275" s="709"/>
      <c r="E275" s="709"/>
      <c r="F275" s="709"/>
      <c r="G275" s="709"/>
      <c r="H275" s="709"/>
      <c r="I275" s="709"/>
      <c r="J275" s="709"/>
      <c r="K275" s="709"/>
      <c r="L275" s="709"/>
      <c r="M275" s="709"/>
      <c r="N275" s="709"/>
      <c r="O275" s="709"/>
      <c r="P275" s="709"/>
      <c r="Q275" s="709"/>
      <c r="R275" s="709"/>
      <c r="S275" s="709"/>
      <c r="T275" s="709"/>
      <c r="U275" s="709"/>
      <c r="V275" s="709"/>
      <c r="W275" s="887"/>
      <c r="BB275" s="3"/>
      <c r="BC275" s="3"/>
      <c r="BD275" s="3"/>
      <c r="BE275" s="3"/>
      <c r="BF275" s="3"/>
      <c r="BG275" s="890"/>
      <c r="BH275" s="890"/>
      <c r="BI275" s="890"/>
      <c r="BJ275" s="890"/>
      <c r="BK275" s="890"/>
      <c r="BL275" s="890"/>
      <c r="BM275" s="890"/>
      <c r="BN275" s="890"/>
      <c r="BO275" s="890"/>
      <c r="BP275" s="890"/>
      <c r="BQ275" s="890"/>
      <c r="BR275" s="890"/>
      <c r="BS275" s="890"/>
      <c r="BT275" s="890"/>
      <c r="BU275" s="890"/>
      <c r="BV275" s="890"/>
      <c r="BW275" s="890"/>
    </row>
    <row r="276" spans="1:75">
      <c r="A276" s="709"/>
      <c r="B276" s="709"/>
      <c r="C276" s="709"/>
      <c r="D276" s="709"/>
      <c r="E276" s="709"/>
      <c r="F276" s="709"/>
      <c r="G276" s="709"/>
      <c r="H276" s="709"/>
      <c r="I276" s="709"/>
      <c r="J276" s="709"/>
      <c r="K276" s="709"/>
      <c r="L276" s="709"/>
      <c r="M276" s="709"/>
      <c r="N276" s="709"/>
      <c r="O276" s="709"/>
      <c r="P276" s="709"/>
      <c r="Q276" s="709"/>
      <c r="R276" s="709"/>
      <c r="S276" s="709"/>
      <c r="T276" s="709"/>
      <c r="U276" s="709"/>
      <c r="V276" s="709"/>
      <c r="BB276" s="3"/>
      <c r="BC276" s="3"/>
      <c r="BD276" s="3"/>
      <c r="BE276" s="3"/>
      <c r="BF276" s="3"/>
      <c r="BG276" s="890"/>
      <c r="BH276" s="890"/>
      <c r="BI276" s="890"/>
      <c r="BJ276" s="890"/>
      <c r="BK276" s="890"/>
      <c r="BL276" s="890"/>
      <c r="BM276" s="890"/>
      <c r="BN276" s="890"/>
      <c r="BO276" s="890"/>
      <c r="BP276" s="890"/>
      <c r="BQ276" s="890"/>
      <c r="BR276" s="890"/>
      <c r="BS276" s="890"/>
      <c r="BT276" s="890"/>
      <c r="BU276" s="890"/>
      <c r="BV276" s="890"/>
      <c r="BW276" s="890"/>
    </row>
    <row r="277" spans="1:75">
      <c r="A277" s="709"/>
      <c r="B277" s="709"/>
      <c r="C277" s="709"/>
      <c r="D277" s="709"/>
      <c r="E277" s="709"/>
      <c r="F277" s="709"/>
      <c r="G277" s="709"/>
      <c r="H277" s="709"/>
      <c r="I277" s="709"/>
      <c r="J277" s="709"/>
      <c r="K277" s="709"/>
      <c r="L277" s="709"/>
      <c r="M277" s="709"/>
      <c r="N277" s="709"/>
      <c r="O277" s="709"/>
      <c r="P277" s="709"/>
      <c r="Q277" s="709"/>
      <c r="R277" s="709"/>
      <c r="S277" s="709"/>
      <c r="T277" s="709"/>
      <c r="U277" s="709"/>
      <c r="V277" s="709"/>
      <c r="BB277" s="3"/>
      <c r="BC277" s="3"/>
      <c r="BD277" s="3"/>
      <c r="BE277" s="3"/>
      <c r="BF277" s="3"/>
      <c r="BG277" s="890"/>
      <c r="BH277" s="890"/>
      <c r="BI277" s="890"/>
      <c r="BJ277" s="890"/>
      <c r="BK277" s="890"/>
      <c r="BL277" s="890"/>
      <c r="BM277" s="890"/>
      <c r="BN277" s="890"/>
      <c r="BO277" s="890"/>
      <c r="BP277" s="890"/>
      <c r="BQ277" s="890"/>
      <c r="BR277" s="890"/>
      <c r="BS277" s="890"/>
      <c r="BT277" s="890"/>
      <c r="BU277" s="890"/>
      <c r="BV277" s="890"/>
      <c r="BW277" s="890"/>
    </row>
    <row r="278" spans="1:75">
      <c r="A278" s="709"/>
      <c r="B278" s="709"/>
      <c r="C278" s="709"/>
      <c r="D278" s="709"/>
      <c r="E278" s="709"/>
      <c r="F278" s="709"/>
      <c r="G278" s="709"/>
      <c r="H278" s="709"/>
      <c r="I278" s="709"/>
      <c r="J278" s="709"/>
      <c r="K278" s="709"/>
      <c r="L278" s="709"/>
      <c r="M278" s="709"/>
      <c r="N278" s="709"/>
      <c r="O278" s="709"/>
      <c r="P278" s="709"/>
      <c r="Q278" s="709"/>
      <c r="R278" s="709"/>
      <c r="S278" s="709"/>
      <c r="T278" s="709"/>
      <c r="U278" s="709"/>
      <c r="V278" s="709"/>
      <c r="BB278" s="3"/>
      <c r="BC278" s="3"/>
      <c r="BD278" s="3"/>
      <c r="BE278" s="3"/>
      <c r="BF278" s="3"/>
      <c r="BG278" s="890"/>
      <c r="BH278" s="890"/>
      <c r="BI278" s="890"/>
      <c r="BJ278" s="890"/>
      <c r="BK278" s="890"/>
      <c r="BL278" s="890"/>
      <c r="BM278" s="890"/>
      <c r="BN278" s="890"/>
      <c r="BO278" s="890"/>
      <c r="BP278" s="890"/>
      <c r="BQ278" s="890"/>
      <c r="BR278" s="890"/>
      <c r="BS278" s="890"/>
      <c r="BT278" s="890"/>
      <c r="BU278" s="890"/>
      <c r="BV278" s="890"/>
      <c r="BW278" s="890"/>
    </row>
    <row r="279" spans="1:75">
      <c r="A279" s="709"/>
      <c r="B279" s="709"/>
      <c r="C279" s="709"/>
      <c r="D279" s="709"/>
      <c r="E279" s="709"/>
      <c r="F279" s="709"/>
      <c r="G279" s="709"/>
      <c r="H279" s="709"/>
      <c r="I279" s="709"/>
      <c r="J279" s="709"/>
      <c r="K279" s="709"/>
      <c r="L279" s="709"/>
      <c r="M279" s="709"/>
      <c r="N279" s="709"/>
      <c r="O279" s="709"/>
      <c r="P279" s="709"/>
      <c r="Q279" s="709"/>
      <c r="R279" s="709"/>
      <c r="S279" s="709"/>
      <c r="T279" s="709"/>
      <c r="U279" s="709"/>
      <c r="V279" s="709"/>
      <c r="BB279" s="3"/>
      <c r="BC279" s="3"/>
      <c r="BD279" s="3"/>
      <c r="BE279" s="3"/>
      <c r="BF279" s="3"/>
      <c r="BG279" s="890"/>
      <c r="BH279" s="890"/>
      <c r="BI279" s="890"/>
      <c r="BJ279" s="890"/>
      <c r="BK279" s="890"/>
      <c r="BL279" s="890"/>
      <c r="BM279" s="890"/>
      <c r="BN279" s="890"/>
      <c r="BO279" s="890"/>
      <c r="BP279" s="890"/>
      <c r="BQ279" s="890"/>
      <c r="BR279" s="890"/>
      <c r="BS279" s="890"/>
      <c r="BT279" s="890"/>
      <c r="BU279" s="890"/>
      <c r="BV279" s="890"/>
      <c r="BW279" s="890"/>
    </row>
    <row r="280" spans="1:75">
      <c r="A280" s="709"/>
      <c r="B280" s="709"/>
      <c r="C280" s="709"/>
      <c r="D280" s="709"/>
      <c r="E280" s="709"/>
      <c r="F280" s="709"/>
      <c r="G280" s="709"/>
      <c r="H280" s="709"/>
      <c r="I280" s="709"/>
      <c r="J280" s="709"/>
      <c r="K280" s="709"/>
      <c r="L280" s="709"/>
      <c r="M280" s="709"/>
      <c r="N280" s="709"/>
      <c r="O280" s="709"/>
      <c r="P280" s="709"/>
      <c r="Q280" s="709"/>
      <c r="R280" s="709"/>
      <c r="S280" s="709"/>
      <c r="T280" s="709"/>
      <c r="U280" s="709"/>
      <c r="V280" s="709"/>
      <c r="BB280" s="3"/>
      <c r="BC280" s="3"/>
      <c r="BD280" s="3"/>
      <c r="BE280" s="3"/>
      <c r="BF280" s="3"/>
      <c r="BG280" s="890"/>
      <c r="BH280" s="890"/>
      <c r="BI280" s="890"/>
      <c r="BJ280" s="890"/>
      <c r="BK280" s="890"/>
      <c r="BL280" s="890"/>
      <c r="BM280" s="890"/>
      <c r="BN280" s="890"/>
      <c r="BO280" s="890"/>
      <c r="BP280" s="890"/>
      <c r="BQ280" s="890"/>
      <c r="BR280" s="890"/>
      <c r="BS280" s="890"/>
      <c r="BT280" s="890"/>
      <c r="BU280" s="890"/>
      <c r="BV280" s="890"/>
      <c r="BW280" s="890"/>
    </row>
    <row r="281" spans="1:75">
      <c r="A281" s="709"/>
      <c r="B281" s="709"/>
      <c r="C281" s="709"/>
      <c r="D281" s="709"/>
      <c r="E281" s="709"/>
      <c r="F281" s="709"/>
      <c r="G281" s="709"/>
      <c r="H281" s="709"/>
      <c r="I281" s="709"/>
      <c r="J281" s="709"/>
      <c r="K281" s="709"/>
      <c r="L281" s="709"/>
      <c r="M281" s="709"/>
      <c r="N281" s="709"/>
      <c r="O281" s="709"/>
      <c r="P281" s="709"/>
      <c r="Q281" s="709"/>
      <c r="R281" s="709"/>
      <c r="S281" s="709"/>
      <c r="T281" s="709"/>
      <c r="U281" s="709"/>
      <c r="V281" s="709"/>
      <c r="BB281" s="3"/>
      <c r="BC281" s="3"/>
      <c r="BD281" s="3"/>
      <c r="BE281" s="3"/>
      <c r="BF281" s="3"/>
      <c r="BG281" s="890"/>
      <c r="BH281" s="890"/>
      <c r="BI281" s="890"/>
      <c r="BJ281" s="890"/>
      <c r="BK281" s="890"/>
      <c r="BL281" s="890"/>
      <c r="BM281" s="890"/>
      <c r="BN281" s="890"/>
      <c r="BO281" s="890"/>
      <c r="BP281" s="890"/>
      <c r="BQ281" s="890"/>
      <c r="BR281" s="890"/>
      <c r="BS281" s="890"/>
      <c r="BT281" s="890"/>
      <c r="BU281" s="890"/>
      <c r="BV281" s="890"/>
      <c r="BW281" s="890"/>
    </row>
    <row r="282" spans="1:75">
      <c r="A282" s="709"/>
      <c r="B282" s="709"/>
      <c r="C282" s="709"/>
      <c r="D282" s="709"/>
      <c r="E282" s="709"/>
      <c r="F282" s="709"/>
      <c r="G282" s="709"/>
      <c r="H282" s="709"/>
      <c r="I282" s="709"/>
      <c r="J282" s="709"/>
      <c r="K282" s="709"/>
      <c r="L282" s="709"/>
      <c r="M282" s="709"/>
      <c r="N282" s="709"/>
      <c r="O282" s="709"/>
      <c r="P282" s="709"/>
      <c r="Q282" s="709"/>
      <c r="R282" s="709"/>
      <c r="S282" s="709"/>
      <c r="T282" s="709"/>
      <c r="U282" s="709"/>
      <c r="V282" s="709"/>
      <c r="BB282" s="3"/>
      <c r="BC282" s="3"/>
      <c r="BD282" s="3"/>
      <c r="BE282" s="3"/>
      <c r="BF282" s="3"/>
      <c r="BG282" s="890"/>
      <c r="BH282" s="890"/>
      <c r="BI282" s="890"/>
      <c r="BJ282" s="890"/>
      <c r="BK282" s="890"/>
      <c r="BL282" s="890"/>
      <c r="BM282" s="890"/>
      <c r="BN282" s="890"/>
      <c r="BO282" s="890"/>
      <c r="BP282" s="890"/>
      <c r="BQ282" s="890"/>
      <c r="BR282" s="890"/>
      <c r="BS282" s="890"/>
      <c r="BT282" s="890"/>
      <c r="BU282" s="890"/>
      <c r="BV282" s="890"/>
      <c r="BW282" s="890"/>
    </row>
    <row r="283" spans="1:75">
      <c r="A283" s="709"/>
      <c r="B283" s="709"/>
      <c r="C283" s="709"/>
      <c r="D283" s="709"/>
      <c r="E283" s="709"/>
      <c r="F283" s="709"/>
      <c r="G283" s="709"/>
      <c r="H283" s="709"/>
      <c r="I283" s="709"/>
      <c r="J283" s="709"/>
      <c r="K283" s="709"/>
      <c r="L283" s="709"/>
      <c r="M283" s="709"/>
      <c r="N283" s="709"/>
      <c r="O283" s="709"/>
      <c r="P283" s="709"/>
      <c r="Q283" s="709"/>
      <c r="R283" s="709"/>
      <c r="S283" s="709"/>
      <c r="T283" s="709"/>
      <c r="U283" s="709"/>
      <c r="V283" s="709"/>
      <c r="BB283" s="3"/>
      <c r="BC283" s="3"/>
      <c r="BD283" s="3"/>
      <c r="BE283" s="3"/>
      <c r="BF283" s="3"/>
      <c r="BG283" s="890"/>
      <c r="BH283" s="890"/>
      <c r="BI283" s="890"/>
      <c r="BJ283" s="890"/>
      <c r="BK283" s="890"/>
      <c r="BL283" s="890"/>
      <c r="BM283" s="890"/>
      <c r="BN283" s="890"/>
      <c r="BO283" s="890"/>
      <c r="BP283" s="890"/>
      <c r="BQ283" s="890"/>
      <c r="BR283" s="890"/>
      <c r="BS283" s="890"/>
      <c r="BT283" s="890"/>
      <c r="BU283" s="890"/>
      <c r="BV283" s="890"/>
      <c r="BW283" s="890"/>
    </row>
    <row r="284" spans="1:75">
      <c r="A284" s="709"/>
      <c r="B284" s="709"/>
      <c r="C284" s="709"/>
      <c r="D284" s="709"/>
      <c r="E284" s="709"/>
      <c r="F284" s="709"/>
      <c r="G284" s="709"/>
      <c r="H284" s="709"/>
      <c r="I284" s="709"/>
      <c r="J284" s="709"/>
      <c r="K284" s="709"/>
      <c r="L284" s="709"/>
      <c r="M284" s="709"/>
      <c r="N284" s="709"/>
      <c r="O284" s="709"/>
      <c r="P284" s="709"/>
      <c r="Q284" s="709"/>
      <c r="R284" s="709"/>
      <c r="S284" s="709"/>
      <c r="T284" s="709"/>
      <c r="U284" s="709"/>
      <c r="V284" s="709"/>
      <c r="BB284" s="3"/>
      <c r="BC284" s="3"/>
      <c r="BD284" s="3"/>
      <c r="BE284" s="3"/>
      <c r="BF284" s="3"/>
      <c r="BG284" s="890"/>
      <c r="BH284" s="890"/>
      <c r="BI284" s="890"/>
      <c r="BJ284" s="890"/>
      <c r="BK284" s="890"/>
      <c r="BL284" s="890"/>
      <c r="BM284" s="890"/>
      <c r="BN284" s="890"/>
      <c r="BO284" s="890"/>
      <c r="BP284" s="890"/>
      <c r="BQ284" s="890"/>
      <c r="BR284" s="890"/>
      <c r="BS284" s="890"/>
      <c r="BT284" s="890"/>
      <c r="BU284" s="890"/>
      <c r="BV284" s="890"/>
      <c r="BW284" s="890"/>
    </row>
    <row r="285" spans="1:75">
      <c r="A285" s="709"/>
      <c r="B285" s="709"/>
      <c r="C285" s="709"/>
      <c r="D285" s="709"/>
      <c r="E285" s="709"/>
      <c r="F285" s="709"/>
      <c r="G285" s="709"/>
      <c r="H285" s="709"/>
      <c r="I285" s="709"/>
      <c r="J285" s="709"/>
      <c r="K285" s="709"/>
      <c r="L285" s="709"/>
      <c r="M285" s="709"/>
      <c r="N285" s="709"/>
      <c r="O285" s="709"/>
      <c r="P285" s="709"/>
      <c r="Q285" s="709"/>
      <c r="R285" s="709"/>
      <c r="S285" s="709"/>
      <c r="T285" s="709"/>
      <c r="U285" s="709"/>
      <c r="V285" s="709"/>
      <c r="BB285" s="3"/>
      <c r="BC285" s="3"/>
      <c r="BD285" s="3"/>
      <c r="BE285" s="3"/>
      <c r="BF285" s="3"/>
      <c r="BG285" s="890"/>
      <c r="BH285" s="890"/>
      <c r="BI285" s="890"/>
      <c r="BJ285" s="890"/>
      <c r="BK285" s="890"/>
      <c r="BL285" s="890"/>
      <c r="BM285" s="890"/>
      <c r="BN285" s="890"/>
      <c r="BO285" s="890"/>
      <c r="BP285" s="890"/>
      <c r="BQ285" s="890"/>
      <c r="BR285" s="890"/>
      <c r="BS285" s="890"/>
      <c r="BT285" s="890"/>
      <c r="BU285" s="890"/>
      <c r="BV285" s="890"/>
      <c r="BW285" s="890"/>
    </row>
    <row r="286" spans="1:75">
      <c r="A286" s="709"/>
      <c r="B286" s="709"/>
      <c r="C286" s="709"/>
      <c r="D286" s="709"/>
      <c r="E286" s="709"/>
      <c r="F286" s="709"/>
      <c r="G286" s="709"/>
      <c r="H286" s="709"/>
      <c r="I286" s="709"/>
      <c r="J286" s="709"/>
      <c r="K286" s="709"/>
      <c r="L286" s="709"/>
      <c r="M286" s="709"/>
      <c r="N286" s="709"/>
      <c r="O286" s="709"/>
      <c r="P286" s="709"/>
      <c r="Q286" s="709"/>
      <c r="R286" s="709"/>
      <c r="S286" s="709"/>
      <c r="T286" s="709"/>
      <c r="U286" s="709"/>
      <c r="V286" s="709"/>
      <c r="BB286" s="3"/>
      <c r="BC286" s="3"/>
      <c r="BD286" s="3"/>
      <c r="BE286" s="3"/>
      <c r="BF286" s="3"/>
      <c r="BG286" s="890"/>
      <c r="BH286" s="890"/>
      <c r="BI286" s="890"/>
      <c r="BJ286" s="890"/>
      <c r="BK286" s="890"/>
      <c r="BL286" s="890"/>
      <c r="BM286" s="890"/>
      <c r="BN286" s="890"/>
      <c r="BO286" s="890"/>
      <c r="BP286" s="890"/>
      <c r="BQ286" s="890"/>
      <c r="BR286" s="890"/>
      <c r="BS286" s="890"/>
      <c r="BT286" s="890"/>
      <c r="BU286" s="890"/>
      <c r="BV286" s="890"/>
      <c r="BW286" s="890"/>
    </row>
    <row r="287" spans="1:75">
      <c r="A287" s="709"/>
      <c r="B287" s="709"/>
      <c r="C287" s="709"/>
      <c r="D287" s="709"/>
      <c r="E287" s="709"/>
      <c r="F287" s="709"/>
      <c r="G287" s="709"/>
      <c r="H287" s="709"/>
      <c r="I287" s="709"/>
      <c r="J287" s="709"/>
      <c r="K287" s="709"/>
      <c r="L287" s="709"/>
      <c r="M287" s="709"/>
      <c r="N287" s="709"/>
      <c r="O287" s="709"/>
      <c r="P287" s="709"/>
      <c r="Q287" s="709"/>
      <c r="R287" s="709"/>
      <c r="S287" s="709"/>
      <c r="T287" s="709"/>
      <c r="U287" s="709"/>
      <c r="V287" s="709"/>
      <c r="BB287" s="3"/>
      <c r="BC287" s="3"/>
      <c r="BD287" s="3"/>
      <c r="BE287" s="3"/>
      <c r="BF287" s="3"/>
      <c r="BG287" s="890"/>
      <c r="BH287" s="890"/>
      <c r="BI287" s="890"/>
      <c r="BJ287" s="890"/>
      <c r="BK287" s="890"/>
      <c r="BL287" s="890"/>
      <c r="BM287" s="890"/>
      <c r="BN287" s="890"/>
      <c r="BO287" s="890"/>
      <c r="BP287" s="890"/>
      <c r="BQ287" s="890"/>
      <c r="BR287" s="890"/>
      <c r="BS287" s="890"/>
      <c r="BT287" s="890"/>
      <c r="BU287" s="890"/>
      <c r="BV287" s="890"/>
      <c r="BW287" s="890"/>
    </row>
    <row r="288" spans="1:75">
      <c r="A288" s="709"/>
      <c r="B288" s="709"/>
      <c r="C288" s="709"/>
      <c r="D288" s="709"/>
      <c r="E288" s="709"/>
      <c r="F288" s="709"/>
      <c r="G288" s="709"/>
      <c r="H288" s="709"/>
      <c r="I288" s="709"/>
      <c r="J288" s="709"/>
      <c r="K288" s="709"/>
      <c r="L288" s="709"/>
      <c r="M288" s="709"/>
      <c r="N288" s="709"/>
      <c r="O288" s="709"/>
      <c r="P288" s="709"/>
      <c r="Q288" s="709"/>
      <c r="R288" s="709"/>
      <c r="S288" s="709"/>
      <c r="T288" s="709"/>
      <c r="U288" s="709"/>
      <c r="V288" s="709"/>
      <c r="BB288" s="3"/>
      <c r="BC288" s="3"/>
      <c r="BD288" s="3"/>
      <c r="BE288" s="3"/>
      <c r="BF288" s="3"/>
      <c r="BG288" s="890"/>
      <c r="BH288" s="890"/>
      <c r="BI288" s="890"/>
      <c r="BJ288" s="890"/>
      <c r="BK288" s="890"/>
      <c r="BL288" s="890"/>
      <c r="BM288" s="890"/>
      <c r="BN288" s="890"/>
      <c r="BO288" s="890"/>
      <c r="BP288" s="890"/>
      <c r="BQ288" s="890"/>
      <c r="BR288" s="890"/>
      <c r="BS288" s="890"/>
      <c r="BT288" s="890"/>
      <c r="BU288" s="890"/>
      <c r="BV288" s="890"/>
      <c r="BW288" s="890"/>
    </row>
    <row r="289" spans="1:75">
      <c r="A289" s="709"/>
      <c r="B289" s="709"/>
      <c r="C289" s="709"/>
      <c r="D289" s="709"/>
      <c r="E289" s="709"/>
      <c r="F289" s="709"/>
      <c r="G289" s="709"/>
      <c r="H289" s="709"/>
      <c r="I289" s="709"/>
      <c r="J289" s="709"/>
      <c r="K289" s="709"/>
      <c r="L289" s="709"/>
      <c r="M289" s="709"/>
      <c r="N289" s="709"/>
      <c r="O289" s="709"/>
      <c r="P289" s="709"/>
      <c r="Q289" s="709"/>
      <c r="R289" s="709"/>
      <c r="S289" s="709"/>
      <c r="T289" s="709"/>
      <c r="U289" s="709"/>
      <c r="V289" s="709"/>
      <c r="BB289" s="3"/>
      <c r="BC289" s="3"/>
      <c r="BD289" s="3"/>
      <c r="BE289" s="3"/>
      <c r="BF289" s="3"/>
      <c r="BG289" s="890"/>
      <c r="BH289" s="890"/>
      <c r="BI289" s="890"/>
      <c r="BJ289" s="890"/>
      <c r="BK289" s="890"/>
      <c r="BL289" s="890"/>
      <c r="BM289" s="890"/>
      <c r="BN289" s="890"/>
      <c r="BO289" s="890"/>
      <c r="BP289" s="890"/>
      <c r="BQ289" s="890"/>
      <c r="BR289" s="890"/>
      <c r="BS289" s="890"/>
      <c r="BT289" s="890"/>
      <c r="BU289" s="890"/>
      <c r="BV289" s="890"/>
      <c r="BW289" s="890"/>
    </row>
    <row r="290" spans="1:75">
      <c r="A290" s="709"/>
      <c r="B290" s="709"/>
      <c r="C290" s="709"/>
      <c r="D290" s="709"/>
      <c r="E290" s="709"/>
      <c r="F290" s="709"/>
      <c r="G290" s="709"/>
      <c r="H290" s="709"/>
      <c r="I290" s="709"/>
      <c r="J290" s="709"/>
      <c r="K290" s="709"/>
      <c r="L290" s="709"/>
      <c r="M290" s="709"/>
      <c r="N290" s="709"/>
      <c r="O290" s="709"/>
      <c r="P290" s="709"/>
      <c r="Q290" s="709"/>
      <c r="R290" s="709"/>
      <c r="S290" s="709"/>
      <c r="T290" s="709"/>
      <c r="U290" s="709"/>
      <c r="V290" s="709"/>
      <c r="BB290" s="3"/>
      <c r="BC290" s="3"/>
      <c r="BD290" s="3"/>
      <c r="BE290" s="3"/>
      <c r="BF290" s="3"/>
      <c r="BG290" s="890"/>
      <c r="BH290" s="890"/>
      <c r="BI290" s="890"/>
      <c r="BJ290" s="890"/>
      <c r="BK290" s="890"/>
      <c r="BL290" s="890"/>
      <c r="BM290" s="890"/>
      <c r="BN290" s="890"/>
      <c r="BO290" s="890"/>
      <c r="BP290" s="890"/>
      <c r="BQ290" s="890"/>
      <c r="BR290" s="890"/>
      <c r="BS290" s="890"/>
      <c r="BT290" s="890"/>
      <c r="BU290" s="890"/>
      <c r="BV290" s="890"/>
      <c r="BW290" s="890"/>
    </row>
    <row r="291" spans="1:75">
      <c r="A291" s="709"/>
      <c r="B291" s="709"/>
      <c r="C291" s="709"/>
      <c r="D291" s="709"/>
      <c r="E291" s="709"/>
      <c r="F291" s="709"/>
      <c r="G291" s="709"/>
      <c r="H291" s="709"/>
      <c r="I291" s="709"/>
      <c r="J291" s="709"/>
      <c r="K291" s="709"/>
      <c r="L291" s="709"/>
      <c r="M291" s="709"/>
      <c r="N291" s="709"/>
      <c r="O291" s="709"/>
      <c r="P291" s="709"/>
      <c r="Q291" s="709"/>
      <c r="R291" s="709"/>
      <c r="S291" s="709"/>
      <c r="T291" s="709"/>
      <c r="U291" s="709"/>
      <c r="V291" s="709"/>
      <c r="BB291" s="3"/>
      <c r="BC291" s="3"/>
      <c r="BD291" s="3"/>
      <c r="BE291" s="3"/>
      <c r="BF291" s="3"/>
      <c r="BG291" s="890"/>
      <c r="BH291" s="890"/>
      <c r="BI291" s="890"/>
      <c r="BJ291" s="890"/>
      <c r="BK291" s="890"/>
      <c r="BL291" s="890"/>
      <c r="BM291" s="890"/>
      <c r="BN291" s="890"/>
      <c r="BO291" s="890"/>
      <c r="BP291" s="890"/>
      <c r="BQ291" s="890"/>
      <c r="BR291" s="890"/>
      <c r="BS291" s="890"/>
      <c r="BT291" s="890"/>
      <c r="BU291" s="890"/>
      <c r="BV291" s="890"/>
      <c r="BW291" s="890"/>
    </row>
    <row r="292" spans="1:75">
      <c r="A292" s="709"/>
      <c r="B292" s="709"/>
      <c r="C292" s="709"/>
      <c r="D292" s="709"/>
      <c r="E292" s="709"/>
      <c r="F292" s="709"/>
      <c r="G292" s="709"/>
      <c r="H292" s="709"/>
      <c r="I292" s="709"/>
      <c r="J292" s="709"/>
      <c r="K292" s="709"/>
      <c r="L292" s="709"/>
      <c r="M292" s="709"/>
      <c r="N292" s="709"/>
      <c r="O292" s="709"/>
      <c r="P292" s="709"/>
      <c r="Q292" s="709"/>
      <c r="R292" s="709"/>
      <c r="S292" s="709"/>
      <c r="T292" s="709"/>
      <c r="U292" s="709"/>
      <c r="V292" s="709"/>
      <c r="BB292" s="3"/>
      <c r="BC292" s="3"/>
      <c r="BD292" s="3"/>
      <c r="BE292" s="3"/>
      <c r="BF292" s="3"/>
      <c r="BG292" s="890"/>
      <c r="BH292" s="890"/>
      <c r="BI292" s="890"/>
      <c r="BJ292" s="890"/>
      <c r="BK292" s="890"/>
      <c r="BL292" s="890"/>
      <c r="BM292" s="890"/>
      <c r="BN292" s="890"/>
      <c r="BO292" s="890"/>
      <c r="BP292" s="890"/>
      <c r="BQ292" s="890"/>
      <c r="BR292" s="890"/>
      <c r="BS292" s="890"/>
      <c r="BT292" s="890"/>
      <c r="BU292" s="890"/>
      <c r="BV292" s="890"/>
      <c r="BW292" s="890"/>
    </row>
    <row r="293" spans="1:75">
      <c r="A293" s="709"/>
      <c r="B293" s="709"/>
      <c r="C293" s="709"/>
      <c r="D293" s="709"/>
      <c r="E293" s="709"/>
      <c r="F293" s="709"/>
      <c r="G293" s="709"/>
      <c r="H293" s="709"/>
      <c r="I293" s="709"/>
      <c r="J293" s="709"/>
      <c r="K293" s="709"/>
      <c r="L293" s="709"/>
      <c r="M293" s="709"/>
      <c r="N293" s="709"/>
      <c r="O293" s="709"/>
      <c r="P293" s="709"/>
      <c r="Q293" s="709"/>
      <c r="R293" s="709"/>
      <c r="S293" s="709"/>
      <c r="T293" s="709"/>
      <c r="U293" s="709"/>
      <c r="V293" s="709"/>
      <c r="BB293" s="3"/>
      <c r="BC293" s="3"/>
      <c r="BD293" s="3"/>
      <c r="BE293" s="3"/>
      <c r="BF293" s="3"/>
      <c r="BG293" s="890"/>
      <c r="BH293" s="890"/>
      <c r="BI293" s="890"/>
      <c r="BJ293" s="890"/>
      <c r="BK293" s="890"/>
      <c r="BL293" s="890"/>
      <c r="BM293" s="890"/>
      <c r="BN293" s="890"/>
      <c r="BO293" s="890"/>
      <c r="BP293" s="890"/>
      <c r="BQ293" s="890"/>
      <c r="BR293" s="890"/>
      <c r="BS293" s="890"/>
      <c r="BT293" s="890"/>
      <c r="BU293" s="890"/>
      <c r="BV293" s="890"/>
      <c r="BW293" s="890"/>
    </row>
    <row r="294" spans="1:75">
      <c r="A294" s="709"/>
      <c r="B294" s="709"/>
      <c r="C294" s="709"/>
      <c r="D294" s="709"/>
      <c r="E294" s="709"/>
      <c r="F294" s="709"/>
      <c r="G294" s="709"/>
      <c r="H294" s="709"/>
      <c r="I294" s="709"/>
      <c r="J294" s="709"/>
      <c r="K294" s="709"/>
      <c r="L294" s="709"/>
      <c r="M294" s="709"/>
      <c r="N294" s="709"/>
      <c r="O294" s="709"/>
      <c r="P294" s="709"/>
      <c r="Q294" s="709"/>
      <c r="R294" s="709"/>
      <c r="S294" s="709"/>
      <c r="T294" s="709"/>
      <c r="U294" s="709"/>
      <c r="V294" s="709"/>
      <c r="BB294" s="3"/>
      <c r="BC294" s="3"/>
      <c r="BD294" s="3"/>
      <c r="BE294" s="3"/>
      <c r="BF294" s="3"/>
      <c r="BG294" s="890"/>
      <c r="BH294" s="890"/>
      <c r="BI294" s="890"/>
      <c r="BJ294" s="890"/>
      <c r="BK294" s="890"/>
      <c r="BL294" s="890"/>
      <c r="BM294" s="890"/>
      <c r="BN294" s="890"/>
      <c r="BO294" s="890"/>
      <c r="BP294" s="890"/>
      <c r="BQ294" s="890"/>
      <c r="BR294" s="890"/>
      <c r="BS294" s="890"/>
      <c r="BT294" s="890"/>
      <c r="BU294" s="890"/>
      <c r="BV294" s="890"/>
      <c r="BW294" s="890"/>
    </row>
    <row r="295" spans="1:75">
      <c r="A295" s="709"/>
      <c r="B295" s="709"/>
      <c r="C295" s="709"/>
      <c r="D295" s="709"/>
      <c r="E295" s="709"/>
      <c r="F295" s="709"/>
      <c r="G295" s="709"/>
      <c r="H295" s="709"/>
      <c r="I295" s="709"/>
      <c r="J295" s="709"/>
      <c r="K295" s="709"/>
      <c r="L295" s="709"/>
      <c r="M295" s="709"/>
      <c r="N295" s="709"/>
      <c r="O295" s="709"/>
      <c r="P295" s="709"/>
      <c r="Q295" s="709"/>
      <c r="R295" s="709"/>
      <c r="S295" s="709"/>
      <c r="T295" s="709"/>
      <c r="U295" s="709"/>
      <c r="V295" s="709"/>
      <c r="BB295" s="3"/>
      <c r="BC295" s="3"/>
      <c r="BD295" s="3"/>
      <c r="BE295" s="3"/>
      <c r="BF295" s="3"/>
      <c r="BG295" s="890"/>
      <c r="BH295" s="890"/>
      <c r="BI295" s="890"/>
      <c r="BJ295" s="890"/>
      <c r="BK295" s="890"/>
      <c r="BL295" s="890"/>
      <c r="BM295" s="890"/>
      <c r="BN295" s="890"/>
      <c r="BO295" s="890"/>
      <c r="BP295" s="890"/>
      <c r="BQ295" s="890"/>
      <c r="BR295" s="890"/>
      <c r="BS295" s="890"/>
      <c r="BT295" s="890"/>
      <c r="BU295" s="890"/>
      <c r="BV295" s="890"/>
      <c r="BW295" s="890"/>
    </row>
    <row r="296" spans="1:75">
      <c r="A296" s="709"/>
      <c r="B296" s="709"/>
      <c r="C296" s="709"/>
      <c r="D296" s="709"/>
      <c r="E296" s="709"/>
      <c r="F296" s="709"/>
      <c r="G296" s="709"/>
      <c r="H296" s="709"/>
      <c r="I296" s="709"/>
      <c r="J296" s="709"/>
      <c r="K296" s="709"/>
      <c r="L296" s="709"/>
      <c r="M296" s="709"/>
      <c r="N296" s="709"/>
      <c r="O296" s="709"/>
      <c r="P296" s="709"/>
      <c r="Q296" s="709"/>
      <c r="R296" s="709"/>
      <c r="S296" s="709"/>
      <c r="T296" s="709"/>
      <c r="U296" s="709"/>
      <c r="V296" s="709"/>
      <c r="BB296" s="3"/>
      <c r="BC296" s="3"/>
      <c r="BD296" s="3"/>
      <c r="BE296" s="3"/>
      <c r="BF296" s="3"/>
      <c r="BG296" s="890"/>
      <c r="BH296" s="890"/>
      <c r="BI296" s="890"/>
      <c r="BJ296" s="890"/>
      <c r="BK296" s="890"/>
      <c r="BL296" s="890"/>
      <c r="BM296" s="890"/>
      <c r="BN296" s="890"/>
      <c r="BO296" s="890"/>
      <c r="BP296" s="890"/>
      <c r="BQ296" s="890"/>
      <c r="BR296" s="890"/>
      <c r="BS296" s="890"/>
      <c r="BT296" s="890"/>
      <c r="BU296" s="890"/>
      <c r="BV296" s="890"/>
      <c r="BW296" s="890"/>
    </row>
    <row r="297" spans="1:75">
      <c r="A297" s="709"/>
      <c r="B297" s="709"/>
      <c r="C297" s="709"/>
      <c r="D297" s="709"/>
      <c r="E297" s="709"/>
      <c r="F297" s="709"/>
      <c r="G297" s="709"/>
      <c r="H297" s="709"/>
      <c r="I297" s="709"/>
      <c r="J297" s="709"/>
      <c r="K297" s="709"/>
      <c r="L297" s="709"/>
      <c r="M297" s="709"/>
      <c r="N297" s="709"/>
      <c r="O297" s="709"/>
      <c r="P297" s="709"/>
      <c r="Q297" s="709"/>
      <c r="R297" s="709"/>
      <c r="S297" s="709"/>
      <c r="T297" s="709"/>
      <c r="U297" s="709"/>
      <c r="V297" s="709"/>
      <c r="BB297" s="3"/>
      <c r="BC297" s="3"/>
      <c r="BD297" s="3"/>
      <c r="BE297" s="3"/>
      <c r="BF297" s="3"/>
      <c r="BG297" s="890"/>
      <c r="BH297" s="890"/>
      <c r="BI297" s="890"/>
      <c r="BJ297" s="890"/>
      <c r="BK297" s="890"/>
      <c r="BL297" s="890"/>
      <c r="BM297" s="890"/>
      <c r="BN297" s="890"/>
      <c r="BO297" s="890"/>
      <c r="BP297" s="890"/>
      <c r="BQ297" s="890"/>
      <c r="BR297" s="890"/>
      <c r="BS297" s="890"/>
      <c r="BT297" s="890"/>
      <c r="BU297" s="890"/>
      <c r="BV297" s="890"/>
      <c r="BW297" s="890"/>
    </row>
    <row r="298" spans="1:75">
      <c r="A298" s="709"/>
      <c r="B298" s="709"/>
      <c r="C298" s="709"/>
      <c r="D298" s="709"/>
      <c r="E298" s="709"/>
      <c r="F298" s="709"/>
      <c r="G298" s="709"/>
      <c r="H298" s="709"/>
      <c r="I298" s="709"/>
      <c r="J298" s="709"/>
      <c r="K298" s="709"/>
      <c r="L298" s="709"/>
      <c r="M298" s="709"/>
      <c r="N298" s="709"/>
      <c r="O298" s="709"/>
      <c r="P298" s="709"/>
      <c r="Q298" s="709"/>
      <c r="R298" s="709"/>
      <c r="S298" s="709"/>
      <c r="T298" s="709"/>
      <c r="U298" s="709"/>
      <c r="V298" s="709"/>
      <c r="BB298" s="3"/>
      <c r="BC298" s="3"/>
      <c r="BD298" s="3"/>
      <c r="BE298" s="3"/>
      <c r="BF298" s="3"/>
      <c r="BG298" s="890"/>
      <c r="BH298" s="890"/>
      <c r="BI298" s="890"/>
      <c r="BJ298" s="890"/>
      <c r="BK298" s="890"/>
      <c r="BL298" s="890"/>
      <c r="BM298" s="890"/>
      <c r="BN298" s="890"/>
      <c r="BO298" s="890"/>
      <c r="BP298" s="890"/>
      <c r="BQ298" s="890"/>
      <c r="BR298" s="890"/>
      <c r="BS298" s="890"/>
      <c r="BT298" s="890"/>
      <c r="BU298" s="890"/>
      <c r="BV298" s="890"/>
      <c r="BW298" s="890"/>
    </row>
    <row r="299" spans="1:75">
      <c r="A299" s="709"/>
      <c r="B299" s="709"/>
      <c r="C299" s="709"/>
      <c r="D299" s="709"/>
      <c r="E299" s="709"/>
      <c r="F299" s="709"/>
      <c r="G299" s="709"/>
      <c r="H299" s="709"/>
      <c r="I299" s="709"/>
      <c r="J299" s="709"/>
      <c r="K299" s="709"/>
      <c r="L299" s="709"/>
      <c r="M299" s="709"/>
      <c r="N299" s="709"/>
      <c r="O299" s="709"/>
      <c r="P299" s="709"/>
      <c r="Q299" s="709"/>
      <c r="R299" s="709"/>
      <c r="S299" s="709"/>
      <c r="T299" s="709"/>
      <c r="U299" s="709"/>
      <c r="V299" s="709"/>
      <c r="BB299" s="3"/>
      <c r="BC299" s="3"/>
      <c r="BD299" s="3"/>
      <c r="BE299" s="3"/>
      <c r="BF299" s="3"/>
      <c r="BG299" s="890"/>
      <c r="BH299" s="890"/>
      <c r="BI299" s="890"/>
      <c r="BJ299" s="890"/>
      <c r="BK299" s="890"/>
      <c r="BL299" s="890"/>
      <c r="BM299" s="890"/>
      <c r="BN299" s="890"/>
      <c r="BO299" s="890"/>
      <c r="BP299" s="890"/>
      <c r="BQ299" s="890"/>
      <c r="BR299" s="890"/>
      <c r="BS299" s="890"/>
      <c r="BT299" s="890"/>
      <c r="BU299" s="890"/>
      <c r="BV299" s="890"/>
      <c r="BW299" s="890"/>
    </row>
    <row r="300" spans="1:75">
      <c r="A300" s="709"/>
      <c r="B300" s="709"/>
      <c r="C300" s="709"/>
      <c r="D300" s="709"/>
      <c r="E300" s="709"/>
      <c r="F300" s="709"/>
      <c r="G300" s="709"/>
      <c r="H300" s="709"/>
      <c r="I300" s="709"/>
      <c r="J300" s="709"/>
      <c r="K300" s="709"/>
      <c r="L300" s="709"/>
      <c r="M300" s="709"/>
      <c r="N300" s="709"/>
      <c r="O300" s="709"/>
      <c r="P300" s="709"/>
      <c r="Q300" s="709"/>
      <c r="R300" s="709"/>
      <c r="S300" s="709"/>
      <c r="T300" s="709"/>
      <c r="U300" s="709"/>
      <c r="V300" s="709"/>
      <c r="BB300" s="3"/>
      <c r="BC300" s="3"/>
      <c r="BD300" s="3"/>
      <c r="BE300" s="3"/>
      <c r="BF300" s="3"/>
      <c r="BG300" s="890"/>
      <c r="BH300" s="890"/>
      <c r="BI300" s="890"/>
      <c r="BJ300" s="890"/>
      <c r="BK300" s="890"/>
      <c r="BL300" s="890"/>
      <c r="BM300" s="890"/>
      <c r="BN300" s="890"/>
      <c r="BO300" s="890"/>
      <c r="BP300" s="890"/>
      <c r="BQ300" s="890"/>
      <c r="BR300" s="890"/>
      <c r="BS300" s="890"/>
      <c r="BT300" s="890"/>
      <c r="BU300" s="890"/>
      <c r="BV300" s="890"/>
      <c r="BW300" s="890"/>
    </row>
    <row r="301" spans="1:75">
      <c r="A301" s="709"/>
      <c r="B301" s="709"/>
      <c r="C301" s="709"/>
      <c r="D301" s="709"/>
      <c r="E301" s="709"/>
      <c r="F301" s="709"/>
      <c r="G301" s="709"/>
      <c r="H301" s="709"/>
      <c r="I301" s="709"/>
      <c r="J301" s="709"/>
      <c r="K301" s="709"/>
      <c r="L301" s="709"/>
      <c r="M301" s="709"/>
      <c r="N301" s="709"/>
      <c r="O301" s="709"/>
      <c r="P301" s="709"/>
      <c r="Q301" s="709"/>
      <c r="R301" s="709"/>
      <c r="S301" s="709"/>
      <c r="T301" s="709"/>
      <c r="U301" s="709"/>
      <c r="V301" s="709"/>
      <c r="BB301" s="3"/>
      <c r="BC301" s="3"/>
      <c r="BD301" s="3"/>
      <c r="BE301" s="3"/>
      <c r="BF301" s="3"/>
      <c r="BG301" s="890"/>
      <c r="BH301" s="890"/>
      <c r="BI301" s="890"/>
      <c r="BJ301" s="890"/>
      <c r="BK301" s="890"/>
      <c r="BL301" s="890"/>
      <c r="BM301" s="890"/>
      <c r="BN301" s="890"/>
      <c r="BO301" s="890"/>
      <c r="BP301" s="890"/>
      <c r="BQ301" s="890"/>
      <c r="BR301" s="890"/>
      <c r="BS301" s="890"/>
      <c r="BT301" s="890"/>
      <c r="BU301" s="890"/>
      <c r="BV301" s="890"/>
      <c r="BW301" s="890"/>
    </row>
    <row r="302" spans="1:75">
      <c r="A302" s="709"/>
      <c r="B302" s="709"/>
      <c r="C302" s="709"/>
      <c r="D302" s="709"/>
      <c r="E302" s="709"/>
      <c r="F302" s="709"/>
      <c r="G302" s="709"/>
      <c r="H302" s="709"/>
      <c r="I302" s="709"/>
      <c r="J302" s="709"/>
      <c r="K302" s="709"/>
      <c r="L302" s="709"/>
      <c r="M302" s="709"/>
      <c r="N302" s="709"/>
      <c r="O302" s="709"/>
      <c r="P302" s="709"/>
      <c r="Q302" s="709"/>
      <c r="R302" s="709"/>
      <c r="S302" s="709"/>
      <c r="T302" s="709"/>
      <c r="U302" s="709"/>
      <c r="V302" s="709"/>
      <c r="BB302" s="3"/>
      <c r="BC302" s="3"/>
      <c r="BD302" s="3"/>
      <c r="BE302" s="3"/>
      <c r="BF302" s="3"/>
      <c r="BG302" s="890"/>
      <c r="BH302" s="890"/>
      <c r="BI302" s="890"/>
      <c r="BJ302" s="890"/>
      <c r="BK302" s="890"/>
      <c r="BL302" s="890"/>
      <c r="BM302" s="890"/>
      <c r="BN302" s="890"/>
      <c r="BO302" s="890"/>
      <c r="BP302" s="890"/>
      <c r="BQ302" s="890"/>
      <c r="BR302" s="890"/>
      <c r="BS302" s="890"/>
      <c r="BT302" s="890"/>
      <c r="BU302" s="890"/>
      <c r="BV302" s="890"/>
      <c r="BW302" s="890"/>
    </row>
    <row r="303" spans="1:75">
      <c r="A303" s="709"/>
      <c r="B303" s="709"/>
      <c r="C303" s="709"/>
      <c r="D303" s="709"/>
      <c r="E303" s="709"/>
      <c r="F303" s="709"/>
      <c r="G303" s="709"/>
      <c r="H303" s="709"/>
      <c r="I303" s="709"/>
      <c r="J303" s="709"/>
      <c r="K303" s="709"/>
      <c r="L303" s="709"/>
      <c r="M303" s="709"/>
      <c r="N303" s="709"/>
      <c r="O303" s="709"/>
      <c r="P303" s="709"/>
      <c r="Q303" s="709"/>
      <c r="R303" s="709"/>
      <c r="S303" s="709"/>
      <c r="T303" s="709"/>
      <c r="U303" s="709"/>
      <c r="V303" s="709"/>
      <c r="BB303" s="3"/>
      <c r="BC303" s="3"/>
      <c r="BD303" s="3"/>
      <c r="BE303" s="3"/>
      <c r="BF303" s="3"/>
      <c r="BG303" s="890"/>
      <c r="BH303" s="890"/>
      <c r="BI303" s="890"/>
      <c r="BJ303" s="890"/>
      <c r="BK303" s="890"/>
      <c r="BL303" s="890"/>
      <c r="BM303" s="890"/>
      <c r="BN303" s="890"/>
      <c r="BO303" s="890"/>
      <c r="BP303" s="890"/>
      <c r="BQ303" s="890"/>
      <c r="BR303" s="890"/>
      <c r="BS303" s="890"/>
      <c r="BT303" s="890"/>
      <c r="BU303" s="890"/>
      <c r="BV303" s="890"/>
      <c r="BW303" s="890"/>
    </row>
    <row r="304" spans="1:75">
      <c r="A304" s="709"/>
      <c r="B304" s="709"/>
      <c r="C304" s="709"/>
      <c r="D304" s="709"/>
      <c r="E304" s="709"/>
      <c r="F304" s="709"/>
      <c r="G304" s="709"/>
      <c r="H304" s="709"/>
      <c r="I304" s="709"/>
      <c r="J304" s="709"/>
      <c r="K304" s="709"/>
      <c r="L304" s="709"/>
      <c r="M304" s="709"/>
      <c r="N304" s="709"/>
      <c r="O304" s="709"/>
      <c r="P304" s="709"/>
      <c r="Q304" s="709"/>
      <c r="R304" s="709"/>
      <c r="S304" s="709"/>
      <c r="T304" s="709"/>
      <c r="U304" s="709"/>
      <c r="V304" s="709"/>
      <c r="BB304" s="3"/>
      <c r="BC304" s="3"/>
      <c r="BD304" s="3"/>
      <c r="BE304" s="3"/>
      <c r="BF304" s="3"/>
      <c r="BG304" s="890"/>
      <c r="BH304" s="890"/>
      <c r="BI304" s="890"/>
      <c r="BJ304" s="890"/>
      <c r="BK304" s="890"/>
      <c r="BL304" s="890"/>
      <c r="BM304" s="890"/>
      <c r="BN304" s="890"/>
      <c r="BO304" s="890"/>
      <c r="BP304" s="890"/>
      <c r="BQ304" s="890"/>
      <c r="BR304" s="890"/>
      <c r="BS304" s="890"/>
      <c r="BT304" s="890"/>
      <c r="BU304" s="890"/>
      <c r="BV304" s="890"/>
      <c r="BW304" s="890"/>
    </row>
    <row r="305" spans="1:75">
      <c r="A305" s="709"/>
      <c r="B305" s="709"/>
      <c r="C305" s="709"/>
      <c r="D305" s="709"/>
      <c r="E305" s="709"/>
      <c r="F305" s="709"/>
      <c r="G305" s="709"/>
      <c r="H305" s="709"/>
      <c r="I305" s="709"/>
      <c r="J305" s="709"/>
      <c r="K305" s="709"/>
      <c r="L305" s="709"/>
      <c r="M305" s="709"/>
      <c r="N305" s="709"/>
      <c r="O305" s="709"/>
      <c r="P305" s="709"/>
      <c r="Q305" s="709"/>
      <c r="R305" s="709"/>
      <c r="S305" s="709"/>
      <c r="T305" s="709"/>
      <c r="U305" s="709"/>
      <c r="V305" s="709"/>
      <c r="BB305" s="3"/>
      <c r="BC305" s="3"/>
      <c r="BD305" s="3"/>
      <c r="BE305" s="3"/>
      <c r="BF305" s="3"/>
      <c r="BG305" s="890"/>
      <c r="BH305" s="890"/>
      <c r="BI305" s="890"/>
      <c r="BJ305" s="890"/>
      <c r="BK305" s="890"/>
      <c r="BL305" s="890"/>
      <c r="BM305" s="890"/>
      <c r="BN305" s="890"/>
      <c r="BO305" s="890"/>
      <c r="BP305" s="890"/>
      <c r="BQ305" s="890"/>
      <c r="BR305" s="890"/>
      <c r="BS305" s="890"/>
      <c r="BT305" s="890"/>
      <c r="BU305" s="890"/>
      <c r="BV305" s="890"/>
      <c r="BW305" s="890"/>
    </row>
    <row r="306" spans="1:75">
      <c r="A306" s="709"/>
      <c r="B306" s="709"/>
      <c r="C306" s="709"/>
      <c r="D306" s="709"/>
      <c r="E306" s="709"/>
      <c r="F306" s="709"/>
      <c r="G306" s="709"/>
      <c r="H306" s="709"/>
      <c r="I306" s="709"/>
      <c r="J306" s="709"/>
      <c r="K306" s="709"/>
      <c r="L306" s="709"/>
      <c r="M306" s="709"/>
      <c r="N306" s="709"/>
      <c r="O306" s="709"/>
      <c r="P306" s="709"/>
      <c r="Q306" s="709"/>
      <c r="R306" s="709"/>
      <c r="S306" s="709"/>
      <c r="T306" s="709"/>
      <c r="U306" s="709"/>
      <c r="V306" s="709"/>
      <c r="BB306" s="3"/>
      <c r="BC306" s="3"/>
      <c r="BD306" s="3"/>
      <c r="BE306" s="3"/>
      <c r="BF306" s="3"/>
      <c r="BG306" s="890"/>
      <c r="BH306" s="890"/>
      <c r="BI306" s="890"/>
      <c r="BJ306" s="890"/>
      <c r="BK306" s="890"/>
      <c r="BL306" s="890"/>
      <c r="BM306" s="890"/>
      <c r="BN306" s="890"/>
      <c r="BO306" s="890"/>
      <c r="BP306" s="890"/>
      <c r="BQ306" s="890"/>
      <c r="BR306" s="890"/>
      <c r="BS306" s="890"/>
      <c r="BT306" s="890"/>
      <c r="BU306" s="890"/>
      <c r="BV306" s="890"/>
      <c r="BW306" s="890"/>
    </row>
    <row r="307" spans="1:75">
      <c r="A307" s="709"/>
      <c r="B307" s="709"/>
      <c r="C307" s="709"/>
      <c r="D307" s="709"/>
      <c r="E307" s="709"/>
      <c r="F307" s="709"/>
      <c r="G307" s="709"/>
      <c r="H307" s="709"/>
      <c r="I307" s="709"/>
      <c r="J307" s="709"/>
      <c r="K307" s="709"/>
      <c r="L307" s="709"/>
      <c r="M307" s="709"/>
      <c r="N307" s="709"/>
      <c r="O307" s="709"/>
      <c r="P307" s="709"/>
      <c r="Q307" s="709"/>
      <c r="R307" s="709"/>
      <c r="S307" s="709"/>
      <c r="T307" s="709"/>
      <c r="U307" s="709"/>
      <c r="V307" s="709"/>
      <c r="BB307" s="3"/>
      <c r="BC307" s="3"/>
      <c r="BD307" s="3"/>
      <c r="BE307" s="3"/>
      <c r="BF307" s="3"/>
      <c r="BG307" s="890"/>
      <c r="BH307" s="890"/>
      <c r="BI307" s="890"/>
      <c r="BJ307" s="890"/>
      <c r="BK307" s="890"/>
      <c r="BL307" s="890"/>
      <c r="BM307" s="890"/>
      <c r="BN307" s="890"/>
      <c r="BO307" s="890"/>
      <c r="BP307" s="890"/>
      <c r="BQ307" s="890"/>
      <c r="BR307" s="890"/>
      <c r="BS307" s="890"/>
      <c r="BT307" s="890"/>
      <c r="BU307" s="890"/>
      <c r="BV307" s="890"/>
      <c r="BW307" s="890"/>
    </row>
    <row r="308" spans="1:75">
      <c r="A308" s="709"/>
      <c r="B308" s="709"/>
      <c r="C308" s="709"/>
      <c r="D308" s="709"/>
      <c r="E308" s="709"/>
      <c r="F308" s="709"/>
      <c r="G308" s="709"/>
      <c r="H308" s="709"/>
      <c r="I308" s="709"/>
      <c r="J308" s="709"/>
      <c r="K308" s="709"/>
      <c r="L308" s="709"/>
      <c r="M308" s="709"/>
      <c r="N308" s="709"/>
      <c r="O308" s="709"/>
      <c r="P308" s="709"/>
      <c r="Q308" s="709"/>
      <c r="R308" s="709"/>
      <c r="S308" s="709"/>
      <c r="T308" s="709"/>
      <c r="U308" s="709"/>
      <c r="V308" s="709"/>
      <c r="BB308" s="3"/>
      <c r="BC308" s="3"/>
      <c r="BD308" s="3"/>
      <c r="BE308" s="3"/>
      <c r="BF308" s="3"/>
      <c r="BG308" s="890"/>
      <c r="BH308" s="890"/>
      <c r="BI308" s="890"/>
      <c r="BJ308" s="890"/>
      <c r="BK308" s="890"/>
      <c r="BL308" s="890"/>
      <c r="BM308" s="890"/>
      <c r="BN308" s="890"/>
      <c r="BO308" s="890"/>
      <c r="BP308" s="890"/>
      <c r="BQ308" s="890"/>
      <c r="BR308" s="890"/>
      <c r="BS308" s="890"/>
      <c r="BT308" s="890"/>
      <c r="BU308" s="890"/>
      <c r="BV308" s="890"/>
      <c r="BW308" s="890"/>
    </row>
    <row r="309" spans="1:75">
      <c r="A309" s="709"/>
      <c r="B309" s="709"/>
      <c r="C309" s="709"/>
      <c r="D309" s="709"/>
      <c r="E309" s="709"/>
      <c r="F309" s="709"/>
      <c r="G309" s="709"/>
      <c r="H309" s="709"/>
      <c r="I309" s="709"/>
      <c r="J309" s="709"/>
      <c r="K309" s="709"/>
      <c r="L309" s="709"/>
      <c r="M309" s="709"/>
      <c r="N309" s="709"/>
      <c r="O309" s="709"/>
      <c r="P309" s="709"/>
      <c r="Q309" s="709"/>
      <c r="R309" s="709"/>
      <c r="S309" s="709"/>
      <c r="T309" s="709"/>
      <c r="U309" s="709"/>
      <c r="V309" s="709"/>
      <c r="BB309" s="3"/>
      <c r="BC309" s="3"/>
      <c r="BD309" s="3"/>
      <c r="BE309" s="3"/>
      <c r="BF309" s="3"/>
      <c r="BG309" s="890"/>
      <c r="BH309" s="890"/>
      <c r="BI309" s="890"/>
      <c r="BJ309" s="890"/>
      <c r="BK309" s="890"/>
      <c r="BL309" s="890"/>
      <c r="BM309" s="890"/>
      <c r="BN309" s="890"/>
      <c r="BO309" s="890"/>
      <c r="BP309" s="890"/>
      <c r="BQ309" s="890"/>
      <c r="BR309" s="890"/>
      <c r="BS309" s="890"/>
      <c r="BT309" s="890"/>
      <c r="BU309" s="890"/>
      <c r="BV309" s="890"/>
      <c r="BW309" s="890"/>
    </row>
    <row r="310" spans="1:75">
      <c r="A310" s="709"/>
      <c r="B310" s="709"/>
      <c r="C310" s="709"/>
      <c r="D310" s="709"/>
      <c r="E310" s="709"/>
      <c r="F310" s="709"/>
      <c r="G310" s="709"/>
      <c r="H310" s="709"/>
      <c r="I310" s="709"/>
      <c r="J310" s="709"/>
      <c r="K310" s="709"/>
      <c r="L310" s="709"/>
      <c r="M310" s="709"/>
      <c r="N310" s="709"/>
      <c r="O310" s="709"/>
      <c r="P310" s="709"/>
      <c r="Q310" s="709"/>
      <c r="R310" s="709"/>
      <c r="S310" s="709"/>
      <c r="T310" s="709"/>
      <c r="U310" s="709"/>
      <c r="V310" s="709"/>
      <c r="BB310" s="3"/>
      <c r="BC310" s="3"/>
      <c r="BD310" s="3"/>
      <c r="BE310" s="3"/>
      <c r="BF310" s="3"/>
      <c r="BG310" s="890"/>
      <c r="BH310" s="890"/>
      <c r="BI310" s="890"/>
      <c r="BJ310" s="890"/>
      <c r="BK310" s="890"/>
      <c r="BL310" s="890"/>
      <c r="BM310" s="890"/>
      <c r="BN310" s="890"/>
      <c r="BO310" s="890"/>
      <c r="BP310" s="890"/>
      <c r="BQ310" s="890"/>
      <c r="BR310" s="890"/>
      <c r="BS310" s="890"/>
      <c r="BT310" s="890"/>
      <c r="BU310" s="890"/>
      <c r="BV310" s="890"/>
      <c r="BW310" s="890"/>
    </row>
    <row r="311" spans="1:75">
      <c r="A311" s="709"/>
      <c r="B311" s="709"/>
      <c r="C311" s="709"/>
      <c r="D311" s="709"/>
      <c r="E311" s="709"/>
      <c r="F311" s="709"/>
      <c r="G311" s="709"/>
      <c r="H311" s="709"/>
      <c r="I311" s="709"/>
      <c r="J311" s="709"/>
      <c r="K311" s="709"/>
      <c r="L311" s="709"/>
      <c r="M311" s="709"/>
      <c r="N311" s="709"/>
      <c r="O311" s="709"/>
      <c r="P311" s="709"/>
      <c r="Q311" s="709"/>
      <c r="R311" s="709"/>
      <c r="S311" s="709"/>
      <c r="T311" s="709"/>
      <c r="U311" s="709"/>
      <c r="V311" s="709"/>
      <c r="BB311" s="3"/>
      <c r="BC311" s="3"/>
      <c r="BD311" s="3"/>
      <c r="BE311" s="3"/>
      <c r="BF311" s="3"/>
      <c r="BG311" s="890"/>
      <c r="BH311" s="890"/>
      <c r="BI311" s="890"/>
      <c r="BJ311" s="890"/>
      <c r="BK311" s="890"/>
      <c r="BL311" s="890"/>
      <c r="BM311" s="890"/>
      <c r="BN311" s="890"/>
      <c r="BO311" s="890"/>
      <c r="BP311" s="890"/>
      <c r="BQ311" s="890"/>
      <c r="BR311" s="890"/>
      <c r="BS311" s="890"/>
      <c r="BT311" s="890"/>
      <c r="BU311" s="890"/>
      <c r="BV311" s="890"/>
      <c r="BW311" s="890"/>
    </row>
    <row r="312" spans="1:75">
      <c r="A312" s="709"/>
      <c r="B312" s="709"/>
      <c r="C312" s="709"/>
      <c r="D312" s="709"/>
      <c r="E312" s="709"/>
      <c r="F312" s="709"/>
      <c r="G312" s="709"/>
      <c r="H312" s="709"/>
      <c r="I312" s="709"/>
      <c r="J312" s="709"/>
      <c r="K312" s="709"/>
      <c r="L312" s="709"/>
      <c r="M312" s="709"/>
      <c r="N312" s="709"/>
      <c r="O312" s="709"/>
      <c r="P312" s="709"/>
      <c r="Q312" s="709"/>
      <c r="R312" s="709"/>
      <c r="S312" s="709"/>
      <c r="T312" s="709"/>
      <c r="U312" s="709"/>
      <c r="V312" s="709"/>
      <c r="BB312" s="3"/>
      <c r="BC312" s="3"/>
      <c r="BD312" s="3"/>
      <c r="BE312" s="3"/>
      <c r="BF312" s="3"/>
      <c r="BG312" s="890"/>
      <c r="BH312" s="890"/>
      <c r="BI312" s="890"/>
      <c r="BJ312" s="890"/>
      <c r="BK312" s="890"/>
      <c r="BL312" s="890"/>
      <c r="BM312" s="890"/>
      <c r="BN312" s="890"/>
      <c r="BO312" s="890"/>
      <c r="BP312" s="890"/>
      <c r="BQ312" s="890"/>
      <c r="BR312" s="890"/>
      <c r="BS312" s="890"/>
      <c r="BT312" s="890"/>
      <c r="BU312" s="890"/>
      <c r="BV312" s="890"/>
      <c r="BW312" s="890"/>
    </row>
    <row r="313" spans="1:75">
      <c r="A313" s="709"/>
      <c r="B313" s="709"/>
      <c r="C313" s="709"/>
      <c r="D313" s="709"/>
      <c r="E313" s="709"/>
      <c r="F313" s="709"/>
      <c r="G313" s="709"/>
      <c r="H313" s="709"/>
      <c r="I313" s="709"/>
      <c r="J313" s="709"/>
      <c r="K313" s="709"/>
      <c r="L313" s="709"/>
      <c r="M313" s="709"/>
      <c r="N313" s="709"/>
      <c r="O313" s="709"/>
      <c r="P313" s="709"/>
      <c r="Q313" s="709"/>
      <c r="R313" s="709"/>
      <c r="S313" s="709"/>
      <c r="T313" s="709"/>
      <c r="U313" s="709"/>
      <c r="V313" s="709"/>
      <c r="BB313" s="3"/>
      <c r="BC313" s="3"/>
      <c r="BD313" s="3"/>
      <c r="BE313" s="3"/>
      <c r="BF313" s="3"/>
      <c r="BG313" s="890"/>
      <c r="BH313" s="890"/>
      <c r="BI313" s="890"/>
      <c r="BJ313" s="890"/>
      <c r="BK313" s="890"/>
      <c r="BL313" s="890"/>
      <c r="BM313" s="890"/>
      <c r="BN313" s="890"/>
      <c r="BO313" s="890"/>
      <c r="BP313" s="890"/>
      <c r="BQ313" s="890"/>
      <c r="BR313" s="890"/>
      <c r="BS313" s="890"/>
      <c r="BT313" s="890"/>
      <c r="BU313" s="890"/>
      <c r="BV313" s="890"/>
      <c r="BW313" s="890"/>
    </row>
    <row r="314" spans="1:75">
      <c r="A314" s="709"/>
      <c r="B314" s="709"/>
      <c r="C314" s="709"/>
      <c r="D314" s="709"/>
      <c r="E314" s="709"/>
      <c r="F314" s="709"/>
      <c r="G314" s="709"/>
      <c r="H314" s="709"/>
      <c r="I314" s="709"/>
      <c r="J314" s="709"/>
      <c r="K314" s="709"/>
      <c r="L314" s="709"/>
      <c r="M314" s="709"/>
      <c r="N314" s="709"/>
      <c r="O314" s="709"/>
      <c r="P314" s="709"/>
      <c r="Q314" s="709"/>
      <c r="R314" s="709"/>
      <c r="S314" s="709"/>
      <c r="T314" s="709"/>
      <c r="U314" s="709"/>
      <c r="V314" s="709"/>
      <c r="BB314" s="3"/>
      <c r="BC314" s="3"/>
      <c r="BD314" s="3"/>
      <c r="BE314" s="3"/>
      <c r="BF314" s="3"/>
      <c r="BG314" s="890"/>
      <c r="BH314" s="890"/>
      <c r="BI314" s="890"/>
      <c r="BJ314" s="890"/>
      <c r="BK314" s="890"/>
      <c r="BL314" s="890"/>
      <c r="BM314" s="890"/>
      <c r="BN314" s="890"/>
      <c r="BO314" s="890"/>
      <c r="BP314" s="890"/>
      <c r="BQ314" s="890"/>
      <c r="BR314" s="890"/>
      <c r="BS314" s="890"/>
      <c r="BT314" s="890"/>
      <c r="BU314" s="890"/>
      <c r="BV314" s="890"/>
      <c r="BW314" s="890"/>
    </row>
    <row r="315" spans="1:75">
      <c r="A315" s="709"/>
      <c r="B315" s="709"/>
      <c r="C315" s="709"/>
      <c r="D315" s="709"/>
      <c r="E315" s="709"/>
      <c r="F315" s="709"/>
      <c r="G315" s="709"/>
      <c r="H315" s="709"/>
      <c r="I315" s="709"/>
      <c r="J315" s="709"/>
      <c r="K315" s="709"/>
      <c r="L315" s="709"/>
      <c r="M315" s="709"/>
      <c r="N315" s="709"/>
      <c r="O315" s="709"/>
      <c r="P315" s="709"/>
      <c r="Q315" s="709"/>
      <c r="R315" s="709"/>
      <c r="S315" s="709"/>
      <c r="T315" s="709"/>
      <c r="U315" s="709"/>
      <c r="V315" s="709"/>
      <c r="BB315" s="3"/>
      <c r="BC315" s="3"/>
      <c r="BD315" s="3"/>
      <c r="BE315" s="3"/>
      <c r="BF315" s="3"/>
      <c r="BG315" s="890"/>
      <c r="BH315" s="890"/>
      <c r="BI315" s="890"/>
      <c r="BJ315" s="890"/>
      <c r="BK315" s="890"/>
      <c r="BL315" s="890"/>
      <c r="BM315" s="890"/>
      <c r="BN315" s="890"/>
      <c r="BO315" s="890"/>
      <c r="BP315" s="890"/>
      <c r="BQ315" s="890"/>
      <c r="BR315" s="890"/>
      <c r="BS315" s="890"/>
      <c r="BT315" s="890"/>
      <c r="BU315" s="890"/>
      <c r="BV315" s="890"/>
      <c r="BW315" s="890"/>
    </row>
    <row r="316" spans="1:75">
      <c r="A316" s="709"/>
      <c r="B316" s="709"/>
      <c r="C316" s="709"/>
      <c r="D316" s="709"/>
      <c r="E316" s="709"/>
      <c r="F316" s="709"/>
      <c r="G316" s="709"/>
      <c r="H316" s="709"/>
      <c r="I316" s="709"/>
      <c r="J316" s="709"/>
      <c r="K316" s="709"/>
      <c r="L316" s="709"/>
      <c r="M316" s="709"/>
      <c r="N316" s="709"/>
      <c r="O316" s="709"/>
      <c r="P316" s="709"/>
      <c r="Q316" s="709"/>
      <c r="R316" s="709"/>
      <c r="S316" s="709"/>
      <c r="T316" s="709"/>
      <c r="U316" s="709"/>
      <c r="V316" s="709"/>
      <c r="BB316" s="3"/>
      <c r="BC316" s="3"/>
      <c r="BD316" s="3"/>
      <c r="BE316" s="3"/>
      <c r="BF316" s="3"/>
      <c r="BG316" s="890"/>
      <c r="BH316" s="890"/>
      <c r="BI316" s="890"/>
      <c r="BJ316" s="890"/>
      <c r="BK316" s="890"/>
      <c r="BL316" s="890"/>
      <c r="BM316" s="890"/>
      <c r="BN316" s="890"/>
      <c r="BO316" s="890"/>
      <c r="BP316" s="890"/>
      <c r="BQ316" s="890"/>
      <c r="BR316" s="890"/>
      <c r="BS316" s="890"/>
      <c r="BT316" s="890"/>
      <c r="BU316" s="890"/>
      <c r="BV316" s="890"/>
      <c r="BW316" s="890"/>
    </row>
    <row r="317" spans="1:75">
      <c r="A317" s="709"/>
      <c r="B317" s="709"/>
      <c r="C317" s="709"/>
      <c r="D317" s="709"/>
      <c r="E317" s="709"/>
      <c r="F317" s="709"/>
      <c r="G317" s="709"/>
      <c r="H317" s="709"/>
      <c r="I317" s="709"/>
      <c r="J317" s="709"/>
      <c r="K317" s="709"/>
      <c r="L317" s="709"/>
      <c r="M317" s="709"/>
      <c r="N317" s="709"/>
      <c r="O317" s="709"/>
      <c r="P317" s="709"/>
      <c r="Q317" s="709"/>
      <c r="R317" s="709"/>
      <c r="S317" s="709"/>
      <c r="T317" s="709"/>
      <c r="U317" s="709"/>
      <c r="V317" s="709"/>
      <c r="BB317" s="3"/>
      <c r="BC317" s="3"/>
      <c r="BD317" s="3"/>
      <c r="BE317" s="3"/>
      <c r="BF317" s="3"/>
      <c r="BG317" s="890"/>
      <c r="BH317" s="890"/>
      <c r="BI317" s="890"/>
      <c r="BJ317" s="890"/>
      <c r="BK317" s="890"/>
      <c r="BL317" s="890"/>
      <c r="BM317" s="890"/>
      <c r="BN317" s="890"/>
      <c r="BO317" s="890"/>
      <c r="BP317" s="890"/>
      <c r="BQ317" s="890"/>
      <c r="BR317" s="890"/>
      <c r="BS317" s="890"/>
      <c r="BT317" s="890"/>
      <c r="BU317" s="890"/>
      <c r="BV317" s="890"/>
      <c r="BW317" s="890"/>
    </row>
    <row r="318" spans="1:75">
      <c r="A318" s="709"/>
      <c r="B318" s="709"/>
      <c r="C318" s="709"/>
      <c r="D318" s="709"/>
      <c r="E318" s="709"/>
      <c r="F318" s="709"/>
      <c r="G318" s="709"/>
      <c r="H318" s="709"/>
      <c r="I318" s="709"/>
      <c r="J318" s="709"/>
      <c r="K318" s="709"/>
      <c r="L318" s="709"/>
      <c r="M318" s="709"/>
      <c r="N318" s="709"/>
      <c r="O318" s="709"/>
      <c r="P318" s="709"/>
      <c r="Q318" s="709"/>
      <c r="R318" s="709"/>
      <c r="S318" s="709"/>
      <c r="T318" s="709"/>
      <c r="U318" s="709"/>
      <c r="V318" s="709"/>
      <c r="BB318" s="3"/>
      <c r="BC318" s="3"/>
      <c r="BD318" s="3"/>
      <c r="BE318" s="3"/>
      <c r="BF318" s="3"/>
      <c r="BG318" s="890"/>
      <c r="BH318" s="890"/>
      <c r="BI318" s="890"/>
      <c r="BJ318" s="890"/>
      <c r="BK318" s="890"/>
      <c r="BL318" s="890"/>
      <c r="BM318" s="890"/>
      <c r="BN318" s="890"/>
      <c r="BO318" s="890"/>
      <c r="BP318" s="890"/>
      <c r="BQ318" s="890"/>
      <c r="BR318" s="890"/>
      <c r="BS318" s="890"/>
      <c r="BT318" s="890"/>
      <c r="BU318" s="890"/>
      <c r="BV318" s="890"/>
      <c r="BW318" s="890"/>
    </row>
    <row r="319" spans="1:75">
      <c r="A319" s="709"/>
      <c r="B319" s="709"/>
      <c r="C319" s="709"/>
      <c r="D319" s="709"/>
      <c r="E319" s="709"/>
      <c r="F319" s="709"/>
      <c r="G319" s="709"/>
      <c r="H319" s="709"/>
      <c r="I319" s="709"/>
      <c r="J319" s="709"/>
      <c r="K319" s="709"/>
      <c r="L319" s="709"/>
      <c r="M319" s="709"/>
      <c r="N319" s="709"/>
      <c r="O319" s="709"/>
      <c r="P319" s="709"/>
      <c r="Q319" s="709"/>
      <c r="R319" s="709"/>
      <c r="S319" s="709"/>
      <c r="T319" s="709"/>
      <c r="U319" s="709"/>
      <c r="V319" s="709"/>
      <c r="BB319" s="3"/>
      <c r="BC319" s="3"/>
      <c r="BD319" s="3"/>
      <c r="BE319" s="3"/>
      <c r="BF319" s="3"/>
      <c r="BG319" s="890"/>
      <c r="BH319" s="890"/>
      <c r="BI319" s="890"/>
      <c r="BJ319" s="890"/>
      <c r="BK319" s="890"/>
      <c r="BL319" s="890"/>
      <c r="BM319" s="890"/>
      <c r="BN319" s="890"/>
      <c r="BO319" s="890"/>
      <c r="BP319" s="890"/>
      <c r="BQ319" s="890"/>
      <c r="BR319" s="890"/>
      <c r="BS319" s="890"/>
      <c r="BT319" s="890"/>
      <c r="BU319" s="890"/>
      <c r="BV319" s="890"/>
      <c r="BW319" s="890"/>
    </row>
    <row r="320" spans="1:75">
      <c r="A320" s="709"/>
      <c r="B320" s="709"/>
      <c r="C320" s="709"/>
      <c r="D320" s="709"/>
      <c r="E320" s="709"/>
      <c r="F320" s="709"/>
      <c r="G320" s="709"/>
      <c r="H320" s="709"/>
      <c r="I320" s="709"/>
      <c r="J320" s="709"/>
      <c r="K320" s="709"/>
      <c r="L320" s="709"/>
      <c r="M320" s="709"/>
      <c r="N320" s="709"/>
      <c r="O320" s="709"/>
      <c r="P320" s="709"/>
      <c r="Q320" s="709"/>
      <c r="R320" s="709"/>
      <c r="S320" s="709"/>
      <c r="T320" s="709"/>
      <c r="U320" s="709"/>
      <c r="V320" s="709"/>
      <c r="BB320" s="3"/>
      <c r="BC320" s="3"/>
      <c r="BD320" s="3"/>
      <c r="BE320" s="3"/>
      <c r="BF320" s="3"/>
      <c r="BG320" s="890"/>
      <c r="BH320" s="890"/>
      <c r="BI320" s="890"/>
      <c r="BJ320" s="890"/>
      <c r="BK320" s="890"/>
      <c r="BL320" s="890"/>
      <c r="BM320" s="890"/>
      <c r="BN320" s="890"/>
      <c r="BO320" s="890"/>
      <c r="BP320" s="890"/>
      <c r="BQ320" s="890"/>
      <c r="BR320" s="890"/>
      <c r="BS320" s="890"/>
      <c r="BT320" s="890"/>
      <c r="BU320" s="890"/>
      <c r="BV320" s="890"/>
      <c r="BW320" s="890"/>
    </row>
    <row r="321" spans="1:75">
      <c r="A321" s="709"/>
      <c r="B321" s="709"/>
      <c r="C321" s="709"/>
      <c r="D321" s="709"/>
      <c r="E321" s="709"/>
      <c r="F321" s="709"/>
      <c r="G321" s="709"/>
      <c r="H321" s="709"/>
      <c r="I321" s="709"/>
      <c r="J321" s="709"/>
      <c r="K321" s="709"/>
      <c r="L321" s="709"/>
      <c r="M321" s="709"/>
      <c r="N321" s="709"/>
      <c r="O321" s="709"/>
      <c r="P321" s="709"/>
      <c r="Q321" s="709"/>
      <c r="R321" s="709"/>
      <c r="S321" s="709"/>
      <c r="T321" s="709"/>
      <c r="U321" s="709"/>
      <c r="V321" s="709"/>
      <c r="BB321" s="3"/>
      <c r="BC321" s="3"/>
      <c r="BD321" s="3"/>
      <c r="BE321" s="3"/>
      <c r="BF321" s="3"/>
      <c r="BG321" s="890"/>
      <c r="BH321" s="890"/>
      <c r="BI321" s="890"/>
      <c r="BJ321" s="890"/>
      <c r="BK321" s="890"/>
      <c r="BL321" s="890"/>
      <c r="BM321" s="890"/>
      <c r="BN321" s="890"/>
      <c r="BO321" s="890"/>
      <c r="BP321" s="890"/>
      <c r="BQ321" s="890"/>
      <c r="BR321" s="890"/>
      <c r="BS321" s="890"/>
      <c r="BT321" s="890"/>
      <c r="BU321" s="890"/>
      <c r="BV321" s="890"/>
      <c r="BW321" s="890"/>
    </row>
    <row r="322" spans="1:75">
      <c r="A322" s="709"/>
      <c r="B322" s="709"/>
      <c r="C322" s="709"/>
      <c r="D322" s="709"/>
      <c r="E322" s="709"/>
      <c r="F322" s="709"/>
      <c r="G322" s="709"/>
      <c r="H322" s="709"/>
      <c r="I322" s="709"/>
      <c r="J322" s="709"/>
      <c r="K322" s="709"/>
      <c r="L322" s="709"/>
      <c r="M322" s="709"/>
      <c r="N322" s="709"/>
      <c r="O322" s="709"/>
      <c r="P322" s="709"/>
      <c r="Q322" s="709"/>
      <c r="R322" s="709"/>
      <c r="S322" s="709"/>
      <c r="T322" s="709"/>
      <c r="U322" s="709"/>
      <c r="V322" s="709"/>
      <c r="BB322" s="3"/>
      <c r="BC322" s="3"/>
      <c r="BD322" s="3"/>
      <c r="BE322" s="3"/>
      <c r="BF322" s="3"/>
      <c r="BG322" s="890"/>
      <c r="BH322" s="890"/>
      <c r="BI322" s="890"/>
      <c r="BJ322" s="890"/>
      <c r="BK322" s="890"/>
      <c r="BL322" s="890"/>
      <c r="BM322" s="890"/>
      <c r="BN322" s="890"/>
      <c r="BO322" s="890"/>
      <c r="BP322" s="890"/>
      <c r="BQ322" s="890"/>
      <c r="BR322" s="890"/>
      <c r="BS322" s="890"/>
      <c r="BT322" s="890"/>
      <c r="BU322" s="890"/>
      <c r="BV322" s="890"/>
      <c r="BW322" s="890"/>
    </row>
    <row r="323" spans="1:75">
      <c r="A323" s="709"/>
      <c r="B323" s="709"/>
      <c r="C323" s="709"/>
      <c r="D323" s="709"/>
      <c r="E323" s="709"/>
      <c r="F323" s="709"/>
      <c r="G323" s="709"/>
      <c r="H323" s="709"/>
      <c r="I323" s="709"/>
      <c r="J323" s="709"/>
      <c r="K323" s="709"/>
      <c r="L323" s="709"/>
      <c r="M323" s="709"/>
      <c r="N323" s="709"/>
      <c r="O323" s="709"/>
      <c r="P323" s="709"/>
      <c r="Q323" s="709"/>
      <c r="R323" s="709"/>
      <c r="S323" s="709"/>
      <c r="T323" s="709"/>
      <c r="U323" s="709"/>
      <c r="V323" s="709"/>
      <c r="BB323" s="3"/>
      <c r="BC323" s="3"/>
      <c r="BD323" s="3"/>
      <c r="BE323" s="3"/>
      <c r="BF323" s="3"/>
      <c r="BG323" s="890"/>
      <c r="BH323" s="890"/>
      <c r="BI323" s="890"/>
      <c r="BJ323" s="890"/>
      <c r="BK323" s="890"/>
      <c r="BL323" s="890"/>
      <c r="BM323" s="890"/>
      <c r="BN323" s="890"/>
      <c r="BO323" s="890"/>
      <c r="BP323" s="890"/>
      <c r="BQ323" s="890"/>
      <c r="BR323" s="890"/>
      <c r="BS323" s="890"/>
      <c r="BT323" s="890"/>
      <c r="BU323" s="890"/>
      <c r="BV323" s="890"/>
      <c r="BW323" s="890"/>
    </row>
    <row r="324" spans="1:75">
      <c r="A324" s="709"/>
      <c r="B324" s="709"/>
      <c r="C324" s="709"/>
      <c r="D324" s="709"/>
      <c r="E324" s="709"/>
      <c r="F324" s="709"/>
      <c r="G324" s="709"/>
      <c r="H324" s="709"/>
      <c r="I324" s="709"/>
      <c r="J324" s="709"/>
      <c r="K324" s="709"/>
      <c r="L324" s="709"/>
      <c r="M324" s="709"/>
      <c r="N324" s="709"/>
      <c r="O324" s="709"/>
      <c r="P324" s="709"/>
      <c r="Q324" s="709"/>
      <c r="R324" s="709"/>
      <c r="S324" s="709"/>
      <c r="T324" s="709"/>
      <c r="U324" s="709"/>
      <c r="V324" s="709"/>
      <c r="BB324" s="3"/>
      <c r="BC324" s="3"/>
      <c r="BD324" s="3"/>
      <c r="BE324" s="3"/>
      <c r="BF324" s="3"/>
      <c r="BG324" s="890"/>
      <c r="BH324" s="890"/>
      <c r="BI324" s="890"/>
      <c r="BJ324" s="890"/>
      <c r="BK324" s="890"/>
      <c r="BL324" s="890"/>
      <c r="BM324" s="890"/>
      <c r="BN324" s="890"/>
      <c r="BO324" s="890"/>
      <c r="BP324" s="890"/>
      <c r="BQ324" s="890"/>
      <c r="BR324" s="890"/>
      <c r="BS324" s="890"/>
      <c r="BT324" s="890"/>
      <c r="BU324" s="890"/>
      <c r="BV324" s="890"/>
      <c r="BW324" s="890"/>
    </row>
    <row r="325" spans="1:75">
      <c r="A325" s="709"/>
      <c r="B325" s="709"/>
      <c r="C325" s="709"/>
      <c r="D325" s="709"/>
      <c r="E325" s="709"/>
      <c r="F325" s="709"/>
      <c r="G325" s="709"/>
      <c r="H325" s="709"/>
      <c r="I325" s="709"/>
      <c r="J325" s="709"/>
      <c r="K325" s="709"/>
      <c r="L325" s="709"/>
      <c r="M325" s="709"/>
      <c r="N325" s="709"/>
      <c r="O325" s="709"/>
      <c r="P325" s="709"/>
      <c r="Q325" s="709"/>
      <c r="R325" s="709"/>
      <c r="S325" s="709"/>
      <c r="T325" s="709"/>
      <c r="U325" s="709"/>
      <c r="V325" s="709"/>
      <c r="BB325" s="3"/>
      <c r="BC325" s="3"/>
      <c r="BD325" s="3"/>
      <c r="BE325" s="3"/>
      <c r="BF325" s="3"/>
      <c r="BG325" s="890"/>
      <c r="BH325" s="890"/>
      <c r="BI325" s="890"/>
      <c r="BJ325" s="890"/>
      <c r="BK325" s="890"/>
      <c r="BL325" s="890"/>
      <c r="BM325" s="890"/>
      <c r="BN325" s="890"/>
      <c r="BO325" s="890"/>
      <c r="BP325" s="890"/>
      <c r="BQ325" s="890"/>
      <c r="BR325" s="890"/>
      <c r="BS325" s="890"/>
      <c r="BT325" s="890"/>
      <c r="BU325" s="890"/>
      <c r="BV325" s="890"/>
      <c r="BW325" s="890"/>
    </row>
    <row r="326" spans="1:75">
      <c r="A326" s="709"/>
      <c r="B326" s="709"/>
      <c r="C326" s="709"/>
      <c r="D326" s="709"/>
      <c r="E326" s="709"/>
      <c r="F326" s="709"/>
      <c r="G326" s="709"/>
      <c r="H326" s="709"/>
      <c r="I326" s="709"/>
      <c r="J326" s="709"/>
      <c r="K326" s="709"/>
      <c r="L326" s="709"/>
      <c r="M326" s="709"/>
      <c r="N326" s="709"/>
      <c r="O326" s="709"/>
      <c r="P326" s="709"/>
      <c r="Q326" s="709"/>
      <c r="R326" s="709"/>
      <c r="S326" s="709"/>
      <c r="T326" s="709"/>
      <c r="U326" s="709"/>
      <c r="V326" s="709"/>
      <c r="BB326" s="3"/>
      <c r="BC326" s="3"/>
      <c r="BD326" s="3"/>
      <c r="BE326" s="3"/>
      <c r="BF326" s="3"/>
      <c r="BG326" s="890"/>
      <c r="BH326" s="890"/>
      <c r="BI326" s="890"/>
      <c r="BJ326" s="890"/>
      <c r="BK326" s="890"/>
      <c r="BL326" s="890"/>
      <c r="BM326" s="890"/>
      <c r="BN326" s="890"/>
      <c r="BO326" s="890"/>
      <c r="BP326" s="890"/>
      <c r="BQ326" s="890"/>
      <c r="BR326" s="890"/>
      <c r="BS326" s="890"/>
      <c r="BT326" s="890"/>
      <c r="BU326" s="890"/>
      <c r="BV326" s="890"/>
      <c r="BW326" s="890"/>
    </row>
    <row r="327" spans="1:75">
      <c r="A327" s="709"/>
      <c r="B327" s="709"/>
      <c r="C327" s="709"/>
      <c r="D327" s="709"/>
      <c r="E327" s="709"/>
      <c r="F327" s="709"/>
      <c r="G327" s="709"/>
      <c r="H327" s="709"/>
      <c r="I327" s="709"/>
      <c r="J327" s="709"/>
      <c r="K327" s="709"/>
      <c r="L327" s="709"/>
      <c r="M327" s="709"/>
      <c r="N327" s="709"/>
      <c r="O327" s="709"/>
      <c r="P327" s="709"/>
      <c r="Q327" s="709"/>
      <c r="R327" s="709"/>
      <c r="S327" s="709"/>
      <c r="T327" s="709"/>
      <c r="U327" s="709"/>
      <c r="V327" s="709"/>
      <c r="BB327" s="3"/>
      <c r="BC327" s="3"/>
      <c r="BD327" s="3"/>
      <c r="BE327" s="3"/>
      <c r="BF327" s="3"/>
      <c r="BG327" s="890"/>
      <c r="BH327" s="890"/>
      <c r="BI327" s="890"/>
      <c r="BJ327" s="890"/>
      <c r="BK327" s="890"/>
      <c r="BL327" s="890"/>
      <c r="BM327" s="890"/>
      <c r="BN327" s="890"/>
      <c r="BO327" s="890"/>
      <c r="BP327" s="890"/>
      <c r="BQ327" s="890"/>
      <c r="BR327" s="890"/>
      <c r="BS327" s="890"/>
      <c r="BT327" s="890"/>
      <c r="BU327" s="890"/>
      <c r="BV327" s="890"/>
      <c r="BW327" s="890"/>
    </row>
    <row r="328" spans="1:75">
      <c r="A328" s="709"/>
      <c r="B328" s="709"/>
      <c r="C328" s="709"/>
      <c r="D328" s="709"/>
      <c r="E328" s="709"/>
      <c r="F328" s="709"/>
      <c r="G328" s="709"/>
      <c r="H328" s="709"/>
      <c r="I328" s="709"/>
      <c r="J328" s="709"/>
      <c r="K328" s="709"/>
      <c r="L328" s="709"/>
      <c r="M328" s="709"/>
      <c r="N328" s="709"/>
      <c r="O328" s="709"/>
      <c r="P328" s="709"/>
      <c r="Q328" s="709"/>
      <c r="R328" s="709"/>
      <c r="S328" s="709"/>
      <c r="T328" s="709"/>
      <c r="U328" s="709"/>
      <c r="V328" s="709"/>
      <c r="BB328" s="3"/>
      <c r="BC328" s="3"/>
      <c r="BD328" s="3"/>
      <c r="BE328" s="3"/>
      <c r="BF328" s="3"/>
      <c r="BG328" s="890"/>
      <c r="BH328" s="890"/>
      <c r="BI328" s="890"/>
      <c r="BJ328" s="890"/>
      <c r="BK328" s="890"/>
      <c r="BL328" s="890"/>
      <c r="BM328" s="890"/>
      <c r="BN328" s="890"/>
      <c r="BO328" s="890"/>
      <c r="BP328" s="890"/>
      <c r="BQ328" s="890"/>
      <c r="BR328" s="890"/>
      <c r="BS328" s="890"/>
      <c r="BT328" s="890"/>
      <c r="BU328" s="890"/>
      <c r="BV328" s="890"/>
      <c r="BW328" s="890"/>
    </row>
    <row r="329" spans="1:75">
      <c r="A329" s="709"/>
      <c r="B329" s="709"/>
      <c r="C329" s="709"/>
      <c r="D329" s="709"/>
      <c r="E329" s="709"/>
      <c r="F329" s="709"/>
      <c r="G329" s="709"/>
      <c r="H329" s="709"/>
      <c r="I329" s="709"/>
      <c r="J329" s="709"/>
      <c r="K329" s="709"/>
      <c r="L329" s="709"/>
      <c r="M329" s="709"/>
      <c r="N329" s="709"/>
      <c r="O329" s="709"/>
      <c r="P329" s="709"/>
      <c r="Q329" s="709"/>
      <c r="R329" s="709"/>
      <c r="S329" s="709"/>
      <c r="T329" s="709"/>
      <c r="U329" s="709"/>
      <c r="V329" s="709"/>
      <c r="BB329" s="3"/>
      <c r="BC329" s="3"/>
      <c r="BD329" s="3"/>
      <c r="BE329" s="3"/>
      <c r="BF329" s="3"/>
      <c r="BG329" s="890"/>
      <c r="BH329" s="890"/>
      <c r="BI329" s="890"/>
      <c r="BJ329" s="890"/>
      <c r="BK329" s="890"/>
      <c r="BL329" s="890"/>
      <c r="BM329" s="890"/>
      <c r="BN329" s="890"/>
      <c r="BO329" s="890"/>
      <c r="BP329" s="890"/>
      <c r="BQ329" s="890"/>
      <c r="BR329" s="890"/>
      <c r="BS329" s="890"/>
      <c r="BT329" s="890"/>
      <c r="BU329" s="890"/>
      <c r="BV329" s="890"/>
      <c r="BW329" s="890"/>
    </row>
    <row r="330" spans="1:75">
      <c r="A330" s="709"/>
      <c r="B330" s="709"/>
      <c r="C330" s="709"/>
      <c r="D330" s="709"/>
      <c r="E330" s="709"/>
      <c r="F330" s="709"/>
      <c r="G330" s="709"/>
      <c r="H330" s="709"/>
      <c r="I330" s="709"/>
      <c r="J330" s="709"/>
      <c r="K330" s="709"/>
      <c r="L330" s="709"/>
      <c r="M330" s="709"/>
      <c r="N330" s="709"/>
      <c r="O330" s="709"/>
      <c r="P330" s="709"/>
      <c r="Q330" s="709"/>
      <c r="R330" s="709"/>
      <c r="S330" s="709"/>
      <c r="T330" s="709"/>
      <c r="U330" s="709"/>
      <c r="V330" s="709"/>
      <c r="BB330" s="3"/>
      <c r="BC330" s="3"/>
      <c r="BD330" s="3"/>
      <c r="BE330" s="3"/>
      <c r="BF330" s="3"/>
      <c r="BG330" s="890"/>
      <c r="BH330" s="890"/>
      <c r="BI330" s="890"/>
      <c r="BJ330" s="890"/>
      <c r="BK330" s="890"/>
      <c r="BL330" s="890"/>
      <c r="BM330" s="890"/>
      <c r="BN330" s="890"/>
      <c r="BO330" s="890"/>
      <c r="BP330" s="890"/>
      <c r="BQ330" s="890"/>
      <c r="BR330" s="890"/>
      <c r="BS330" s="890"/>
      <c r="BT330" s="890"/>
      <c r="BU330" s="890"/>
      <c r="BV330" s="890"/>
      <c r="BW330" s="890"/>
    </row>
    <row r="331" spans="1:75">
      <c r="A331" s="709"/>
      <c r="B331" s="709"/>
      <c r="C331" s="709"/>
      <c r="D331" s="709"/>
      <c r="E331" s="709"/>
      <c r="F331" s="709"/>
      <c r="G331" s="709"/>
      <c r="H331" s="709"/>
      <c r="I331" s="709"/>
      <c r="J331" s="709"/>
      <c r="K331" s="709"/>
      <c r="L331" s="709"/>
      <c r="M331" s="709"/>
      <c r="N331" s="709"/>
      <c r="O331" s="709"/>
      <c r="P331" s="709"/>
      <c r="Q331" s="709"/>
      <c r="R331" s="709"/>
      <c r="S331" s="709"/>
      <c r="T331" s="709"/>
      <c r="U331" s="709"/>
      <c r="V331" s="709"/>
      <c r="BB331" s="3"/>
      <c r="BC331" s="3"/>
      <c r="BD331" s="3"/>
      <c r="BE331" s="3"/>
      <c r="BF331" s="3"/>
      <c r="BG331" s="890"/>
      <c r="BH331" s="890"/>
      <c r="BI331" s="890"/>
      <c r="BJ331" s="890"/>
      <c r="BK331" s="890"/>
      <c r="BL331" s="890"/>
      <c r="BM331" s="890"/>
      <c r="BN331" s="890"/>
      <c r="BO331" s="890"/>
      <c r="BP331" s="890"/>
      <c r="BQ331" s="890"/>
      <c r="BR331" s="890"/>
      <c r="BS331" s="890"/>
      <c r="BT331" s="890"/>
      <c r="BU331" s="890"/>
      <c r="BV331" s="890"/>
      <c r="BW331" s="890"/>
    </row>
    <row r="332" spans="1:75">
      <c r="A332" s="709"/>
      <c r="B332" s="709"/>
      <c r="C332" s="709"/>
      <c r="D332" s="709"/>
      <c r="E332" s="709"/>
      <c r="F332" s="709"/>
      <c r="G332" s="709"/>
      <c r="H332" s="709"/>
      <c r="I332" s="709"/>
      <c r="J332" s="709"/>
      <c r="K332" s="709"/>
      <c r="L332" s="709"/>
      <c r="M332" s="709"/>
      <c r="N332" s="709"/>
      <c r="O332" s="709"/>
      <c r="P332" s="709"/>
      <c r="Q332" s="709"/>
      <c r="R332" s="709"/>
      <c r="S332" s="709"/>
      <c r="T332" s="709"/>
      <c r="U332" s="709"/>
      <c r="V332" s="709"/>
      <c r="BB332" s="3"/>
      <c r="BC332" s="3"/>
      <c r="BD332" s="3"/>
      <c r="BE332" s="3"/>
      <c r="BF332" s="3"/>
      <c r="BG332" s="890"/>
      <c r="BH332" s="890"/>
      <c r="BI332" s="890"/>
      <c r="BJ332" s="890"/>
      <c r="BK332" s="890"/>
      <c r="BL332" s="890"/>
      <c r="BM332" s="890"/>
      <c r="BN332" s="890"/>
      <c r="BO332" s="890"/>
      <c r="BP332" s="890"/>
      <c r="BQ332" s="890"/>
      <c r="BR332" s="890"/>
      <c r="BS332" s="890"/>
      <c r="BT332" s="890"/>
      <c r="BU332" s="890"/>
      <c r="BV332" s="890"/>
      <c r="BW332" s="890"/>
    </row>
    <row r="333" spans="1:75">
      <c r="A333" s="709"/>
      <c r="B333" s="709"/>
      <c r="C333" s="709"/>
      <c r="D333" s="709"/>
      <c r="E333" s="709"/>
      <c r="F333" s="709"/>
      <c r="G333" s="709"/>
      <c r="H333" s="709"/>
      <c r="I333" s="709"/>
      <c r="J333" s="709"/>
      <c r="K333" s="709"/>
      <c r="L333" s="709"/>
      <c r="M333" s="709"/>
      <c r="N333" s="709"/>
      <c r="O333" s="709"/>
      <c r="P333" s="709"/>
      <c r="Q333" s="709"/>
      <c r="R333" s="709"/>
      <c r="S333" s="709"/>
      <c r="T333" s="709"/>
      <c r="U333" s="709"/>
      <c r="V333" s="709"/>
      <c r="BB333" s="3"/>
      <c r="BC333" s="3"/>
      <c r="BD333" s="3"/>
      <c r="BE333" s="3"/>
      <c r="BF333" s="3"/>
      <c r="BG333" s="890"/>
      <c r="BH333" s="890"/>
      <c r="BI333" s="890"/>
      <c r="BJ333" s="890"/>
      <c r="BK333" s="890"/>
      <c r="BL333" s="890"/>
      <c r="BM333" s="890"/>
      <c r="BN333" s="890"/>
      <c r="BO333" s="890"/>
      <c r="BP333" s="890"/>
      <c r="BQ333" s="890"/>
      <c r="BR333" s="890"/>
      <c r="BS333" s="890"/>
      <c r="BT333" s="890"/>
      <c r="BU333" s="890"/>
      <c r="BV333" s="890"/>
      <c r="BW333" s="890"/>
    </row>
    <row r="334" spans="1:75">
      <c r="A334" s="709"/>
      <c r="B334" s="709"/>
      <c r="C334" s="709"/>
      <c r="D334" s="709"/>
      <c r="E334" s="709"/>
      <c r="F334" s="709"/>
      <c r="G334" s="709"/>
      <c r="H334" s="709"/>
      <c r="I334" s="709"/>
      <c r="J334" s="709"/>
      <c r="K334" s="709"/>
      <c r="L334" s="709"/>
      <c r="M334" s="709"/>
      <c r="N334" s="709"/>
      <c r="O334" s="709"/>
      <c r="P334" s="709"/>
      <c r="Q334" s="709"/>
      <c r="R334" s="709"/>
      <c r="S334" s="709"/>
      <c r="T334" s="709"/>
      <c r="U334" s="709"/>
      <c r="V334" s="709"/>
      <c r="BB334" s="3"/>
      <c r="BC334" s="3"/>
      <c r="BD334" s="3"/>
      <c r="BE334" s="3"/>
      <c r="BF334" s="3"/>
      <c r="BG334" s="890"/>
      <c r="BH334" s="890"/>
      <c r="BI334" s="890"/>
      <c r="BJ334" s="890"/>
      <c r="BK334" s="890"/>
      <c r="BL334" s="890"/>
      <c r="BM334" s="890"/>
      <c r="BN334" s="890"/>
      <c r="BO334" s="890"/>
      <c r="BP334" s="890"/>
      <c r="BQ334" s="890"/>
      <c r="BR334" s="890"/>
      <c r="BS334" s="890"/>
      <c r="BT334" s="890"/>
      <c r="BU334" s="890"/>
      <c r="BV334" s="890"/>
      <c r="BW334" s="890"/>
    </row>
    <row r="335" spans="1:75">
      <c r="A335" s="709"/>
      <c r="B335" s="709"/>
      <c r="C335" s="709"/>
      <c r="D335" s="709"/>
      <c r="E335" s="709"/>
      <c r="F335" s="709"/>
      <c r="G335" s="709"/>
      <c r="H335" s="709"/>
      <c r="I335" s="709"/>
      <c r="J335" s="709"/>
      <c r="K335" s="709"/>
      <c r="L335" s="709"/>
      <c r="M335" s="709"/>
      <c r="N335" s="709"/>
      <c r="O335" s="709"/>
      <c r="P335" s="709"/>
      <c r="Q335" s="709"/>
      <c r="R335" s="709"/>
      <c r="S335" s="709"/>
      <c r="T335" s="709"/>
      <c r="U335" s="709"/>
      <c r="V335" s="709"/>
      <c r="BB335" s="3"/>
      <c r="BC335" s="3"/>
      <c r="BD335" s="3"/>
      <c r="BE335" s="3"/>
      <c r="BF335" s="3"/>
      <c r="BG335" s="890"/>
      <c r="BH335" s="890"/>
      <c r="BI335" s="890"/>
      <c r="BJ335" s="890"/>
      <c r="BK335" s="890"/>
      <c r="BL335" s="890"/>
      <c r="BM335" s="890"/>
      <c r="BN335" s="890"/>
      <c r="BO335" s="890"/>
      <c r="BP335" s="890"/>
      <c r="BQ335" s="890"/>
      <c r="BR335" s="890"/>
      <c r="BS335" s="890"/>
      <c r="BT335" s="890"/>
      <c r="BU335" s="890"/>
      <c r="BV335" s="890"/>
      <c r="BW335" s="890"/>
    </row>
    <row r="336" spans="1:75">
      <c r="A336" s="709"/>
      <c r="B336" s="709"/>
      <c r="C336" s="709"/>
      <c r="D336" s="709"/>
      <c r="E336" s="709"/>
      <c r="F336" s="709"/>
      <c r="G336" s="709"/>
      <c r="H336" s="709"/>
      <c r="I336" s="709"/>
      <c r="J336" s="709"/>
      <c r="K336" s="709"/>
      <c r="L336" s="709"/>
      <c r="M336" s="709"/>
      <c r="N336" s="709"/>
      <c r="O336" s="709"/>
      <c r="P336" s="709"/>
      <c r="Q336" s="709"/>
      <c r="R336" s="709"/>
      <c r="S336" s="709"/>
      <c r="T336" s="709"/>
      <c r="U336" s="709"/>
      <c r="V336" s="709"/>
      <c r="BB336" s="3"/>
      <c r="BC336" s="3"/>
      <c r="BD336" s="3"/>
      <c r="BE336" s="3"/>
      <c r="BF336" s="3"/>
      <c r="BG336" s="890"/>
      <c r="BH336" s="890"/>
      <c r="BI336" s="890"/>
      <c r="BJ336" s="890"/>
      <c r="BK336" s="890"/>
      <c r="BL336" s="890"/>
      <c r="BM336" s="890"/>
      <c r="BN336" s="890"/>
      <c r="BO336" s="890"/>
      <c r="BP336" s="890"/>
      <c r="BQ336" s="890"/>
      <c r="BR336" s="890"/>
      <c r="BS336" s="890"/>
      <c r="BT336" s="890"/>
      <c r="BU336" s="890"/>
      <c r="BV336" s="890"/>
      <c r="BW336" s="890"/>
    </row>
    <row r="337" spans="1:75">
      <c r="A337" s="709"/>
      <c r="B337" s="709"/>
      <c r="C337" s="709"/>
      <c r="D337" s="709"/>
      <c r="E337" s="709"/>
      <c r="F337" s="709"/>
      <c r="G337" s="709"/>
      <c r="H337" s="709"/>
      <c r="I337" s="709"/>
      <c r="J337" s="709"/>
      <c r="K337" s="709"/>
      <c r="L337" s="709"/>
      <c r="M337" s="709"/>
      <c r="N337" s="709"/>
      <c r="O337" s="709"/>
      <c r="P337" s="709"/>
      <c r="Q337" s="709"/>
      <c r="R337" s="709"/>
      <c r="S337" s="709"/>
      <c r="T337" s="709"/>
      <c r="U337" s="709"/>
      <c r="V337" s="709"/>
      <c r="BB337" s="3"/>
      <c r="BC337" s="3"/>
      <c r="BD337" s="3"/>
      <c r="BE337" s="3"/>
      <c r="BF337" s="3"/>
      <c r="BG337" s="890"/>
      <c r="BH337" s="890"/>
      <c r="BI337" s="890"/>
      <c r="BJ337" s="890"/>
      <c r="BK337" s="890"/>
      <c r="BL337" s="890"/>
      <c r="BM337" s="890"/>
      <c r="BN337" s="890"/>
      <c r="BO337" s="890"/>
      <c r="BP337" s="890"/>
      <c r="BQ337" s="890"/>
      <c r="BR337" s="890"/>
      <c r="BS337" s="890"/>
      <c r="BT337" s="890"/>
      <c r="BU337" s="890"/>
      <c r="BV337" s="890"/>
      <c r="BW337" s="890"/>
    </row>
    <row r="338" spans="1:75">
      <c r="A338" s="709"/>
      <c r="B338" s="709"/>
      <c r="C338" s="709"/>
      <c r="D338" s="709"/>
      <c r="E338" s="709"/>
      <c r="F338" s="709"/>
      <c r="G338" s="709"/>
      <c r="H338" s="709"/>
      <c r="I338" s="709"/>
      <c r="J338" s="709"/>
      <c r="K338" s="709"/>
      <c r="L338" s="709"/>
      <c r="M338" s="709"/>
      <c r="N338" s="709"/>
      <c r="O338" s="709"/>
      <c r="P338" s="709"/>
      <c r="Q338" s="709"/>
      <c r="R338" s="709"/>
      <c r="S338" s="709"/>
      <c r="T338" s="709"/>
      <c r="U338" s="709"/>
      <c r="V338" s="709"/>
      <c r="BB338" s="3"/>
      <c r="BC338" s="3"/>
      <c r="BD338" s="3"/>
      <c r="BE338" s="3"/>
      <c r="BF338" s="3"/>
      <c r="BG338" s="890"/>
      <c r="BH338" s="890"/>
      <c r="BI338" s="890"/>
      <c r="BJ338" s="890"/>
      <c r="BK338" s="890"/>
      <c r="BL338" s="890"/>
      <c r="BM338" s="890"/>
      <c r="BN338" s="890"/>
      <c r="BO338" s="890"/>
      <c r="BP338" s="890"/>
      <c r="BQ338" s="890"/>
      <c r="BR338" s="890"/>
      <c r="BS338" s="890"/>
      <c r="BT338" s="890"/>
      <c r="BU338" s="890"/>
      <c r="BV338" s="890"/>
      <c r="BW338" s="890"/>
    </row>
    <row r="339" spans="1:75">
      <c r="A339" s="709"/>
      <c r="B339" s="709"/>
      <c r="C339" s="709"/>
      <c r="D339" s="709"/>
      <c r="E339" s="709"/>
      <c r="F339" s="709"/>
      <c r="G339" s="709"/>
      <c r="H339" s="709"/>
      <c r="I339" s="709"/>
      <c r="J339" s="709"/>
      <c r="K339" s="709"/>
      <c r="L339" s="709"/>
      <c r="M339" s="709"/>
      <c r="N339" s="709"/>
      <c r="O339" s="709"/>
      <c r="P339" s="709"/>
      <c r="Q339" s="709"/>
      <c r="R339" s="709"/>
      <c r="S339" s="709"/>
      <c r="T339" s="709"/>
      <c r="U339" s="709"/>
      <c r="V339" s="709"/>
      <c r="BB339" s="3"/>
      <c r="BC339" s="3"/>
      <c r="BD339" s="3"/>
      <c r="BE339" s="3"/>
      <c r="BF339" s="3"/>
      <c r="BG339" s="890"/>
      <c r="BH339" s="890"/>
      <c r="BI339" s="890"/>
      <c r="BJ339" s="890"/>
      <c r="BK339" s="890"/>
      <c r="BL339" s="890"/>
      <c r="BM339" s="890"/>
      <c r="BN339" s="890"/>
      <c r="BO339" s="890"/>
      <c r="BP339" s="890"/>
      <c r="BQ339" s="890"/>
      <c r="BR339" s="890"/>
      <c r="BS339" s="890"/>
      <c r="BT339" s="890"/>
      <c r="BU339" s="890"/>
      <c r="BV339" s="890"/>
      <c r="BW339" s="890"/>
    </row>
    <row r="340" spans="1:75">
      <c r="A340" s="709"/>
      <c r="B340" s="709"/>
      <c r="C340" s="709"/>
      <c r="D340" s="709"/>
      <c r="E340" s="709"/>
      <c r="F340" s="709"/>
      <c r="G340" s="709"/>
      <c r="H340" s="709"/>
      <c r="I340" s="709"/>
      <c r="J340" s="709"/>
      <c r="K340" s="709"/>
      <c r="L340" s="709"/>
      <c r="M340" s="709"/>
      <c r="N340" s="709"/>
      <c r="O340" s="709"/>
      <c r="P340" s="709"/>
      <c r="Q340" s="709"/>
      <c r="R340" s="709"/>
      <c r="S340" s="709"/>
      <c r="T340" s="709"/>
      <c r="U340" s="709"/>
      <c r="V340" s="709"/>
      <c r="BB340" s="3"/>
      <c r="BC340" s="3"/>
      <c r="BD340" s="3"/>
      <c r="BE340" s="3"/>
      <c r="BF340" s="3"/>
      <c r="BG340" s="890"/>
      <c r="BH340" s="890"/>
      <c r="BI340" s="890"/>
      <c r="BJ340" s="890"/>
      <c r="BK340" s="890"/>
      <c r="BL340" s="890"/>
      <c r="BM340" s="890"/>
      <c r="BN340" s="890"/>
      <c r="BO340" s="890"/>
      <c r="BP340" s="890"/>
      <c r="BQ340" s="890"/>
      <c r="BR340" s="890"/>
      <c r="BS340" s="890"/>
      <c r="BT340" s="890"/>
      <c r="BU340" s="890"/>
      <c r="BV340" s="890"/>
      <c r="BW340" s="890"/>
    </row>
    <row r="341" spans="1:75">
      <c r="A341" s="709"/>
      <c r="B341" s="709"/>
      <c r="C341" s="709"/>
      <c r="D341" s="709"/>
      <c r="E341" s="709"/>
      <c r="F341" s="709"/>
      <c r="G341" s="709"/>
      <c r="H341" s="709"/>
      <c r="I341" s="709"/>
      <c r="J341" s="709"/>
      <c r="K341" s="709"/>
      <c r="L341" s="709"/>
      <c r="M341" s="709"/>
      <c r="N341" s="709"/>
      <c r="O341" s="709"/>
      <c r="P341" s="709"/>
      <c r="Q341" s="709"/>
      <c r="R341" s="709"/>
      <c r="S341" s="709"/>
      <c r="T341" s="709"/>
      <c r="U341" s="709"/>
      <c r="V341" s="709"/>
      <c r="BB341" s="3"/>
      <c r="BC341" s="3"/>
      <c r="BD341" s="3"/>
      <c r="BE341" s="3"/>
      <c r="BF341" s="3"/>
      <c r="BG341" s="890"/>
      <c r="BH341" s="890"/>
      <c r="BI341" s="890"/>
      <c r="BJ341" s="890"/>
      <c r="BK341" s="890"/>
      <c r="BL341" s="890"/>
      <c r="BM341" s="890"/>
      <c r="BN341" s="890"/>
      <c r="BO341" s="890"/>
      <c r="BP341" s="890"/>
      <c r="BQ341" s="890"/>
      <c r="BR341" s="890"/>
      <c r="BS341" s="890"/>
      <c r="BT341" s="890"/>
      <c r="BU341" s="890"/>
      <c r="BV341" s="890"/>
      <c r="BW341" s="890"/>
    </row>
    <row r="342" spans="1:75">
      <c r="A342" s="709"/>
      <c r="B342" s="709"/>
      <c r="C342" s="709"/>
      <c r="D342" s="709"/>
      <c r="E342" s="709"/>
      <c r="F342" s="709"/>
      <c r="G342" s="709"/>
      <c r="H342" s="709"/>
      <c r="I342" s="709"/>
      <c r="J342" s="709"/>
      <c r="K342" s="709"/>
      <c r="L342" s="709"/>
      <c r="M342" s="709"/>
      <c r="N342" s="709"/>
      <c r="O342" s="709"/>
      <c r="P342" s="709"/>
      <c r="Q342" s="709"/>
      <c r="R342" s="709"/>
      <c r="S342" s="709"/>
      <c r="T342" s="709"/>
      <c r="U342" s="709"/>
      <c r="V342" s="709"/>
      <c r="BB342" s="3"/>
      <c r="BC342" s="3"/>
      <c r="BD342" s="3"/>
      <c r="BE342" s="3"/>
      <c r="BF342" s="3"/>
      <c r="BG342" s="890"/>
      <c r="BH342" s="890"/>
      <c r="BI342" s="890"/>
      <c r="BJ342" s="890"/>
      <c r="BK342" s="890"/>
      <c r="BL342" s="890"/>
      <c r="BM342" s="890"/>
      <c r="BN342" s="890"/>
      <c r="BO342" s="890"/>
      <c r="BP342" s="890"/>
      <c r="BQ342" s="890"/>
      <c r="BR342" s="890"/>
      <c r="BS342" s="890"/>
      <c r="BT342" s="890"/>
      <c r="BU342" s="890"/>
      <c r="BV342" s="890"/>
      <c r="BW342" s="890"/>
    </row>
    <row r="343" spans="1:75">
      <c r="A343" s="709"/>
      <c r="B343" s="709"/>
      <c r="C343" s="709"/>
      <c r="D343" s="709"/>
      <c r="E343" s="709"/>
      <c r="F343" s="709"/>
      <c r="G343" s="709"/>
      <c r="H343" s="709"/>
      <c r="I343" s="709"/>
      <c r="J343" s="709"/>
      <c r="K343" s="709"/>
      <c r="L343" s="709"/>
      <c r="M343" s="709"/>
      <c r="N343" s="709"/>
      <c r="O343" s="709"/>
      <c r="P343" s="709"/>
      <c r="Q343" s="709"/>
      <c r="R343" s="709"/>
      <c r="S343" s="709"/>
      <c r="T343" s="709"/>
      <c r="U343" s="709"/>
      <c r="V343" s="709"/>
      <c r="BB343" s="3"/>
      <c r="BC343" s="3"/>
      <c r="BD343" s="3"/>
      <c r="BE343" s="3"/>
      <c r="BF343" s="3"/>
      <c r="BG343" s="890"/>
      <c r="BH343" s="890"/>
      <c r="BI343" s="890"/>
      <c r="BJ343" s="890"/>
      <c r="BK343" s="890"/>
      <c r="BL343" s="890"/>
      <c r="BM343" s="890"/>
      <c r="BN343" s="890"/>
      <c r="BO343" s="890"/>
      <c r="BP343" s="890"/>
      <c r="BQ343" s="890"/>
      <c r="BR343" s="890"/>
      <c r="BS343" s="890"/>
      <c r="BT343" s="890"/>
      <c r="BU343" s="890"/>
      <c r="BV343" s="890"/>
      <c r="BW343" s="890"/>
    </row>
    <row r="344" spans="1:75">
      <c r="A344" s="709"/>
      <c r="B344" s="709"/>
      <c r="C344" s="709"/>
      <c r="D344" s="709"/>
      <c r="E344" s="709"/>
      <c r="F344" s="709"/>
      <c r="G344" s="709"/>
      <c r="H344" s="709"/>
      <c r="I344" s="709"/>
      <c r="J344" s="709"/>
      <c r="K344" s="709"/>
      <c r="L344" s="709"/>
      <c r="M344" s="709"/>
      <c r="N344" s="709"/>
      <c r="O344" s="709"/>
      <c r="P344" s="709"/>
      <c r="Q344" s="709"/>
      <c r="R344" s="709"/>
      <c r="S344" s="709"/>
      <c r="T344" s="709"/>
      <c r="U344" s="709"/>
      <c r="V344" s="709"/>
      <c r="BB344" s="3"/>
      <c r="BC344" s="3"/>
      <c r="BD344" s="3"/>
      <c r="BE344" s="3"/>
      <c r="BF344" s="3"/>
      <c r="BG344" s="890"/>
      <c r="BH344" s="890"/>
      <c r="BI344" s="890"/>
      <c r="BJ344" s="890"/>
      <c r="BK344" s="890"/>
      <c r="BL344" s="890"/>
      <c r="BM344" s="890"/>
      <c r="BN344" s="890"/>
      <c r="BO344" s="890"/>
      <c r="BP344" s="890"/>
      <c r="BQ344" s="890"/>
      <c r="BR344" s="890"/>
      <c r="BS344" s="890"/>
      <c r="BT344" s="890"/>
      <c r="BU344" s="890"/>
      <c r="BV344" s="890"/>
      <c r="BW344" s="890"/>
    </row>
    <row r="345" spans="1:75">
      <c r="A345" s="709"/>
      <c r="B345" s="709"/>
      <c r="C345" s="709"/>
      <c r="D345" s="709"/>
      <c r="E345" s="709"/>
      <c r="F345" s="709"/>
      <c r="G345" s="709"/>
      <c r="H345" s="709"/>
      <c r="I345" s="709"/>
      <c r="J345" s="709"/>
      <c r="K345" s="709"/>
      <c r="L345" s="709"/>
      <c r="M345" s="709"/>
      <c r="N345" s="709"/>
      <c r="O345" s="709"/>
      <c r="P345" s="709"/>
      <c r="Q345" s="709"/>
      <c r="R345" s="709"/>
      <c r="S345" s="709"/>
      <c r="T345" s="709"/>
      <c r="U345" s="709"/>
      <c r="V345" s="709"/>
      <c r="BB345" s="3"/>
      <c r="BC345" s="3"/>
      <c r="BD345" s="3"/>
      <c r="BE345" s="3"/>
      <c r="BF345" s="3"/>
      <c r="BG345" s="890"/>
      <c r="BH345" s="890"/>
      <c r="BI345" s="890"/>
      <c r="BJ345" s="890"/>
      <c r="BK345" s="890"/>
      <c r="BL345" s="890"/>
      <c r="BM345" s="890"/>
      <c r="BN345" s="890"/>
      <c r="BO345" s="890"/>
      <c r="BP345" s="890"/>
      <c r="BQ345" s="890"/>
      <c r="BR345" s="890"/>
      <c r="BS345" s="890"/>
      <c r="BT345" s="890"/>
      <c r="BU345" s="890"/>
      <c r="BV345" s="890"/>
      <c r="BW345" s="890"/>
    </row>
    <row r="346" spans="1:75">
      <c r="A346" s="709"/>
      <c r="B346" s="709"/>
      <c r="C346" s="709"/>
      <c r="D346" s="709"/>
      <c r="E346" s="709"/>
      <c r="F346" s="709"/>
      <c r="G346" s="709"/>
      <c r="H346" s="709"/>
      <c r="I346" s="709"/>
      <c r="J346" s="709"/>
      <c r="K346" s="709"/>
      <c r="L346" s="709"/>
      <c r="M346" s="709"/>
      <c r="N346" s="709"/>
      <c r="O346" s="709"/>
      <c r="P346" s="709"/>
      <c r="Q346" s="709"/>
      <c r="R346" s="709"/>
      <c r="S346" s="709"/>
      <c r="T346" s="709"/>
      <c r="U346" s="709"/>
      <c r="V346" s="709"/>
      <c r="BB346" s="3"/>
      <c r="BC346" s="3"/>
      <c r="BD346" s="3"/>
      <c r="BE346" s="3"/>
      <c r="BF346" s="3"/>
      <c r="BG346" s="890"/>
      <c r="BH346" s="890"/>
      <c r="BI346" s="890"/>
      <c r="BJ346" s="890"/>
      <c r="BK346" s="890"/>
      <c r="BL346" s="890"/>
      <c r="BM346" s="890"/>
      <c r="BN346" s="890"/>
      <c r="BO346" s="890"/>
      <c r="BP346" s="890"/>
      <c r="BQ346" s="890"/>
      <c r="BR346" s="890"/>
      <c r="BS346" s="890"/>
      <c r="BT346" s="890"/>
      <c r="BU346" s="890"/>
      <c r="BV346" s="890"/>
      <c r="BW346" s="890"/>
    </row>
    <row r="347" spans="1:75">
      <c r="A347" s="709"/>
      <c r="B347" s="709"/>
      <c r="C347" s="709"/>
      <c r="D347" s="709"/>
      <c r="E347" s="709"/>
      <c r="F347" s="709"/>
      <c r="G347" s="709"/>
      <c r="H347" s="709"/>
      <c r="I347" s="709"/>
      <c r="J347" s="709"/>
      <c r="K347" s="709"/>
      <c r="L347" s="709"/>
      <c r="M347" s="709"/>
      <c r="N347" s="709"/>
      <c r="O347" s="709"/>
      <c r="P347" s="709"/>
      <c r="Q347" s="709"/>
      <c r="R347" s="709"/>
      <c r="S347" s="709"/>
      <c r="T347" s="709"/>
      <c r="U347" s="709"/>
      <c r="V347" s="709"/>
      <c r="BB347" s="3"/>
      <c r="BC347" s="3"/>
      <c r="BD347" s="3"/>
      <c r="BE347" s="3"/>
      <c r="BF347" s="3"/>
      <c r="BG347" s="890"/>
      <c r="BH347" s="890"/>
      <c r="BI347" s="890"/>
      <c r="BJ347" s="890"/>
      <c r="BK347" s="890"/>
      <c r="BL347" s="890"/>
      <c r="BM347" s="890"/>
      <c r="BN347" s="890"/>
      <c r="BO347" s="890"/>
      <c r="BP347" s="890"/>
      <c r="BQ347" s="890"/>
      <c r="BR347" s="890"/>
      <c r="BS347" s="890"/>
      <c r="BT347" s="890"/>
      <c r="BU347" s="890"/>
      <c r="BV347" s="890"/>
      <c r="BW347" s="890"/>
    </row>
    <row r="348" spans="1:75">
      <c r="A348" s="709"/>
      <c r="B348" s="709"/>
      <c r="C348" s="709"/>
      <c r="D348" s="709"/>
      <c r="E348" s="709"/>
      <c r="F348" s="709"/>
      <c r="G348" s="709"/>
      <c r="H348" s="709"/>
      <c r="I348" s="709"/>
      <c r="J348" s="709"/>
      <c r="K348" s="709"/>
      <c r="L348" s="709"/>
      <c r="M348" s="709"/>
      <c r="N348" s="709"/>
      <c r="O348" s="709"/>
      <c r="P348" s="709"/>
      <c r="Q348" s="709"/>
      <c r="R348" s="709"/>
      <c r="S348" s="709"/>
      <c r="T348" s="709"/>
      <c r="U348" s="709"/>
      <c r="V348" s="709"/>
      <c r="BB348" s="3"/>
      <c r="BC348" s="3"/>
      <c r="BD348" s="3"/>
      <c r="BE348" s="3"/>
      <c r="BF348" s="3"/>
      <c r="BG348" s="890"/>
      <c r="BH348" s="890"/>
      <c r="BI348" s="890"/>
      <c r="BJ348" s="890"/>
      <c r="BK348" s="890"/>
      <c r="BL348" s="890"/>
      <c r="BM348" s="890"/>
      <c r="BN348" s="890"/>
      <c r="BO348" s="890"/>
      <c r="BP348" s="890"/>
      <c r="BQ348" s="890"/>
      <c r="BR348" s="890"/>
      <c r="BS348" s="890"/>
      <c r="BT348" s="890"/>
      <c r="BU348" s="890"/>
      <c r="BV348" s="890"/>
      <c r="BW348" s="890"/>
    </row>
    <row r="349" spans="1:75">
      <c r="A349" s="709"/>
      <c r="B349" s="709"/>
      <c r="C349" s="709"/>
      <c r="D349" s="709"/>
      <c r="E349" s="709"/>
      <c r="F349" s="709"/>
      <c r="G349" s="709"/>
      <c r="H349" s="709"/>
      <c r="I349" s="709"/>
      <c r="J349" s="709"/>
      <c r="K349" s="709"/>
      <c r="L349" s="709"/>
      <c r="M349" s="709"/>
      <c r="N349" s="709"/>
      <c r="O349" s="709"/>
      <c r="P349" s="709"/>
      <c r="Q349" s="709"/>
      <c r="R349" s="709"/>
      <c r="S349" s="709"/>
      <c r="T349" s="709"/>
      <c r="U349" s="709"/>
      <c r="V349" s="709"/>
      <c r="BB349" s="3"/>
      <c r="BC349" s="3"/>
      <c r="BD349" s="3"/>
      <c r="BE349" s="3"/>
      <c r="BF349" s="3"/>
      <c r="BG349" s="890"/>
      <c r="BH349" s="890"/>
      <c r="BI349" s="890"/>
      <c r="BJ349" s="890"/>
      <c r="BK349" s="890"/>
      <c r="BL349" s="890"/>
      <c r="BM349" s="890"/>
      <c r="BN349" s="890"/>
      <c r="BO349" s="890"/>
      <c r="BP349" s="890"/>
      <c r="BQ349" s="890"/>
      <c r="BR349" s="890"/>
      <c r="BS349" s="890"/>
      <c r="BT349" s="890"/>
      <c r="BU349" s="890"/>
      <c r="BV349" s="890"/>
      <c r="BW349" s="890"/>
    </row>
    <row r="350" spans="1:75">
      <c r="A350" s="709"/>
      <c r="B350" s="709"/>
      <c r="C350" s="709"/>
      <c r="D350" s="709"/>
      <c r="E350" s="709"/>
      <c r="F350" s="709"/>
      <c r="G350" s="709"/>
      <c r="H350" s="709"/>
      <c r="I350" s="709"/>
      <c r="J350" s="709"/>
      <c r="K350" s="709"/>
      <c r="L350" s="709"/>
      <c r="M350" s="709"/>
      <c r="N350" s="709"/>
      <c r="O350" s="709"/>
      <c r="P350" s="709"/>
      <c r="Q350" s="709"/>
      <c r="R350" s="709"/>
      <c r="S350" s="709"/>
      <c r="T350" s="709"/>
      <c r="U350" s="709"/>
      <c r="V350" s="709"/>
      <c r="BB350" s="3"/>
      <c r="BC350" s="3"/>
      <c r="BD350" s="3"/>
      <c r="BE350" s="3"/>
      <c r="BF350" s="3"/>
      <c r="BG350" s="890"/>
      <c r="BH350" s="890"/>
      <c r="BI350" s="890"/>
      <c r="BJ350" s="890"/>
      <c r="BK350" s="890"/>
      <c r="BL350" s="890"/>
      <c r="BM350" s="890"/>
      <c r="BN350" s="890"/>
      <c r="BO350" s="890"/>
      <c r="BP350" s="890"/>
      <c r="BQ350" s="890"/>
      <c r="BR350" s="890"/>
      <c r="BS350" s="890"/>
      <c r="BT350" s="890"/>
      <c r="BU350" s="890"/>
      <c r="BV350" s="890"/>
      <c r="BW350" s="890"/>
    </row>
    <row r="351" spans="1:75">
      <c r="A351" s="709"/>
      <c r="B351" s="709"/>
      <c r="C351" s="709"/>
      <c r="D351" s="709"/>
      <c r="E351" s="709"/>
      <c r="F351" s="709"/>
      <c r="G351" s="709"/>
      <c r="H351" s="709"/>
      <c r="I351" s="709"/>
      <c r="J351" s="709"/>
      <c r="K351" s="709"/>
      <c r="L351" s="709"/>
      <c r="M351" s="709"/>
      <c r="N351" s="709"/>
      <c r="O351" s="709"/>
      <c r="P351" s="709"/>
      <c r="Q351" s="709"/>
      <c r="R351" s="709"/>
      <c r="S351" s="709"/>
      <c r="T351" s="709"/>
      <c r="U351" s="709"/>
      <c r="V351" s="709"/>
      <c r="BB351" s="3"/>
      <c r="BC351" s="3"/>
      <c r="BD351" s="3"/>
      <c r="BE351" s="3"/>
      <c r="BF351" s="3"/>
      <c r="BG351" s="890"/>
      <c r="BH351" s="890"/>
      <c r="BI351" s="890"/>
      <c r="BJ351" s="890"/>
      <c r="BK351" s="890"/>
      <c r="BL351" s="890"/>
      <c r="BM351" s="890"/>
      <c r="BN351" s="890"/>
      <c r="BO351" s="890"/>
      <c r="BP351" s="890"/>
      <c r="BQ351" s="890"/>
      <c r="BR351" s="890"/>
      <c r="BS351" s="890"/>
      <c r="BT351" s="890"/>
      <c r="BU351" s="890"/>
      <c r="BV351" s="890"/>
      <c r="BW351" s="890"/>
    </row>
    <row r="352" spans="1:75">
      <c r="A352" s="709"/>
      <c r="B352" s="709"/>
      <c r="C352" s="709"/>
      <c r="D352" s="709"/>
      <c r="E352" s="709"/>
      <c r="F352" s="709"/>
      <c r="G352" s="709"/>
      <c r="H352" s="709"/>
      <c r="I352" s="709"/>
      <c r="J352" s="709"/>
      <c r="K352" s="709"/>
      <c r="L352" s="709"/>
      <c r="M352" s="709"/>
      <c r="N352" s="709"/>
      <c r="O352" s="709"/>
      <c r="P352" s="709"/>
      <c r="Q352" s="709"/>
      <c r="R352" s="709"/>
      <c r="S352" s="709"/>
      <c r="T352" s="709"/>
      <c r="U352" s="709"/>
      <c r="V352" s="709"/>
      <c r="BB352" s="3"/>
      <c r="BC352" s="3"/>
      <c r="BD352" s="3"/>
      <c r="BE352" s="3"/>
      <c r="BF352" s="3"/>
      <c r="BG352" s="890"/>
      <c r="BH352" s="890"/>
      <c r="BI352" s="890"/>
      <c r="BJ352" s="890"/>
      <c r="BK352" s="890"/>
      <c r="BL352" s="890"/>
      <c r="BM352" s="890"/>
      <c r="BN352" s="890"/>
      <c r="BO352" s="890"/>
      <c r="BP352" s="890"/>
      <c r="BQ352" s="890"/>
      <c r="BR352" s="890"/>
      <c r="BS352" s="890"/>
      <c r="BT352" s="890"/>
      <c r="BU352" s="890"/>
      <c r="BV352" s="890"/>
      <c r="BW352" s="890"/>
    </row>
    <row r="353" spans="1:75">
      <c r="A353" s="709"/>
      <c r="B353" s="709"/>
      <c r="C353" s="709"/>
      <c r="D353" s="709"/>
      <c r="E353" s="709"/>
      <c r="F353" s="709"/>
      <c r="G353" s="709"/>
      <c r="H353" s="709"/>
      <c r="I353" s="709"/>
      <c r="J353" s="709"/>
      <c r="K353" s="709"/>
      <c r="L353" s="709"/>
      <c r="M353" s="709"/>
      <c r="N353" s="709"/>
      <c r="O353" s="709"/>
      <c r="P353" s="709"/>
      <c r="Q353" s="709"/>
      <c r="R353" s="709"/>
      <c r="S353" s="709"/>
      <c r="T353" s="709"/>
      <c r="U353" s="709"/>
      <c r="V353" s="709"/>
      <c r="BB353" s="3"/>
      <c r="BC353" s="3"/>
      <c r="BD353" s="3"/>
      <c r="BE353" s="3"/>
      <c r="BF353" s="3"/>
      <c r="BG353" s="890"/>
      <c r="BH353" s="890"/>
      <c r="BI353" s="890"/>
      <c r="BJ353" s="890"/>
      <c r="BK353" s="890"/>
      <c r="BL353" s="890"/>
      <c r="BM353" s="890"/>
      <c r="BN353" s="890"/>
      <c r="BO353" s="890"/>
      <c r="BP353" s="890"/>
      <c r="BQ353" s="890"/>
      <c r="BR353" s="890"/>
      <c r="BS353" s="890"/>
      <c r="BT353" s="890"/>
      <c r="BU353" s="890"/>
      <c r="BV353" s="890"/>
      <c r="BW353" s="890"/>
    </row>
    <row r="354" spans="1:75">
      <c r="A354" s="709"/>
      <c r="B354" s="709"/>
      <c r="C354" s="709"/>
      <c r="D354" s="709"/>
      <c r="E354" s="709"/>
      <c r="F354" s="709"/>
      <c r="G354" s="709"/>
      <c r="H354" s="709"/>
      <c r="I354" s="709"/>
      <c r="J354" s="709"/>
      <c r="K354" s="709"/>
      <c r="L354" s="709"/>
      <c r="M354" s="709"/>
      <c r="N354" s="709"/>
      <c r="O354" s="709"/>
      <c r="P354" s="709"/>
      <c r="Q354" s="709"/>
      <c r="R354" s="709"/>
      <c r="S354" s="709"/>
      <c r="T354" s="709"/>
      <c r="U354" s="709"/>
      <c r="V354" s="709"/>
      <c r="BB354" s="3"/>
      <c r="BC354" s="3"/>
      <c r="BD354" s="3"/>
      <c r="BE354" s="3"/>
      <c r="BF354" s="3"/>
      <c r="BG354" s="890"/>
      <c r="BH354" s="890"/>
      <c r="BI354" s="890"/>
      <c r="BJ354" s="890"/>
      <c r="BK354" s="890"/>
      <c r="BL354" s="890"/>
      <c r="BM354" s="890"/>
      <c r="BN354" s="890"/>
      <c r="BO354" s="890"/>
      <c r="BP354" s="890"/>
      <c r="BQ354" s="890"/>
      <c r="BR354" s="890"/>
      <c r="BS354" s="890"/>
      <c r="BT354" s="890"/>
      <c r="BU354" s="890"/>
      <c r="BV354" s="890"/>
      <c r="BW354" s="890"/>
    </row>
    <row r="355" spans="1:75">
      <c r="A355" s="709"/>
      <c r="B355" s="709"/>
      <c r="C355" s="709"/>
      <c r="D355" s="709"/>
      <c r="E355" s="709"/>
      <c r="F355" s="709"/>
      <c r="G355" s="709"/>
      <c r="H355" s="709"/>
      <c r="I355" s="709"/>
      <c r="J355" s="709"/>
      <c r="K355" s="709"/>
      <c r="L355" s="709"/>
      <c r="M355" s="709"/>
      <c r="N355" s="709"/>
      <c r="O355" s="709"/>
      <c r="P355" s="709"/>
      <c r="Q355" s="709"/>
      <c r="R355" s="709"/>
      <c r="S355" s="709"/>
      <c r="T355" s="709"/>
      <c r="U355" s="709"/>
      <c r="V355" s="709"/>
      <c r="BB355" s="3"/>
      <c r="BC355" s="3"/>
      <c r="BD355" s="3"/>
      <c r="BE355" s="3"/>
      <c r="BF355" s="3"/>
      <c r="BG355" s="890"/>
      <c r="BH355" s="890"/>
      <c r="BI355" s="890"/>
      <c r="BJ355" s="890"/>
      <c r="BK355" s="890"/>
      <c r="BL355" s="890"/>
      <c r="BM355" s="890"/>
      <c r="BN355" s="890"/>
      <c r="BO355" s="890"/>
      <c r="BP355" s="890"/>
      <c r="BQ355" s="890"/>
      <c r="BR355" s="890"/>
      <c r="BS355" s="890"/>
      <c r="BT355" s="890"/>
      <c r="BU355" s="890"/>
      <c r="BV355" s="890"/>
      <c r="BW355" s="890"/>
    </row>
    <row r="356" spans="1:75">
      <c r="A356" s="709"/>
      <c r="B356" s="709"/>
      <c r="C356" s="709"/>
      <c r="D356" s="709"/>
      <c r="E356" s="709"/>
      <c r="F356" s="709"/>
      <c r="G356" s="709"/>
      <c r="H356" s="709"/>
      <c r="I356" s="709"/>
      <c r="J356" s="709"/>
      <c r="K356" s="709"/>
      <c r="L356" s="709"/>
      <c r="M356" s="709"/>
      <c r="N356" s="709"/>
      <c r="O356" s="709"/>
      <c r="P356" s="709"/>
      <c r="Q356" s="709"/>
      <c r="R356" s="709"/>
      <c r="S356" s="709"/>
      <c r="T356" s="709"/>
      <c r="U356" s="709"/>
      <c r="V356" s="709"/>
      <c r="BB356" s="3"/>
      <c r="BC356" s="3"/>
      <c r="BD356" s="3"/>
      <c r="BE356" s="3"/>
      <c r="BF356" s="3"/>
      <c r="BG356" s="890"/>
      <c r="BH356" s="890"/>
      <c r="BI356" s="890"/>
      <c r="BJ356" s="890"/>
      <c r="BK356" s="890"/>
      <c r="BL356" s="890"/>
      <c r="BM356" s="890"/>
      <c r="BN356" s="890"/>
      <c r="BO356" s="890"/>
      <c r="BP356" s="890"/>
      <c r="BQ356" s="890"/>
      <c r="BR356" s="890"/>
      <c r="BS356" s="890"/>
      <c r="BT356" s="890"/>
      <c r="BU356" s="890"/>
      <c r="BV356" s="890"/>
      <c r="BW356" s="890"/>
    </row>
    <row r="357" spans="1:75">
      <c r="A357" s="709"/>
      <c r="B357" s="709"/>
      <c r="C357" s="709"/>
      <c r="D357" s="709"/>
      <c r="E357" s="709"/>
      <c r="F357" s="709"/>
      <c r="G357" s="709"/>
      <c r="H357" s="709"/>
      <c r="I357" s="709"/>
      <c r="J357" s="709"/>
      <c r="K357" s="709"/>
      <c r="L357" s="709"/>
      <c r="M357" s="709"/>
      <c r="N357" s="709"/>
      <c r="O357" s="709"/>
      <c r="P357" s="709"/>
      <c r="Q357" s="709"/>
      <c r="R357" s="709"/>
      <c r="S357" s="709"/>
      <c r="T357" s="709"/>
      <c r="U357" s="709"/>
      <c r="V357" s="709"/>
      <c r="BB357" s="3"/>
      <c r="BC357" s="3"/>
      <c r="BD357" s="3"/>
      <c r="BE357" s="3"/>
      <c r="BF357" s="3"/>
      <c r="BG357" s="890"/>
      <c r="BH357" s="890"/>
      <c r="BI357" s="890"/>
      <c r="BJ357" s="890"/>
      <c r="BK357" s="890"/>
      <c r="BL357" s="890"/>
      <c r="BM357" s="890"/>
      <c r="BN357" s="890"/>
      <c r="BO357" s="890"/>
      <c r="BP357" s="890"/>
      <c r="BQ357" s="890"/>
      <c r="BR357" s="890"/>
      <c r="BS357" s="890"/>
      <c r="BT357" s="890"/>
      <c r="BU357" s="890"/>
      <c r="BV357" s="890"/>
      <c r="BW357" s="890"/>
    </row>
    <row r="358" spans="1:75">
      <c r="A358" s="709"/>
      <c r="B358" s="709"/>
      <c r="C358" s="709"/>
      <c r="D358" s="709"/>
      <c r="E358" s="709"/>
      <c r="F358" s="709"/>
      <c r="G358" s="709"/>
      <c r="H358" s="709"/>
      <c r="I358" s="709"/>
      <c r="J358" s="709"/>
      <c r="K358" s="709"/>
      <c r="L358" s="709"/>
      <c r="M358" s="709"/>
      <c r="N358" s="709"/>
      <c r="O358" s="709"/>
      <c r="P358" s="709"/>
      <c r="Q358" s="709"/>
      <c r="R358" s="709"/>
      <c r="S358" s="709"/>
      <c r="T358" s="709"/>
      <c r="U358" s="709"/>
      <c r="V358" s="709"/>
      <c r="BB358" s="3"/>
      <c r="BC358" s="3"/>
      <c r="BD358" s="3"/>
      <c r="BE358" s="3"/>
      <c r="BF358" s="3"/>
      <c r="BG358" s="890"/>
      <c r="BH358" s="890"/>
      <c r="BI358" s="890"/>
      <c r="BJ358" s="890"/>
      <c r="BK358" s="890"/>
      <c r="BL358" s="890"/>
      <c r="BM358" s="890"/>
      <c r="BN358" s="890"/>
      <c r="BO358" s="890"/>
      <c r="BP358" s="890"/>
      <c r="BQ358" s="890"/>
      <c r="BR358" s="890"/>
      <c r="BS358" s="890"/>
      <c r="BT358" s="890"/>
      <c r="BU358" s="890"/>
      <c r="BV358" s="890"/>
      <c r="BW358" s="890"/>
    </row>
    <row r="359" spans="1:75">
      <c r="A359" s="709"/>
      <c r="B359" s="709"/>
      <c r="C359" s="709"/>
      <c r="D359" s="709"/>
      <c r="E359" s="709"/>
      <c r="F359" s="709"/>
      <c r="G359" s="709"/>
      <c r="H359" s="709"/>
      <c r="I359" s="709"/>
      <c r="J359" s="709"/>
      <c r="K359" s="709"/>
      <c r="L359" s="709"/>
      <c r="M359" s="709"/>
      <c r="N359" s="709"/>
      <c r="O359" s="709"/>
      <c r="P359" s="709"/>
      <c r="Q359" s="709"/>
      <c r="R359" s="709"/>
      <c r="S359" s="709"/>
      <c r="T359" s="709"/>
      <c r="U359" s="709"/>
      <c r="V359" s="709"/>
      <c r="BB359" s="3"/>
      <c r="BC359" s="3"/>
      <c r="BD359" s="3"/>
      <c r="BE359" s="3"/>
      <c r="BF359" s="3"/>
      <c r="BG359" s="890"/>
      <c r="BH359" s="890"/>
      <c r="BI359" s="890"/>
      <c r="BJ359" s="890"/>
      <c r="BK359" s="890"/>
      <c r="BL359" s="890"/>
      <c r="BM359" s="890"/>
      <c r="BN359" s="890"/>
      <c r="BO359" s="890"/>
      <c r="BP359" s="890"/>
      <c r="BQ359" s="890"/>
      <c r="BR359" s="890"/>
      <c r="BS359" s="890"/>
      <c r="BT359" s="890"/>
      <c r="BU359" s="890"/>
      <c r="BV359" s="890"/>
      <c r="BW359" s="890"/>
    </row>
    <row r="360" spans="1:75">
      <c r="A360" s="709"/>
      <c r="B360" s="709"/>
      <c r="C360" s="709"/>
      <c r="D360" s="709"/>
      <c r="E360" s="709"/>
      <c r="F360" s="709"/>
      <c r="G360" s="709"/>
      <c r="H360" s="709"/>
      <c r="I360" s="709"/>
      <c r="J360" s="709"/>
      <c r="K360" s="709"/>
      <c r="L360" s="709"/>
      <c r="M360" s="709"/>
      <c r="N360" s="709"/>
      <c r="O360" s="709"/>
      <c r="P360" s="709"/>
      <c r="Q360" s="709"/>
      <c r="R360" s="709"/>
      <c r="S360" s="709"/>
      <c r="T360" s="709"/>
      <c r="U360" s="709"/>
      <c r="V360" s="709"/>
      <c r="BB360" s="3"/>
      <c r="BC360" s="3"/>
      <c r="BD360" s="3"/>
      <c r="BE360" s="3"/>
      <c r="BF360" s="3"/>
      <c r="BG360" s="890"/>
      <c r="BH360" s="890"/>
      <c r="BI360" s="890"/>
      <c r="BJ360" s="890"/>
      <c r="BK360" s="890"/>
      <c r="BL360" s="890"/>
      <c r="BM360" s="890"/>
      <c r="BN360" s="890"/>
      <c r="BO360" s="890"/>
      <c r="BP360" s="890"/>
      <c r="BQ360" s="890"/>
      <c r="BR360" s="890"/>
      <c r="BS360" s="890"/>
      <c r="BT360" s="890"/>
      <c r="BU360" s="890"/>
      <c r="BV360" s="890"/>
      <c r="BW360" s="890"/>
    </row>
    <row r="361" spans="1:75">
      <c r="A361" s="709"/>
      <c r="B361" s="709"/>
      <c r="C361" s="709"/>
      <c r="D361" s="709"/>
      <c r="E361" s="709"/>
      <c r="F361" s="709"/>
      <c r="G361" s="709"/>
      <c r="H361" s="709"/>
      <c r="I361" s="709"/>
      <c r="J361" s="709"/>
      <c r="K361" s="709"/>
      <c r="L361" s="709"/>
      <c r="M361" s="709"/>
      <c r="N361" s="709"/>
      <c r="O361" s="709"/>
      <c r="P361" s="709"/>
      <c r="Q361" s="709"/>
      <c r="R361" s="709"/>
      <c r="S361" s="709"/>
      <c r="T361" s="709"/>
      <c r="U361" s="709"/>
      <c r="V361" s="709"/>
      <c r="BB361" s="3"/>
      <c r="BC361" s="3"/>
      <c r="BD361" s="3"/>
      <c r="BE361" s="3"/>
      <c r="BF361" s="3"/>
      <c r="BG361" s="890"/>
      <c r="BH361" s="890"/>
      <c r="BI361" s="890"/>
      <c r="BJ361" s="890"/>
      <c r="BK361" s="890"/>
      <c r="BL361" s="890"/>
      <c r="BM361" s="890"/>
      <c r="BN361" s="890"/>
      <c r="BO361" s="890"/>
      <c r="BP361" s="890"/>
      <c r="BQ361" s="890"/>
      <c r="BR361" s="890"/>
      <c r="BS361" s="890"/>
      <c r="BT361" s="890"/>
      <c r="BU361" s="890"/>
      <c r="BV361" s="890"/>
      <c r="BW361" s="890"/>
    </row>
    <row r="362" spans="1:75">
      <c r="A362" s="709"/>
      <c r="B362" s="709"/>
      <c r="C362" s="709"/>
      <c r="D362" s="709"/>
      <c r="E362" s="709"/>
      <c r="F362" s="709"/>
      <c r="G362" s="709"/>
      <c r="H362" s="709"/>
      <c r="I362" s="709"/>
      <c r="J362" s="709"/>
      <c r="K362" s="709"/>
      <c r="L362" s="709"/>
      <c r="M362" s="709"/>
      <c r="N362" s="709"/>
      <c r="O362" s="709"/>
      <c r="P362" s="709"/>
      <c r="Q362" s="709"/>
      <c r="R362" s="709"/>
      <c r="S362" s="709"/>
      <c r="T362" s="709"/>
      <c r="U362" s="709"/>
      <c r="V362" s="709"/>
      <c r="BB362" s="3"/>
      <c r="BC362" s="3"/>
      <c r="BD362" s="3"/>
      <c r="BE362" s="3"/>
      <c r="BF362" s="3"/>
      <c r="BG362" s="890"/>
      <c r="BH362" s="890"/>
      <c r="BI362" s="890"/>
      <c r="BJ362" s="890"/>
      <c r="BK362" s="890"/>
      <c r="BL362" s="890"/>
      <c r="BM362" s="890"/>
      <c r="BN362" s="890"/>
      <c r="BO362" s="890"/>
      <c r="BP362" s="890"/>
      <c r="BQ362" s="890"/>
      <c r="BR362" s="890"/>
      <c r="BS362" s="890"/>
      <c r="BT362" s="890"/>
      <c r="BU362" s="890"/>
      <c r="BV362" s="890"/>
      <c r="BW362" s="890"/>
    </row>
    <row r="363" spans="1:75">
      <c r="A363" s="709"/>
      <c r="B363" s="709"/>
      <c r="C363" s="709"/>
      <c r="D363" s="709"/>
      <c r="E363" s="709"/>
      <c r="F363" s="709"/>
      <c r="G363" s="709"/>
      <c r="H363" s="709"/>
      <c r="I363" s="709"/>
      <c r="J363" s="709"/>
      <c r="K363" s="709"/>
      <c r="L363" s="709"/>
      <c r="M363" s="709"/>
      <c r="N363" s="709"/>
      <c r="O363" s="709"/>
      <c r="P363" s="709"/>
      <c r="Q363" s="709"/>
      <c r="R363" s="709"/>
      <c r="S363" s="709"/>
      <c r="T363" s="709"/>
      <c r="U363" s="709"/>
      <c r="V363" s="709"/>
      <c r="BB363" s="3"/>
      <c r="BC363" s="3"/>
      <c r="BD363" s="3"/>
      <c r="BE363" s="3"/>
      <c r="BF363" s="3"/>
      <c r="BG363" s="890"/>
      <c r="BH363" s="890"/>
      <c r="BI363" s="890"/>
      <c r="BJ363" s="890"/>
      <c r="BK363" s="890"/>
      <c r="BL363" s="890"/>
      <c r="BM363" s="890"/>
      <c r="BN363" s="890"/>
      <c r="BO363" s="890"/>
      <c r="BP363" s="890"/>
      <c r="BQ363" s="890"/>
      <c r="BR363" s="890"/>
      <c r="BS363" s="890"/>
      <c r="BT363" s="890"/>
      <c r="BU363" s="890"/>
      <c r="BV363" s="890"/>
      <c r="BW363" s="890"/>
    </row>
    <row r="364" spans="1:75">
      <c r="A364" s="709"/>
      <c r="B364" s="709"/>
      <c r="C364" s="709"/>
      <c r="D364" s="709"/>
      <c r="E364" s="709"/>
      <c r="F364" s="709"/>
      <c r="G364" s="709"/>
      <c r="H364" s="709"/>
      <c r="I364" s="709"/>
      <c r="J364" s="709"/>
      <c r="K364" s="709"/>
      <c r="L364" s="709"/>
      <c r="M364" s="709"/>
      <c r="N364" s="709"/>
      <c r="O364" s="709"/>
      <c r="P364" s="709"/>
      <c r="Q364" s="709"/>
      <c r="R364" s="709"/>
      <c r="S364" s="709"/>
      <c r="T364" s="709"/>
      <c r="U364" s="709"/>
      <c r="V364" s="709"/>
      <c r="BB364" s="3"/>
      <c r="BC364" s="3"/>
      <c r="BD364" s="3"/>
      <c r="BE364" s="3"/>
      <c r="BF364" s="3"/>
      <c r="BG364" s="890"/>
      <c r="BH364" s="890"/>
      <c r="BI364" s="890"/>
      <c r="BJ364" s="890"/>
      <c r="BK364" s="890"/>
      <c r="BL364" s="890"/>
      <c r="BM364" s="890"/>
      <c r="BN364" s="890"/>
      <c r="BO364" s="890"/>
      <c r="BP364" s="890"/>
      <c r="BQ364" s="890"/>
      <c r="BR364" s="890"/>
      <c r="BS364" s="890"/>
      <c r="BT364" s="890"/>
      <c r="BU364" s="890"/>
      <c r="BV364" s="890"/>
      <c r="BW364" s="890"/>
    </row>
    <row r="365" spans="1:75">
      <c r="A365" s="709"/>
      <c r="B365" s="709"/>
      <c r="C365" s="709"/>
      <c r="D365" s="709"/>
      <c r="E365" s="709"/>
      <c r="F365" s="709"/>
      <c r="G365" s="709"/>
      <c r="H365" s="709"/>
      <c r="I365" s="709"/>
      <c r="J365" s="709"/>
      <c r="K365" s="709"/>
      <c r="L365" s="709"/>
      <c r="M365" s="709"/>
      <c r="N365" s="709"/>
      <c r="O365" s="709"/>
      <c r="P365" s="709"/>
      <c r="Q365" s="709"/>
      <c r="R365" s="709"/>
      <c r="S365" s="709"/>
      <c r="T365" s="709"/>
      <c r="U365" s="709"/>
      <c r="V365" s="709"/>
      <c r="BB365" s="3"/>
      <c r="BC365" s="3"/>
      <c r="BD365" s="3"/>
      <c r="BE365" s="3"/>
      <c r="BF365" s="3"/>
      <c r="BG365" s="890"/>
      <c r="BH365" s="890"/>
      <c r="BI365" s="890"/>
      <c r="BJ365" s="890"/>
      <c r="BK365" s="890"/>
      <c r="BL365" s="890"/>
      <c r="BM365" s="890"/>
      <c r="BN365" s="890"/>
      <c r="BO365" s="890"/>
      <c r="BP365" s="890"/>
      <c r="BQ365" s="890"/>
      <c r="BR365" s="890"/>
      <c r="BS365" s="890"/>
      <c r="BT365" s="890"/>
      <c r="BU365" s="890"/>
      <c r="BV365" s="890"/>
      <c r="BW365" s="890"/>
    </row>
    <row r="366" spans="1:75">
      <c r="A366" s="709"/>
      <c r="B366" s="709"/>
      <c r="C366" s="709"/>
      <c r="D366" s="709"/>
      <c r="E366" s="709"/>
      <c r="F366" s="709"/>
      <c r="G366" s="709"/>
      <c r="H366" s="709"/>
      <c r="I366" s="709"/>
      <c r="J366" s="709"/>
      <c r="K366" s="709"/>
      <c r="L366" s="709"/>
      <c r="M366" s="709"/>
      <c r="N366" s="709"/>
      <c r="O366" s="709"/>
      <c r="P366" s="709"/>
      <c r="Q366" s="709"/>
      <c r="R366" s="709"/>
      <c r="S366" s="709"/>
      <c r="T366" s="709"/>
      <c r="U366" s="709"/>
      <c r="V366" s="709"/>
      <c r="BB366" s="3"/>
      <c r="BC366" s="3"/>
      <c r="BD366" s="3"/>
      <c r="BE366" s="3"/>
      <c r="BF366" s="3"/>
      <c r="BG366" s="890"/>
      <c r="BH366" s="890"/>
      <c r="BI366" s="890"/>
      <c r="BJ366" s="890"/>
      <c r="BK366" s="890"/>
      <c r="BL366" s="890"/>
      <c r="BM366" s="890"/>
      <c r="BN366" s="890"/>
      <c r="BO366" s="890"/>
      <c r="BP366" s="890"/>
      <c r="BQ366" s="890"/>
      <c r="BR366" s="890"/>
      <c r="BS366" s="890"/>
      <c r="BT366" s="890"/>
      <c r="BU366" s="890"/>
      <c r="BV366" s="890"/>
      <c r="BW366" s="890"/>
    </row>
    <row r="367" spans="1:75">
      <c r="A367" s="709"/>
      <c r="B367" s="709"/>
      <c r="C367" s="709"/>
      <c r="D367" s="709"/>
      <c r="E367" s="709"/>
      <c r="F367" s="709"/>
      <c r="G367" s="709"/>
      <c r="H367" s="709"/>
      <c r="I367" s="709"/>
      <c r="J367" s="709"/>
      <c r="K367" s="709"/>
      <c r="L367" s="709"/>
      <c r="M367" s="709"/>
      <c r="N367" s="709"/>
      <c r="O367" s="709"/>
      <c r="P367" s="709"/>
      <c r="Q367" s="709"/>
      <c r="R367" s="709"/>
      <c r="S367" s="709"/>
      <c r="T367" s="709"/>
      <c r="U367" s="709"/>
      <c r="V367" s="709"/>
      <c r="BB367" s="3"/>
      <c r="BC367" s="3"/>
      <c r="BD367" s="3"/>
      <c r="BE367" s="3"/>
      <c r="BF367" s="3"/>
      <c r="BG367" s="890"/>
      <c r="BH367" s="890"/>
      <c r="BI367" s="890"/>
      <c r="BJ367" s="890"/>
      <c r="BK367" s="890"/>
      <c r="BL367" s="890"/>
      <c r="BM367" s="890"/>
      <c r="BN367" s="890"/>
      <c r="BO367" s="890"/>
      <c r="BP367" s="890"/>
      <c r="BQ367" s="890"/>
      <c r="BR367" s="890"/>
      <c r="BS367" s="890"/>
      <c r="BT367" s="890"/>
      <c r="BU367" s="890"/>
      <c r="BV367" s="890"/>
      <c r="BW367" s="890"/>
    </row>
    <row r="368" spans="1:75">
      <c r="A368" s="709"/>
      <c r="B368" s="709"/>
      <c r="C368" s="709"/>
      <c r="D368" s="709"/>
      <c r="E368" s="709"/>
      <c r="F368" s="709"/>
      <c r="G368" s="709"/>
      <c r="H368" s="709"/>
      <c r="I368" s="709"/>
      <c r="J368" s="709"/>
      <c r="K368" s="709"/>
      <c r="L368" s="709"/>
      <c r="M368" s="709"/>
      <c r="N368" s="709"/>
      <c r="O368" s="709"/>
      <c r="P368" s="709"/>
      <c r="Q368" s="709"/>
      <c r="R368" s="709"/>
      <c r="S368" s="709"/>
      <c r="T368" s="709"/>
      <c r="U368" s="709"/>
      <c r="V368" s="709"/>
      <c r="BB368" s="3"/>
      <c r="BC368" s="3"/>
      <c r="BD368" s="3"/>
      <c r="BE368" s="3"/>
      <c r="BF368" s="3"/>
      <c r="BG368" s="890"/>
      <c r="BH368" s="890"/>
      <c r="BI368" s="890"/>
      <c r="BJ368" s="890"/>
      <c r="BK368" s="890"/>
      <c r="BL368" s="890"/>
      <c r="BM368" s="890"/>
      <c r="BN368" s="890"/>
      <c r="BO368" s="890"/>
      <c r="BP368" s="890"/>
      <c r="BQ368" s="890"/>
      <c r="BR368" s="890"/>
      <c r="BS368" s="890"/>
      <c r="BT368" s="890"/>
      <c r="BU368" s="890"/>
      <c r="BV368" s="890"/>
      <c r="BW368" s="890"/>
    </row>
    <row r="369" spans="1:75">
      <c r="A369" s="709"/>
      <c r="B369" s="709"/>
      <c r="C369" s="709"/>
      <c r="D369" s="709"/>
      <c r="E369" s="709"/>
      <c r="F369" s="709"/>
      <c r="G369" s="709"/>
      <c r="H369" s="709"/>
      <c r="I369" s="709"/>
      <c r="J369" s="709"/>
      <c r="K369" s="709"/>
      <c r="L369" s="709"/>
      <c r="M369" s="709"/>
      <c r="N369" s="709"/>
      <c r="O369" s="709"/>
      <c r="P369" s="709"/>
      <c r="Q369" s="709"/>
      <c r="R369" s="709"/>
      <c r="S369" s="709"/>
      <c r="T369" s="709"/>
      <c r="U369" s="709"/>
      <c r="V369" s="709"/>
      <c r="BB369" s="3"/>
      <c r="BC369" s="3"/>
      <c r="BD369" s="3"/>
      <c r="BE369" s="3"/>
      <c r="BF369" s="3"/>
      <c r="BG369" s="890"/>
      <c r="BH369" s="890"/>
      <c r="BI369" s="890"/>
      <c r="BJ369" s="890"/>
      <c r="BK369" s="890"/>
      <c r="BL369" s="890"/>
      <c r="BM369" s="890"/>
      <c r="BN369" s="890"/>
      <c r="BO369" s="890"/>
      <c r="BP369" s="890"/>
      <c r="BQ369" s="890"/>
      <c r="BR369" s="890"/>
      <c r="BS369" s="890"/>
      <c r="BT369" s="890"/>
      <c r="BU369" s="890"/>
      <c r="BV369" s="890"/>
      <c r="BW369" s="890"/>
    </row>
    <row r="370" spans="1:75">
      <c r="A370" s="709"/>
      <c r="B370" s="709"/>
      <c r="C370" s="709"/>
      <c r="D370" s="709"/>
      <c r="E370" s="709"/>
      <c r="F370" s="709"/>
      <c r="G370" s="709"/>
      <c r="H370" s="709"/>
      <c r="I370" s="709"/>
      <c r="J370" s="709"/>
      <c r="K370" s="709"/>
      <c r="L370" s="709"/>
      <c r="M370" s="709"/>
      <c r="N370" s="709"/>
      <c r="O370" s="709"/>
      <c r="P370" s="709"/>
      <c r="Q370" s="709"/>
      <c r="R370" s="709"/>
      <c r="S370" s="709"/>
      <c r="T370" s="709"/>
      <c r="U370" s="709"/>
      <c r="V370" s="709"/>
      <c r="BB370" s="3"/>
      <c r="BC370" s="3"/>
      <c r="BD370" s="3"/>
      <c r="BE370" s="3"/>
      <c r="BF370" s="3"/>
      <c r="BG370" s="890"/>
      <c r="BH370" s="890"/>
      <c r="BI370" s="890"/>
      <c r="BJ370" s="890"/>
      <c r="BK370" s="890"/>
      <c r="BL370" s="890"/>
      <c r="BM370" s="890"/>
      <c r="BN370" s="890"/>
      <c r="BO370" s="890"/>
      <c r="BP370" s="890"/>
      <c r="BQ370" s="890"/>
      <c r="BR370" s="890"/>
      <c r="BS370" s="890"/>
      <c r="BT370" s="890"/>
      <c r="BU370" s="890"/>
      <c r="BV370" s="890"/>
      <c r="BW370" s="890"/>
    </row>
    <row r="371" spans="1:75">
      <c r="A371" s="709"/>
      <c r="B371" s="709"/>
      <c r="C371" s="709"/>
      <c r="D371" s="709"/>
      <c r="E371" s="709"/>
      <c r="F371" s="709"/>
      <c r="G371" s="709"/>
      <c r="H371" s="709"/>
      <c r="I371" s="709"/>
      <c r="J371" s="709"/>
      <c r="K371" s="709"/>
      <c r="L371" s="709"/>
      <c r="M371" s="709"/>
      <c r="N371" s="709"/>
      <c r="O371" s="709"/>
      <c r="P371" s="709"/>
      <c r="Q371" s="709"/>
      <c r="R371" s="709"/>
      <c r="S371" s="709"/>
      <c r="T371" s="709"/>
      <c r="U371" s="709"/>
      <c r="V371" s="709"/>
      <c r="BB371" s="3"/>
      <c r="BC371" s="3"/>
      <c r="BD371" s="3"/>
      <c r="BE371" s="3"/>
      <c r="BF371" s="3"/>
      <c r="BG371" s="890"/>
      <c r="BH371" s="890"/>
      <c r="BI371" s="890"/>
      <c r="BJ371" s="890"/>
      <c r="BK371" s="890"/>
      <c r="BL371" s="890"/>
      <c r="BM371" s="890"/>
      <c r="BN371" s="890"/>
      <c r="BO371" s="890"/>
      <c r="BP371" s="890"/>
      <c r="BQ371" s="890"/>
      <c r="BR371" s="890"/>
      <c r="BS371" s="890"/>
      <c r="BT371" s="890"/>
      <c r="BU371" s="890"/>
      <c r="BV371" s="890"/>
      <c r="BW371" s="890"/>
    </row>
    <row r="372" spans="1:75">
      <c r="A372" s="709"/>
      <c r="B372" s="709"/>
      <c r="C372" s="709"/>
      <c r="D372" s="709"/>
      <c r="E372" s="709"/>
      <c r="F372" s="709"/>
      <c r="G372" s="709"/>
      <c r="H372" s="709"/>
      <c r="I372" s="709"/>
      <c r="J372" s="709"/>
      <c r="K372" s="709"/>
      <c r="L372" s="709"/>
      <c r="M372" s="709"/>
      <c r="N372" s="709"/>
      <c r="O372" s="709"/>
      <c r="P372" s="709"/>
      <c r="Q372" s="709"/>
      <c r="R372" s="709"/>
      <c r="S372" s="709"/>
      <c r="T372" s="709"/>
      <c r="U372" s="709"/>
      <c r="V372" s="709"/>
      <c r="BB372" s="3"/>
      <c r="BC372" s="3"/>
      <c r="BD372" s="3"/>
      <c r="BE372" s="3"/>
      <c r="BF372" s="3"/>
      <c r="BG372" s="890"/>
      <c r="BH372" s="890"/>
      <c r="BI372" s="890"/>
      <c r="BJ372" s="890"/>
      <c r="BK372" s="890"/>
      <c r="BL372" s="890"/>
      <c r="BM372" s="890"/>
      <c r="BN372" s="890"/>
      <c r="BO372" s="890"/>
      <c r="BP372" s="890"/>
      <c r="BQ372" s="890"/>
      <c r="BR372" s="890"/>
      <c r="BS372" s="890"/>
      <c r="BT372" s="890"/>
      <c r="BU372" s="890"/>
      <c r="BV372" s="890"/>
      <c r="BW372" s="890"/>
    </row>
    <row r="373" spans="1:75">
      <c r="A373" s="709"/>
      <c r="B373" s="709"/>
      <c r="C373" s="709"/>
      <c r="D373" s="709"/>
      <c r="E373" s="709"/>
      <c r="F373" s="709"/>
      <c r="G373" s="709"/>
      <c r="H373" s="709"/>
      <c r="I373" s="709"/>
      <c r="J373" s="709"/>
      <c r="K373" s="709"/>
      <c r="L373" s="709"/>
      <c r="M373" s="709"/>
      <c r="N373" s="709"/>
      <c r="O373" s="709"/>
      <c r="P373" s="709"/>
      <c r="Q373" s="709"/>
      <c r="R373" s="709"/>
      <c r="S373" s="709"/>
      <c r="T373" s="709"/>
      <c r="U373" s="709"/>
      <c r="V373" s="709"/>
      <c r="BB373" s="3"/>
      <c r="BC373" s="3"/>
      <c r="BD373" s="3"/>
      <c r="BE373" s="3"/>
      <c r="BF373" s="3"/>
      <c r="BG373" s="890"/>
      <c r="BH373" s="890"/>
      <c r="BI373" s="890"/>
      <c r="BJ373" s="890"/>
      <c r="BK373" s="890"/>
      <c r="BL373" s="890"/>
      <c r="BM373" s="890"/>
      <c r="BN373" s="890"/>
      <c r="BO373" s="890"/>
      <c r="BP373" s="890"/>
      <c r="BQ373" s="890"/>
      <c r="BR373" s="890"/>
      <c r="BS373" s="890"/>
      <c r="BT373" s="890"/>
      <c r="BU373" s="890"/>
      <c r="BV373" s="890"/>
      <c r="BW373" s="890"/>
    </row>
    <row r="374" spans="1:75">
      <c r="A374" s="709"/>
      <c r="B374" s="709"/>
      <c r="C374" s="709"/>
      <c r="D374" s="709"/>
      <c r="E374" s="709"/>
      <c r="F374" s="709"/>
      <c r="G374" s="709"/>
      <c r="H374" s="709"/>
      <c r="I374" s="709"/>
      <c r="J374" s="709"/>
      <c r="K374" s="709"/>
      <c r="L374" s="709"/>
      <c r="M374" s="709"/>
      <c r="N374" s="709"/>
      <c r="O374" s="709"/>
      <c r="P374" s="709"/>
      <c r="Q374" s="709"/>
      <c r="R374" s="709"/>
      <c r="S374" s="709"/>
      <c r="T374" s="709"/>
      <c r="U374" s="709"/>
      <c r="V374" s="709"/>
      <c r="BB374" s="3"/>
      <c r="BC374" s="3"/>
      <c r="BD374" s="3"/>
      <c r="BE374" s="3"/>
      <c r="BF374" s="3"/>
      <c r="BG374" s="890"/>
      <c r="BH374" s="890"/>
      <c r="BI374" s="890"/>
      <c r="BJ374" s="890"/>
      <c r="BK374" s="890"/>
      <c r="BL374" s="890"/>
      <c r="BM374" s="890"/>
      <c r="BN374" s="890"/>
      <c r="BO374" s="890"/>
      <c r="BP374" s="890"/>
      <c r="BQ374" s="890"/>
      <c r="BR374" s="890"/>
      <c r="BS374" s="890"/>
      <c r="BT374" s="890"/>
      <c r="BU374" s="890"/>
      <c r="BV374" s="890"/>
      <c r="BW374" s="890"/>
    </row>
    <row r="375" spans="1:75">
      <c r="A375" s="709"/>
      <c r="B375" s="709"/>
      <c r="C375" s="709"/>
      <c r="D375" s="709"/>
      <c r="E375" s="709"/>
      <c r="F375" s="709"/>
      <c r="G375" s="709"/>
      <c r="H375" s="709"/>
      <c r="I375" s="709"/>
      <c r="J375" s="709"/>
      <c r="K375" s="709"/>
      <c r="L375" s="709"/>
      <c r="M375" s="709"/>
      <c r="N375" s="709"/>
      <c r="O375" s="709"/>
      <c r="P375" s="709"/>
      <c r="Q375" s="709"/>
      <c r="R375" s="709"/>
      <c r="S375" s="709"/>
      <c r="T375" s="709"/>
      <c r="U375" s="709"/>
      <c r="V375" s="709"/>
      <c r="BB375" s="3"/>
      <c r="BC375" s="3"/>
      <c r="BD375" s="3"/>
      <c r="BE375" s="3"/>
      <c r="BF375" s="3"/>
      <c r="BG375" s="890"/>
      <c r="BH375" s="890"/>
      <c r="BI375" s="890"/>
      <c r="BJ375" s="890"/>
      <c r="BK375" s="890"/>
      <c r="BL375" s="890"/>
      <c r="BM375" s="890"/>
      <c r="BN375" s="890"/>
      <c r="BO375" s="890"/>
      <c r="BP375" s="890"/>
      <c r="BQ375" s="890"/>
      <c r="BR375" s="890"/>
      <c r="BS375" s="890"/>
      <c r="BT375" s="890"/>
      <c r="BU375" s="890"/>
      <c r="BV375" s="890"/>
      <c r="BW375" s="890"/>
    </row>
    <row r="376" spans="1:75">
      <c r="A376" s="709"/>
      <c r="B376" s="709"/>
      <c r="C376" s="709"/>
      <c r="D376" s="709"/>
      <c r="E376" s="709"/>
      <c r="F376" s="709"/>
      <c r="G376" s="709"/>
      <c r="H376" s="709"/>
      <c r="I376" s="709"/>
      <c r="J376" s="709"/>
      <c r="K376" s="709"/>
      <c r="L376" s="709"/>
      <c r="M376" s="709"/>
      <c r="N376" s="709"/>
      <c r="O376" s="709"/>
      <c r="P376" s="709"/>
      <c r="Q376" s="709"/>
      <c r="R376" s="709"/>
      <c r="S376" s="709"/>
      <c r="T376" s="709"/>
      <c r="U376" s="709"/>
      <c r="V376" s="709"/>
      <c r="BB376" s="3"/>
      <c r="BC376" s="3"/>
      <c r="BD376" s="3"/>
      <c r="BE376" s="3"/>
      <c r="BF376" s="3"/>
      <c r="BG376" s="890"/>
      <c r="BH376" s="890"/>
      <c r="BI376" s="890"/>
      <c r="BJ376" s="890"/>
      <c r="BK376" s="890"/>
      <c r="BL376" s="890"/>
      <c r="BM376" s="890"/>
      <c r="BN376" s="890"/>
      <c r="BO376" s="890"/>
      <c r="BP376" s="890"/>
      <c r="BQ376" s="890"/>
      <c r="BR376" s="890"/>
      <c r="BS376" s="890"/>
      <c r="BT376" s="890"/>
      <c r="BU376" s="890"/>
      <c r="BV376" s="890"/>
      <c r="BW376" s="890"/>
    </row>
    <row r="377" spans="1:75">
      <c r="A377" s="709"/>
      <c r="B377" s="709"/>
      <c r="C377" s="709"/>
      <c r="D377" s="709"/>
      <c r="E377" s="709"/>
      <c r="F377" s="709"/>
      <c r="G377" s="709"/>
      <c r="H377" s="709"/>
      <c r="I377" s="709"/>
      <c r="J377" s="709"/>
      <c r="K377" s="709"/>
      <c r="L377" s="709"/>
      <c r="M377" s="709"/>
      <c r="N377" s="709"/>
      <c r="O377" s="709"/>
      <c r="P377" s="709"/>
      <c r="Q377" s="709"/>
      <c r="R377" s="709"/>
      <c r="S377" s="709"/>
      <c r="T377" s="709"/>
      <c r="U377" s="709"/>
      <c r="V377" s="709"/>
      <c r="BB377" s="3"/>
      <c r="BC377" s="3"/>
      <c r="BD377" s="3"/>
      <c r="BE377" s="3"/>
      <c r="BF377" s="3"/>
      <c r="BG377" s="890"/>
      <c r="BH377" s="890"/>
      <c r="BI377" s="890"/>
      <c r="BJ377" s="890"/>
      <c r="BK377" s="890"/>
      <c r="BL377" s="890"/>
      <c r="BM377" s="890"/>
      <c r="BN377" s="890"/>
      <c r="BO377" s="890"/>
      <c r="BP377" s="890"/>
      <c r="BQ377" s="890"/>
      <c r="BR377" s="890"/>
      <c r="BS377" s="890"/>
      <c r="BT377" s="890"/>
      <c r="BU377" s="890"/>
      <c r="BV377" s="890"/>
      <c r="BW377" s="890"/>
    </row>
    <row r="378" spans="1:75">
      <c r="A378" s="709"/>
      <c r="B378" s="709"/>
      <c r="C378" s="709"/>
      <c r="D378" s="709"/>
      <c r="E378" s="709"/>
      <c r="F378" s="709"/>
      <c r="G378" s="709"/>
      <c r="H378" s="709"/>
      <c r="I378" s="709"/>
      <c r="J378" s="709"/>
      <c r="K378" s="709"/>
      <c r="L378" s="709"/>
      <c r="M378" s="709"/>
      <c r="N378" s="709"/>
      <c r="O378" s="709"/>
      <c r="P378" s="709"/>
      <c r="Q378" s="709"/>
      <c r="R378" s="709"/>
      <c r="S378" s="709"/>
      <c r="T378" s="709"/>
      <c r="U378" s="709"/>
      <c r="V378" s="709"/>
      <c r="BB378" s="3"/>
      <c r="BC378" s="3"/>
      <c r="BD378" s="3"/>
      <c r="BE378" s="3"/>
      <c r="BF378" s="3"/>
      <c r="BG378" s="890"/>
      <c r="BH378" s="890"/>
      <c r="BI378" s="890"/>
      <c r="BJ378" s="890"/>
      <c r="BK378" s="890"/>
      <c r="BL378" s="890"/>
      <c r="BM378" s="890"/>
      <c r="BN378" s="890"/>
      <c r="BO378" s="890"/>
      <c r="BP378" s="890"/>
      <c r="BQ378" s="890"/>
      <c r="BR378" s="890"/>
      <c r="BS378" s="890"/>
      <c r="BT378" s="890"/>
      <c r="BU378" s="890"/>
      <c r="BV378" s="890"/>
      <c r="BW378" s="890"/>
    </row>
    <row r="379" spans="1:75">
      <c r="A379" s="709"/>
      <c r="B379" s="709"/>
      <c r="C379" s="709"/>
      <c r="D379" s="709"/>
      <c r="E379" s="709"/>
      <c r="F379" s="709"/>
      <c r="G379" s="709"/>
      <c r="H379" s="709"/>
      <c r="I379" s="709"/>
      <c r="J379" s="709"/>
      <c r="K379" s="709"/>
      <c r="L379" s="709"/>
      <c r="M379" s="709"/>
      <c r="N379" s="709"/>
      <c r="O379" s="709"/>
      <c r="P379" s="709"/>
      <c r="Q379" s="709"/>
      <c r="R379" s="709"/>
      <c r="S379" s="709"/>
      <c r="T379" s="709"/>
      <c r="U379" s="709"/>
      <c r="V379" s="709"/>
      <c r="BB379" s="3"/>
      <c r="BC379" s="3"/>
      <c r="BD379" s="3"/>
      <c r="BE379" s="3"/>
      <c r="BF379" s="3"/>
      <c r="BG379" s="890"/>
      <c r="BH379" s="890"/>
      <c r="BI379" s="890"/>
      <c r="BJ379" s="890"/>
      <c r="BK379" s="890"/>
      <c r="BL379" s="890"/>
      <c r="BM379" s="890"/>
      <c r="BN379" s="890"/>
      <c r="BO379" s="890"/>
      <c r="BP379" s="890"/>
      <c r="BQ379" s="890"/>
      <c r="BR379" s="890"/>
      <c r="BS379" s="890"/>
      <c r="BT379" s="890"/>
      <c r="BU379" s="890"/>
      <c r="BV379" s="890"/>
      <c r="BW379" s="890"/>
    </row>
    <row r="380" spans="1:75">
      <c r="A380" s="709"/>
      <c r="B380" s="709"/>
      <c r="C380" s="709"/>
      <c r="D380" s="709"/>
      <c r="E380" s="709"/>
      <c r="F380" s="709"/>
      <c r="G380" s="709"/>
      <c r="H380" s="709"/>
      <c r="I380" s="709"/>
      <c r="J380" s="709"/>
      <c r="K380" s="709"/>
      <c r="L380" s="709"/>
      <c r="M380" s="709"/>
      <c r="N380" s="709"/>
      <c r="O380" s="709"/>
      <c r="P380" s="709"/>
      <c r="Q380" s="709"/>
      <c r="R380" s="709"/>
      <c r="S380" s="709"/>
      <c r="T380" s="709"/>
      <c r="U380" s="709"/>
      <c r="V380" s="709"/>
      <c r="BB380" s="3"/>
      <c r="BC380" s="3"/>
      <c r="BD380" s="3"/>
      <c r="BE380" s="3"/>
      <c r="BF380" s="3"/>
      <c r="BG380" s="890"/>
      <c r="BH380" s="890"/>
      <c r="BI380" s="890"/>
      <c r="BJ380" s="890"/>
      <c r="BK380" s="890"/>
      <c r="BL380" s="890"/>
      <c r="BM380" s="890"/>
      <c r="BN380" s="890"/>
      <c r="BO380" s="890"/>
      <c r="BP380" s="890"/>
      <c r="BQ380" s="890"/>
      <c r="BR380" s="890"/>
      <c r="BS380" s="890"/>
      <c r="BT380" s="890"/>
      <c r="BU380" s="890"/>
      <c r="BV380" s="890"/>
      <c r="BW380" s="890"/>
    </row>
    <row r="381" spans="1:75">
      <c r="A381" s="709"/>
      <c r="B381" s="709"/>
      <c r="C381" s="709"/>
      <c r="D381" s="709"/>
      <c r="E381" s="709"/>
      <c r="F381" s="709"/>
      <c r="G381" s="709"/>
      <c r="H381" s="709"/>
      <c r="I381" s="709"/>
      <c r="J381" s="709"/>
      <c r="K381" s="709"/>
      <c r="L381" s="709"/>
      <c r="M381" s="709"/>
      <c r="N381" s="709"/>
      <c r="O381" s="709"/>
      <c r="P381" s="709"/>
      <c r="Q381" s="709"/>
      <c r="R381" s="709"/>
      <c r="S381" s="709"/>
      <c r="T381" s="709"/>
      <c r="U381" s="709"/>
      <c r="V381" s="709"/>
      <c r="BB381" s="3"/>
      <c r="BC381" s="3"/>
      <c r="BD381" s="3"/>
      <c r="BE381" s="3"/>
      <c r="BF381" s="3"/>
      <c r="BG381" s="890"/>
      <c r="BH381" s="890"/>
      <c r="BI381" s="890"/>
      <c r="BJ381" s="890"/>
      <c r="BK381" s="890"/>
      <c r="BL381" s="890"/>
      <c r="BM381" s="890"/>
      <c r="BN381" s="890"/>
      <c r="BO381" s="890"/>
      <c r="BP381" s="890"/>
      <c r="BQ381" s="890"/>
      <c r="BR381" s="890"/>
      <c r="BS381" s="890"/>
      <c r="BT381" s="890"/>
      <c r="BU381" s="890"/>
      <c r="BV381" s="890"/>
      <c r="BW381" s="890"/>
    </row>
    <row r="382" spans="1:75">
      <c r="A382" s="709"/>
      <c r="B382" s="709"/>
      <c r="C382" s="709"/>
      <c r="D382" s="709"/>
      <c r="E382" s="709"/>
      <c r="F382" s="709"/>
      <c r="G382" s="709"/>
      <c r="H382" s="709"/>
      <c r="I382" s="709"/>
      <c r="J382" s="709"/>
      <c r="K382" s="709"/>
      <c r="L382" s="709"/>
      <c r="M382" s="709"/>
      <c r="N382" s="709"/>
      <c r="O382" s="709"/>
      <c r="P382" s="709"/>
      <c r="Q382" s="709"/>
      <c r="R382" s="709"/>
      <c r="S382" s="709"/>
      <c r="T382" s="709"/>
      <c r="U382" s="709"/>
      <c r="V382" s="709"/>
      <c r="BB382" s="3"/>
      <c r="BC382" s="3"/>
      <c r="BD382" s="3"/>
      <c r="BE382" s="3"/>
      <c r="BF382" s="3"/>
      <c r="BG382" s="890"/>
      <c r="BH382" s="890"/>
      <c r="BI382" s="890"/>
      <c r="BJ382" s="890"/>
      <c r="BK382" s="890"/>
      <c r="BL382" s="890"/>
      <c r="BM382" s="890"/>
      <c r="BN382" s="890"/>
      <c r="BO382" s="890"/>
      <c r="BP382" s="890"/>
      <c r="BQ382" s="890"/>
      <c r="BR382" s="890"/>
      <c r="BS382" s="890"/>
      <c r="BT382" s="890"/>
      <c r="BU382" s="890"/>
      <c r="BV382" s="890"/>
      <c r="BW382" s="890"/>
    </row>
    <row r="383" spans="1:75">
      <c r="A383" s="709"/>
      <c r="B383" s="709"/>
      <c r="C383" s="709"/>
      <c r="D383" s="709"/>
      <c r="E383" s="709"/>
      <c r="F383" s="709"/>
      <c r="G383" s="709"/>
      <c r="H383" s="709"/>
      <c r="I383" s="709"/>
      <c r="J383" s="709"/>
      <c r="K383" s="709"/>
      <c r="L383" s="709"/>
      <c r="M383" s="709"/>
      <c r="N383" s="709"/>
      <c r="O383" s="709"/>
      <c r="P383" s="709"/>
      <c r="Q383" s="709"/>
      <c r="R383" s="709"/>
      <c r="S383" s="709"/>
      <c r="T383" s="709"/>
      <c r="U383" s="709"/>
      <c r="V383" s="709"/>
      <c r="BB383" s="3"/>
      <c r="BC383" s="3"/>
      <c r="BD383" s="3"/>
      <c r="BE383" s="3"/>
      <c r="BF383" s="3"/>
      <c r="BG383" s="890"/>
      <c r="BH383" s="890"/>
      <c r="BI383" s="890"/>
      <c r="BJ383" s="890"/>
      <c r="BK383" s="890"/>
      <c r="BL383" s="890"/>
      <c r="BM383" s="890"/>
      <c r="BN383" s="890"/>
      <c r="BO383" s="890"/>
      <c r="BP383" s="890"/>
      <c r="BQ383" s="890"/>
      <c r="BR383" s="890"/>
      <c r="BS383" s="890"/>
      <c r="BT383" s="890"/>
      <c r="BU383" s="890"/>
      <c r="BV383" s="890"/>
      <c r="BW383" s="890"/>
    </row>
    <row r="384" spans="1:75">
      <c r="A384" s="709"/>
      <c r="B384" s="709"/>
      <c r="C384" s="709"/>
      <c r="D384" s="709"/>
      <c r="E384" s="709"/>
      <c r="F384" s="709"/>
      <c r="G384" s="709"/>
      <c r="H384" s="709"/>
      <c r="I384" s="709"/>
      <c r="J384" s="709"/>
      <c r="K384" s="709"/>
      <c r="L384" s="709"/>
      <c r="M384" s="709"/>
      <c r="N384" s="709"/>
      <c r="O384" s="709"/>
      <c r="P384" s="709"/>
      <c r="Q384" s="709"/>
      <c r="R384" s="709"/>
      <c r="S384" s="709"/>
      <c r="T384" s="709"/>
      <c r="U384" s="709"/>
      <c r="V384" s="709"/>
      <c r="BB384" s="3"/>
      <c r="BC384" s="3"/>
      <c r="BD384" s="3"/>
      <c r="BE384" s="3"/>
      <c r="BF384" s="3"/>
      <c r="BG384" s="890"/>
      <c r="BH384" s="890"/>
      <c r="BI384" s="890"/>
      <c r="BJ384" s="890"/>
      <c r="BK384" s="890"/>
      <c r="BL384" s="890"/>
      <c r="BM384" s="890"/>
      <c r="BN384" s="890"/>
      <c r="BO384" s="890"/>
      <c r="BP384" s="890"/>
      <c r="BQ384" s="890"/>
      <c r="BR384" s="890"/>
      <c r="BS384" s="890"/>
      <c r="BT384" s="890"/>
      <c r="BU384" s="890"/>
      <c r="BV384" s="890"/>
      <c r="BW384" s="890"/>
    </row>
    <row r="385" spans="1:75">
      <c r="A385" s="709"/>
      <c r="B385" s="709"/>
      <c r="C385" s="709"/>
      <c r="D385" s="709"/>
      <c r="E385" s="709"/>
      <c r="F385" s="709"/>
      <c r="G385" s="709"/>
      <c r="H385" s="709"/>
      <c r="I385" s="709"/>
      <c r="J385" s="709"/>
      <c r="K385" s="709"/>
      <c r="L385" s="709"/>
      <c r="M385" s="709"/>
      <c r="N385" s="709"/>
      <c r="O385" s="709"/>
      <c r="P385" s="709"/>
      <c r="Q385" s="709"/>
      <c r="R385" s="709"/>
      <c r="S385" s="709"/>
      <c r="T385" s="709"/>
      <c r="U385" s="709"/>
      <c r="V385" s="709"/>
      <c r="BB385" s="3"/>
      <c r="BC385" s="3"/>
      <c r="BD385" s="3"/>
      <c r="BE385" s="3"/>
      <c r="BF385" s="3"/>
      <c r="BG385" s="890"/>
      <c r="BH385" s="890"/>
      <c r="BI385" s="890"/>
      <c r="BJ385" s="890"/>
      <c r="BK385" s="890"/>
      <c r="BL385" s="890"/>
      <c r="BM385" s="890"/>
      <c r="BN385" s="890"/>
      <c r="BO385" s="890"/>
      <c r="BP385" s="890"/>
      <c r="BQ385" s="890"/>
      <c r="BR385" s="890"/>
      <c r="BS385" s="890"/>
      <c r="BT385" s="890"/>
      <c r="BU385" s="890"/>
      <c r="BV385" s="890"/>
      <c r="BW385" s="890"/>
    </row>
    <row r="386" spans="1:75">
      <c r="A386" s="709"/>
      <c r="B386" s="709"/>
      <c r="C386" s="709"/>
      <c r="D386" s="709"/>
      <c r="E386" s="709"/>
      <c r="F386" s="709"/>
      <c r="G386" s="709"/>
      <c r="H386" s="709"/>
      <c r="I386" s="709"/>
      <c r="J386" s="709"/>
      <c r="K386" s="709"/>
      <c r="L386" s="709"/>
      <c r="M386" s="709"/>
      <c r="N386" s="709"/>
      <c r="O386" s="709"/>
      <c r="P386" s="709"/>
      <c r="Q386" s="709"/>
      <c r="R386" s="709"/>
      <c r="S386" s="709"/>
      <c r="T386" s="709"/>
      <c r="U386" s="709"/>
      <c r="V386" s="709"/>
      <c r="BB386" s="3"/>
      <c r="BC386" s="3"/>
      <c r="BD386" s="3"/>
      <c r="BE386" s="3"/>
      <c r="BF386" s="3"/>
      <c r="BG386" s="890"/>
      <c r="BH386" s="890"/>
      <c r="BI386" s="890"/>
      <c r="BJ386" s="890"/>
      <c r="BK386" s="890"/>
      <c r="BL386" s="890"/>
      <c r="BM386" s="890"/>
      <c r="BN386" s="890"/>
      <c r="BO386" s="890"/>
      <c r="BP386" s="890"/>
      <c r="BQ386" s="890"/>
      <c r="BR386" s="890"/>
      <c r="BS386" s="890"/>
      <c r="BT386" s="890"/>
      <c r="BU386" s="890"/>
      <c r="BV386" s="890"/>
      <c r="BW386" s="890"/>
    </row>
    <row r="387" spans="1:75">
      <c r="A387" s="709"/>
      <c r="B387" s="709"/>
      <c r="C387" s="709"/>
      <c r="D387" s="709"/>
      <c r="E387" s="709"/>
      <c r="F387" s="709"/>
      <c r="G387" s="709"/>
      <c r="H387" s="709"/>
      <c r="I387" s="709"/>
      <c r="J387" s="709"/>
      <c r="K387" s="709"/>
      <c r="L387" s="709"/>
      <c r="M387" s="709"/>
      <c r="N387" s="709"/>
      <c r="O387" s="709"/>
      <c r="P387" s="709"/>
      <c r="Q387" s="709"/>
      <c r="R387" s="709"/>
      <c r="S387" s="709"/>
      <c r="T387" s="709"/>
      <c r="U387" s="709"/>
      <c r="V387" s="709"/>
      <c r="BB387" s="3"/>
      <c r="BC387" s="3"/>
      <c r="BD387" s="3"/>
      <c r="BE387" s="3"/>
      <c r="BF387" s="3"/>
      <c r="BG387" s="890"/>
      <c r="BH387" s="890"/>
      <c r="BI387" s="890"/>
      <c r="BJ387" s="890"/>
      <c r="BK387" s="890"/>
      <c r="BL387" s="890"/>
      <c r="BM387" s="890"/>
      <c r="BN387" s="890"/>
      <c r="BO387" s="890"/>
      <c r="BP387" s="890"/>
      <c r="BQ387" s="890"/>
      <c r="BR387" s="890"/>
      <c r="BS387" s="890"/>
      <c r="BT387" s="890"/>
      <c r="BU387" s="890"/>
      <c r="BV387" s="890"/>
      <c r="BW387" s="890"/>
    </row>
    <row r="388" spans="1:75">
      <c r="A388" s="709"/>
      <c r="B388" s="709"/>
      <c r="C388" s="709"/>
      <c r="D388" s="709"/>
      <c r="E388" s="709"/>
      <c r="F388" s="709"/>
      <c r="G388" s="709"/>
      <c r="H388" s="709"/>
      <c r="I388" s="709"/>
      <c r="J388" s="709"/>
      <c r="K388" s="709"/>
      <c r="L388" s="709"/>
      <c r="M388" s="709"/>
      <c r="N388" s="709"/>
      <c r="O388" s="709"/>
      <c r="P388" s="709"/>
      <c r="Q388" s="709"/>
      <c r="R388" s="709"/>
      <c r="S388" s="709"/>
      <c r="T388" s="709"/>
      <c r="U388" s="709"/>
      <c r="V388" s="709"/>
      <c r="BB388" s="3"/>
      <c r="BC388" s="3"/>
      <c r="BD388" s="3"/>
      <c r="BE388" s="3"/>
      <c r="BF388" s="3"/>
      <c r="BG388" s="890"/>
      <c r="BH388" s="890"/>
      <c r="BI388" s="890"/>
      <c r="BJ388" s="890"/>
      <c r="BK388" s="890"/>
      <c r="BL388" s="890"/>
      <c r="BM388" s="890"/>
      <c r="BN388" s="890"/>
      <c r="BO388" s="890"/>
      <c r="BP388" s="890"/>
      <c r="BQ388" s="890"/>
      <c r="BR388" s="890"/>
      <c r="BS388" s="890"/>
      <c r="BT388" s="890"/>
      <c r="BU388" s="890"/>
      <c r="BV388" s="890"/>
      <c r="BW388" s="890"/>
    </row>
    <row r="389" spans="1:75">
      <c r="A389" s="709"/>
      <c r="B389" s="709"/>
      <c r="C389" s="709"/>
      <c r="D389" s="709"/>
      <c r="E389" s="709"/>
      <c r="F389" s="709"/>
      <c r="G389" s="709"/>
      <c r="H389" s="709"/>
      <c r="I389" s="709"/>
      <c r="J389" s="709"/>
      <c r="K389" s="709"/>
      <c r="L389" s="709"/>
      <c r="M389" s="709"/>
      <c r="N389" s="709"/>
      <c r="O389" s="709"/>
      <c r="P389" s="709"/>
      <c r="Q389" s="709"/>
      <c r="R389" s="709"/>
      <c r="S389" s="709"/>
      <c r="T389" s="709"/>
      <c r="U389" s="709"/>
      <c r="V389" s="709"/>
      <c r="BB389" s="3"/>
      <c r="BC389" s="3"/>
      <c r="BD389" s="3"/>
      <c r="BE389" s="3"/>
      <c r="BF389" s="3"/>
      <c r="BG389" s="890"/>
      <c r="BH389" s="890"/>
      <c r="BI389" s="890"/>
      <c r="BJ389" s="890"/>
      <c r="BK389" s="890"/>
      <c r="BL389" s="890"/>
      <c r="BM389" s="890"/>
      <c r="BN389" s="890"/>
      <c r="BO389" s="890"/>
      <c r="BP389" s="890"/>
      <c r="BQ389" s="890"/>
      <c r="BR389" s="890"/>
      <c r="BS389" s="890"/>
      <c r="BT389" s="890"/>
      <c r="BU389" s="890"/>
      <c r="BV389" s="890"/>
      <c r="BW389" s="890"/>
    </row>
    <row r="390" spans="1:75">
      <c r="A390" s="709"/>
      <c r="B390" s="709"/>
      <c r="C390" s="709"/>
      <c r="D390" s="709"/>
      <c r="E390" s="709"/>
      <c r="F390" s="709"/>
      <c r="G390" s="709"/>
      <c r="H390" s="709"/>
      <c r="I390" s="709"/>
      <c r="J390" s="709"/>
      <c r="K390" s="709"/>
      <c r="L390" s="709"/>
      <c r="M390" s="709"/>
      <c r="N390" s="709"/>
      <c r="O390" s="709"/>
      <c r="P390" s="709"/>
      <c r="Q390" s="709"/>
      <c r="R390" s="709"/>
      <c r="S390" s="709"/>
      <c r="T390" s="709"/>
      <c r="U390" s="709"/>
      <c r="V390" s="709"/>
      <c r="BB390" s="3"/>
      <c r="BC390" s="3"/>
      <c r="BD390" s="3"/>
      <c r="BE390" s="3"/>
      <c r="BF390" s="3"/>
      <c r="BG390" s="890"/>
      <c r="BH390" s="890"/>
      <c r="BI390" s="890"/>
      <c r="BJ390" s="890"/>
      <c r="BK390" s="890"/>
      <c r="BL390" s="890"/>
      <c r="BM390" s="890"/>
      <c r="BN390" s="890"/>
      <c r="BO390" s="890"/>
      <c r="BP390" s="890"/>
      <c r="BQ390" s="890"/>
      <c r="BR390" s="890"/>
      <c r="BS390" s="890"/>
      <c r="BT390" s="890"/>
      <c r="BU390" s="890"/>
      <c r="BV390" s="890"/>
      <c r="BW390" s="890"/>
    </row>
    <row r="391" spans="1:75">
      <c r="A391" s="709"/>
      <c r="B391" s="709"/>
      <c r="C391" s="709"/>
      <c r="D391" s="709"/>
      <c r="E391" s="709"/>
      <c r="F391" s="709"/>
      <c r="G391" s="709"/>
      <c r="H391" s="709"/>
      <c r="I391" s="709"/>
      <c r="J391" s="709"/>
      <c r="K391" s="709"/>
      <c r="L391" s="709"/>
      <c r="M391" s="709"/>
      <c r="N391" s="709"/>
      <c r="O391" s="709"/>
      <c r="P391" s="709"/>
      <c r="Q391" s="709"/>
      <c r="R391" s="709"/>
      <c r="S391" s="709"/>
      <c r="T391" s="709"/>
      <c r="U391" s="709"/>
      <c r="V391" s="709"/>
      <c r="BB391" s="3"/>
      <c r="BC391" s="3"/>
      <c r="BD391" s="3"/>
      <c r="BE391" s="3"/>
      <c r="BF391" s="3"/>
      <c r="BG391" s="890"/>
      <c r="BH391" s="890"/>
      <c r="BI391" s="890"/>
      <c r="BJ391" s="890"/>
      <c r="BK391" s="890"/>
      <c r="BL391" s="890"/>
      <c r="BM391" s="890"/>
      <c r="BN391" s="890"/>
      <c r="BO391" s="890"/>
      <c r="BP391" s="890"/>
      <c r="BQ391" s="890"/>
      <c r="BR391" s="890"/>
      <c r="BS391" s="890"/>
      <c r="BT391" s="890"/>
      <c r="BU391" s="890"/>
      <c r="BV391" s="890"/>
      <c r="BW391" s="890"/>
    </row>
    <row r="392" spans="1:75">
      <c r="A392" s="709"/>
      <c r="B392" s="709"/>
      <c r="C392" s="709"/>
      <c r="D392" s="709"/>
      <c r="E392" s="709"/>
      <c r="F392" s="709"/>
      <c r="G392" s="709"/>
      <c r="H392" s="709"/>
      <c r="I392" s="709"/>
      <c r="J392" s="709"/>
      <c r="K392" s="709"/>
      <c r="L392" s="709"/>
      <c r="M392" s="709"/>
      <c r="N392" s="709"/>
      <c r="O392" s="709"/>
      <c r="P392" s="709"/>
      <c r="Q392" s="709"/>
      <c r="R392" s="709"/>
      <c r="S392" s="709"/>
      <c r="T392" s="709"/>
      <c r="U392" s="709"/>
      <c r="V392" s="709"/>
      <c r="BB392" s="3"/>
      <c r="BC392" s="3"/>
      <c r="BD392" s="3"/>
      <c r="BE392" s="3"/>
      <c r="BF392" s="3"/>
      <c r="BG392" s="890"/>
      <c r="BH392" s="890"/>
      <c r="BI392" s="890"/>
      <c r="BJ392" s="890"/>
      <c r="BK392" s="890"/>
      <c r="BL392" s="890"/>
      <c r="BM392" s="890"/>
      <c r="BN392" s="890"/>
      <c r="BO392" s="890"/>
      <c r="BP392" s="890"/>
      <c r="BQ392" s="890"/>
      <c r="BR392" s="890"/>
      <c r="BS392" s="890"/>
      <c r="BT392" s="890"/>
      <c r="BU392" s="890"/>
      <c r="BV392" s="890"/>
      <c r="BW392" s="890"/>
    </row>
    <row r="393" spans="1:75">
      <c r="A393" s="709"/>
      <c r="B393" s="709"/>
      <c r="C393" s="709"/>
      <c r="D393" s="709"/>
      <c r="E393" s="709"/>
      <c r="F393" s="709"/>
      <c r="G393" s="709"/>
      <c r="H393" s="709"/>
      <c r="I393" s="709"/>
      <c r="J393" s="709"/>
      <c r="K393" s="709"/>
      <c r="L393" s="709"/>
      <c r="M393" s="709"/>
      <c r="N393" s="709"/>
      <c r="O393" s="709"/>
      <c r="P393" s="709"/>
      <c r="Q393" s="709"/>
      <c r="R393" s="709"/>
      <c r="S393" s="709"/>
      <c r="T393" s="709"/>
      <c r="U393" s="709"/>
      <c r="V393" s="709"/>
      <c r="BB393" s="3"/>
      <c r="BC393" s="3"/>
      <c r="BD393" s="3"/>
      <c r="BE393" s="3"/>
      <c r="BF393" s="3"/>
      <c r="BG393" s="890"/>
      <c r="BH393" s="890"/>
      <c r="BI393" s="890"/>
      <c r="BJ393" s="890"/>
      <c r="BK393" s="890"/>
      <c r="BL393" s="890"/>
      <c r="BM393" s="890"/>
      <c r="BN393" s="890"/>
      <c r="BO393" s="890"/>
      <c r="BP393" s="890"/>
      <c r="BQ393" s="890"/>
      <c r="BR393" s="890"/>
      <c r="BS393" s="890"/>
      <c r="BT393" s="890"/>
      <c r="BU393" s="890"/>
      <c r="BV393" s="890"/>
      <c r="BW393" s="890"/>
    </row>
    <row r="394" spans="1:75">
      <c r="A394" s="709"/>
      <c r="B394" s="709"/>
      <c r="C394" s="709"/>
      <c r="D394" s="709"/>
      <c r="E394" s="709"/>
      <c r="F394" s="709"/>
      <c r="G394" s="709"/>
      <c r="H394" s="709"/>
      <c r="I394" s="709"/>
      <c r="J394" s="709"/>
      <c r="K394" s="709"/>
      <c r="L394" s="709"/>
      <c r="M394" s="709"/>
      <c r="N394" s="709"/>
      <c r="O394" s="709"/>
      <c r="P394" s="709"/>
      <c r="Q394" s="709"/>
      <c r="R394" s="709"/>
      <c r="S394" s="709"/>
      <c r="T394" s="709"/>
      <c r="U394" s="709"/>
      <c r="V394" s="709"/>
      <c r="BB394" s="3"/>
      <c r="BC394" s="3"/>
      <c r="BD394" s="3"/>
      <c r="BE394" s="3"/>
      <c r="BF394" s="3"/>
      <c r="BG394" s="890"/>
      <c r="BH394" s="890"/>
      <c r="BI394" s="890"/>
      <c r="BJ394" s="890"/>
      <c r="BK394" s="890"/>
      <c r="BL394" s="890"/>
      <c r="BM394" s="890"/>
      <c r="BN394" s="890"/>
      <c r="BO394" s="890"/>
      <c r="BP394" s="890"/>
      <c r="BQ394" s="890"/>
      <c r="BR394" s="890"/>
      <c r="BS394" s="890"/>
      <c r="BT394" s="890"/>
      <c r="BU394" s="890"/>
      <c r="BV394" s="890"/>
      <c r="BW394" s="890"/>
    </row>
    <row r="395" spans="1:75">
      <c r="A395" s="709"/>
      <c r="B395" s="709"/>
      <c r="C395" s="709"/>
      <c r="D395" s="709"/>
      <c r="E395" s="709"/>
      <c r="F395" s="709"/>
      <c r="G395" s="709"/>
      <c r="H395" s="709"/>
      <c r="I395" s="709"/>
      <c r="J395" s="709"/>
      <c r="K395" s="709"/>
      <c r="L395" s="709"/>
      <c r="M395" s="709"/>
      <c r="N395" s="709"/>
      <c r="O395" s="709"/>
      <c r="P395" s="709"/>
      <c r="Q395" s="709"/>
      <c r="R395" s="709"/>
      <c r="S395" s="709"/>
      <c r="T395" s="709"/>
      <c r="U395" s="709"/>
      <c r="V395" s="709"/>
      <c r="BB395" s="3"/>
      <c r="BC395" s="3"/>
      <c r="BD395" s="3"/>
      <c r="BE395" s="3"/>
      <c r="BF395" s="3"/>
      <c r="BG395" s="890"/>
      <c r="BH395" s="890"/>
      <c r="BI395" s="890"/>
      <c r="BJ395" s="890"/>
      <c r="BK395" s="890"/>
      <c r="BL395" s="890"/>
      <c r="BM395" s="890"/>
      <c r="BN395" s="890"/>
      <c r="BO395" s="890"/>
      <c r="BP395" s="890"/>
      <c r="BQ395" s="890"/>
      <c r="BR395" s="890"/>
      <c r="BS395" s="890"/>
      <c r="BT395" s="890"/>
      <c r="BU395" s="890"/>
      <c r="BV395" s="890"/>
      <c r="BW395" s="890"/>
    </row>
    <row r="396" spans="1:75">
      <c r="A396" s="709"/>
      <c r="B396" s="709"/>
      <c r="C396" s="709"/>
      <c r="D396" s="709"/>
      <c r="E396" s="709"/>
      <c r="F396" s="709"/>
      <c r="G396" s="709"/>
      <c r="H396" s="709"/>
      <c r="I396" s="709"/>
      <c r="J396" s="709"/>
      <c r="K396" s="709"/>
      <c r="L396" s="709"/>
      <c r="M396" s="709"/>
      <c r="N396" s="709"/>
      <c r="O396" s="709"/>
      <c r="P396" s="709"/>
      <c r="Q396" s="709"/>
      <c r="R396" s="709"/>
      <c r="S396" s="709"/>
      <c r="T396" s="709"/>
      <c r="U396" s="709"/>
      <c r="V396" s="709"/>
      <c r="BB396" s="3"/>
      <c r="BC396" s="3"/>
      <c r="BD396" s="3"/>
      <c r="BE396" s="3"/>
      <c r="BF396" s="3"/>
      <c r="BG396" s="890"/>
      <c r="BH396" s="890"/>
      <c r="BI396" s="890"/>
      <c r="BJ396" s="890"/>
      <c r="BK396" s="890"/>
      <c r="BL396" s="890"/>
      <c r="BM396" s="890"/>
      <c r="BN396" s="890"/>
      <c r="BO396" s="890"/>
      <c r="BP396" s="890"/>
      <c r="BQ396" s="890"/>
      <c r="BR396" s="890"/>
      <c r="BS396" s="890"/>
      <c r="BT396" s="890"/>
      <c r="BU396" s="890"/>
      <c r="BV396" s="890"/>
      <c r="BW396" s="890"/>
    </row>
    <row r="397" spans="1:75">
      <c r="A397" s="709"/>
      <c r="B397" s="709"/>
      <c r="C397" s="709"/>
      <c r="D397" s="709"/>
      <c r="E397" s="709"/>
      <c r="F397" s="709"/>
      <c r="G397" s="709"/>
      <c r="H397" s="709"/>
      <c r="I397" s="709"/>
      <c r="J397" s="709"/>
      <c r="K397" s="709"/>
      <c r="L397" s="709"/>
      <c r="M397" s="709"/>
      <c r="N397" s="709"/>
      <c r="O397" s="709"/>
      <c r="P397" s="709"/>
      <c r="Q397" s="709"/>
      <c r="R397" s="709"/>
      <c r="S397" s="709"/>
      <c r="T397" s="709"/>
      <c r="U397" s="709"/>
      <c r="V397" s="709"/>
      <c r="BB397" s="3"/>
      <c r="BC397" s="3"/>
      <c r="BD397" s="3"/>
      <c r="BE397" s="3"/>
      <c r="BF397" s="3"/>
      <c r="BG397" s="890"/>
      <c r="BH397" s="890"/>
      <c r="BI397" s="890"/>
      <c r="BJ397" s="890"/>
      <c r="BK397" s="890"/>
      <c r="BL397" s="890"/>
      <c r="BM397" s="890"/>
      <c r="BN397" s="890"/>
      <c r="BO397" s="890"/>
      <c r="BP397" s="890"/>
      <c r="BQ397" s="890"/>
      <c r="BR397" s="890"/>
      <c r="BS397" s="890"/>
      <c r="BT397" s="890"/>
      <c r="BU397" s="890"/>
      <c r="BV397" s="890"/>
      <c r="BW397" s="890"/>
    </row>
    <row r="398" spans="1:75">
      <c r="A398" s="709"/>
      <c r="B398" s="709"/>
      <c r="C398" s="709"/>
      <c r="D398" s="709"/>
      <c r="E398" s="709"/>
      <c r="F398" s="709"/>
      <c r="G398" s="709"/>
      <c r="H398" s="709"/>
      <c r="I398" s="709"/>
      <c r="J398" s="709"/>
      <c r="K398" s="709"/>
      <c r="L398" s="709"/>
      <c r="M398" s="709"/>
      <c r="N398" s="709"/>
      <c r="O398" s="709"/>
      <c r="P398" s="709"/>
      <c r="Q398" s="709"/>
      <c r="R398" s="709"/>
      <c r="S398" s="709"/>
      <c r="T398" s="709"/>
      <c r="U398" s="709"/>
      <c r="V398" s="709"/>
      <c r="BB398" s="3"/>
      <c r="BC398" s="3"/>
      <c r="BD398" s="3"/>
      <c r="BE398" s="3"/>
      <c r="BF398" s="3"/>
      <c r="BG398" s="890"/>
      <c r="BH398" s="890"/>
      <c r="BI398" s="890"/>
      <c r="BJ398" s="890"/>
      <c r="BK398" s="890"/>
      <c r="BL398" s="890"/>
      <c r="BM398" s="890"/>
      <c r="BN398" s="890"/>
      <c r="BO398" s="890"/>
      <c r="BP398" s="890"/>
      <c r="BQ398" s="890"/>
      <c r="BR398" s="890"/>
      <c r="BS398" s="890"/>
      <c r="BT398" s="890"/>
      <c r="BU398" s="890"/>
      <c r="BV398" s="890"/>
      <c r="BW398" s="890"/>
    </row>
    <row r="399" spans="1:75">
      <c r="A399" s="709"/>
      <c r="B399" s="709"/>
      <c r="C399" s="709"/>
      <c r="D399" s="709"/>
      <c r="E399" s="709"/>
      <c r="F399" s="709"/>
      <c r="G399" s="709"/>
      <c r="H399" s="709"/>
      <c r="I399" s="709"/>
      <c r="J399" s="709"/>
      <c r="K399" s="709"/>
      <c r="L399" s="709"/>
      <c r="M399" s="709"/>
      <c r="N399" s="709"/>
      <c r="O399" s="709"/>
      <c r="P399" s="709"/>
      <c r="Q399" s="709"/>
      <c r="R399" s="709"/>
      <c r="S399" s="709"/>
      <c r="T399" s="709"/>
      <c r="U399" s="709"/>
      <c r="V399" s="709"/>
      <c r="BB399" s="3"/>
      <c r="BC399" s="3"/>
      <c r="BD399" s="3"/>
      <c r="BE399" s="3"/>
      <c r="BF399" s="3"/>
      <c r="BG399" s="890"/>
      <c r="BH399" s="890"/>
      <c r="BI399" s="890"/>
      <c r="BJ399" s="890"/>
      <c r="BK399" s="890"/>
      <c r="BL399" s="890"/>
      <c r="BM399" s="890"/>
      <c r="BN399" s="890"/>
      <c r="BO399" s="890"/>
      <c r="BP399" s="890"/>
      <c r="BQ399" s="890"/>
      <c r="BR399" s="890"/>
      <c r="BS399" s="890"/>
      <c r="BT399" s="890"/>
      <c r="BU399" s="890"/>
      <c r="BV399" s="890"/>
      <c r="BW399" s="890"/>
    </row>
    <row r="400" spans="1:75">
      <c r="A400" s="709"/>
      <c r="B400" s="709"/>
      <c r="C400" s="709"/>
      <c r="D400" s="709"/>
      <c r="E400" s="709"/>
      <c r="F400" s="709"/>
      <c r="G400" s="709"/>
      <c r="H400" s="709"/>
      <c r="I400" s="709"/>
      <c r="J400" s="709"/>
      <c r="K400" s="709"/>
      <c r="L400" s="709"/>
      <c r="M400" s="709"/>
      <c r="N400" s="709"/>
      <c r="O400" s="709"/>
      <c r="P400" s="709"/>
      <c r="Q400" s="709"/>
      <c r="R400" s="709"/>
      <c r="S400" s="709"/>
      <c r="T400" s="709"/>
      <c r="U400" s="709"/>
      <c r="V400" s="709"/>
      <c r="BB400" s="3"/>
      <c r="BC400" s="3"/>
      <c r="BD400" s="3"/>
      <c r="BE400" s="3"/>
      <c r="BF400" s="3"/>
      <c r="BG400" s="890"/>
      <c r="BH400" s="890"/>
      <c r="BI400" s="890"/>
      <c r="BJ400" s="890"/>
      <c r="BK400" s="890"/>
      <c r="BL400" s="890"/>
      <c r="BM400" s="890"/>
      <c r="BN400" s="890"/>
      <c r="BO400" s="890"/>
      <c r="BP400" s="890"/>
      <c r="BQ400" s="890"/>
      <c r="BR400" s="890"/>
      <c r="BS400" s="890"/>
      <c r="BT400" s="890"/>
      <c r="BU400" s="890"/>
      <c r="BV400" s="890"/>
      <c r="BW400" s="890"/>
    </row>
    <row r="401" spans="1:75">
      <c r="A401" s="709"/>
      <c r="B401" s="709"/>
      <c r="C401" s="709"/>
      <c r="D401" s="709"/>
      <c r="E401" s="709"/>
      <c r="F401" s="709"/>
      <c r="G401" s="709"/>
      <c r="H401" s="709"/>
      <c r="I401" s="709"/>
      <c r="J401" s="709"/>
      <c r="K401" s="709"/>
      <c r="L401" s="709"/>
      <c r="M401" s="709"/>
      <c r="N401" s="709"/>
      <c r="O401" s="709"/>
      <c r="P401" s="709"/>
      <c r="Q401" s="709"/>
      <c r="R401" s="709"/>
      <c r="S401" s="709"/>
      <c r="T401" s="709"/>
      <c r="U401" s="709"/>
      <c r="V401" s="709"/>
      <c r="BB401" s="3"/>
      <c r="BC401" s="3"/>
      <c r="BD401" s="3"/>
      <c r="BE401" s="3"/>
      <c r="BF401" s="3"/>
      <c r="BG401" s="890"/>
      <c r="BH401" s="890"/>
      <c r="BI401" s="890"/>
      <c r="BJ401" s="890"/>
      <c r="BK401" s="890"/>
      <c r="BL401" s="890"/>
      <c r="BM401" s="890"/>
      <c r="BN401" s="890"/>
      <c r="BO401" s="890"/>
      <c r="BP401" s="890"/>
      <c r="BQ401" s="890"/>
      <c r="BR401" s="890"/>
      <c r="BS401" s="890"/>
      <c r="BT401" s="890"/>
      <c r="BU401" s="890"/>
      <c r="BV401" s="890"/>
      <c r="BW401" s="890"/>
    </row>
    <row r="402" spans="1:75">
      <c r="A402" s="709"/>
      <c r="B402" s="709"/>
      <c r="C402" s="709"/>
      <c r="D402" s="709"/>
      <c r="E402" s="709"/>
      <c r="F402" s="709"/>
      <c r="G402" s="709"/>
      <c r="H402" s="709"/>
      <c r="I402" s="709"/>
      <c r="J402" s="709"/>
      <c r="K402" s="709"/>
      <c r="L402" s="709"/>
      <c r="M402" s="709"/>
      <c r="N402" s="709"/>
      <c r="O402" s="709"/>
      <c r="P402" s="709"/>
      <c r="Q402" s="709"/>
      <c r="R402" s="709"/>
      <c r="S402" s="709"/>
      <c r="T402" s="709"/>
      <c r="U402" s="709"/>
      <c r="V402" s="709"/>
      <c r="BB402" s="3"/>
      <c r="BC402" s="3"/>
      <c r="BD402" s="3"/>
      <c r="BE402" s="3"/>
      <c r="BF402" s="3"/>
      <c r="BG402" s="890"/>
      <c r="BH402" s="890"/>
      <c r="BI402" s="890"/>
      <c r="BJ402" s="890"/>
      <c r="BK402" s="890"/>
      <c r="BL402" s="890"/>
      <c r="BM402" s="890"/>
      <c r="BN402" s="890"/>
      <c r="BO402" s="890"/>
      <c r="BP402" s="890"/>
      <c r="BQ402" s="890"/>
      <c r="BR402" s="890"/>
      <c r="BS402" s="890"/>
      <c r="BT402" s="890"/>
      <c r="BU402" s="890"/>
      <c r="BV402" s="890"/>
      <c r="BW402" s="890"/>
    </row>
    <row r="403" spans="1:75">
      <c r="A403" s="709"/>
      <c r="B403" s="709"/>
      <c r="C403" s="709"/>
      <c r="D403" s="709"/>
      <c r="E403" s="709"/>
      <c r="F403" s="709"/>
      <c r="G403" s="709"/>
      <c r="H403" s="709"/>
      <c r="I403" s="709"/>
      <c r="J403" s="709"/>
      <c r="K403" s="709"/>
      <c r="L403" s="709"/>
      <c r="M403" s="709"/>
      <c r="N403" s="709"/>
      <c r="O403" s="709"/>
      <c r="P403" s="709"/>
      <c r="Q403" s="709"/>
      <c r="R403" s="709"/>
      <c r="S403" s="709"/>
      <c r="T403" s="709"/>
      <c r="U403" s="709"/>
      <c r="V403" s="709"/>
      <c r="BB403" s="3"/>
      <c r="BC403" s="3"/>
      <c r="BD403" s="3"/>
      <c r="BE403" s="3"/>
      <c r="BF403" s="3"/>
      <c r="BG403" s="890"/>
      <c r="BH403" s="890"/>
      <c r="BI403" s="890"/>
      <c r="BJ403" s="890"/>
      <c r="BK403" s="890"/>
      <c r="BL403" s="890"/>
      <c r="BM403" s="890"/>
      <c r="BN403" s="890"/>
      <c r="BO403" s="890"/>
      <c r="BP403" s="890"/>
      <c r="BQ403" s="890"/>
      <c r="BR403" s="890"/>
      <c r="BS403" s="890"/>
      <c r="BT403" s="890"/>
      <c r="BU403" s="890"/>
      <c r="BV403" s="890"/>
      <c r="BW403" s="890"/>
    </row>
    <row r="404" spans="1:75">
      <c r="A404" s="709"/>
      <c r="B404" s="709"/>
      <c r="C404" s="709"/>
      <c r="D404" s="709"/>
      <c r="E404" s="709"/>
      <c r="F404" s="709"/>
      <c r="G404" s="709"/>
      <c r="H404" s="709"/>
      <c r="I404" s="709"/>
      <c r="J404" s="709"/>
      <c r="K404" s="709"/>
      <c r="L404" s="709"/>
      <c r="M404" s="709"/>
      <c r="N404" s="709"/>
      <c r="O404" s="709"/>
      <c r="P404" s="709"/>
      <c r="Q404" s="709"/>
      <c r="R404" s="709"/>
      <c r="S404" s="709"/>
      <c r="T404" s="709"/>
      <c r="U404" s="709"/>
      <c r="V404" s="709"/>
      <c r="BB404" s="3"/>
      <c r="BC404" s="3"/>
      <c r="BD404" s="3"/>
      <c r="BE404" s="3"/>
      <c r="BF404" s="3"/>
      <c r="BG404" s="890"/>
      <c r="BH404" s="890"/>
      <c r="BI404" s="890"/>
      <c r="BJ404" s="890"/>
      <c r="BK404" s="890"/>
      <c r="BL404" s="890"/>
      <c r="BM404" s="890"/>
      <c r="BN404" s="890"/>
      <c r="BO404" s="890"/>
      <c r="BP404" s="890"/>
      <c r="BQ404" s="890"/>
      <c r="BR404" s="890"/>
      <c r="BS404" s="890"/>
      <c r="BT404" s="890"/>
      <c r="BU404" s="890"/>
      <c r="BV404" s="890"/>
      <c r="BW404" s="890"/>
    </row>
    <row r="405" spans="1:75">
      <c r="A405" s="709"/>
      <c r="B405" s="709"/>
      <c r="C405" s="709"/>
      <c r="D405" s="709"/>
      <c r="E405" s="709"/>
      <c r="F405" s="709"/>
      <c r="G405" s="709"/>
      <c r="H405" s="709"/>
      <c r="I405" s="709"/>
      <c r="J405" s="709"/>
      <c r="K405" s="709"/>
      <c r="L405" s="709"/>
      <c r="M405" s="709"/>
      <c r="N405" s="709"/>
      <c r="O405" s="709"/>
      <c r="P405" s="709"/>
      <c r="Q405" s="709"/>
      <c r="R405" s="709"/>
      <c r="S405" s="709"/>
      <c r="T405" s="709"/>
      <c r="U405" s="709"/>
      <c r="V405" s="709"/>
      <c r="BB405" s="3"/>
      <c r="BC405" s="3"/>
      <c r="BD405" s="3"/>
      <c r="BE405" s="3"/>
      <c r="BF405" s="3"/>
      <c r="BG405" s="890"/>
      <c r="BH405" s="890"/>
      <c r="BI405" s="890"/>
      <c r="BJ405" s="890"/>
      <c r="BK405" s="890"/>
      <c r="BL405" s="890"/>
      <c r="BM405" s="890"/>
      <c r="BN405" s="890"/>
      <c r="BO405" s="890"/>
      <c r="BP405" s="890"/>
      <c r="BQ405" s="890"/>
      <c r="BR405" s="890"/>
      <c r="BS405" s="890"/>
      <c r="BT405" s="890"/>
      <c r="BU405" s="890"/>
      <c r="BV405" s="890"/>
      <c r="BW405" s="890"/>
    </row>
    <row r="406" spans="1:75">
      <c r="A406" s="709"/>
      <c r="B406" s="709"/>
      <c r="C406" s="709"/>
      <c r="D406" s="709"/>
      <c r="E406" s="709"/>
      <c r="F406" s="709"/>
      <c r="G406" s="709"/>
      <c r="H406" s="709"/>
      <c r="I406" s="709"/>
      <c r="J406" s="709"/>
      <c r="K406" s="709"/>
      <c r="L406" s="709"/>
      <c r="M406" s="709"/>
      <c r="N406" s="709"/>
      <c r="O406" s="709"/>
      <c r="P406" s="709"/>
      <c r="Q406" s="709"/>
      <c r="R406" s="709"/>
      <c r="S406" s="709"/>
      <c r="T406" s="709"/>
      <c r="U406" s="709"/>
      <c r="V406" s="709"/>
      <c r="BB406" s="3"/>
      <c r="BC406" s="3"/>
      <c r="BD406" s="3"/>
      <c r="BE406" s="3"/>
      <c r="BF406" s="3"/>
      <c r="BG406" s="890"/>
      <c r="BH406" s="890"/>
      <c r="BI406" s="890"/>
      <c r="BJ406" s="890"/>
      <c r="BK406" s="890"/>
      <c r="BL406" s="890"/>
      <c r="BM406" s="890"/>
      <c r="BN406" s="890"/>
      <c r="BO406" s="890"/>
      <c r="BP406" s="890"/>
      <c r="BQ406" s="890"/>
      <c r="BR406" s="890"/>
      <c r="BS406" s="890"/>
      <c r="BT406" s="890"/>
      <c r="BU406" s="890"/>
      <c r="BV406" s="890"/>
      <c r="BW406" s="890"/>
    </row>
    <row r="407" spans="1:75">
      <c r="A407" s="709"/>
      <c r="B407" s="709"/>
      <c r="C407" s="709"/>
      <c r="D407" s="709"/>
      <c r="E407" s="709"/>
      <c r="F407" s="709"/>
      <c r="G407" s="709"/>
      <c r="H407" s="709"/>
      <c r="I407" s="709"/>
      <c r="J407" s="709"/>
      <c r="K407" s="709"/>
      <c r="L407" s="709"/>
      <c r="M407" s="709"/>
      <c r="N407" s="709"/>
      <c r="O407" s="709"/>
      <c r="P407" s="709"/>
      <c r="Q407" s="709"/>
      <c r="R407" s="709"/>
      <c r="S407" s="709"/>
      <c r="T407" s="709"/>
      <c r="U407" s="709"/>
      <c r="V407" s="709"/>
      <c r="BB407" s="3"/>
      <c r="BC407" s="3"/>
      <c r="BD407" s="3"/>
      <c r="BE407" s="3"/>
      <c r="BF407" s="3"/>
      <c r="BG407" s="890"/>
      <c r="BH407" s="890"/>
      <c r="BI407" s="890"/>
      <c r="BJ407" s="890"/>
      <c r="BK407" s="890"/>
      <c r="BL407" s="890"/>
      <c r="BM407" s="890"/>
      <c r="BN407" s="890"/>
      <c r="BO407" s="890"/>
      <c r="BP407" s="890"/>
      <c r="BQ407" s="890"/>
      <c r="BR407" s="890"/>
      <c r="BS407" s="890"/>
      <c r="BT407" s="890"/>
      <c r="BU407" s="890"/>
      <c r="BV407" s="890"/>
      <c r="BW407" s="890"/>
    </row>
    <row r="408" spans="1:75">
      <c r="A408" s="709"/>
      <c r="B408" s="709"/>
      <c r="C408" s="709"/>
      <c r="D408" s="709"/>
      <c r="E408" s="709"/>
      <c r="F408" s="709"/>
      <c r="G408" s="709"/>
      <c r="H408" s="709"/>
      <c r="I408" s="709"/>
      <c r="J408" s="709"/>
      <c r="K408" s="709"/>
      <c r="L408" s="709"/>
      <c r="M408" s="709"/>
      <c r="N408" s="709"/>
      <c r="O408" s="709"/>
      <c r="P408" s="709"/>
      <c r="Q408" s="709"/>
      <c r="R408" s="709"/>
      <c r="S408" s="709"/>
      <c r="T408" s="709"/>
      <c r="U408" s="709"/>
      <c r="V408" s="709"/>
      <c r="BB408" s="3"/>
      <c r="BC408" s="3"/>
      <c r="BD408" s="3"/>
      <c r="BE408" s="3"/>
      <c r="BF408" s="3"/>
      <c r="BG408" s="890"/>
      <c r="BH408" s="890"/>
      <c r="BI408" s="890"/>
      <c r="BJ408" s="890"/>
      <c r="BK408" s="890"/>
      <c r="BL408" s="890"/>
      <c r="BM408" s="890"/>
      <c r="BN408" s="890"/>
      <c r="BO408" s="890"/>
      <c r="BP408" s="890"/>
      <c r="BQ408" s="890"/>
      <c r="BR408" s="890"/>
      <c r="BS408" s="890"/>
      <c r="BT408" s="890"/>
      <c r="BU408" s="890"/>
      <c r="BV408" s="890"/>
      <c r="BW408" s="890"/>
    </row>
    <row r="409" spans="1:75">
      <c r="A409" s="709"/>
      <c r="B409" s="709"/>
      <c r="C409" s="709"/>
      <c r="D409" s="709"/>
      <c r="E409" s="709"/>
      <c r="F409" s="709"/>
      <c r="G409" s="709"/>
      <c r="H409" s="709"/>
      <c r="I409" s="709"/>
      <c r="J409" s="709"/>
      <c r="K409" s="709"/>
      <c r="L409" s="709"/>
      <c r="M409" s="709"/>
      <c r="N409" s="709"/>
      <c r="O409" s="709"/>
      <c r="P409" s="709"/>
      <c r="Q409" s="709"/>
      <c r="R409" s="709"/>
      <c r="S409" s="709"/>
      <c r="T409" s="709"/>
      <c r="U409" s="709"/>
      <c r="V409" s="709"/>
      <c r="BB409" s="3"/>
      <c r="BC409" s="3"/>
      <c r="BD409" s="3"/>
      <c r="BE409" s="3"/>
      <c r="BF409" s="3"/>
      <c r="BG409" s="890"/>
      <c r="BH409" s="890"/>
      <c r="BI409" s="890"/>
      <c r="BJ409" s="890"/>
      <c r="BK409" s="890"/>
      <c r="BL409" s="890"/>
      <c r="BM409" s="890"/>
      <c r="BN409" s="890"/>
      <c r="BO409" s="890"/>
      <c r="BP409" s="890"/>
      <c r="BQ409" s="890"/>
      <c r="BR409" s="890"/>
      <c r="BS409" s="890"/>
      <c r="BT409" s="890"/>
      <c r="BU409" s="890"/>
      <c r="BV409" s="890"/>
      <c r="BW409" s="890"/>
    </row>
    <row r="410" spans="1:75">
      <c r="A410" s="709"/>
      <c r="B410" s="709"/>
      <c r="C410" s="709"/>
      <c r="D410" s="709"/>
      <c r="E410" s="709"/>
      <c r="F410" s="709"/>
      <c r="G410" s="709"/>
      <c r="H410" s="709"/>
      <c r="I410" s="709"/>
      <c r="J410" s="709"/>
      <c r="K410" s="709"/>
      <c r="L410" s="709"/>
      <c r="M410" s="709"/>
      <c r="N410" s="709"/>
      <c r="O410" s="709"/>
      <c r="P410" s="709"/>
      <c r="Q410" s="709"/>
      <c r="R410" s="709"/>
      <c r="S410" s="709"/>
      <c r="T410" s="709"/>
      <c r="U410" s="709"/>
      <c r="V410" s="709"/>
      <c r="BB410" s="3"/>
      <c r="BC410" s="3"/>
      <c r="BD410" s="3"/>
      <c r="BE410" s="3"/>
      <c r="BF410" s="3"/>
      <c r="BG410" s="890"/>
      <c r="BH410" s="890"/>
      <c r="BI410" s="890"/>
      <c r="BJ410" s="890"/>
      <c r="BK410" s="890"/>
      <c r="BL410" s="890"/>
      <c r="BM410" s="890"/>
      <c r="BN410" s="890"/>
      <c r="BO410" s="890"/>
      <c r="BP410" s="890"/>
      <c r="BQ410" s="890"/>
      <c r="BR410" s="890"/>
      <c r="BS410" s="890"/>
      <c r="BT410" s="890"/>
      <c r="BU410" s="890"/>
      <c r="BV410" s="890"/>
      <c r="BW410" s="890"/>
    </row>
    <row r="411" spans="1:75">
      <c r="A411" s="709"/>
      <c r="B411" s="709"/>
      <c r="C411" s="709"/>
      <c r="D411" s="709"/>
      <c r="E411" s="709"/>
      <c r="F411" s="709"/>
      <c r="G411" s="709"/>
      <c r="H411" s="709"/>
      <c r="I411" s="709"/>
      <c r="J411" s="709"/>
      <c r="K411" s="709"/>
      <c r="L411" s="709"/>
      <c r="M411" s="709"/>
      <c r="N411" s="709"/>
      <c r="O411" s="709"/>
      <c r="P411" s="709"/>
      <c r="Q411" s="709"/>
      <c r="R411" s="709"/>
      <c r="S411" s="709"/>
      <c r="T411" s="709"/>
      <c r="U411" s="709"/>
      <c r="V411" s="709"/>
      <c r="BB411" s="3"/>
      <c r="BC411" s="3"/>
      <c r="BD411" s="3"/>
      <c r="BE411" s="3"/>
      <c r="BF411" s="3"/>
      <c r="BG411" s="890"/>
      <c r="BH411" s="890"/>
      <c r="BI411" s="890"/>
      <c r="BJ411" s="890"/>
      <c r="BK411" s="890"/>
      <c r="BL411" s="890"/>
      <c r="BM411" s="890"/>
      <c r="BN411" s="890"/>
      <c r="BO411" s="890"/>
      <c r="BP411" s="890"/>
      <c r="BQ411" s="890"/>
      <c r="BR411" s="890"/>
      <c r="BS411" s="890"/>
      <c r="BT411" s="890"/>
      <c r="BU411" s="890"/>
      <c r="BV411" s="890"/>
      <c r="BW411" s="890"/>
    </row>
    <row r="412" spans="1:75">
      <c r="A412" s="709"/>
      <c r="B412" s="709"/>
      <c r="C412" s="709"/>
      <c r="D412" s="709"/>
      <c r="E412" s="709"/>
      <c r="F412" s="709"/>
      <c r="G412" s="709"/>
      <c r="H412" s="709"/>
      <c r="I412" s="709"/>
      <c r="J412" s="709"/>
      <c r="K412" s="709"/>
      <c r="L412" s="709"/>
      <c r="M412" s="709"/>
      <c r="N412" s="709"/>
      <c r="O412" s="709"/>
      <c r="P412" s="709"/>
      <c r="Q412" s="709"/>
      <c r="R412" s="709"/>
      <c r="S412" s="709"/>
      <c r="T412" s="709"/>
      <c r="U412" s="709"/>
      <c r="V412" s="709"/>
      <c r="BB412" s="3"/>
      <c r="BC412" s="3"/>
      <c r="BD412" s="3"/>
      <c r="BE412" s="3"/>
      <c r="BF412" s="3"/>
      <c r="BG412" s="890"/>
      <c r="BH412" s="890"/>
      <c r="BI412" s="890"/>
      <c r="BJ412" s="890"/>
      <c r="BK412" s="890"/>
      <c r="BL412" s="890"/>
      <c r="BM412" s="890"/>
      <c r="BN412" s="890"/>
      <c r="BO412" s="890"/>
      <c r="BP412" s="890"/>
      <c r="BQ412" s="890"/>
      <c r="BR412" s="890"/>
      <c r="BS412" s="890"/>
      <c r="BT412" s="890"/>
      <c r="BU412" s="890"/>
      <c r="BV412" s="890"/>
      <c r="BW412" s="890"/>
    </row>
    <row r="413" spans="1:75">
      <c r="A413" s="709"/>
      <c r="B413" s="709"/>
      <c r="C413" s="709"/>
      <c r="D413" s="709"/>
      <c r="E413" s="709"/>
      <c r="F413" s="709"/>
      <c r="G413" s="709"/>
      <c r="H413" s="709"/>
      <c r="I413" s="709"/>
      <c r="J413" s="709"/>
      <c r="K413" s="709"/>
      <c r="L413" s="709"/>
      <c r="M413" s="709"/>
      <c r="N413" s="709"/>
      <c r="O413" s="709"/>
      <c r="P413" s="709"/>
      <c r="Q413" s="709"/>
      <c r="R413" s="709"/>
      <c r="S413" s="709"/>
      <c r="T413" s="709"/>
      <c r="U413" s="709"/>
      <c r="V413" s="709"/>
      <c r="BB413" s="3"/>
      <c r="BC413" s="3"/>
      <c r="BD413" s="3"/>
      <c r="BE413" s="3"/>
      <c r="BF413" s="3"/>
      <c r="BG413" s="890"/>
      <c r="BH413" s="890"/>
      <c r="BI413" s="890"/>
      <c r="BJ413" s="890"/>
      <c r="BK413" s="890"/>
      <c r="BL413" s="890"/>
      <c r="BM413" s="890"/>
      <c r="BN413" s="890"/>
      <c r="BO413" s="890"/>
      <c r="BP413" s="890"/>
      <c r="BQ413" s="890"/>
      <c r="BR413" s="890"/>
      <c r="BS413" s="890"/>
      <c r="BT413" s="890"/>
      <c r="BU413" s="890"/>
      <c r="BV413" s="890"/>
      <c r="BW413" s="890"/>
    </row>
    <row r="414" spans="1:75">
      <c r="A414" s="709"/>
      <c r="B414" s="709"/>
      <c r="C414" s="709"/>
      <c r="D414" s="709"/>
      <c r="E414" s="709"/>
      <c r="F414" s="709"/>
      <c r="G414" s="709"/>
      <c r="H414" s="709"/>
      <c r="I414" s="709"/>
      <c r="J414" s="709"/>
      <c r="K414" s="709"/>
      <c r="L414" s="709"/>
      <c r="M414" s="709"/>
      <c r="N414" s="709"/>
      <c r="O414" s="709"/>
      <c r="P414" s="709"/>
      <c r="Q414" s="709"/>
      <c r="R414" s="709"/>
      <c r="S414" s="709"/>
      <c r="T414" s="709"/>
      <c r="U414" s="709"/>
      <c r="V414" s="709"/>
      <c r="BB414" s="3"/>
      <c r="BC414" s="3"/>
      <c r="BD414" s="3"/>
      <c r="BE414" s="3"/>
      <c r="BF414" s="3"/>
      <c r="BG414" s="890"/>
      <c r="BH414" s="890"/>
      <c r="BI414" s="890"/>
      <c r="BJ414" s="890"/>
      <c r="BK414" s="890"/>
      <c r="BL414" s="890"/>
      <c r="BM414" s="890"/>
      <c r="BN414" s="890"/>
      <c r="BO414" s="890"/>
      <c r="BP414" s="890"/>
      <c r="BQ414" s="890"/>
      <c r="BR414" s="890"/>
      <c r="BS414" s="890"/>
      <c r="BT414" s="890"/>
      <c r="BU414" s="890"/>
      <c r="BV414" s="890"/>
      <c r="BW414" s="890"/>
    </row>
    <row r="415" spans="1:75">
      <c r="A415" s="709"/>
      <c r="B415" s="709"/>
      <c r="C415" s="709"/>
      <c r="D415" s="709"/>
      <c r="E415" s="709"/>
      <c r="F415" s="709"/>
      <c r="G415" s="709"/>
      <c r="H415" s="709"/>
      <c r="I415" s="709"/>
      <c r="J415" s="709"/>
      <c r="K415" s="709"/>
      <c r="L415" s="709"/>
      <c r="M415" s="709"/>
      <c r="N415" s="709"/>
      <c r="O415" s="709"/>
      <c r="P415" s="709"/>
      <c r="Q415" s="709"/>
      <c r="R415" s="709"/>
      <c r="S415" s="709"/>
      <c r="T415" s="709"/>
      <c r="U415" s="709"/>
      <c r="V415" s="709"/>
      <c r="BB415" s="3"/>
      <c r="BC415" s="3"/>
      <c r="BD415" s="3"/>
      <c r="BE415" s="3"/>
      <c r="BF415" s="3"/>
      <c r="BG415" s="890"/>
      <c r="BH415" s="890"/>
      <c r="BI415" s="890"/>
      <c r="BJ415" s="890"/>
      <c r="BK415" s="890"/>
      <c r="BL415" s="890"/>
      <c r="BM415" s="890"/>
      <c r="BN415" s="890"/>
      <c r="BO415" s="890"/>
      <c r="BP415" s="890"/>
      <c r="BQ415" s="890"/>
      <c r="BR415" s="890"/>
      <c r="BS415" s="890"/>
      <c r="BT415" s="890"/>
      <c r="BU415" s="890"/>
      <c r="BV415" s="890"/>
      <c r="BW415" s="890"/>
    </row>
    <row r="416" spans="1:75">
      <c r="A416" s="709"/>
      <c r="B416" s="709"/>
      <c r="C416" s="709"/>
      <c r="D416" s="709"/>
      <c r="E416" s="709"/>
      <c r="F416" s="709"/>
      <c r="G416" s="709"/>
      <c r="H416" s="709"/>
      <c r="I416" s="709"/>
      <c r="J416" s="709"/>
      <c r="K416" s="709"/>
      <c r="L416" s="709"/>
      <c r="M416" s="709"/>
      <c r="N416" s="709"/>
      <c r="O416" s="709"/>
      <c r="P416" s="709"/>
      <c r="Q416" s="709"/>
      <c r="R416" s="709"/>
      <c r="S416" s="709"/>
      <c r="T416" s="709"/>
      <c r="U416" s="709"/>
      <c r="V416" s="709"/>
      <c r="BB416" s="3"/>
      <c r="BC416" s="3"/>
      <c r="BD416" s="3"/>
      <c r="BE416" s="3"/>
      <c r="BF416" s="3"/>
      <c r="BG416" s="890"/>
      <c r="BH416" s="890"/>
      <c r="BI416" s="890"/>
      <c r="BJ416" s="890"/>
      <c r="BK416" s="890"/>
      <c r="BL416" s="890"/>
      <c r="BM416" s="890"/>
      <c r="BN416" s="890"/>
      <c r="BO416" s="890"/>
      <c r="BP416" s="890"/>
      <c r="BQ416" s="890"/>
      <c r="BR416" s="890"/>
      <c r="BS416" s="890"/>
      <c r="BT416" s="890"/>
      <c r="BU416" s="890"/>
      <c r="BV416" s="890"/>
      <c r="BW416" s="890"/>
    </row>
    <row r="417" spans="1:75">
      <c r="A417" s="709"/>
      <c r="B417" s="709"/>
      <c r="C417" s="709"/>
      <c r="D417" s="709"/>
      <c r="E417" s="709"/>
      <c r="F417" s="709"/>
      <c r="G417" s="709"/>
      <c r="H417" s="709"/>
      <c r="I417" s="709"/>
      <c r="J417" s="709"/>
      <c r="K417" s="709"/>
      <c r="L417" s="709"/>
      <c r="M417" s="709"/>
      <c r="N417" s="709"/>
      <c r="O417" s="709"/>
      <c r="P417" s="709"/>
      <c r="Q417" s="709"/>
      <c r="R417" s="709"/>
      <c r="S417" s="709"/>
      <c r="T417" s="709"/>
      <c r="U417" s="709"/>
      <c r="V417" s="709"/>
      <c r="BB417" s="3"/>
      <c r="BC417" s="3"/>
      <c r="BD417" s="3"/>
      <c r="BE417" s="3"/>
      <c r="BF417" s="3"/>
      <c r="BG417" s="890"/>
      <c r="BH417" s="890"/>
      <c r="BI417" s="890"/>
      <c r="BJ417" s="890"/>
      <c r="BK417" s="890"/>
      <c r="BL417" s="890"/>
      <c r="BM417" s="890"/>
      <c r="BN417" s="890"/>
      <c r="BO417" s="890"/>
      <c r="BP417" s="890"/>
      <c r="BQ417" s="890"/>
      <c r="BR417" s="890"/>
      <c r="BS417" s="890"/>
      <c r="BT417" s="890"/>
      <c r="BU417" s="890"/>
      <c r="BV417" s="890"/>
      <c r="BW417" s="890"/>
    </row>
    <row r="418" spans="1:75">
      <c r="A418" s="709"/>
      <c r="B418" s="709"/>
      <c r="C418" s="709"/>
      <c r="D418" s="709"/>
      <c r="E418" s="709"/>
      <c r="F418" s="709"/>
      <c r="G418" s="709"/>
      <c r="H418" s="709"/>
      <c r="I418" s="709"/>
      <c r="J418" s="709"/>
      <c r="K418" s="709"/>
      <c r="L418" s="709"/>
      <c r="M418" s="709"/>
      <c r="N418" s="709"/>
      <c r="O418" s="709"/>
      <c r="P418" s="709"/>
      <c r="Q418" s="709"/>
      <c r="R418" s="709"/>
      <c r="S418" s="709"/>
      <c r="T418" s="709"/>
      <c r="U418" s="709"/>
      <c r="V418" s="709"/>
      <c r="BB418" s="3"/>
      <c r="BC418" s="3"/>
      <c r="BD418" s="3"/>
      <c r="BE418" s="3"/>
      <c r="BF418" s="3"/>
      <c r="BG418" s="890"/>
      <c r="BH418" s="890"/>
      <c r="BI418" s="890"/>
      <c r="BJ418" s="890"/>
      <c r="BK418" s="890"/>
      <c r="BL418" s="890"/>
      <c r="BM418" s="890"/>
      <c r="BN418" s="890"/>
      <c r="BO418" s="890"/>
      <c r="BP418" s="890"/>
      <c r="BQ418" s="890"/>
      <c r="BR418" s="890"/>
      <c r="BS418" s="890"/>
      <c r="BT418" s="890"/>
      <c r="BU418" s="890"/>
      <c r="BV418" s="890"/>
      <c r="BW418" s="890"/>
    </row>
    <row r="419" spans="1:75">
      <c r="A419" s="709"/>
      <c r="B419" s="709"/>
      <c r="C419" s="709"/>
      <c r="D419" s="709"/>
      <c r="E419" s="709"/>
      <c r="F419" s="709"/>
      <c r="G419" s="709"/>
      <c r="H419" s="709"/>
      <c r="I419" s="709"/>
      <c r="J419" s="709"/>
      <c r="K419" s="709"/>
      <c r="L419" s="709"/>
      <c r="M419" s="709"/>
      <c r="N419" s="709"/>
      <c r="O419" s="709"/>
      <c r="P419" s="709"/>
      <c r="Q419" s="709"/>
      <c r="R419" s="709"/>
      <c r="S419" s="709"/>
      <c r="T419" s="709"/>
      <c r="U419" s="709"/>
      <c r="V419" s="709"/>
      <c r="BB419" s="3"/>
      <c r="BC419" s="3"/>
      <c r="BD419" s="3"/>
      <c r="BE419" s="3"/>
      <c r="BF419" s="3"/>
      <c r="BG419" s="890"/>
      <c r="BH419" s="890"/>
      <c r="BI419" s="890"/>
      <c r="BJ419" s="890"/>
      <c r="BK419" s="890"/>
      <c r="BL419" s="890"/>
      <c r="BM419" s="890"/>
      <c r="BN419" s="890"/>
      <c r="BO419" s="890"/>
      <c r="BP419" s="890"/>
      <c r="BQ419" s="890"/>
      <c r="BR419" s="890"/>
      <c r="BS419" s="890"/>
      <c r="BT419" s="890"/>
      <c r="BU419" s="890"/>
      <c r="BV419" s="890"/>
      <c r="BW419" s="890"/>
    </row>
    <row r="420" spans="1:75">
      <c r="A420" s="709"/>
      <c r="B420" s="709"/>
      <c r="C420" s="709"/>
      <c r="D420" s="709"/>
      <c r="E420" s="709"/>
      <c r="F420" s="709"/>
      <c r="G420" s="709"/>
      <c r="H420" s="709"/>
      <c r="I420" s="709"/>
      <c r="J420" s="709"/>
      <c r="K420" s="709"/>
      <c r="L420" s="709"/>
      <c r="M420" s="709"/>
      <c r="N420" s="709"/>
      <c r="O420" s="709"/>
      <c r="P420" s="709"/>
      <c r="Q420" s="709"/>
      <c r="R420" s="709"/>
      <c r="S420" s="709"/>
      <c r="T420" s="709"/>
      <c r="U420" s="709"/>
      <c r="V420" s="709"/>
      <c r="BB420" s="3"/>
      <c r="BC420" s="3"/>
      <c r="BD420" s="3"/>
      <c r="BE420" s="3"/>
      <c r="BF420" s="3"/>
      <c r="BG420" s="890"/>
      <c r="BH420" s="890"/>
      <c r="BI420" s="890"/>
      <c r="BJ420" s="890"/>
      <c r="BK420" s="890"/>
      <c r="BL420" s="890"/>
      <c r="BM420" s="890"/>
      <c r="BN420" s="890"/>
      <c r="BO420" s="890"/>
      <c r="BP420" s="890"/>
      <c r="BQ420" s="890"/>
      <c r="BR420" s="890"/>
      <c r="BS420" s="890"/>
      <c r="BT420" s="890"/>
      <c r="BU420" s="890"/>
      <c r="BV420" s="890"/>
      <c r="BW420" s="890"/>
    </row>
    <row r="421" spans="1:75">
      <c r="A421" s="709"/>
      <c r="B421" s="709"/>
      <c r="C421" s="709"/>
      <c r="D421" s="709"/>
      <c r="E421" s="709"/>
      <c r="F421" s="709"/>
      <c r="G421" s="709"/>
      <c r="H421" s="709"/>
      <c r="I421" s="709"/>
      <c r="J421" s="709"/>
      <c r="K421" s="709"/>
      <c r="L421" s="709"/>
      <c r="M421" s="709"/>
      <c r="N421" s="709"/>
      <c r="O421" s="709"/>
      <c r="P421" s="709"/>
      <c r="Q421" s="709"/>
      <c r="R421" s="709"/>
      <c r="S421" s="709"/>
      <c r="T421" s="709"/>
      <c r="U421" s="709"/>
      <c r="V421" s="709"/>
      <c r="BB421" s="3"/>
      <c r="BC421" s="3"/>
      <c r="BD421" s="3"/>
      <c r="BE421" s="3"/>
      <c r="BF421" s="3"/>
      <c r="BG421" s="890"/>
      <c r="BH421" s="890"/>
      <c r="BI421" s="890"/>
      <c r="BJ421" s="890"/>
      <c r="BK421" s="890"/>
      <c r="BL421" s="890"/>
      <c r="BM421" s="890"/>
      <c r="BN421" s="890"/>
      <c r="BO421" s="890"/>
      <c r="BP421" s="890"/>
      <c r="BQ421" s="890"/>
      <c r="BR421" s="890"/>
      <c r="BS421" s="890"/>
      <c r="BT421" s="890"/>
      <c r="BU421" s="890"/>
      <c r="BV421" s="890"/>
      <c r="BW421" s="890"/>
    </row>
    <row r="422" spans="1:75">
      <c r="A422" s="709"/>
      <c r="B422" s="709"/>
      <c r="C422" s="709"/>
      <c r="D422" s="709"/>
      <c r="E422" s="709"/>
      <c r="F422" s="709"/>
      <c r="G422" s="709"/>
      <c r="H422" s="709"/>
      <c r="I422" s="709"/>
      <c r="J422" s="709"/>
      <c r="K422" s="709"/>
      <c r="L422" s="709"/>
      <c r="M422" s="709"/>
      <c r="N422" s="709"/>
      <c r="O422" s="709"/>
      <c r="P422" s="709"/>
      <c r="Q422" s="709"/>
      <c r="R422" s="709"/>
      <c r="S422" s="709"/>
      <c r="T422" s="709"/>
      <c r="U422" s="709"/>
      <c r="V422" s="709"/>
      <c r="BH422" s="890"/>
      <c r="BI422" s="890"/>
      <c r="BJ422" s="890"/>
      <c r="BK422" s="890"/>
      <c r="BL422" s="890"/>
      <c r="BM422" s="890"/>
      <c r="BN422" s="890"/>
      <c r="BO422" s="890"/>
      <c r="BP422" s="890"/>
      <c r="BQ422" s="890"/>
      <c r="BR422" s="890"/>
      <c r="BS422" s="890"/>
      <c r="BT422" s="890"/>
      <c r="BU422" s="890"/>
      <c r="BV422" s="890"/>
      <c r="BW422" s="890"/>
    </row>
    <row r="423" spans="1:75">
      <c r="A423" s="709"/>
      <c r="B423" s="709"/>
      <c r="C423" s="709"/>
      <c r="D423" s="709"/>
      <c r="E423" s="709"/>
      <c r="F423" s="709"/>
      <c r="G423" s="709"/>
      <c r="H423" s="709"/>
      <c r="I423" s="709"/>
      <c r="J423" s="709"/>
      <c r="K423" s="709"/>
      <c r="L423" s="709"/>
      <c r="M423" s="709"/>
      <c r="N423" s="709"/>
      <c r="O423" s="709"/>
      <c r="P423" s="709"/>
      <c r="Q423" s="709"/>
      <c r="R423" s="709"/>
      <c r="S423" s="709"/>
      <c r="T423" s="709"/>
      <c r="U423" s="709"/>
      <c r="V423" s="709"/>
      <c r="BH423" s="890"/>
      <c r="BI423" s="890"/>
      <c r="BJ423" s="890"/>
      <c r="BK423" s="890"/>
      <c r="BL423" s="890"/>
      <c r="BM423" s="890"/>
      <c r="BN423" s="890"/>
      <c r="BO423" s="890"/>
      <c r="BP423" s="890"/>
      <c r="BQ423" s="890"/>
      <c r="BR423" s="890"/>
      <c r="BS423" s="890"/>
      <c r="BT423" s="890"/>
      <c r="BU423" s="890"/>
      <c r="BV423" s="890"/>
      <c r="BW423" s="890"/>
    </row>
    <row r="424" spans="1:75">
      <c r="A424" s="709"/>
      <c r="B424" s="709"/>
      <c r="C424" s="709"/>
      <c r="D424" s="709"/>
      <c r="E424" s="709"/>
      <c r="F424" s="709"/>
      <c r="G424" s="709"/>
      <c r="H424" s="709"/>
      <c r="I424" s="709"/>
      <c r="J424" s="709"/>
      <c r="K424" s="709"/>
      <c r="L424" s="709"/>
      <c r="M424" s="709"/>
      <c r="N424" s="709"/>
      <c r="O424" s="709"/>
      <c r="P424" s="709"/>
      <c r="Q424" s="709"/>
      <c r="R424" s="709"/>
      <c r="S424" s="709"/>
      <c r="T424" s="709"/>
      <c r="U424" s="709"/>
      <c r="V424" s="709"/>
      <c r="BH424" s="890"/>
      <c r="BI424" s="890"/>
      <c r="BJ424" s="890"/>
      <c r="BK424" s="890"/>
      <c r="BL424" s="890"/>
      <c r="BM424" s="890"/>
      <c r="BN424" s="890"/>
      <c r="BO424" s="890"/>
      <c r="BP424" s="890"/>
      <c r="BQ424" s="890"/>
      <c r="BR424" s="890"/>
      <c r="BS424" s="890"/>
      <c r="BT424" s="890"/>
      <c r="BU424" s="890"/>
      <c r="BV424" s="890"/>
      <c r="BW424" s="890"/>
    </row>
    <row r="425" spans="1:75">
      <c r="A425" s="709"/>
      <c r="B425" s="709"/>
      <c r="C425" s="709"/>
      <c r="D425" s="709"/>
      <c r="E425" s="709"/>
      <c r="F425" s="709"/>
      <c r="G425" s="709"/>
      <c r="H425" s="709"/>
      <c r="I425" s="709"/>
      <c r="J425" s="709"/>
      <c r="K425" s="709"/>
      <c r="L425" s="709"/>
      <c r="M425" s="709"/>
      <c r="N425" s="709"/>
      <c r="O425" s="709"/>
      <c r="P425" s="709"/>
      <c r="Q425" s="709"/>
      <c r="R425" s="709"/>
      <c r="S425" s="709"/>
      <c r="T425" s="709"/>
      <c r="U425" s="709"/>
      <c r="V425" s="709"/>
      <c r="BH425" s="890"/>
      <c r="BI425" s="890"/>
      <c r="BJ425" s="890"/>
      <c r="BK425" s="890"/>
      <c r="BL425" s="890"/>
      <c r="BM425" s="890"/>
      <c r="BN425" s="890"/>
      <c r="BO425" s="890"/>
      <c r="BP425" s="890"/>
      <c r="BQ425" s="890"/>
      <c r="BR425" s="890"/>
      <c r="BS425" s="890"/>
      <c r="BT425" s="890"/>
      <c r="BU425" s="890"/>
      <c r="BV425" s="890"/>
      <c r="BW425" s="890"/>
    </row>
    <row r="426" spans="1:75">
      <c r="A426" s="709"/>
      <c r="B426" s="709"/>
      <c r="C426" s="709"/>
      <c r="D426" s="709"/>
      <c r="E426" s="709"/>
      <c r="F426" s="709"/>
      <c r="G426" s="709"/>
      <c r="H426" s="709"/>
      <c r="I426" s="709"/>
      <c r="J426" s="709"/>
      <c r="K426" s="709"/>
      <c r="L426" s="709"/>
      <c r="M426" s="709"/>
      <c r="N426" s="709"/>
      <c r="O426" s="709"/>
      <c r="P426" s="709"/>
      <c r="Q426" s="709"/>
      <c r="R426" s="709"/>
      <c r="S426" s="709"/>
      <c r="T426" s="709"/>
      <c r="U426" s="709"/>
      <c r="V426" s="709"/>
      <c r="BH426" s="890"/>
      <c r="BI426" s="890"/>
      <c r="BJ426" s="890"/>
      <c r="BK426" s="890"/>
      <c r="BL426" s="890"/>
      <c r="BM426" s="890"/>
      <c r="BN426" s="890"/>
      <c r="BO426" s="890"/>
      <c r="BP426" s="890"/>
      <c r="BQ426" s="890"/>
      <c r="BR426" s="890"/>
      <c r="BS426" s="890"/>
      <c r="BT426" s="890"/>
      <c r="BU426" s="890"/>
      <c r="BV426" s="890"/>
      <c r="BW426" s="890"/>
    </row>
    <row r="427" spans="1:75">
      <c r="A427" s="709"/>
      <c r="B427" s="709"/>
      <c r="C427" s="709"/>
      <c r="D427" s="709"/>
      <c r="E427" s="709"/>
      <c r="F427" s="709"/>
      <c r="G427" s="709"/>
      <c r="H427" s="709"/>
      <c r="I427" s="709"/>
      <c r="J427" s="709"/>
      <c r="K427" s="709"/>
      <c r="L427" s="709"/>
      <c r="M427" s="709"/>
      <c r="N427" s="709"/>
      <c r="O427" s="709"/>
      <c r="P427" s="709"/>
      <c r="Q427" s="709"/>
      <c r="R427" s="709"/>
      <c r="S427" s="709"/>
      <c r="T427" s="709"/>
      <c r="U427" s="709"/>
      <c r="V427" s="709"/>
      <c r="BH427" s="890"/>
      <c r="BI427" s="890"/>
      <c r="BJ427" s="890"/>
      <c r="BK427" s="890"/>
      <c r="BL427" s="890"/>
      <c r="BM427" s="890"/>
      <c r="BN427" s="890"/>
      <c r="BO427" s="890"/>
      <c r="BP427" s="890"/>
      <c r="BQ427" s="890"/>
      <c r="BR427" s="890"/>
      <c r="BS427" s="890"/>
      <c r="BT427" s="890"/>
      <c r="BU427" s="890"/>
      <c r="BV427" s="890"/>
      <c r="BW427" s="890"/>
    </row>
    <row r="428" spans="1:75">
      <c r="A428" s="709"/>
      <c r="B428" s="709"/>
      <c r="C428" s="709"/>
      <c r="D428" s="709"/>
      <c r="E428" s="709"/>
      <c r="F428" s="709"/>
      <c r="G428" s="709"/>
      <c r="H428" s="709"/>
      <c r="I428" s="709"/>
      <c r="J428" s="709"/>
      <c r="K428" s="709"/>
      <c r="L428" s="709"/>
      <c r="M428" s="709"/>
      <c r="N428" s="709"/>
      <c r="O428" s="709"/>
      <c r="P428" s="709"/>
      <c r="Q428" s="709"/>
      <c r="R428" s="709"/>
      <c r="S428" s="709"/>
      <c r="T428" s="709"/>
      <c r="U428" s="709"/>
      <c r="V428" s="709"/>
      <c r="BH428" s="890"/>
      <c r="BI428" s="890"/>
      <c r="BJ428" s="890"/>
      <c r="BK428" s="890"/>
      <c r="BL428" s="890"/>
      <c r="BM428" s="890"/>
      <c r="BN428" s="890"/>
      <c r="BO428" s="890"/>
      <c r="BP428" s="890"/>
      <c r="BQ428" s="890"/>
      <c r="BR428" s="890"/>
      <c r="BS428" s="890"/>
      <c r="BT428" s="890"/>
      <c r="BU428" s="890"/>
      <c r="BV428" s="890"/>
      <c r="BW428" s="890"/>
    </row>
    <row r="429" spans="1:75">
      <c r="A429" s="709"/>
      <c r="B429" s="709"/>
      <c r="C429" s="709"/>
      <c r="D429" s="709"/>
      <c r="E429" s="709"/>
      <c r="F429" s="709"/>
      <c r="G429" s="709"/>
      <c r="H429" s="709"/>
      <c r="I429" s="709"/>
      <c r="J429" s="709"/>
      <c r="K429" s="709"/>
      <c r="L429" s="709"/>
      <c r="M429" s="709"/>
      <c r="N429" s="709"/>
      <c r="O429" s="709"/>
      <c r="P429" s="709"/>
      <c r="Q429" s="709"/>
      <c r="R429" s="709"/>
      <c r="S429" s="709"/>
      <c r="T429" s="709"/>
      <c r="U429" s="709"/>
      <c r="V429" s="709"/>
      <c r="BH429" s="890"/>
      <c r="BI429" s="890"/>
      <c r="BJ429" s="890"/>
      <c r="BK429" s="890"/>
      <c r="BL429" s="890"/>
      <c r="BM429" s="890"/>
      <c r="BN429" s="890"/>
      <c r="BO429" s="890"/>
      <c r="BP429" s="890"/>
      <c r="BQ429" s="890"/>
      <c r="BR429" s="890"/>
      <c r="BS429" s="890"/>
      <c r="BT429" s="890"/>
      <c r="BU429" s="890"/>
      <c r="BV429" s="890"/>
      <c r="BW429" s="890"/>
    </row>
    <row r="430" spans="1:75">
      <c r="A430" s="709"/>
      <c r="B430" s="709"/>
      <c r="C430" s="709"/>
      <c r="D430" s="709"/>
      <c r="E430" s="709"/>
      <c r="F430" s="709"/>
      <c r="G430" s="709"/>
      <c r="H430" s="709"/>
      <c r="I430" s="709"/>
      <c r="J430" s="709"/>
      <c r="K430" s="709"/>
      <c r="L430" s="709"/>
      <c r="M430" s="709"/>
      <c r="N430" s="709"/>
      <c r="O430" s="709"/>
      <c r="P430" s="709"/>
      <c r="Q430" s="709"/>
      <c r="R430" s="709"/>
      <c r="S430" s="709"/>
      <c r="T430" s="709"/>
      <c r="U430" s="709"/>
      <c r="V430" s="709"/>
      <c r="BH430" s="890"/>
      <c r="BI430" s="890"/>
      <c r="BJ430" s="890"/>
      <c r="BK430" s="890"/>
      <c r="BL430" s="890"/>
      <c r="BM430" s="890"/>
      <c r="BN430" s="890"/>
      <c r="BO430" s="890"/>
      <c r="BP430" s="890"/>
      <c r="BQ430" s="890"/>
      <c r="BR430" s="890"/>
      <c r="BS430" s="890"/>
      <c r="BT430" s="890"/>
      <c r="BU430" s="890"/>
      <c r="BV430" s="890"/>
      <c r="BW430" s="890"/>
    </row>
    <row r="431" spans="1:75">
      <c r="A431" s="709"/>
      <c r="B431" s="709"/>
      <c r="C431" s="709"/>
      <c r="D431" s="709"/>
      <c r="E431" s="709"/>
      <c r="F431" s="709"/>
      <c r="G431" s="709"/>
      <c r="H431" s="709"/>
      <c r="I431" s="709"/>
      <c r="J431" s="709"/>
      <c r="K431" s="709"/>
      <c r="L431" s="709"/>
      <c r="M431" s="709"/>
      <c r="N431" s="709"/>
      <c r="O431" s="709"/>
      <c r="P431" s="709"/>
      <c r="Q431" s="709"/>
      <c r="R431" s="709"/>
      <c r="S431" s="709"/>
      <c r="T431" s="709"/>
      <c r="U431" s="709"/>
      <c r="V431" s="709"/>
      <c r="BH431" s="890"/>
      <c r="BI431" s="890"/>
      <c r="BJ431" s="890"/>
      <c r="BK431" s="890"/>
      <c r="BL431" s="890"/>
      <c r="BM431" s="890"/>
      <c r="BN431" s="890"/>
      <c r="BO431" s="890"/>
      <c r="BP431" s="890"/>
      <c r="BQ431" s="890"/>
      <c r="BR431" s="890"/>
      <c r="BS431" s="890"/>
      <c r="BT431" s="890"/>
      <c r="BU431" s="890"/>
      <c r="BV431" s="890"/>
      <c r="BW431" s="890"/>
    </row>
    <row r="432" spans="1:75">
      <c r="A432" s="709"/>
      <c r="B432" s="709"/>
      <c r="C432" s="709"/>
      <c r="D432" s="709"/>
      <c r="E432" s="709"/>
      <c r="F432" s="709"/>
      <c r="G432" s="709"/>
      <c r="H432" s="709"/>
      <c r="I432" s="709"/>
      <c r="J432" s="709"/>
      <c r="K432" s="709"/>
      <c r="L432" s="709"/>
      <c r="M432" s="709"/>
      <c r="N432" s="709"/>
      <c r="O432" s="709"/>
      <c r="P432" s="709"/>
      <c r="Q432" s="709"/>
      <c r="R432" s="709"/>
      <c r="S432" s="709"/>
      <c r="T432" s="709"/>
      <c r="U432" s="709"/>
      <c r="V432" s="709"/>
      <c r="BH432" s="890"/>
      <c r="BI432" s="890"/>
      <c r="BJ432" s="890"/>
      <c r="BK432" s="890"/>
      <c r="BL432" s="890"/>
      <c r="BM432" s="890"/>
      <c r="BN432" s="890"/>
      <c r="BO432" s="890"/>
      <c r="BP432" s="890"/>
      <c r="BQ432" s="890"/>
      <c r="BR432" s="890"/>
      <c r="BS432" s="890"/>
      <c r="BT432" s="890"/>
      <c r="BU432" s="890"/>
      <c r="BV432" s="890"/>
      <c r="BW432" s="890"/>
    </row>
    <row r="433" spans="1:75">
      <c r="A433" s="709"/>
      <c r="B433" s="709"/>
      <c r="C433" s="709"/>
      <c r="D433" s="709"/>
      <c r="E433" s="709"/>
      <c r="F433" s="709"/>
      <c r="G433" s="709"/>
      <c r="H433" s="709"/>
      <c r="I433" s="709"/>
      <c r="J433" s="709"/>
      <c r="K433" s="709"/>
      <c r="L433" s="709"/>
      <c r="M433" s="709"/>
      <c r="N433" s="709"/>
      <c r="O433" s="709"/>
      <c r="P433" s="709"/>
      <c r="Q433" s="709"/>
      <c r="R433" s="709"/>
      <c r="S433" s="709"/>
      <c r="T433" s="709"/>
      <c r="U433" s="709"/>
      <c r="V433" s="709"/>
      <c r="BH433" s="890"/>
      <c r="BI433" s="890"/>
      <c r="BJ433" s="890"/>
      <c r="BK433" s="890"/>
      <c r="BL433" s="890"/>
      <c r="BM433" s="890"/>
      <c r="BN433" s="890"/>
      <c r="BO433" s="890"/>
      <c r="BP433" s="890"/>
      <c r="BQ433" s="890"/>
      <c r="BR433" s="890"/>
      <c r="BS433" s="890"/>
      <c r="BT433" s="890"/>
      <c r="BU433" s="890"/>
      <c r="BV433" s="890"/>
      <c r="BW433" s="890"/>
    </row>
    <row r="434" spans="1:75">
      <c r="A434" s="709"/>
      <c r="B434" s="709"/>
      <c r="C434" s="709"/>
      <c r="D434" s="709"/>
      <c r="E434" s="709"/>
      <c r="F434" s="709"/>
      <c r="G434" s="709"/>
      <c r="H434" s="709"/>
      <c r="I434" s="709"/>
      <c r="J434" s="709"/>
      <c r="K434" s="709"/>
      <c r="L434" s="709"/>
      <c r="M434" s="709"/>
      <c r="N434" s="709"/>
      <c r="O434" s="709"/>
      <c r="P434" s="709"/>
      <c r="Q434" s="709"/>
      <c r="R434" s="709"/>
      <c r="S434" s="709"/>
      <c r="T434" s="709"/>
      <c r="U434" s="709"/>
      <c r="V434" s="709"/>
      <c r="BH434" s="890"/>
      <c r="BI434" s="890"/>
      <c r="BJ434" s="890"/>
      <c r="BK434" s="890"/>
      <c r="BL434" s="890"/>
      <c r="BM434" s="890"/>
      <c r="BN434" s="890"/>
      <c r="BO434" s="890"/>
      <c r="BP434" s="890"/>
      <c r="BQ434" s="890"/>
      <c r="BR434" s="890"/>
      <c r="BS434" s="890"/>
      <c r="BT434" s="890"/>
      <c r="BU434" s="890"/>
      <c r="BV434" s="890"/>
      <c r="BW434" s="890"/>
    </row>
    <row r="435" spans="1:75">
      <c r="A435" s="709"/>
      <c r="B435" s="709"/>
      <c r="C435" s="709"/>
      <c r="D435" s="709"/>
      <c r="E435" s="709"/>
      <c r="F435" s="709"/>
      <c r="G435" s="709"/>
      <c r="H435" s="709"/>
      <c r="I435" s="709"/>
      <c r="J435" s="709"/>
      <c r="K435" s="709"/>
      <c r="L435" s="709"/>
      <c r="M435" s="709"/>
      <c r="N435" s="709"/>
      <c r="O435" s="709"/>
      <c r="P435" s="709"/>
      <c r="Q435" s="709"/>
      <c r="R435" s="709"/>
      <c r="S435" s="709"/>
      <c r="T435" s="709"/>
      <c r="U435" s="709"/>
      <c r="V435" s="709"/>
      <c r="BH435" s="890"/>
      <c r="BI435" s="890"/>
      <c r="BJ435" s="890"/>
      <c r="BK435" s="890"/>
      <c r="BL435" s="890"/>
      <c r="BM435" s="890"/>
      <c r="BN435" s="890"/>
      <c r="BO435" s="890"/>
      <c r="BP435" s="890"/>
      <c r="BQ435" s="890"/>
      <c r="BR435" s="890"/>
      <c r="BS435" s="890"/>
      <c r="BT435" s="890"/>
      <c r="BU435" s="890"/>
      <c r="BV435" s="890"/>
      <c r="BW435" s="890"/>
    </row>
    <row r="436" spans="1:75">
      <c r="A436" s="709"/>
      <c r="B436" s="709"/>
      <c r="C436" s="709"/>
      <c r="D436" s="709"/>
      <c r="E436" s="709"/>
      <c r="F436" s="709"/>
      <c r="G436" s="709"/>
      <c r="H436" s="709"/>
      <c r="I436" s="709"/>
      <c r="J436" s="709"/>
      <c r="K436" s="709"/>
      <c r="L436" s="709"/>
      <c r="M436" s="709"/>
      <c r="N436" s="709"/>
      <c r="O436" s="709"/>
      <c r="P436" s="709"/>
      <c r="Q436" s="709"/>
      <c r="R436" s="709"/>
      <c r="S436" s="709"/>
      <c r="T436" s="709"/>
      <c r="U436" s="709"/>
      <c r="V436" s="709"/>
      <c r="BH436" s="890"/>
      <c r="BI436" s="890"/>
      <c r="BJ436" s="890"/>
      <c r="BK436" s="890"/>
      <c r="BL436" s="890"/>
      <c r="BM436" s="890"/>
      <c r="BN436" s="890"/>
      <c r="BO436" s="890"/>
      <c r="BP436" s="890"/>
      <c r="BQ436" s="890"/>
      <c r="BR436" s="890"/>
      <c r="BS436" s="890"/>
      <c r="BT436" s="890"/>
      <c r="BU436" s="890"/>
      <c r="BV436" s="890"/>
      <c r="BW436" s="890"/>
    </row>
    <row r="437" spans="1:75">
      <c r="A437" s="709"/>
      <c r="B437" s="709"/>
      <c r="C437" s="709"/>
      <c r="D437" s="709"/>
      <c r="E437" s="709"/>
      <c r="F437" s="709"/>
      <c r="G437" s="709"/>
      <c r="H437" s="709"/>
      <c r="I437" s="709"/>
      <c r="J437" s="709"/>
      <c r="K437" s="709"/>
      <c r="L437" s="709"/>
      <c r="M437" s="709"/>
      <c r="N437" s="709"/>
      <c r="O437" s="709"/>
      <c r="P437" s="709"/>
      <c r="Q437" s="709"/>
      <c r="R437" s="709"/>
      <c r="S437" s="709"/>
      <c r="T437" s="709"/>
      <c r="U437" s="709"/>
      <c r="V437" s="709"/>
      <c r="BH437" s="890"/>
      <c r="BI437" s="890"/>
      <c r="BJ437" s="890"/>
      <c r="BK437" s="890"/>
      <c r="BL437" s="890"/>
      <c r="BM437" s="890"/>
      <c r="BN437" s="890"/>
      <c r="BO437" s="890"/>
      <c r="BP437" s="890"/>
      <c r="BQ437" s="890"/>
      <c r="BR437" s="890"/>
      <c r="BS437" s="890"/>
      <c r="BT437" s="890"/>
      <c r="BU437" s="890"/>
      <c r="BV437" s="890"/>
      <c r="BW437" s="890"/>
    </row>
    <row r="438" spans="1:75">
      <c r="A438" s="709"/>
      <c r="B438" s="709"/>
      <c r="C438" s="709"/>
      <c r="D438" s="709"/>
      <c r="E438" s="709"/>
      <c r="F438" s="709"/>
      <c r="G438" s="709"/>
      <c r="H438" s="709"/>
      <c r="I438" s="709"/>
      <c r="J438" s="709"/>
      <c r="K438" s="709"/>
      <c r="L438" s="709"/>
      <c r="M438" s="709"/>
      <c r="N438" s="709"/>
      <c r="O438" s="709"/>
      <c r="P438" s="709"/>
      <c r="Q438" s="709"/>
      <c r="R438" s="709"/>
      <c r="S438" s="709"/>
      <c r="T438" s="709"/>
      <c r="U438" s="709"/>
      <c r="V438" s="709"/>
      <c r="BH438" s="890"/>
      <c r="BI438" s="890"/>
      <c r="BJ438" s="890"/>
      <c r="BK438" s="890"/>
      <c r="BL438" s="890"/>
      <c r="BM438" s="890"/>
      <c r="BN438" s="890"/>
      <c r="BO438" s="890"/>
      <c r="BP438" s="890"/>
      <c r="BQ438" s="890"/>
      <c r="BR438" s="890"/>
      <c r="BS438" s="890"/>
      <c r="BT438" s="890"/>
      <c r="BU438" s="890"/>
      <c r="BV438" s="890"/>
      <c r="BW438" s="890"/>
    </row>
    <row r="439" spans="1:75">
      <c r="A439" s="709"/>
      <c r="B439" s="709"/>
      <c r="C439" s="709"/>
      <c r="D439" s="709"/>
      <c r="E439" s="709"/>
      <c r="F439" s="709"/>
      <c r="G439" s="709"/>
      <c r="H439" s="709"/>
      <c r="I439" s="709"/>
      <c r="J439" s="709"/>
      <c r="K439" s="709"/>
      <c r="L439" s="709"/>
      <c r="M439" s="709"/>
      <c r="N439" s="709"/>
      <c r="O439" s="709"/>
      <c r="P439" s="709"/>
      <c r="Q439" s="709"/>
      <c r="R439" s="709"/>
      <c r="S439" s="709"/>
      <c r="T439" s="709"/>
      <c r="U439" s="709"/>
      <c r="V439" s="709"/>
      <c r="BH439" s="890"/>
      <c r="BI439" s="890"/>
      <c r="BJ439" s="890"/>
      <c r="BK439" s="890"/>
      <c r="BL439" s="890"/>
      <c r="BM439" s="890"/>
      <c r="BN439" s="890"/>
      <c r="BO439" s="890"/>
      <c r="BP439" s="890"/>
      <c r="BQ439" s="890"/>
      <c r="BR439" s="890"/>
      <c r="BS439" s="890"/>
      <c r="BT439" s="890"/>
      <c r="BU439" s="890"/>
      <c r="BV439" s="890"/>
      <c r="BW439" s="890"/>
    </row>
    <row r="440" spans="1:75">
      <c r="A440" s="709"/>
      <c r="B440" s="709"/>
      <c r="C440" s="709"/>
      <c r="D440" s="709"/>
      <c r="E440" s="709"/>
      <c r="F440" s="709"/>
      <c r="G440" s="709"/>
      <c r="H440" s="709"/>
      <c r="I440" s="709"/>
      <c r="J440" s="709"/>
      <c r="K440" s="709"/>
      <c r="L440" s="709"/>
      <c r="M440" s="709"/>
      <c r="N440" s="709"/>
      <c r="O440" s="709"/>
      <c r="P440" s="709"/>
      <c r="Q440" s="709"/>
      <c r="R440" s="709"/>
      <c r="S440" s="709"/>
      <c r="T440" s="709"/>
      <c r="U440" s="709"/>
      <c r="V440" s="709"/>
      <c r="BH440" s="890"/>
      <c r="BI440" s="890"/>
      <c r="BJ440" s="890"/>
      <c r="BK440" s="890"/>
      <c r="BL440" s="890"/>
      <c r="BM440" s="890"/>
      <c r="BN440" s="890"/>
      <c r="BO440" s="890"/>
      <c r="BP440" s="890"/>
      <c r="BQ440" s="890"/>
      <c r="BR440" s="890"/>
      <c r="BS440" s="890"/>
      <c r="BT440" s="890"/>
      <c r="BU440" s="890"/>
      <c r="BV440" s="890"/>
      <c r="BW440" s="890"/>
    </row>
    <row r="441" spans="1:75">
      <c r="A441" s="709"/>
      <c r="B441" s="709"/>
      <c r="C441" s="709"/>
      <c r="D441" s="709"/>
      <c r="E441" s="709"/>
      <c r="F441" s="709"/>
      <c r="G441" s="709"/>
      <c r="H441" s="709"/>
      <c r="I441" s="709"/>
      <c r="J441" s="709"/>
      <c r="K441" s="709"/>
      <c r="L441" s="709"/>
      <c r="M441" s="709"/>
      <c r="N441" s="709"/>
      <c r="O441" s="709"/>
      <c r="P441" s="709"/>
      <c r="Q441" s="709"/>
      <c r="R441" s="709"/>
      <c r="S441" s="709"/>
      <c r="T441" s="709"/>
      <c r="U441" s="709"/>
      <c r="V441" s="709"/>
      <c r="BH441" s="890"/>
      <c r="BI441" s="890"/>
      <c r="BJ441" s="890"/>
      <c r="BK441" s="890"/>
      <c r="BL441" s="890"/>
      <c r="BM441" s="890"/>
      <c r="BN441" s="890"/>
      <c r="BO441" s="890"/>
      <c r="BP441" s="890"/>
      <c r="BQ441" s="890"/>
      <c r="BR441" s="890"/>
      <c r="BS441" s="890"/>
      <c r="BT441" s="890"/>
      <c r="BU441" s="890"/>
      <c r="BV441" s="890"/>
      <c r="BW441" s="890"/>
    </row>
    <row r="442" spans="1:75">
      <c r="A442" s="709"/>
      <c r="B442" s="709"/>
      <c r="C442" s="709"/>
      <c r="D442" s="709"/>
      <c r="E442" s="709"/>
      <c r="F442" s="709"/>
      <c r="G442" s="709"/>
      <c r="H442" s="709"/>
      <c r="I442" s="709"/>
      <c r="J442" s="709"/>
      <c r="K442" s="709"/>
      <c r="L442" s="709"/>
      <c r="M442" s="709"/>
      <c r="N442" s="709"/>
      <c r="O442" s="709"/>
      <c r="P442" s="709"/>
      <c r="Q442" s="709"/>
      <c r="R442" s="709"/>
      <c r="S442" s="709"/>
      <c r="T442" s="709"/>
      <c r="U442" s="709"/>
      <c r="V442" s="709"/>
      <c r="BH442" s="890"/>
      <c r="BI442" s="890"/>
      <c r="BJ442" s="890"/>
      <c r="BK442" s="890"/>
      <c r="BL442" s="890"/>
      <c r="BM442" s="890"/>
      <c r="BN442" s="890"/>
      <c r="BO442" s="890"/>
      <c r="BP442" s="890"/>
      <c r="BQ442" s="890"/>
      <c r="BR442" s="890"/>
      <c r="BS442" s="890"/>
      <c r="BT442" s="890"/>
      <c r="BU442" s="890"/>
      <c r="BV442" s="890"/>
      <c r="BW442" s="890"/>
    </row>
    <row r="443" spans="1:75">
      <c r="A443" s="709"/>
      <c r="B443" s="709"/>
      <c r="C443" s="709"/>
      <c r="D443" s="709"/>
      <c r="E443" s="709"/>
      <c r="F443" s="709"/>
      <c r="G443" s="709"/>
      <c r="H443" s="709"/>
      <c r="I443" s="709"/>
      <c r="J443" s="709"/>
      <c r="K443" s="709"/>
      <c r="L443" s="709"/>
      <c r="M443" s="709"/>
      <c r="N443" s="709"/>
      <c r="O443" s="709"/>
      <c r="P443" s="709"/>
      <c r="Q443" s="709"/>
      <c r="R443" s="709"/>
      <c r="S443" s="709"/>
      <c r="T443" s="709"/>
      <c r="U443" s="709"/>
      <c r="V443" s="709"/>
      <c r="BH443" s="890"/>
      <c r="BI443" s="890"/>
      <c r="BJ443" s="890"/>
      <c r="BK443" s="890"/>
      <c r="BL443" s="890"/>
      <c r="BM443" s="890"/>
      <c r="BN443" s="890"/>
      <c r="BO443" s="890"/>
      <c r="BP443" s="890"/>
      <c r="BQ443" s="890"/>
      <c r="BR443" s="890"/>
      <c r="BS443" s="890"/>
      <c r="BT443" s="890"/>
      <c r="BU443" s="890"/>
      <c r="BV443" s="890"/>
      <c r="BW443" s="890"/>
    </row>
    <row r="444" spans="1:75">
      <c r="A444" s="709"/>
      <c r="B444" s="709"/>
      <c r="C444" s="709"/>
      <c r="D444" s="709"/>
      <c r="E444" s="709"/>
      <c r="F444" s="709"/>
      <c r="G444" s="709"/>
      <c r="H444" s="709"/>
      <c r="I444" s="709"/>
      <c r="J444" s="709"/>
      <c r="K444" s="709"/>
      <c r="L444" s="709"/>
      <c r="M444" s="709"/>
      <c r="N444" s="709"/>
      <c r="O444" s="709"/>
      <c r="P444" s="709"/>
      <c r="Q444" s="709"/>
      <c r="R444" s="709"/>
      <c r="S444" s="709"/>
      <c r="T444" s="709"/>
      <c r="U444" s="709"/>
      <c r="V444" s="709"/>
      <c r="BH444" s="890"/>
      <c r="BI444" s="890"/>
      <c r="BJ444" s="890"/>
      <c r="BK444" s="890"/>
      <c r="BL444" s="890"/>
      <c r="BM444" s="890"/>
      <c r="BN444" s="890"/>
      <c r="BO444" s="890"/>
      <c r="BP444" s="890"/>
      <c r="BQ444" s="890"/>
      <c r="BR444" s="890"/>
      <c r="BS444" s="890"/>
      <c r="BT444" s="890"/>
      <c r="BU444" s="890"/>
      <c r="BV444" s="890"/>
      <c r="BW444" s="890"/>
    </row>
    <row r="445" spans="1:75">
      <c r="A445" s="709"/>
      <c r="B445" s="709"/>
      <c r="C445" s="709"/>
      <c r="D445" s="709"/>
      <c r="E445" s="709"/>
      <c r="F445" s="709"/>
      <c r="G445" s="709"/>
      <c r="H445" s="709"/>
      <c r="I445" s="709"/>
      <c r="J445" s="709"/>
      <c r="K445" s="709"/>
      <c r="L445" s="709"/>
      <c r="M445" s="709"/>
      <c r="N445" s="709"/>
      <c r="O445" s="709"/>
      <c r="P445" s="709"/>
      <c r="Q445" s="709"/>
      <c r="R445" s="709"/>
      <c r="S445" s="709"/>
      <c r="T445" s="709"/>
      <c r="U445" s="709"/>
      <c r="V445" s="709"/>
      <c r="BH445" s="890"/>
      <c r="BI445" s="890"/>
      <c r="BJ445" s="890"/>
      <c r="BK445" s="890"/>
      <c r="BL445" s="890"/>
      <c r="BM445" s="890"/>
      <c r="BN445" s="890"/>
      <c r="BO445" s="890"/>
      <c r="BP445" s="890"/>
      <c r="BQ445" s="890"/>
      <c r="BR445" s="890"/>
      <c r="BS445" s="890"/>
      <c r="BT445" s="890"/>
      <c r="BU445" s="890"/>
      <c r="BV445" s="890"/>
      <c r="BW445" s="890"/>
    </row>
    <row r="446" spans="1:75">
      <c r="A446" s="709"/>
      <c r="B446" s="709"/>
      <c r="C446" s="709"/>
      <c r="D446" s="709"/>
      <c r="E446" s="709"/>
      <c r="F446" s="709"/>
      <c r="G446" s="709"/>
      <c r="H446" s="709"/>
      <c r="I446" s="709"/>
      <c r="J446" s="709"/>
      <c r="K446" s="709"/>
      <c r="L446" s="709"/>
      <c r="M446" s="709"/>
      <c r="N446" s="709"/>
      <c r="O446" s="709"/>
      <c r="P446" s="709"/>
      <c r="Q446" s="709"/>
      <c r="R446" s="709"/>
      <c r="S446" s="709"/>
      <c r="T446" s="709"/>
      <c r="U446" s="709"/>
      <c r="V446" s="709"/>
      <c r="BH446" s="890"/>
      <c r="BI446" s="890"/>
      <c r="BJ446" s="890"/>
      <c r="BK446" s="890"/>
      <c r="BL446" s="890"/>
      <c r="BM446" s="890"/>
      <c r="BN446" s="890"/>
      <c r="BO446" s="890"/>
      <c r="BP446" s="890"/>
      <c r="BQ446" s="890"/>
      <c r="BR446" s="890"/>
      <c r="BS446" s="890"/>
      <c r="BT446" s="890"/>
      <c r="BU446" s="890"/>
      <c r="BV446" s="890"/>
      <c r="BW446" s="890"/>
    </row>
    <row r="447" spans="1:75">
      <c r="A447" s="709"/>
      <c r="B447" s="709"/>
      <c r="C447" s="709"/>
      <c r="D447" s="709"/>
      <c r="E447" s="709"/>
      <c r="F447" s="709"/>
      <c r="G447" s="709"/>
      <c r="H447" s="709"/>
      <c r="I447" s="709"/>
      <c r="J447" s="709"/>
      <c r="K447" s="709"/>
      <c r="L447" s="709"/>
      <c r="M447" s="709"/>
      <c r="N447" s="709"/>
      <c r="O447" s="709"/>
      <c r="P447" s="709"/>
      <c r="Q447" s="709"/>
      <c r="R447" s="709"/>
      <c r="S447" s="709"/>
      <c r="T447" s="709"/>
      <c r="U447" s="709"/>
      <c r="V447" s="709"/>
      <c r="BH447" s="890"/>
      <c r="BI447" s="890"/>
      <c r="BJ447" s="890"/>
      <c r="BK447" s="890"/>
      <c r="BL447" s="890"/>
      <c r="BM447" s="890"/>
      <c r="BN447" s="890"/>
      <c r="BO447" s="890"/>
      <c r="BP447" s="890"/>
      <c r="BQ447" s="890"/>
      <c r="BR447" s="890"/>
      <c r="BS447" s="890"/>
      <c r="BT447" s="890"/>
      <c r="BU447" s="890"/>
      <c r="BV447" s="890"/>
      <c r="BW447" s="890"/>
    </row>
    <row r="448" spans="1:75">
      <c r="A448" s="709"/>
      <c r="B448" s="709"/>
      <c r="C448" s="709"/>
      <c r="D448" s="709"/>
      <c r="E448" s="709"/>
      <c r="F448" s="709"/>
      <c r="G448" s="709"/>
      <c r="H448" s="709"/>
      <c r="I448" s="709"/>
      <c r="J448" s="709"/>
      <c r="K448" s="709"/>
      <c r="L448" s="709"/>
      <c r="M448" s="709"/>
      <c r="N448" s="709"/>
      <c r="O448" s="709"/>
      <c r="P448" s="709"/>
      <c r="Q448" s="709"/>
      <c r="R448" s="709"/>
      <c r="S448" s="709"/>
      <c r="T448" s="709"/>
      <c r="U448" s="709"/>
      <c r="V448" s="709"/>
      <c r="BH448" s="890"/>
      <c r="BI448" s="890"/>
      <c r="BJ448" s="890"/>
      <c r="BK448" s="890"/>
      <c r="BL448" s="890"/>
      <c r="BM448" s="890"/>
      <c r="BN448" s="890"/>
      <c r="BO448" s="890"/>
      <c r="BP448" s="890"/>
      <c r="BQ448" s="890"/>
      <c r="BR448" s="890"/>
      <c r="BS448" s="890"/>
      <c r="BT448" s="890"/>
      <c r="BU448" s="890"/>
      <c r="BV448" s="890"/>
      <c r="BW448" s="890"/>
    </row>
    <row r="449" spans="1:75">
      <c r="A449" s="709"/>
      <c r="B449" s="709"/>
      <c r="C449" s="709"/>
      <c r="D449" s="709"/>
      <c r="E449" s="709"/>
      <c r="F449" s="709"/>
      <c r="G449" s="709"/>
      <c r="H449" s="709"/>
      <c r="I449" s="709"/>
      <c r="J449" s="709"/>
      <c r="K449" s="709"/>
      <c r="L449" s="709"/>
      <c r="M449" s="709"/>
      <c r="N449" s="709"/>
      <c r="O449" s="709"/>
      <c r="P449" s="709"/>
      <c r="Q449" s="709"/>
      <c r="R449" s="709"/>
      <c r="S449" s="709"/>
      <c r="T449" s="709"/>
      <c r="U449" s="709"/>
      <c r="V449" s="709"/>
      <c r="BH449" s="890"/>
      <c r="BI449" s="890"/>
      <c r="BJ449" s="890"/>
      <c r="BK449" s="890"/>
      <c r="BL449" s="890"/>
      <c r="BM449" s="890"/>
      <c r="BN449" s="890"/>
      <c r="BO449" s="890"/>
      <c r="BP449" s="890"/>
      <c r="BQ449" s="890"/>
      <c r="BR449" s="890"/>
      <c r="BS449" s="890"/>
      <c r="BT449" s="890"/>
      <c r="BU449" s="890"/>
      <c r="BV449" s="890"/>
      <c r="BW449" s="890"/>
    </row>
    <row r="450" spans="1:75">
      <c r="A450" s="709"/>
      <c r="B450" s="709"/>
      <c r="C450" s="709"/>
      <c r="D450" s="709"/>
      <c r="E450" s="709"/>
      <c r="F450" s="709"/>
      <c r="G450" s="709"/>
      <c r="H450" s="709"/>
      <c r="I450" s="709"/>
      <c r="J450" s="709"/>
      <c r="K450" s="709"/>
      <c r="L450" s="709"/>
      <c r="M450" s="709"/>
      <c r="N450" s="709"/>
      <c r="O450" s="709"/>
      <c r="P450" s="709"/>
      <c r="Q450" s="709"/>
      <c r="R450" s="709"/>
      <c r="S450" s="709"/>
      <c r="T450" s="709"/>
      <c r="U450" s="709"/>
      <c r="V450" s="709"/>
      <c r="BH450" s="890"/>
      <c r="BI450" s="890"/>
      <c r="BJ450" s="890"/>
      <c r="BK450" s="890"/>
      <c r="BL450" s="890"/>
      <c r="BM450" s="890"/>
      <c r="BN450" s="890"/>
      <c r="BO450" s="890"/>
      <c r="BP450" s="890"/>
      <c r="BQ450" s="890"/>
      <c r="BR450" s="890"/>
      <c r="BS450" s="890"/>
      <c r="BT450" s="890"/>
      <c r="BU450" s="890"/>
      <c r="BV450" s="890"/>
      <c r="BW450" s="890"/>
    </row>
    <row r="451" spans="1:75">
      <c r="A451" s="709"/>
      <c r="B451" s="709"/>
      <c r="C451" s="709"/>
      <c r="D451" s="709"/>
      <c r="E451" s="709"/>
      <c r="F451" s="709"/>
      <c r="G451" s="709"/>
      <c r="H451" s="709"/>
      <c r="I451" s="709"/>
      <c r="J451" s="709"/>
      <c r="K451" s="709"/>
      <c r="L451" s="709"/>
      <c r="M451" s="709"/>
      <c r="N451" s="709"/>
      <c r="O451" s="709"/>
      <c r="P451" s="709"/>
      <c r="Q451" s="709"/>
      <c r="R451" s="709"/>
      <c r="S451" s="709"/>
      <c r="T451" s="709"/>
      <c r="U451" s="709"/>
      <c r="V451" s="709"/>
      <c r="BH451" s="890"/>
      <c r="BI451" s="890"/>
      <c r="BJ451" s="890"/>
      <c r="BK451" s="890"/>
      <c r="BL451" s="890"/>
      <c r="BM451" s="890"/>
      <c r="BN451" s="890"/>
      <c r="BO451" s="890"/>
      <c r="BP451" s="890"/>
      <c r="BQ451" s="890"/>
      <c r="BR451" s="890"/>
      <c r="BS451" s="890"/>
      <c r="BT451" s="890"/>
      <c r="BU451" s="890"/>
      <c r="BV451" s="890"/>
      <c r="BW451" s="890"/>
    </row>
    <row r="452" spans="1:75">
      <c r="A452" s="709"/>
      <c r="B452" s="709"/>
      <c r="C452" s="709"/>
      <c r="D452" s="709"/>
      <c r="E452" s="709"/>
      <c r="F452" s="709"/>
      <c r="G452" s="709"/>
      <c r="H452" s="709"/>
      <c r="I452" s="709"/>
      <c r="J452" s="709"/>
      <c r="K452" s="709"/>
      <c r="L452" s="709"/>
      <c r="M452" s="709"/>
      <c r="N452" s="709"/>
      <c r="O452" s="709"/>
      <c r="P452" s="709"/>
      <c r="Q452" s="709"/>
      <c r="R452" s="709"/>
      <c r="S452" s="709"/>
      <c r="T452" s="709"/>
      <c r="U452" s="709"/>
      <c r="V452" s="709"/>
      <c r="BH452" s="890"/>
      <c r="BI452" s="890"/>
      <c r="BJ452" s="890"/>
      <c r="BK452" s="890"/>
      <c r="BL452" s="890"/>
      <c r="BM452" s="890"/>
      <c r="BN452" s="890"/>
      <c r="BO452" s="890"/>
      <c r="BP452" s="890"/>
      <c r="BQ452" s="890"/>
      <c r="BR452" s="890"/>
      <c r="BS452" s="890"/>
      <c r="BT452" s="890"/>
      <c r="BU452" s="890"/>
      <c r="BV452" s="890"/>
      <c r="BW452" s="890"/>
    </row>
    <row r="453" spans="1:75">
      <c r="A453" s="709"/>
      <c r="B453" s="709"/>
      <c r="C453" s="709"/>
      <c r="D453" s="709"/>
      <c r="E453" s="709"/>
      <c r="F453" s="709"/>
      <c r="G453" s="709"/>
      <c r="H453" s="709"/>
      <c r="I453" s="709"/>
      <c r="J453" s="709"/>
      <c r="K453" s="709"/>
      <c r="L453" s="709"/>
      <c r="M453" s="709"/>
      <c r="N453" s="709"/>
      <c r="O453" s="709"/>
      <c r="P453" s="709"/>
      <c r="Q453" s="709"/>
      <c r="R453" s="709"/>
      <c r="S453" s="709"/>
      <c r="T453" s="709"/>
      <c r="U453" s="709"/>
      <c r="V453" s="709"/>
      <c r="BH453" s="890"/>
      <c r="BI453" s="890"/>
      <c r="BJ453" s="890"/>
      <c r="BK453" s="890"/>
      <c r="BL453" s="890"/>
      <c r="BM453" s="890"/>
      <c r="BN453" s="890"/>
      <c r="BO453" s="890"/>
      <c r="BP453" s="890"/>
      <c r="BQ453" s="890"/>
      <c r="BR453" s="890"/>
      <c r="BS453" s="890"/>
      <c r="BT453" s="890"/>
      <c r="BU453" s="890"/>
      <c r="BV453" s="890"/>
      <c r="BW453" s="890"/>
    </row>
    <row r="454" spans="1:75">
      <c r="A454" s="709"/>
      <c r="B454" s="709"/>
      <c r="C454" s="709"/>
      <c r="D454" s="709"/>
      <c r="E454" s="709"/>
      <c r="F454" s="709"/>
      <c r="G454" s="709"/>
      <c r="H454" s="709"/>
      <c r="I454" s="709"/>
      <c r="J454" s="709"/>
      <c r="K454" s="709"/>
      <c r="L454" s="709"/>
      <c r="M454" s="709"/>
      <c r="N454" s="709"/>
      <c r="O454" s="709"/>
      <c r="P454" s="709"/>
      <c r="Q454" s="709"/>
      <c r="R454" s="709"/>
      <c r="S454" s="709"/>
      <c r="T454" s="709"/>
      <c r="U454" s="709"/>
      <c r="V454" s="709"/>
      <c r="BH454" s="890"/>
      <c r="BI454" s="890"/>
      <c r="BJ454" s="890"/>
      <c r="BK454" s="890"/>
      <c r="BL454" s="890"/>
      <c r="BM454" s="890"/>
      <c r="BN454" s="890"/>
      <c r="BO454" s="890"/>
      <c r="BP454" s="890"/>
      <c r="BQ454" s="890"/>
      <c r="BR454" s="890"/>
      <c r="BS454" s="890"/>
      <c r="BT454" s="890"/>
      <c r="BU454" s="890"/>
      <c r="BV454" s="890"/>
      <c r="BW454" s="890"/>
    </row>
    <row r="455" spans="1:75">
      <c r="A455" s="709"/>
      <c r="B455" s="709"/>
      <c r="C455" s="709"/>
      <c r="D455" s="709"/>
      <c r="E455" s="709"/>
      <c r="F455" s="709"/>
      <c r="G455" s="709"/>
      <c r="H455" s="709"/>
      <c r="I455" s="709"/>
      <c r="J455" s="709"/>
      <c r="K455" s="709"/>
      <c r="L455" s="709"/>
      <c r="M455" s="709"/>
      <c r="N455" s="709"/>
      <c r="O455" s="709"/>
      <c r="P455" s="709"/>
      <c r="Q455" s="709"/>
      <c r="R455" s="709"/>
      <c r="S455" s="709"/>
      <c r="T455" s="709"/>
      <c r="U455" s="709"/>
      <c r="V455" s="709"/>
      <c r="BH455" s="890"/>
      <c r="BI455" s="890"/>
      <c r="BJ455" s="890"/>
      <c r="BK455" s="890"/>
      <c r="BL455" s="890"/>
      <c r="BM455" s="890"/>
      <c r="BN455" s="890"/>
      <c r="BO455" s="890"/>
      <c r="BP455" s="890"/>
      <c r="BQ455" s="890"/>
      <c r="BR455" s="890"/>
      <c r="BS455" s="890"/>
      <c r="BT455" s="890"/>
      <c r="BU455" s="890"/>
      <c r="BV455" s="890"/>
      <c r="BW455" s="890"/>
    </row>
    <row r="456" spans="1:75">
      <c r="A456" s="709"/>
      <c r="B456" s="709"/>
      <c r="C456" s="709"/>
      <c r="D456" s="709"/>
      <c r="E456" s="709"/>
      <c r="F456" s="709"/>
      <c r="G456" s="709"/>
      <c r="H456" s="709"/>
      <c r="I456" s="709"/>
      <c r="J456" s="709"/>
      <c r="K456" s="709"/>
      <c r="L456" s="709"/>
      <c r="M456" s="709"/>
      <c r="N456" s="709"/>
      <c r="O456" s="709"/>
      <c r="P456" s="709"/>
      <c r="Q456" s="709"/>
      <c r="R456" s="709"/>
      <c r="S456" s="709"/>
      <c r="T456" s="709"/>
      <c r="U456" s="709"/>
      <c r="V456" s="709"/>
      <c r="BH456" s="890"/>
      <c r="BI456" s="890"/>
      <c r="BJ456" s="890"/>
      <c r="BK456" s="890"/>
      <c r="BL456" s="890"/>
      <c r="BM456" s="890"/>
      <c r="BN456" s="890"/>
      <c r="BO456" s="890"/>
      <c r="BP456" s="890"/>
      <c r="BQ456" s="890"/>
      <c r="BR456" s="890"/>
      <c r="BS456" s="890"/>
      <c r="BT456" s="890"/>
      <c r="BU456" s="890"/>
      <c r="BV456" s="890"/>
      <c r="BW456" s="890"/>
    </row>
    <row r="457" spans="1:75">
      <c r="A457" s="709"/>
      <c r="B457" s="709"/>
      <c r="C457" s="709"/>
      <c r="D457" s="709"/>
      <c r="E457" s="709"/>
      <c r="F457" s="709"/>
      <c r="G457" s="709"/>
      <c r="H457" s="709"/>
      <c r="I457" s="709"/>
      <c r="J457" s="709"/>
      <c r="K457" s="709"/>
      <c r="L457" s="709"/>
      <c r="M457" s="709"/>
      <c r="N457" s="709"/>
      <c r="O457" s="709"/>
      <c r="P457" s="709"/>
      <c r="Q457" s="709"/>
      <c r="R457" s="709"/>
      <c r="S457" s="709"/>
      <c r="T457" s="709"/>
      <c r="U457" s="709"/>
      <c r="V457" s="709"/>
      <c r="BH457" s="890"/>
      <c r="BI457" s="890"/>
      <c r="BJ457" s="890"/>
      <c r="BK457" s="890"/>
      <c r="BL457" s="890"/>
      <c r="BM457" s="890"/>
      <c r="BN457" s="890"/>
      <c r="BO457" s="890"/>
      <c r="BP457" s="890"/>
      <c r="BQ457" s="890"/>
      <c r="BR457" s="890"/>
      <c r="BS457" s="890"/>
      <c r="BT457" s="890"/>
      <c r="BU457" s="890"/>
      <c r="BV457" s="890"/>
      <c r="BW457" s="890"/>
    </row>
    <row r="458" spans="1:75">
      <c r="A458" s="709"/>
      <c r="B458" s="709"/>
      <c r="C458" s="709"/>
      <c r="D458" s="709"/>
      <c r="E458" s="709"/>
      <c r="F458" s="709"/>
      <c r="G458" s="709"/>
      <c r="H458" s="709"/>
      <c r="I458" s="709"/>
      <c r="J458" s="709"/>
      <c r="K458" s="709"/>
      <c r="L458" s="709"/>
      <c r="M458" s="709"/>
      <c r="N458" s="709"/>
      <c r="O458" s="709"/>
      <c r="P458" s="709"/>
      <c r="Q458" s="709"/>
      <c r="R458" s="709"/>
      <c r="S458" s="709"/>
      <c r="T458" s="709"/>
      <c r="U458" s="709"/>
      <c r="V458" s="709"/>
      <c r="BH458" s="890"/>
      <c r="BI458" s="890"/>
      <c r="BJ458" s="890"/>
      <c r="BK458" s="890"/>
      <c r="BL458" s="890"/>
      <c r="BM458" s="890"/>
      <c r="BN458" s="890"/>
      <c r="BO458" s="890"/>
      <c r="BP458" s="890"/>
      <c r="BQ458" s="890"/>
      <c r="BR458" s="890"/>
      <c r="BS458" s="890"/>
      <c r="BT458" s="890"/>
      <c r="BU458" s="890"/>
      <c r="BV458" s="890"/>
      <c r="BW458" s="890"/>
    </row>
    <row r="459" spans="1:75">
      <c r="A459" s="709"/>
      <c r="B459" s="709"/>
      <c r="C459" s="709"/>
      <c r="D459" s="709"/>
      <c r="E459" s="709"/>
      <c r="F459" s="709"/>
      <c r="G459" s="709"/>
      <c r="H459" s="709"/>
      <c r="I459" s="709"/>
      <c r="J459" s="709"/>
      <c r="K459" s="709"/>
      <c r="L459" s="709"/>
      <c r="M459" s="709"/>
      <c r="N459" s="709"/>
      <c r="O459" s="709"/>
      <c r="P459" s="709"/>
      <c r="Q459" s="709"/>
      <c r="R459" s="709"/>
      <c r="S459" s="709"/>
      <c r="T459" s="709"/>
      <c r="U459" s="709"/>
      <c r="V459" s="709"/>
      <c r="BH459" s="890"/>
      <c r="BI459" s="890"/>
      <c r="BJ459" s="890"/>
      <c r="BK459" s="890"/>
      <c r="BL459" s="890"/>
      <c r="BM459" s="890"/>
      <c r="BN459" s="890"/>
      <c r="BO459" s="890"/>
      <c r="BP459" s="890"/>
      <c r="BQ459" s="890"/>
      <c r="BR459" s="890"/>
      <c r="BS459" s="890"/>
      <c r="BT459" s="890"/>
      <c r="BU459" s="890"/>
      <c r="BV459" s="890"/>
      <c r="BW459" s="890"/>
    </row>
    <row r="460" spans="1:75">
      <c r="A460" s="709"/>
      <c r="B460" s="709"/>
      <c r="C460" s="709"/>
      <c r="D460" s="709"/>
      <c r="E460" s="709"/>
      <c r="F460" s="709"/>
      <c r="G460" s="709"/>
      <c r="H460" s="709"/>
      <c r="I460" s="709"/>
      <c r="J460" s="709"/>
      <c r="K460" s="709"/>
      <c r="L460" s="709"/>
      <c r="M460" s="709"/>
      <c r="N460" s="709"/>
      <c r="O460" s="709"/>
      <c r="P460" s="709"/>
      <c r="Q460" s="709"/>
      <c r="R460" s="709"/>
      <c r="S460" s="709"/>
      <c r="T460" s="709"/>
      <c r="U460" s="709"/>
      <c r="V460" s="709"/>
      <c r="BH460" s="890"/>
      <c r="BI460" s="890"/>
      <c r="BJ460" s="890"/>
      <c r="BK460" s="890"/>
      <c r="BL460" s="890"/>
      <c r="BM460" s="890"/>
      <c r="BN460" s="890"/>
      <c r="BO460" s="890"/>
      <c r="BP460" s="890"/>
      <c r="BQ460" s="890"/>
      <c r="BR460" s="890"/>
      <c r="BS460" s="890"/>
      <c r="BT460" s="890"/>
      <c r="BU460" s="890"/>
      <c r="BV460" s="890"/>
      <c r="BW460" s="890"/>
    </row>
    <row r="461" spans="1:75">
      <c r="A461" s="709"/>
      <c r="B461" s="709"/>
      <c r="C461" s="709"/>
      <c r="D461" s="709"/>
      <c r="E461" s="709"/>
      <c r="F461" s="709"/>
      <c r="G461" s="709"/>
      <c r="H461" s="709"/>
      <c r="I461" s="709"/>
      <c r="J461" s="709"/>
      <c r="K461" s="709"/>
      <c r="L461" s="709"/>
      <c r="M461" s="709"/>
      <c r="N461" s="709"/>
      <c r="O461" s="709"/>
      <c r="P461" s="709"/>
      <c r="Q461" s="709"/>
      <c r="R461" s="709"/>
      <c r="S461" s="709"/>
      <c r="T461" s="709"/>
      <c r="U461" s="709"/>
      <c r="V461" s="709"/>
      <c r="BH461" s="890"/>
      <c r="BI461" s="890"/>
      <c r="BJ461" s="890"/>
      <c r="BK461" s="890"/>
      <c r="BL461" s="890"/>
      <c r="BM461" s="890"/>
      <c r="BN461" s="890"/>
      <c r="BO461" s="890"/>
      <c r="BP461" s="890"/>
      <c r="BQ461" s="890"/>
      <c r="BR461" s="890"/>
      <c r="BS461" s="890"/>
      <c r="BT461" s="890"/>
      <c r="BU461" s="890"/>
      <c r="BV461" s="890"/>
      <c r="BW461" s="890"/>
    </row>
    <row r="462" spans="1:75">
      <c r="A462" s="709"/>
      <c r="B462" s="709"/>
      <c r="C462" s="709"/>
      <c r="D462" s="709"/>
      <c r="E462" s="709"/>
      <c r="F462" s="709"/>
      <c r="G462" s="709"/>
      <c r="H462" s="709"/>
      <c r="I462" s="709"/>
      <c r="J462" s="709"/>
      <c r="K462" s="709"/>
      <c r="L462" s="709"/>
      <c r="M462" s="709"/>
      <c r="N462" s="709"/>
      <c r="O462" s="709"/>
      <c r="P462" s="709"/>
      <c r="Q462" s="709"/>
      <c r="R462" s="709"/>
      <c r="S462" s="709"/>
      <c r="T462" s="709"/>
      <c r="U462" s="709"/>
      <c r="V462" s="709"/>
      <c r="BH462" s="890"/>
      <c r="BI462" s="890"/>
      <c r="BJ462" s="890"/>
      <c r="BK462" s="890"/>
      <c r="BL462" s="890"/>
      <c r="BM462" s="890"/>
      <c r="BN462" s="890"/>
      <c r="BO462" s="890"/>
      <c r="BP462" s="890"/>
      <c r="BQ462" s="890"/>
      <c r="BR462" s="890"/>
      <c r="BS462" s="890"/>
      <c r="BT462" s="890"/>
      <c r="BU462" s="890"/>
      <c r="BV462" s="890"/>
      <c r="BW462" s="890"/>
    </row>
    <row r="463" spans="1:75">
      <c r="A463" s="709"/>
      <c r="B463" s="709"/>
      <c r="C463" s="709"/>
      <c r="D463" s="709"/>
      <c r="E463" s="709"/>
      <c r="F463" s="709"/>
      <c r="G463" s="709"/>
      <c r="H463" s="709"/>
      <c r="I463" s="709"/>
      <c r="J463" s="709"/>
      <c r="K463" s="709"/>
      <c r="L463" s="709"/>
      <c r="M463" s="709"/>
      <c r="N463" s="709"/>
      <c r="O463" s="709"/>
      <c r="P463" s="709"/>
      <c r="Q463" s="709"/>
      <c r="R463" s="709"/>
      <c r="S463" s="709"/>
      <c r="T463" s="709"/>
      <c r="U463" s="709"/>
      <c r="V463" s="709"/>
      <c r="BH463" s="890"/>
      <c r="BI463" s="890"/>
      <c r="BJ463" s="890"/>
      <c r="BK463" s="890"/>
      <c r="BL463" s="890"/>
      <c r="BM463" s="890"/>
      <c r="BN463" s="890"/>
      <c r="BO463" s="890"/>
      <c r="BP463" s="890"/>
      <c r="BQ463" s="890"/>
      <c r="BR463" s="890"/>
      <c r="BS463" s="890"/>
      <c r="BT463" s="890"/>
      <c r="BU463" s="890"/>
      <c r="BV463" s="890"/>
      <c r="BW463" s="890"/>
    </row>
    <row r="464" spans="1:75">
      <c r="A464" s="709"/>
      <c r="B464" s="709"/>
      <c r="C464" s="709"/>
      <c r="D464" s="709"/>
      <c r="E464" s="709"/>
      <c r="F464" s="709"/>
      <c r="G464" s="709"/>
      <c r="H464" s="709"/>
      <c r="I464" s="709"/>
      <c r="J464" s="709"/>
      <c r="K464" s="709"/>
      <c r="L464" s="709"/>
      <c r="M464" s="709"/>
      <c r="N464" s="709"/>
      <c r="O464" s="709"/>
      <c r="P464" s="709"/>
      <c r="Q464" s="709"/>
      <c r="R464" s="709"/>
      <c r="S464" s="709"/>
      <c r="T464" s="709"/>
      <c r="U464" s="709"/>
      <c r="V464" s="709"/>
      <c r="BH464" s="890"/>
      <c r="BI464" s="890"/>
      <c r="BJ464" s="890"/>
      <c r="BK464" s="890"/>
      <c r="BL464" s="890"/>
      <c r="BM464" s="890"/>
      <c r="BN464" s="890"/>
      <c r="BO464" s="890"/>
      <c r="BP464" s="890"/>
      <c r="BQ464" s="890"/>
      <c r="BR464" s="890"/>
      <c r="BS464" s="890"/>
      <c r="BT464" s="890"/>
      <c r="BU464" s="890"/>
      <c r="BV464" s="890"/>
      <c r="BW464" s="890"/>
    </row>
    <row r="465" spans="1:75">
      <c r="A465" s="709"/>
      <c r="B465" s="709"/>
      <c r="C465" s="709"/>
      <c r="D465" s="709"/>
      <c r="E465" s="709"/>
      <c r="F465" s="709"/>
      <c r="G465" s="709"/>
      <c r="H465" s="709"/>
      <c r="I465" s="709"/>
      <c r="J465" s="709"/>
      <c r="K465" s="709"/>
      <c r="L465" s="709"/>
      <c r="M465" s="709"/>
      <c r="N465" s="709"/>
      <c r="O465" s="709"/>
      <c r="P465" s="709"/>
      <c r="Q465" s="709"/>
      <c r="R465" s="709"/>
      <c r="S465" s="709"/>
      <c r="T465" s="709"/>
      <c r="U465" s="709"/>
      <c r="V465" s="709"/>
      <c r="BH465" s="890"/>
      <c r="BI465" s="890"/>
      <c r="BJ465" s="890"/>
      <c r="BK465" s="890"/>
      <c r="BL465" s="890"/>
      <c r="BM465" s="890"/>
      <c r="BN465" s="890"/>
      <c r="BO465" s="890"/>
      <c r="BP465" s="890"/>
      <c r="BQ465" s="890"/>
      <c r="BR465" s="890"/>
      <c r="BS465" s="890"/>
      <c r="BT465" s="890"/>
      <c r="BU465" s="890"/>
      <c r="BV465" s="890"/>
      <c r="BW465" s="890"/>
    </row>
    <row r="466" spans="1:75">
      <c r="A466" s="709"/>
      <c r="B466" s="709"/>
      <c r="C466" s="709"/>
      <c r="D466" s="709"/>
      <c r="E466" s="709"/>
      <c r="F466" s="709"/>
      <c r="G466" s="709"/>
      <c r="H466" s="709"/>
      <c r="I466" s="709"/>
      <c r="J466" s="709"/>
      <c r="K466" s="709"/>
      <c r="L466" s="709"/>
      <c r="M466" s="709"/>
      <c r="N466" s="709"/>
      <c r="O466" s="709"/>
      <c r="P466" s="709"/>
      <c r="Q466" s="709"/>
      <c r="R466" s="709"/>
      <c r="S466" s="709"/>
      <c r="T466" s="709"/>
      <c r="U466" s="709"/>
      <c r="V466" s="709"/>
      <c r="BH466" s="890"/>
      <c r="BI466" s="890"/>
      <c r="BJ466" s="890"/>
      <c r="BK466" s="890"/>
      <c r="BL466" s="890"/>
      <c r="BM466" s="890"/>
      <c r="BN466" s="890"/>
      <c r="BO466" s="890"/>
      <c r="BP466" s="890"/>
      <c r="BQ466" s="890"/>
      <c r="BR466" s="890"/>
      <c r="BS466" s="890"/>
      <c r="BT466" s="890"/>
      <c r="BU466" s="890"/>
      <c r="BV466" s="890"/>
      <c r="BW466" s="890"/>
    </row>
    <row r="467" spans="1:75">
      <c r="A467" s="709"/>
      <c r="B467" s="709"/>
      <c r="C467" s="709"/>
      <c r="D467" s="709"/>
      <c r="E467" s="709"/>
      <c r="F467" s="709"/>
      <c r="G467" s="709"/>
      <c r="H467" s="709"/>
      <c r="I467" s="709"/>
      <c r="J467" s="709"/>
      <c r="K467" s="709"/>
      <c r="L467" s="709"/>
      <c r="M467" s="709"/>
      <c r="N467" s="709"/>
      <c r="O467" s="709"/>
      <c r="P467" s="709"/>
      <c r="Q467" s="709"/>
      <c r="R467" s="709"/>
      <c r="S467" s="709"/>
      <c r="T467" s="709"/>
      <c r="U467" s="709"/>
      <c r="V467" s="709"/>
      <c r="BH467" s="890"/>
      <c r="BI467" s="890"/>
      <c r="BJ467" s="890"/>
      <c r="BK467" s="890"/>
      <c r="BL467" s="890"/>
      <c r="BM467" s="890"/>
      <c r="BN467" s="890"/>
      <c r="BO467" s="890"/>
      <c r="BP467" s="890"/>
      <c r="BQ467" s="890"/>
      <c r="BR467" s="890"/>
      <c r="BS467" s="890"/>
      <c r="BT467" s="890"/>
      <c r="BU467" s="890"/>
      <c r="BV467" s="890"/>
      <c r="BW467" s="890"/>
    </row>
    <row r="468" spans="1:75">
      <c r="A468" s="709"/>
      <c r="B468" s="709"/>
      <c r="C468" s="709"/>
      <c r="D468" s="709"/>
      <c r="E468" s="709"/>
      <c r="F468" s="709"/>
      <c r="G468" s="709"/>
      <c r="H468" s="709"/>
      <c r="I468" s="709"/>
      <c r="J468" s="709"/>
      <c r="K468" s="709"/>
      <c r="L468" s="709"/>
      <c r="M468" s="709"/>
      <c r="N468" s="709"/>
      <c r="O468" s="709"/>
      <c r="P468" s="709"/>
      <c r="Q468" s="709"/>
      <c r="R468" s="709"/>
      <c r="S468" s="709"/>
      <c r="T468" s="709"/>
      <c r="U468" s="709"/>
      <c r="V468" s="709"/>
      <c r="BH468" s="890"/>
      <c r="BI468" s="890"/>
      <c r="BJ468" s="890"/>
      <c r="BK468" s="890"/>
      <c r="BL468" s="890"/>
      <c r="BM468" s="890"/>
      <c r="BN468" s="890"/>
      <c r="BO468" s="890"/>
      <c r="BP468" s="890"/>
      <c r="BQ468" s="890"/>
      <c r="BR468" s="890"/>
      <c r="BS468" s="890"/>
      <c r="BT468" s="890"/>
      <c r="BU468" s="890"/>
      <c r="BV468" s="890"/>
      <c r="BW468" s="890"/>
    </row>
    <row r="469" spans="1:75">
      <c r="A469" s="709"/>
      <c r="B469" s="709"/>
      <c r="C469" s="709"/>
      <c r="D469" s="709"/>
      <c r="E469" s="709"/>
      <c r="F469" s="709"/>
      <c r="G469" s="709"/>
      <c r="H469" s="709"/>
      <c r="I469" s="709"/>
      <c r="J469" s="709"/>
      <c r="K469" s="709"/>
      <c r="L469" s="709"/>
      <c r="M469" s="709"/>
      <c r="N469" s="709"/>
      <c r="O469" s="709"/>
      <c r="P469" s="709"/>
      <c r="Q469" s="709"/>
      <c r="R469" s="709"/>
      <c r="S469" s="709"/>
      <c r="T469" s="709"/>
      <c r="U469" s="709"/>
      <c r="V469" s="709"/>
      <c r="BH469" s="890"/>
      <c r="BI469" s="890"/>
      <c r="BJ469" s="890"/>
      <c r="BK469" s="890"/>
      <c r="BL469" s="890"/>
      <c r="BM469" s="890"/>
      <c r="BN469" s="890"/>
      <c r="BO469" s="890"/>
      <c r="BP469" s="890"/>
      <c r="BQ469" s="890"/>
      <c r="BR469" s="890"/>
      <c r="BS469" s="890"/>
      <c r="BT469" s="890"/>
      <c r="BU469" s="890"/>
      <c r="BV469" s="890"/>
      <c r="BW469" s="890"/>
    </row>
    <row r="470" spans="1:75">
      <c r="A470" s="709"/>
      <c r="B470" s="709"/>
      <c r="C470" s="709"/>
      <c r="D470" s="709"/>
      <c r="E470" s="709"/>
      <c r="F470" s="709"/>
      <c r="G470" s="709"/>
      <c r="H470" s="709"/>
      <c r="I470" s="709"/>
      <c r="J470" s="709"/>
      <c r="K470" s="709"/>
      <c r="L470" s="709"/>
      <c r="M470" s="709"/>
      <c r="N470" s="709"/>
      <c r="O470" s="709"/>
      <c r="P470" s="709"/>
      <c r="Q470" s="709"/>
      <c r="R470" s="709"/>
      <c r="S470" s="709"/>
      <c r="T470" s="709"/>
      <c r="U470" s="709"/>
      <c r="V470" s="709"/>
      <c r="BH470" s="890"/>
      <c r="BI470" s="890"/>
      <c r="BJ470" s="890"/>
      <c r="BK470" s="890"/>
      <c r="BL470" s="890"/>
      <c r="BM470" s="890"/>
      <c r="BN470" s="890"/>
      <c r="BO470" s="890"/>
      <c r="BP470" s="890"/>
      <c r="BQ470" s="890"/>
      <c r="BR470" s="890"/>
      <c r="BS470" s="890"/>
      <c r="BT470" s="890"/>
      <c r="BU470" s="890"/>
      <c r="BV470" s="890"/>
      <c r="BW470" s="890"/>
    </row>
    <row r="471" spans="1:75">
      <c r="A471" s="709"/>
      <c r="B471" s="709"/>
      <c r="C471" s="709"/>
      <c r="D471" s="709"/>
      <c r="E471" s="709"/>
      <c r="F471" s="709"/>
      <c r="G471" s="709"/>
      <c r="H471" s="709"/>
      <c r="I471" s="709"/>
      <c r="J471" s="709"/>
      <c r="K471" s="709"/>
      <c r="L471" s="709"/>
      <c r="M471" s="709"/>
      <c r="N471" s="709"/>
      <c r="O471" s="709"/>
      <c r="P471" s="709"/>
      <c r="Q471" s="709"/>
      <c r="R471" s="709"/>
      <c r="S471" s="709"/>
      <c r="T471" s="709"/>
      <c r="U471" s="709"/>
      <c r="V471" s="709"/>
      <c r="BH471" s="890"/>
      <c r="BI471" s="890"/>
      <c r="BJ471" s="890"/>
      <c r="BK471" s="890"/>
      <c r="BL471" s="890"/>
      <c r="BM471" s="890"/>
      <c r="BN471" s="890"/>
      <c r="BO471" s="890"/>
      <c r="BP471" s="890"/>
      <c r="BQ471" s="890"/>
      <c r="BR471" s="890"/>
      <c r="BS471" s="890"/>
      <c r="BT471" s="890"/>
      <c r="BU471" s="890"/>
      <c r="BV471" s="890"/>
      <c r="BW471" s="890"/>
    </row>
    <row r="472" spans="1:75">
      <c r="A472" s="709"/>
      <c r="B472" s="709"/>
      <c r="C472" s="709"/>
      <c r="D472" s="709"/>
      <c r="E472" s="709"/>
      <c r="F472" s="709"/>
      <c r="G472" s="709"/>
      <c r="H472" s="709"/>
      <c r="I472" s="709"/>
      <c r="J472" s="709"/>
      <c r="K472" s="709"/>
      <c r="L472" s="709"/>
      <c r="M472" s="709"/>
      <c r="N472" s="709"/>
      <c r="O472" s="709"/>
      <c r="P472" s="709"/>
      <c r="Q472" s="709"/>
      <c r="R472" s="709"/>
      <c r="S472" s="709"/>
      <c r="T472" s="709"/>
      <c r="U472" s="709"/>
      <c r="V472" s="709"/>
      <c r="BH472" s="890"/>
      <c r="BI472" s="890"/>
      <c r="BJ472" s="890"/>
      <c r="BK472" s="890"/>
      <c r="BL472" s="890"/>
      <c r="BM472" s="890"/>
      <c r="BN472" s="890"/>
      <c r="BO472" s="890"/>
      <c r="BP472" s="890"/>
      <c r="BQ472" s="890"/>
      <c r="BR472" s="890"/>
      <c r="BS472" s="890"/>
      <c r="BT472" s="890"/>
      <c r="BU472" s="890"/>
      <c r="BV472" s="890"/>
      <c r="BW472" s="890"/>
    </row>
    <row r="473" spans="1:75">
      <c r="A473" s="709"/>
      <c r="B473" s="709"/>
      <c r="C473" s="709"/>
      <c r="D473" s="709"/>
      <c r="E473" s="709"/>
      <c r="F473" s="709"/>
      <c r="G473" s="709"/>
      <c r="H473" s="709"/>
      <c r="I473" s="709"/>
      <c r="J473" s="709"/>
      <c r="K473" s="709"/>
      <c r="L473" s="709"/>
      <c r="M473" s="709"/>
      <c r="N473" s="709"/>
      <c r="O473" s="709"/>
      <c r="P473" s="709"/>
      <c r="Q473" s="709"/>
      <c r="R473" s="709"/>
      <c r="S473" s="709"/>
      <c r="T473" s="709"/>
      <c r="U473" s="709"/>
      <c r="V473" s="709"/>
      <c r="BH473" s="890"/>
      <c r="BI473" s="890"/>
      <c r="BJ473" s="890"/>
      <c r="BK473" s="890"/>
      <c r="BL473" s="890"/>
      <c r="BM473" s="890"/>
      <c r="BN473" s="890"/>
      <c r="BO473" s="890"/>
      <c r="BP473" s="890"/>
      <c r="BQ473" s="890"/>
      <c r="BR473" s="890"/>
      <c r="BS473" s="890"/>
      <c r="BT473" s="890"/>
      <c r="BU473" s="890"/>
      <c r="BV473" s="890"/>
      <c r="BW473" s="890"/>
    </row>
    <row r="474" spans="1:75">
      <c r="A474" s="709"/>
      <c r="B474" s="709"/>
      <c r="C474" s="709"/>
      <c r="D474" s="709"/>
      <c r="E474" s="709"/>
      <c r="F474" s="709"/>
      <c r="G474" s="709"/>
      <c r="H474" s="709"/>
      <c r="I474" s="709"/>
      <c r="J474" s="709"/>
      <c r="K474" s="709"/>
      <c r="L474" s="709"/>
      <c r="M474" s="709"/>
      <c r="N474" s="709"/>
      <c r="O474" s="709"/>
      <c r="P474" s="709"/>
      <c r="Q474" s="709"/>
      <c r="R474" s="709"/>
      <c r="S474" s="709"/>
      <c r="T474" s="709"/>
      <c r="U474" s="709"/>
      <c r="V474" s="709"/>
      <c r="BH474" s="890"/>
      <c r="BI474" s="890"/>
      <c r="BJ474" s="890"/>
      <c r="BK474" s="890"/>
      <c r="BL474" s="890"/>
      <c r="BM474" s="890"/>
      <c r="BN474" s="890"/>
      <c r="BO474" s="890"/>
      <c r="BP474" s="890"/>
      <c r="BQ474" s="890"/>
      <c r="BR474" s="890"/>
      <c r="BS474" s="890"/>
      <c r="BT474" s="890"/>
      <c r="BU474" s="890"/>
      <c r="BV474" s="890"/>
      <c r="BW474" s="890"/>
    </row>
    <row r="475" spans="1:75">
      <c r="A475" s="709"/>
      <c r="B475" s="709"/>
      <c r="C475" s="709"/>
      <c r="D475" s="709"/>
      <c r="E475" s="709"/>
      <c r="F475" s="709"/>
      <c r="G475" s="709"/>
      <c r="H475" s="709"/>
      <c r="I475" s="709"/>
      <c r="J475" s="709"/>
      <c r="K475" s="709"/>
      <c r="L475" s="709"/>
      <c r="M475" s="709"/>
      <c r="N475" s="709"/>
      <c r="O475" s="709"/>
      <c r="P475" s="709"/>
      <c r="Q475" s="709"/>
      <c r="R475" s="709"/>
      <c r="S475" s="709"/>
      <c r="T475" s="709"/>
      <c r="U475" s="709"/>
      <c r="V475" s="709"/>
      <c r="BH475" s="890"/>
      <c r="BI475" s="890"/>
      <c r="BJ475" s="890"/>
      <c r="BK475" s="890"/>
      <c r="BL475" s="890"/>
      <c r="BM475" s="890"/>
      <c r="BN475" s="890"/>
      <c r="BO475" s="890"/>
      <c r="BP475" s="890"/>
      <c r="BQ475" s="890"/>
      <c r="BR475" s="890"/>
      <c r="BS475" s="890"/>
      <c r="BT475" s="890"/>
      <c r="BU475" s="890"/>
      <c r="BV475" s="890"/>
      <c r="BW475" s="890"/>
    </row>
    <row r="476" spans="1:75">
      <c r="A476" s="709"/>
      <c r="B476" s="709"/>
      <c r="C476" s="709"/>
      <c r="D476" s="709"/>
      <c r="E476" s="709"/>
      <c r="F476" s="709"/>
      <c r="G476" s="709"/>
      <c r="H476" s="709"/>
      <c r="I476" s="709"/>
      <c r="J476" s="709"/>
      <c r="K476" s="709"/>
      <c r="L476" s="709"/>
      <c r="M476" s="709"/>
      <c r="N476" s="709"/>
      <c r="O476" s="709"/>
      <c r="P476" s="709"/>
      <c r="Q476" s="709"/>
      <c r="R476" s="709"/>
      <c r="S476" s="709"/>
      <c r="T476" s="709"/>
      <c r="U476" s="709"/>
      <c r="V476" s="709"/>
      <c r="BH476" s="890"/>
      <c r="BI476" s="890"/>
      <c r="BJ476" s="890"/>
      <c r="BK476" s="890"/>
      <c r="BL476" s="890"/>
      <c r="BM476" s="890"/>
      <c r="BN476" s="890"/>
      <c r="BO476" s="890"/>
      <c r="BP476" s="890"/>
      <c r="BQ476" s="890"/>
      <c r="BR476" s="890"/>
      <c r="BS476" s="890"/>
      <c r="BT476" s="890"/>
      <c r="BU476" s="890"/>
      <c r="BV476" s="890"/>
      <c r="BW476" s="890"/>
    </row>
    <row r="477" spans="1:75">
      <c r="A477" s="709"/>
      <c r="B477" s="709"/>
      <c r="C477" s="709"/>
      <c r="D477" s="709"/>
      <c r="E477" s="709"/>
      <c r="F477" s="709"/>
      <c r="G477" s="709"/>
      <c r="H477" s="709"/>
      <c r="I477" s="709"/>
      <c r="J477" s="709"/>
      <c r="K477" s="709"/>
      <c r="L477" s="709"/>
      <c r="M477" s="709"/>
      <c r="N477" s="709"/>
      <c r="O477" s="709"/>
      <c r="P477" s="709"/>
      <c r="Q477" s="709"/>
      <c r="R477" s="709"/>
      <c r="S477" s="709"/>
      <c r="T477" s="709"/>
      <c r="U477" s="709"/>
      <c r="V477" s="709"/>
      <c r="BH477" s="890"/>
      <c r="BI477" s="890"/>
      <c r="BJ477" s="890"/>
      <c r="BK477" s="890"/>
      <c r="BL477" s="890"/>
      <c r="BM477" s="890"/>
      <c r="BN477" s="890"/>
      <c r="BO477" s="890"/>
      <c r="BP477" s="890"/>
      <c r="BQ477" s="890"/>
      <c r="BR477" s="890"/>
      <c r="BS477" s="890"/>
      <c r="BT477" s="890"/>
      <c r="BU477" s="890"/>
      <c r="BV477" s="890"/>
      <c r="BW477" s="890"/>
    </row>
    <row r="478" spans="1:75">
      <c r="A478" s="709"/>
      <c r="B478" s="709"/>
      <c r="C478" s="709"/>
      <c r="D478" s="709"/>
      <c r="E478" s="709"/>
      <c r="F478" s="709"/>
      <c r="G478" s="709"/>
      <c r="H478" s="709"/>
      <c r="I478" s="709"/>
      <c r="J478" s="709"/>
      <c r="K478" s="709"/>
      <c r="L478" s="709"/>
      <c r="M478" s="709"/>
      <c r="N478" s="709"/>
      <c r="O478" s="709"/>
      <c r="P478" s="709"/>
      <c r="Q478" s="709"/>
      <c r="R478" s="709"/>
      <c r="S478" s="709"/>
      <c r="T478" s="709"/>
      <c r="U478" s="709"/>
      <c r="V478" s="709"/>
      <c r="BH478" s="890"/>
      <c r="BI478" s="890"/>
      <c r="BJ478" s="890"/>
      <c r="BK478" s="890"/>
      <c r="BL478" s="890"/>
      <c r="BM478" s="890"/>
      <c r="BN478" s="890"/>
      <c r="BO478" s="890"/>
      <c r="BP478" s="890"/>
      <c r="BQ478" s="890"/>
      <c r="BR478" s="890"/>
      <c r="BS478" s="890"/>
      <c r="BT478" s="890"/>
      <c r="BU478" s="890"/>
      <c r="BV478" s="890"/>
      <c r="BW478" s="890"/>
    </row>
    <row r="479" spans="1:75">
      <c r="A479" s="709"/>
      <c r="B479" s="709"/>
      <c r="C479" s="709"/>
      <c r="D479" s="709"/>
      <c r="E479" s="709"/>
      <c r="F479" s="709"/>
      <c r="G479" s="709"/>
      <c r="H479" s="709"/>
      <c r="I479" s="709"/>
      <c r="J479" s="709"/>
      <c r="K479" s="709"/>
      <c r="L479" s="709"/>
      <c r="M479" s="709"/>
      <c r="N479" s="709"/>
      <c r="O479" s="709"/>
      <c r="P479" s="709"/>
      <c r="Q479" s="709"/>
      <c r="R479" s="709"/>
      <c r="S479" s="709"/>
      <c r="T479" s="709"/>
      <c r="U479" s="709"/>
      <c r="V479" s="709"/>
      <c r="BH479" s="890"/>
      <c r="BI479" s="890"/>
      <c r="BJ479" s="890"/>
      <c r="BK479" s="890"/>
      <c r="BL479" s="890"/>
      <c r="BM479" s="890"/>
      <c r="BN479" s="890"/>
      <c r="BO479" s="890"/>
      <c r="BP479" s="890"/>
      <c r="BQ479" s="890"/>
      <c r="BR479" s="890"/>
      <c r="BS479" s="890"/>
      <c r="BT479" s="890"/>
      <c r="BU479" s="890"/>
      <c r="BV479" s="890"/>
      <c r="BW479" s="890"/>
    </row>
    <row r="480" spans="1:75">
      <c r="A480" s="709"/>
      <c r="B480" s="709"/>
      <c r="C480" s="709"/>
      <c r="D480" s="709"/>
      <c r="E480" s="709"/>
      <c r="F480" s="709"/>
      <c r="G480" s="709"/>
      <c r="H480" s="709"/>
      <c r="I480" s="709"/>
      <c r="J480" s="709"/>
      <c r="K480" s="709"/>
      <c r="L480" s="709"/>
      <c r="M480" s="709"/>
      <c r="N480" s="709"/>
      <c r="O480" s="709"/>
      <c r="P480" s="709"/>
      <c r="Q480" s="709"/>
      <c r="R480" s="709"/>
      <c r="S480" s="709"/>
      <c r="T480" s="709"/>
      <c r="U480" s="709"/>
      <c r="V480" s="709"/>
      <c r="BH480" s="890"/>
      <c r="BI480" s="890"/>
      <c r="BJ480" s="890"/>
      <c r="BK480" s="890"/>
      <c r="BL480" s="890"/>
      <c r="BM480" s="890"/>
      <c r="BN480" s="890"/>
      <c r="BO480" s="890"/>
      <c r="BP480" s="890"/>
      <c r="BQ480" s="890"/>
      <c r="BR480" s="890"/>
      <c r="BS480" s="890"/>
      <c r="BT480" s="890"/>
      <c r="BU480" s="890"/>
      <c r="BV480" s="890"/>
      <c r="BW480" s="890"/>
    </row>
    <row r="481" spans="1:75">
      <c r="A481" s="709"/>
      <c r="B481" s="709"/>
      <c r="C481" s="709"/>
      <c r="D481" s="709"/>
      <c r="E481" s="709"/>
      <c r="F481" s="709"/>
      <c r="G481" s="709"/>
      <c r="H481" s="709"/>
      <c r="I481" s="709"/>
      <c r="J481" s="709"/>
      <c r="K481" s="709"/>
      <c r="L481" s="709"/>
      <c r="M481" s="709"/>
      <c r="N481" s="709"/>
      <c r="O481" s="709"/>
      <c r="P481" s="709"/>
      <c r="Q481" s="709"/>
      <c r="R481" s="709"/>
      <c r="S481" s="709"/>
      <c r="T481" s="709"/>
      <c r="U481" s="709"/>
      <c r="V481" s="709"/>
      <c r="BH481" s="890"/>
      <c r="BI481" s="890"/>
      <c r="BJ481" s="890"/>
      <c r="BK481" s="890"/>
      <c r="BL481" s="890"/>
      <c r="BM481" s="890"/>
      <c r="BN481" s="890"/>
      <c r="BO481" s="890"/>
      <c r="BP481" s="890"/>
      <c r="BQ481" s="890"/>
      <c r="BR481" s="890"/>
      <c r="BS481" s="890"/>
      <c r="BT481" s="890"/>
      <c r="BU481" s="890"/>
      <c r="BV481" s="890"/>
      <c r="BW481" s="890"/>
    </row>
    <row r="482" spans="1:75">
      <c r="A482" s="709"/>
      <c r="B482" s="709"/>
      <c r="C482" s="709"/>
      <c r="D482" s="709"/>
      <c r="E482" s="709"/>
      <c r="F482" s="709"/>
      <c r="G482" s="709"/>
      <c r="H482" s="709"/>
      <c r="I482" s="709"/>
      <c r="J482" s="709"/>
      <c r="K482" s="709"/>
      <c r="L482" s="709"/>
      <c r="M482" s="709"/>
      <c r="N482" s="709"/>
      <c r="O482" s="709"/>
      <c r="P482" s="709"/>
      <c r="Q482" s="709"/>
      <c r="R482" s="709"/>
      <c r="S482" s="709"/>
      <c r="T482" s="709"/>
      <c r="U482" s="709"/>
      <c r="V482" s="709"/>
      <c r="BH482" s="890"/>
      <c r="BI482" s="890"/>
      <c r="BJ482" s="890"/>
      <c r="BK482" s="890"/>
      <c r="BL482" s="890"/>
      <c r="BM482" s="890"/>
      <c r="BN482" s="890"/>
      <c r="BO482" s="890"/>
      <c r="BP482" s="890"/>
      <c r="BQ482" s="890"/>
      <c r="BR482" s="890"/>
      <c r="BS482" s="890"/>
      <c r="BT482" s="890"/>
      <c r="BU482" s="890"/>
      <c r="BV482" s="890"/>
      <c r="BW482" s="890"/>
    </row>
    <row r="483" spans="1:75">
      <c r="A483" s="709"/>
      <c r="B483" s="709"/>
      <c r="C483" s="709"/>
      <c r="D483" s="709"/>
      <c r="E483" s="709"/>
      <c r="F483" s="709"/>
      <c r="G483" s="709"/>
      <c r="H483" s="709"/>
      <c r="I483" s="709"/>
      <c r="J483" s="709"/>
      <c r="K483" s="709"/>
      <c r="L483" s="709"/>
      <c r="M483" s="709"/>
      <c r="N483" s="709"/>
      <c r="O483" s="709"/>
      <c r="P483" s="709"/>
      <c r="Q483" s="709"/>
      <c r="R483" s="709"/>
      <c r="S483" s="709"/>
      <c r="T483" s="709"/>
      <c r="U483" s="709"/>
      <c r="V483" s="709"/>
      <c r="BH483" s="890"/>
      <c r="BI483" s="890"/>
      <c r="BJ483" s="890"/>
      <c r="BK483" s="890"/>
      <c r="BL483" s="890"/>
      <c r="BM483" s="890"/>
      <c r="BN483" s="890"/>
      <c r="BO483" s="890"/>
      <c r="BP483" s="890"/>
      <c r="BQ483" s="890"/>
      <c r="BR483" s="890"/>
      <c r="BS483" s="890"/>
      <c r="BT483" s="890"/>
      <c r="BU483" s="890"/>
      <c r="BV483" s="890"/>
      <c r="BW483" s="890"/>
    </row>
    <row r="484" spans="1:75">
      <c r="A484" s="709"/>
      <c r="B484" s="709"/>
      <c r="C484" s="709"/>
      <c r="D484" s="709"/>
      <c r="E484" s="709"/>
      <c r="F484" s="709"/>
      <c r="G484" s="709"/>
      <c r="H484" s="709"/>
      <c r="I484" s="709"/>
      <c r="J484" s="709"/>
      <c r="K484" s="709"/>
      <c r="L484" s="709"/>
      <c r="M484" s="709"/>
      <c r="N484" s="709"/>
      <c r="O484" s="709"/>
      <c r="P484" s="709"/>
      <c r="Q484" s="709"/>
      <c r="R484" s="709"/>
      <c r="S484" s="709"/>
      <c r="T484" s="709"/>
      <c r="U484" s="709"/>
      <c r="V484" s="709"/>
      <c r="BH484" s="890"/>
      <c r="BI484" s="890"/>
      <c r="BJ484" s="890"/>
      <c r="BK484" s="890"/>
      <c r="BL484" s="890"/>
      <c r="BM484" s="890"/>
      <c r="BN484" s="890"/>
      <c r="BO484" s="890"/>
      <c r="BP484" s="890"/>
      <c r="BQ484" s="890"/>
      <c r="BR484" s="890"/>
      <c r="BS484" s="890"/>
      <c r="BT484" s="890"/>
      <c r="BU484" s="890"/>
      <c r="BV484" s="890"/>
      <c r="BW484" s="890"/>
    </row>
    <row r="485" spans="1:75">
      <c r="A485" s="709"/>
      <c r="B485" s="709"/>
      <c r="C485" s="709"/>
      <c r="D485" s="709"/>
      <c r="E485" s="709"/>
      <c r="F485" s="709"/>
      <c r="G485" s="709"/>
      <c r="H485" s="709"/>
      <c r="I485" s="709"/>
      <c r="J485" s="709"/>
      <c r="K485" s="709"/>
      <c r="L485" s="709"/>
      <c r="M485" s="709"/>
      <c r="N485" s="709"/>
      <c r="O485" s="709"/>
      <c r="P485" s="709"/>
      <c r="Q485" s="709"/>
      <c r="R485" s="709"/>
      <c r="S485" s="709"/>
      <c r="T485" s="709"/>
      <c r="U485" s="709"/>
      <c r="V485" s="709"/>
      <c r="BH485" s="890"/>
      <c r="BI485" s="890"/>
      <c r="BJ485" s="890"/>
      <c r="BK485" s="890"/>
      <c r="BL485" s="890"/>
      <c r="BM485" s="890"/>
      <c r="BN485" s="890"/>
      <c r="BO485" s="890"/>
      <c r="BP485" s="890"/>
      <c r="BQ485" s="890"/>
      <c r="BR485" s="890"/>
      <c r="BS485" s="890"/>
      <c r="BT485" s="890"/>
      <c r="BU485" s="890"/>
      <c r="BV485" s="890"/>
      <c r="BW485" s="890"/>
    </row>
    <row r="486" spans="1:75">
      <c r="A486" s="709"/>
      <c r="B486" s="709"/>
      <c r="C486" s="709"/>
      <c r="D486" s="709"/>
      <c r="E486" s="709"/>
      <c r="F486" s="709"/>
      <c r="G486" s="709"/>
      <c r="H486" s="709"/>
      <c r="I486" s="709"/>
      <c r="J486" s="709"/>
      <c r="K486" s="709"/>
      <c r="L486" s="709"/>
      <c r="M486" s="709"/>
      <c r="N486" s="709"/>
      <c r="O486" s="709"/>
      <c r="P486" s="709"/>
      <c r="Q486" s="709"/>
      <c r="R486" s="709"/>
      <c r="S486" s="709"/>
      <c r="T486" s="709"/>
      <c r="U486" s="709"/>
      <c r="V486" s="709"/>
      <c r="BH486" s="890"/>
      <c r="BI486" s="890"/>
      <c r="BJ486" s="890"/>
      <c r="BK486" s="890"/>
      <c r="BL486" s="890"/>
      <c r="BM486" s="890"/>
      <c r="BN486" s="890"/>
      <c r="BO486" s="890"/>
      <c r="BP486" s="890"/>
      <c r="BQ486" s="890"/>
      <c r="BR486" s="890"/>
      <c r="BS486" s="890"/>
      <c r="BT486" s="890"/>
      <c r="BU486" s="890"/>
      <c r="BV486" s="890"/>
      <c r="BW486" s="890"/>
    </row>
    <row r="487" spans="1:75">
      <c r="A487" s="709"/>
      <c r="B487" s="709"/>
      <c r="C487" s="709"/>
      <c r="D487" s="709"/>
      <c r="E487" s="709"/>
      <c r="F487" s="709"/>
      <c r="G487" s="709"/>
      <c r="H487" s="709"/>
      <c r="I487" s="709"/>
      <c r="J487" s="709"/>
      <c r="K487" s="709"/>
      <c r="L487" s="709"/>
      <c r="M487" s="709"/>
      <c r="N487" s="709"/>
      <c r="O487" s="709"/>
      <c r="P487" s="709"/>
      <c r="Q487" s="709"/>
      <c r="R487" s="709"/>
      <c r="S487" s="709"/>
      <c r="T487" s="709"/>
      <c r="U487" s="709"/>
      <c r="V487" s="709"/>
      <c r="BH487" s="890"/>
      <c r="BI487" s="890"/>
      <c r="BJ487" s="890"/>
      <c r="BK487" s="890"/>
      <c r="BL487" s="890"/>
      <c r="BM487" s="890"/>
      <c r="BN487" s="890"/>
      <c r="BO487" s="890"/>
      <c r="BP487" s="890"/>
      <c r="BQ487" s="890"/>
      <c r="BR487" s="890"/>
      <c r="BS487" s="890"/>
      <c r="BT487" s="890"/>
      <c r="BU487" s="890"/>
      <c r="BV487" s="890"/>
      <c r="BW487" s="890"/>
    </row>
    <row r="488" spans="1:75">
      <c r="A488" s="709"/>
      <c r="B488" s="709"/>
      <c r="C488" s="709"/>
      <c r="D488" s="709"/>
      <c r="E488" s="709"/>
      <c r="F488" s="709"/>
      <c r="G488" s="709"/>
      <c r="H488" s="709"/>
      <c r="I488" s="709"/>
      <c r="J488" s="709"/>
      <c r="K488" s="709"/>
      <c r="L488" s="709"/>
      <c r="M488" s="709"/>
      <c r="N488" s="709"/>
      <c r="O488" s="709"/>
      <c r="P488" s="709"/>
      <c r="Q488" s="709"/>
      <c r="R488" s="709"/>
      <c r="S488" s="709"/>
      <c r="T488" s="709"/>
      <c r="U488" s="709"/>
      <c r="V488" s="709"/>
      <c r="BH488" s="890"/>
      <c r="BI488" s="890"/>
      <c r="BJ488" s="890"/>
      <c r="BK488" s="890"/>
      <c r="BL488" s="890"/>
      <c r="BM488" s="890"/>
      <c r="BN488" s="890"/>
      <c r="BO488" s="890"/>
      <c r="BP488" s="890"/>
      <c r="BQ488" s="890"/>
      <c r="BR488" s="890"/>
      <c r="BS488" s="890"/>
      <c r="BT488" s="890"/>
      <c r="BU488" s="890"/>
      <c r="BV488" s="890"/>
      <c r="BW488" s="890"/>
    </row>
    <row r="489" spans="1:75">
      <c r="A489" s="709"/>
      <c r="B489" s="709"/>
      <c r="C489" s="709"/>
      <c r="D489" s="709"/>
      <c r="E489" s="709"/>
      <c r="F489" s="709"/>
      <c r="G489" s="709"/>
      <c r="H489" s="709"/>
      <c r="I489" s="709"/>
      <c r="J489" s="709"/>
      <c r="K489" s="709"/>
      <c r="L489" s="709"/>
      <c r="M489" s="709"/>
      <c r="N489" s="709"/>
      <c r="O489" s="709"/>
      <c r="P489" s="709"/>
      <c r="Q489" s="709"/>
      <c r="R489" s="709"/>
      <c r="S489" s="709"/>
      <c r="T489" s="709"/>
      <c r="U489" s="709"/>
      <c r="V489" s="709"/>
      <c r="BH489" s="890"/>
      <c r="BI489" s="890"/>
      <c r="BJ489" s="890"/>
      <c r="BK489" s="890"/>
      <c r="BL489" s="890"/>
      <c r="BM489" s="890"/>
      <c r="BN489" s="890"/>
      <c r="BO489" s="890"/>
      <c r="BP489" s="890"/>
      <c r="BQ489" s="890"/>
      <c r="BR489" s="890"/>
      <c r="BS489" s="890"/>
      <c r="BT489" s="890"/>
      <c r="BU489" s="890"/>
      <c r="BV489" s="890"/>
      <c r="BW489" s="890"/>
    </row>
    <row r="490" spans="1:75">
      <c r="A490" s="709"/>
      <c r="B490" s="709"/>
      <c r="C490" s="709"/>
      <c r="D490" s="709"/>
      <c r="E490" s="709"/>
      <c r="F490" s="709"/>
      <c r="G490" s="709"/>
      <c r="H490" s="709"/>
      <c r="I490" s="709"/>
      <c r="J490" s="709"/>
      <c r="K490" s="709"/>
      <c r="L490" s="709"/>
      <c r="M490" s="709"/>
      <c r="N490" s="709"/>
      <c r="O490" s="709"/>
      <c r="P490" s="709"/>
      <c r="Q490" s="709"/>
      <c r="R490" s="709"/>
      <c r="S490" s="709"/>
      <c r="T490" s="709"/>
      <c r="U490" s="709"/>
      <c r="V490" s="709"/>
      <c r="BH490" s="890"/>
      <c r="BI490" s="890"/>
      <c r="BJ490" s="890"/>
      <c r="BK490" s="890"/>
      <c r="BL490" s="890"/>
      <c r="BM490" s="890"/>
      <c r="BN490" s="890"/>
      <c r="BO490" s="890"/>
      <c r="BP490" s="890"/>
      <c r="BQ490" s="890"/>
      <c r="BR490" s="890"/>
      <c r="BS490" s="890"/>
      <c r="BT490" s="890"/>
      <c r="BU490" s="890"/>
      <c r="BV490" s="890"/>
      <c r="BW490" s="890"/>
    </row>
    <row r="491" spans="1:75">
      <c r="A491" s="709"/>
      <c r="B491" s="709"/>
      <c r="C491" s="709"/>
      <c r="D491" s="709"/>
      <c r="E491" s="709"/>
      <c r="F491" s="709"/>
      <c r="G491" s="709"/>
      <c r="H491" s="709"/>
      <c r="I491" s="709"/>
      <c r="J491" s="709"/>
      <c r="K491" s="709"/>
      <c r="L491" s="709"/>
      <c r="M491" s="709"/>
      <c r="N491" s="709"/>
      <c r="O491" s="709"/>
      <c r="P491" s="709"/>
      <c r="Q491" s="709"/>
      <c r="R491" s="709"/>
      <c r="S491" s="709"/>
      <c r="T491" s="709"/>
      <c r="U491" s="709"/>
      <c r="V491" s="709"/>
      <c r="BH491" s="890"/>
      <c r="BI491" s="890"/>
      <c r="BJ491" s="890"/>
      <c r="BK491" s="890"/>
      <c r="BL491" s="890"/>
      <c r="BM491" s="890"/>
      <c r="BN491" s="890"/>
      <c r="BO491" s="890"/>
      <c r="BP491" s="890"/>
      <c r="BQ491" s="890"/>
      <c r="BR491" s="890"/>
      <c r="BS491" s="890"/>
      <c r="BT491" s="890"/>
      <c r="BU491" s="890"/>
      <c r="BV491" s="890"/>
      <c r="BW491" s="890"/>
    </row>
    <row r="492" spans="1:75">
      <c r="A492" s="709"/>
      <c r="B492" s="709"/>
      <c r="C492" s="709"/>
      <c r="D492" s="709"/>
      <c r="E492" s="709"/>
      <c r="F492" s="709"/>
      <c r="G492" s="709"/>
      <c r="H492" s="709"/>
      <c r="I492" s="709"/>
      <c r="J492" s="709"/>
      <c r="K492" s="709"/>
      <c r="L492" s="709"/>
      <c r="M492" s="709"/>
      <c r="N492" s="709"/>
      <c r="O492" s="709"/>
      <c r="P492" s="709"/>
      <c r="Q492" s="709"/>
      <c r="R492" s="709"/>
      <c r="S492" s="709"/>
      <c r="T492" s="709"/>
      <c r="U492" s="709"/>
      <c r="V492" s="709"/>
      <c r="BH492" s="890"/>
      <c r="BI492" s="890"/>
      <c r="BJ492" s="890"/>
      <c r="BK492" s="890"/>
      <c r="BL492" s="890"/>
      <c r="BM492" s="890"/>
      <c r="BN492" s="890"/>
      <c r="BO492" s="890"/>
      <c r="BP492" s="890"/>
      <c r="BQ492" s="890"/>
      <c r="BR492" s="890"/>
      <c r="BS492" s="890"/>
      <c r="BT492" s="890"/>
      <c r="BU492" s="890"/>
      <c r="BV492" s="890"/>
      <c r="BW492" s="890"/>
    </row>
    <row r="493" spans="1:75">
      <c r="A493" s="709"/>
      <c r="B493" s="709"/>
      <c r="C493" s="709"/>
      <c r="D493" s="709"/>
      <c r="E493" s="709"/>
      <c r="F493" s="709"/>
      <c r="G493" s="709"/>
      <c r="H493" s="709"/>
      <c r="I493" s="709"/>
      <c r="J493" s="709"/>
      <c r="K493" s="709"/>
      <c r="L493" s="709"/>
      <c r="M493" s="709"/>
      <c r="N493" s="709"/>
      <c r="O493" s="709"/>
      <c r="P493" s="709"/>
      <c r="Q493" s="709"/>
      <c r="R493" s="709"/>
      <c r="S493" s="709"/>
      <c r="T493" s="709"/>
      <c r="U493" s="709"/>
      <c r="V493" s="709"/>
      <c r="BH493" s="890"/>
      <c r="BI493" s="890"/>
      <c r="BJ493" s="890"/>
      <c r="BK493" s="890"/>
      <c r="BL493" s="890"/>
      <c r="BM493" s="890"/>
      <c r="BN493" s="890"/>
      <c r="BO493" s="890"/>
      <c r="BP493" s="890"/>
      <c r="BQ493" s="890"/>
      <c r="BR493" s="890"/>
      <c r="BS493" s="890"/>
      <c r="BT493" s="890"/>
      <c r="BU493" s="890"/>
      <c r="BV493" s="890"/>
      <c r="BW493" s="890"/>
    </row>
    <row r="494" spans="1:75">
      <c r="A494" s="709"/>
      <c r="B494" s="709"/>
      <c r="C494" s="709"/>
      <c r="D494" s="709"/>
      <c r="E494" s="709"/>
      <c r="F494" s="709"/>
      <c r="G494" s="709"/>
      <c r="H494" s="709"/>
      <c r="I494" s="709"/>
      <c r="J494" s="709"/>
      <c r="K494" s="709"/>
      <c r="L494" s="709"/>
      <c r="M494" s="709"/>
      <c r="N494" s="709"/>
      <c r="O494" s="709"/>
      <c r="P494" s="709"/>
      <c r="Q494" s="709"/>
      <c r="R494" s="709"/>
      <c r="S494" s="709"/>
      <c r="T494" s="709"/>
      <c r="U494" s="709"/>
      <c r="V494" s="709"/>
      <c r="BH494" s="890"/>
      <c r="BI494" s="890"/>
      <c r="BJ494" s="890"/>
      <c r="BK494" s="890"/>
      <c r="BL494" s="890"/>
      <c r="BM494" s="890"/>
      <c r="BN494" s="890"/>
      <c r="BO494" s="890"/>
      <c r="BP494" s="890"/>
      <c r="BQ494" s="890"/>
      <c r="BR494" s="890"/>
      <c r="BS494" s="890"/>
      <c r="BT494" s="890"/>
      <c r="BU494" s="890"/>
      <c r="BV494" s="890"/>
      <c r="BW494" s="890"/>
    </row>
    <row r="495" spans="1:75">
      <c r="A495" s="709"/>
      <c r="B495" s="709"/>
      <c r="C495" s="709"/>
      <c r="D495" s="709"/>
      <c r="E495" s="709"/>
      <c r="F495" s="709"/>
      <c r="G495" s="709"/>
      <c r="H495" s="709"/>
      <c r="I495" s="709"/>
      <c r="J495" s="709"/>
      <c r="K495" s="709"/>
      <c r="L495" s="709"/>
      <c r="M495" s="709"/>
      <c r="N495" s="709"/>
      <c r="O495" s="709"/>
      <c r="P495" s="709"/>
      <c r="Q495" s="709"/>
      <c r="R495" s="709"/>
      <c r="S495" s="709"/>
      <c r="T495" s="709"/>
      <c r="U495" s="709"/>
      <c r="V495" s="709"/>
      <c r="BH495" s="890"/>
      <c r="BI495" s="890"/>
      <c r="BJ495" s="890"/>
      <c r="BK495" s="890"/>
      <c r="BL495" s="890"/>
      <c r="BM495" s="890"/>
      <c r="BN495" s="890"/>
      <c r="BO495" s="890"/>
      <c r="BP495" s="890"/>
      <c r="BQ495" s="890"/>
      <c r="BR495" s="890"/>
      <c r="BS495" s="890"/>
      <c r="BT495" s="890"/>
      <c r="BU495" s="890"/>
      <c r="BV495" s="890"/>
      <c r="BW495" s="890"/>
    </row>
    <row r="496" spans="1:75">
      <c r="A496" s="709"/>
      <c r="B496" s="709"/>
      <c r="C496" s="709"/>
      <c r="D496" s="709"/>
      <c r="E496" s="709"/>
      <c r="F496" s="709"/>
      <c r="G496" s="709"/>
      <c r="H496" s="709"/>
      <c r="I496" s="709"/>
      <c r="J496" s="709"/>
      <c r="K496" s="709"/>
      <c r="L496" s="709"/>
      <c r="M496" s="709"/>
      <c r="N496" s="709"/>
      <c r="O496" s="709"/>
      <c r="P496" s="709"/>
      <c r="Q496" s="709"/>
      <c r="R496" s="709"/>
      <c r="S496" s="709"/>
      <c r="T496" s="709"/>
      <c r="U496" s="709"/>
      <c r="V496" s="709"/>
      <c r="BH496" s="890"/>
      <c r="BI496" s="890"/>
      <c r="BJ496" s="890"/>
      <c r="BK496" s="890"/>
      <c r="BL496" s="890"/>
      <c r="BM496" s="890"/>
      <c r="BN496" s="890"/>
      <c r="BO496" s="890"/>
      <c r="BP496" s="890"/>
      <c r="BQ496" s="890"/>
      <c r="BR496" s="890"/>
      <c r="BS496" s="890"/>
      <c r="BT496" s="890"/>
      <c r="BU496" s="890"/>
      <c r="BV496" s="890"/>
      <c r="BW496" s="890"/>
    </row>
    <row r="497" spans="1:75">
      <c r="A497" s="709"/>
      <c r="B497" s="709"/>
      <c r="C497" s="709"/>
      <c r="D497" s="709"/>
      <c r="E497" s="709"/>
      <c r="F497" s="709"/>
      <c r="G497" s="709"/>
      <c r="H497" s="709"/>
      <c r="I497" s="709"/>
      <c r="J497" s="709"/>
      <c r="K497" s="709"/>
      <c r="L497" s="709"/>
      <c r="M497" s="709"/>
      <c r="N497" s="709"/>
      <c r="O497" s="709"/>
      <c r="P497" s="709"/>
      <c r="Q497" s="709"/>
      <c r="R497" s="709"/>
      <c r="S497" s="709"/>
      <c r="T497" s="709"/>
      <c r="U497" s="709"/>
      <c r="V497" s="709"/>
      <c r="BH497" s="890"/>
      <c r="BI497" s="890"/>
      <c r="BJ497" s="890"/>
      <c r="BK497" s="890"/>
      <c r="BL497" s="890"/>
      <c r="BM497" s="890"/>
      <c r="BN497" s="890"/>
      <c r="BO497" s="890"/>
      <c r="BP497" s="890"/>
      <c r="BQ497" s="890"/>
      <c r="BR497" s="890"/>
      <c r="BS497" s="890"/>
      <c r="BT497" s="890"/>
      <c r="BU497" s="890"/>
      <c r="BV497" s="890"/>
      <c r="BW497" s="890"/>
    </row>
    <row r="498" spans="1:75">
      <c r="A498" s="709"/>
      <c r="B498" s="709"/>
      <c r="C498" s="709"/>
      <c r="D498" s="709"/>
      <c r="E498" s="709"/>
      <c r="F498" s="709"/>
      <c r="G498" s="709"/>
      <c r="H498" s="709"/>
      <c r="I498" s="709"/>
      <c r="J498" s="709"/>
      <c r="K498" s="709"/>
      <c r="L498" s="709"/>
      <c r="M498" s="709"/>
      <c r="N498" s="709"/>
      <c r="O498" s="709"/>
      <c r="P498" s="709"/>
      <c r="Q498" s="709"/>
      <c r="R498" s="709"/>
      <c r="S498" s="709"/>
      <c r="T498" s="709"/>
      <c r="U498" s="709"/>
      <c r="V498" s="709"/>
      <c r="BH498" s="890"/>
      <c r="BI498" s="890"/>
      <c r="BJ498" s="890"/>
      <c r="BK498" s="890"/>
      <c r="BL498" s="890"/>
      <c r="BM498" s="890"/>
      <c r="BN498" s="890"/>
      <c r="BO498" s="890"/>
      <c r="BP498" s="890"/>
      <c r="BQ498" s="890"/>
      <c r="BR498" s="890"/>
      <c r="BS498" s="890"/>
      <c r="BT498" s="890"/>
      <c r="BU498" s="890"/>
      <c r="BV498" s="890"/>
      <c r="BW498" s="890"/>
    </row>
    <row r="499" spans="1:75">
      <c r="A499" s="709"/>
      <c r="B499" s="709"/>
      <c r="C499" s="709"/>
      <c r="D499" s="709"/>
      <c r="E499" s="709"/>
      <c r="F499" s="709"/>
      <c r="G499" s="709"/>
      <c r="H499" s="709"/>
      <c r="I499" s="709"/>
      <c r="J499" s="709"/>
      <c r="K499" s="709"/>
      <c r="L499" s="709"/>
      <c r="M499" s="709"/>
      <c r="N499" s="709"/>
      <c r="O499" s="709"/>
      <c r="P499" s="709"/>
      <c r="Q499" s="709"/>
      <c r="R499" s="709"/>
      <c r="S499" s="709"/>
      <c r="T499" s="709"/>
      <c r="U499" s="709"/>
      <c r="V499" s="709"/>
      <c r="BH499" s="890"/>
      <c r="BI499" s="890"/>
      <c r="BJ499" s="890"/>
      <c r="BK499" s="890"/>
      <c r="BL499" s="890"/>
      <c r="BM499" s="890"/>
      <c r="BN499" s="890"/>
      <c r="BO499" s="890"/>
      <c r="BP499" s="890"/>
      <c r="BQ499" s="890"/>
      <c r="BR499" s="890"/>
      <c r="BS499" s="890"/>
      <c r="BT499" s="890"/>
      <c r="BU499" s="890"/>
      <c r="BV499" s="890"/>
      <c r="BW499" s="890"/>
    </row>
    <row r="500" spans="1:75">
      <c r="A500" s="709"/>
      <c r="B500" s="709"/>
      <c r="C500" s="709"/>
      <c r="D500" s="709"/>
      <c r="E500" s="709"/>
      <c r="F500" s="709"/>
      <c r="G500" s="709"/>
      <c r="H500" s="709"/>
      <c r="I500" s="709"/>
      <c r="J500" s="709"/>
      <c r="K500" s="709"/>
      <c r="L500" s="709"/>
      <c r="M500" s="709"/>
      <c r="N500" s="709"/>
      <c r="O500" s="709"/>
      <c r="P500" s="709"/>
      <c r="Q500" s="709"/>
      <c r="R500" s="709"/>
      <c r="S500" s="709"/>
      <c r="T500" s="709"/>
      <c r="U500" s="709"/>
      <c r="V500" s="709"/>
      <c r="BH500" s="890"/>
      <c r="BI500" s="890"/>
      <c r="BJ500" s="890"/>
      <c r="BK500" s="890"/>
      <c r="BL500" s="890"/>
      <c r="BM500" s="890"/>
      <c r="BN500" s="890"/>
      <c r="BO500" s="890"/>
      <c r="BP500" s="890"/>
      <c r="BQ500" s="890"/>
      <c r="BR500" s="890"/>
      <c r="BS500" s="890"/>
      <c r="BT500" s="890"/>
      <c r="BU500" s="890"/>
      <c r="BV500" s="890"/>
      <c r="BW500" s="890"/>
    </row>
    <row r="501" spans="1:75">
      <c r="A501" s="709"/>
      <c r="B501" s="709"/>
      <c r="C501" s="709"/>
      <c r="D501" s="709"/>
      <c r="E501" s="709"/>
      <c r="F501" s="709"/>
      <c r="G501" s="709"/>
      <c r="H501" s="709"/>
      <c r="I501" s="709"/>
      <c r="J501" s="709"/>
      <c r="K501" s="709"/>
      <c r="L501" s="709"/>
      <c r="M501" s="709"/>
      <c r="N501" s="709"/>
      <c r="O501" s="709"/>
      <c r="P501" s="709"/>
      <c r="Q501" s="709"/>
      <c r="R501" s="709"/>
      <c r="S501" s="709"/>
      <c r="T501" s="709"/>
      <c r="U501" s="709"/>
      <c r="V501" s="709"/>
      <c r="BH501" s="890"/>
      <c r="BI501" s="890"/>
      <c r="BJ501" s="890"/>
      <c r="BK501" s="890"/>
      <c r="BL501" s="890"/>
      <c r="BM501" s="890"/>
      <c r="BN501" s="890"/>
      <c r="BO501" s="890"/>
      <c r="BP501" s="890"/>
      <c r="BQ501" s="890"/>
      <c r="BR501" s="890"/>
      <c r="BS501" s="890"/>
      <c r="BT501" s="890"/>
      <c r="BU501" s="890"/>
      <c r="BV501" s="890"/>
      <c r="BW501" s="890"/>
    </row>
    <row r="502" spans="1:75">
      <c r="A502" s="709"/>
      <c r="B502" s="709"/>
      <c r="C502" s="709"/>
      <c r="D502" s="709"/>
      <c r="E502" s="709"/>
      <c r="F502" s="709"/>
      <c r="G502" s="709"/>
      <c r="H502" s="709"/>
      <c r="I502" s="709"/>
      <c r="J502" s="709"/>
      <c r="K502" s="709"/>
      <c r="L502" s="709"/>
      <c r="M502" s="709"/>
      <c r="N502" s="709"/>
      <c r="O502" s="709"/>
      <c r="P502" s="709"/>
      <c r="Q502" s="709"/>
      <c r="R502" s="709"/>
      <c r="S502" s="709"/>
      <c r="T502" s="709"/>
      <c r="U502" s="709"/>
      <c r="V502" s="709"/>
      <c r="BH502" s="890"/>
      <c r="BI502" s="890"/>
      <c r="BJ502" s="890"/>
      <c r="BK502" s="890"/>
      <c r="BL502" s="890"/>
      <c r="BM502" s="890"/>
      <c r="BN502" s="890"/>
      <c r="BO502" s="890"/>
      <c r="BP502" s="890"/>
      <c r="BQ502" s="890"/>
      <c r="BR502" s="890"/>
      <c r="BS502" s="890"/>
      <c r="BT502" s="890"/>
      <c r="BU502" s="890"/>
      <c r="BV502" s="890"/>
      <c r="BW502" s="890"/>
    </row>
    <row r="503" spans="1:75">
      <c r="A503" s="709"/>
      <c r="B503" s="709"/>
      <c r="C503" s="709"/>
      <c r="D503" s="709"/>
      <c r="E503" s="709"/>
      <c r="F503" s="709"/>
      <c r="G503" s="709"/>
      <c r="H503" s="709"/>
      <c r="I503" s="709"/>
      <c r="J503" s="709"/>
      <c r="K503" s="709"/>
      <c r="L503" s="709"/>
      <c r="M503" s="709"/>
      <c r="N503" s="709"/>
      <c r="O503" s="709"/>
      <c r="P503" s="709"/>
      <c r="Q503" s="709"/>
      <c r="R503" s="709"/>
      <c r="S503" s="709"/>
      <c r="T503" s="709"/>
      <c r="U503" s="709"/>
      <c r="V503" s="709"/>
      <c r="BH503" s="890"/>
      <c r="BI503" s="890"/>
      <c r="BJ503" s="890"/>
      <c r="BK503" s="890"/>
      <c r="BL503" s="890"/>
      <c r="BM503" s="890"/>
      <c r="BN503" s="890"/>
      <c r="BO503" s="890"/>
      <c r="BP503" s="890"/>
      <c r="BQ503" s="890"/>
      <c r="BR503" s="890"/>
      <c r="BS503" s="890"/>
      <c r="BT503" s="890"/>
      <c r="BU503" s="890"/>
      <c r="BV503" s="890"/>
      <c r="BW503" s="890"/>
    </row>
    <row r="504" spans="1:75">
      <c r="A504" s="709"/>
      <c r="B504" s="709"/>
      <c r="C504" s="709"/>
      <c r="D504" s="709"/>
      <c r="E504" s="709"/>
      <c r="F504" s="709"/>
      <c r="G504" s="709"/>
      <c r="H504" s="709"/>
      <c r="I504" s="709"/>
      <c r="J504" s="709"/>
      <c r="K504" s="709"/>
      <c r="L504" s="709"/>
      <c r="M504" s="709"/>
      <c r="N504" s="709"/>
      <c r="O504" s="709"/>
      <c r="P504" s="709"/>
      <c r="Q504" s="709"/>
      <c r="R504" s="709"/>
      <c r="S504" s="709"/>
      <c r="T504" s="709"/>
      <c r="U504" s="709"/>
      <c r="V504" s="709"/>
      <c r="BH504" s="890"/>
      <c r="BI504" s="890"/>
      <c r="BJ504" s="890"/>
      <c r="BK504" s="890"/>
      <c r="BL504" s="890"/>
      <c r="BM504" s="890"/>
      <c r="BN504" s="890"/>
      <c r="BO504" s="890"/>
      <c r="BP504" s="890"/>
      <c r="BQ504" s="890"/>
      <c r="BR504" s="890"/>
      <c r="BS504" s="890"/>
      <c r="BT504" s="890"/>
      <c r="BU504" s="890"/>
      <c r="BV504" s="890"/>
      <c r="BW504" s="890"/>
    </row>
    <row r="505" spans="1:75">
      <c r="A505" s="709"/>
      <c r="B505" s="709"/>
      <c r="C505" s="709"/>
      <c r="D505" s="709"/>
      <c r="E505" s="709"/>
      <c r="F505" s="709"/>
      <c r="G505" s="709"/>
      <c r="H505" s="709"/>
      <c r="I505" s="709"/>
      <c r="J505" s="709"/>
      <c r="K505" s="709"/>
      <c r="L505" s="709"/>
      <c r="M505" s="709"/>
      <c r="N505" s="709"/>
      <c r="O505" s="709"/>
      <c r="P505" s="709"/>
      <c r="Q505" s="709"/>
      <c r="R505" s="709"/>
      <c r="S505" s="709"/>
      <c r="T505" s="709"/>
      <c r="U505" s="709"/>
      <c r="V505" s="709"/>
      <c r="BH505" s="890"/>
      <c r="BI505" s="890"/>
      <c r="BJ505" s="890"/>
      <c r="BK505" s="890"/>
      <c r="BL505" s="890"/>
      <c r="BM505" s="890"/>
      <c r="BN505" s="890"/>
      <c r="BO505" s="890"/>
      <c r="BP505" s="890"/>
      <c r="BQ505" s="890"/>
      <c r="BR505" s="890"/>
      <c r="BS505" s="890"/>
      <c r="BT505" s="890"/>
      <c r="BU505" s="890"/>
      <c r="BV505" s="890"/>
      <c r="BW505" s="890"/>
    </row>
    <row r="506" spans="1:75">
      <c r="A506" s="709"/>
      <c r="B506" s="709"/>
      <c r="C506" s="709"/>
      <c r="D506" s="709"/>
      <c r="E506" s="709"/>
      <c r="F506" s="709"/>
      <c r="G506" s="709"/>
      <c r="H506" s="709"/>
      <c r="I506" s="709"/>
      <c r="J506" s="709"/>
      <c r="K506" s="709"/>
      <c r="L506" s="709"/>
      <c r="M506" s="709"/>
      <c r="N506" s="709"/>
      <c r="O506" s="709"/>
      <c r="P506" s="709"/>
      <c r="Q506" s="709"/>
      <c r="R506" s="709"/>
      <c r="S506" s="709"/>
      <c r="T506" s="709"/>
      <c r="U506" s="709"/>
      <c r="V506" s="709"/>
      <c r="BH506" s="890"/>
      <c r="BI506" s="890"/>
      <c r="BJ506" s="890"/>
      <c r="BK506" s="890"/>
      <c r="BL506" s="890"/>
      <c r="BM506" s="890"/>
      <c r="BN506" s="890"/>
      <c r="BO506" s="890"/>
      <c r="BP506" s="890"/>
      <c r="BQ506" s="890"/>
      <c r="BR506" s="890"/>
      <c r="BS506" s="890"/>
      <c r="BT506" s="890"/>
      <c r="BU506" s="890"/>
      <c r="BV506" s="890"/>
      <c r="BW506" s="890"/>
    </row>
    <row r="507" spans="1:75">
      <c r="A507" s="709"/>
      <c r="B507" s="709"/>
      <c r="C507" s="709"/>
      <c r="D507" s="709"/>
      <c r="E507" s="709"/>
      <c r="F507" s="709"/>
      <c r="G507" s="709"/>
      <c r="H507" s="709"/>
      <c r="I507" s="709"/>
      <c r="J507" s="709"/>
      <c r="K507" s="709"/>
      <c r="L507" s="709"/>
      <c r="M507" s="709"/>
      <c r="N507" s="709"/>
      <c r="O507" s="709"/>
      <c r="P507" s="709"/>
      <c r="Q507" s="709"/>
      <c r="R507" s="709"/>
      <c r="S507" s="709"/>
      <c r="T507" s="709"/>
      <c r="U507" s="709"/>
      <c r="V507" s="709"/>
      <c r="BH507" s="890"/>
      <c r="BI507" s="890"/>
      <c r="BJ507" s="890"/>
      <c r="BK507" s="890"/>
      <c r="BL507" s="890"/>
      <c r="BM507" s="890"/>
      <c r="BN507" s="890"/>
      <c r="BO507" s="890"/>
      <c r="BP507" s="890"/>
      <c r="BQ507" s="890"/>
      <c r="BR507" s="890"/>
      <c r="BS507" s="890"/>
      <c r="BT507" s="890"/>
      <c r="BU507" s="890"/>
      <c r="BV507" s="890"/>
      <c r="BW507" s="890"/>
    </row>
    <row r="508" spans="1:75">
      <c r="A508" s="709"/>
      <c r="B508" s="709"/>
      <c r="C508" s="709"/>
      <c r="D508" s="709"/>
      <c r="E508" s="709"/>
      <c r="F508" s="709"/>
      <c r="G508" s="709"/>
      <c r="H508" s="709"/>
      <c r="I508" s="709"/>
      <c r="J508" s="709"/>
      <c r="K508" s="709"/>
      <c r="L508" s="709"/>
      <c r="M508" s="709"/>
      <c r="N508" s="709"/>
      <c r="O508" s="709"/>
      <c r="P508" s="709"/>
      <c r="Q508" s="709"/>
      <c r="R508" s="709"/>
      <c r="S508" s="709"/>
      <c r="T508" s="709"/>
      <c r="U508" s="709"/>
      <c r="V508" s="709"/>
      <c r="BH508" s="890"/>
      <c r="BI508" s="890"/>
      <c r="BJ508" s="890"/>
      <c r="BK508" s="890"/>
      <c r="BL508" s="890"/>
      <c r="BM508" s="890"/>
      <c r="BN508" s="890"/>
      <c r="BO508" s="890"/>
      <c r="BP508" s="890"/>
      <c r="BQ508" s="890"/>
      <c r="BR508" s="890"/>
      <c r="BS508" s="890"/>
      <c r="BT508" s="890"/>
      <c r="BU508" s="890"/>
      <c r="BV508" s="890"/>
      <c r="BW508" s="890"/>
    </row>
    <row r="509" spans="1:75">
      <c r="A509" s="709"/>
      <c r="B509" s="709"/>
      <c r="C509" s="709"/>
      <c r="D509" s="709"/>
      <c r="E509" s="709"/>
      <c r="F509" s="709"/>
      <c r="G509" s="709"/>
      <c r="H509" s="709"/>
      <c r="I509" s="709"/>
      <c r="J509" s="709"/>
      <c r="K509" s="709"/>
      <c r="L509" s="709"/>
      <c r="M509" s="709"/>
      <c r="N509" s="709"/>
      <c r="O509" s="709"/>
      <c r="P509" s="709"/>
      <c r="Q509" s="709"/>
      <c r="R509" s="709"/>
      <c r="S509" s="709"/>
      <c r="T509" s="709"/>
      <c r="U509" s="709"/>
      <c r="V509" s="709"/>
      <c r="BH509" s="890"/>
      <c r="BI509" s="890"/>
      <c r="BJ509" s="890"/>
      <c r="BK509" s="890"/>
      <c r="BL509" s="890"/>
      <c r="BM509" s="890"/>
      <c r="BN509" s="890"/>
      <c r="BO509" s="890"/>
      <c r="BP509" s="890"/>
      <c r="BQ509" s="890"/>
      <c r="BR509" s="890"/>
      <c r="BS509" s="890"/>
      <c r="BT509" s="890"/>
      <c r="BU509" s="890"/>
      <c r="BV509" s="890"/>
      <c r="BW509" s="890"/>
    </row>
    <row r="510" spans="1:75">
      <c r="A510" s="709"/>
      <c r="B510" s="709"/>
      <c r="C510" s="709"/>
      <c r="D510" s="709"/>
      <c r="E510" s="709"/>
      <c r="F510" s="709"/>
      <c r="G510" s="709"/>
      <c r="H510" s="709"/>
      <c r="I510" s="709"/>
      <c r="J510" s="709"/>
      <c r="K510" s="709"/>
      <c r="L510" s="709"/>
      <c r="M510" s="709"/>
      <c r="N510" s="709"/>
      <c r="O510" s="709"/>
      <c r="P510" s="709"/>
      <c r="Q510" s="709"/>
      <c r="R510" s="709"/>
      <c r="S510" s="709"/>
      <c r="T510" s="709"/>
      <c r="U510" s="709"/>
      <c r="V510" s="709"/>
      <c r="BH510" s="890"/>
      <c r="BI510" s="890"/>
      <c r="BJ510" s="890"/>
      <c r="BK510" s="890"/>
      <c r="BL510" s="890"/>
      <c r="BM510" s="890"/>
      <c r="BN510" s="890"/>
      <c r="BO510" s="890"/>
      <c r="BP510" s="890"/>
      <c r="BQ510" s="890"/>
      <c r="BR510" s="890"/>
      <c r="BS510" s="890"/>
      <c r="BT510" s="890"/>
      <c r="BU510" s="890"/>
      <c r="BV510" s="890"/>
      <c r="BW510" s="890"/>
    </row>
    <row r="511" spans="1:75">
      <c r="A511" s="709"/>
      <c r="B511" s="709"/>
      <c r="C511" s="709"/>
      <c r="D511" s="709"/>
      <c r="E511" s="709"/>
      <c r="F511" s="709"/>
      <c r="G511" s="709"/>
      <c r="H511" s="709"/>
      <c r="I511" s="709"/>
      <c r="J511" s="709"/>
      <c r="K511" s="709"/>
      <c r="L511" s="709"/>
      <c r="M511" s="709"/>
      <c r="N511" s="709"/>
      <c r="O511" s="709"/>
      <c r="P511" s="709"/>
      <c r="Q511" s="709"/>
      <c r="R511" s="709"/>
      <c r="S511" s="709"/>
      <c r="T511" s="709"/>
      <c r="U511" s="709"/>
      <c r="V511" s="709"/>
      <c r="BH511" s="890"/>
      <c r="BI511" s="890"/>
      <c r="BJ511" s="890"/>
      <c r="BK511" s="890"/>
      <c r="BL511" s="890"/>
      <c r="BM511" s="890"/>
      <c r="BN511" s="890"/>
      <c r="BO511" s="890"/>
      <c r="BP511" s="890"/>
      <c r="BQ511" s="890"/>
      <c r="BR511" s="890"/>
      <c r="BS511" s="890"/>
      <c r="BT511" s="890"/>
      <c r="BU511" s="890"/>
      <c r="BV511" s="890"/>
      <c r="BW511" s="890"/>
    </row>
    <row r="512" spans="1:75">
      <c r="A512" s="709"/>
      <c r="B512" s="709"/>
      <c r="C512" s="709"/>
      <c r="D512" s="709"/>
      <c r="E512" s="709"/>
      <c r="F512" s="709"/>
      <c r="G512" s="709"/>
      <c r="H512" s="709"/>
      <c r="I512" s="709"/>
      <c r="J512" s="709"/>
      <c r="K512" s="709"/>
      <c r="L512" s="709"/>
      <c r="M512" s="709"/>
      <c r="N512" s="709"/>
      <c r="O512" s="709"/>
      <c r="P512" s="709"/>
      <c r="Q512" s="709"/>
      <c r="R512" s="709"/>
      <c r="S512" s="709"/>
      <c r="T512" s="709"/>
      <c r="U512" s="709"/>
      <c r="V512" s="709"/>
      <c r="BH512" s="890"/>
      <c r="BI512" s="890"/>
      <c r="BJ512" s="890"/>
      <c r="BK512" s="890"/>
      <c r="BL512" s="890"/>
      <c r="BM512" s="890"/>
      <c r="BN512" s="890"/>
      <c r="BO512" s="890"/>
      <c r="BP512" s="890"/>
      <c r="BQ512" s="890"/>
      <c r="BR512" s="890"/>
      <c r="BS512" s="890"/>
      <c r="BT512" s="890"/>
      <c r="BU512" s="890"/>
      <c r="BV512" s="890"/>
      <c r="BW512" s="890"/>
    </row>
    <row r="513" spans="1:75">
      <c r="A513" s="709"/>
      <c r="B513" s="709"/>
      <c r="C513" s="709"/>
      <c r="D513" s="709"/>
      <c r="E513" s="709"/>
      <c r="F513" s="709"/>
      <c r="G513" s="709"/>
      <c r="H513" s="709"/>
      <c r="I513" s="709"/>
      <c r="J513" s="709"/>
      <c r="K513" s="709"/>
      <c r="L513" s="709"/>
      <c r="M513" s="709"/>
      <c r="N513" s="709"/>
      <c r="O513" s="709"/>
      <c r="P513" s="709"/>
      <c r="Q513" s="709"/>
      <c r="R513" s="709"/>
      <c r="S513" s="709"/>
      <c r="T513" s="709"/>
      <c r="U513" s="709"/>
      <c r="V513" s="709"/>
      <c r="BH513" s="890"/>
      <c r="BI513" s="890"/>
      <c r="BJ513" s="890"/>
      <c r="BK513" s="890"/>
      <c r="BL513" s="890"/>
      <c r="BM513" s="890"/>
      <c r="BN513" s="890"/>
      <c r="BO513" s="890"/>
      <c r="BP513" s="890"/>
      <c r="BQ513" s="890"/>
      <c r="BR513" s="890"/>
      <c r="BS513" s="890"/>
      <c r="BT513" s="890"/>
      <c r="BU513" s="890"/>
      <c r="BV513" s="890"/>
      <c r="BW513" s="890"/>
    </row>
    <row r="514" spans="1:75">
      <c r="A514" s="709"/>
      <c r="B514" s="709"/>
      <c r="C514" s="709"/>
      <c r="D514" s="709"/>
      <c r="E514" s="709"/>
      <c r="F514" s="709"/>
      <c r="G514" s="709"/>
      <c r="H514" s="709"/>
      <c r="I514" s="709"/>
      <c r="J514" s="709"/>
      <c r="K514" s="709"/>
      <c r="L514" s="709"/>
      <c r="M514" s="709"/>
      <c r="N514" s="709"/>
      <c r="O514" s="709"/>
      <c r="P514" s="709"/>
      <c r="Q514" s="709"/>
      <c r="R514" s="709"/>
      <c r="S514" s="709"/>
      <c r="T514" s="709"/>
      <c r="U514" s="709"/>
      <c r="V514" s="709"/>
      <c r="BH514" s="890"/>
      <c r="BI514" s="890"/>
      <c r="BJ514" s="890"/>
      <c r="BK514" s="890"/>
      <c r="BL514" s="890"/>
      <c r="BM514" s="890"/>
      <c r="BN514" s="890"/>
      <c r="BO514" s="890"/>
      <c r="BP514" s="890"/>
      <c r="BQ514" s="890"/>
      <c r="BR514" s="890"/>
      <c r="BS514" s="890"/>
      <c r="BT514" s="890"/>
      <c r="BU514" s="890"/>
      <c r="BV514" s="890"/>
      <c r="BW514" s="890"/>
    </row>
    <row r="515" spans="1:75">
      <c r="A515" s="709"/>
      <c r="B515" s="709"/>
      <c r="C515" s="709"/>
      <c r="D515" s="709"/>
      <c r="E515" s="709"/>
      <c r="F515" s="709"/>
      <c r="G515" s="709"/>
      <c r="H515" s="709"/>
      <c r="I515" s="709"/>
      <c r="J515" s="709"/>
      <c r="K515" s="709"/>
      <c r="L515" s="709"/>
      <c r="M515" s="709"/>
      <c r="N515" s="709"/>
      <c r="O515" s="709"/>
      <c r="P515" s="709"/>
      <c r="Q515" s="709"/>
      <c r="R515" s="709"/>
      <c r="S515" s="709"/>
      <c r="T515" s="709"/>
      <c r="U515" s="709"/>
      <c r="V515" s="709"/>
      <c r="BH515" s="890"/>
      <c r="BI515" s="890"/>
      <c r="BJ515" s="890"/>
      <c r="BK515" s="890"/>
      <c r="BL515" s="890"/>
      <c r="BM515" s="890"/>
      <c r="BN515" s="890"/>
      <c r="BO515" s="890"/>
      <c r="BP515" s="890"/>
      <c r="BQ515" s="890"/>
      <c r="BR515" s="890"/>
      <c r="BS515" s="890"/>
      <c r="BT515" s="890"/>
      <c r="BU515" s="890"/>
      <c r="BV515" s="890"/>
      <c r="BW515" s="890"/>
    </row>
    <row r="516" spans="1:75">
      <c r="A516" s="709"/>
      <c r="B516" s="709"/>
      <c r="C516" s="709"/>
      <c r="D516" s="709"/>
      <c r="E516" s="709"/>
      <c r="F516" s="709"/>
      <c r="G516" s="709"/>
      <c r="H516" s="709"/>
      <c r="I516" s="709"/>
      <c r="J516" s="709"/>
      <c r="K516" s="709"/>
      <c r="L516" s="709"/>
      <c r="M516" s="709"/>
      <c r="N516" s="709"/>
      <c r="O516" s="709"/>
      <c r="P516" s="709"/>
      <c r="Q516" s="709"/>
      <c r="R516" s="709"/>
      <c r="S516" s="709"/>
      <c r="T516" s="709"/>
      <c r="U516" s="709"/>
      <c r="V516" s="709"/>
      <c r="BH516" s="890"/>
      <c r="BI516" s="890"/>
      <c r="BJ516" s="890"/>
      <c r="BK516" s="890"/>
      <c r="BL516" s="890"/>
      <c r="BM516" s="890"/>
      <c r="BN516" s="890"/>
      <c r="BO516" s="890"/>
      <c r="BP516" s="890"/>
      <c r="BQ516" s="890"/>
      <c r="BR516" s="890"/>
      <c r="BS516" s="890"/>
      <c r="BT516" s="890"/>
      <c r="BU516" s="890"/>
      <c r="BV516" s="890"/>
      <c r="BW516" s="890"/>
    </row>
    <row r="517" spans="1:75">
      <c r="A517" s="709"/>
      <c r="B517" s="709"/>
      <c r="C517" s="709"/>
      <c r="D517" s="709"/>
      <c r="E517" s="709"/>
      <c r="F517" s="709"/>
      <c r="G517" s="709"/>
      <c r="H517" s="709"/>
      <c r="I517" s="709"/>
      <c r="J517" s="709"/>
      <c r="K517" s="709"/>
      <c r="L517" s="709"/>
      <c r="M517" s="709"/>
      <c r="N517" s="709"/>
      <c r="O517" s="709"/>
      <c r="P517" s="709"/>
      <c r="Q517" s="709"/>
      <c r="R517" s="709"/>
      <c r="S517" s="709"/>
      <c r="T517" s="709"/>
      <c r="U517" s="709"/>
      <c r="V517" s="709"/>
      <c r="BH517" s="890"/>
      <c r="BI517" s="890"/>
      <c r="BJ517" s="890"/>
      <c r="BK517" s="890"/>
      <c r="BL517" s="890"/>
      <c r="BM517" s="890"/>
      <c r="BN517" s="890"/>
      <c r="BO517" s="890"/>
      <c r="BP517" s="890"/>
      <c r="BQ517" s="890"/>
      <c r="BR517" s="890"/>
      <c r="BS517" s="890"/>
      <c r="BT517" s="890"/>
      <c r="BU517" s="890"/>
      <c r="BV517" s="890"/>
      <c r="BW517" s="890"/>
    </row>
    <row r="518" spans="1:75">
      <c r="A518" s="709"/>
      <c r="B518" s="709"/>
      <c r="C518" s="709"/>
      <c r="D518" s="709"/>
      <c r="E518" s="709"/>
      <c r="F518" s="709"/>
      <c r="G518" s="709"/>
      <c r="H518" s="709"/>
      <c r="I518" s="709"/>
      <c r="J518" s="709"/>
      <c r="K518" s="709"/>
      <c r="L518" s="709"/>
      <c r="M518" s="709"/>
      <c r="N518" s="709"/>
      <c r="O518" s="709"/>
      <c r="P518" s="709"/>
      <c r="Q518" s="709"/>
      <c r="R518" s="709"/>
      <c r="S518" s="709"/>
      <c r="T518" s="709"/>
      <c r="U518" s="709"/>
      <c r="V518" s="709"/>
      <c r="BH518" s="890"/>
      <c r="BI518" s="890"/>
      <c r="BJ518" s="890"/>
      <c r="BK518" s="890"/>
      <c r="BL518" s="890"/>
      <c r="BM518" s="890"/>
      <c r="BN518" s="890"/>
      <c r="BO518" s="890"/>
      <c r="BP518" s="890"/>
      <c r="BQ518" s="890"/>
      <c r="BR518" s="890"/>
      <c r="BS518" s="890"/>
      <c r="BT518" s="890"/>
      <c r="BU518" s="890"/>
      <c r="BV518" s="890"/>
      <c r="BW518" s="890"/>
    </row>
    <row r="519" spans="1:75">
      <c r="A519" s="709"/>
      <c r="B519" s="709"/>
      <c r="C519" s="709"/>
      <c r="D519" s="709"/>
      <c r="E519" s="709"/>
      <c r="F519" s="709"/>
      <c r="G519" s="709"/>
      <c r="H519" s="709"/>
      <c r="I519" s="709"/>
      <c r="J519" s="709"/>
      <c r="K519" s="709"/>
      <c r="L519" s="709"/>
      <c r="M519" s="709"/>
      <c r="N519" s="709"/>
      <c r="O519" s="709"/>
      <c r="P519" s="709"/>
      <c r="Q519" s="709"/>
      <c r="R519" s="709"/>
      <c r="S519" s="709"/>
      <c r="T519" s="709"/>
      <c r="U519" s="709"/>
      <c r="V519" s="709"/>
      <c r="BH519" s="890"/>
      <c r="BI519" s="890"/>
      <c r="BJ519" s="890"/>
      <c r="BK519" s="890"/>
      <c r="BL519" s="890"/>
      <c r="BM519" s="890"/>
      <c r="BN519" s="890"/>
      <c r="BO519" s="890"/>
      <c r="BP519" s="890"/>
      <c r="BQ519" s="890"/>
      <c r="BR519" s="890"/>
      <c r="BS519" s="890"/>
      <c r="BT519" s="890"/>
      <c r="BU519" s="890"/>
      <c r="BV519" s="890"/>
      <c r="BW519" s="890"/>
    </row>
    <row r="520" spans="1:75">
      <c r="A520" s="709"/>
      <c r="B520" s="709"/>
      <c r="C520" s="709"/>
      <c r="D520" s="709"/>
      <c r="E520" s="709"/>
      <c r="F520" s="709"/>
      <c r="G520" s="709"/>
      <c r="H520" s="709"/>
      <c r="I520" s="709"/>
      <c r="J520" s="709"/>
      <c r="K520" s="709"/>
      <c r="L520" s="709"/>
      <c r="M520" s="709"/>
      <c r="N520" s="709"/>
      <c r="O520" s="709"/>
      <c r="P520" s="709"/>
      <c r="Q520" s="709"/>
      <c r="R520" s="709"/>
      <c r="S520" s="709"/>
      <c r="T520" s="709"/>
      <c r="U520" s="709"/>
      <c r="V520" s="709"/>
      <c r="BH520" s="890"/>
      <c r="BI520" s="890"/>
      <c r="BJ520" s="890"/>
      <c r="BK520" s="890"/>
      <c r="BL520" s="890"/>
      <c r="BM520" s="890"/>
      <c r="BN520" s="890"/>
      <c r="BO520" s="890"/>
      <c r="BP520" s="890"/>
      <c r="BQ520" s="890"/>
      <c r="BR520" s="890"/>
      <c r="BS520" s="890"/>
      <c r="BT520" s="890"/>
      <c r="BU520" s="890"/>
      <c r="BV520" s="890"/>
      <c r="BW520" s="890"/>
    </row>
    <row r="521" spans="1:75">
      <c r="A521" s="709"/>
      <c r="B521" s="709"/>
      <c r="C521" s="709"/>
      <c r="D521" s="709"/>
      <c r="E521" s="709"/>
      <c r="F521" s="709"/>
      <c r="G521" s="709"/>
      <c r="H521" s="709"/>
      <c r="I521" s="709"/>
      <c r="J521" s="709"/>
      <c r="K521" s="709"/>
      <c r="L521" s="709"/>
      <c r="M521" s="709"/>
      <c r="N521" s="709"/>
      <c r="O521" s="709"/>
      <c r="P521" s="709"/>
      <c r="Q521" s="709"/>
      <c r="R521" s="709"/>
      <c r="S521" s="709"/>
      <c r="T521" s="709"/>
      <c r="U521" s="709"/>
      <c r="V521" s="709"/>
      <c r="BH521" s="890"/>
      <c r="BI521" s="890"/>
      <c r="BJ521" s="890"/>
      <c r="BK521" s="890"/>
      <c r="BL521" s="890"/>
      <c r="BM521" s="890"/>
      <c r="BN521" s="890"/>
      <c r="BO521" s="890"/>
      <c r="BP521" s="890"/>
      <c r="BQ521" s="890"/>
      <c r="BR521" s="890"/>
      <c r="BS521" s="890"/>
      <c r="BT521" s="890"/>
      <c r="BU521" s="890"/>
      <c r="BV521" s="890"/>
      <c r="BW521" s="890"/>
    </row>
    <row r="522" spans="1:75">
      <c r="A522" s="709"/>
      <c r="B522" s="709"/>
      <c r="C522" s="709"/>
      <c r="D522" s="709"/>
      <c r="E522" s="709"/>
      <c r="F522" s="709"/>
      <c r="G522" s="709"/>
      <c r="H522" s="709"/>
      <c r="I522" s="709"/>
      <c r="J522" s="709"/>
      <c r="K522" s="709"/>
      <c r="L522" s="709"/>
      <c r="M522" s="709"/>
      <c r="N522" s="709"/>
      <c r="O522" s="709"/>
      <c r="P522" s="709"/>
      <c r="Q522" s="709"/>
      <c r="R522" s="709"/>
      <c r="S522" s="709"/>
      <c r="T522" s="709"/>
      <c r="U522" s="709"/>
      <c r="V522" s="709"/>
      <c r="BH522" s="890"/>
      <c r="BI522" s="890"/>
      <c r="BJ522" s="890"/>
      <c r="BK522" s="890"/>
      <c r="BL522" s="890"/>
      <c r="BM522" s="890"/>
      <c r="BN522" s="890"/>
      <c r="BO522" s="890"/>
      <c r="BP522" s="890"/>
      <c r="BQ522" s="890"/>
      <c r="BR522" s="890"/>
      <c r="BS522" s="890"/>
      <c r="BT522" s="890"/>
      <c r="BU522" s="890"/>
      <c r="BV522" s="890"/>
      <c r="BW522" s="890"/>
    </row>
    <row r="523" spans="1:75">
      <c r="A523" s="709"/>
      <c r="B523" s="709"/>
      <c r="C523" s="709"/>
      <c r="D523" s="709"/>
      <c r="E523" s="709"/>
      <c r="F523" s="709"/>
      <c r="G523" s="709"/>
      <c r="H523" s="709"/>
      <c r="I523" s="709"/>
      <c r="J523" s="709"/>
      <c r="K523" s="709"/>
      <c r="L523" s="709"/>
      <c r="M523" s="709"/>
      <c r="N523" s="709"/>
      <c r="O523" s="709"/>
      <c r="P523" s="709"/>
      <c r="Q523" s="709"/>
      <c r="R523" s="709"/>
      <c r="S523" s="709"/>
      <c r="T523" s="709"/>
      <c r="U523" s="709"/>
      <c r="V523" s="709"/>
      <c r="BH523" s="890"/>
      <c r="BI523" s="890"/>
      <c r="BJ523" s="890"/>
      <c r="BK523" s="890"/>
      <c r="BL523" s="890"/>
      <c r="BM523" s="890"/>
      <c r="BN523" s="890"/>
      <c r="BO523" s="890"/>
      <c r="BP523" s="890"/>
      <c r="BQ523" s="890"/>
      <c r="BR523" s="890"/>
      <c r="BS523" s="890"/>
      <c r="BT523" s="890"/>
      <c r="BU523" s="890"/>
      <c r="BV523" s="890"/>
      <c r="BW523" s="890"/>
    </row>
    <row r="524" spans="1:75">
      <c r="A524" s="709"/>
      <c r="B524" s="709"/>
      <c r="C524" s="709"/>
      <c r="D524" s="709"/>
      <c r="E524" s="709"/>
      <c r="F524" s="709"/>
      <c r="G524" s="709"/>
      <c r="H524" s="709"/>
      <c r="I524" s="709"/>
      <c r="J524" s="709"/>
      <c r="K524" s="709"/>
      <c r="L524" s="709"/>
      <c r="M524" s="709"/>
      <c r="N524" s="709"/>
      <c r="O524" s="709"/>
      <c r="P524" s="709"/>
      <c r="Q524" s="709"/>
      <c r="R524" s="709"/>
      <c r="S524" s="709"/>
      <c r="T524" s="709"/>
      <c r="U524" s="709"/>
      <c r="V524" s="709"/>
      <c r="BH524" s="890"/>
      <c r="BI524" s="890"/>
      <c r="BJ524" s="890"/>
      <c r="BK524" s="890"/>
      <c r="BL524" s="890"/>
      <c r="BM524" s="890"/>
      <c r="BN524" s="890"/>
      <c r="BO524" s="890"/>
      <c r="BP524" s="890"/>
      <c r="BQ524" s="890"/>
      <c r="BR524" s="890"/>
      <c r="BS524" s="890"/>
      <c r="BT524" s="890"/>
      <c r="BU524" s="890"/>
      <c r="BV524" s="890"/>
      <c r="BW524" s="890"/>
    </row>
    <row r="525" spans="1:75">
      <c r="A525" s="709"/>
      <c r="B525" s="709"/>
      <c r="C525" s="709"/>
      <c r="D525" s="709"/>
      <c r="E525" s="709"/>
      <c r="F525" s="709"/>
      <c r="G525" s="709"/>
      <c r="H525" s="709"/>
      <c r="I525" s="709"/>
      <c r="J525" s="709"/>
      <c r="K525" s="709"/>
      <c r="L525" s="709"/>
      <c r="M525" s="709"/>
      <c r="N525" s="709"/>
      <c r="O525" s="709"/>
      <c r="P525" s="709"/>
      <c r="Q525" s="709"/>
      <c r="R525" s="709"/>
      <c r="S525" s="709"/>
      <c r="T525" s="709"/>
      <c r="U525" s="709"/>
      <c r="V525" s="709"/>
      <c r="BH525" s="890"/>
      <c r="BI525" s="890"/>
      <c r="BJ525" s="890"/>
      <c r="BK525" s="890"/>
      <c r="BL525" s="890"/>
      <c r="BM525" s="890"/>
      <c r="BN525" s="890"/>
      <c r="BO525" s="890"/>
      <c r="BP525" s="890"/>
      <c r="BQ525" s="890"/>
      <c r="BR525" s="890"/>
      <c r="BS525" s="890"/>
      <c r="BT525" s="890"/>
      <c r="BU525" s="890"/>
      <c r="BV525" s="890"/>
      <c r="BW525" s="890"/>
    </row>
    <row r="526" spans="1:75">
      <c r="A526" s="709"/>
      <c r="B526" s="709"/>
      <c r="C526" s="709"/>
      <c r="D526" s="709"/>
      <c r="E526" s="709"/>
      <c r="F526" s="709"/>
      <c r="G526" s="709"/>
      <c r="H526" s="709"/>
      <c r="I526" s="709"/>
      <c r="J526" s="709"/>
      <c r="K526" s="709"/>
      <c r="L526" s="709"/>
      <c r="M526" s="709"/>
      <c r="N526" s="709"/>
      <c r="O526" s="709"/>
      <c r="P526" s="709"/>
      <c r="Q526" s="709"/>
      <c r="R526" s="709"/>
      <c r="S526" s="709"/>
      <c r="T526" s="709"/>
      <c r="U526" s="709"/>
      <c r="V526" s="709"/>
      <c r="BH526" s="890"/>
      <c r="BI526" s="890"/>
      <c r="BJ526" s="890"/>
      <c r="BK526" s="890"/>
      <c r="BL526" s="890"/>
      <c r="BM526" s="890"/>
      <c r="BN526" s="890"/>
      <c r="BO526" s="890"/>
      <c r="BP526" s="890"/>
      <c r="BQ526" s="890"/>
      <c r="BR526" s="890"/>
      <c r="BS526" s="890"/>
      <c r="BT526" s="890"/>
      <c r="BU526" s="890"/>
      <c r="BV526" s="890"/>
      <c r="BW526" s="890"/>
    </row>
    <row r="527" spans="1:75">
      <c r="A527" s="709"/>
      <c r="B527" s="709"/>
      <c r="C527" s="709"/>
      <c r="D527" s="709"/>
      <c r="E527" s="709"/>
      <c r="F527" s="709"/>
      <c r="G527" s="709"/>
      <c r="H527" s="709"/>
      <c r="I527" s="709"/>
      <c r="J527" s="709"/>
      <c r="K527" s="709"/>
      <c r="L527" s="709"/>
      <c r="M527" s="709"/>
      <c r="N527" s="709"/>
      <c r="O527" s="709"/>
      <c r="P527" s="709"/>
      <c r="Q527" s="709"/>
      <c r="R527" s="709"/>
      <c r="S527" s="709"/>
      <c r="T527" s="709"/>
      <c r="U527" s="709"/>
      <c r="V527" s="709"/>
      <c r="BH527" s="890"/>
      <c r="BI527" s="890"/>
      <c r="BJ527" s="890"/>
      <c r="BK527" s="890"/>
      <c r="BL527" s="890"/>
      <c r="BM527" s="890"/>
      <c r="BN527" s="890"/>
      <c r="BO527" s="890"/>
      <c r="BP527" s="890"/>
      <c r="BQ527" s="890"/>
      <c r="BR527" s="890"/>
      <c r="BS527" s="890"/>
      <c r="BT527" s="890"/>
      <c r="BU527" s="890"/>
      <c r="BV527" s="890"/>
      <c r="BW527" s="890"/>
    </row>
    <row r="528" spans="1:75">
      <c r="A528" s="709"/>
      <c r="B528" s="709"/>
      <c r="C528" s="709"/>
      <c r="D528" s="709"/>
      <c r="E528" s="709"/>
      <c r="F528" s="709"/>
      <c r="G528" s="709"/>
      <c r="H528" s="709"/>
      <c r="I528" s="709"/>
      <c r="J528" s="709"/>
      <c r="K528" s="709"/>
      <c r="L528" s="709"/>
      <c r="M528" s="709"/>
      <c r="N528" s="709"/>
      <c r="O528" s="709"/>
      <c r="P528" s="709"/>
      <c r="Q528" s="709"/>
      <c r="R528" s="709"/>
      <c r="S528" s="709"/>
      <c r="T528" s="709"/>
      <c r="U528" s="709"/>
      <c r="V528" s="709"/>
      <c r="BH528" s="890"/>
      <c r="BI528" s="890"/>
      <c r="BJ528" s="890"/>
      <c r="BK528" s="890"/>
      <c r="BL528" s="890"/>
      <c r="BM528" s="890"/>
      <c r="BN528" s="890"/>
      <c r="BO528" s="890"/>
      <c r="BP528" s="890"/>
      <c r="BQ528" s="890"/>
      <c r="BR528" s="890"/>
      <c r="BS528" s="890"/>
      <c r="BT528" s="890"/>
      <c r="BU528" s="890"/>
      <c r="BV528" s="890"/>
      <c r="BW528" s="890"/>
    </row>
    <row r="529" spans="1:75">
      <c r="A529" s="709"/>
      <c r="B529" s="709"/>
      <c r="C529" s="709"/>
      <c r="D529" s="709"/>
      <c r="E529" s="709"/>
      <c r="F529" s="709"/>
      <c r="G529" s="709"/>
      <c r="H529" s="709"/>
      <c r="I529" s="709"/>
      <c r="J529" s="709"/>
      <c r="K529" s="709"/>
      <c r="L529" s="709"/>
      <c r="M529" s="709"/>
      <c r="N529" s="709"/>
      <c r="O529" s="709"/>
      <c r="P529" s="709"/>
      <c r="Q529" s="709"/>
      <c r="R529" s="709"/>
      <c r="S529" s="709"/>
      <c r="T529" s="709"/>
      <c r="U529" s="709"/>
      <c r="V529" s="709"/>
      <c r="BH529" s="890"/>
      <c r="BI529" s="890"/>
      <c r="BJ529" s="890"/>
      <c r="BK529" s="890"/>
      <c r="BL529" s="890"/>
      <c r="BM529" s="890"/>
      <c r="BN529" s="890"/>
      <c r="BO529" s="890"/>
      <c r="BP529" s="890"/>
      <c r="BQ529" s="890"/>
      <c r="BR529" s="890"/>
      <c r="BS529" s="890"/>
      <c r="BT529" s="890"/>
      <c r="BU529" s="890"/>
      <c r="BV529" s="890"/>
      <c r="BW529" s="890"/>
    </row>
    <row r="530" spans="1:75">
      <c r="A530" s="709"/>
      <c r="B530" s="709"/>
      <c r="C530" s="709"/>
      <c r="D530" s="709"/>
      <c r="E530" s="709"/>
      <c r="F530" s="709"/>
      <c r="G530" s="709"/>
      <c r="H530" s="709"/>
      <c r="I530" s="709"/>
      <c r="J530" s="709"/>
      <c r="K530" s="709"/>
      <c r="L530" s="709"/>
      <c r="M530" s="709"/>
      <c r="N530" s="709"/>
      <c r="O530" s="709"/>
      <c r="P530" s="709"/>
      <c r="Q530" s="709"/>
      <c r="R530" s="709"/>
      <c r="S530" s="709"/>
      <c r="T530" s="709"/>
      <c r="U530" s="709"/>
      <c r="V530" s="709"/>
      <c r="BH530" s="890"/>
      <c r="BI530" s="890"/>
      <c r="BJ530" s="890"/>
      <c r="BK530" s="890"/>
      <c r="BL530" s="890"/>
      <c r="BM530" s="890"/>
      <c r="BN530" s="890"/>
      <c r="BO530" s="890"/>
      <c r="BP530" s="890"/>
      <c r="BQ530" s="890"/>
      <c r="BR530" s="890"/>
      <c r="BS530" s="890"/>
      <c r="BT530" s="890"/>
      <c r="BU530" s="890"/>
      <c r="BV530" s="890"/>
      <c r="BW530" s="890"/>
    </row>
    <row r="531" spans="1:75">
      <c r="A531" s="709"/>
      <c r="B531" s="709"/>
      <c r="C531" s="709"/>
      <c r="D531" s="709"/>
      <c r="E531" s="709"/>
      <c r="F531" s="709"/>
      <c r="G531" s="709"/>
      <c r="H531" s="709"/>
      <c r="I531" s="709"/>
      <c r="J531" s="709"/>
      <c r="K531" s="709"/>
      <c r="L531" s="709"/>
      <c r="M531" s="709"/>
      <c r="N531" s="709"/>
      <c r="O531" s="709"/>
      <c r="P531" s="709"/>
      <c r="Q531" s="709"/>
      <c r="R531" s="709"/>
      <c r="S531" s="709"/>
      <c r="T531" s="709"/>
      <c r="U531" s="709"/>
      <c r="V531" s="709"/>
      <c r="BH531" s="890"/>
      <c r="BI531" s="890"/>
      <c r="BJ531" s="890"/>
      <c r="BK531" s="890"/>
      <c r="BL531" s="890"/>
      <c r="BM531" s="890"/>
      <c r="BN531" s="890"/>
      <c r="BO531" s="890"/>
      <c r="BP531" s="890"/>
      <c r="BQ531" s="890"/>
      <c r="BR531" s="890"/>
      <c r="BS531" s="890"/>
      <c r="BT531" s="890"/>
      <c r="BU531" s="890"/>
      <c r="BV531" s="890"/>
      <c r="BW531" s="890"/>
    </row>
    <row r="532" spans="1:75">
      <c r="A532" s="709"/>
      <c r="B532" s="709"/>
      <c r="C532" s="709"/>
      <c r="D532" s="709"/>
      <c r="E532" s="709"/>
      <c r="F532" s="709"/>
      <c r="G532" s="709"/>
      <c r="H532" s="709"/>
      <c r="I532" s="709"/>
      <c r="J532" s="709"/>
      <c r="K532" s="709"/>
      <c r="L532" s="709"/>
      <c r="M532" s="709"/>
      <c r="N532" s="709"/>
      <c r="O532" s="709"/>
      <c r="P532" s="709"/>
      <c r="Q532" s="709"/>
      <c r="R532" s="709"/>
      <c r="S532" s="709"/>
      <c r="T532" s="709"/>
      <c r="U532" s="709"/>
      <c r="V532" s="709"/>
      <c r="BH532" s="890"/>
      <c r="BI532" s="890"/>
      <c r="BJ532" s="890"/>
      <c r="BK532" s="890"/>
      <c r="BL532" s="890"/>
      <c r="BM532" s="890"/>
      <c r="BN532" s="890"/>
      <c r="BO532" s="890"/>
      <c r="BP532" s="890"/>
      <c r="BQ532" s="890"/>
      <c r="BR532" s="890"/>
      <c r="BS532" s="890"/>
      <c r="BT532" s="890"/>
      <c r="BU532" s="890"/>
      <c r="BV532" s="890"/>
      <c r="BW532" s="890"/>
    </row>
    <row r="533" spans="1:75">
      <c r="A533" s="709"/>
      <c r="B533" s="709"/>
      <c r="C533" s="709"/>
      <c r="D533" s="709"/>
      <c r="E533" s="709"/>
      <c r="F533" s="709"/>
      <c r="G533" s="709"/>
      <c r="H533" s="709"/>
      <c r="I533" s="709"/>
      <c r="J533" s="709"/>
      <c r="K533" s="709"/>
      <c r="L533" s="709"/>
      <c r="M533" s="709"/>
      <c r="N533" s="709"/>
      <c r="O533" s="709"/>
      <c r="P533" s="709"/>
      <c r="Q533" s="709"/>
      <c r="R533" s="709"/>
      <c r="S533" s="709"/>
      <c r="T533" s="709"/>
      <c r="U533" s="709"/>
      <c r="V533" s="709"/>
      <c r="BH533" s="890"/>
      <c r="BI533" s="890"/>
      <c r="BJ533" s="890"/>
      <c r="BK533" s="890"/>
      <c r="BL533" s="890"/>
      <c r="BM533" s="890"/>
      <c r="BN533" s="890"/>
      <c r="BO533" s="890"/>
      <c r="BP533" s="890"/>
      <c r="BQ533" s="890"/>
      <c r="BR533" s="890"/>
      <c r="BS533" s="890"/>
      <c r="BT533" s="890"/>
      <c r="BU533" s="890"/>
      <c r="BV533" s="890"/>
      <c r="BW533" s="890"/>
    </row>
    <row r="534" spans="1:75">
      <c r="A534" s="709"/>
      <c r="B534" s="709"/>
      <c r="C534" s="709"/>
      <c r="D534" s="709"/>
      <c r="E534" s="709"/>
      <c r="F534" s="709"/>
      <c r="G534" s="709"/>
      <c r="H534" s="709"/>
      <c r="I534" s="709"/>
      <c r="J534" s="709"/>
      <c r="K534" s="709"/>
      <c r="L534" s="709"/>
      <c r="M534" s="709"/>
      <c r="N534" s="709"/>
      <c r="O534" s="709"/>
      <c r="P534" s="709"/>
      <c r="Q534" s="709"/>
      <c r="R534" s="709"/>
      <c r="S534" s="709"/>
      <c r="T534" s="709"/>
      <c r="U534" s="709"/>
      <c r="V534" s="709"/>
      <c r="BH534" s="890"/>
      <c r="BI534" s="890"/>
      <c r="BJ534" s="890"/>
      <c r="BK534" s="890"/>
      <c r="BL534" s="890"/>
      <c r="BM534" s="890"/>
      <c r="BN534" s="890"/>
      <c r="BO534" s="890"/>
      <c r="BP534" s="890"/>
      <c r="BQ534" s="890"/>
      <c r="BR534" s="890"/>
      <c r="BS534" s="890"/>
      <c r="BT534" s="890"/>
      <c r="BU534" s="890"/>
      <c r="BV534" s="890"/>
      <c r="BW534" s="890"/>
    </row>
    <row r="535" spans="1:75">
      <c r="A535" s="709"/>
      <c r="B535" s="709"/>
      <c r="C535" s="709"/>
      <c r="D535" s="709"/>
      <c r="E535" s="709"/>
      <c r="F535" s="709"/>
      <c r="G535" s="709"/>
      <c r="H535" s="709"/>
      <c r="I535" s="709"/>
      <c r="J535" s="709"/>
      <c r="K535" s="709"/>
      <c r="L535" s="709"/>
      <c r="M535" s="709"/>
      <c r="N535" s="709"/>
      <c r="O535" s="709"/>
      <c r="P535" s="709"/>
      <c r="Q535" s="709"/>
      <c r="R535" s="709"/>
      <c r="S535" s="709"/>
      <c r="T535" s="709"/>
      <c r="U535" s="709"/>
      <c r="V535" s="709"/>
      <c r="BH535" s="890"/>
      <c r="BI535" s="890"/>
      <c r="BJ535" s="890"/>
      <c r="BK535" s="890"/>
      <c r="BL535" s="890"/>
      <c r="BM535" s="890"/>
      <c r="BN535" s="890"/>
      <c r="BO535" s="890"/>
      <c r="BP535" s="890"/>
      <c r="BQ535" s="890"/>
      <c r="BR535" s="890"/>
      <c r="BS535" s="890"/>
      <c r="BT535" s="890"/>
      <c r="BU535" s="890"/>
      <c r="BV535" s="890"/>
      <c r="BW535" s="890"/>
    </row>
    <row r="536" spans="1:75">
      <c r="A536" s="709"/>
      <c r="B536" s="709"/>
      <c r="C536" s="709"/>
      <c r="D536" s="709"/>
      <c r="E536" s="709"/>
      <c r="F536" s="709"/>
      <c r="G536" s="709"/>
      <c r="H536" s="709"/>
      <c r="I536" s="709"/>
      <c r="J536" s="709"/>
      <c r="K536" s="709"/>
      <c r="L536" s="709"/>
      <c r="M536" s="709"/>
      <c r="N536" s="709"/>
      <c r="O536" s="709"/>
      <c r="P536" s="709"/>
      <c r="Q536" s="709"/>
      <c r="R536" s="709"/>
      <c r="S536" s="709"/>
      <c r="T536" s="709"/>
      <c r="U536" s="709"/>
      <c r="V536" s="709"/>
      <c r="BH536" s="890"/>
      <c r="BI536" s="890"/>
      <c r="BJ536" s="890"/>
      <c r="BK536" s="890"/>
      <c r="BL536" s="890"/>
      <c r="BM536" s="890"/>
      <c r="BN536" s="890"/>
      <c r="BO536" s="890"/>
      <c r="BP536" s="890"/>
      <c r="BQ536" s="890"/>
      <c r="BR536" s="890"/>
      <c r="BS536" s="890"/>
      <c r="BT536" s="890"/>
      <c r="BU536" s="890"/>
      <c r="BV536" s="890"/>
      <c r="BW536" s="890"/>
    </row>
    <row r="537" spans="1:75">
      <c r="A537" s="709"/>
      <c r="B537" s="709"/>
      <c r="C537" s="709"/>
      <c r="D537" s="709"/>
      <c r="E537" s="709"/>
      <c r="F537" s="709"/>
      <c r="G537" s="709"/>
      <c r="H537" s="709"/>
      <c r="I537" s="709"/>
      <c r="J537" s="709"/>
      <c r="K537" s="709"/>
      <c r="L537" s="709"/>
      <c r="M537" s="709"/>
      <c r="N537" s="709"/>
      <c r="O537" s="709"/>
      <c r="P537" s="709"/>
      <c r="Q537" s="709"/>
      <c r="R537" s="709"/>
      <c r="S537" s="709"/>
      <c r="T537" s="709"/>
      <c r="U537" s="709"/>
      <c r="V537" s="709"/>
      <c r="BH537" s="890"/>
      <c r="BI537" s="890"/>
      <c r="BJ537" s="890"/>
      <c r="BK537" s="890"/>
      <c r="BL537" s="890"/>
      <c r="BM537" s="890"/>
      <c r="BN537" s="890"/>
      <c r="BO537" s="890"/>
      <c r="BP537" s="890"/>
      <c r="BQ537" s="890"/>
      <c r="BR537" s="890"/>
      <c r="BS537" s="890"/>
      <c r="BT537" s="890"/>
      <c r="BU537" s="890"/>
      <c r="BV537" s="890"/>
      <c r="BW537" s="890"/>
    </row>
    <row r="538" spans="1:75">
      <c r="A538" s="709"/>
      <c r="B538" s="709"/>
      <c r="C538" s="709"/>
      <c r="D538" s="709"/>
      <c r="E538" s="709"/>
      <c r="F538" s="709"/>
      <c r="G538" s="709"/>
      <c r="H538" s="709"/>
      <c r="I538" s="709"/>
      <c r="J538" s="709"/>
      <c r="K538" s="709"/>
      <c r="L538" s="709"/>
      <c r="M538" s="709"/>
      <c r="N538" s="709"/>
      <c r="O538" s="709"/>
      <c r="P538" s="709"/>
      <c r="Q538" s="709"/>
      <c r="R538" s="709"/>
      <c r="S538" s="709"/>
      <c r="T538" s="709"/>
      <c r="U538" s="709"/>
      <c r="V538" s="709"/>
      <c r="BH538" s="890"/>
      <c r="BI538" s="890"/>
      <c r="BJ538" s="890"/>
      <c r="BK538" s="890"/>
      <c r="BL538" s="890"/>
      <c r="BM538" s="890"/>
      <c r="BN538" s="890"/>
      <c r="BO538" s="890"/>
      <c r="BP538" s="890"/>
      <c r="BQ538" s="890"/>
      <c r="BR538" s="890"/>
      <c r="BS538" s="890"/>
      <c r="BT538" s="890"/>
      <c r="BU538" s="890"/>
      <c r="BV538" s="890"/>
      <c r="BW538" s="890"/>
    </row>
    <row r="539" spans="1:75">
      <c r="A539" s="709"/>
      <c r="B539" s="709"/>
      <c r="C539" s="709"/>
      <c r="D539" s="709"/>
      <c r="E539" s="709"/>
      <c r="F539" s="709"/>
      <c r="G539" s="709"/>
      <c r="H539" s="709"/>
      <c r="I539" s="709"/>
      <c r="J539" s="709"/>
      <c r="K539" s="709"/>
      <c r="L539" s="709"/>
      <c r="M539" s="709"/>
      <c r="N539" s="709"/>
      <c r="O539" s="709"/>
      <c r="P539" s="709"/>
      <c r="Q539" s="709"/>
      <c r="R539" s="709"/>
      <c r="S539" s="709"/>
      <c r="T539" s="709"/>
      <c r="U539" s="709"/>
      <c r="V539" s="709"/>
      <c r="BH539" s="890"/>
      <c r="BI539" s="890"/>
      <c r="BJ539" s="890"/>
      <c r="BK539" s="890"/>
      <c r="BL539" s="890"/>
      <c r="BM539" s="890"/>
      <c r="BN539" s="890"/>
      <c r="BO539" s="890"/>
      <c r="BP539" s="890"/>
      <c r="BQ539" s="890"/>
      <c r="BR539" s="890"/>
      <c r="BS539" s="890"/>
      <c r="BT539" s="890"/>
      <c r="BU539" s="890"/>
      <c r="BV539" s="890"/>
      <c r="BW539" s="890"/>
    </row>
    <row r="540" spans="1:75">
      <c r="A540" s="709"/>
      <c r="B540" s="709"/>
      <c r="C540" s="709"/>
      <c r="D540" s="709"/>
      <c r="E540" s="709"/>
      <c r="F540" s="709"/>
      <c r="G540" s="709"/>
      <c r="H540" s="709"/>
      <c r="I540" s="709"/>
      <c r="J540" s="709"/>
      <c r="K540" s="709"/>
      <c r="L540" s="709"/>
      <c r="M540" s="709"/>
      <c r="N540" s="709"/>
      <c r="O540" s="709"/>
      <c r="P540" s="709"/>
      <c r="Q540" s="709"/>
      <c r="R540" s="709"/>
      <c r="S540" s="709"/>
      <c r="T540" s="709"/>
      <c r="U540" s="709"/>
      <c r="V540" s="709"/>
      <c r="BH540" s="890"/>
      <c r="BI540" s="890"/>
      <c r="BJ540" s="890"/>
      <c r="BK540" s="890"/>
      <c r="BL540" s="890"/>
      <c r="BM540" s="890"/>
      <c r="BN540" s="890"/>
      <c r="BO540" s="890"/>
      <c r="BP540" s="890"/>
      <c r="BQ540" s="890"/>
      <c r="BR540" s="890"/>
      <c r="BS540" s="890"/>
      <c r="BT540" s="890"/>
      <c r="BU540" s="890"/>
      <c r="BV540" s="890"/>
      <c r="BW540" s="890"/>
    </row>
    <row r="541" spans="1:75">
      <c r="A541" s="709"/>
      <c r="B541" s="709"/>
      <c r="C541" s="709"/>
      <c r="D541" s="709"/>
      <c r="E541" s="709"/>
      <c r="F541" s="709"/>
      <c r="G541" s="709"/>
      <c r="H541" s="709"/>
      <c r="I541" s="709"/>
      <c r="J541" s="709"/>
      <c r="K541" s="709"/>
      <c r="L541" s="709"/>
      <c r="M541" s="709"/>
      <c r="N541" s="709"/>
      <c r="O541" s="709"/>
      <c r="P541" s="709"/>
      <c r="Q541" s="709"/>
      <c r="R541" s="709"/>
      <c r="S541" s="709"/>
      <c r="T541" s="709"/>
      <c r="U541" s="709"/>
      <c r="V541" s="709"/>
      <c r="BH541" s="890"/>
      <c r="BI541" s="890"/>
      <c r="BJ541" s="890"/>
      <c r="BK541" s="890"/>
      <c r="BL541" s="890"/>
      <c r="BM541" s="890"/>
      <c r="BN541" s="890"/>
      <c r="BO541" s="890"/>
      <c r="BP541" s="890"/>
      <c r="BQ541" s="890"/>
      <c r="BR541" s="890"/>
      <c r="BS541" s="890"/>
      <c r="BT541" s="890"/>
      <c r="BU541" s="890"/>
      <c r="BV541" s="890"/>
      <c r="BW541" s="890"/>
    </row>
    <row r="542" spans="1:75">
      <c r="A542" s="709"/>
      <c r="B542" s="709"/>
      <c r="C542" s="709"/>
      <c r="D542" s="709"/>
      <c r="E542" s="709"/>
      <c r="F542" s="709"/>
      <c r="G542" s="709"/>
      <c r="H542" s="709"/>
      <c r="I542" s="709"/>
      <c r="J542" s="709"/>
      <c r="K542" s="709"/>
      <c r="L542" s="709"/>
      <c r="M542" s="709"/>
      <c r="N542" s="709"/>
      <c r="O542" s="709"/>
      <c r="P542" s="709"/>
      <c r="Q542" s="709"/>
      <c r="R542" s="709"/>
      <c r="S542" s="709"/>
      <c r="T542" s="709"/>
      <c r="U542" s="709"/>
      <c r="V542" s="709"/>
      <c r="BH542" s="890"/>
      <c r="BI542" s="890"/>
      <c r="BJ542" s="890"/>
      <c r="BK542" s="890"/>
      <c r="BL542" s="890"/>
      <c r="BM542" s="890"/>
      <c r="BN542" s="890"/>
      <c r="BO542" s="890"/>
      <c r="BP542" s="890"/>
      <c r="BQ542" s="890"/>
      <c r="BR542" s="890"/>
      <c r="BS542" s="890"/>
      <c r="BT542" s="890"/>
      <c r="BU542" s="890"/>
      <c r="BV542" s="890"/>
      <c r="BW542" s="890"/>
    </row>
    <row r="543" spans="1:75">
      <c r="A543" s="709"/>
      <c r="B543" s="709"/>
      <c r="C543" s="709"/>
      <c r="D543" s="709"/>
      <c r="E543" s="709"/>
      <c r="F543" s="709"/>
      <c r="G543" s="709"/>
      <c r="H543" s="709"/>
      <c r="I543" s="709"/>
      <c r="J543" s="709"/>
      <c r="K543" s="709"/>
      <c r="L543" s="709"/>
      <c r="M543" s="709"/>
      <c r="N543" s="709"/>
      <c r="O543" s="709"/>
      <c r="P543" s="709"/>
      <c r="Q543" s="709"/>
      <c r="R543" s="709"/>
      <c r="S543" s="709"/>
      <c r="T543" s="709"/>
      <c r="U543" s="709"/>
      <c r="V543" s="709"/>
      <c r="BH543" s="890"/>
      <c r="BI543" s="890"/>
      <c r="BJ543" s="890"/>
      <c r="BK543" s="890"/>
      <c r="BL543" s="890"/>
      <c r="BM543" s="890"/>
      <c r="BN543" s="890"/>
      <c r="BO543" s="890"/>
      <c r="BP543" s="890"/>
      <c r="BQ543" s="890"/>
      <c r="BR543" s="890"/>
      <c r="BS543" s="890"/>
      <c r="BT543" s="890"/>
      <c r="BU543" s="890"/>
      <c r="BV543" s="890"/>
      <c r="BW543" s="890"/>
    </row>
    <row r="544" spans="1:75">
      <c r="A544" s="709"/>
      <c r="B544" s="709"/>
      <c r="C544" s="709"/>
      <c r="D544" s="709"/>
      <c r="E544" s="709"/>
      <c r="F544" s="709"/>
      <c r="G544" s="709"/>
      <c r="H544" s="709"/>
      <c r="I544" s="709"/>
      <c r="J544" s="709"/>
      <c r="K544" s="709"/>
      <c r="L544" s="709"/>
      <c r="M544" s="709"/>
      <c r="N544" s="709"/>
      <c r="O544" s="709"/>
      <c r="P544" s="709"/>
      <c r="Q544" s="709"/>
      <c r="R544" s="709"/>
      <c r="S544" s="709"/>
      <c r="T544" s="709"/>
      <c r="U544" s="709"/>
      <c r="V544" s="709"/>
      <c r="BH544" s="890"/>
      <c r="BI544" s="890"/>
      <c r="BJ544" s="890"/>
      <c r="BK544" s="890"/>
      <c r="BL544" s="890"/>
      <c r="BM544" s="890"/>
      <c r="BN544" s="890"/>
      <c r="BO544" s="890"/>
      <c r="BP544" s="890"/>
      <c r="BQ544" s="890"/>
      <c r="BR544" s="890"/>
      <c r="BS544" s="890"/>
      <c r="BT544" s="890"/>
      <c r="BU544" s="890"/>
      <c r="BV544" s="890"/>
      <c r="BW544" s="890"/>
    </row>
    <row r="545" spans="1:75">
      <c r="A545" s="709"/>
      <c r="B545" s="709"/>
      <c r="C545" s="709"/>
      <c r="D545" s="709"/>
      <c r="E545" s="709"/>
      <c r="F545" s="709"/>
      <c r="G545" s="709"/>
      <c r="H545" s="709"/>
      <c r="I545" s="709"/>
      <c r="J545" s="709"/>
      <c r="K545" s="709"/>
      <c r="L545" s="709"/>
      <c r="M545" s="709"/>
      <c r="N545" s="709"/>
      <c r="O545" s="709"/>
      <c r="P545" s="709"/>
      <c r="Q545" s="709"/>
      <c r="R545" s="709"/>
      <c r="S545" s="709"/>
      <c r="T545" s="709"/>
      <c r="U545" s="709"/>
      <c r="V545" s="709"/>
      <c r="BH545" s="890"/>
      <c r="BI545" s="890"/>
      <c r="BJ545" s="890"/>
      <c r="BK545" s="890"/>
      <c r="BL545" s="890"/>
      <c r="BM545" s="890"/>
      <c r="BN545" s="890"/>
      <c r="BO545" s="890"/>
      <c r="BP545" s="890"/>
      <c r="BQ545" s="890"/>
      <c r="BR545" s="890"/>
      <c r="BS545" s="890"/>
      <c r="BT545" s="890"/>
      <c r="BU545" s="890"/>
      <c r="BV545" s="890"/>
      <c r="BW545" s="890"/>
    </row>
    <row r="546" spans="1:75">
      <c r="A546" s="709"/>
      <c r="B546" s="709"/>
      <c r="C546" s="709"/>
      <c r="D546" s="709"/>
      <c r="E546" s="709"/>
      <c r="F546" s="709"/>
      <c r="G546" s="709"/>
      <c r="H546" s="709"/>
      <c r="I546" s="709"/>
      <c r="J546" s="709"/>
      <c r="K546" s="709"/>
      <c r="L546" s="709"/>
      <c r="M546" s="709"/>
      <c r="N546" s="709"/>
      <c r="O546" s="709"/>
      <c r="P546" s="709"/>
      <c r="Q546" s="709"/>
      <c r="R546" s="709"/>
      <c r="S546" s="709"/>
      <c r="T546" s="709"/>
      <c r="U546" s="709"/>
      <c r="V546" s="709"/>
      <c r="BH546" s="890"/>
      <c r="BI546" s="890"/>
      <c r="BJ546" s="890"/>
      <c r="BK546" s="890"/>
      <c r="BL546" s="890"/>
      <c r="BM546" s="890"/>
      <c r="BN546" s="890"/>
      <c r="BO546" s="890"/>
      <c r="BP546" s="890"/>
      <c r="BQ546" s="890"/>
      <c r="BR546" s="890"/>
      <c r="BS546" s="890"/>
      <c r="BT546" s="890"/>
      <c r="BU546" s="890"/>
      <c r="BV546" s="890"/>
      <c r="BW546" s="890"/>
    </row>
    <row r="547" spans="1:75">
      <c r="A547" s="709"/>
      <c r="B547" s="709"/>
      <c r="C547" s="709"/>
      <c r="D547" s="709"/>
      <c r="E547" s="709"/>
      <c r="F547" s="709"/>
      <c r="G547" s="709"/>
      <c r="H547" s="709"/>
      <c r="I547" s="709"/>
      <c r="J547" s="709"/>
      <c r="K547" s="709"/>
      <c r="L547" s="709"/>
      <c r="M547" s="709"/>
      <c r="N547" s="709"/>
      <c r="O547" s="709"/>
      <c r="P547" s="709"/>
      <c r="Q547" s="709"/>
      <c r="R547" s="709"/>
      <c r="S547" s="709"/>
      <c r="T547" s="709"/>
      <c r="U547" s="709"/>
      <c r="V547" s="709"/>
      <c r="BH547" s="890"/>
      <c r="BI547" s="890"/>
      <c r="BJ547" s="890"/>
      <c r="BK547" s="890"/>
      <c r="BL547" s="890"/>
      <c r="BM547" s="890"/>
      <c r="BN547" s="890"/>
      <c r="BO547" s="890"/>
      <c r="BP547" s="890"/>
      <c r="BQ547" s="890"/>
      <c r="BR547" s="890"/>
      <c r="BS547" s="890"/>
      <c r="BT547" s="890"/>
      <c r="BU547" s="890"/>
      <c r="BV547" s="890"/>
      <c r="BW547" s="890"/>
    </row>
    <row r="548" spans="1:75">
      <c r="A548" s="709"/>
      <c r="B548" s="709"/>
      <c r="C548" s="709"/>
      <c r="D548" s="709"/>
      <c r="E548" s="709"/>
      <c r="F548" s="709"/>
      <c r="G548" s="709"/>
      <c r="H548" s="709"/>
      <c r="I548" s="709"/>
      <c r="J548" s="709"/>
      <c r="K548" s="709"/>
      <c r="L548" s="709"/>
      <c r="M548" s="709"/>
      <c r="N548" s="709"/>
      <c r="O548" s="709"/>
      <c r="P548" s="709"/>
      <c r="Q548" s="709"/>
      <c r="R548" s="709"/>
      <c r="S548" s="709"/>
      <c r="T548" s="709"/>
      <c r="U548" s="709"/>
      <c r="V548" s="709"/>
      <c r="BH548" s="890"/>
      <c r="BI548" s="890"/>
      <c r="BJ548" s="890"/>
      <c r="BK548" s="890"/>
      <c r="BL548" s="890"/>
      <c r="BM548" s="890"/>
      <c r="BN548" s="890"/>
      <c r="BO548" s="890"/>
      <c r="BP548" s="890"/>
      <c r="BQ548" s="890"/>
      <c r="BR548" s="890"/>
      <c r="BS548" s="890"/>
      <c r="BT548" s="890"/>
      <c r="BU548" s="890"/>
      <c r="BV548" s="890"/>
      <c r="BW548" s="890"/>
    </row>
    <row r="549" spans="1:75">
      <c r="A549" s="709"/>
      <c r="B549" s="709"/>
      <c r="C549" s="709"/>
      <c r="D549" s="709"/>
      <c r="E549" s="709"/>
      <c r="F549" s="709"/>
      <c r="G549" s="709"/>
      <c r="H549" s="709"/>
      <c r="I549" s="709"/>
      <c r="J549" s="709"/>
      <c r="K549" s="709"/>
      <c r="L549" s="709"/>
      <c r="M549" s="709"/>
      <c r="N549" s="709"/>
      <c r="O549" s="709"/>
      <c r="P549" s="709"/>
      <c r="Q549" s="709"/>
      <c r="R549" s="709"/>
      <c r="S549" s="709"/>
      <c r="T549" s="709"/>
      <c r="U549" s="709"/>
      <c r="V549" s="709"/>
      <c r="BH549" s="890"/>
      <c r="BI549" s="890"/>
      <c r="BJ549" s="890"/>
      <c r="BK549" s="890"/>
      <c r="BL549" s="890"/>
      <c r="BM549" s="890"/>
      <c r="BN549" s="890"/>
      <c r="BO549" s="890"/>
      <c r="BP549" s="890"/>
      <c r="BQ549" s="890"/>
      <c r="BR549" s="890"/>
      <c r="BS549" s="890"/>
      <c r="BT549" s="890"/>
      <c r="BU549" s="890"/>
      <c r="BV549" s="890"/>
      <c r="BW549" s="890"/>
    </row>
    <row r="550" spans="1:75">
      <c r="A550" s="709"/>
      <c r="B550" s="709"/>
      <c r="C550" s="709"/>
      <c r="D550" s="709"/>
      <c r="E550" s="709"/>
      <c r="F550" s="709"/>
      <c r="G550" s="709"/>
      <c r="H550" s="709"/>
      <c r="I550" s="709"/>
      <c r="J550" s="709"/>
      <c r="K550" s="709"/>
      <c r="L550" s="709"/>
      <c r="M550" s="709"/>
      <c r="N550" s="709"/>
      <c r="O550" s="709"/>
      <c r="P550" s="709"/>
      <c r="Q550" s="709"/>
      <c r="R550" s="709"/>
      <c r="S550" s="709"/>
      <c r="T550" s="709"/>
      <c r="U550" s="709"/>
      <c r="V550" s="709"/>
      <c r="BH550" s="890"/>
      <c r="BI550" s="890"/>
      <c r="BJ550" s="890"/>
      <c r="BK550" s="890"/>
      <c r="BL550" s="890"/>
      <c r="BM550" s="890"/>
      <c r="BN550" s="890"/>
      <c r="BO550" s="890"/>
      <c r="BP550" s="890"/>
      <c r="BQ550" s="890"/>
      <c r="BR550" s="890"/>
      <c r="BS550" s="890"/>
      <c r="BT550" s="890"/>
      <c r="BU550" s="890"/>
      <c r="BV550" s="890"/>
      <c r="BW550" s="890"/>
    </row>
    <row r="551" spans="1:75">
      <c r="A551" s="709"/>
      <c r="B551" s="709"/>
      <c r="C551" s="709"/>
      <c r="D551" s="709"/>
      <c r="E551" s="709"/>
      <c r="F551" s="709"/>
      <c r="G551" s="709"/>
      <c r="H551" s="709"/>
      <c r="I551" s="709"/>
      <c r="J551" s="709"/>
      <c r="K551" s="709"/>
      <c r="L551" s="709"/>
      <c r="M551" s="709"/>
      <c r="N551" s="709"/>
      <c r="O551" s="709"/>
      <c r="P551" s="709"/>
      <c r="Q551" s="709"/>
      <c r="R551" s="709"/>
      <c r="S551" s="709"/>
      <c r="T551" s="709"/>
      <c r="U551" s="709"/>
      <c r="V551" s="709"/>
      <c r="BH551" s="890"/>
      <c r="BI551" s="890"/>
      <c r="BJ551" s="890"/>
      <c r="BK551" s="890"/>
      <c r="BL551" s="890"/>
      <c r="BM551" s="890"/>
      <c r="BN551" s="890"/>
      <c r="BO551" s="890"/>
      <c r="BP551" s="890"/>
      <c r="BQ551" s="890"/>
      <c r="BR551" s="890"/>
      <c r="BS551" s="890"/>
      <c r="BT551" s="890"/>
      <c r="BU551" s="890"/>
      <c r="BV551" s="890"/>
      <c r="BW551" s="890"/>
    </row>
    <row r="552" spans="1:75">
      <c r="A552" s="709"/>
      <c r="B552" s="709"/>
      <c r="C552" s="709"/>
      <c r="D552" s="709"/>
      <c r="E552" s="709"/>
      <c r="F552" s="709"/>
      <c r="G552" s="709"/>
      <c r="H552" s="709"/>
      <c r="I552" s="709"/>
      <c r="J552" s="709"/>
      <c r="K552" s="709"/>
      <c r="L552" s="709"/>
      <c r="M552" s="709"/>
      <c r="N552" s="709"/>
      <c r="O552" s="709"/>
      <c r="P552" s="709"/>
      <c r="Q552" s="709"/>
      <c r="R552" s="709"/>
      <c r="S552" s="709"/>
      <c r="T552" s="709"/>
      <c r="U552" s="709"/>
      <c r="V552" s="709"/>
      <c r="BH552" s="890"/>
      <c r="BI552" s="890"/>
      <c r="BJ552" s="890"/>
      <c r="BK552" s="890"/>
      <c r="BL552" s="890"/>
      <c r="BM552" s="890"/>
      <c r="BN552" s="890"/>
      <c r="BO552" s="890"/>
      <c r="BP552" s="890"/>
      <c r="BQ552" s="890"/>
      <c r="BR552" s="890"/>
      <c r="BS552" s="890"/>
      <c r="BT552" s="890"/>
      <c r="BU552" s="890"/>
      <c r="BV552" s="890"/>
      <c r="BW552" s="890"/>
    </row>
    <row r="553" spans="1:75">
      <c r="A553" s="709"/>
      <c r="B553" s="709"/>
      <c r="C553" s="709"/>
      <c r="D553" s="709"/>
      <c r="E553" s="709"/>
      <c r="F553" s="709"/>
      <c r="G553" s="709"/>
      <c r="H553" s="709"/>
      <c r="I553" s="709"/>
      <c r="J553" s="709"/>
      <c r="K553" s="709"/>
      <c r="L553" s="709"/>
      <c r="M553" s="709"/>
      <c r="N553" s="709"/>
      <c r="O553" s="709"/>
      <c r="P553" s="709"/>
      <c r="Q553" s="709"/>
      <c r="R553" s="709"/>
      <c r="S553" s="709"/>
      <c r="T553" s="709"/>
      <c r="U553" s="709"/>
      <c r="V553" s="709"/>
      <c r="BH553" s="890"/>
      <c r="BI553" s="890"/>
      <c r="BJ553" s="890"/>
      <c r="BK553" s="890"/>
      <c r="BL553" s="890"/>
      <c r="BM553" s="890"/>
      <c r="BN553" s="890"/>
      <c r="BO553" s="890"/>
      <c r="BP553" s="890"/>
      <c r="BQ553" s="890"/>
      <c r="BR553" s="890"/>
      <c r="BS553" s="890"/>
      <c r="BT553" s="890"/>
      <c r="BU553" s="890"/>
      <c r="BV553" s="890"/>
      <c r="BW553" s="890"/>
    </row>
    <row r="554" spans="1:75">
      <c r="A554" s="709"/>
      <c r="B554" s="709"/>
      <c r="C554" s="709"/>
      <c r="D554" s="709"/>
      <c r="E554" s="709"/>
      <c r="F554" s="709"/>
      <c r="G554" s="709"/>
      <c r="H554" s="709"/>
      <c r="I554" s="709"/>
      <c r="J554" s="709"/>
      <c r="K554" s="709"/>
      <c r="L554" s="709"/>
      <c r="M554" s="709"/>
      <c r="N554" s="709"/>
      <c r="O554" s="709"/>
      <c r="P554" s="709"/>
      <c r="Q554" s="709"/>
      <c r="R554" s="709"/>
      <c r="S554" s="709"/>
      <c r="T554" s="709"/>
      <c r="U554" s="709"/>
      <c r="V554" s="709"/>
      <c r="BH554" s="890"/>
      <c r="BI554" s="890"/>
      <c r="BJ554" s="890"/>
      <c r="BK554" s="890"/>
      <c r="BL554" s="890"/>
      <c r="BM554" s="890"/>
      <c r="BN554" s="890"/>
      <c r="BO554" s="890"/>
      <c r="BP554" s="890"/>
      <c r="BQ554" s="890"/>
      <c r="BR554" s="890"/>
      <c r="BS554" s="890"/>
      <c r="BT554" s="890"/>
      <c r="BU554" s="890"/>
      <c r="BV554" s="890"/>
      <c r="BW554" s="890"/>
    </row>
    <row r="555" spans="1:75">
      <c r="A555" s="709"/>
      <c r="B555" s="709"/>
      <c r="C555" s="709"/>
      <c r="D555" s="709"/>
      <c r="E555" s="709"/>
      <c r="F555" s="709"/>
      <c r="G555" s="709"/>
      <c r="H555" s="709"/>
      <c r="I555" s="709"/>
      <c r="J555" s="709"/>
      <c r="K555" s="709"/>
      <c r="L555" s="709"/>
      <c r="M555" s="709"/>
      <c r="N555" s="709"/>
      <c r="O555" s="709"/>
      <c r="P555" s="709"/>
      <c r="Q555" s="709"/>
      <c r="R555" s="709"/>
      <c r="S555" s="709"/>
      <c r="T555" s="709"/>
      <c r="U555" s="709"/>
      <c r="V555" s="709"/>
      <c r="BH555" s="890"/>
      <c r="BI555" s="890"/>
      <c r="BJ555" s="890"/>
      <c r="BK555" s="890"/>
      <c r="BL555" s="890"/>
      <c r="BM555" s="890"/>
      <c r="BN555" s="890"/>
      <c r="BO555" s="890"/>
      <c r="BP555" s="890"/>
      <c r="BQ555" s="890"/>
      <c r="BR555" s="890"/>
      <c r="BS555" s="890"/>
      <c r="BT555" s="890"/>
      <c r="BU555" s="890"/>
      <c r="BV555" s="890"/>
      <c r="BW555" s="890"/>
    </row>
    <row r="556" spans="1:75">
      <c r="A556" s="709"/>
      <c r="B556" s="709"/>
      <c r="C556" s="709"/>
      <c r="D556" s="709"/>
      <c r="E556" s="709"/>
      <c r="F556" s="709"/>
      <c r="G556" s="709"/>
      <c r="H556" s="709"/>
      <c r="I556" s="709"/>
      <c r="J556" s="709"/>
      <c r="K556" s="709"/>
      <c r="L556" s="709"/>
      <c r="M556" s="709"/>
      <c r="N556" s="709"/>
      <c r="O556" s="709"/>
      <c r="P556" s="709"/>
      <c r="Q556" s="709"/>
      <c r="R556" s="709"/>
      <c r="S556" s="709"/>
      <c r="T556" s="709"/>
      <c r="U556" s="709"/>
      <c r="V556" s="709"/>
      <c r="BH556" s="890"/>
      <c r="BI556" s="890"/>
      <c r="BJ556" s="890"/>
      <c r="BK556" s="890"/>
      <c r="BL556" s="890"/>
      <c r="BM556" s="890"/>
      <c r="BN556" s="890"/>
      <c r="BO556" s="890"/>
      <c r="BP556" s="890"/>
      <c r="BQ556" s="890"/>
      <c r="BR556" s="890"/>
      <c r="BS556" s="890"/>
      <c r="BT556" s="890"/>
      <c r="BU556" s="890"/>
      <c r="BV556" s="890"/>
      <c r="BW556" s="890"/>
    </row>
    <row r="557" spans="1:75">
      <c r="A557" s="709"/>
      <c r="B557" s="709"/>
      <c r="C557" s="709"/>
      <c r="D557" s="709"/>
      <c r="E557" s="709"/>
      <c r="F557" s="709"/>
      <c r="G557" s="709"/>
      <c r="H557" s="709"/>
      <c r="I557" s="709"/>
      <c r="J557" s="709"/>
      <c r="K557" s="709"/>
      <c r="L557" s="709"/>
      <c r="M557" s="709"/>
      <c r="N557" s="709"/>
      <c r="O557" s="709"/>
      <c r="P557" s="709"/>
      <c r="Q557" s="709"/>
      <c r="R557" s="709"/>
      <c r="S557" s="709"/>
      <c r="T557" s="709"/>
      <c r="U557" s="709"/>
      <c r="V557" s="709"/>
      <c r="BH557" s="890"/>
      <c r="BI557" s="890"/>
      <c r="BJ557" s="890"/>
      <c r="BK557" s="890"/>
      <c r="BL557" s="890"/>
      <c r="BM557" s="890"/>
      <c r="BN557" s="890"/>
      <c r="BO557" s="890"/>
      <c r="BP557" s="890"/>
      <c r="BQ557" s="890"/>
      <c r="BR557" s="890"/>
      <c r="BS557" s="890"/>
      <c r="BT557" s="890"/>
      <c r="BU557" s="890"/>
      <c r="BV557" s="890"/>
      <c r="BW557" s="890"/>
    </row>
    <row r="558" spans="1:75">
      <c r="A558" s="709"/>
      <c r="B558" s="709"/>
      <c r="C558" s="709"/>
      <c r="D558" s="709"/>
      <c r="E558" s="709"/>
      <c r="F558" s="709"/>
      <c r="G558" s="709"/>
      <c r="H558" s="709"/>
      <c r="I558" s="709"/>
      <c r="J558" s="709"/>
      <c r="K558" s="709"/>
      <c r="L558" s="709"/>
      <c r="M558" s="709"/>
      <c r="N558" s="709"/>
      <c r="O558" s="709"/>
      <c r="P558" s="709"/>
      <c r="Q558" s="709"/>
      <c r="R558" s="709"/>
      <c r="S558" s="709"/>
      <c r="T558" s="709"/>
      <c r="U558" s="709"/>
      <c r="V558" s="709"/>
      <c r="BH558" s="890"/>
      <c r="BI558" s="890"/>
      <c r="BJ558" s="890"/>
      <c r="BK558" s="890"/>
      <c r="BL558" s="890"/>
      <c r="BM558" s="890"/>
      <c r="BN558" s="890"/>
      <c r="BO558" s="890"/>
      <c r="BP558" s="890"/>
      <c r="BQ558" s="890"/>
      <c r="BR558" s="890"/>
      <c r="BS558" s="890"/>
      <c r="BT558" s="890"/>
      <c r="BU558" s="890"/>
      <c r="BV558" s="890"/>
      <c r="BW558" s="890"/>
    </row>
    <row r="559" spans="1:75">
      <c r="A559" s="709"/>
      <c r="B559" s="709"/>
      <c r="C559" s="709"/>
      <c r="D559" s="709"/>
      <c r="E559" s="709"/>
      <c r="F559" s="709"/>
      <c r="G559" s="709"/>
      <c r="H559" s="709"/>
      <c r="I559" s="709"/>
      <c r="J559" s="709"/>
      <c r="K559" s="709"/>
      <c r="L559" s="709"/>
      <c r="M559" s="709"/>
      <c r="N559" s="709"/>
      <c r="O559" s="709"/>
      <c r="P559" s="709"/>
      <c r="Q559" s="709"/>
      <c r="R559" s="709"/>
      <c r="S559" s="709"/>
      <c r="T559" s="709"/>
      <c r="U559" s="709"/>
      <c r="V559" s="709"/>
      <c r="BH559" s="890"/>
      <c r="BI559" s="890"/>
      <c r="BJ559" s="890"/>
      <c r="BK559" s="890"/>
      <c r="BL559" s="890"/>
      <c r="BM559" s="890"/>
      <c r="BN559" s="890"/>
      <c r="BO559" s="890"/>
      <c r="BP559" s="890"/>
      <c r="BQ559" s="890"/>
      <c r="BR559" s="890"/>
      <c r="BS559" s="890"/>
      <c r="BT559" s="890"/>
      <c r="BU559" s="890"/>
      <c r="BV559" s="890"/>
      <c r="BW559" s="890"/>
    </row>
    <row r="560" spans="1:75">
      <c r="A560" s="709"/>
      <c r="B560" s="709"/>
      <c r="C560" s="709"/>
      <c r="D560" s="709"/>
      <c r="E560" s="709"/>
      <c r="F560" s="709"/>
      <c r="G560" s="709"/>
      <c r="H560" s="709"/>
      <c r="I560" s="709"/>
      <c r="J560" s="709"/>
      <c r="K560" s="709"/>
      <c r="L560" s="709"/>
      <c r="M560" s="709"/>
      <c r="N560" s="709"/>
      <c r="O560" s="709"/>
      <c r="P560" s="709"/>
      <c r="Q560" s="709"/>
      <c r="R560" s="709"/>
      <c r="S560" s="709"/>
      <c r="T560" s="709"/>
      <c r="U560" s="709"/>
      <c r="V560" s="709"/>
      <c r="BH560" s="890"/>
      <c r="BI560" s="890"/>
      <c r="BJ560" s="890"/>
      <c r="BK560" s="890"/>
      <c r="BL560" s="890"/>
      <c r="BM560" s="890"/>
      <c r="BN560" s="890"/>
      <c r="BO560" s="890"/>
      <c r="BP560" s="890"/>
      <c r="BQ560" s="890"/>
      <c r="BR560" s="890"/>
      <c r="BS560" s="890"/>
      <c r="BT560" s="890"/>
      <c r="BU560" s="890"/>
      <c r="BV560" s="890"/>
      <c r="BW560" s="890"/>
    </row>
    <row r="561" spans="1:75">
      <c r="A561" s="709"/>
      <c r="B561" s="709"/>
      <c r="C561" s="709"/>
      <c r="D561" s="709"/>
      <c r="E561" s="709"/>
      <c r="F561" s="709"/>
      <c r="G561" s="709"/>
      <c r="H561" s="709"/>
      <c r="I561" s="709"/>
      <c r="J561" s="709"/>
      <c r="K561" s="709"/>
      <c r="L561" s="709"/>
      <c r="M561" s="709"/>
      <c r="N561" s="709"/>
      <c r="O561" s="709"/>
      <c r="P561" s="709"/>
      <c r="Q561" s="709"/>
      <c r="R561" s="709"/>
      <c r="S561" s="709"/>
      <c r="T561" s="709"/>
      <c r="U561" s="709"/>
      <c r="V561" s="709"/>
      <c r="BH561" s="890"/>
      <c r="BI561" s="890"/>
      <c r="BJ561" s="890"/>
      <c r="BK561" s="890"/>
      <c r="BL561" s="890"/>
      <c r="BM561" s="890"/>
      <c r="BN561" s="890"/>
      <c r="BO561" s="890"/>
      <c r="BP561" s="890"/>
      <c r="BQ561" s="890"/>
      <c r="BR561" s="890"/>
      <c r="BS561" s="890"/>
      <c r="BT561" s="890"/>
      <c r="BU561" s="890"/>
      <c r="BV561" s="890"/>
      <c r="BW561" s="890"/>
    </row>
    <row r="562" spans="1:75">
      <c r="A562" s="709"/>
      <c r="B562" s="709"/>
      <c r="C562" s="709"/>
      <c r="D562" s="709"/>
      <c r="E562" s="709"/>
      <c r="F562" s="709"/>
      <c r="G562" s="709"/>
      <c r="H562" s="709"/>
      <c r="I562" s="709"/>
      <c r="J562" s="709"/>
      <c r="K562" s="709"/>
      <c r="L562" s="709"/>
      <c r="M562" s="709"/>
      <c r="N562" s="709"/>
      <c r="O562" s="709"/>
      <c r="P562" s="709"/>
      <c r="Q562" s="709"/>
      <c r="R562" s="709"/>
      <c r="S562" s="709"/>
      <c r="T562" s="709"/>
      <c r="U562" s="709"/>
      <c r="V562" s="709"/>
      <c r="BH562" s="890"/>
      <c r="BI562" s="890"/>
      <c r="BJ562" s="890"/>
      <c r="BK562" s="890"/>
      <c r="BL562" s="890"/>
      <c r="BM562" s="890"/>
      <c r="BN562" s="890"/>
      <c r="BO562" s="890"/>
      <c r="BP562" s="890"/>
      <c r="BQ562" s="890"/>
      <c r="BR562" s="890"/>
      <c r="BS562" s="890"/>
      <c r="BT562" s="890"/>
      <c r="BU562" s="890"/>
      <c r="BV562" s="890"/>
      <c r="BW562" s="890"/>
    </row>
    <row r="563" spans="1:75">
      <c r="A563" s="709"/>
      <c r="B563" s="709"/>
      <c r="C563" s="709"/>
      <c r="D563" s="709"/>
      <c r="E563" s="709"/>
      <c r="F563" s="709"/>
      <c r="G563" s="709"/>
      <c r="H563" s="709"/>
      <c r="I563" s="709"/>
      <c r="J563" s="709"/>
      <c r="K563" s="709"/>
      <c r="L563" s="709"/>
      <c r="M563" s="709"/>
      <c r="N563" s="709"/>
      <c r="O563" s="709"/>
      <c r="P563" s="709"/>
      <c r="Q563" s="709"/>
      <c r="R563" s="709"/>
      <c r="S563" s="709"/>
      <c r="T563" s="709"/>
      <c r="U563" s="709"/>
      <c r="V563" s="709"/>
      <c r="BH563" s="890"/>
      <c r="BI563" s="890"/>
      <c r="BJ563" s="890"/>
      <c r="BK563" s="890"/>
      <c r="BL563" s="890"/>
      <c r="BM563" s="890"/>
      <c r="BN563" s="890"/>
      <c r="BO563" s="890"/>
      <c r="BP563" s="890"/>
      <c r="BQ563" s="890"/>
      <c r="BR563" s="890"/>
      <c r="BS563" s="890"/>
      <c r="BT563" s="890"/>
      <c r="BU563" s="890"/>
      <c r="BV563" s="890"/>
      <c r="BW563" s="890"/>
    </row>
    <row r="564" spans="1:75">
      <c r="A564" s="709"/>
      <c r="B564" s="709"/>
      <c r="C564" s="709"/>
      <c r="D564" s="709"/>
      <c r="E564" s="709"/>
      <c r="F564" s="709"/>
      <c r="G564" s="709"/>
      <c r="H564" s="709"/>
      <c r="I564" s="709"/>
      <c r="J564" s="709"/>
      <c r="K564" s="709"/>
      <c r="L564" s="709"/>
      <c r="M564" s="709"/>
      <c r="N564" s="709"/>
      <c r="O564" s="709"/>
      <c r="P564" s="709"/>
      <c r="Q564" s="709"/>
      <c r="R564" s="709"/>
      <c r="S564" s="709"/>
      <c r="T564" s="709"/>
      <c r="U564" s="709"/>
      <c r="V564" s="709"/>
      <c r="BH564" s="890"/>
      <c r="BI564" s="890"/>
      <c r="BJ564" s="890"/>
      <c r="BK564" s="890"/>
      <c r="BL564" s="890"/>
      <c r="BM564" s="890"/>
      <c r="BN564" s="890"/>
      <c r="BO564" s="890"/>
      <c r="BP564" s="890"/>
      <c r="BQ564" s="890"/>
      <c r="BR564" s="890"/>
      <c r="BS564" s="890"/>
      <c r="BT564" s="890"/>
      <c r="BU564" s="890"/>
      <c r="BV564" s="890"/>
      <c r="BW564" s="890"/>
    </row>
    <row r="565" spans="1:75">
      <c r="A565" s="709"/>
      <c r="B565" s="709"/>
      <c r="C565" s="709"/>
      <c r="D565" s="709"/>
      <c r="E565" s="709"/>
      <c r="F565" s="709"/>
      <c r="G565" s="709"/>
      <c r="H565" s="709"/>
      <c r="I565" s="709"/>
      <c r="J565" s="709"/>
      <c r="K565" s="709"/>
      <c r="L565" s="709"/>
      <c r="M565" s="709"/>
      <c r="N565" s="709"/>
      <c r="O565" s="709"/>
      <c r="P565" s="709"/>
      <c r="Q565" s="709"/>
      <c r="R565" s="709"/>
      <c r="S565" s="709"/>
      <c r="T565" s="709"/>
      <c r="U565" s="709"/>
      <c r="V565" s="709"/>
      <c r="BH565" s="890"/>
      <c r="BI565" s="890"/>
      <c r="BJ565" s="890"/>
      <c r="BK565" s="890"/>
      <c r="BL565" s="890"/>
      <c r="BM565" s="890"/>
      <c r="BN565" s="890"/>
      <c r="BO565" s="890"/>
      <c r="BP565" s="890"/>
      <c r="BQ565" s="890"/>
      <c r="BR565" s="890"/>
      <c r="BS565" s="890"/>
      <c r="BT565" s="890"/>
      <c r="BU565" s="890"/>
      <c r="BV565" s="890"/>
      <c r="BW565" s="890"/>
    </row>
    <row r="566" spans="1:75">
      <c r="A566" s="709"/>
      <c r="B566" s="709"/>
      <c r="C566" s="709"/>
      <c r="D566" s="709"/>
      <c r="E566" s="709"/>
      <c r="F566" s="709"/>
      <c r="G566" s="709"/>
      <c r="H566" s="709"/>
      <c r="I566" s="709"/>
      <c r="J566" s="709"/>
      <c r="K566" s="709"/>
      <c r="L566" s="709"/>
      <c r="M566" s="709"/>
      <c r="N566" s="709"/>
      <c r="O566" s="709"/>
      <c r="P566" s="709"/>
      <c r="Q566" s="709"/>
      <c r="R566" s="709"/>
      <c r="S566" s="709"/>
      <c r="T566" s="709"/>
      <c r="U566" s="709"/>
      <c r="V566" s="709"/>
      <c r="BH566" s="890"/>
      <c r="BI566" s="890"/>
      <c r="BJ566" s="890"/>
      <c r="BK566" s="890"/>
      <c r="BL566" s="890"/>
      <c r="BM566" s="890"/>
      <c r="BN566" s="890"/>
      <c r="BO566" s="890"/>
      <c r="BP566" s="890"/>
      <c r="BQ566" s="890"/>
      <c r="BR566" s="890"/>
      <c r="BS566" s="890"/>
      <c r="BT566" s="890"/>
      <c r="BU566" s="890"/>
      <c r="BV566" s="890"/>
      <c r="BW566" s="890"/>
    </row>
    <row r="567" spans="1:75">
      <c r="A567" s="709"/>
      <c r="B567" s="709"/>
      <c r="C567" s="709"/>
      <c r="D567" s="709"/>
      <c r="E567" s="709"/>
      <c r="F567" s="709"/>
      <c r="G567" s="709"/>
      <c r="H567" s="709"/>
      <c r="I567" s="709"/>
      <c r="J567" s="709"/>
      <c r="K567" s="709"/>
      <c r="L567" s="709"/>
      <c r="M567" s="709"/>
      <c r="N567" s="709"/>
      <c r="O567" s="709"/>
      <c r="P567" s="709"/>
      <c r="Q567" s="709"/>
      <c r="R567" s="709"/>
      <c r="S567" s="709"/>
      <c r="T567" s="709"/>
      <c r="U567" s="709"/>
      <c r="V567" s="709"/>
      <c r="BH567" s="890"/>
      <c r="BI567" s="890"/>
      <c r="BJ567" s="890"/>
      <c r="BK567" s="890"/>
      <c r="BL567" s="890"/>
      <c r="BM567" s="890"/>
      <c r="BN567" s="890"/>
      <c r="BO567" s="890"/>
      <c r="BP567" s="890"/>
      <c r="BQ567" s="890"/>
      <c r="BR567" s="890"/>
      <c r="BS567" s="890"/>
      <c r="BT567" s="890"/>
      <c r="BU567" s="890"/>
      <c r="BV567" s="890"/>
      <c r="BW567" s="890"/>
    </row>
    <row r="568" spans="1:75">
      <c r="A568" s="709"/>
      <c r="B568" s="709"/>
      <c r="C568" s="709"/>
      <c r="D568" s="709"/>
      <c r="E568" s="709"/>
      <c r="F568" s="709"/>
      <c r="G568" s="709"/>
      <c r="H568" s="709"/>
      <c r="I568" s="709"/>
      <c r="J568" s="709"/>
      <c r="K568" s="709"/>
      <c r="L568" s="709"/>
      <c r="M568" s="709"/>
      <c r="N568" s="709"/>
      <c r="O568" s="709"/>
      <c r="P568" s="709"/>
      <c r="Q568" s="709"/>
      <c r="R568" s="709"/>
      <c r="S568" s="709"/>
      <c r="T568" s="709"/>
      <c r="U568" s="709"/>
      <c r="V568" s="709"/>
      <c r="BH568" s="890"/>
      <c r="BI568" s="890"/>
      <c r="BJ568" s="890"/>
      <c r="BK568" s="890"/>
      <c r="BL568" s="890"/>
      <c r="BM568" s="890"/>
      <c r="BN568" s="890"/>
      <c r="BO568" s="890"/>
      <c r="BP568" s="890"/>
      <c r="BQ568" s="890"/>
      <c r="BR568" s="890"/>
      <c r="BS568" s="890"/>
      <c r="BT568" s="890"/>
      <c r="BU568" s="890"/>
      <c r="BV568" s="890"/>
      <c r="BW568" s="890"/>
    </row>
    <row r="569" spans="1:75">
      <c r="A569" s="709"/>
      <c r="B569" s="709"/>
      <c r="C569" s="709"/>
      <c r="D569" s="709"/>
      <c r="E569" s="709"/>
      <c r="F569" s="709"/>
      <c r="G569" s="709"/>
      <c r="H569" s="709"/>
      <c r="I569" s="709"/>
      <c r="J569" s="709"/>
      <c r="K569" s="709"/>
      <c r="L569" s="709"/>
      <c r="M569" s="709"/>
      <c r="N569" s="709"/>
      <c r="O569" s="709"/>
      <c r="P569" s="709"/>
      <c r="Q569" s="709"/>
      <c r="R569" s="709"/>
      <c r="S569" s="709"/>
      <c r="T569" s="709"/>
      <c r="U569" s="709"/>
      <c r="V569" s="709"/>
      <c r="BH569" s="890"/>
      <c r="BI569" s="890"/>
      <c r="BJ569" s="890"/>
      <c r="BK569" s="890"/>
      <c r="BL569" s="890"/>
      <c r="BM569" s="890"/>
      <c r="BN569" s="890"/>
      <c r="BO569" s="890"/>
      <c r="BP569" s="890"/>
      <c r="BQ569" s="890"/>
      <c r="BR569" s="890"/>
      <c r="BS569" s="890"/>
      <c r="BT569" s="890"/>
      <c r="BU569" s="890"/>
      <c r="BV569" s="890"/>
      <c r="BW569" s="890"/>
    </row>
    <row r="570" spans="1:75">
      <c r="A570" s="709"/>
      <c r="B570" s="709"/>
      <c r="C570" s="709"/>
      <c r="D570" s="709"/>
      <c r="E570" s="709"/>
      <c r="F570" s="709"/>
      <c r="G570" s="709"/>
      <c r="H570" s="709"/>
      <c r="I570" s="709"/>
      <c r="J570" s="709"/>
      <c r="K570" s="709"/>
      <c r="L570" s="709"/>
      <c r="M570" s="709"/>
      <c r="N570" s="709"/>
      <c r="O570" s="709"/>
      <c r="P570" s="709"/>
      <c r="Q570" s="709"/>
      <c r="R570" s="709"/>
      <c r="S570" s="709"/>
      <c r="T570" s="709"/>
      <c r="U570" s="709"/>
      <c r="V570" s="709"/>
      <c r="BH570" s="890"/>
      <c r="BI570" s="890"/>
      <c r="BJ570" s="890"/>
      <c r="BK570" s="890"/>
      <c r="BL570" s="890"/>
      <c r="BM570" s="890"/>
      <c r="BN570" s="890"/>
      <c r="BO570" s="890"/>
      <c r="BP570" s="890"/>
      <c r="BQ570" s="890"/>
      <c r="BR570" s="890"/>
      <c r="BS570" s="890"/>
      <c r="BT570" s="890"/>
      <c r="BU570" s="890"/>
      <c r="BV570" s="890"/>
      <c r="BW570" s="890"/>
    </row>
    <row r="571" spans="1:75">
      <c r="A571" s="709"/>
      <c r="B571" s="709"/>
      <c r="C571" s="709"/>
      <c r="D571" s="709"/>
      <c r="E571" s="709"/>
      <c r="F571" s="709"/>
      <c r="G571" s="709"/>
      <c r="H571" s="709"/>
      <c r="I571" s="709"/>
      <c r="J571" s="709"/>
      <c r="K571" s="709"/>
      <c r="L571" s="709"/>
      <c r="M571" s="709"/>
      <c r="N571" s="709"/>
      <c r="O571" s="709"/>
      <c r="P571" s="709"/>
      <c r="Q571" s="709"/>
      <c r="R571" s="709"/>
      <c r="S571" s="709"/>
      <c r="T571" s="709"/>
      <c r="U571" s="709"/>
      <c r="V571" s="709"/>
      <c r="BH571" s="890"/>
      <c r="BI571" s="890"/>
      <c r="BJ571" s="890"/>
      <c r="BK571" s="890"/>
      <c r="BL571" s="890"/>
      <c r="BM571" s="890"/>
      <c r="BN571" s="890"/>
      <c r="BO571" s="890"/>
      <c r="BP571" s="890"/>
      <c r="BQ571" s="890"/>
      <c r="BR571" s="890"/>
      <c r="BS571" s="890"/>
      <c r="BT571" s="890"/>
      <c r="BU571" s="890"/>
      <c r="BV571" s="890"/>
      <c r="BW571" s="890"/>
    </row>
    <row r="572" spans="1:75">
      <c r="A572" s="709"/>
      <c r="B572" s="709"/>
      <c r="C572" s="709"/>
      <c r="D572" s="709"/>
      <c r="E572" s="709"/>
      <c r="F572" s="709"/>
      <c r="G572" s="709"/>
      <c r="H572" s="709"/>
      <c r="I572" s="709"/>
      <c r="J572" s="709"/>
      <c r="K572" s="709"/>
      <c r="L572" s="709"/>
      <c r="M572" s="709"/>
      <c r="N572" s="709"/>
      <c r="O572" s="709"/>
      <c r="P572" s="709"/>
      <c r="Q572" s="709"/>
      <c r="R572" s="709"/>
      <c r="S572" s="709"/>
      <c r="T572" s="709"/>
      <c r="U572" s="709"/>
      <c r="V572" s="709"/>
      <c r="BH572" s="890"/>
      <c r="BI572" s="890"/>
      <c r="BJ572" s="890"/>
      <c r="BK572" s="890"/>
      <c r="BL572" s="890"/>
      <c r="BM572" s="890"/>
      <c r="BN572" s="890"/>
      <c r="BO572" s="890"/>
      <c r="BP572" s="890"/>
      <c r="BQ572" s="890"/>
      <c r="BR572" s="890"/>
      <c r="BS572" s="890"/>
      <c r="BT572" s="890"/>
      <c r="BU572" s="890"/>
      <c r="BV572" s="890"/>
      <c r="BW572" s="890"/>
    </row>
    <row r="573" spans="1:75">
      <c r="A573" s="709"/>
      <c r="B573" s="709"/>
      <c r="C573" s="709"/>
      <c r="D573" s="709"/>
      <c r="E573" s="709"/>
      <c r="F573" s="709"/>
      <c r="G573" s="709"/>
      <c r="H573" s="709"/>
      <c r="I573" s="709"/>
      <c r="J573" s="709"/>
      <c r="K573" s="709"/>
      <c r="L573" s="709"/>
      <c r="M573" s="709"/>
      <c r="N573" s="709"/>
      <c r="O573" s="709"/>
      <c r="P573" s="709"/>
      <c r="Q573" s="709"/>
      <c r="R573" s="709"/>
      <c r="S573" s="709"/>
      <c r="T573" s="709"/>
      <c r="U573" s="709"/>
      <c r="V573" s="709"/>
      <c r="BH573" s="890"/>
      <c r="BI573" s="890"/>
      <c r="BJ573" s="890"/>
      <c r="BK573" s="890"/>
      <c r="BL573" s="890"/>
      <c r="BM573" s="890"/>
      <c r="BN573" s="890"/>
      <c r="BO573" s="890"/>
      <c r="BP573" s="890"/>
      <c r="BQ573" s="890"/>
      <c r="BR573" s="890"/>
      <c r="BS573" s="890"/>
      <c r="BT573" s="890"/>
      <c r="BU573" s="890"/>
      <c r="BV573" s="890"/>
      <c r="BW573" s="890"/>
    </row>
    <row r="574" spans="1:75">
      <c r="A574" s="709"/>
      <c r="B574" s="709"/>
      <c r="C574" s="709"/>
      <c r="D574" s="709"/>
      <c r="E574" s="709"/>
      <c r="F574" s="709"/>
      <c r="G574" s="709"/>
      <c r="H574" s="709"/>
      <c r="I574" s="709"/>
      <c r="J574" s="709"/>
      <c r="K574" s="709"/>
      <c r="L574" s="709"/>
      <c r="M574" s="709"/>
      <c r="N574" s="709"/>
      <c r="O574" s="709"/>
      <c r="P574" s="709"/>
      <c r="Q574" s="709"/>
      <c r="R574" s="709"/>
      <c r="S574" s="709"/>
      <c r="T574" s="709"/>
      <c r="U574" s="709"/>
      <c r="V574" s="709"/>
      <c r="BH574" s="890"/>
      <c r="BI574" s="890"/>
      <c r="BJ574" s="890"/>
      <c r="BK574" s="890"/>
      <c r="BL574" s="890"/>
      <c r="BM574" s="890"/>
      <c r="BN574" s="890"/>
      <c r="BO574" s="890"/>
      <c r="BP574" s="890"/>
      <c r="BQ574" s="890"/>
      <c r="BR574" s="890"/>
      <c r="BS574" s="890"/>
      <c r="BT574" s="890"/>
      <c r="BU574" s="890"/>
      <c r="BV574" s="890"/>
      <c r="BW574" s="890"/>
    </row>
    <row r="575" spans="1:75">
      <c r="A575" s="709"/>
      <c r="B575" s="709"/>
      <c r="C575" s="709"/>
      <c r="D575" s="709"/>
      <c r="E575" s="709"/>
      <c r="F575" s="709"/>
      <c r="G575" s="709"/>
      <c r="H575" s="709"/>
      <c r="I575" s="709"/>
      <c r="J575" s="709"/>
      <c r="K575" s="709"/>
      <c r="L575" s="709"/>
      <c r="M575" s="709"/>
      <c r="N575" s="709"/>
      <c r="O575" s="709"/>
      <c r="P575" s="709"/>
      <c r="Q575" s="709"/>
      <c r="R575" s="709"/>
      <c r="S575" s="709"/>
      <c r="T575" s="709"/>
      <c r="U575" s="709"/>
      <c r="V575" s="709"/>
      <c r="BH575" s="890"/>
      <c r="BI575" s="890"/>
      <c r="BJ575" s="890"/>
      <c r="BK575" s="890"/>
      <c r="BL575" s="890"/>
      <c r="BM575" s="890"/>
      <c r="BN575" s="890"/>
      <c r="BO575" s="890"/>
      <c r="BP575" s="890"/>
      <c r="BQ575" s="890"/>
      <c r="BR575" s="890"/>
      <c r="BS575" s="890"/>
      <c r="BT575" s="890"/>
      <c r="BU575" s="890"/>
      <c r="BV575" s="890"/>
      <c r="BW575" s="890"/>
    </row>
    <row r="576" spans="1:75">
      <c r="A576" s="709"/>
      <c r="B576" s="709"/>
      <c r="C576" s="709"/>
      <c r="D576" s="709"/>
      <c r="E576" s="709"/>
      <c r="F576" s="709"/>
      <c r="G576" s="709"/>
      <c r="H576" s="709"/>
      <c r="I576" s="709"/>
      <c r="J576" s="709"/>
      <c r="K576" s="709"/>
      <c r="L576" s="709"/>
      <c r="M576" s="709"/>
      <c r="N576" s="709"/>
      <c r="O576" s="709"/>
      <c r="P576" s="709"/>
      <c r="Q576" s="709"/>
      <c r="R576" s="709"/>
      <c r="S576" s="709"/>
      <c r="T576" s="709"/>
      <c r="U576" s="709"/>
      <c r="V576" s="709"/>
      <c r="BH576" s="890"/>
      <c r="BI576" s="890"/>
      <c r="BJ576" s="890"/>
      <c r="BK576" s="890"/>
      <c r="BL576" s="890"/>
      <c r="BM576" s="890"/>
      <c r="BN576" s="890"/>
      <c r="BO576" s="890"/>
      <c r="BP576" s="890"/>
      <c r="BQ576" s="890"/>
      <c r="BR576" s="890"/>
      <c r="BS576" s="890"/>
      <c r="BT576" s="890"/>
      <c r="BU576" s="890"/>
      <c r="BV576" s="890"/>
      <c r="BW576" s="890"/>
    </row>
    <row r="577" spans="1:75">
      <c r="A577" s="709"/>
      <c r="B577" s="709"/>
      <c r="C577" s="709"/>
      <c r="D577" s="709"/>
      <c r="E577" s="709"/>
      <c r="F577" s="709"/>
      <c r="G577" s="709"/>
      <c r="H577" s="709"/>
      <c r="I577" s="709"/>
      <c r="J577" s="709"/>
      <c r="K577" s="709"/>
      <c r="L577" s="709"/>
      <c r="M577" s="709"/>
      <c r="N577" s="709"/>
      <c r="O577" s="709"/>
      <c r="P577" s="709"/>
      <c r="Q577" s="709"/>
      <c r="R577" s="709"/>
      <c r="S577" s="709"/>
      <c r="T577" s="709"/>
      <c r="U577" s="709"/>
      <c r="V577" s="709"/>
      <c r="BH577" s="890"/>
      <c r="BI577" s="890"/>
      <c r="BJ577" s="890"/>
      <c r="BK577" s="890"/>
      <c r="BL577" s="890"/>
      <c r="BM577" s="890"/>
      <c r="BN577" s="890"/>
      <c r="BO577" s="890"/>
      <c r="BP577" s="890"/>
      <c r="BQ577" s="890"/>
      <c r="BR577" s="890"/>
      <c r="BS577" s="890"/>
      <c r="BT577" s="890"/>
      <c r="BU577" s="890"/>
      <c r="BV577" s="890"/>
      <c r="BW577" s="890"/>
    </row>
    <row r="578" spans="1:75">
      <c r="A578" s="709"/>
      <c r="B578" s="709"/>
      <c r="C578" s="709"/>
      <c r="D578" s="709"/>
      <c r="E578" s="709"/>
      <c r="F578" s="709"/>
      <c r="G578" s="709"/>
      <c r="H578" s="709"/>
      <c r="I578" s="709"/>
      <c r="J578" s="709"/>
      <c r="K578" s="709"/>
      <c r="L578" s="709"/>
      <c r="M578" s="709"/>
      <c r="N578" s="709"/>
      <c r="O578" s="709"/>
      <c r="P578" s="709"/>
      <c r="Q578" s="709"/>
      <c r="R578" s="709"/>
      <c r="S578" s="709"/>
      <c r="T578" s="709"/>
      <c r="U578" s="709"/>
      <c r="V578" s="709"/>
      <c r="BH578" s="890"/>
      <c r="BI578" s="890"/>
      <c r="BJ578" s="890"/>
      <c r="BK578" s="890"/>
      <c r="BL578" s="890"/>
      <c r="BM578" s="890"/>
      <c r="BN578" s="890"/>
      <c r="BO578" s="890"/>
      <c r="BP578" s="890"/>
      <c r="BQ578" s="890"/>
      <c r="BR578" s="890"/>
      <c r="BS578" s="890"/>
      <c r="BT578" s="890"/>
      <c r="BU578" s="890"/>
      <c r="BV578" s="890"/>
      <c r="BW578" s="890"/>
    </row>
    <row r="579" spans="1:75">
      <c r="A579" s="709"/>
      <c r="B579" s="709"/>
      <c r="C579" s="709"/>
      <c r="D579" s="709"/>
      <c r="E579" s="709"/>
      <c r="F579" s="709"/>
      <c r="G579" s="709"/>
      <c r="H579" s="709"/>
      <c r="I579" s="709"/>
      <c r="J579" s="709"/>
      <c r="K579" s="709"/>
      <c r="L579" s="709"/>
      <c r="M579" s="709"/>
      <c r="N579" s="709"/>
      <c r="O579" s="709"/>
      <c r="P579" s="709"/>
      <c r="Q579" s="709"/>
      <c r="R579" s="709"/>
      <c r="S579" s="709"/>
      <c r="T579" s="709"/>
      <c r="U579" s="709"/>
      <c r="V579" s="709"/>
      <c r="BH579" s="890"/>
      <c r="BI579" s="890"/>
      <c r="BJ579" s="890"/>
      <c r="BK579" s="890"/>
      <c r="BL579" s="890"/>
      <c r="BM579" s="890"/>
      <c r="BN579" s="890"/>
      <c r="BO579" s="890"/>
      <c r="BP579" s="890"/>
      <c r="BQ579" s="890"/>
      <c r="BR579" s="890"/>
      <c r="BS579" s="890"/>
      <c r="BT579" s="890"/>
      <c r="BU579" s="890"/>
      <c r="BV579" s="890"/>
      <c r="BW579" s="890"/>
    </row>
    <row r="580" spans="1:75">
      <c r="A580" s="709"/>
      <c r="B580" s="709"/>
      <c r="C580" s="709"/>
      <c r="D580" s="709"/>
      <c r="E580" s="709"/>
      <c r="F580" s="709"/>
      <c r="G580" s="709"/>
      <c r="H580" s="709"/>
      <c r="I580" s="709"/>
      <c r="J580" s="709"/>
      <c r="K580" s="709"/>
      <c r="L580" s="709"/>
      <c r="M580" s="709"/>
      <c r="N580" s="709"/>
      <c r="O580" s="709"/>
      <c r="P580" s="709"/>
      <c r="Q580" s="709"/>
      <c r="R580" s="709"/>
      <c r="S580" s="709"/>
      <c r="T580" s="709"/>
      <c r="U580" s="709"/>
      <c r="V580" s="709"/>
      <c r="BH580" s="890"/>
      <c r="BI580" s="890"/>
      <c r="BJ580" s="890"/>
      <c r="BK580" s="890"/>
      <c r="BL580" s="890"/>
      <c r="BM580" s="890"/>
      <c r="BN580" s="890"/>
      <c r="BO580" s="890"/>
      <c r="BP580" s="890"/>
      <c r="BQ580" s="890"/>
      <c r="BR580" s="890"/>
      <c r="BS580" s="890"/>
      <c r="BT580" s="890"/>
      <c r="BU580" s="890"/>
      <c r="BV580" s="890"/>
      <c r="BW580" s="890"/>
    </row>
    <row r="581" spans="1:75">
      <c r="A581" s="709"/>
      <c r="B581" s="709"/>
      <c r="C581" s="709"/>
      <c r="D581" s="709"/>
      <c r="E581" s="709"/>
      <c r="F581" s="709"/>
      <c r="G581" s="709"/>
      <c r="H581" s="709"/>
      <c r="I581" s="709"/>
      <c r="J581" s="709"/>
      <c r="K581" s="709"/>
      <c r="L581" s="709"/>
      <c r="M581" s="709"/>
      <c r="N581" s="709"/>
      <c r="O581" s="709"/>
      <c r="P581" s="709"/>
      <c r="Q581" s="709"/>
      <c r="R581" s="709"/>
      <c r="S581" s="709"/>
      <c r="T581" s="709"/>
      <c r="U581" s="709"/>
      <c r="V581" s="709"/>
      <c r="BH581" s="890"/>
      <c r="BI581" s="890"/>
      <c r="BJ581" s="890"/>
      <c r="BK581" s="890"/>
      <c r="BL581" s="890"/>
      <c r="BM581" s="890"/>
      <c r="BN581" s="890"/>
      <c r="BO581" s="890"/>
      <c r="BP581" s="890"/>
      <c r="BQ581" s="890"/>
      <c r="BR581" s="890"/>
      <c r="BS581" s="890"/>
      <c r="BT581" s="890"/>
      <c r="BU581" s="890"/>
      <c r="BV581" s="890"/>
      <c r="BW581" s="890"/>
    </row>
    <row r="582" spans="1:75">
      <c r="A582" s="709"/>
      <c r="B582" s="709"/>
      <c r="C582" s="709"/>
      <c r="D582" s="709"/>
      <c r="E582" s="709"/>
      <c r="F582" s="709"/>
      <c r="G582" s="709"/>
      <c r="H582" s="709"/>
      <c r="I582" s="709"/>
      <c r="J582" s="709"/>
      <c r="K582" s="709"/>
      <c r="L582" s="709"/>
      <c r="M582" s="709"/>
      <c r="N582" s="709"/>
      <c r="O582" s="709"/>
      <c r="P582" s="709"/>
      <c r="Q582" s="709"/>
      <c r="R582" s="709"/>
      <c r="S582" s="709"/>
      <c r="T582" s="709"/>
      <c r="U582" s="709"/>
      <c r="V582" s="709"/>
      <c r="BH582" s="890"/>
      <c r="BI582" s="890"/>
      <c r="BJ582" s="890"/>
      <c r="BK582" s="890"/>
      <c r="BL582" s="890"/>
      <c r="BM582" s="890"/>
      <c r="BN582" s="890"/>
      <c r="BO582" s="890"/>
      <c r="BP582" s="890"/>
      <c r="BQ582" s="890"/>
      <c r="BR582" s="890"/>
      <c r="BS582" s="890"/>
      <c r="BT582" s="890"/>
      <c r="BU582" s="890"/>
      <c r="BV582" s="890"/>
      <c r="BW582" s="890"/>
    </row>
    <row r="583" spans="1:75">
      <c r="A583" s="709"/>
      <c r="B583" s="709"/>
      <c r="C583" s="709"/>
      <c r="D583" s="709"/>
      <c r="E583" s="709"/>
      <c r="F583" s="709"/>
      <c r="G583" s="709"/>
      <c r="H583" s="709"/>
      <c r="I583" s="709"/>
      <c r="J583" s="709"/>
      <c r="K583" s="709"/>
      <c r="L583" s="709"/>
      <c r="M583" s="709"/>
      <c r="N583" s="709"/>
      <c r="O583" s="709"/>
      <c r="P583" s="709"/>
      <c r="Q583" s="709"/>
      <c r="R583" s="709"/>
      <c r="S583" s="709"/>
      <c r="T583" s="709"/>
      <c r="U583" s="709"/>
      <c r="V583" s="709"/>
      <c r="BH583" s="890"/>
      <c r="BI583" s="890"/>
      <c r="BJ583" s="890"/>
      <c r="BK583" s="890"/>
      <c r="BL583" s="890"/>
      <c r="BM583" s="890"/>
      <c r="BN583" s="890"/>
      <c r="BO583" s="890"/>
      <c r="BP583" s="890"/>
      <c r="BQ583" s="890"/>
      <c r="BR583" s="890"/>
      <c r="BS583" s="890"/>
      <c r="BT583" s="890"/>
      <c r="BU583" s="890"/>
      <c r="BV583" s="890"/>
      <c r="BW583" s="890"/>
    </row>
    <row r="584" spans="1:75">
      <c r="A584" s="709"/>
      <c r="B584" s="709"/>
      <c r="C584" s="709"/>
      <c r="D584" s="709"/>
      <c r="E584" s="709"/>
      <c r="F584" s="709"/>
      <c r="G584" s="709"/>
      <c r="H584" s="709"/>
      <c r="I584" s="709"/>
      <c r="J584" s="709"/>
      <c r="K584" s="709"/>
      <c r="L584" s="709"/>
      <c r="M584" s="709"/>
      <c r="N584" s="709"/>
      <c r="O584" s="709"/>
      <c r="P584" s="709"/>
      <c r="Q584" s="709"/>
      <c r="R584" s="709"/>
      <c r="S584" s="709"/>
      <c r="T584" s="709"/>
      <c r="U584" s="709"/>
      <c r="V584" s="709"/>
      <c r="BH584" s="890"/>
      <c r="BI584" s="890"/>
      <c r="BJ584" s="890"/>
      <c r="BK584" s="890"/>
      <c r="BL584" s="890"/>
      <c r="BM584" s="890"/>
      <c r="BN584" s="890"/>
      <c r="BO584" s="890"/>
      <c r="BP584" s="890"/>
      <c r="BQ584" s="890"/>
      <c r="BR584" s="890"/>
      <c r="BS584" s="890"/>
      <c r="BT584" s="890"/>
      <c r="BU584" s="890"/>
      <c r="BV584" s="890"/>
      <c r="BW584" s="890"/>
    </row>
    <row r="585" spans="1:75">
      <c r="A585" s="709"/>
      <c r="B585" s="709"/>
      <c r="C585" s="709"/>
      <c r="D585" s="709"/>
      <c r="E585" s="709"/>
      <c r="F585" s="709"/>
      <c r="G585" s="709"/>
      <c r="H585" s="709"/>
      <c r="I585" s="709"/>
      <c r="J585" s="709"/>
      <c r="K585" s="709"/>
      <c r="L585" s="709"/>
      <c r="M585" s="709"/>
      <c r="N585" s="709"/>
      <c r="O585" s="709"/>
      <c r="P585" s="709"/>
      <c r="Q585" s="709"/>
      <c r="R585" s="709"/>
      <c r="S585" s="709"/>
      <c r="T585" s="709"/>
      <c r="U585" s="709"/>
      <c r="V585" s="709"/>
      <c r="BH585" s="890"/>
      <c r="BI585" s="890"/>
      <c r="BJ585" s="890"/>
      <c r="BK585" s="890"/>
      <c r="BL585" s="890"/>
      <c r="BM585" s="890"/>
      <c r="BN585" s="890"/>
      <c r="BO585" s="890"/>
      <c r="BP585" s="890"/>
      <c r="BQ585" s="890"/>
      <c r="BR585" s="890"/>
      <c r="BS585" s="890"/>
      <c r="BT585" s="890"/>
      <c r="BU585" s="890"/>
      <c r="BV585" s="890"/>
      <c r="BW585" s="890"/>
    </row>
    <row r="586" spans="1:75">
      <c r="A586" s="709"/>
      <c r="B586" s="709"/>
      <c r="C586" s="709"/>
      <c r="D586" s="709"/>
      <c r="E586" s="709"/>
      <c r="F586" s="709"/>
      <c r="G586" s="709"/>
      <c r="H586" s="709"/>
      <c r="I586" s="709"/>
      <c r="J586" s="709"/>
      <c r="K586" s="709"/>
      <c r="L586" s="709"/>
      <c r="M586" s="709"/>
      <c r="N586" s="709"/>
      <c r="O586" s="709"/>
      <c r="P586" s="709"/>
      <c r="Q586" s="709"/>
      <c r="R586" s="709"/>
      <c r="S586" s="709"/>
      <c r="T586" s="709"/>
      <c r="U586" s="709"/>
      <c r="V586" s="709"/>
      <c r="BH586" s="890"/>
      <c r="BI586" s="890"/>
      <c r="BJ586" s="890"/>
      <c r="BK586" s="890"/>
      <c r="BL586" s="890"/>
      <c r="BM586" s="890"/>
      <c r="BN586" s="890"/>
      <c r="BO586" s="890"/>
      <c r="BP586" s="890"/>
      <c r="BQ586" s="890"/>
      <c r="BR586" s="890"/>
      <c r="BS586" s="890"/>
      <c r="BT586" s="890"/>
      <c r="BU586" s="890"/>
      <c r="BV586" s="890"/>
      <c r="BW586" s="890"/>
    </row>
    <row r="587" spans="1:75">
      <c r="A587" s="709"/>
      <c r="B587" s="709"/>
      <c r="C587" s="709"/>
      <c r="D587" s="709"/>
      <c r="E587" s="709"/>
      <c r="F587" s="709"/>
      <c r="G587" s="709"/>
      <c r="H587" s="709"/>
      <c r="I587" s="709"/>
      <c r="J587" s="709"/>
      <c r="K587" s="709"/>
      <c r="L587" s="709"/>
      <c r="M587" s="709"/>
      <c r="N587" s="709"/>
      <c r="O587" s="709"/>
      <c r="P587" s="709"/>
      <c r="Q587" s="709"/>
      <c r="R587" s="709"/>
      <c r="S587" s="709"/>
      <c r="T587" s="709"/>
      <c r="U587" s="709"/>
      <c r="V587" s="709"/>
      <c r="BH587" s="890"/>
      <c r="BI587" s="890"/>
      <c r="BJ587" s="890"/>
      <c r="BK587" s="890"/>
      <c r="BL587" s="890"/>
      <c r="BM587" s="890"/>
      <c r="BN587" s="890"/>
      <c r="BO587" s="890"/>
      <c r="BP587" s="890"/>
      <c r="BQ587" s="890"/>
      <c r="BR587" s="890"/>
      <c r="BS587" s="890"/>
      <c r="BT587" s="890"/>
      <c r="BU587" s="890"/>
      <c r="BV587" s="890"/>
      <c r="BW587" s="890"/>
    </row>
    <row r="588" spans="1:75">
      <c r="A588" s="709"/>
      <c r="B588" s="709"/>
      <c r="C588" s="709"/>
      <c r="D588" s="709"/>
      <c r="E588" s="709"/>
      <c r="F588" s="709"/>
      <c r="G588" s="709"/>
      <c r="H588" s="709"/>
      <c r="I588" s="709"/>
      <c r="J588" s="709"/>
      <c r="K588" s="709"/>
      <c r="L588" s="709"/>
      <c r="M588" s="709"/>
      <c r="N588" s="709"/>
      <c r="O588" s="709"/>
      <c r="P588" s="709"/>
      <c r="Q588" s="709"/>
      <c r="R588" s="709"/>
      <c r="S588" s="709"/>
      <c r="T588" s="709"/>
      <c r="U588" s="709"/>
      <c r="V588" s="709"/>
      <c r="BH588" s="890"/>
      <c r="BI588" s="890"/>
      <c r="BJ588" s="890"/>
      <c r="BK588" s="890"/>
      <c r="BL588" s="890"/>
      <c r="BM588" s="890"/>
      <c r="BN588" s="890"/>
      <c r="BO588" s="890"/>
      <c r="BP588" s="890"/>
      <c r="BQ588" s="890"/>
      <c r="BR588" s="890"/>
      <c r="BS588" s="890"/>
      <c r="BT588" s="890"/>
      <c r="BU588" s="890"/>
      <c r="BV588" s="890"/>
      <c r="BW588" s="890"/>
    </row>
    <row r="589" spans="1:75">
      <c r="A589" s="709"/>
      <c r="B589" s="709"/>
      <c r="C589" s="709"/>
      <c r="D589" s="709"/>
      <c r="E589" s="709"/>
      <c r="F589" s="709"/>
      <c r="G589" s="709"/>
      <c r="H589" s="709"/>
      <c r="I589" s="709"/>
      <c r="J589" s="709"/>
      <c r="K589" s="709"/>
      <c r="L589" s="709"/>
      <c r="M589" s="709"/>
      <c r="N589" s="709"/>
      <c r="O589" s="709"/>
      <c r="P589" s="709"/>
      <c r="Q589" s="709"/>
      <c r="R589" s="709"/>
      <c r="S589" s="709"/>
      <c r="T589" s="709"/>
      <c r="U589" s="709"/>
      <c r="V589" s="709"/>
      <c r="BH589" s="890"/>
      <c r="BI589" s="890"/>
      <c r="BJ589" s="890"/>
      <c r="BK589" s="890"/>
      <c r="BL589" s="890"/>
      <c r="BM589" s="890"/>
      <c r="BN589" s="890"/>
      <c r="BO589" s="890"/>
      <c r="BP589" s="890"/>
      <c r="BQ589" s="890"/>
      <c r="BR589" s="890"/>
      <c r="BS589" s="890"/>
      <c r="BT589" s="890"/>
      <c r="BU589" s="890"/>
      <c r="BV589" s="890"/>
      <c r="BW589" s="890"/>
    </row>
    <row r="590" spans="1:75">
      <c r="A590" s="709"/>
      <c r="B590" s="709"/>
      <c r="C590" s="709"/>
      <c r="D590" s="709"/>
      <c r="E590" s="709"/>
      <c r="F590" s="709"/>
      <c r="G590" s="709"/>
      <c r="H590" s="709"/>
      <c r="I590" s="709"/>
      <c r="J590" s="709"/>
      <c r="K590" s="709"/>
      <c r="L590" s="709"/>
      <c r="M590" s="709"/>
      <c r="N590" s="709"/>
      <c r="O590" s="709"/>
      <c r="P590" s="709"/>
      <c r="Q590" s="709"/>
      <c r="R590" s="709"/>
      <c r="S590" s="709"/>
      <c r="T590" s="709"/>
      <c r="U590" s="709"/>
      <c r="V590" s="709"/>
      <c r="BH590" s="890"/>
      <c r="BI590" s="890"/>
      <c r="BJ590" s="890"/>
      <c r="BK590" s="890"/>
      <c r="BL590" s="890"/>
      <c r="BM590" s="890"/>
      <c r="BN590" s="890"/>
      <c r="BO590" s="890"/>
      <c r="BP590" s="890"/>
      <c r="BQ590" s="890"/>
      <c r="BR590" s="890"/>
      <c r="BS590" s="890"/>
      <c r="BT590" s="890"/>
      <c r="BU590" s="890"/>
      <c r="BV590" s="890"/>
      <c r="BW590" s="890"/>
    </row>
    <row r="591" spans="1:75">
      <c r="A591" s="709"/>
      <c r="B591" s="709"/>
      <c r="C591" s="709"/>
      <c r="D591" s="709"/>
      <c r="E591" s="709"/>
      <c r="F591" s="709"/>
      <c r="G591" s="709"/>
      <c r="H591" s="709"/>
      <c r="I591" s="709"/>
      <c r="J591" s="709"/>
      <c r="K591" s="709"/>
      <c r="L591" s="709"/>
      <c r="M591" s="709"/>
      <c r="N591" s="709"/>
      <c r="O591" s="709"/>
      <c r="P591" s="709"/>
      <c r="Q591" s="709"/>
      <c r="R591" s="709"/>
      <c r="S591" s="709"/>
      <c r="T591" s="709"/>
      <c r="U591" s="709"/>
      <c r="V591" s="709"/>
      <c r="BH591" s="890"/>
      <c r="BI591" s="890"/>
      <c r="BJ591" s="890"/>
      <c r="BK591" s="890"/>
      <c r="BL591" s="890"/>
      <c r="BM591" s="890"/>
      <c r="BN591" s="890"/>
      <c r="BO591" s="890"/>
      <c r="BP591" s="890"/>
      <c r="BQ591" s="890"/>
      <c r="BR591" s="890"/>
      <c r="BS591" s="890"/>
      <c r="BT591" s="890"/>
      <c r="BU591" s="890"/>
      <c r="BV591" s="890"/>
      <c r="BW591" s="890"/>
    </row>
    <row r="592" spans="1:75">
      <c r="A592" s="709"/>
      <c r="B592" s="709"/>
      <c r="C592" s="709"/>
      <c r="D592" s="709"/>
      <c r="E592" s="709"/>
      <c r="F592" s="709"/>
      <c r="G592" s="709"/>
      <c r="H592" s="709"/>
      <c r="I592" s="709"/>
      <c r="J592" s="709"/>
      <c r="K592" s="709"/>
      <c r="L592" s="709"/>
      <c r="M592" s="709"/>
      <c r="N592" s="709"/>
      <c r="O592" s="709"/>
      <c r="P592" s="709"/>
      <c r="Q592" s="709"/>
      <c r="R592" s="709"/>
      <c r="S592" s="709"/>
      <c r="T592" s="709"/>
      <c r="U592" s="709"/>
      <c r="V592" s="709"/>
      <c r="BH592" s="890"/>
      <c r="BI592" s="890"/>
      <c r="BJ592" s="890"/>
      <c r="BK592" s="890"/>
      <c r="BL592" s="890"/>
      <c r="BM592" s="890"/>
      <c r="BN592" s="890"/>
      <c r="BO592" s="890"/>
      <c r="BP592" s="890"/>
      <c r="BQ592" s="890"/>
      <c r="BR592" s="890"/>
      <c r="BS592" s="890"/>
      <c r="BT592" s="890"/>
      <c r="BU592" s="890"/>
      <c r="BV592" s="890"/>
      <c r="BW592" s="890"/>
    </row>
    <row r="593" spans="1:75">
      <c r="A593" s="709"/>
      <c r="B593" s="709"/>
      <c r="C593" s="709"/>
      <c r="D593" s="709"/>
      <c r="E593" s="709"/>
      <c r="F593" s="709"/>
      <c r="G593" s="709"/>
      <c r="H593" s="709"/>
      <c r="I593" s="709"/>
      <c r="J593" s="709"/>
      <c r="K593" s="709"/>
      <c r="L593" s="709"/>
      <c r="M593" s="709"/>
      <c r="N593" s="709"/>
      <c r="O593" s="709"/>
      <c r="P593" s="709"/>
      <c r="Q593" s="709"/>
      <c r="R593" s="709"/>
      <c r="S593" s="709"/>
      <c r="T593" s="709"/>
      <c r="U593" s="709"/>
      <c r="V593" s="709"/>
      <c r="BH593" s="890"/>
      <c r="BI593" s="890"/>
      <c r="BJ593" s="890"/>
      <c r="BK593" s="890"/>
      <c r="BL593" s="890"/>
      <c r="BM593" s="890"/>
      <c r="BN593" s="890"/>
      <c r="BO593" s="890"/>
      <c r="BP593" s="890"/>
      <c r="BQ593" s="890"/>
      <c r="BR593" s="890"/>
      <c r="BS593" s="890"/>
      <c r="BT593" s="890"/>
      <c r="BU593" s="890"/>
      <c r="BV593" s="890"/>
      <c r="BW593" s="890"/>
    </row>
    <row r="594" spans="1:75">
      <c r="A594" s="709"/>
      <c r="B594" s="709"/>
      <c r="C594" s="709"/>
      <c r="D594" s="709"/>
      <c r="E594" s="709"/>
      <c r="F594" s="709"/>
      <c r="G594" s="709"/>
      <c r="H594" s="709"/>
      <c r="I594" s="709"/>
      <c r="J594" s="709"/>
      <c r="K594" s="709"/>
      <c r="L594" s="709"/>
      <c r="M594" s="709"/>
      <c r="N594" s="709"/>
      <c r="O594" s="709"/>
      <c r="P594" s="709"/>
      <c r="Q594" s="709"/>
      <c r="R594" s="709"/>
      <c r="S594" s="709"/>
      <c r="T594" s="709"/>
      <c r="U594" s="709"/>
      <c r="V594" s="709"/>
      <c r="BH594" s="890"/>
      <c r="BI594" s="890"/>
      <c r="BJ594" s="890"/>
      <c r="BK594" s="890"/>
      <c r="BL594" s="890"/>
      <c r="BM594" s="890"/>
      <c r="BN594" s="890"/>
      <c r="BO594" s="890"/>
      <c r="BP594" s="890"/>
      <c r="BQ594" s="890"/>
      <c r="BR594" s="890"/>
      <c r="BS594" s="890"/>
      <c r="BT594" s="890"/>
      <c r="BU594" s="890"/>
      <c r="BV594" s="890"/>
      <c r="BW594" s="890"/>
    </row>
    <row r="595" spans="1:75">
      <c r="A595" s="709"/>
      <c r="B595" s="709"/>
      <c r="C595" s="709"/>
      <c r="D595" s="709"/>
      <c r="E595" s="709"/>
      <c r="F595" s="709"/>
      <c r="G595" s="709"/>
      <c r="H595" s="709"/>
      <c r="I595" s="709"/>
      <c r="J595" s="709"/>
      <c r="K595" s="709"/>
      <c r="L595" s="709"/>
      <c r="M595" s="709"/>
      <c r="N595" s="709"/>
      <c r="O595" s="709"/>
      <c r="P595" s="709"/>
      <c r="Q595" s="709"/>
      <c r="R595" s="709"/>
      <c r="S595" s="709"/>
      <c r="T595" s="709"/>
      <c r="U595" s="709"/>
      <c r="V595" s="709"/>
      <c r="BH595" s="890"/>
      <c r="BI595" s="890"/>
      <c r="BJ595" s="890"/>
      <c r="BK595" s="890"/>
      <c r="BL595" s="890"/>
      <c r="BM595" s="890"/>
      <c r="BN595" s="890"/>
      <c r="BO595" s="890"/>
      <c r="BP595" s="890"/>
      <c r="BQ595" s="890"/>
      <c r="BR595" s="890"/>
      <c r="BS595" s="890"/>
      <c r="BT595" s="890"/>
      <c r="BU595" s="890"/>
      <c r="BV595" s="890"/>
      <c r="BW595" s="890"/>
    </row>
    <row r="596" spans="1:75">
      <c r="A596" s="709"/>
      <c r="B596" s="709"/>
      <c r="C596" s="709"/>
      <c r="D596" s="709"/>
      <c r="E596" s="709"/>
      <c r="F596" s="709"/>
      <c r="G596" s="709"/>
      <c r="H596" s="709"/>
      <c r="I596" s="709"/>
      <c r="J596" s="709"/>
      <c r="K596" s="709"/>
      <c r="L596" s="709"/>
      <c r="M596" s="709"/>
      <c r="N596" s="709"/>
      <c r="O596" s="709"/>
      <c r="P596" s="709"/>
      <c r="Q596" s="709"/>
      <c r="R596" s="709"/>
      <c r="S596" s="709"/>
      <c r="T596" s="709"/>
      <c r="U596" s="709"/>
      <c r="V596" s="709"/>
      <c r="BH596" s="890"/>
      <c r="BI596" s="890"/>
      <c r="BJ596" s="890"/>
      <c r="BK596" s="890"/>
      <c r="BL596" s="890"/>
      <c r="BM596" s="890"/>
      <c r="BN596" s="890"/>
      <c r="BO596" s="890"/>
      <c r="BP596" s="890"/>
      <c r="BQ596" s="890"/>
      <c r="BR596" s="890"/>
      <c r="BS596" s="890"/>
      <c r="BT596" s="890"/>
      <c r="BU596" s="890"/>
      <c r="BV596" s="890"/>
      <c r="BW596" s="890"/>
    </row>
    <row r="597" spans="1:75">
      <c r="A597" s="709"/>
      <c r="B597" s="709"/>
      <c r="C597" s="709"/>
      <c r="D597" s="709"/>
      <c r="E597" s="709"/>
      <c r="F597" s="709"/>
      <c r="G597" s="709"/>
      <c r="H597" s="709"/>
      <c r="I597" s="709"/>
      <c r="J597" s="709"/>
      <c r="K597" s="709"/>
      <c r="L597" s="709"/>
      <c r="M597" s="709"/>
      <c r="N597" s="709"/>
      <c r="O597" s="709"/>
      <c r="P597" s="709"/>
      <c r="Q597" s="709"/>
      <c r="R597" s="709"/>
      <c r="S597" s="709"/>
      <c r="T597" s="709"/>
      <c r="U597" s="709"/>
      <c r="V597" s="709"/>
      <c r="BH597" s="890"/>
      <c r="BI597" s="890"/>
      <c r="BJ597" s="890"/>
      <c r="BK597" s="890"/>
      <c r="BL597" s="890"/>
      <c r="BM597" s="890"/>
      <c r="BN597" s="890"/>
      <c r="BO597" s="890"/>
      <c r="BP597" s="890"/>
      <c r="BQ597" s="890"/>
      <c r="BR597" s="890"/>
      <c r="BS597" s="890"/>
      <c r="BT597" s="890"/>
      <c r="BU597" s="890"/>
      <c r="BV597" s="890"/>
      <c r="BW597" s="890"/>
    </row>
    <row r="598" spans="1:75">
      <c r="A598" s="709"/>
      <c r="B598" s="709"/>
      <c r="C598" s="709"/>
      <c r="D598" s="709"/>
      <c r="E598" s="709"/>
      <c r="F598" s="709"/>
      <c r="G598" s="709"/>
      <c r="H598" s="709"/>
      <c r="I598" s="709"/>
      <c r="J598" s="709"/>
      <c r="K598" s="709"/>
      <c r="L598" s="709"/>
      <c r="M598" s="709"/>
      <c r="N598" s="709"/>
      <c r="O598" s="709"/>
      <c r="P598" s="709"/>
      <c r="Q598" s="709"/>
      <c r="R598" s="709"/>
      <c r="S598" s="709"/>
      <c r="T598" s="709"/>
      <c r="U598" s="709"/>
      <c r="V598" s="709"/>
      <c r="BH598" s="890"/>
      <c r="BI598" s="890"/>
      <c r="BJ598" s="890"/>
      <c r="BK598" s="890"/>
      <c r="BL598" s="890"/>
      <c r="BM598" s="890"/>
      <c r="BN598" s="890"/>
      <c r="BO598" s="890"/>
      <c r="BP598" s="890"/>
      <c r="BQ598" s="890"/>
      <c r="BR598" s="890"/>
      <c r="BS598" s="890"/>
      <c r="BT598" s="890"/>
      <c r="BU598" s="890"/>
      <c r="BV598" s="890"/>
      <c r="BW598" s="890"/>
    </row>
    <row r="599" spans="1:75">
      <c r="A599" s="709"/>
      <c r="B599" s="709"/>
      <c r="C599" s="709"/>
      <c r="D599" s="709"/>
      <c r="E599" s="709"/>
      <c r="F599" s="709"/>
      <c r="G599" s="709"/>
      <c r="H599" s="709"/>
      <c r="I599" s="709"/>
      <c r="J599" s="709"/>
      <c r="K599" s="709"/>
      <c r="L599" s="709"/>
      <c r="M599" s="709"/>
      <c r="N599" s="709"/>
      <c r="O599" s="709"/>
      <c r="P599" s="709"/>
      <c r="Q599" s="709"/>
      <c r="R599" s="709"/>
      <c r="S599" s="709"/>
      <c r="T599" s="709"/>
      <c r="U599" s="709"/>
      <c r="V599" s="709"/>
      <c r="BH599" s="890"/>
      <c r="BI599" s="890"/>
      <c r="BJ599" s="890"/>
      <c r="BK599" s="890"/>
      <c r="BL599" s="890"/>
      <c r="BM599" s="890"/>
      <c r="BN599" s="890"/>
      <c r="BO599" s="890"/>
      <c r="BP599" s="890"/>
      <c r="BQ599" s="890"/>
      <c r="BR599" s="890"/>
      <c r="BS599" s="890"/>
      <c r="BT599" s="890"/>
      <c r="BU599" s="890"/>
      <c r="BV599" s="890"/>
      <c r="BW599" s="890"/>
    </row>
    <row r="600" spans="1:75">
      <c r="A600" s="709"/>
      <c r="B600" s="709"/>
      <c r="C600" s="709"/>
      <c r="D600" s="709"/>
      <c r="E600" s="709"/>
      <c r="F600" s="709"/>
      <c r="G600" s="709"/>
      <c r="H600" s="709"/>
      <c r="I600" s="709"/>
      <c r="J600" s="709"/>
      <c r="K600" s="709"/>
      <c r="L600" s="709"/>
      <c r="M600" s="709"/>
      <c r="N600" s="709"/>
      <c r="O600" s="709"/>
      <c r="P600" s="709"/>
      <c r="Q600" s="709"/>
      <c r="R600" s="709"/>
      <c r="S600" s="709"/>
      <c r="T600" s="709"/>
      <c r="U600" s="709"/>
      <c r="V600" s="709"/>
      <c r="BH600" s="890"/>
      <c r="BI600" s="890"/>
      <c r="BJ600" s="890"/>
      <c r="BK600" s="890"/>
      <c r="BL600" s="890"/>
      <c r="BM600" s="890"/>
      <c r="BN600" s="890"/>
      <c r="BO600" s="890"/>
      <c r="BP600" s="890"/>
      <c r="BQ600" s="890"/>
      <c r="BR600" s="890"/>
      <c r="BS600" s="890"/>
      <c r="BT600" s="890"/>
      <c r="BU600" s="890"/>
      <c r="BV600" s="890"/>
      <c r="BW600" s="890"/>
    </row>
    <row r="601" spans="1:75">
      <c r="A601" s="709"/>
      <c r="B601" s="709"/>
      <c r="C601" s="709"/>
      <c r="D601" s="709"/>
      <c r="E601" s="709"/>
      <c r="F601" s="709"/>
      <c r="G601" s="709"/>
      <c r="H601" s="709"/>
      <c r="I601" s="709"/>
      <c r="J601" s="709"/>
      <c r="K601" s="709"/>
      <c r="L601" s="709"/>
      <c r="M601" s="709"/>
      <c r="N601" s="709"/>
      <c r="O601" s="709"/>
      <c r="P601" s="709"/>
      <c r="Q601" s="709"/>
      <c r="R601" s="709"/>
      <c r="S601" s="709"/>
      <c r="T601" s="709"/>
      <c r="U601" s="709"/>
      <c r="V601" s="709"/>
      <c r="BH601" s="890"/>
      <c r="BI601" s="890"/>
      <c r="BJ601" s="890"/>
      <c r="BK601" s="890"/>
      <c r="BL601" s="890"/>
      <c r="BM601" s="890"/>
      <c r="BN601" s="890"/>
      <c r="BO601" s="890"/>
      <c r="BP601" s="890"/>
      <c r="BQ601" s="890"/>
      <c r="BR601" s="890"/>
      <c r="BS601" s="890"/>
      <c r="BT601" s="890"/>
      <c r="BU601" s="890"/>
      <c r="BV601" s="890"/>
      <c r="BW601" s="890"/>
    </row>
    <row r="602" spans="1:75">
      <c r="A602" s="709"/>
      <c r="B602" s="709"/>
      <c r="C602" s="709"/>
      <c r="D602" s="709"/>
      <c r="E602" s="709"/>
      <c r="F602" s="709"/>
      <c r="G602" s="709"/>
      <c r="H602" s="709"/>
      <c r="I602" s="709"/>
      <c r="J602" s="709"/>
      <c r="K602" s="709"/>
      <c r="L602" s="709"/>
      <c r="M602" s="709"/>
      <c r="N602" s="709"/>
      <c r="O602" s="709"/>
      <c r="P602" s="709"/>
      <c r="Q602" s="709"/>
      <c r="R602" s="709"/>
      <c r="S602" s="709"/>
      <c r="T602" s="709"/>
      <c r="U602" s="709"/>
      <c r="V602" s="709"/>
      <c r="BH602" s="890"/>
      <c r="BI602" s="890"/>
      <c r="BJ602" s="890"/>
      <c r="BK602" s="890"/>
      <c r="BL602" s="890"/>
      <c r="BM602" s="890"/>
      <c r="BN602" s="890"/>
      <c r="BO602" s="890"/>
      <c r="BP602" s="890"/>
      <c r="BQ602" s="890"/>
      <c r="BR602" s="890"/>
      <c r="BS602" s="890"/>
      <c r="BT602" s="890"/>
      <c r="BU602" s="890"/>
      <c r="BV602" s="890"/>
      <c r="BW602" s="890"/>
    </row>
    <row r="603" spans="1:75">
      <c r="A603" s="709"/>
      <c r="B603" s="709"/>
      <c r="C603" s="709"/>
      <c r="D603" s="709"/>
      <c r="E603" s="709"/>
      <c r="F603" s="709"/>
      <c r="G603" s="709"/>
      <c r="H603" s="709"/>
      <c r="I603" s="709"/>
      <c r="J603" s="709"/>
      <c r="K603" s="709"/>
      <c r="L603" s="709"/>
      <c r="M603" s="709"/>
      <c r="N603" s="709"/>
      <c r="O603" s="709"/>
      <c r="P603" s="709"/>
      <c r="Q603" s="709"/>
      <c r="R603" s="709"/>
      <c r="S603" s="709"/>
      <c r="T603" s="709"/>
      <c r="U603" s="709"/>
      <c r="V603" s="709"/>
      <c r="BH603" s="890"/>
      <c r="BI603" s="890"/>
      <c r="BJ603" s="890"/>
      <c r="BK603" s="890"/>
      <c r="BL603" s="890"/>
      <c r="BM603" s="890"/>
      <c r="BN603" s="890"/>
      <c r="BO603" s="890"/>
      <c r="BP603" s="890"/>
      <c r="BQ603" s="890"/>
      <c r="BR603" s="890"/>
      <c r="BS603" s="890"/>
      <c r="BT603" s="890"/>
      <c r="BU603" s="890"/>
      <c r="BV603" s="890"/>
      <c r="BW603" s="890"/>
    </row>
    <row r="604" spans="1:75">
      <c r="A604" s="709"/>
      <c r="B604" s="709"/>
      <c r="C604" s="709"/>
      <c r="D604" s="709"/>
      <c r="E604" s="709"/>
      <c r="F604" s="709"/>
      <c r="G604" s="709"/>
      <c r="H604" s="709"/>
      <c r="I604" s="709"/>
      <c r="J604" s="709"/>
      <c r="K604" s="709"/>
      <c r="L604" s="709"/>
      <c r="M604" s="709"/>
      <c r="N604" s="709"/>
      <c r="O604" s="709"/>
      <c r="P604" s="709"/>
      <c r="Q604" s="709"/>
      <c r="R604" s="709"/>
      <c r="S604" s="709"/>
      <c r="T604" s="709"/>
      <c r="U604" s="709"/>
      <c r="V604" s="709"/>
      <c r="BH604" s="890"/>
      <c r="BI604" s="890"/>
      <c r="BJ604" s="890"/>
      <c r="BK604" s="890"/>
      <c r="BL604" s="890"/>
      <c r="BM604" s="890"/>
      <c r="BN604" s="890"/>
      <c r="BO604" s="890"/>
      <c r="BP604" s="890"/>
      <c r="BQ604" s="890"/>
      <c r="BR604" s="890"/>
      <c r="BS604" s="890"/>
      <c r="BT604" s="890"/>
      <c r="BU604" s="890"/>
      <c r="BV604" s="890"/>
      <c r="BW604" s="890"/>
    </row>
    <row r="605" spans="1:75">
      <c r="A605" s="709"/>
      <c r="B605" s="709"/>
      <c r="C605" s="709"/>
      <c r="D605" s="709"/>
      <c r="E605" s="709"/>
      <c r="F605" s="709"/>
      <c r="G605" s="709"/>
      <c r="H605" s="709"/>
      <c r="I605" s="709"/>
      <c r="J605" s="709"/>
      <c r="K605" s="709"/>
      <c r="L605" s="709"/>
      <c r="M605" s="709"/>
      <c r="N605" s="709"/>
      <c r="O605" s="709"/>
      <c r="P605" s="709"/>
      <c r="Q605" s="709"/>
      <c r="R605" s="709"/>
      <c r="S605" s="709"/>
      <c r="T605" s="709"/>
      <c r="U605" s="709"/>
      <c r="V605" s="709"/>
      <c r="BH605" s="890"/>
      <c r="BI605" s="890"/>
      <c r="BJ605" s="890"/>
      <c r="BK605" s="890"/>
      <c r="BL605" s="890"/>
      <c r="BM605" s="890"/>
      <c r="BN605" s="890"/>
      <c r="BO605" s="890"/>
      <c r="BP605" s="890"/>
      <c r="BQ605" s="890"/>
      <c r="BR605" s="890"/>
      <c r="BS605" s="890"/>
      <c r="BT605" s="890"/>
      <c r="BU605" s="890"/>
      <c r="BV605" s="890"/>
      <c r="BW605" s="890"/>
    </row>
    <row r="606" spans="1:75">
      <c r="A606" s="709"/>
      <c r="B606" s="709"/>
      <c r="C606" s="709"/>
      <c r="D606" s="709"/>
      <c r="E606" s="709"/>
      <c r="F606" s="709"/>
      <c r="G606" s="709"/>
      <c r="H606" s="709"/>
      <c r="I606" s="709"/>
      <c r="J606" s="709"/>
      <c r="K606" s="709"/>
      <c r="L606" s="709"/>
      <c r="M606" s="709"/>
      <c r="N606" s="709"/>
      <c r="O606" s="709"/>
      <c r="P606" s="709"/>
      <c r="Q606" s="709"/>
      <c r="R606" s="709"/>
      <c r="S606" s="709"/>
      <c r="T606" s="709"/>
      <c r="U606" s="709"/>
      <c r="V606" s="709"/>
      <c r="BH606" s="890"/>
      <c r="BI606" s="890"/>
      <c r="BJ606" s="890"/>
      <c r="BK606" s="890"/>
      <c r="BL606" s="890"/>
      <c r="BM606" s="890"/>
      <c r="BN606" s="890"/>
      <c r="BO606" s="890"/>
      <c r="BP606" s="890"/>
      <c r="BQ606" s="890"/>
      <c r="BR606" s="890"/>
      <c r="BS606" s="890"/>
      <c r="BT606" s="890"/>
      <c r="BU606" s="890"/>
      <c r="BV606" s="890"/>
      <c r="BW606" s="890"/>
    </row>
    <row r="607" spans="1:75">
      <c r="A607" s="709"/>
      <c r="B607" s="709"/>
      <c r="C607" s="709"/>
      <c r="D607" s="709"/>
      <c r="E607" s="709"/>
      <c r="F607" s="709"/>
      <c r="G607" s="709"/>
      <c r="H607" s="709"/>
      <c r="I607" s="709"/>
      <c r="J607" s="709"/>
      <c r="K607" s="709"/>
      <c r="L607" s="709"/>
      <c r="M607" s="709"/>
      <c r="N607" s="709"/>
      <c r="O607" s="709"/>
      <c r="P607" s="709"/>
      <c r="Q607" s="709"/>
      <c r="R607" s="709"/>
      <c r="S607" s="709"/>
      <c r="T607" s="709"/>
      <c r="U607" s="709"/>
      <c r="V607" s="709"/>
      <c r="BH607" s="890"/>
      <c r="BI607" s="890"/>
      <c r="BJ607" s="890"/>
      <c r="BK607" s="890"/>
      <c r="BL607" s="890"/>
      <c r="BM607" s="890"/>
      <c r="BN607" s="890"/>
      <c r="BO607" s="890"/>
      <c r="BP607" s="890"/>
      <c r="BQ607" s="890"/>
      <c r="BR607" s="890"/>
      <c r="BS607" s="890"/>
      <c r="BT607" s="890"/>
      <c r="BU607" s="890"/>
      <c r="BV607" s="890"/>
      <c r="BW607" s="890"/>
    </row>
    <row r="608" spans="1:75">
      <c r="A608" s="709"/>
      <c r="B608" s="709"/>
      <c r="C608" s="709"/>
      <c r="D608" s="709"/>
      <c r="E608" s="709"/>
      <c r="F608" s="709"/>
      <c r="G608" s="709"/>
      <c r="H608" s="709"/>
      <c r="I608" s="709"/>
      <c r="J608" s="709"/>
      <c r="K608" s="709"/>
      <c r="L608" s="709"/>
      <c r="M608" s="709"/>
      <c r="N608" s="709"/>
      <c r="O608" s="709"/>
      <c r="P608" s="709"/>
      <c r="Q608" s="709"/>
      <c r="R608" s="709"/>
      <c r="S608" s="709"/>
      <c r="T608" s="709"/>
      <c r="U608" s="709"/>
      <c r="V608" s="709"/>
      <c r="BH608" s="890"/>
      <c r="BI608" s="890"/>
      <c r="BJ608" s="890"/>
      <c r="BK608" s="890"/>
      <c r="BL608" s="890"/>
      <c r="BM608" s="890"/>
      <c r="BN608" s="890"/>
      <c r="BO608" s="890"/>
      <c r="BP608" s="890"/>
      <c r="BQ608" s="890"/>
      <c r="BR608" s="890"/>
      <c r="BS608" s="890"/>
      <c r="BT608" s="890"/>
      <c r="BU608" s="890"/>
      <c r="BV608" s="890"/>
      <c r="BW608" s="890"/>
    </row>
    <row r="609" spans="1:75">
      <c r="A609" s="709"/>
      <c r="B609" s="709"/>
      <c r="C609" s="709"/>
      <c r="D609" s="709"/>
      <c r="E609" s="709"/>
      <c r="F609" s="709"/>
      <c r="G609" s="709"/>
      <c r="H609" s="709"/>
      <c r="I609" s="709"/>
      <c r="J609" s="709"/>
      <c r="K609" s="709"/>
      <c r="L609" s="709"/>
      <c r="M609" s="709"/>
      <c r="N609" s="709"/>
      <c r="O609" s="709"/>
      <c r="P609" s="709"/>
      <c r="Q609" s="709"/>
      <c r="R609" s="709"/>
      <c r="S609" s="709"/>
      <c r="T609" s="709"/>
      <c r="U609" s="709"/>
      <c r="V609" s="709"/>
      <c r="BH609" s="890"/>
      <c r="BI609" s="890"/>
      <c r="BJ609" s="890"/>
      <c r="BK609" s="890"/>
      <c r="BL609" s="890"/>
      <c r="BM609" s="890"/>
      <c r="BN609" s="890"/>
      <c r="BO609" s="890"/>
      <c r="BP609" s="890"/>
      <c r="BQ609" s="890"/>
      <c r="BR609" s="890"/>
      <c r="BS609" s="890"/>
      <c r="BT609" s="890"/>
      <c r="BU609" s="890"/>
      <c r="BV609" s="890"/>
      <c r="BW609" s="890"/>
    </row>
    <row r="610" spans="1:75">
      <c r="A610" s="709"/>
      <c r="B610" s="709"/>
      <c r="C610" s="709"/>
      <c r="D610" s="709"/>
      <c r="E610" s="709"/>
      <c r="F610" s="709"/>
      <c r="G610" s="709"/>
      <c r="H610" s="709"/>
      <c r="I610" s="709"/>
      <c r="J610" s="709"/>
      <c r="K610" s="709"/>
      <c r="L610" s="709"/>
      <c r="M610" s="709"/>
      <c r="N610" s="709"/>
      <c r="O610" s="709"/>
      <c r="P610" s="709"/>
      <c r="Q610" s="709"/>
      <c r="R610" s="709"/>
      <c r="S610" s="709"/>
      <c r="T610" s="709"/>
      <c r="U610" s="709"/>
      <c r="V610" s="709"/>
      <c r="BH610" s="890"/>
      <c r="BI610" s="890"/>
      <c r="BJ610" s="890"/>
      <c r="BK610" s="890"/>
      <c r="BL610" s="890"/>
      <c r="BM610" s="890"/>
      <c r="BN610" s="890"/>
      <c r="BO610" s="890"/>
      <c r="BP610" s="890"/>
      <c r="BQ610" s="890"/>
      <c r="BR610" s="890"/>
      <c r="BS610" s="890"/>
      <c r="BT610" s="890"/>
      <c r="BU610" s="890"/>
      <c r="BV610" s="890"/>
      <c r="BW610" s="890"/>
    </row>
    <row r="611" spans="1:75">
      <c r="A611" s="709"/>
      <c r="B611" s="709"/>
      <c r="C611" s="709"/>
      <c r="D611" s="709"/>
      <c r="E611" s="709"/>
      <c r="F611" s="709"/>
      <c r="G611" s="709"/>
      <c r="H611" s="709"/>
      <c r="I611" s="709"/>
      <c r="J611" s="709"/>
      <c r="K611" s="709"/>
      <c r="L611" s="709"/>
      <c r="M611" s="709"/>
      <c r="N611" s="709"/>
      <c r="O611" s="709"/>
      <c r="P611" s="709"/>
      <c r="Q611" s="709"/>
      <c r="R611" s="709"/>
      <c r="S611" s="709"/>
      <c r="T611" s="709"/>
      <c r="U611" s="709"/>
      <c r="V611" s="709"/>
      <c r="BH611" s="890"/>
      <c r="BI611" s="890"/>
      <c r="BJ611" s="890"/>
      <c r="BK611" s="890"/>
      <c r="BL611" s="890"/>
      <c r="BM611" s="890"/>
      <c r="BN611" s="890"/>
      <c r="BO611" s="890"/>
      <c r="BP611" s="890"/>
      <c r="BQ611" s="890"/>
      <c r="BR611" s="890"/>
      <c r="BS611" s="890"/>
      <c r="BT611" s="890"/>
      <c r="BU611" s="890"/>
      <c r="BV611" s="890"/>
      <c r="BW611" s="890"/>
    </row>
    <row r="612" spans="1:75">
      <c r="A612" s="709"/>
      <c r="B612" s="709"/>
      <c r="C612" s="709"/>
      <c r="D612" s="709"/>
      <c r="E612" s="709"/>
      <c r="F612" s="709"/>
      <c r="G612" s="709"/>
      <c r="H612" s="709"/>
      <c r="I612" s="709"/>
      <c r="J612" s="709"/>
      <c r="K612" s="709"/>
      <c r="L612" s="709"/>
      <c r="M612" s="709"/>
      <c r="N612" s="709"/>
      <c r="O612" s="709"/>
      <c r="P612" s="709"/>
      <c r="Q612" s="709"/>
      <c r="R612" s="709"/>
      <c r="S612" s="709"/>
      <c r="T612" s="709"/>
      <c r="U612" s="709"/>
      <c r="V612" s="709"/>
      <c r="BH612" s="890"/>
      <c r="BI612" s="890"/>
      <c r="BJ612" s="890"/>
      <c r="BK612" s="890"/>
      <c r="BL612" s="890"/>
      <c r="BM612" s="890"/>
      <c r="BN612" s="890"/>
      <c r="BO612" s="890"/>
      <c r="BP612" s="890"/>
      <c r="BQ612" s="890"/>
      <c r="BR612" s="890"/>
      <c r="BS612" s="890"/>
      <c r="BT612" s="890"/>
      <c r="BU612" s="890"/>
      <c r="BV612" s="890"/>
      <c r="BW612" s="890"/>
    </row>
    <row r="613" spans="1:75">
      <c r="A613" s="709"/>
      <c r="B613" s="709"/>
      <c r="C613" s="709"/>
      <c r="D613" s="709"/>
      <c r="E613" s="709"/>
      <c r="F613" s="709"/>
      <c r="G613" s="709"/>
      <c r="H613" s="709"/>
      <c r="I613" s="709"/>
      <c r="J613" s="709"/>
      <c r="K613" s="709"/>
      <c r="L613" s="709"/>
      <c r="M613" s="709"/>
      <c r="N613" s="709"/>
      <c r="O613" s="709"/>
      <c r="P613" s="709"/>
      <c r="Q613" s="709"/>
      <c r="R613" s="709"/>
      <c r="S613" s="709"/>
      <c r="T613" s="709"/>
      <c r="U613" s="709"/>
      <c r="V613" s="709"/>
      <c r="BH613" s="890"/>
      <c r="BI613" s="890"/>
      <c r="BJ613" s="890"/>
      <c r="BK613" s="890"/>
      <c r="BL613" s="890"/>
      <c r="BM613" s="890"/>
      <c r="BN613" s="890"/>
      <c r="BO613" s="890"/>
      <c r="BP613" s="890"/>
      <c r="BQ613" s="890"/>
      <c r="BR613" s="890"/>
      <c r="BS613" s="890"/>
      <c r="BT613" s="890"/>
      <c r="BU613" s="890"/>
      <c r="BV613" s="890"/>
      <c r="BW613" s="890"/>
    </row>
    <row r="614" spans="1:75">
      <c r="A614" s="709"/>
      <c r="B614" s="709"/>
      <c r="C614" s="709"/>
      <c r="D614" s="709"/>
      <c r="E614" s="709"/>
      <c r="F614" s="709"/>
      <c r="G614" s="709"/>
      <c r="H614" s="709"/>
      <c r="I614" s="709"/>
      <c r="J614" s="709"/>
      <c r="K614" s="709"/>
      <c r="L614" s="709"/>
      <c r="M614" s="709"/>
      <c r="N614" s="709"/>
      <c r="O614" s="709"/>
      <c r="P614" s="709"/>
      <c r="Q614" s="709"/>
      <c r="R614" s="709"/>
      <c r="S614" s="709"/>
      <c r="T614" s="709"/>
      <c r="U614" s="709"/>
      <c r="V614" s="709"/>
      <c r="BH614" s="890"/>
      <c r="BI614" s="890"/>
      <c r="BJ614" s="890"/>
      <c r="BK614" s="890"/>
      <c r="BL614" s="890"/>
      <c r="BM614" s="890"/>
      <c r="BN614" s="890"/>
      <c r="BO614" s="890"/>
      <c r="BP614" s="890"/>
      <c r="BQ614" s="890"/>
      <c r="BR614" s="890"/>
      <c r="BS614" s="890"/>
      <c r="BT614" s="890"/>
      <c r="BU614" s="890"/>
      <c r="BV614" s="890"/>
      <c r="BW614" s="890"/>
    </row>
    <row r="615" spans="1:75">
      <c r="A615" s="709"/>
      <c r="B615" s="709"/>
      <c r="C615" s="709"/>
      <c r="D615" s="709"/>
      <c r="E615" s="709"/>
      <c r="F615" s="709"/>
      <c r="G615" s="709"/>
      <c r="H615" s="709"/>
      <c r="I615" s="709"/>
      <c r="J615" s="709"/>
      <c r="K615" s="709"/>
      <c r="L615" s="709"/>
      <c r="M615" s="709"/>
      <c r="N615" s="709"/>
      <c r="O615" s="709"/>
      <c r="P615" s="709"/>
      <c r="Q615" s="709"/>
      <c r="R615" s="709"/>
      <c r="S615" s="709"/>
      <c r="T615" s="709"/>
      <c r="U615" s="709"/>
      <c r="V615" s="709"/>
      <c r="BH615" s="890"/>
      <c r="BI615" s="890"/>
      <c r="BJ615" s="890"/>
      <c r="BK615" s="890"/>
      <c r="BL615" s="890"/>
      <c r="BM615" s="890"/>
      <c r="BN615" s="890"/>
      <c r="BO615" s="890"/>
      <c r="BP615" s="890"/>
      <c r="BQ615" s="890"/>
      <c r="BR615" s="890"/>
      <c r="BS615" s="890"/>
      <c r="BT615" s="890"/>
      <c r="BU615" s="890"/>
      <c r="BV615" s="890"/>
      <c r="BW615" s="890"/>
    </row>
    <row r="616" spans="1:75">
      <c r="A616" s="709"/>
      <c r="B616" s="709"/>
      <c r="C616" s="709"/>
      <c r="D616" s="709"/>
      <c r="E616" s="709"/>
      <c r="F616" s="709"/>
      <c r="G616" s="709"/>
      <c r="H616" s="709"/>
      <c r="I616" s="709"/>
      <c r="J616" s="709"/>
      <c r="K616" s="709"/>
      <c r="L616" s="709"/>
      <c r="M616" s="709"/>
      <c r="N616" s="709"/>
      <c r="O616" s="709"/>
      <c r="P616" s="709"/>
      <c r="Q616" s="709"/>
      <c r="R616" s="709"/>
      <c r="S616" s="709"/>
      <c r="T616" s="709"/>
      <c r="U616" s="709"/>
      <c r="V616" s="709"/>
      <c r="BH616" s="890"/>
      <c r="BI616" s="890"/>
      <c r="BJ616" s="890"/>
      <c r="BK616" s="890"/>
      <c r="BL616" s="890"/>
      <c r="BM616" s="890"/>
      <c r="BN616" s="890"/>
      <c r="BO616" s="890"/>
      <c r="BP616" s="890"/>
      <c r="BQ616" s="890"/>
      <c r="BR616" s="890"/>
      <c r="BS616" s="890"/>
      <c r="BT616" s="890"/>
      <c r="BU616" s="890"/>
      <c r="BV616" s="890"/>
      <c r="BW616" s="890"/>
    </row>
    <row r="617" spans="1:75">
      <c r="A617" s="709"/>
      <c r="B617" s="709"/>
      <c r="C617" s="709"/>
      <c r="D617" s="709"/>
      <c r="E617" s="709"/>
      <c r="F617" s="709"/>
      <c r="G617" s="709"/>
      <c r="H617" s="709"/>
      <c r="I617" s="709"/>
      <c r="J617" s="709"/>
      <c r="K617" s="709"/>
      <c r="L617" s="709"/>
      <c r="M617" s="709"/>
      <c r="N617" s="709"/>
      <c r="O617" s="709"/>
      <c r="P617" s="709"/>
      <c r="Q617" s="709"/>
      <c r="R617" s="709"/>
      <c r="S617" s="709"/>
      <c r="T617" s="709"/>
      <c r="U617" s="709"/>
      <c r="V617" s="709"/>
      <c r="BH617" s="890"/>
      <c r="BI617" s="890"/>
      <c r="BJ617" s="890"/>
      <c r="BK617" s="890"/>
      <c r="BL617" s="890"/>
      <c r="BM617" s="890"/>
      <c r="BN617" s="890"/>
      <c r="BO617" s="890"/>
      <c r="BP617" s="890"/>
      <c r="BQ617" s="890"/>
      <c r="BR617" s="890"/>
      <c r="BS617" s="890"/>
      <c r="BT617" s="890"/>
      <c r="BU617" s="890"/>
      <c r="BV617" s="890"/>
      <c r="BW617" s="890"/>
    </row>
    <row r="618" spans="1:75">
      <c r="A618" s="709"/>
      <c r="B618" s="709"/>
      <c r="C618" s="709"/>
      <c r="D618" s="709"/>
      <c r="E618" s="709"/>
      <c r="F618" s="709"/>
      <c r="G618" s="709"/>
      <c r="H618" s="709"/>
      <c r="I618" s="709"/>
      <c r="J618" s="709"/>
      <c r="K618" s="709"/>
      <c r="L618" s="709"/>
      <c r="M618" s="709"/>
      <c r="N618" s="709"/>
      <c r="O618" s="709"/>
      <c r="P618" s="709"/>
      <c r="Q618" s="709"/>
      <c r="R618" s="709"/>
      <c r="S618" s="709"/>
      <c r="T618" s="709"/>
      <c r="U618" s="709"/>
      <c r="V618" s="709"/>
      <c r="BH618" s="890"/>
      <c r="BI618" s="890"/>
      <c r="BJ618" s="890"/>
      <c r="BK618" s="890"/>
      <c r="BL618" s="890"/>
      <c r="BM618" s="890"/>
      <c r="BN618" s="890"/>
      <c r="BO618" s="890"/>
      <c r="BP618" s="890"/>
      <c r="BQ618" s="890"/>
      <c r="BR618" s="890"/>
      <c r="BS618" s="890"/>
      <c r="BT618" s="890"/>
      <c r="BU618" s="890"/>
      <c r="BV618" s="890"/>
      <c r="BW618" s="890"/>
    </row>
    <row r="619" spans="1:75">
      <c r="A619" s="709"/>
      <c r="B619" s="709"/>
      <c r="C619" s="709"/>
      <c r="D619" s="709"/>
      <c r="E619" s="709"/>
      <c r="F619" s="709"/>
      <c r="G619" s="709"/>
      <c r="H619" s="709"/>
      <c r="I619" s="709"/>
      <c r="J619" s="709"/>
      <c r="K619" s="709"/>
      <c r="L619" s="709"/>
      <c r="M619" s="709"/>
      <c r="N619" s="709"/>
      <c r="O619" s="709"/>
      <c r="P619" s="709"/>
      <c r="Q619" s="709"/>
      <c r="R619" s="709"/>
      <c r="S619" s="709"/>
      <c r="T619" s="709"/>
      <c r="U619" s="709"/>
      <c r="V619" s="709"/>
      <c r="BH619" s="890"/>
      <c r="BI619" s="890"/>
      <c r="BJ619" s="890"/>
      <c r="BK619" s="890"/>
      <c r="BL619" s="890"/>
      <c r="BM619" s="890"/>
      <c r="BN619" s="890"/>
      <c r="BO619" s="890"/>
      <c r="BP619" s="890"/>
      <c r="BQ619" s="890"/>
      <c r="BR619" s="890"/>
      <c r="BS619" s="890"/>
      <c r="BT619" s="890"/>
      <c r="BU619" s="890"/>
      <c r="BV619" s="890"/>
      <c r="BW619" s="890"/>
    </row>
    <row r="620" spans="1:75">
      <c r="A620" s="709"/>
      <c r="B620" s="709"/>
      <c r="C620" s="709"/>
      <c r="D620" s="709"/>
      <c r="E620" s="709"/>
      <c r="F620" s="709"/>
      <c r="G620" s="709"/>
      <c r="H620" s="709"/>
      <c r="I620" s="709"/>
      <c r="J620" s="709"/>
      <c r="K620" s="709"/>
      <c r="L620" s="709"/>
      <c r="M620" s="709"/>
      <c r="N620" s="709"/>
      <c r="O620" s="709"/>
      <c r="P620" s="709"/>
      <c r="Q620" s="709"/>
      <c r="R620" s="709"/>
      <c r="S620" s="709"/>
      <c r="T620" s="709"/>
      <c r="U620" s="709"/>
      <c r="V620" s="709"/>
      <c r="BH620" s="890"/>
      <c r="BI620" s="890"/>
      <c r="BJ620" s="890"/>
      <c r="BK620" s="890"/>
      <c r="BL620" s="890"/>
      <c r="BM620" s="890"/>
      <c r="BN620" s="890"/>
      <c r="BO620" s="890"/>
      <c r="BP620" s="890"/>
      <c r="BQ620" s="890"/>
      <c r="BR620" s="890"/>
      <c r="BS620" s="890"/>
      <c r="BT620" s="890"/>
      <c r="BU620" s="890"/>
      <c r="BV620" s="890"/>
      <c r="BW620" s="890"/>
    </row>
    <row r="621" spans="1:75">
      <c r="A621" s="709"/>
      <c r="B621" s="709"/>
      <c r="C621" s="709"/>
      <c r="D621" s="709"/>
      <c r="E621" s="709"/>
      <c r="F621" s="709"/>
      <c r="G621" s="709"/>
      <c r="H621" s="709"/>
      <c r="I621" s="709"/>
      <c r="J621" s="709"/>
      <c r="K621" s="709"/>
      <c r="L621" s="709"/>
      <c r="M621" s="709"/>
      <c r="N621" s="709"/>
      <c r="O621" s="709"/>
      <c r="P621" s="709"/>
      <c r="Q621" s="709"/>
      <c r="R621" s="709"/>
      <c r="S621" s="709"/>
      <c r="T621" s="709"/>
      <c r="U621" s="709"/>
      <c r="V621" s="709"/>
      <c r="BH621" s="890"/>
      <c r="BI621" s="890"/>
      <c r="BJ621" s="890"/>
      <c r="BK621" s="890"/>
      <c r="BL621" s="890"/>
      <c r="BM621" s="890"/>
      <c r="BN621" s="890"/>
      <c r="BO621" s="890"/>
      <c r="BP621" s="890"/>
      <c r="BQ621" s="890"/>
      <c r="BR621" s="890"/>
      <c r="BS621" s="890"/>
      <c r="BT621" s="890"/>
      <c r="BU621" s="890"/>
      <c r="BV621" s="890"/>
      <c r="BW621" s="890"/>
    </row>
    <row r="622" spans="1:75">
      <c r="A622" s="709"/>
      <c r="B622" s="709"/>
      <c r="C622" s="709"/>
      <c r="D622" s="709"/>
      <c r="E622" s="709"/>
      <c r="F622" s="709"/>
      <c r="G622" s="709"/>
      <c r="H622" s="709"/>
      <c r="I622" s="709"/>
      <c r="J622" s="709"/>
      <c r="K622" s="709"/>
      <c r="L622" s="709"/>
      <c r="M622" s="709"/>
      <c r="N622" s="709"/>
      <c r="O622" s="709"/>
      <c r="P622" s="709"/>
      <c r="Q622" s="709"/>
      <c r="R622" s="709"/>
      <c r="S622" s="709"/>
      <c r="T622" s="709"/>
      <c r="U622" s="709"/>
      <c r="V622" s="709"/>
      <c r="BH622" s="890"/>
      <c r="BI622" s="890"/>
      <c r="BJ622" s="890"/>
      <c r="BK622" s="890"/>
      <c r="BL622" s="890"/>
      <c r="BM622" s="890"/>
      <c r="BN622" s="890"/>
      <c r="BO622" s="890"/>
      <c r="BP622" s="890"/>
      <c r="BQ622" s="890"/>
      <c r="BR622" s="890"/>
      <c r="BS622" s="890"/>
      <c r="BT622" s="890"/>
      <c r="BU622" s="890"/>
      <c r="BV622" s="890"/>
      <c r="BW622" s="890"/>
    </row>
    <row r="623" spans="1:75">
      <c r="A623" s="709"/>
      <c r="B623" s="709"/>
      <c r="C623" s="709"/>
      <c r="D623" s="709"/>
      <c r="E623" s="709"/>
      <c r="F623" s="709"/>
      <c r="G623" s="709"/>
      <c r="H623" s="709"/>
      <c r="I623" s="709"/>
      <c r="J623" s="709"/>
      <c r="K623" s="709"/>
      <c r="L623" s="709"/>
      <c r="M623" s="709"/>
      <c r="N623" s="709"/>
      <c r="O623" s="709"/>
      <c r="P623" s="709"/>
      <c r="Q623" s="709"/>
      <c r="R623" s="709"/>
      <c r="S623" s="709"/>
      <c r="T623" s="709"/>
      <c r="U623" s="709"/>
      <c r="V623" s="709"/>
      <c r="BH623" s="890"/>
      <c r="BI623" s="890"/>
      <c r="BJ623" s="890"/>
      <c r="BK623" s="890"/>
      <c r="BL623" s="890"/>
      <c r="BM623" s="890"/>
      <c r="BN623" s="890"/>
      <c r="BO623" s="890"/>
      <c r="BP623" s="890"/>
      <c r="BQ623" s="890"/>
      <c r="BR623" s="890"/>
      <c r="BS623" s="890"/>
      <c r="BT623" s="890"/>
      <c r="BU623" s="890"/>
      <c r="BV623" s="890"/>
      <c r="BW623" s="890"/>
    </row>
    <row r="624" spans="1:75">
      <c r="A624" s="709"/>
      <c r="B624" s="709"/>
      <c r="C624" s="709"/>
      <c r="D624" s="709"/>
      <c r="E624" s="709"/>
      <c r="F624" s="709"/>
      <c r="G624" s="709"/>
      <c r="H624" s="709"/>
      <c r="I624" s="709"/>
      <c r="J624" s="709"/>
      <c r="K624" s="709"/>
      <c r="L624" s="709"/>
      <c r="M624" s="709"/>
      <c r="N624" s="709"/>
      <c r="O624" s="709"/>
      <c r="P624" s="709"/>
      <c r="Q624" s="709"/>
      <c r="R624" s="709"/>
      <c r="S624" s="709"/>
      <c r="T624" s="709"/>
      <c r="U624" s="709"/>
      <c r="V624" s="709"/>
      <c r="BH624" s="890"/>
      <c r="BI624" s="890"/>
      <c r="BJ624" s="890"/>
      <c r="BK624" s="890"/>
      <c r="BL624" s="890"/>
      <c r="BM624" s="890"/>
      <c r="BN624" s="890"/>
      <c r="BO624" s="890"/>
      <c r="BP624" s="890"/>
      <c r="BQ624" s="890"/>
      <c r="BR624" s="890"/>
      <c r="BS624" s="890"/>
      <c r="BT624" s="890"/>
      <c r="BU624" s="890"/>
      <c r="BV624" s="890"/>
      <c r="BW624" s="890"/>
    </row>
    <row r="625" spans="1:75">
      <c r="A625" s="709"/>
      <c r="B625" s="709"/>
      <c r="C625" s="709"/>
      <c r="D625" s="709"/>
      <c r="E625" s="709"/>
      <c r="F625" s="709"/>
      <c r="G625" s="709"/>
      <c r="H625" s="709"/>
      <c r="I625" s="709"/>
      <c r="J625" s="709"/>
      <c r="K625" s="709"/>
      <c r="L625" s="709"/>
      <c r="M625" s="709"/>
      <c r="N625" s="709"/>
      <c r="O625" s="709"/>
      <c r="P625" s="709"/>
      <c r="Q625" s="709"/>
      <c r="R625" s="709"/>
      <c r="S625" s="709"/>
      <c r="T625" s="709"/>
      <c r="U625" s="709"/>
      <c r="V625" s="709"/>
      <c r="BH625" s="890"/>
      <c r="BI625" s="890"/>
      <c r="BJ625" s="890"/>
      <c r="BK625" s="890"/>
      <c r="BL625" s="890"/>
      <c r="BM625" s="890"/>
      <c r="BN625" s="890"/>
      <c r="BO625" s="890"/>
      <c r="BP625" s="890"/>
      <c r="BQ625" s="890"/>
      <c r="BR625" s="890"/>
      <c r="BS625" s="890"/>
      <c r="BT625" s="890"/>
      <c r="BU625" s="890"/>
      <c r="BV625" s="890"/>
      <c r="BW625" s="890"/>
    </row>
    <row r="626" spans="1:75">
      <c r="A626" s="709"/>
      <c r="B626" s="709"/>
      <c r="C626" s="709"/>
      <c r="D626" s="709"/>
      <c r="E626" s="709"/>
      <c r="F626" s="709"/>
      <c r="G626" s="709"/>
      <c r="H626" s="709"/>
      <c r="I626" s="709"/>
      <c r="J626" s="709"/>
      <c r="K626" s="709"/>
      <c r="L626" s="709"/>
      <c r="M626" s="709"/>
      <c r="N626" s="709"/>
      <c r="O626" s="709"/>
      <c r="P626" s="709"/>
      <c r="Q626" s="709"/>
      <c r="R626" s="709"/>
      <c r="S626" s="709"/>
      <c r="T626" s="709"/>
      <c r="U626" s="709"/>
      <c r="V626" s="709"/>
      <c r="BH626" s="890"/>
      <c r="BI626" s="890"/>
      <c r="BJ626" s="890"/>
      <c r="BK626" s="890"/>
      <c r="BL626" s="890"/>
      <c r="BM626" s="890"/>
      <c r="BN626" s="890"/>
      <c r="BO626" s="890"/>
      <c r="BP626" s="890"/>
      <c r="BQ626" s="890"/>
      <c r="BR626" s="890"/>
      <c r="BS626" s="890"/>
      <c r="BT626" s="890"/>
      <c r="BU626" s="890"/>
      <c r="BV626" s="890"/>
      <c r="BW626" s="890"/>
    </row>
    <row r="627" spans="1:75">
      <c r="A627" s="709"/>
      <c r="B627" s="709"/>
      <c r="C627" s="709"/>
      <c r="D627" s="709"/>
      <c r="E627" s="709"/>
      <c r="F627" s="709"/>
      <c r="G627" s="709"/>
      <c r="H627" s="709"/>
      <c r="I627" s="709"/>
      <c r="J627" s="709"/>
      <c r="K627" s="709"/>
      <c r="L627" s="709"/>
      <c r="M627" s="709"/>
      <c r="N627" s="709"/>
      <c r="O627" s="709"/>
      <c r="P627" s="709"/>
      <c r="Q627" s="709"/>
      <c r="R627" s="709"/>
      <c r="S627" s="709"/>
      <c r="T627" s="709"/>
      <c r="U627" s="709"/>
      <c r="V627" s="709"/>
      <c r="BH627" s="890"/>
      <c r="BI627" s="890"/>
      <c r="BJ627" s="890"/>
      <c r="BK627" s="890"/>
      <c r="BL627" s="890"/>
      <c r="BM627" s="890"/>
      <c r="BN627" s="890"/>
      <c r="BO627" s="890"/>
      <c r="BP627" s="890"/>
      <c r="BQ627" s="890"/>
      <c r="BR627" s="890"/>
      <c r="BS627" s="890"/>
      <c r="BT627" s="890"/>
      <c r="BU627" s="890"/>
      <c r="BV627" s="890"/>
      <c r="BW627" s="890"/>
    </row>
    <row r="628" spans="1:75">
      <c r="A628" s="709"/>
      <c r="B628" s="709"/>
      <c r="C628" s="709"/>
      <c r="D628" s="709"/>
      <c r="E628" s="709"/>
      <c r="F628" s="709"/>
      <c r="G628" s="709"/>
      <c r="H628" s="709"/>
      <c r="I628" s="709"/>
      <c r="J628" s="709"/>
      <c r="K628" s="709"/>
      <c r="L628" s="709"/>
      <c r="M628" s="709"/>
      <c r="N628" s="709"/>
      <c r="O628" s="709"/>
      <c r="P628" s="709"/>
      <c r="Q628" s="709"/>
      <c r="R628" s="709"/>
      <c r="S628" s="709"/>
      <c r="T628" s="709"/>
      <c r="U628" s="709"/>
      <c r="V628" s="709"/>
      <c r="BH628" s="890"/>
      <c r="BI628" s="890"/>
      <c r="BJ628" s="890"/>
      <c r="BK628" s="890"/>
      <c r="BL628" s="890"/>
      <c r="BM628" s="890"/>
      <c r="BN628" s="890"/>
      <c r="BO628" s="890"/>
      <c r="BP628" s="890"/>
      <c r="BQ628" s="890"/>
      <c r="BR628" s="890"/>
      <c r="BS628" s="890"/>
      <c r="BT628" s="890"/>
      <c r="BU628" s="890"/>
      <c r="BV628" s="890"/>
      <c r="BW628" s="890"/>
    </row>
    <row r="629" spans="1:75">
      <c r="A629" s="709"/>
      <c r="B629" s="709"/>
      <c r="C629" s="709"/>
      <c r="D629" s="709"/>
      <c r="E629" s="709"/>
      <c r="F629" s="709"/>
      <c r="G629" s="709"/>
      <c r="H629" s="709"/>
      <c r="I629" s="709"/>
      <c r="J629" s="709"/>
      <c r="K629" s="709"/>
      <c r="L629" s="709"/>
      <c r="M629" s="709"/>
      <c r="N629" s="709"/>
      <c r="O629" s="709"/>
      <c r="P629" s="709"/>
      <c r="Q629" s="709"/>
      <c r="R629" s="709"/>
      <c r="S629" s="709"/>
      <c r="T629" s="709"/>
      <c r="U629" s="709"/>
      <c r="V629" s="709"/>
      <c r="BH629" s="890"/>
      <c r="BI629" s="890"/>
      <c r="BJ629" s="890"/>
      <c r="BK629" s="890"/>
      <c r="BL629" s="890"/>
      <c r="BM629" s="890"/>
      <c r="BN629" s="890"/>
      <c r="BO629" s="890"/>
      <c r="BP629" s="890"/>
      <c r="BQ629" s="890"/>
      <c r="BR629" s="890"/>
      <c r="BS629" s="890"/>
      <c r="BT629" s="890"/>
      <c r="BU629" s="890"/>
      <c r="BV629" s="890"/>
      <c r="BW629" s="890"/>
    </row>
    <row r="630" spans="1:75">
      <c r="A630" s="709"/>
      <c r="B630" s="709"/>
      <c r="C630" s="709"/>
      <c r="D630" s="709"/>
      <c r="E630" s="709"/>
      <c r="F630" s="709"/>
      <c r="G630" s="709"/>
      <c r="H630" s="709"/>
      <c r="I630" s="709"/>
      <c r="J630" s="709"/>
      <c r="K630" s="709"/>
      <c r="L630" s="709"/>
      <c r="M630" s="709"/>
      <c r="N630" s="709"/>
      <c r="O630" s="709"/>
      <c r="P630" s="709"/>
      <c r="Q630" s="709"/>
      <c r="R630" s="709"/>
      <c r="S630" s="709"/>
      <c r="T630" s="709"/>
      <c r="U630" s="709"/>
      <c r="V630" s="709"/>
      <c r="BH630" s="890"/>
      <c r="BI630" s="890"/>
      <c r="BJ630" s="890"/>
      <c r="BK630" s="890"/>
      <c r="BL630" s="890"/>
      <c r="BM630" s="890"/>
      <c r="BN630" s="890"/>
      <c r="BO630" s="890"/>
      <c r="BP630" s="890"/>
      <c r="BQ630" s="890"/>
      <c r="BR630" s="890"/>
      <c r="BS630" s="890"/>
      <c r="BT630" s="890"/>
      <c r="BU630" s="890"/>
      <c r="BV630" s="890"/>
      <c r="BW630" s="890"/>
    </row>
    <row r="631" spans="1:75">
      <c r="A631" s="709"/>
      <c r="B631" s="709"/>
      <c r="C631" s="709"/>
      <c r="D631" s="709"/>
      <c r="E631" s="709"/>
      <c r="F631" s="709"/>
      <c r="G631" s="709"/>
      <c r="H631" s="709"/>
      <c r="I631" s="709"/>
      <c r="J631" s="709"/>
      <c r="K631" s="709"/>
      <c r="L631" s="709"/>
      <c r="M631" s="709"/>
      <c r="N631" s="709"/>
      <c r="O631" s="709"/>
      <c r="P631" s="709"/>
      <c r="Q631" s="709"/>
      <c r="R631" s="709"/>
      <c r="S631" s="709"/>
      <c r="T631" s="709"/>
      <c r="U631" s="709"/>
      <c r="V631" s="709"/>
      <c r="BH631" s="890"/>
      <c r="BI631" s="890"/>
      <c r="BJ631" s="890"/>
      <c r="BK631" s="890"/>
      <c r="BL631" s="890"/>
      <c r="BM631" s="890"/>
      <c r="BN631" s="890"/>
      <c r="BO631" s="890"/>
      <c r="BP631" s="890"/>
      <c r="BQ631" s="890"/>
      <c r="BR631" s="890"/>
      <c r="BS631" s="890"/>
      <c r="BT631" s="890"/>
      <c r="BU631" s="890"/>
      <c r="BV631" s="890"/>
      <c r="BW631" s="890"/>
    </row>
    <row r="632" spans="1:75">
      <c r="A632" s="709"/>
      <c r="B632" s="709"/>
      <c r="C632" s="709"/>
      <c r="D632" s="709"/>
      <c r="E632" s="709"/>
      <c r="F632" s="709"/>
      <c r="G632" s="709"/>
      <c r="H632" s="709"/>
      <c r="I632" s="709"/>
      <c r="J632" s="709"/>
      <c r="K632" s="709"/>
      <c r="L632" s="709"/>
      <c r="M632" s="709"/>
      <c r="N632" s="709"/>
      <c r="O632" s="709"/>
      <c r="P632" s="709"/>
      <c r="Q632" s="709"/>
      <c r="R632" s="709"/>
      <c r="S632" s="709"/>
      <c r="T632" s="709"/>
      <c r="U632" s="709"/>
      <c r="V632" s="709"/>
      <c r="BH632" s="890"/>
      <c r="BI632" s="890"/>
      <c r="BJ632" s="890"/>
      <c r="BK632" s="890"/>
      <c r="BL632" s="890"/>
      <c r="BM632" s="890"/>
      <c r="BN632" s="890"/>
      <c r="BO632" s="890"/>
      <c r="BP632" s="890"/>
      <c r="BQ632" s="890"/>
      <c r="BR632" s="890"/>
      <c r="BS632" s="890"/>
      <c r="BT632" s="890"/>
      <c r="BU632" s="890"/>
      <c r="BV632" s="890"/>
      <c r="BW632" s="890"/>
    </row>
    <row r="633" spans="1:75">
      <c r="A633" s="709"/>
      <c r="B633" s="709"/>
      <c r="C633" s="709"/>
      <c r="D633" s="709"/>
      <c r="E633" s="709"/>
      <c r="F633" s="709"/>
      <c r="G633" s="709"/>
      <c r="H633" s="709"/>
      <c r="I633" s="709"/>
      <c r="J633" s="709"/>
      <c r="K633" s="709"/>
      <c r="L633" s="709"/>
      <c r="M633" s="709"/>
      <c r="N633" s="709"/>
      <c r="O633" s="709"/>
      <c r="P633" s="709"/>
      <c r="Q633" s="709"/>
      <c r="R633" s="709"/>
      <c r="S633" s="709"/>
      <c r="T633" s="709"/>
      <c r="U633" s="709"/>
      <c r="V633" s="709"/>
      <c r="BH633" s="890"/>
      <c r="BI633" s="890"/>
      <c r="BJ633" s="890"/>
      <c r="BK633" s="890"/>
      <c r="BL633" s="890"/>
      <c r="BM633" s="890"/>
      <c r="BN633" s="890"/>
      <c r="BO633" s="890"/>
      <c r="BP633" s="890"/>
      <c r="BQ633" s="890"/>
      <c r="BR633" s="890"/>
      <c r="BS633" s="890"/>
      <c r="BT633" s="890"/>
      <c r="BU633" s="890"/>
      <c r="BV633" s="890"/>
      <c r="BW633" s="890"/>
    </row>
    <row r="634" spans="1:75">
      <c r="A634" s="709"/>
      <c r="B634" s="709"/>
      <c r="C634" s="709"/>
      <c r="D634" s="709"/>
      <c r="E634" s="709"/>
      <c r="F634" s="709"/>
      <c r="G634" s="709"/>
      <c r="H634" s="709"/>
      <c r="I634" s="709"/>
      <c r="J634" s="709"/>
      <c r="K634" s="709"/>
      <c r="L634" s="709"/>
      <c r="M634" s="709"/>
      <c r="N634" s="709"/>
      <c r="O634" s="709"/>
      <c r="P634" s="709"/>
      <c r="Q634" s="709"/>
      <c r="R634" s="709"/>
      <c r="S634" s="709"/>
      <c r="T634" s="709"/>
      <c r="U634" s="709"/>
      <c r="V634" s="709"/>
      <c r="BH634" s="890"/>
      <c r="BI634" s="890"/>
      <c r="BJ634" s="890"/>
      <c r="BK634" s="890"/>
      <c r="BL634" s="890"/>
      <c r="BM634" s="890"/>
      <c r="BN634" s="890"/>
      <c r="BO634" s="890"/>
      <c r="BP634" s="890"/>
      <c r="BQ634" s="890"/>
      <c r="BR634" s="890"/>
      <c r="BS634" s="890"/>
      <c r="BT634" s="890"/>
      <c r="BU634" s="890"/>
      <c r="BV634" s="890"/>
      <c r="BW634" s="890"/>
    </row>
    <row r="635" spans="1:75">
      <c r="A635" s="709"/>
      <c r="B635" s="709"/>
      <c r="C635" s="709"/>
      <c r="D635" s="709"/>
      <c r="E635" s="709"/>
      <c r="F635" s="709"/>
      <c r="G635" s="709"/>
      <c r="H635" s="709"/>
      <c r="I635" s="709"/>
      <c r="J635" s="709"/>
      <c r="K635" s="709"/>
      <c r="L635" s="709"/>
      <c r="M635" s="709"/>
      <c r="N635" s="709"/>
      <c r="O635" s="709"/>
      <c r="P635" s="709"/>
      <c r="Q635" s="709"/>
      <c r="R635" s="709"/>
      <c r="S635" s="709"/>
      <c r="T635" s="709"/>
      <c r="U635" s="709"/>
      <c r="V635" s="709"/>
      <c r="BH635" s="890"/>
      <c r="BI635" s="890"/>
      <c r="BJ635" s="890"/>
      <c r="BK635" s="890"/>
      <c r="BL635" s="890"/>
      <c r="BM635" s="890"/>
      <c r="BN635" s="890"/>
      <c r="BO635" s="890"/>
      <c r="BP635" s="890"/>
      <c r="BQ635" s="890"/>
      <c r="BR635" s="890"/>
      <c r="BS635" s="890"/>
      <c r="BT635" s="890"/>
      <c r="BU635" s="890"/>
      <c r="BV635" s="890"/>
      <c r="BW635" s="890"/>
    </row>
    <row r="636" spans="1:75">
      <c r="A636" s="709"/>
      <c r="B636" s="709"/>
      <c r="C636" s="709"/>
      <c r="D636" s="709"/>
      <c r="E636" s="709"/>
      <c r="F636" s="709"/>
      <c r="G636" s="709"/>
      <c r="H636" s="709"/>
      <c r="I636" s="709"/>
      <c r="J636" s="709"/>
      <c r="K636" s="709"/>
      <c r="L636" s="709"/>
      <c r="M636" s="709"/>
      <c r="N636" s="709"/>
      <c r="O636" s="709"/>
      <c r="P636" s="709"/>
      <c r="Q636" s="709"/>
      <c r="R636" s="709"/>
      <c r="S636" s="709"/>
      <c r="T636" s="709"/>
      <c r="U636" s="709"/>
      <c r="V636" s="709"/>
      <c r="BH636" s="890"/>
      <c r="BI636" s="890"/>
      <c r="BJ636" s="890"/>
      <c r="BK636" s="890"/>
      <c r="BL636" s="890"/>
      <c r="BM636" s="890"/>
      <c r="BN636" s="890"/>
      <c r="BO636" s="890"/>
      <c r="BP636" s="890"/>
      <c r="BQ636" s="890"/>
      <c r="BR636" s="890"/>
      <c r="BS636" s="890"/>
      <c r="BT636" s="890"/>
      <c r="BU636" s="890"/>
      <c r="BV636" s="890"/>
      <c r="BW636" s="890"/>
    </row>
    <row r="637" spans="1:75">
      <c r="A637" s="709"/>
      <c r="B637" s="709"/>
      <c r="C637" s="709"/>
      <c r="D637" s="709"/>
      <c r="E637" s="709"/>
      <c r="F637" s="709"/>
      <c r="G637" s="709"/>
      <c r="H637" s="709"/>
      <c r="I637" s="709"/>
      <c r="J637" s="709"/>
      <c r="K637" s="709"/>
      <c r="L637" s="709"/>
      <c r="M637" s="709"/>
      <c r="N637" s="709"/>
      <c r="O637" s="709"/>
      <c r="P637" s="709"/>
      <c r="Q637" s="709"/>
      <c r="R637" s="709"/>
      <c r="S637" s="709"/>
      <c r="T637" s="709"/>
      <c r="U637" s="709"/>
      <c r="V637" s="709"/>
      <c r="BH637" s="890"/>
      <c r="BI637" s="890"/>
      <c r="BJ637" s="890"/>
      <c r="BK637" s="890"/>
      <c r="BL637" s="890"/>
      <c r="BM637" s="890"/>
      <c r="BN637" s="890"/>
      <c r="BO637" s="890"/>
      <c r="BP637" s="890"/>
      <c r="BQ637" s="890"/>
      <c r="BR637" s="890"/>
      <c r="BS637" s="890"/>
      <c r="BT637" s="890"/>
      <c r="BU637" s="890"/>
      <c r="BV637" s="890"/>
      <c r="BW637" s="890"/>
    </row>
    <row r="638" spans="1:75">
      <c r="A638" s="709"/>
      <c r="B638" s="709"/>
      <c r="C638" s="709"/>
      <c r="D638" s="709"/>
      <c r="E638" s="709"/>
      <c r="F638" s="709"/>
      <c r="G638" s="709"/>
      <c r="H638" s="709"/>
      <c r="I638" s="709"/>
      <c r="J638" s="709"/>
      <c r="K638" s="709"/>
      <c r="L638" s="709"/>
      <c r="M638" s="709"/>
      <c r="N638" s="709"/>
      <c r="O638" s="709"/>
      <c r="P638" s="709"/>
      <c r="Q638" s="709"/>
      <c r="R638" s="709"/>
      <c r="S638" s="709"/>
      <c r="T638" s="709"/>
      <c r="U638" s="709"/>
      <c r="V638" s="709"/>
      <c r="BH638" s="890"/>
      <c r="BI638" s="890"/>
      <c r="BJ638" s="890"/>
      <c r="BK638" s="890"/>
      <c r="BL638" s="890"/>
      <c r="BM638" s="890"/>
      <c r="BN638" s="890"/>
      <c r="BO638" s="890"/>
      <c r="BP638" s="890"/>
      <c r="BQ638" s="890"/>
      <c r="BR638" s="890"/>
      <c r="BS638" s="890"/>
      <c r="BT638" s="890"/>
      <c r="BU638" s="890"/>
      <c r="BV638" s="890"/>
      <c r="BW638" s="890"/>
    </row>
    <row r="639" spans="1:75">
      <c r="A639" s="709"/>
      <c r="B639" s="709"/>
      <c r="C639" s="709"/>
      <c r="D639" s="709"/>
      <c r="E639" s="709"/>
      <c r="F639" s="709"/>
      <c r="G639" s="709"/>
      <c r="H639" s="709"/>
      <c r="I639" s="709"/>
      <c r="J639" s="709"/>
      <c r="K639" s="709"/>
      <c r="L639" s="709"/>
      <c r="M639" s="709"/>
      <c r="N639" s="709"/>
      <c r="O639" s="709"/>
      <c r="P639" s="709"/>
      <c r="Q639" s="709"/>
      <c r="R639" s="709"/>
      <c r="S639" s="709"/>
      <c r="T639" s="709"/>
      <c r="U639" s="709"/>
      <c r="V639" s="709"/>
      <c r="BH639" s="890"/>
      <c r="BI639" s="890"/>
      <c r="BJ639" s="890"/>
      <c r="BK639" s="890"/>
      <c r="BL639" s="890"/>
      <c r="BM639" s="890"/>
      <c r="BN639" s="890"/>
      <c r="BO639" s="890"/>
      <c r="BP639" s="890"/>
      <c r="BQ639" s="890"/>
      <c r="BR639" s="890"/>
      <c r="BS639" s="890"/>
      <c r="BT639" s="890"/>
      <c r="BU639" s="890"/>
      <c r="BV639" s="890"/>
      <c r="BW639" s="890"/>
    </row>
    <row r="640" spans="1:75">
      <c r="A640" s="709"/>
      <c r="B640" s="709"/>
      <c r="C640" s="709"/>
      <c r="D640" s="709"/>
      <c r="E640" s="709"/>
      <c r="F640" s="709"/>
      <c r="G640" s="709"/>
      <c r="H640" s="709"/>
      <c r="I640" s="709"/>
      <c r="J640" s="709"/>
      <c r="K640" s="709"/>
      <c r="L640" s="709"/>
      <c r="M640" s="709"/>
      <c r="N640" s="709"/>
      <c r="O640" s="709"/>
      <c r="P640" s="709"/>
      <c r="Q640" s="709"/>
      <c r="R640" s="709"/>
      <c r="S640" s="709"/>
      <c r="T640" s="709"/>
      <c r="U640" s="709"/>
      <c r="V640" s="709"/>
      <c r="BO640" s="890"/>
      <c r="BP640" s="890"/>
      <c r="BQ640" s="890"/>
      <c r="BR640" s="890"/>
      <c r="BS640" s="890"/>
      <c r="BT640" s="890"/>
      <c r="BU640" s="890"/>
      <c r="BV640" s="890"/>
      <c r="BW640" s="890"/>
    </row>
    <row r="641" spans="1:22">
      <c r="A641" s="709"/>
      <c r="B641" s="709"/>
      <c r="C641" s="709"/>
      <c r="D641" s="709"/>
      <c r="E641" s="709"/>
      <c r="F641" s="709"/>
      <c r="G641" s="709"/>
      <c r="H641" s="709"/>
      <c r="I641" s="709"/>
      <c r="J641" s="709"/>
      <c r="K641" s="709"/>
      <c r="L641" s="709"/>
      <c r="M641" s="709"/>
      <c r="N641" s="709"/>
      <c r="O641" s="709"/>
      <c r="P641" s="709"/>
      <c r="Q641" s="709"/>
      <c r="R641" s="709"/>
      <c r="S641" s="709"/>
      <c r="T641" s="709"/>
      <c r="U641" s="709"/>
      <c r="V641" s="709"/>
    </row>
    <row r="642" spans="1:22">
      <c r="A642" s="709"/>
      <c r="B642" s="709"/>
      <c r="C642" s="709"/>
      <c r="D642" s="709"/>
      <c r="E642" s="709"/>
      <c r="F642" s="709"/>
      <c r="G642" s="709"/>
      <c r="H642" s="709"/>
      <c r="I642" s="709"/>
      <c r="J642" s="709"/>
      <c r="K642" s="709"/>
      <c r="L642" s="709"/>
      <c r="M642" s="709"/>
      <c r="N642" s="709"/>
      <c r="O642" s="709"/>
      <c r="P642" s="709"/>
      <c r="Q642" s="709"/>
      <c r="R642" s="709"/>
      <c r="S642" s="709"/>
      <c r="T642" s="709"/>
      <c r="U642" s="709"/>
      <c r="V642" s="709"/>
    </row>
  </sheetData>
  <protectedRanges>
    <protectedRange sqref="L13:L14" name="Range13"/>
    <protectedRange sqref="L12" name="Range11"/>
    <protectedRange sqref="N10:N11" name="Range9"/>
    <protectedRange sqref="L9:M9" name="Range7"/>
    <protectedRange sqref="I9" name="Range5"/>
    <protectedRange sqref="E13:F13" name="Range3"/>
    <protectedRange sqref="E7:H8" name="Range1"/>
    <protectedRange sqref="E9:F11" name="Range2"/>
    <protectedRange sqref="G12:G13" name="Range4"/>
    <protectedRange sqref="J10:J11" name="Range6"/>
    <protectedRange sqref="L10:L11" name="Range8"/>
    <protectedRange sqref="N12" name="Range10"/>
    <protectedRange sqref="J12" name="Range12"/>
  </protectedRanges>
  <mergeCells count="100">
    <mergeCell ref="C4:O4"/>
    <mergeCell ref="BI16:BN16"/>
    <mergeCell ref="BI17:BN17"/>
    <mergeCell ref="BI10:BN10"/>
    <mergeCell ref="BI11:BN11"/>
    <mergeCell ref="BI12:BN12"/>
    <mergeCell ref="BI13:BN13"/>
    <mergeCell ref="BI14:BN14"/>
    <mergeCell ref="BI15:BN15"/>
    <mergeCell ref="BH5:BN5"/>
    <mergeCell ref="BI6:BN6"/>
    <mergeCell ref="BI7:BN7"/>
    <mergeCell ref="BI8:BN8"/>
    <mergeCell ref="BI9:BN9"/>
    <mergeCell ref="G17:H17"/>
    <mergeCell ref="G9:H9"/>
    <mergeCell ref="R27:V27"/>
    <mergeCell ref="R21:V21"/>
    <mergeCell ref="R22:V22"/>
    <mergeCell ref="R23:V23"/>
    <mergeCell ref="R24:V24"/>
    <mergeCell ref="R25:V25"/>
    <mergeCell ref="G21:H21"/>
    <mergeCell ref="G22:H22"/>
    <mergeCell ref="L19:M19"/>
    <mergeCell ref="R26:V26"/>
    <mergeCell ref="L20:M20"/>
    <mergeCell ref="L21:M21"/>
    <mergeCell ref="L22:M22"/>
    <mergeCell ref="G23:H23"/>
    <mergeCell ref="L23:M23"/>
    <mergeCell ref="L24:M24"/>
    <mergeCell ref="L25:M25"/>
    <mergeCell ref="G19:H19"/>
    <mergeCell ref="G20:H20"/>
    <mergeCell ref="R19:T19"/>
    <mergeCell ref="U19:W19"/>
    <mergeCell ref="L18:M18"/>
    <mergeCell ref="E12:F12"/>
    <mergeCell ref="N7:N8"/>
    <mergeCell ref="I7:L8"/>
    <mergeCell ref="I13:K13"/>
    <mergeCell ref="E7:F7"/>
    <mergeCell ref="E9:F9"/>
    <mergeCell ref="E11:F11"/>
    <mergeCell ref="E10:F10"/>
    <mergeCell ref="F8:H8"/>
    <mergeCell ref="C14:H15"/>
    <mergeCell ref="E18:F18"/>
    <mergeCell ref="G18:H18"/>
    <mergeCell ref="L17:M17"/>
    <mergeCell ref="I14:K14"/>
    <mergeCell ref="K15:N16"/>
    <mergeCell ref="E23:F23"/>
    <mergeCell ref="E19:F19"/>
    <mergeCell ref="E20:F20"/>
    <mergeCell ref="E21:F21"/>
    <mergeCell ref="E22:F22"/>
    <mergeCell ref="D16:I16"/>
    <mergeCell ref="C1:O3"/>
    <mergeCell ref="R11:T11"/>
    <mergeCell ref="E13:F13"/>
    <mergeCell ref="E17:F17"/>
    <mergeCell ref="R2:U3"/>
    <mergeCell ref="J9:K9"/>
    <mergeCell ref="L9:M9"/>
    <mergeCell ref="R9:T9"/>
    <mergeCell ref="U9:W9"/>
    <mergeCell ref="R10:T10"/>
    <mergeCell ref="U10:W10"/>
    <mergeCell ref="G10:H11"/>
    <mergeCell ref="R5:W5"/>
    <mergeCell ref="R6:W6"/>
    <mergeCell ref="R7:W7"/>
    <mergeCell ref="R8:T8"/>
    <mergeCell ref="U8:W8"/>
    <mergeCell ref="G6:L6"/>
    <mergeCell ref="M6:M8"/>
    <mergeCell ref="U14:W14"/>
    <mergeCell ref="G13:H13"/>
    <mergeCell ref="R15:T16"/>
    <mergeCell ref="U15:W16"/>
    <mergeCell ref="U11:W11"/>
    <mergeCell ref="R12:T12"/>
    <mergeCell ref="U12:W12"/>
    <mergeCell ref="U13:W13"/>
    <mergeCell ref="R14:T14"/>
    <mergeCell ref="R13:T13"/>
    <mergeCell ref="BJ27:BN27"/>
    <mergeCell ref="BJ21:BN21"/>
    <mergeCell ref="BJ22:BN22"/>
    <mergeCell ref="BJ23:BN23"/>
    <mergeCell ref="BJ24:BN24"/>
    <mergeCell ref="BJ25:BN25"/>
    <mergeCell ref="BJ26:BN26"/>
    <mergeCell ref="U17:W17"/>
    <mergeCell ref="R18:T18"/>
    <mergeCell ref="U18:W18"/>
    <mergeCell ref="R17:T17"/>
    <mergeCell ref="BH18:BI20"/>
  </mergeCells>
  <conditionalFormatting sqref="E9:F9">
    <cfRule type="expression" dxfId="164" priority="177">
      <formula>AJ5=0</formula>
    </cfRule>
    <cfRule type="expression" dxfId="163" priority="178">
      <formula>AK5=0</formula>
    </cfRule>
  </conditionalFormatting>
  <conditionalFormatting sqref="E10:F10">
    <cfRule type="expression" dxfId="162" priority="176">
      <formula>AI5=0</formula>
    </cfRule>
  </conditionalFormatting>
  <conditionalFormatting sqref="E11:F11">
    <cfRule type="expression" dxfId="161" priority="175">
      <formula>AH5=0</formula>
    </cfRule>
  </conditionalFormatting>
  <conditionalFormatting sqref="E13:F13">
    <cfRule type="expression" dxfId="160" priority="14">
      <formula>E7=844</formula>
    </cfRule>
    <cfRule type="expression" dxfId="159" priority="15">
      <formula>E7=843</formula>
    </cfRule>
    <cfRule type="expression" dxfId="158" priority="160">
      <formula>E7=841</formula>
    </cfRule>
    <cfRule type="expression" dxfId="157" priority="161">
      <formula>E7=838</formula>
    </cfRule>
    <cfRule type="expression" dxfId="156" priority="162">
      <formula>E7=827</formula>
    </cfRule>
    <cfRule type="expression" dxfId="155" priority="163">
      <formula>E7=836</formula>
    </cfRule>
    <cfRule type="expression" dxfId="154" priority="164">
      <formula>E7=834</formula>
    </cfRule>
    <cfRule type="expression" dxfId="153" priority="165">
      <formula>E7=833</formula>
    </cfRule>
    <cfRule type="expression" dxfId="152" priority="166">
      <formula>E7=832</formula>
    </cfRule>
    <cfRule type="expression" dxfId="151" priority="167">
      <formula>E7=830</formula>
    </cfRule>
    <cfRule type="expression" dxfId="150" priority="168">
      <formula>E7=821</formula>
    </cfRule>
    <cfRule type="expression" dxfId="149" priority="169">
      <formula>E7=820</formula>
    </cfRule>
    <cfRule type="expression" dxfId="148" priority="170">
      <formula>E7=818</formula>
    </cfRule>
    <cfRule type="expression" dxfId="147" priority="171">
      <formula>E7=817</formula>
    </cfRule>
    <cfRule type="expression" dxfId="146" priority="172">
      <formula>E7=816</formula>
    </cfRule>
    <cfRule type="expression" dxfId="145" priority="173">
      <formula>E7=815</formula>
    </cfRule>
    <cfRule type="expression" dxfId="144" priority="174">
      <formula>E7=814</formula>
    </cfRule>
  </conditionalFormatting>
  <conditionalFormatting sqref="G13">
    <cfRule type="expression" dxfId="143" priority="158">
      <formula>E7=823</formula>
    </cfRule>
    <cfRule type="expression" dxfId="142" priority="159">
      <formula>E7=822</formula>
    </cfRule>
  </conditionalFormatting>
  <conditionalFormatting sqref="G12">
    <cfRule type="expression" dxfId="141" priority="156">
      <formula>E7=830</formula>
    </cfRule>
    <cfRule type="expression" dxfId="140" priority="157">
      <formula>F7=830</formula>
    </cfRule>
  </conditionalFormatting>
  <conditionalFormatting sqref="J11">
    <cfRule type="expression" dxfId="139" priority="10">
      <formula>E7=844</formula>
    </cfRule>
    <cfRule type="expression" dxfId="138" priority="11">
      <formula>E7=843</formula>
    </cfRule>
    <cfRule type="expression" dxfId="137" priority="145">
      <formula>E7=841</formula>
    </cfRule>
    <cfRule type="expression" dxfId="136" priority="153">
      <formula>E7=838</formula>
    </cfRule>
    <cfRule type="expression" dxfId="135" priority="154">
      <formula>E7=827</formula>
    </cfRule>
    <cfRule type="expression" dxfId="134" priority="155">
      <formula>E7=836</formula>
    </cfRule>
  </conditionalFormatting>
  <conditionalFormatting sqref="J11">
    <cfRule type="expression" dxfId="133" priority="146">
      <formula>E7=833</formula>
    </cfRule>
    <cfRule type="expression" dxfId="132" priority="147">
      <formula>E7=830</formula>
    </cfRule>
    <cfRule type="expression" dxfId="131" priority="148">
      <formula>E7=821</formula>
    </cfRule>
    <cfRule type="expression" dxfId="130" priority="149">
      <formula>E7=820</formula>
    </cfRule>
    <cfRule type="expression" dxfId="129" priority="150">
      <formula>E7=818</formula>
    </cfRule>
    <cfRule type="expression" dxfId="128" priority="151">
      <formula>E7=815</formula>
    </cfRule>
    <cfRule type="expression" dxfId="127" priority="152">
      <formula>E7=814</formula>
    </cfRule>
  </conditionalFormatting>
  <conditionalFormatting sqref="J12">
    <cfRule type="expression" dxfId="126" priority="143">
      <formula>E7=832</formula>
    </cfRule>
    <cfRule type="expression" dxfId="125" priority="144">
      <formula>E7=834</formula>
    </cfRule>
  </conditionalFormatting>
  <conditionalFormatting sqref="L12">
    <cfRule type="expression" dxfId="124" priority="141">
      <formula>E7=834</formula>
    </cfRule>
    <cfRule type="expression" dxfId="123" priority="142">
      <formula>E7=832</formula>
    </cfRule>
  </conditionalFormatting>
  <conditionalFormatting sqref="N12">
    <cfRule type="expression" dxfId="122" priority="140">
      <formula>E7=834</formula>
    </cfRule>
  </conditionalFormatting>
  <conditionalFormatting sqref="I12">
    <cfRule type="expression" dxfId="121" priority="138">
      <formula>E7=834</formula>
    </cfRule>
    <cfRule type="expression" dxfId="120" priority="139">
      <formula>E7=832</formula>
    </cfRule>
  </conditionalFormatting>
  <conditionalFormatting sqref="K12">
    <cfRule type="expression" dxfId="119" priority="136">
      <formula>E7=834</formula>
    </cfRule>
    <cfRule type="expression" dxfId="118" priority="137">
      <formula>E7=832</formula>
    </cfRule>
  </conditionalFormatting>
  <conditionalFormatting sqref="M12">
    <cfRule type="expression" dxfId="117" priority="135">
      <formula>E7=834</formula>
    </cfRule>
  </conditionalFormatting>
  <conditionalFormatting sqref="I11">
    <cfRule type="expression" dxfId="116" priority="12">
      <formula>E7=844</formula>
    </cfRule>
    <cfRule type="expression" dxfId="115" priority="13">
      <formula>E7=843</formula>
    </cfRule>
    <cfRule type="expression" dxfId="114" priority="124">
      <formula>E7=841</formula>
    </cfRule>
    <cfRule type="expression" dxfId="113" priority="125">
      <formula>E7=838</formula>
    </cfRule>
    <cfRule type="expression" dxfId="112" priority="126">
      <formula>E7=836</formula>
    </cfRule>
    <cfRule type="expression" dxfId="111" priority="127">
      <formula>E7=833</formula>
    </cfRule>
    <cfRule type="expression" dxfId="110" priority="128">
      <formula>E7=830</formula>
    </cfRule>
    <cfRule type="expression" dxfId="109" priority="129">
      <formula>E7=827</formula>
    </cfRule>
    <cfRule type="expression" dxfId="108" priority="130">
      <formula>E7=821</formula>
    </cfRule>
    <cfRule type="expression" dxfId="107" priority="131">
      <formula>E7=820</formula>
    </cfRule>
    <cfRule type="expression" dxfId="106" priority="132">
      <formula>E7=818</formula>
    </cfRule>
    <cfRule type="expression" dxfId="105" priority="133">
      <formula>E7=815</formula>
    </cfRule>
    <cfRule type="expression" dxfId="104" priority="134">
      <formula>E7=814</formula>
    </cfRule>
  </conditionalFormatting>
  <conditionalFormatting sqref="L10">
    <cfRule type="expression" dxfId="103" priority="116">
      <formula>E7=841</formula>
    </cfRule>
    <cfRule type="expression" dxfId="102" priority="117">
      <formula>E7=836</formula>
    </cfRule>
    <cfRule type="expression" dxfId="101" priority="118">
      <formula>E7=833</formula>
    </cfRule>
    <cfRule type="expression" dxfId="100" priority="119">
      <formula>E7=830</formula>
    </cfRule>
    <cfRule type="expression" dxfId="99" priority="120">
      <formula>E7=821</formula>
    </cfRule>
    <cfRule type="expression" dxfId="98" priority="121">
      <formula>E7=820</formula>
    </cfRule>
    <cfRule type="expression" dxfId="97" priority="122">
      <formula>E7=815</formula>
    </cfRule>
    <cfRule type="expression" dxfId="96" priority="123">
      <formula>E7=814</formula>
    </cfRule>
  </conditionalFormatting>
  <conditionalFormatting sqref="K10">
    <cfRule type="expression" dxfId="95" priority="108">
      <formula>E7=841</formula>
    </cfRule>
    <cfRule type="expression" dxfId="94" priority="109">
      <formula>E7=836</formula>
    </cfRule>
    <cfRule type="expression" dxfId="93" priority="110">
      <formula>E7=833</formula>
    </cfRule>
    <cfRule type="expression" dxfId="92" priority="111">
      <formula>E7=830</formula>
    </cfRule>
    <cfRule type="expression" dxfId="91" priority="112">
      <formula>E7=821</formula>
    </cfRule>
    <cfRule type="expression" dxfId="90" priority="113">
      <formula>E7=820</formula>
    </cfRule>
    <cfRule type="expression" dxfId="89" priority="114">
      <formula>E7=815</formula>
    </cfRule>
    <cfRule type="expression" dxfId="88" priority="115">
      <formula>E7=814</formula>
    </cfRule>
  </conditionalFormatting>
  <conditionalFormatting sqref="N10">
    <cfRule type="expression" dxfId="87" priority="99">
      <formula>AF5=1</formula>
    </cfRule>
  </conditionalFormatting>
  <conditionalFormatting sqref="M10:M11">
    <cfRule type="expression" dxfId="86" priority="98">
      <formula>AF5=1</formula>
    </cfRule>
  </conditionalFormatting>
  <conditionalFormatting sqref="N7:N8">
    <cfRule type="expression" dxfId="85" priority="2">
      <formula>AL5=5</formula>
    </cfRule>
    <cfRule type="expression" dxfId="84" priority="94">
      <formula>AK5=0</formula>
    </cfRule>
    <cfRule type="expression" dxfId="83" priority="95">
      <formula>AJ5=0</formula>
    </cfRule>
    <cfRule type="expression" dxfId="82" priority="96">
      <formula>AI5=0</formula>
    </cfRule>
    <cfRule type="expression" dxfId="81" priority="97">
      <formula>AH5=0</formula>
    </cfRule>
  </conditionalFormatting>
  <conditionalFormatting sqref="K11">
    <cfRule type="expression" dxfId="80" priority="87">
      <formula>E7=836</formula>
    </cfRule>
    <cfRule type="expression" dxfId="79" priority="88">
      <formula>E7=833</formula>
    </cfRule>
    <cfRule type="expression" dxfId="78" priority="89">
      <formula>E7=830</formula>
    </cfRule>
    <cfRule type="expression" dxfId="77" priority="90">
      <formula>E7=821</formula>
    </cfRule>
    <cfRule type="expression" dxfId="76" priority="91">
      <formula>E7=820</formula>
    </cfRule>
    <cfRule type="expression" dxfId="75" priority="92">
      <formula>E7=815</formula>
    </cfRule>
    <cfRule type="expression" dxfId="74" priority="93">
      <formula>E7=814</formula>
    </cfRule>
  </conditionalFormatting>
  <conditionalFormatting sqref="L11">
    <cfRule type="expression" dxfId="73" priority="79">
      <formula>E7=836</formula>
    </cfRule>
    <cfRule type="expression" dxfId="72" priority="80">
      <formula>E7=833</formula>
    </cfRule>
    <cfRule type="expression" dxfId="71" priority="81">
      <formula>E7=830</formula>
    </cfRule>
    <cfRule type="expression" dxfId="70" priority="82">
      <formula>E7=821</formula>
    </cfRule>
    <cfRule type="expression" dxfId="69" priority="83">
      <formula>E7=820</formula>
    </cfRule>
    <cfRule type="expression" dxfId="68" priority="84">
      <formula>E7=815</formula>
    </cfRule>
    <cfRule type="expression" dxfId="67" priority="85">
      <formula>E7=814</formula>
    </cfRule>
  </conditionalFormatting>
  <conditionalFormatting sqref="N11">
    <cfRule type="expression" dxfId="66" priority="77">
      <formula>AF6=1</formula>
    </cfRule>
  </conditionalFormatting>
  <conditionalFormatting sqref="I14:K14">
    <cfRule type="expression" dxfId="65" priority="76">
      <formula>E7=818</formula>
    </cfRule>
  </conditionalFormatting>
  <conditionalFormatting sqref="I13:K13">
    <cfRule type="expression" dxfId="64" priority="8">
      <formula>E7=844</formula>
    </cfRule>
    <cfRule type="expression" dxfId="63" priority="9">
      <formula>E7=843</formula>
    </cfRule>
    <cfRule type="expression" dxfId="62" priority="64">
      <formula>E7=841</formula>
    </cfRule>
    <cfRule type="expression" dxfId="61" priority="65">
      <formula>E7=838</formula>
    </cfRule>
    <cfRule type="expression" dxfId="60" priority="66">
      <formula>E7=836</formula>
    </cfRule>
    <cfRule type="expression" dxfId="59" priority="67">
      <formula>E7=834</formula>
    </cfRule>
    <cfRule type="expression" dxfId="58" priority="68">
      <formula>E7=833</formula>
    </cfRule>
    <cfRule type="expression" dxfId="57" priority="69">
      <formula>E7=832</formula>
    </cfRule>
    <cfRule type="expression" dxfId="56" priority="70">
      <formula>E7=830</formula>
    </cfRule>
    <cfRule type="expression" dxfId="55" priority="71">
      <formula>E7=827</formula>
    </cfRule>
    <cfRule type="expression" dxfId="54" priority="72">
      <formula>E7=821</formula>
    </cfRule>
    <cfRule type="expression" dxfId="53" priority="73">
      <formula>E7=820</formula>
    </cfRule>
    <cfRule type="expression" dxfId="52" priority="74">
      <formula>E7=815</formula>
    </cfRule>
    <cfRule type="expression" dxfId="51" priority="75">
      <formula>E7=814</formula>
    </cfRule>
  </conditionalFormatting>
  <conditionalFormatting sqref="L14">
    <cfRule type="expression" dxfId="50" priority="63">
      <formula>E7=818</formula>
    </cfRule>
  </conditionalFormatting>
  <conditionalFormatting sqref="L13">
    <cfRule type="expression" dxfId="49" priority="5">
      <formula>E7=844</formula>
    </cfRule>
    <cfRule type="expression" dxfId="48" priority="6">
      <formula>E7=843</formula>
    </cfRule>
    <cfRule type="expression" dxfId="47" priority="49">
      <formula>E7=834</formula>
    </cfRule>
    <cfRule type="expression" dxfId="46" priority="50">
      <formula>E7=832</formula>
    </cfRule>
    <cfRule type="expression" dxfId="45" priority="51">
      <formula>E7=841</formula>
    </cfRule>
    <cfRule type="expression" dxfId="44" priority="59">
      <formula>E7=838</formula>
    </cfRule>
    <cfRule type="expression" dxfId="43" priority="60">
      <formula>E7=827</formula>
    </cfRule>
    <cfRule type="expression" dxfId="42" priority="61">
      <formula>E7=836</formula>
    </cfRule>
  </conditionalFormatting>
  <conditionalFormatting sqref="L13">
    <cfRule type="expression" dxfId="41" priority="52">
      <formula>E7=833</formula>
    </cfRule>
    <cfRule type="expression" dxfId="40" priority="53">
      <formula>E7=830</formula>
    </cfRule>
    <cfRule type="expression" dxfId="39" priority="54">
      <formula>E7=821</formula>
    </cfRule>
    <cfRule type="expression" dxfId="38" priority="55">
      <formula>E7=820</formula>
    </cfRule>
    <cfRule type="expression" dxfId="37" priority="57">
      <formula>E7=815</formula>
    </cfRule>
    <cfRule type="expression" dxfId="36" priority="58">
      <formula>E7=814</formula>
    </cfRule>
  </conditionalFormatting>
  <conditionalFormatting sqref="K17">
    <cfRule type="expression" dxfId="35" priority="47">
      <formula>E7=814</formula>
    </cfRule>
  </conditionalFormatting>
  <conditionalFormatting sqref="K18">
    <cfRule type="expression" dxfId="34" priority="46">
      <formula>$E$7=815</formula>
    </cfRule>
  </conditionalFormatting>
  <conditionalFormatting sqref="K19">
    <cfRule type="expression" dxfId="33" priority="45">
      <formula>E7=816</formula>
    </cfRule>
  </conditionalFormatting>
  <conditionalFormatting sqref="K20">
    <cfRule type="expression" dxfId="32" priority="44">
      <formula>E7=817</formula>
    </cfRule>
  </conditionalFormatting>
  <conditionalFormatting sqref="K21">
    <cfRule type="expression" dxfId="31" priority="43">
      <formula>E7=818</formula>
    </cfRule>
  </conditionalFormatting>
  <conditionalFormatting sqref="K22">
    <cfRule type="expression" dxfId="30" priority="42">
      <formula>E7=818</formula>
    </cfRule>
  </conditionalFormatting>
  <conditionalFormatting sqref="L17:M17">
    <cfRule type="expression" dxfId="29" priority="41">
      <formula>E7=820</formula>
    </cfRule>
  </conditionalFormatting>
  <conditionalFormatting sqref="L18:M18">
    <cfRule type="expression" dxfId="28" priority="40">
      <formula>E7=821</formula>
    </cfRule>
  </conditionalFormatting>
  <conditionalFormatting sqref="L19:M19">
    <cfRule type="expression" dxfId="27" priority="39">
      <formula>E7=822</formula>
    </cfRule>
  </conditionalFormatting>
  <conditionalFormatting sqref="L20:M20">
    <cfRule type="expression" dxfId="26" priority="38">
      <formula>E7=823</formula>
    </cfRule>
  </conditionalFormatting>
  <conditionalFormatting sqref="L21:M21">
    <cfRule type="expression" dxfId="25" priority="37">
      <formula>E7=827</formula>
    </cfRule>
  </conditionalFormatting>
  <conditionalFormatting sqref="L22:M22">
    <cfRule type="expression" dxfId="24" priority="36">
      <formula>E7=830</formula>
    </cfRule>
  </conditionalFormatting>
  <conditionalFormatting sqref="N17">
    <cfRule type="expression" dxfId="23" priority="35">
      <formula>E7=832</formula>
    </cfRule>
  </conditionalFormatting>
  <conditionalFormatting sqref="N18">
    <cfRule type="expression" dxfId="22" priority="34">
      <formula>E7=833</formula>
    </cfRule>
  </conditionalFormatting>
  <conditionalFormatting sqref="N19">
    <cfRule type="expression" dxfId="21" priority="33">
      <formula>E7=834</formula>
    </cfRule>
  </conditionalFormatting>
  <conditionalFormatting sqref="N20">
    <cfRule type="expression" dxfId="20" priority="32">
      <formula>E7=836</formula>
    </cfRule>
  </conditionalFormatting>
  <conditionalFormatting sqref="N21">
    <cfRule type="expression" dxfId="19" priority="31">
      <formula>E7=838</formula>
    </cfRule>
  </conditionalFormatting>
  <conditionalFormatting sqref="L23:M23">
    <cfRule type="expression" dxfId="18" priority="16">
      <formula>X9=1</formula>
    </cfRule>
  </conditionalFormatting>
  <conditionalFormatting sqref="K23">
    <cfRule type="expression" dxfId="17" priority="4">
      <formula>E7=843</formula>
    </cfRule>
  </conditionalFormatting>
  <conditionalFormatting sqref="N23">
    <cfRule type="expression" dxfId="16" priority="3">
      <formula>E7=844</formula>
    </cfRule>
  </conditionalFormatting>
  <conditionalFormatting sqref="E8">
    <cfRule type="expression" dxfId="15" priority="1">
      <formula>AL5=5</formula>
    </cfRule>
  </conditionalFormatting>
  <dataValidations count="8">
    <dataValidation type="list" allowBlank="1" showInputMessage="1" showErrorMessage="1" sqref="E8">
      <formula1>"Sri.,Smt.,Mr.,Mrs.,Selvan.,Selvi.,Master.,Miss.,Ms."</formula1>
    </dataValidation>
    <dataValidation type="list" allowBlank="1" showInputMessage="1" showErrorMessage="1" sqref="E7:F7">
      <formula1>AG6:AG24</formula1>
    </dataValidation>
    <dataValidation type="list" allowBlank="1" showInputMessage="1" showErrorMessage="1" sqref="E9">
      <formula1>AQ28:AQ93</formula1>
    </dataValidation>
    <dataValidation type="list" allowBlank="1" showInputMessage="1" showErrorMessage="1" sqref="E11">
      <formula1>AQ99:AQ129</formula1>
    </dataValidation>
    <dataValidation type="list" allowBlank="1" showInputMessage="1" showErrorMessage="1" sqref="G12">
      <formula1>"8,9"</formula1>
    </dataValidation>
    <dataValidation type="list" allowBlank="1" showInputMessage="1" showErrorMessage="1" sqref="J10:J12 L10:L11 L13:L14">
      <formula1>"YES,NO"</formula1>
    </dataValidation>
    <dataValidation type="whole" allowBlank="1" showInputMessage="1" showErrorMessage="1" sqref="N10:N11">
      <formula1>99999</formula1>
      <formula2>2500001</formula2>
    </dataValidation>
    <dataValidation type="list" allowBlank="1" showInputMessage="1" showErrorMessage="1" sqref="I9">
      <formula1>"Standard,Non-Standard"</formula1>
    </dataValidation>
  </dataValidations>
  <hyperlinks>
    <hyperlink ref="R2:S3" location="'VASANTHAM HOME'!A1" display="CLICK HERE"/>
    <hyperlink ref="K17" location="'NEW ENDOWMENT'!A1" display="'NEW ENDOWMENT'!A1"/>
    <hyperlink ref="K18" location="'NEW JEEVAN ANAND'!A1" display="'NEW JEEVAN ANAND'!A1"/>
    <hyperlink ref="K19" location="'NEW BIMA BACHAT'!A1" display="'NEW BIMA BACHAT'!A1"/>
    <hyperlink ref="K20" location="'SINGLE PREMIUM ENDOWMENT'!A1" display="'SINGLE PREMIUM ENDOWMENT'!A1"/>
    <hyperlink ref="K21" location="N.J.NIDHI!A1" display="N.J.NIDHI!A1"/>
    <hyperlink ref="K22" location="'NEW JEEVAN NIDHI'!A1" display="'NEW JEEVAN NIDHI'!A1"/>
    <hyperlink ref="L17:M17" location="'NEW MONEY 20Yrs '!A1" display="'NEW MONEY 20Yrs '!A1"/>
    <hyperlink ref="L18:M18" location="'NEW MONEY 25Yrs'!A1" display="'NEW MONEY 25Yrs'!A1"/>
    <hyperlink ref="L19:M19" location="'Anmol Jeevan'!A1" display="'Anmol Jeevan'!A1"/>
    <hyperlink ref="L20:M20" location="'AMULYA JEEVAN'!A1" display="'AMULYA JEEVAN'!A1"/>
    <hyperlink ref="L21:M21" location="'JEEVAN RAKSHAK'!A1" display="'JEEVAN RAKSHAK'!A1"/>
    <hyperlink ref="L22:M22" location="'LP ENDOWMENT'!A1" display="'LP ENDOWMENT'!A1"/>
    <hyperlink ref="N17" location="'CHILDRENS MONEY'!A1" display="'CHILDRENS MONEY'!A1"/>
    <hyperlink ref="N18" location="'JEEVAN LAKSHYA'!A1" display="'JEEVAN LAKSHYA'!A1"/>
    <hyperlink ref="N19" location="'JEEVAN TARUN'!A1" display="'JEEVAN TARUN'!A1"/>
    <hyperlink ref="N20" location="'JEEVAN LABH'!A1" display="'JEEVAN LABH'!A1"/>
    <hyperlink ref="N21" location="PRAGATHI!A1" display="PRAGATHI!A1"/>
    <hyperlink ref="L23:M23" location="CIBR!A1" display="CIBR!A1"/>
    <hyperlink ref="K23" location="'AADHAR STUMBH'!A1" display="'AADHAR STUMBH'!A1"/>
    <hyperlink ref="N23" location="'AADHAR SHILA'!A1" display="'AADHAR SHILA'!A1"/>
  </hyperlinks>
  <pageMargins left="0.7" right="0.7" top="0.75" bottom="0.75" header="0.3" footer="0.3"/>
  <pageSetup paperSize="9" orientation="portrait" horizontalDpi="4294967293" verticalDpi="4294967293"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14:formula1>
            <xm:f>DAT!W63:W73</xm:f>
          </x14:formula1>
          <xm:sqref>L9:M9</xm:sqref>
        </x14:dataValidation>
        <x14:dataValidation type="list" allowBlank="1" showInputMessage="1" showErrorMessage="1">
          <x14:formula1>
            <xm:f>PM!AI130:AI133</xm:f>
          </x14:formula1>
          <xm:sqref>N12</xm:sqref>
        </x14:dataValidation>
        <x14:dataValidation type="list" allowBlank="1" showInputMessage="1" showErrorMessage="1">
          <x14:formula1>
            <xm:f>PM!BN76:BN113</xm:f>
          </x14:formula1>
          <xm:sqref>L12</xm:sqref>
        </x14:dataValidation>
      </x14:dataValidations>
    </ext>
  </extLst>
</worksheet>
</file>

<file path=xl/worksheets/sheet30.xml><?xml version="1.0" encoding="utf-8"?>
<worksheet xmlns="http://schemas.openxmlformats.org/spreadsheetml/2006/main" xmlns:r="http://schemas.openxmlformats.org/officeDocument/2006/relationships">
  <sheetPr codeName="Sheet551"/>
  <dimension ref="A1:U36"/>
  <sheetViews>
    <sheetView showRowColHeaders="0" workbookViewId="0"/>
  </sheetViews>
  <sheetFormatPr defaultColWidth="0" defaultRowHeight="15" zeroHeight="1"/>
  <cols>
    <col min="1" max="1" width="9.125" style="1043" customWidth="1"/>
    <col min="2" max="2" width="3.5" style="1043" customWidth="1"/>
    <col min="3" max="3" width="6.625" style="1043" customWidth="1"/>
    <col min="4" max="4" width="9.125" style="1043" customWidth="1"/>
    <col min="5" max="6" width="20.125" style="1043" customWidth="1"/>
    <col min="7" max="7" width="9.125" style="1043" customWidth="1"/>
    <col min="8" max="8" width="4.5" style="1043" customWidth="1"/>
    <col min="9" max="12" width="9.125" style="1043" customWidth="1"/>
    <col min="13" max="13" width="6.625" style="1043" customWidth="1"/>
    <col min="14" max="14" width="3.5" style="1043" customWidth="1"/>
    <col min="15" max="15" width="19" style="1043" customWidth="1"/>
    <col min="16" max="16" width="16.5" style="1043" customWidth="1"/>
    <col min="17" max="17" width="15" style="1043" customWidth="1"/>
    <col min="18" max="18" width="3.5" style="1043" customWidth="1"/>
    <col min="19" max="19" width="9.125" style="1043" customWidth="1"/>
    <col min="20" max="21" width="0" style="1043" hidden="1" customWidth="1"/>
    <col min="22" max="16384" width="9.125" style="1043" hidden="1"/>
  </cols>
  <sheetData>
    <row r="1" spans="1:19" ht="15" customHeight="1">
      <c r="A1" s="882"/>
      <c r="B1" s="883"/>
      <c r="C1" s="883"/>
      <c r="D1" s="883"/>
      <c r="E1" s="2415" t="s">
        <v>471</v>
      </c>
      <c r="F1" s="2415"/>
      <c r="G1" s="2415"/>
      <c r="H1" s="2415"/>
      <c r="I1" s="2415"/>
      <c r="J1" s="2415"/>
      <c r="K1" s="2415"/>
      <c r="L1" s="2415"/>
      <c r="M1" s="2415"/>
      <c r="N1" s="883"/>
      <c r="O1" s="1044"/>
      <c r="P1" s="1044"/>
      <c r="Q1" s="1044"/>
      <c r="R1" s="1044"/>
      <c r="S1" s="1044"/>
    </row>
    <row r="2" spans="1:19" ht="15" customHeight="1">
      <c r="A2" s="1044"/>
      <c r="B2" s="883"/>
      <c r="C2" s="883"/>
      <c r="D2" s="883"/>
      <c r="E2" s="2415"/>
      <c r="F2" s="2415"/>
      <c r="G2" s="2415"/>
      <c r="H2" s="2415"/>
      <c r="I2" s="2415"/>
      <c r="J2" s="2415"/>
      <c r="K2" s="2415"/>
      <c r="L2" s="2415"/>
      <c r="M2" s="2415"/>
      <c r="N2" s="883"/>
      <c r="O2" s="1044"/>
      <c r="P2" s="1044"/>
      <c r="Q2" s="1044"/>
      <c r="R2" s="1044"/>
      <c r="S2" s="1044"/>
    </row>
    <row r="3" spans="1:19" ht="15" customHeight="1">
      <c r="A3" s="1044"/>
      <c r="B3" s="883"/>
      <c r="C3" s="2425" t="s">
        <v>773</v>
      </c>
      <c r="D3" s="2425"/>
      <c r="E3" s="2425"/>
      <c r="F3" s="2425"/>
      <c r="G3" s="2425"/>
      <c r="H3" s="2425"/>
      <c r="I3" s="2425"/>
      <c r="J3" s="2425"/>
      <c r="K3" s="2425"/>
      <c r="L3" s="2425"/>
      <c r="M3" s="2425"/>
      <c r="N3" s="2414" t="s">
        <v>2129</v>
      </c>
      <c r="O3" s="2414"/>
      <c r="P3" s="2414"/>
      <c r="Q3" s="1044"/>
      <c r="R3" s="1044"/>
      <c r="S3" s="1044"/>
    </row>
    <row r="4" spans="1:19" ht="20.25" customHeight="1">
      <c r="A4" s="1044"/>
      <c r="B4" s="1044"/>
      <c r="C4" s="2425"/>
      <c r="D4" s="2425"/>
      <c r="E4" s="2425"/>
      <c r="F4" s="2425"/>
      <c r="G4" s="2425"/>
      <c r="H4" s="2425"/>
      <c r="I4" s="2425"/>
      <c r="J4" s="2425"/>
      <c r="K4" s="2425"/>
      <c r="L4" s="2425"/>
      <c r="M4" s="2425"/>
      <c r="N4" s="2414"/>
      <c r="O4" s="2414"/>
      <c r="P4" s="2414"/>
      <c r="Q4" s="1044"/>
      <c r="R4" s="1044"/>
      <c r="S4" s="1044"/>
    </row>
    <row r="5" spans="1:19" ht="18" customHeight="1">
      <c r="A5" s="1044"/>
      <c r="B5" s="884"/>
      <c r="C5" s="2422" t="s">
        <v>473</v>
      </c>
      <c r="D5" s="2422"/>
      <c r="E5" s="2422"/>
      <c r="F5" s="2422"/>
      <c r="G5" s="2423" t="s">
        <v>474</v>
      </c>
      <c r="H5" s="2423"/>
      <c r="I5" s="2423"/>
      <c r="J5" s="2423"/>
      <c r="K5" s="2423"/>
      <c r="L5" s="2423"/>
      <c r="M5" s="2423"/>
      <c r="N5" s="885"/>
      <c r="O5" s="885"/>
      <c r="P5" s="885"/>
      <c r="Q5" s="885"/>
      <c r="R5" s="885"/>
      <c r="S5" s="1044"/>
    </row>
    <row r="6" spans="1:19">
      <c r="A6" s="1044"/>
      <c r="B6" s="884"/>
      <c r="C6" s="1163"/>
      <c r="D6" s="1163"/>
      <c r="E6" s="1163"/>
      <c r="F6" s="1163"/>
      <c r="G6" s="1163"/>
      <c r="H6" s="1163"/>
      <c r="I6" s="2424" t="s">
        <v>481</v>
      </c>
      <c r="J6" s="2424"/>
      <c r="K6" s="1163"/>
      <c r="L6" s="1163"/>
      <c r="M6" s="1163"/>
      <c r="N6" s="885"/>
      <c r="O6" s="2428"/>
      <c r="P6" s="2428"/>
      <c r="Q6" s="2428"/>
      <c r="R6" s="885"/>
      <c r="S6" s="1044"/>
    </row>
    <row r="7" spans="1:19" ht="15.75" customHeight="1">
      <c r="A7" s="1044"/>
      <c r="B7" s="884"/>
      <c r="C7" s="1163"/>
      <c r="D7" s="1163"/>
      <c r="E7" s="1163"/>
      <c r="F7" s="1163"/>
      <c r="G7" s="1163"/>
      <c r="H7" s="2421">
        <v>1</v>
      </c>
      <c r="I7" s="2420" t="s">
        <v>482</v>
      </c>
      <c r="J7" s="2420"/>
      <c r="K7" s="2420"/>
      <c r="L7" s="2420"/>
      <c r="M7" s="2420"/>
      <c r="N7" s="885"/>
      <c r="O7" s="2427"/>
      <c r="P7" s="2427"/>
      <c r="Q7" s="2427"/>
      <c r="R7" s="885"/>
      <c r="S7" s="1044"/>
    </row>
    <row r="8" spans="1:19" ht="15.75" thickBot="1">
      <c r="A8" s="1044"/>
      <c r="B8" s="884"/>
      <c r="C8" s="1163"/>
      <c r="D8" s="1163"/>
      <c r="E8" s="1163"/>
      <c r="F8" s="1163"/>
      <c r="G8" s="1163"/>
      <c r="H8" s="2421"/>
      <c r="I8" s="2420"/>
      <c r="J8" s="2420"/>
      <c r="K8" s="2420"/>
      <c r="L8" s="2420"/>
      <c r="M8" s="2420"/>
      <c r="N8" s="885"/>
      <c r="O8" s="1163"/>
      <c r="P8" s="1163"/>
      <c r="Q8" s="1163"/>
      <c r="R8" s="885"/>
      <c r="S8" s="1044"/>
    </row>
    <row r="9" spans="1:19" ht="15" customHeight="1" thickTop="1" thickBot="1">
      <c r="A9" s="1044"/>
      <c r="B9" s="884"/>
      <c r="C9" s="1163"/>
      <c r="D9" s="1163"/>
      <c r="E9" s="2418" t="s">
        <v>472</v>
      </c>
      <c r="F9" s="2419"/>
      <c r="G9" s="1163"/>
      <c r="H9" s="2421">
        <v>2</v>
      </c>
      <c r="I9" s="2420" t="s">
        <v>483</v>
      </c>
      <c r="J9" s="2420"/>
      <c r="K9" s="2420"/>
      <c r="L9" s="2420"/>
      <c r="M9" s="2420"/>
      <c r="N9" s="885"/>
      <c r="O9" s="1163"/>
      <c r="P9" s="1163"/>
      <c r="Q9" s="1166"/>
      <c r="R9" s="885"/>
      <c r="S9" s="1044"/>
    </row>
    <row r="10" spans="1:19" ht="15" customHeight="1" thickTop="1" thickBot="1">
      <c r="A10" s="1044"/>
      <c r="B10" s="884"/>
      <c r="C10" s="1163"/>
      <c r="D10" s="1163"/>
      <c r="E10" s="2418" t="s">
        <v>475</v>
      </c>
      <c r="F10" s="2419"/>
      <c r="G10" s="1163"/>
      <c r="H10" s="2421"/>
      <c r="I10" s="2420"/>
      <c r="J10" s="2420"/>
      <c r="K10" s="2420"/>
      <c r="L10" s="2420"/>
      <c r="M10" s="2420"/>
      <c r="N10" s="885"/>
      <c r="O10" s="1163"/>
      <c r="P10" s="1163"/>
      <c r="Q10" s="1167"/>
      <c r="R10" s="885"/>
      <c r="S10" s="1044"/>
    </row>
    <row r="11" spans="1:19" ht="15" customHeight="1" thickTop="1" thickBot="1">
      <c r="A11" s="1044"/>
      <c r="B11" s="884"/>
      <c r="C11" s="1163"/>
      <c r="D11" s="1163"/>
      <c r="E11" s="2418" t="s">
        <v>476</v>
      </c>
      <c r="F11" s="2419"/>
      <c r="G11" s="1163"/>
      <c r="H11" s="2421"/>
      <c r="I11" s="2420"/>
      <c r="J11" s="2420"/>
      <c r="K11" s="2420"/>
      <c r="L11" s="2420"/>
      <c r="M11" s="2420"/>
      <c r="N11" s="885"/>
      <c r="O11" s="1163"/>
      <c r="P11" s="1163"/>
      <c r="Q11" s="1167"/>
      <c r="R11" s="885"/>
      <c r="S11" s="1044"/>
    </row>
    <row r="12" spans="1:19" ht="15" customHeight="1" thickTop="1" thickBot="1">
      <c r="A12" s="1044"/>
      <c r="B12" s="884"/>
      <c r="C12" s="1163"/>
      <c r="D12" s="1163"/>
      <c r="E12" s="2418" t="s">
        <v>477</v>
      </c>
      <c r="F12" s="2419"/>
      <c r="G12" s="1163"/>
      <c r="H12" s="2421">
        <v>3</v>
      </c>
      <c r="I12" s="2432" t="s">
        <v>490</v>
      </c>
      <c r="J12" s="2432"/>
      <c r="K12" s="2432"/>
      <c r="L12" s="2432"/>
      <c r="M12" s="2432"/>
      <c r="N12" s="885"/>
      <c r="O12" s="1163"/>
      <c r="P12" s="1163"/>
      <c r="Q12" s="1167"/>
      <c r="R12" s="885"/>
      <c r="S12" s="1044"/>
    </row>
    <row r="13" spans="1:19" ht="15" customHeight="1" thickTop="1" thickBot="1">
      <c r="A13" s="1044"/>
      <c r="B13" s="884"/>
      <c r="C13" s="1163"/>
      <c r="D13" s="1163"/>
      <c r="E13" s="2418" t="s">
        <v>478</v>
      </c>
      <c r="F13" s="2419"/>
      <c r="G13" s="1163"/>
      <c r="H13" s="2421"/>
      <c r="I13" s="2432"/>
      <c r="J13" s="2432"/>
      <c r="K13" s="2432"/>
      <c r="L13" s="2432"/>
      <c r="M13" s="2432"/>
      <c r="N13" s="885"/>
      <c r="O13" s="1163"/>
      <c r="P13" s="1163"/>
      <c r="Q13" s="1167"/>
      <c r="R13" s="885"/>
      <c r="S13" s="1044"/>
    </row>
    <row r="14" spans="1:19" ht="15" customHeight="1" thickTop="1" thickBot="1">
      <c r="A14" s="1044"/>
      <c r="B14" s="884"/>
      <c r="C14" s="1163"/>
      <c r="D14" s="1163"/>
      <c r="E14" s="2418" t="s">
        <v>479</v>
      </c>
      <c r="F14" s="2419"/>
      <c r="G14" s="1163"/>
      <c r="H14" s="2421"/>
      <c r="I14" s="2432"/>
      <c r="J14" s="2432"/>
      <c r="K14" s="2432"/>
      <c r="L14" s="2432"/>
      <c r="M14" s="2432"/>
      <c r="N14" s="885"/>
      <c r="O14" s="1163"/>
      <c r="P14" s="1163"/>
      <c r="Q14" s="1167"/>
      <c r="R14" s="885"/>
      <c r="S14" s="1044"/>
    </row>
    <row r="15" spans="1:19" ht="15" customHeight="1" thickTop="1" thickBot="1">
      <c r="A15" s="1044"/>
      <c r="B15" s="884"/>
      <c r="C15" s="1163"/>
      <c r="D15" s="1163"/>
      <c r="E15" s="2418" t="s">
        <v>480</v>
      </c>
      <c r="F15" s="2419"/>
      <c r="G15" s="1164"/>
      <c r="H15" s="1163"/>
      <c r="I15" s="1163"/>
      <c r="J15" s="1163"/>
      <c r="K15" s="1163"/>
      <c r="L15" s="1163"/>
      <c r="M15" s="1163"/>
      <c r="N15" s="885"/>
      <c r="O15" s="2416" t="s">
        <v>484</v>
      </c>
      <c r="P15" s="2416"/>
      <c r="Q15" s="2416"/>
      <c r="R15" s="885"/>
      <c r="S15" s="1044"/>
    </row>
    <row r="16" spans="1:19" ht="15.75" thickTop="1">
      <c r="A16" s="1044"/>
      <c r="B16" s="884"/>
      <c r="C16" s="1163"/>
      <c r="D16" s="1163"/>
      <c r="E16" s="1163"/>
      <c r="F16" s="1163"/>
      <c r="G16" s="1164"/>
      <c r="H16" s="1163"/>
      <c r="I16" s="2433"/>
      <c r="J16" s="2433"/>
      <c r="K16" s="2433"/>
      <c r="L16" s="2433"/>
      <c r="M16" s="2433"/>
      <c r="N16" s="885"/>
      <c r="O16" s="2417" t="s">
        <v>912</v>
      </c>
      <c r="P16" s="2417"/>
      <c r="Q16" s="2417"/>
      <c r="R16" s="885"/>
      <c r="S16" s="1044"/>
    </row>
    <row r="17" spans="1:19">
      <c r="A17" s="1044"/>
      <c r="B17" s="885"/>
      <c r="C17" s="1163"/>
      <c r="D17" s="1163"/>
      <c r="E17" s="1163"/>
      <c r="F17" s="1163"/>
      <c r="G17" s="1164"/>
      <c r="H17" s="1163"/>
      <c r="I17" s="2431"/>
      <c r="J17" s="2431"/>
      <c r="K17" s="2431"/>
      <c r="L17" s="2431"/>
      <c r="M17" s="2431"/>
      <c r="N17" s="884"/>
      <c r="O17" s="2417" t="s">
        <v>486</v>
      </c>
      <c r="P17" s="2417"/>
      <c r="Q17" s="2417"/>
      <c r="R17" s="884"/>
      <c r="S17" s="1044"/>
    </row>
    <row r="18" spans="1:19">
      <c r="A18" s="1044"/>
      <c r="B18" s="885"/>
      <c r="C18" s="1163"/>
      <c r="D18" s="1163"/>
      <c r="E18" s="1163"/>
      <c r="F18" s="1163"/>
      <c r="G18" s="1164"/>
      <c r="H18" s="1163"/>
      <c r="I18" s="2431"/>
      <c r="J18" s="2431"/>
      <c r="K18" s="2431"/>
      <c r="L18" s="2431"/>
      <c r="M18" s="2431"/>
      <c r="N18" s="884"/>
      <c r="O18" s="2417" t="s">
        <v>907</v>
      </c>
      <c r="P18" s="2417"/>
      <c r="Q18" s="2417"/>
      <c r="R18" s="884"/>
      <c r="S18" s="1044"/>
    </row>
    <row r="19" spans="1:19">
      <c r="A19" s="1044"/>
      <c r="B19" s="885"/>
      <c r="C19" s="1163"/>
      <c r="D19" s="1163"/>
      <c r="E19" s="1163"/>
      <c r="F19" s="1163"/>
      <c r="G19" s="1164"/>
      <c r="H19" s="1163"/>
      <c r="I19" s="2431"/>
      <c r="J19" s="2431"/>
      <c r="K19" s="2431"/>
      <c r="L19" s="2431"/>
      <c r="M19" s="2431"/>
      <c r="N19" s="884"/>
      <c r="O19" s="2417" t="s">
        <v>908</v>
      </c>
      <c r="P19" s="2417"/>
      <c r="Q19" s="2417"/>
      <c r="R19" s="884"/>
      <c r="S19" s="1044"/>
    </row>
    <row r="20" spans="1:19">
      <c r="A20" s="1044"/>
      <c r="B20" s="885"/>
      <c r="C20" s="1163"/>
      <c r="D20" s="1163"/>
      <c r="E20" s="1163"/>
      <c r="F20" s="1163"/>
      <c r="G20" s="1164"/>
      <c r="H20" s="1163"/>
      <c r="I20" s="2431"/>
      <c r="J20" s="2431"/>
      <c r="K20" s="2431"/>
      <c r="L20" s="2431"/>
      <c r="M20" s="2431"/>
      <c r="N20" s="884"/>
      <c r="O20" s="2417" t="s">
        <v>488</v>
      </c>
      <c r="P20" s="2417"/>
      <c r="Q20" s="2417"/>
      <c r="R20" s="884"/>
      <c r="S20" s="1044"/>
    </row>
    <row r="21" spans="1:19">
      <c r="A21" s="1044"/>
      <c r="B21" s="885"/>
      <c r="C21" s="1163"/>
      <c r="D21" s="1163"/>
      <c r="E21" s="1163"/>
      <c r="F21" s="1163"/>
      <c r="G21" s="1164"/>
      <c r="H21" s="2430"/>
      <c r="I21" s="2430"/>
      <c r="J21" s="1163"/>
      <c r="K21" s="1163"/>
      <c r="L21" s="1163"/>
      <c r="M21" s="1163"/>
      <c r="N21" s="884"/>
      <c r="O21" s="2426"/>
      <c r="P21" s="2426"/>
      <c r="Q21" s="1168"/>
      <c r="R21" s="884"/>
      <c r="S21" s="1044"/>
    </row>
    <row r="22" spans="1:19" ht="15" customHeight="1">
      <c r="A22" s="1044"/>
      <c r="B22" s="885"/>
      <c r="C22" s="1163"/>
      <c r="D22" s="1163"/>
      <c r="E22" s="1163"/>
      <c r="F22" s="1163"/>
      <c r="G22" s="1164"/>
      <c r="H22" s="2430" t="s">
        <v>209</v>
      </c>
      <c r="I22" s="2430"/>
      <c r="J22" s="1165"/>
      <c r="K22" s="1165"/>
      <c r="L22" s="1165"/>
      <c r="M22" s="1165"/>
      <c r="N22" s="884"/>
      <c r="O22" s="2416"/>
      <c r="P22" s="2416"/>
      <c r="Q22" s="2416"/>
      <c r="R22" s="884"/>
      <c r="S22" s="916"/>
    </row>
    <row r="23" spans="1:19">
      <c r="A23" s="1044"/>
      <c r="B23" s="885"/>
      <c r="C23" s="1163"/>
      <c r="D23" s="1163"/>
      <c r="E23" s="1163"/>
      <c r="F23" s="1163"/>
      <c r="G23" s="1164"/>
      <c r="H23" s="2429" t="s">
        <v>489</v>
      </c>
      <c r="I23" s="2429"/>
      <c r="J23" s="2429"/>
      <c r="K23" s="2429"/>
      <c r="L23" s="2429"/>
      <c r="M23" s="2429"/>
      <c r="N23" s="884"/>
      <c r="O23" s="2417"/>
      <c r="P23" s="2417"/>
      <c r="Q23" s="2417"/>
      <c r="R23" s="884"/>
      <c r="S23" s="917"/>
    </row>
    <row r="24" spans="1:19">
      <c r="A24" s="1044"/>
      <c r="B24" s="885"/>
      <c r="C24" s="1163"/>
      <c r="D24" s="1163"/>
      <c r="E24" s="1163"/>
      <c r="F24" s="1163"/>
      <c r="G24" s="1164"/>
      <c r="H24" s="2429"/>
      <c r="I24" s="2429"/>
      <c r="J24" s="2429"/>
      <c r="K24" s="2429"/>
      <c r="L24" s="2429"/>
      <c r="M24" s="2429"/>
      <c r="N24" s="884"/>
      <c r="O24" s="2417"/>
      <c r="P24" s="2417"/>
      <c r="Q24" s="2417"/>
      <c r="R24" s="884"/>
      <c r="S24" s="917"/>
    </row>
    <row r="25" spans="1:19">
      <c r="A25" s="1044"/>
      <c r="B25" s="885"/>
      <c r="C25" s="1163"/>
      <c r="D25" s="1163"/>
      <c r="E25" s="1163"/>
      <c r="F25" s="1163"/>
      <c r="G25" s="1164"/>
      <c r="H25" s="2429"/>
      <c r="I25" s="2429"/>
      <c r="J25" s="2429"/>
      <c r="K25" s="2429"/>
      <c r="L25" s="2429"/>
      <c r="M25" s="2429"/>
      <c r="N25" s="884"/>
      <c r="O25" s="2417"/>
      <c r="P25" s="2417"/>
      <c r="Q25" s="2417"/>
      <c r="R25" s="884"/>
      <c r="S25" s="917"/>
    </row>
    <row r="26" spans="1:19">
      <c r="A26" s="1044"/>
      <c r="B26" s="885"/>
      <c r="C26" s="1163"/>
      <c r="D26" s="1163"/>
      <c r="E26" s="1163"/>
      <c r="F26" s="1163"/>
      <c r="G26" s="1164"/>
      <c r="H26" s="2429"/>
      <c r="I26" s="2429"/>
      <c r="J26" s="2429"/>
      <c r="K26" s="2429"/>
      <c r="L26" s="2429"/>
      <c r="M26" s="2429"/>
      <c r="N26" s="884"/>
      <c r="O26" s="2417"/>
      <c r="P26" s="2417"/>
      <c r="Q26" s="2417"/>
      <c r="R26" s="884"/>
      <c r="S26" s="917"/>
    </row>
    <row r="27" spans="1:19">
      <c r="A27" s="1044"/>
      <c r="B27" s="885"/>
      <c r="C27" s="1163"/>
      <c r="D27" s="1163"/>
      <c r="E27" s="1163"/>
      <c r="F27" s="1163"/>
      <c r="G27" s="1164"/>
      <c r="H27" s="2429"/>
      <c r="I27" s="2429"/>
      <c r="J27" s="2429"/>
      <c r="K27" s="2429"/>
      <c r="L27" s="2429"/>
      <c r="M27" s="2429"/>
      <c r="N27" s="884"/>
      <c r="O27" s="2417"/>
      <c r="P27" s="2417"/>
      <c r="Q27" s="2417"/>
      <c r="R27" s="884"/>
      <c r="S27" s="1044"/>
    </row>
    <row r="28" spans="1:19" ht="18" customHeight="1">
      <c r="A28" s="1044"/>
      <c r="B28" s="885"/>
      <c r="C28" s="885"/>
      <c r="D28" s="885"/>
      <c r="E28" s="885"/>
      <c r="F28" s="885"/>
      <c r="G28" s="884"/>
      <c r="H28" s="884"/>
      <c r="I28" s="884"/>
      <c r="J28" s="884"/>
      <c r="K28" s="884"/>
      <c r="L28" s="884"/>
      <c r="M28" s="884"/>
      <c r="N28" s="884"/>
      <c r="O28" s="884"/>
      <c r="P28" s="884"/>
      <c r="Q28" s="884"/>
      <c r="R28" s="884"/>
      <c r="S28" s="1044"/>
    </row>
    <row r="29" spans="1:19">
      <c r="A29" s="1044"/>
      <c r="B29" s="1044"/>
      <c r="C29" s="1044"/>
      <c r="D29" s="1044"/>
      <c r="E29" s="1044"/>
      <c r="F29" s="1044"/>
      <c r="G29" s="1044"/>
      <c r="H29" s="1044"/>
      <c r="I29" s="1044"/>
      <c r="J29" s="1044"/>
      <c r="K29" s="1044"/>
      <c r="L29" s="1044"/>
      <c r="M29" s="1044"/>
      <c r="N29" s="1044"/>
      <c r="O29" s="1044"/>
      <c r="P29" s="1044"/>
      <c r="Q29" s="1044"/>
      <c r="R29" s="1044"/>
      <c r="S29" s="1044"/>
    </row>
    <row r="30" spans="1:19">
      <c r="A30" s="1044"/>
      <c r="B30" s="1044"/>
      <c r="C30" s="1044"/>
      <c r="D30" s="1044"/>
      <c r="E30" s="1044"/>
      <c r="F30" s="1044"/>
      <c r="G30" s="1044"/>
      <c r="H30" s="1044"/>
      <c r="I30" s="1044"/>
      <c r="J30" s="1044"/>
      <c r="K30" s="1044"/>
      <c r="L30" s="1044"/>
      <c r="M30" s="1044"/>
      <c r="N30" s="1044"/>
      <c r="O30" s="1044"/>
      <c r="P30" s="1044"/>
      <c r="Q30" s="1044"/>
      <c r="R30" s="1044"/>
      <c r="S30" s="1044"/>
    </row>
    <row r="31" spans="1:19">
      <c r="A31" s="1044"/>
      <c r="B31" s="1044"/>
      <c r="C31" s="1044"/>
      <c r="D31" s="1044"/>
      <c r="E31" s="1044"/>
      <c r="F31" s="1044"/>
      <c r="G31" s="1044"/>
      <c r="H31" s="1044"/>
      <c r="I31" s="1044"/>
      <c r="J31" s="1044"/>
      <c r="K31" s="1044"/>
      <c r="L31" s="1044"/>
      <c r="M31" s="1044"/>
      <c r="N31" s="1044"/>
      <c r="O31" s="1044"/>
      <c r="P31" s="1044"/>
      <c r="Q31" s="1044"/>
      <c r="R31" s="1044"/>
      <c r="S31" s="1044"/>
    </row>
    <row r="32" spans="1:19">
      <c r="A32" s="1044"/>
      <c r="B32" s="1044"/>
      <c r="C32" s="1044"/>
      <c r="D32" s="1044"/>
      <c r="E32" s="1044"/>
      <c r="F32" s="1044"/>
      <c r="G32" s="1044"/>
      <c r="H32" s="1044"/>
      <c r="I32" s="1044"/>
      <c r="J32" s="1044"/>
      <c r="K32" s="1044"/>
      <c r="L32" s="1044"/>
      <c r="M32" s="1044"/>
      <c r="N32" s="1044"/>
      <c r="O32" s="1044"/>
      <c r="P32" s="1044"/>
      <c r="Q32" s="1044"/>
      <c r="R32" s="1044"/>
      <c r="S32" s="1044"/>
    </row>
    <row r="33" spans="1:19">
      <c r="A33" s="1044"/>
      <c r="B33" s="1044"/>
      <c r="C33" s="1044"/>
      <c r="D33" s="1044"/>
      <c r="E33" s="1044"/>
      <c r="F33" s="1044"/>
      <c r="G33" s="1044"/>
      <c r="H33" s="1044"/>
      <c r="I33" s="1044"/>
      <c r="J33" s="1044"/>
      <c r="K33" s="1044"/>
      <c r="L33" s="1044"/>
      <c r="M33" s="1044"/>
      <c r="N33" s="1044"/>
      <c r="O33" s="1044"/>
      <c r="P33" s="1044"/>
      <c r="Q33" s="1044"/>
      <c r="R33" s="1044"/>
      <c r="S33" s="1044"/>
    </row>
    <row r="34" spans="1:19">
      <c r="A34" s="1044"/>
      <c r="B34" s="1044"/>
      <c r="C34" s="1044"/>
      <c r="D34" s="1044"/>
      <c r="E34" s="1044"/>
      <c r="F34" s="1044"/>
      <c r="G34" s="1044"/>
      <c r="H34" s="1044"/>
      <c r="I34" s="1044"/>
      <c r="J34" s="1044"/>
      <c r="K34" s="1044"/>
      <c r="L34" s="1044"/>
      <c r="M34" s="1044"/>
      <c r="N34" s="1044"/>
      <c r="O34" s="1044"/>
      <c r="P34" s="1044"/>
      <c r="Q34" s="1044"/>
      <c r="R34" s="1044"/>
      <c r="S34" s="1044"/>
    </row>
    <row r="35" spans="1:19">
      <c r="P35" s="1044"/>
      <c r="Q35" s="1044"/>
      <c r="R35" s="1044"/>
      <c r="S35" s="1044"/>
    </row>
    <row r="36" spans="1:19" hidden="1">
      <c r="A36" s="1043" t="s">
        <v>763</v>
      </c>
    </row>
  </sheetData>
  <protectedRanges>
    <protectedRange sqref="E9:E15" name="Range1_1"/>
  </protectedRanges>
  <mergeCells count="42">
    <mergeCell ref="O6:Q6"/>
    <mergeCell ref="H23:M27"/>
    <mergeCell ref="H22:I22"/>
    <mergeCell ref="E12:F12"/>
    <mergeCell ref="E13:F13"/>
    <mergeCell ref="E14:F14"/>
    <mergeCell ref="E15:F15"/>
    <mergeCell ref="I20:M20"/>
    <mergeCell ref="H21:I21"/>
    <mergeCell ref="I12:M14"/>
    <mergeCell ref="H12:H14"/>
    <mergeCell ref="I16:M16"/>
    <mergeCell ref="I17:M17"/>
    <mergeCell ref="I18:M18"/>
    <mergeCell ref="I19:M19"/>
    <mergeCell ref="O26:Q26"/>
    <mergeCell ref="O27:Q27"/>
    <mergeCell ref="O23:Q23"/>
    <mergeCell ref="O21:P21"/>
    <mergeCell ref="O7:Q7"/>
    <mergeCell ref="O15:Q15"/>
    <mergeCell ref="O16:Q16"/>
    <mergeCell ref="O17:Q17"/>
    <mergeCell ref="O18:Q18"/>
    <mergeCell ref="O19:Q19"/>
    <mergeCell ref="O20:Q20"/>
    <mergeCell ref="N3:P4"/>
    <mergeCell ref="E1:M2"/>
    <mergeCell ref="O22:Q22"/>
    <mergeCell ref="O24:Q24"/>
    <mergeCell ref="O25:Q25"/>
    <mergeCell ref="E9:F9"/>
    <mergeCell ref="E10:F10"/>
    <mergeCell ref="I9:M11"/>
    <mergeCell ref="H7:H8"/>
    <mergeCell ref="H9:H11"/>
    <mergeCell ref="E11:F11"/>
    <mergeCell ref="C5:F5"/>
    <mergeCell ref="G5:M5"/>
    <mergeCell ref="I6:J6"/>
    <mergeCell ref="I7:M8"/>
    <mergeCell ref="C3:M4"/>
  </mergeCells>
  <pageMargins left="0.7" right="0.7" top="0.75" bottom="0.75" header="0.3" footer="0.3"/>
  <pageSetup paperSize="9" orientation="portrait" horizontalDpi="4294967293" verticalDpi="4294967293" r:id="rId1"/>
  <drawing r:id="rId2"/>
  <webPublishItems count="1">
    <webPublishItem id="29578" divId="Vasantham Smart 30.1 ( NEW )_29578" sourceType="sheet" destinationFile="D:\VASANTHAM\Vasantham Smart 30.1 ( NEW ).htm"/>
  </webPublishItems>
</worksheet>
</file>

<file path=xl/worksheets/sheet31.xml><?xml version="1.0" encoding="utf-8"?>
<worksheet xmlns="http://schemas.openxmlformats.org/spreadsheetml/2006/main" xmlns:r="http://schemas.openxmlformats.org/officeDocument/2006/relationships">
  <sheetPr codeName="Sheet67"/>
  <dimension ref="A1:T121"/>
  <sheetViews>
    <sheetView showGridLines="0" showRowColHeaders="0" workbookViewId="0">
      <selection activeCell="P20" sqref="P20"/>
    </sheetView>
  </sheetViews>
  <sheetFormatPr defaultColWidth="0" defaultRowHeight="0" customHeight="1" zeroHeight="1"/>
  <cols>
    <col min="1" max="1" width="10.5" style="641" customWidth="1"/>
    <col min="2" max="3" width="3.5" style="150" customWidth="1"/>
    <col min="4" max="4" width="12.375" style="150" customWidth="1"/>
    <col min="5" max="5" width="16.375" style="150" customWidth="1"/>
    <col min="6" max="6" width="13.875" style="150" customWidth="1"/>
    <col min="7" max="7" width="6.625" style="150" customWidth="1"/>
    <col min="8" max="8" width="12.5" style="150" customWidth="1"/>
    <col min="9" max="9" width="10.625" style="150" customWidth="1"/>
    <col min="10" max="10" width="9.5" style="150" customWidth="1"/>
    <col min="11" max="11" width="13" style="150" customWidth="1"/>
    <col min="12" max="12" width="9.5" style="150" customWidth="1"/>
    <col min="13" max="13" width="5.375" style="150" customWidth="1"/>
    <col min="14" max="14" width="3.375" style="150" customWidth="1"/>
    <col min="15" max="15" width="14.875" style="150" customWidth="1"/>
    <col min="16" max="16" width="8.625" style="150" customWidth="1"/>
    <col min="17" max="17" width="7.625" style="150" customWidth="1"/>
    <col min="18" max="16384" width="0" style="150" hidden="1"/>
  </cols>
  <sheetData>
    <row r="1" spans="1:20" ht="6.75" customHeight="1"/>
    <row r="2" spans="1:20" ht="15.75" customHeight="1">
      <c r="J2" s="2471">
        <f ca="1">TODAY()</f>
        <v>43229</v>
      </c>
      <c r="K2" s="2471"/>
      <c r="L2" s="2471"/>
    </row>
    <row r="3" spans="1:20" ht="15.75" customHeight="1">
      <c r="A3" s="675"/>
      <c r="I3" s="226"/>
      <c r="J3" s="674"/>
      <c r="K3" s="226"/>
      <c r="L3" s="226"/>
      <c r="M3" s="735"/>
      <c r="N3" s="735"/>
      <c r="O3" s="735"/>
      <c r="P3" s="735"/>
      <c r="Q3" s="225"/>
    </row>
    <row r="4" spans="1:20" ht="6.75" customHeight="1"/>
    <row r="5" spans="1:20" ht="15.75" customHeight="1">
      <c r="A5" s="670"/>
      <c r="H5" s="254"/>
      <c r="I5" s="254"/>
      <c r="J5" s="2472" t="str">
        <f>CONCATENATE("PLAN NO  :  ",(998))</f>
        <v>PLAN NO  :  998</v>
      </c>
      <c r="K5" s="2472"/>
      <c r="L5" s="2472"/>
      <c r="M5" s="672"/>
      <c r="O5" s="673"/>
    </row>
    <row r="6" spans="1:20" ht="15.75" customHeight="1">
      <c r="A6" s="670"/>
      <c r="C6" s="2473" t="s">
        <v>781</v>
      </c>
      <c r="D6" s="2473"/>
      <c r="E6" s="2473"/>
      <c r="F6" s="2473"/>
      <c r="G6" s="2473"/>
      <c r="H6" s="254"/>
      <c r="I6" s="254"/>
      <c r="J6" s="2472" t="str">
        <f>CONCATENATE("UIN          :  512A212V01 ")</f>
        <v xml:space="preserve">UIN          :  512A212V01 </v>
      </c>
      <c r="K6" s="2472"/>
      <c r="L6" s="2472"/>
      <c r="M6" s="672"/>
      <c r="T6" s="222"/>
    </row>
    <row r="7" spans="1:20" ht="15.75" customHeight="1">
      <c r="A7" s="670"/>
      <c r="B7" s="221"/>
      <c r="C7" s="2473"/>
      <c r="D7" s="2473"/>
      <c r="E7" s="2473"/>
      <c r="F7" s="2473"/>
      <c r="G7" s="2473"/>
      <c r="H7" s="2470" t="s">
        <v>796</v>
      </c>
      <c r="I7" s="2470"/>
      <c r="J7" s="2472" t="str">
        <f>CONCATENATE("AGE         :  ",(Main!E9),  " ", " "," ",       "YEARS")</f>
        <v>AGE         :  30   YEARS</v>
      </c>
      <c r="K7" s="2472"/>
      <c r="L7" s="2472"/>
      <c r="M7" s="672"/>
      <c r="N7" s="253"/>
      <c r="O7" s="2453" t="s">
        <v>228</v>
      </c>
      <c r="P7" s="2453"/>
      <c r="Q7" s="2453"/>
      <c r="T7" s="150" t="s">
        <v>303</v>
      </c>
    </row>
    <row r="8" spans="1:20" ht="9.75" customHeight="1" thickBot="1">
      <c r="A8" s="670"/>
      <c r="B8" s="216"/>
      <c r="C8" s="2474"/>
      <c r="D8" s="2474"/>
      <c r="E8" s="2474"/>
      <c r="F8" s="2474"/>
      <c r="G8" s="2474"/>
      <c r="H8" s="2470"/>
      <c r="I8" s="2470"/>
      <c r="J8" s="723"/>
      <c r="K8" s="723"/>
      <c r="L8" s="723"/>
      <c r="M8" s="671"/>
      <c r="N8" s="739"/>
      <c r="O8" s="2453"/>
      <c r="P8" s="2453"/>
      <c r="Q8" s="2453"/>
    </row>
    <row r="9" spans="1:20" ht="15.75" customHeight="1" thickTop="1">
      <c r="A9" s="670"/>
      <c r="B9" s="191"/>
      <c r="C9" s="2454" t="s">
        <v>761</v>
      </c>
      <c r="D9" s="2454"/>
      <c r="E9" s="2454"/>
      <c r="F9" s="2454"/>
      <c r="G9" s="2454"/>
      <c r="H9" s="2470"/>
      <c r="I9" s="2470"/>
      <c r="J9" s="660"/>
      <c r="K9" s="660"/>
      <c r="L9" s="660"/>
      <c r="M9" s="660"/>
      <c r="N9" s="357"/>
      <c r="O9" s="1526" t="s">
        <v>226</v>
      </c>
      <c r="P9" s="1526"/>
      <c r="Q9" s="1526"/>
      <c r="R9" s="1526"/>
    </row>
    <row r="10" spans="1:20" ht="15.75" customHeight="1">
      <c r="A10" s="669"/>
      <c r="B10" s="191"/>
      <c r="C10" s="2454" t="str">
        <f>CONCATENATE(Main!E8,(Main!F8))</f>
        <v>Sri.soumil</v>
      </c>
      <c r="D10" s="2454"/>
      <c r="E10" s="2454"/>
      <c r="F10" s="2454"/>
      <c r="G10" s="2454"/>
      <c r="H10" s="2470"/>
      <c r="I10" s="2470"/>
      <c r="J10" s="668"/>
      <c r="K10" s="668"/>
      <c r="L10" s="668"/>
      <c r="M10" s="668"/>
      <c r="N10" s="355"/>
      <c r="O10" s="1526"/>
      <c r="P10" s="1526"/>
      <c r="Q10" s="1526"/>
      <c r="R10" s="1526"/>
    </row>
    <row r="11" spans="1:20" ht="18.75" customHeight="1" thickBot="1">
      <c r="D11" s="249"/>
      <c r="E11" s="717"/>
      <c r="F11" s="717"/>
      <c r="G11" s="2457" t="s">
        <v>319</v>
      </c>
      <c r="H11" s="2457"/>
      <c r="I11" s="2457"/>
      <c r="J11" s="714"/>
      <c r="K11" s="714"/>
      <c r="L11" s="714"/>
      <c r="M11" s="666"/>
      <c r="N11" s="740"/>
      <c r="O11" s="740"/>
      <c r="P11" s="740"/>
      <c r="Q11" s="206"/>
    </row>
    <row r="12" spans="1:20" ht="16.7" customHeight="1" thickTop="1">
      <c r="A12" s="659"/>
      <c r="B12" s="346"/>
      <c r="C12" s="2458" t="s">
        <v>2112</v>
      </c>
      <c r="D12" s="2459"/>
      <c r="E12" s="2460"/>
      <c r="F12" s="717"/>
      <c r="G12" s="2457"/>
      <c r="H12" s="2457"/>
      <c r="I12" s="2457"/>
      <c r="J12" s="714"/>
      <c r="K12" s="2467" t="s">
        <v>783</v>
      </c>
      <c r="L12" s="2467"/>
      <c r="M12" s="666"/>
      <c r="N12" s="203"/>
      <c r="O12" s="203"/>
      <c r="P12" s="203"/>
      <c r="Q12" s="203"/>
    </row>
    <row r="13" spans="1:20" ht="16.7" customHeight="1" thickBot="1">
      <c r="A13" s="667"/>
      <c r="B13" s="346"/>
      <c r="C13" s="2461"/>
      <c r="D13" s="2462"/>
      <c r="E13" s="2463"/>
      <c r="F13" s="664"/>
      <c r="G13" s="2457"/>
      <c r="H13" s="2457"/>
      <c r="I13" s="2457"/>
      <c r="J13" s="714"/>
      <c r="K13" s="2467"/>
      <c r="L13" s="2467"/>
      <c r="M13" s="666"/>
      <c r="N13" s="203"/>
      <c r="O13" s="1598" t="s">
        <v>232</v>
      </c>
      <c r="P13" s="1598"/>
      <c r="Q13" s="1598"/>
      <c r="R13" s="736"/>
    </row>
    <row r="14" spans="1:20" ht="17.25" customHeight="1" thickTop="1" thickBot="1">
      <c r="A14" s="665"/>
      <c r="B14" s="346"/>
      <c r="C14" s="2464" t="s">
        <v>230</v>
      </c>
      <c r="D14" s="2464"/>
      <c r="E14" s="720" t="s">
        <v>791</v>
      </c>
      <c r="F14" s="2468" t="s">
        <v>782</v>
      </c>
      <c r="G14" s="2469"/>
      <c r="H14" s="2469"/>
      <c r="I14" s="2469"/>
      <c r="J14" s="2469"/>
      <c r="K14" s="2467"/>
      <c r="L14" s="2467"/>
      <c r="M14" s="246"/>
      <c r="N14" s="197"/>
      <c r="O14" s="1598"/>
      <c r="P14" s="1598"/>
      <c r="Q14" s="1598"/>
      <c r="R14" s="736"/>
    </row>
    <row r="15" spans="1:20" ht="17.25" customHeight="1" thickTop="1">
      <c r="A15" s="728">
        <f>Main!E11</f>
        <v>25</v>
      </c>
      <c r="B15" s="353"/>
      <c r="C15" s="2465" t="s">
        <v>196</v>
      </c>
      <c r="D15" s="2465"/>
      <c r="E15" s="731" t="str">
        <f>PM!BD486</f>
        <v/>
      </c>
      <c r="F15" s="2456" t="str">
        <f>CONCATENATE("♣    An Additional Benefit of Rs."," ",(Main!N11)," ","for Critical Illness purpose along with  your"," ",(Main!E11)," ","Years"," ",(Main!I7)," ","Policy.")</f>
        <v>♣    An Additional Benefit of Rs.  for Critical Illness purpose along with  your 25 Years JEEVAN LAKSHYA Policy.</v>
      </c>
      <c r="G15" s="2456"/>
      <c r="H15" s="2456"/>
      <c r="I15" s="2456"/>
      <c r="J15" s="2456"/>
      <c r="K15" s="2466" t="str">
        <f>CONCATENATE("Rs.  ",(Main!N11))</f>
        <v xml:space="preserve">Rs.  </v>
      </c>
      <c r="L15" s="2466"/>
      <c r="M15" s="246"/>
      <c r="N15" s="349"/>
      <c r="O15" s="2228" t="s">
        <v>226</v>
      </c>
      <c r="P15" s="1526"/>
      <c r="Q15" s="1526"/>
      <c r="R15" s="1526"/>
      <c r="S15" s="663"/>
      <c r="T15" s="663"/>
    </row>
    <row r="16" spans="1:20" ht="16.5" customHeight="1">
      <c r="A16" s="659"/>
      <c r="B16" s="353"/>
      <c r="C16" s="2436" t="s">
        <v>720</v>
      </c>
      <c r="D16" s="2436"/>
      <c r="E16" s="732" t="str">
        <f>PM!BD487</f>
        <v/>
      </c>
      <c r="F16" s="2456"/>
      <c r="G16" s="2456"/>
      <c r="H16" s="2456"/>
      <c r="I16" s="2456"/>
      <c r="J16" s="2456"/>
      <c r="K16" s="2466"/>
      <c r="L16" s="2466"/>
      <c r="M16" s="658"/>
      <c r="N16" s="662"/>
      <c r="O16" s="2228"/>
      <c r="P16" s="1526"/>
      <c r="Q16" s="1526"/>
      <c r="R16" s="1526"/>
    </row>
    <row r="17" spans="1:18" ht="21" customHeight="1">
      <c r="A17" s="659"/>
      <c r="B17" s="191"/>
      <c r="C17" s="2436" t="s">
        <v>198</v>
      </c>
      <c r="D17" s="2436"/>
      <c r="E17" s="732" t="str">
        <f>PM!BD488</f>
        <v/>
      </c>
      <c r="F17" s="2456"/>
      <c r="G17" s="2456"/>
      <c r="H17" s="2456"/>
      <c r="I17" s="2456"/>
      <c r="J17" s="2456"/>
      <c r="K17" s="655"/>
      <c r="L17" s="655"/>
      <c r="M17" s="654"/>
      <c r="N17" s="662"/>
      <c r="O17" s="713"/>
      <c r="P17" s="713"/>
      <c r="Q17" s="713"/>
      <c r="R17" s="713"/>
    </row>
    <row r="18" spans="1:18" ht="18" customHeight="1">
      <c r="A18" s="659"/>
      <c r="B18" s="191"/>
      <c r="C18" s="2436" t="s">
        <v>719</v>
      </c>
      <c r="D18" s="2436"/>
      <c r="E18" s="732" t="str">
        <f>PM!BD489</f>
        <v/>
      </c>
      <c r="F18" s="2455" t="s">
        <v>794</v>
      </c>
      <c r="G18" s="2455"/>
      <c r="H18" s="2455"/>
      <c r="I18" s="2455"/>
      <c r="J18" s="2455"/>
      <c r="K18" s="724"/>
      <c r="L18" s="678"/>
      <c r="M18" s="657"/>
      <c r="N18" s="642"/>
      <c r="O18" s="642"/>
      <c r="P18" s="716"/>
      <c r="Q18" s="661"/>
      <c r="R18" s="742"/>
    </row>
    <row r="19" spans="1:18" ht="18" customHeight="1">
      <c r="A19" s="659"/>
      <c r="B19" s="191"/>
      <c r="C19" s="658"/>
      <c r="D19" s="658"/>
      <c r="E19" s="658"/>
      <c r="F19" s="2455"/>
      <c r="G19" s="2455"/>
      <c r="H19" s="2455"/>
      <c r="I19" s="2455"/>
      <c r="J19" s="2455"/>
      <c r="K19" s="724"/>
      <c r="L19" s="678"/>
      <c r="M19" s="738"/>
      <c r="N19" s="642"/>
      <c r="O19" s="642"/>
      <c r="P19" s="716"/>
      <c r="Q19" s="203"/>
    </row>
    <row r="20" spans="1:18" ht="15.75" customHeight="1">
      <c r="A20" s="659"/>
      <c r="B20" s="191"/>
      <c r="C20" s="658"/>
      <c r="D20" s="658"/>
      <c r="E20" s="658"/>
      <c r="F20" s="2469" t="str">
        <f>CONCATENATE("♣   On first diagnosis of any one of the 15  Critical Illnesses given below, Critical Illness Benefit Rs."," ",(Main!N11)," ", "is paid only once during the policy term.")</f>
        <v>♣   On first diagnosis of any one of the 15  Critical Illnesses given below, Critical Illness Benefit Rs.  is paid only once during the policy term.</v>
      </c>
      <c r="G20" s="2469"/>
      <c r="H20" s="2469"/>
      <c r="I20" s="2469"/>
      <c r="J20" s="2469"/>
      <c r="K20" s="730"/>
      <c r="L20" s="657"/>
      <c r="M20" s="657"/>
      <c r="N20" s="656"/>
      <c r="O20" s="348"/>
      <c r="P20" s="348"/>
      <c r="Q20" s="347"/>
    </row>
    <row r="21" spans="1:18" ht="15.75" customHeight="1">
      <c r="A21" s="652"/>
      <c r="B21" s="162"/>
      <c r="C21" s="655"/>
      <c r="D21" s="654"/>
      <c r="E21" s="654"/>
      <c r="F21" s="2469"/>
      <c r="G21" s="2469"/>
      <c r="H21" s="2469"/>
      <c r="I21" s="2469"/>
      <c r="J21" s="2469"/>
      <c r="K21" s="730"/>
      <c r="L21" s="738"/>
      <c r="M21" s="650"/>
      <c r="N21" s="348"/>
      <c r="O21" s="348"/>
      <c r="P21" s="348"/>
      <c r="Q21" s="347"/>
    </row>
    <row r="22" spans="1:18" ht="15.75" customHeight="1">
      <c r="A22" s="652"/>
      <c r="B22" s="162"/>
      <c r="C22" s="653"/>
      <c r="D22" s="653"/>
      <c r="E22" s="653"/>
      <c r="F22" s="2469"/>
      <c r="G22" s="2469"/>
      <c r="H22" s="2469"/>
      <c r="I22" s="2469"/>
      <c r="J22" s="2469"/>
      <c r="K22" s="730"/>
      <c r="L22" s="715"/>
      <c r="M22" s="752"/>
      <c r="N22" s="348"/>
      <c r="O22" s="348"/>
      <c r="P22" s="348"/>
      <c r="Q22" s="347"/>
    </row>
    <row r="23" spans="1:18" ht="13.5" customHeight="1">
      <c r="A23" s="652"/>
      <c r="B23" s="162"/>
      <c r="C23" s="2483"/>
      <c r="D23" s="651"/>
      <c r="E23" s="651"/>
      <c r="F23" s="2469"/>
      <c r="G23" s="2469"/>
      <c r="H23" s="2469"/>
      <c r="I23" s="2469"/>
      <c r="J23" s="2469"/>
      <c r="K23" s="730"/>
      <c r="L23" s="715"/>
      <c r="M23" s="752"/>
      <c r="N23" s="348"/>
      <c r="O23" s="348"/>
      <c r="P23" s="348"/>
      <c r="Q23" s="347"/>
    </row>
    <row r="24" spans="1:18" ht="15.75" customHeight="1">
      <c r="A24" s="652"/>
      <c r="B24" s="162"/>
      <c r="C24" s="2483"/>
      <c r="D24" s="651"/>
      <c r="E24" s="651"/>
      <c r="F24" s="2469"/>
      <c r="G24" s="2469"/>
      <c r="H24" s="2469"/>
      <c r="I24" s="2469"/>
      <c r="J24" s="2469"/>
      <c r="K24" s="677"/>
      <c r="L24" s="677"/>
      <c r="M24" s="752"/>
      <c r="N24" s="348"/>
      <c r="O24" s="348"/>
      <c r="P24" s="348"/>
      <c r="Q24" s="347"/>
    </row>
    <row r="25" spans="1:18" ht="15.75" customHeight="1">
      <c r="A25" s="2290"/>
      <c r="C25" s="241"/>
      <c r="D25" s="241"/>
      <c r="E25" s="241"/>
      <c r="F25" s="650"/>
      <c r="G25" s="2477" t="s">
        <v>138</v>
      </c>
      <c r="H25" s="2477" t="s">
        <v>760</v>
      </c>
      <c r="I25" s="2480" t="s">
        <v>795</v>
      </c>
      <c r="J25" s="677"/>
      <c r="K25" s="677"/>
      <c r="L25" s="677"/>
      <c r="M25" s="752"/>
      <c r="N25" s="741"/>
      <c r="O25" s="741"/>
      <c r="P25" s="741"/>
      <c r="Q25" s="241"/>
    </row>
    <row r="26" spans="1:18" ht="15.75" customHeight="1">
      <c r="A26" s="2290"/>
      <c r="C26" s="2482" t="s">
        <v>784</v>
      </c>
      <c r="D26" s="2482"/>
      <c r="E26" s="2482"/>
      <c r="F26" s="2482"/>
      <c r="G26" s="2478"/>
      <c r="H26" s="2478"/>
      <c r="I26" s="2481"/>
      <c r="J26" s="2479" t="s">
        <v>843</v>
      </c>
      <c r="K26" s="2479"/>
      <c r="L26" s="2479"/>
      <c r="M26" s="2479"/>
      <c r="N26" s="737"/>
      <c r="O26" s="737"/>
      <c r="P26" s="737"/>
      <c r="Q26" s="186"/>
    </row>
    <row r="27" spans="1:18" ht="15.75" customHeight="1">
      <c r="A27" s="725">
        <v>0</v>
      </c>
      <c r="C27" s="2482"/>
      <c r="D27" s="2482"/>
      <c r="E27" s="2482"/>
      <c r="F27" s="2482"/>
      <c r="G27" s="726">
        <f>Main!E9</f>
        <v>30</v>
      </c>
      <c r="H27" s="646" t="str">
        <f ca="1">IF(A27&lt;$A$15,(((DAY(NOW())&amp;"/")&amp;MONTH(NOW()))&amp;"/")&amp;((YEAR(NOW()))),0)</f>
        <v>9/5/2018</v>
      </c>
      <c r="I27" s="726" t="str">
        <f>PM!BD446</f>
        <v/>
      </c>
      <c r="J27" s="2479"/>
      <c r="K27" s="2479"/>
      <c r="L27" s="2479"/>
      <c r="M27" s="2479"/>
      <c r="N27" s="737"/>
      <c r="O27" s="737"/>
      <c r="P27" s="737"/>
      <c r="Q27" s="186"/>
    </row>
    <row r="28" spans="1:18" ht="15.75" customHeight="1">
      <c r="A28" s="725">
        <v>1</v>
      </c>
      <c r="C28" s="643"/>
      <c r="D28" s="642"/>
      <c r="E28" s="214"/>
      <c r="F28" s="648"/>
      <c r="G28" s="727">
        <f>IF(A28&lt;$A$15,$G$27+A28," ")</f>
        <v>31</v>
      </c>
      <c r="H28" s="646" t="str">
        <f ca="1">IF(A28&lt;$A$15,(((DAY(NOW())&amp;"/")&amp;MONTH(NOW()))&amp;"/")&amp;((YEAR(NOW())))+A28," ")</f>
        <v>9/5/2019</v>
      </c>
      <c r="I28" s="726" t="str">
        <f>PM!BD447</f>
        <v/>
      </c>
      <c r="J28" s="2479"/>
      <c r="K28" s="2479"/>
      <c r="L28" s="2479"/>
      <c r="M28" s="2479"/>
      <c r="N28" s="344"/>
      <c r="O28" s="344"/>
      <c r="P28" s="344"/>
      <c r="Q28" s="344"/>
    </row>
    <row r="29" spans="1:18" ht="15.75" customHeight="1">
      <c r="A29" s="725">
        <v>2</v>
      </c>
      <c r="C29" s="643">
        <v>1</v>
      </c>
      <c r="D29" s="2437" t="s">
        <v>759</v>
      </c>
      <c r="E29" s="2437"/>
      <c r="F29" s="2438"/>
      <c r="G29" s="727">
        <f t="shared" ref="G29:G61" si="0">IF(A29&lt;$A$15,$G$27+A29," ")</f>
        <v>32</v>
      </c>
      <c r="H29" s="646" t="str">
        <f t="shared" ref="H29:H61" ca="1" si="1">IF(A29&lt;$A$15,(((DAY(NOW())&amp;"/")&amp;MONTH(NOW()))&amp;"/")&amp;((YEAR(NOW())))+A29," ")</f>
        <v>9/5/2020</v>
      </c>
      <c r="I29" s="726" t="str">
        <f>PM!BD448</f>
        <v/>
      </c>
      <c r="J29" s="2475" t="str">
        <f ca="1">(((DAY(NOW())&amp;"/")&amp;MONTH(NOW()))&amp;"/")&amp;((YEAR(NOW())))+A15</f>
        <v>9/5/2043</v>
      </c>
      <c r="K29" s="2476"/>
      <c r="L29" s="2476"/>
      <c r="M29" s="2476"/>
      <c r="N29" s="344"/>
      <c r="O29" s="344"/>
      <c r="P29" s="344"/>
      <c r="Q29" s="344"/>
    </row>
    <row r="30" spans="1:18" ht="15.75" customHeight="1">
      <c r="A30" s="725">
        <v>3</v>
      </c>
      <c r="C30" s="648">
        <f t="shared" ref="C30:C43" si="2">C29+1</f>
        <v>2</v>
      </c>
      <c r="D30" s="2437" t="s">
        <v>757</v>
      </c>
      <c r="E30" s="2437"/>
      <c r="F30" s="2438"/>
      <c r="G30" s="727">
        <f t="shared" si="0"/>
        <v>33</v>
      </c>
      <c r="H30" s="646" t="str">
        <f t="shared" ca="1" si="1"/>
        <v>9/5/2021</v>
      </c>
      <c r="I30" s="726" t="str">
        <f>PM!BD449</f>
        <v/>
      </c>
      <c r="J30" s="2475"/>
      <c r="K30" s="2476"/>
      <c r="L30" s="2476"/>
      <c r="M30" s="2476"/>
      <c r="N30" s="344"/>
      <c r="O30" s="344"/>
      <c r="P30" s="344"/>
      <c r="Q30" s="344"/>
    </row>
    <row r="31" spans="1:18" ht="15.75" customHeight="1">
      <c r="A31" s="725">
        <v>4</v>
      </c>
      <c r="C31" s="648">
        <f t="shared" si="2"/>
        <v>3</v>
      </c>
      <c r="D31" s="2437" t="s">
        <v>758</v>
      </c>
      <c r="E31" s="2437"/>
      <c r="F31" s="2438"/>
      <c r="G31" s="727">
        <f t="shared" si="0"/>
        <v>34</v>
      </c>
      <c r="H31" s="646" t="str">
        <f t="shared" ca="1" si="1"/>
        <v>9/5/2022</v>
      </c>
      <c r="I31" s="726" t="str">
        <f>PM!BD450</f>
        <v/>
      </c>
      <c r="J31" s="722"/>
      <c r="K31" s="676"/>
      <c r="L31" s="676"/>
      <c r="M31" s="642"/>
      <c r="N31" s="344"/>
      <c r="O31" s="344"/>
      <c r="P31" s="344"/>
      <c r="Q31" s="344"/>
    </row>
    <row r="32" spans="1:18" ht="15.75" customHeight="1">
      <c r="A32" s="725">
        <v>5</v>
      </c>
      <c r="C32" s="648">
        <f t="shared" si="2"/>
        <v>4</v>
      </c>
      <c r="D32" s="2437" t="s">
        <v>755</v>
      </c>
      <c r="E32" s="2437"/>
      <c r="F32" s="2438"/>
      <c r="G32" s="727">
        <f t="shared" si="0"/>
        <v>35</v>
      </c>
      <c r="H32" s="646" t="str">
        <f t="shared" ca="1" si="1"/>
        <v>9/5/2023</v>
      </c>
      <c r="I32" s="726" t="str">
        <f>PM!BD451</f>
        <v/>
      </c>
      <c r="J32" s="722"/>
      <c r="K32" s="676"/>
      <c r="L32" s="676"/>
      <c r="M32" s="642"/>
      <c r="N32" s="344"/>
      <c r="O32" s="344"/>
      <c r="P32" s="344"/>
      <c r="Q32" s="344"/>
    </row>
    <row r="33" spans="1:17" ht="15.75" customHeight="1">
      <c r="A33" s="725">
        <v>6</v>
      </c>
      <c r="C33" s="648">
        <f t="shared" si="2"/>
        <v>5</v>
      </c>
      <c r="D33" s="2437" t="s">
        <v>785</v>
      </c>
      <c r="E33" s="2437"/>
      <c r="F33" s="2438"/>
      <c r="G33" s="727">
        <f t="shared" si="0"/>
        <v>36</v>
      </c>
      <c r="H33" s="646" t="str">
        <f t="shared" ca="1" si="1"/>
        <v>9/5/2024</v>
      </c>
      <c r="I33" s="726" t="str">
        <f>PM!BD452</f>
        <v/>
      </c>
      <c r="J33" s="722"/>
      <c r="K33" s="676"/>
      <c r="L33" s="676"/>
      <c r="M33" s="642"/>
      <c r="N33" s="344"/>
      <c r="O33" s="344"/>
      <c r="P33" s="344"/>
      <c r="Q33" s="344"/>
    </row>
    <row r="34" spans="1:17" ht="15.75" customHeight="1">
      <c r="A34" s="725">
        <v>7</v>
      </c>
      <c r="C34" s="648">
        <f t="shared" si="2"/>
        <v>6</v>
      </c>
      <c r="D34" s="2437" t="s">
        <v>786</v>
      </c>
      <c r="E34" s="2437"/>
      <c r="F34" s="2438"/>
      <c r="G34" s="727">
        <f t="shared" si="0"/>
        <v>37</v>
      </c>
      <c r="H34" s="646" t="str">
        <f t="shared" ca="1" si="1"/>
        <v>9/5/2025</v>
      </c>
      <c r="I34" s="726" t="str">
        <f>PM!BD453</f>
        <v/>
      </c>
      <c r="J34" s="722"/>
      <c r="K34" s="676"/>
      <c r="L34" s="676"/>
      <c r="M34" s="642"/>
      <c r="N34" s="344"/>
      <c r="O34" s="344"/>
      <c r="P34" s="344"/>
      <c r="Q34" s="344"/>
    </row>
    <row r="35" spans="1:17" ht="15.75" customHeight="1">
      <c r="A35" s="725">
        <v>8</v>
      </c>
      <c r="B35" s="649"/>
      <c r="C35" s="648">
        <f t="shared" si="2"/>
        <v>7</v>
      </c>
      <c r="D35" s="2437" t="s">
        <v>754</v>
      </c>
      <c r="E35" s="2437"/>
      <c r="F35" s="2438"/>
      <c r="G35" s="727">
        <f t="shared" si="0"/>
        <v>38</v>
      </c>
      <c r="H35" s="646" t="str">
        <f t="shared" ca="1" si="1"/>
        <v>9/5/2026</v>
      </c>
      <c r="I35" s="726" t="str">
        <f>PM!BD454</f>
        <v/>
      </c>
      <c r="J35" s="722"/>
      <c r="K35" s="676"/>
      <c r="L35" s="676"/>
      <c r="M35" s="642"/>
      <c r="N35" s="344"/>
      <c r="O35" s="344"/>
      <c r="P35" s="344"/>
      <c r="Q35" s="344"/>
    </row>
    <row r="36" spans="1:17" ht="15.75" customHeight="1">
      <c r="A36" s="725">
        <v>9</v>
      </c>
      <c r="B36" s="649"/>
      <c r="C36" s="648">
        <f t="shared" si="2"/>
        <v>8</v>
      </c>
      <c r="D36" s="2437" t="s">
        <v>789</v>
      </c>
      <c r="E36" s="2437"/>
      <c r="F36" s="2438"/>
      <c r="G36" s="727">
        <f t="shared" si="0"/>
        <v>39</v>
      </c>
      <c r="H36" s="646" t="str">
        <f t="shared" ca="1" si="1"/>
        <v>9/5/2027</v>
      </c>
      <c r="I36" s="726" t="str">
        <f>PM!BD455</f>
        <v/>
      </c>
      <c r="J36" s="722"/>
      <c r="K36" s="676"/>
      <c r="L36" s="676"/>
      <c r="M36" s="642"/>
      <c r="N36" s="344"/>
      <c r="O36" s="344"/>
      <c r="P36" s="344"/>
      <c r="Q36" s="344"/>
    </row>
    <row r="37" spans="1:17" ht="15.75" customHeight="1">
      <c r="A37" s="725">
        <v>10</v>
      </c>
      <c r="B37" s="644"/>
      <c r="C37" s="648">
        <f t="shared" si="2"/>
        <v>9</v>
      </c>
      <c r="D37" s="2437" t="s">
        <v>787</v>
      </c>
      <c r="E37" s="2437"/>
      <c r="F37" s="2438"/>
      <c r="G37" s="727">
        <f t="shared" si="0"/>
        <v>40</v>
      </c>
      <c r="H37" s="646" t="str">
        <f t="shared" ca="1" si="1"/>
        <v>9/5/2028</v>
      </c>
      <c r="I37" s="726" t="str">
        <f>PM!BD456</f>
        <v/>
      </c>
      <c r="J37" s="722"/>
      <c r="K37" s="676"/>
      <c r="L37" s="676"/>
      <c r="M37" s="642"/>
      <c r="N37" s="344"/>
      <c r="O37" s="344"/>
      <c r="P37" s="344"/>
      <c r="Q37" s="344"/>
    </row>
    <row r="38" spans="1:17" ht="15.75" customHeight="1">
      <c r="A38" s="725">
        <v>11</v>
      </c>
      <c r="B38" s="644"/>
      <c r="C38" s="648">
        <f t="shared" si="2"/>
        <v>10</v>
      </c>
      <c r="D38" s="2437" t="s">
        <v>788</v>
      </c>
      <c r="E38" s="2437"/>
      <c r="F38" s="2438"/>
      <c r="G38" s="727">
        <f t="shared" si="0"/>
        <v>41</v>
      </c>
      <c r="H38" s="646" t="str">
        <f t="shared" ca="1" si="1"/>
        <v>9/5/2029</v>
      </c>
      <c r="I38" s="726" t="str">
        <f>PM!BD457</f>
        <v/>
      </c>
      <c r="J38" s="722"/>
      <c r="K38" s="676"/>
      <c r="L38" s="676"/>
      <c r="M38" s="642"/>
      <c r="N38" s="344"/>
      <c r="O38" s="344"/>
      <c r="P38" s="344"/>
      <c r="Q38" s="344"/>
    </row>
    <row r="39" spans="1:17" ht="15.75" customHeight="1">
      <c r="A39" s="725">
        <v>12</v>
      </c>
      <c r="B39" s="644"/>
      <c r="C39" s="648">
        <f t="shared" si="2"/>
        <v>11</v>
      </c>
      <c r="D39" s="2437" t="s">
        <v>752</v>
      </c>
      <c r="E39" s="2437"/>
      <c r="F39" s="2438"/>
      <c r="G39" s="727">
        <f t="shared" si="0"/>
        <v>42</v>
      </c>
      <c r="H39" s="646" t="str">
        <f t="shared" ca="1" si="1"/>
        <v>9/5/2030</v>
      </c>
      <c r="I39" s="726" t="str">
        <f>PM!BD458</f>
        <v/>
      </c>
      <c r="J39" s="722"/>
      <c r="K39" s="676"/>
      <c r="L39" s="676"/>
      <c r="M39" s="642"/>
      <c r="N39" s="344"/>
      <c r="O39" s="344"/>
      <c r="P39" s="344"/>
      <c r="Q39" s="344"/>
    </row>
    <row r="40" spans="1:17" ht="15.75" customHeight="1">
      <c r="A40" s="725">
        <v>13</v>
      </c>
      <c r="B40" s="644"/>
      <c r="C40" s="648">
        <f t="shared" si="2"/>
        <v>12</v>
      </c>
      <c r="D40" s="2437" t="s">
        <v>751</v>
      </c>
      <c r="E40" s="2437"/>
      <c r="F40" s="2438"/>
      <c r="G40" s="727">
        <f t="shared" si="0"/>
        <v>43</v>
      </c>
      <c r="H40" s="646" t="str">
        <f t="shared" ca="1" si="1"/>
        <v>9/5/2031</v>
      </c>
      <c r="I40" s="726" t="str">
        <f>PM!BD459</f>
        <v/>
      </c>
      <c r="J40" s="722"/>
      <c r="K40" s="676"/>
      <c r="L40" s="676"/>
      <c r="M40" s="642"/>
      <c r="N40" s="344"/>
      <c r="O40" s="344"/>
      <c r="P40" s="344"/>
      <c r="Q40" s="344"/>
    </row>
    <row r="41" spans="1:17" ht="15.75" customHeight="1">
      <c r="A41" s="725">
        <v>14</v>
      </c>
      <c r="B41" s="644"/>
      <c r="C41" s="648">
        <f t="shared" si="2"/>
        <v>13</v>
      </c>
      <c r="D41" s="2437" t="s">
        <v>756</v>
      </c>
      <c r="E41" s="2437"/>
      <c r="F41" s="2438"/>
      <c r="G41" s="727">
        <f t="shared" si="0"/>
        <v>44</v>
      </c>
      <c r="H41" s="646" t="str">
        <f t="shared" ca="1" si="1"/>
        <v>9/5/2032</v>
      </c>
      <c r="I41" s="726" t="str">
        <f>PM!BD460</f>
        <v/>
      </c>
      <c r="J41" s="722"/>
      <c r="K41" s="676"/>
      <c r="L41" s="676"/>
      <c r="M41" s="642"/>
      <c r="N41" s="344"/>
      <c r="O41" s="344"/>
      <c r="P41" s="344"/>
      <c r="Q41" s="344"/>
    </row>
    <row r="42" spans="1:17" ht="15.75" customHeight="1" thickBot="1">
      <c r="A42" s="725">
        <v>15</v>
      </c>
      <c r="B42" s="644"/>
      <c r="C42" s="648">
        <f t="shared" si="2"/>
        <v>14</v>
      </c>
      <c r="D42" s="2437" t="s">
        <v>753</v>
      </c>
      <c r="E42" s="2437"/>
      <c r="F42" s="2438"/>
      <c r="G42" s="727">
        <f t="shared" si="0"/>
        <v>45</v>
      </c>
      <c r="H42" s="646" t="str">
        <f t="shared" ca="1" si="1"/>
        <v>9/5/2033</v>
      </c>
      <c r="I42" s="726" t="str">
        <f>PM!BD461</f>
        <v/>
      </c>
      <c r="J42" s="722"/>
      <c r="K42" s="676"/>
      <c r="L42" s="676"/>
      <c r="M42" s="642"/>
      <c r="N42" s="344"/>
      <c r="O42" s="344"/>
      <c r="P42" s="344"/>
      <c r="Q42" s="344"/>
    </row>
    <row r="43" spans="1:17" ht="15.75" customHeight="1" thickTop="1">
      <c r="A43" s="725">
        <v>16</v>
      </c>
      <c r="B43" s="647"/>
      <c r="C43" s="648">
        <f t="shared" si="2"/>
        <v>15</v>
      </c>
      <c r="D43" s="2439" t="s">
        <v>790</v>
      </c>
      <c r="E43" s="2439"/>
      <c r="F43" s="2440"/>
      <c r="G43" s="727">
        <f t="shared" si="0"/>
        <v>46</v>
      </c>
      <c r="H43" s="646" t="str">
        <f t="shared" ca="1" si="1"/>
        <v>9/5/2034</v>
      </c>
      <c r="I43" s="726" t="str">
        <f>PM!BD462</f>
        <v/>
      </c>
      <c r="J43" s="2488" t="s">
        <v>797</v>
      </c>
      <c r="K43" s="2489"/>
      <c r="L43" s="2489"/>
      <c r="M43" s="2489"/>
      <c r="N43" s="344"/>
      <c r="O43" s="344"/>
      <c r="P43" s="344"/>
      <c r="Q43" s="344"/>
    </row>
    <row r="44" spans="1:17" ht="15.75" customHeight="1">
      <c r="A44" s="725">
        <v>17</v>
      </c>
      <c r="B44" s="647"/>
      <c r="C44" s="648"/>
      <c r="D44" s="718"/>
      <c r="E44" s="718"/>
      <c r="F44" s="719"/>
      <c r="G44" s="727">
        <f t="shared" si="0"/>
        <v>47</v>
      </c>
      <c r="H44" s="646" t="str">
        <f t="shared" ca="1" si="1"/>
        <v>9/5/2035</v>
      </c>
      <c r="I44" s="726" t="str">
        <f>PM!BD463</f>
        <v/>
      </c>
      <c r="J44" s="2490"/>
      <c r="K44" s="2491"/>
      <c r="L44" s="2491"/>
      <c r="M44" s="2491"/>
      <c r="N44" s="344"/>
      <c r="O44" s="344"/>
      <c r="P44" s="344"/>
      <c r="Q44" s="344"/>
    </row>
    <row r="45" spans="1:17" ht="15.75" customHeight="1" thickBot="1">
      <c r="A45" s="725">
        <v>18</v>
      </c>
      <c r="B45" s="647"/>
      <c r="C45" s="2443" t="s">
        <v>750</v>
      </c>
      <c r="D45" s="2443"/>
      <c r="E45" s="2443"/>
      <c r="F45" s="2444"/>
      <c r="G45" s="727">
        <f t="shared" si="0"/>
        <v>48</v>
      </c>
      <c r="H45" s="646" t="str">
        <f t="shared" ca="1" si="1"/>
        <v>9/5/2036</v>
      </c>
      <c r="I45" s="726" t="str">
        <f>PM!BD464</f>
        <v/>
      </c>
      <c r="J45" s="2492"/>
      <c r="K45" s="2493"/>
      <c r="L45" s="2493"/>
      <c r="M45" s="2493"/>
    </row>
    <row r="46" spans="1:17" ht="15.75" customHeight="1" thickTop="1">
      <c r="A46" s="725">
        <v>19</v>
      </c>
      <c r="B46" s="647"/>
      <c r="C46" s="648"/>
      <c r="D46" s="642"/>
      <c r="E46" s="642"/>
      <c r="F46" s="716"/>
      <c r="G46" s="727">
        <f t="shared" si="0"/>
        <v>49</v>
      </c>
      <c r="H46" s="646" t="str">
        <f t="shared" ca="1" si="1"/>
        <v>9/5/2037</v>
      </c>
      <c r="I46" s="726" t="str">
        <f>PM!BD465</f>
        <v/>
      </c>
      <c r="J46" s="2494" t="str">
        <f>CONCATENATE("1. This is an Additional policy  for Critical Illness purpose along with  your"," ",(Main!I7)," ","Policy.    Hence You have to pay an additional premium.")</f>
        <v>1. This is an Additional policy  for Critical Illness purpose along with  your JEEVAN LAKSHYA Policy.    Hence You have to pay an additional premium.</v>
      </c>
      <c r="K46" s="2495"/>
      <c r="L46" s="2495"/>
      <c r="M46" s="2495"/>
    </row>
    <row r="47" spans="1:17" ht="15.75" customHeight="1">
      <c r="A47" s="725">
        <v>20</v>
      </c>
      <c r="B47" s="647"/>
      <c r="C47" s="2445" t="str">
        <f>'VASANTHAM HOME'!E9</f>
        <v>ENTER YOUR NAME</v>
      </c>
      <c r="D47" s="2445"/>
      <c r="E47" s="2445"/>
      <c r="F47" s="2446"/>
      <c r="G47" s="727">
        <f t="shared" si="0"/>
        <v>50</v>
      </c>
      <c r="H47" s="646" t="str">
        <f ca="1">IF(A47&lt;$A$15,(((DAY(NOW())&amp;"/")&amp;MONTH(NOW()))&amp;"/")&amp;((YEAR(NOW())))+A47," ")</f>
        <v>9/5/2038</v>
      </c>
      <c r="I47" s="726" t="str">
        <f>PM!BD466</f>
        <v/>
      </c>
      <c r="J47" s="2484"/>
      <c r="K47" s="2485"/>
      <c r="L47" s="2485"/>
      <c r="M47" s="2485"/>
    </row>
    <row r="48" spans="1:17" ht="15.75" customHeight="1">
      <c r="A48" s="725">
        <v>21</v>
      </c>
      <c r="B48" s="647"/>
      <c r="C48" s="2445" t="str">
        <f>'VASANTHAM HOME'!E10</f>
        <v>DESIGNATION</v>
      </c>
      <c r="D48" s="2445"/>
      <c r="E48" s="2445"/>
      <c r="F48" s="2446"/>
      <c r="G48" s="727">
        <f t="shared" si="0"/>
        <v>51</v>
      </c>
      <c r="H48" s="646" t="str">
        <f t="shared" ca="1" si="1"/>
        <v>9/5/2039</v>
      </c>
      <c r="I48" s="726" t="str">
        <f>PM!BD467</f>
        <v/>
      </c>
      <c r="J48" s="2484"/>
      <c r="K48" s="2485"/>
      <c r="L48" s="2485"/>
      <c r="M48" s="2485"/>
    </row>
    <row r="49" spans="1:17" ht="15.75" customHeight="1">
      <c r="A49" s="725">
        <v>22</v>
      </c>
      <c r="B49" s="647"/>
      <c r="C49" s="2445" t="str">
        <f>'VASANTHAM HOME'!E11</f>
        <v>ADDRESS 1</v>
      </c>
      <c r="D49" s="2445"/>
      <c r="E49" s="2445"/>
      <c r="F49" s="2446"/>
      <c r="G49" s="727">
        <f t="shared" si="0"/>
        <v>52</v>
      </c>
      <c r="H49" s="646" t="str">
        <f t="shared" ca="1" si="1"/>
        <v>9/5/2040</v>
      </c>
      <c r="I49" s="726" t="str">
        <f>PM!BD468</f>
        <v/>
      </c>
      <c r="J49" s="2484"/>
      <c r="K49" s="2485"/>
      <c r="L49" s="2485"/>
      <c r="M49" s="2485"/>
    </row>
    <row r="50" spans="1:17" ht="15.75" customHeight="1">
      <c r="A50" s="725">
        <v>23</v>
      </c>
      <c r="B50" s="644"/>
      <c r="C50" s="2445" t="str">
        <f>'VASANTHAM HOME'!E12</f>
        <v>ADDRESS 2</v>
      </c>
      <c r="D50" s="2445"/>
      <c r="E50" s="2445"/>
      <c r="F50" s="2446"/>
      <c r="G50" s="727">
        <f t="shared" si="0"/>
        <v>53</v>
      </c>
      <c r="H50" s="646" t="str">
        <f t="shared" ca="1" si="1"/>
        <v>9/5/2041</v>
      </c>
      <c r="I50" s="726" t="str">
        <f>PM!BD469</f>
        <v/>
      </c>
      <c r="J50" s="2484"/>
      <c r="K50" s="2485"/>
      <c r="L50" s="2485"/>
      <c r="M50" s="2485"/>
      <c r="N50" s="344"/>
      <c r="O50" s="344"/>
      <c r="P50" s="344"/>
      <c r="Q50" s="344"/>
    </row>
    <row r="51" spans="1:17" ht="15.75" customHeight="1">
      <c r="A51" s="725">
        <v>24</v>
      </c>
      <c r="B51" s="644"/>
      <c r="C51" s="2445" t="str">
        <f>'VASANTHAM HOME'!E13</f>
        <v>ADDRESS 3</v>
      </c>
      <c r="D51" s="2445"/>
      <c r="E51" s="2445"/>
      <c r="F51" s="2446"/>
      <c r="G51" s="727">
        <f t="shared" si="0"/>
        <v>54</v>
      </c>
      <c r="H51" s="646" t="str">
        <f t="shared" ca="1" si="1"/>
        <v>9/5/2042</v>
      </c>
      <c r="I51" s="726" t="str">
        <f>PM!BD470</f>
        <v/>
      </c>
      <c r="J51" s="2486" t="s">
        <v>800</v>
      </c>
      <c r="K51" s="2487"/>
      <c r="L51" s="2487"/>
      <c r="M51" s="2487"/>
      <c r="N51" s="344"/>
      <c r="O51" s="344"/>
      <c r="P51" s="344"/>
      <c r="Q51" s="344"/>
    </row>
    <row r="52" spans="1:17" ht="15.75" customHeight="1">
      <c r="A52" s="725">
        <v>25</v>
      </c>
      <c r="B52" s="644"/>
      <c r="C52" s="2445" t="str">
        <f>'VASANTHAM HOME'!E14</f>
        <v>MOBILE NO :</v>
      </c>
      <c r="D52" s="2445"/>
      <c r="E52" s="2445"/>
      <c r="F52" s="2446"/>
      <c r="G52" s="727" t="str">
        <f t="shared" si="0"/>
        <v xml:space="preserve"> </v>
      </c>
      <c r="H52" s="646" t="str">
        <f t="shared" ca="1" si="1"/>
        <v xml:space="preserve"> </v>
      </c>
      <c r="I52" s="726" t="str">
        <f>PM!BD471</f>
        <v/>
      </c>
      <c r="J52" s="2486"/>
      <c r="K52" s="2487"/>
      <c r="L52" s="2487"/>
      <c r="M52" s="2487"/>
      <c r="N52" s="344"/>
      <c r="O52" s="344"/>
      <c r="P52" s="344"/>
      <c r="Q52" s="344"/>
    </row>
    <row r="53" spans="1:17" ht="15.75" customHeight="1">
      <c r="A53" s="725">
        <v>26</v>
      </c>
      <c r="B53" s="644"/>
      <c r="C53" s="2451" t="str">
        <f>'VASANTHAM HOME'!E15</f>
        <v>E.MAIL ID :</v>
      </c>
      <c r="D53" s="2451"/>
      <c r="E53" s="2451"/>
      <c r="F53" s="2452"/>
      <c r="G53" s="727" t="str">
        <f t="shared" si="0"/>
        <v xml:space="preserve"> </v>
      </c>
      <c r="H53" s="646" t="str">
        <f t="shared" ca="1" si="1"/>
        <v xml:space="preserve"> </v>
      </c>
      <c r="I53" s="726" t="str">
        <f>PM!BD472</f>
        <v/>
      </c>
      <c r="J53" s="2484" t="s">
        <v>798</v>
      </c>
      <c r="K53" s="2485"/>
      <c r="L53" s="2485"/>
      <c r="M53" s="2485"/>
      <c r="N53" s="344"/>
      <c r="O53" s="344"/>
      <c r="P53" s="344"/>
      <c r="Q53" s="344"/>
    </row>
    <row r="54" spans="1:17" ht="15.75" customHeight="1">
      <c r="A54" s="725">
        <v>27</v>
      </c>
      <c r="B54" s="647"/>
      <c r="C54" s="2447"/>
      <c r="D54" s="2447"/>
      <c r="E54" s="2447"/>
      <c r="F54" s="2448"/>
      <c r="G54" s="727" t="str">
        <f t="shared" si="0"/>
        <v xml:space="preserve"> </v>
      </c>
      <c r="H54" s="646" t="str">
        <f t="shared" ca="1" si="1"/>
        <v xml:space="preserve"> </v>
      </c>
      <c r="I54" s="726" t="str">
        <f>PM!BD473</f>
        <v/>
      </c>
      <c r="J54" s="2484"/>
      <c r="K54" s="2485"/>
      <c r="L54" s="2485"/>
      <c r="M54" s="2485"/>
      <c r="N54" s="344"/>
      <c r="O54" s="344"/>
      <c r="P54" s="344"/>
      <c r="Q54" s="344"/>
    </row>
    <row r="55" spans="1:17" ht="15.75" customHeight="1">
      <c r="A55" s="725">
        <v>28</v>
      </c>
      <c r="B55" s="647"/>
      <c r="C55" s="2449" t="s">
        <v>734</v>
      </c>
      <c r="D55" s="2449"/>
      <c r="E55" s="2449"/>
      <c r="F55" s="2450"/>
      <c r="G55" s="727" t="str">
        <f t="shared" si="0"/>
        <v xml:space="preserve"> </v>
      </c>
      <c r="H55" s="646" t="str">
        <f t="shared" ca="1" si="1"/>
        <v xml:space="preserve"> </v>
      </c>
      <c r="I55" s="726" t="str">
        <f>PM!BD474</f>
        <v/>
      </c>
      <c r="J55" s="2484" t="s">
        <v>801</v>
      </c>
      <c r="K55" s="2485"/>
      <c r="L55" s="2485"/>
      <c r="M55" s="2485"/>
      <c r="N55" s="344"/>
      <c r="O55" s="344"/>
      <c r="P55" s="344"/>
      <c r="Q55" s="344"/>
    </row>
    <row r="56" spans="1:17" ht="15.75" customHeight="1">
      <c r="A56" s="725">
        <v>29</v>
      </c>
      <c r="B56" s="721">
        <v>1</v>
      </c>
      <c r="C56" s="2434" t="s">
        <v>793</v>
      </c>
      <c r="D56" s="2434"/>
      <c r="E56" s="2434"/>
      <c r="F56" s="2435"/>
      <c r="G56" s="727" t="str">
        <f t="shared" si="0"/>
        <v xml:space="preserve"> </v>
      </c>
      <c r="H56" s="646" t="str">
        <f t="shared" ca="1" si="1"/>
        <v xml:space="preserve"> </v>
      </c>
      <c r="I56" s="726" t="str">
        <f>PM!BD475</f>
        <v/>
      </c>
      <c r="J56" s="2484"/>
      <c r="K56" s="2485"/>
      <c r="L56" s="2485"/>
      <c r="M56" s="2485"/>
    </row>
    <row r="57" spans="1:17" ht="15.75" customHeight="1">
      <c r="A57" s="725">
        <v>30</v>
      </c>
      <c r="B57" s="643"/>
      <c r="C57" s="2434"/>
      <c r="D57" s="2434"/>
      <c r="E57" s="2434"/>
      <c r="F57" s="2435"/>
      <c r="G57" s="727" t="str">
        <f t="shared" si="0"/>
        <v xml:space="preserve"> </v>
      </c>
      <c r="H57" s="646" t="str">
        <f t="shared" ca="1" si="1"/>
        <v xml:space="preserve"> </v>
      </c>
      <c r="I57" s="726" t="str">
        <f>PM!BD476</f>
        <v/>
      </c>
      <c r="J57" s="2484"/>
      <c r="K57" s="2485"/>
      <c r="L57" s="2485"/>
      <c r="M57" s="2485"/>
    </row>
    <row r="58" spans="1:17" ht="15.75" customHeight="1">
      <c r="A58" s="725">
        <v>31</v>
      </c>
      <c r="B58" s="643"/>
      <c r="C58" s="2434"/>
      <c r="D58" s="2434"/>
      <c r="E58" s="2434"/>
      <c r="F58" s="2435"/>
      <c r="G58" s="727" t="str">
        <f t="shared" si="0"/>
        <v xml:space="preserve"> </v>
      </c>
      <c r="H58" s="646" t="str">
        <f t="shared" ca="1" si="1"/>
        <v xml:space="preserve"> </v>
      </c>
      <c r="I58" s="726" t="str">
        <f>PM!BD477</f>
        <v/>
      </c>
      <c r="J58" s="2484"/>
      <c r="K58" s="2485"/>
      <c r="L58" s="2485"/>
      <c r="M58" s="2485"/>
    </row>
    <row r="59" spans="1:17" ht="15.95" customHeight="1">
      <c r="A59" s="725">
        <v>32</v>
      </c>
      <c r="B59" s="721">
        <v>2</v>
      </c>
      <c r="C59" s="2441" t="s">
        <v>792</v>
      </c>
      <c r="D59" s="2441"/>
      <c r="E59" s="2441"/>
      <c r="F59" s="2442"/>
      <c r="G59" s="727" t="str">
        <f t="shared" si="0"/>
        <v xml:space="preserve"> </v>
      </c>
      <c r="H59" s="646" t="str">
        <f t="shared" ca="1" si="1"/>
        <v xml:space="preserve"> </v>
      </c>
      <c r="I59" s="726" t="str">
        <f>PM!BD478</f>
        <v/>
      </c>
      <c r="J59" s="2484" t="s">
        <v>799</v>
      </c>
      <c r="K59" s="2485"/>
      <c r="L59" s="2485"/>
      <c r="M59" s="2485"/>
    </row>
    <row r="60" spans="1:17" ht="15.95" customHeight="1">
      <c r="A60" s="725">
        <v>33</v>
      </c>
      <c r="B60" s="644"/>
      <c r="C60" s="2441"/>
      <c r="D60" s="2441"/>
      <c r="E60" s="2441"/>
      <c r="F60" s="2442"/>
      <c r="G60" s="727" t="str">
        <f t="shared" si="0"/>
        <v xml:space="preserve"> </v>
      </c>
      <c r="H60" s="646" t="str">
        <f t="shared" ca="1" si="1"/>
        <v xml:space="preserve"> </v>
      </c>
      <c r="I60" s="726" t="str">
        <f>PM!BD479</f>
        <v/>
      </c>
      <c r="J60" s="2484"/>
      <c r="K60" s="2485"/>
      <c r="L60" s="2485"/>
      <c r="M60" s="2485"/>
      <c r="N60" s="344"/>
      <c r="O60" s="344"/>
      <c r="P60" s="344"/>
      <c r="Q60" s="344"/>
    </row>
    <row r="61" spans="1:17" ht="15.95" customHeight="1">
      <c r="A61" s="725">
        <v>34</v>
      </c>
      <c r="B61" s="644"/>
      <c r="C61" s="642"/>
      <c r="D61" s="642"/>
      <c r="E61" s="642"/>
      <c r="F61" s="642"/>
      <c r="G61" s="727" t="str">
        <f t="shared" si="0"/>
        <v xml:space="preserve"> </v>
      </c>
      <c r="H61" s="646" t="str">
        <f t="shared" ca="1" si="1"/>
        <v xml:space="preserve"> </v>
      </c>
      <c r="I61" s="726" t="str">
        <f>PM!BD480</f>
        <v/>
      </c>
      <c r="J61" s="2484"/>
      <c r="K61" s="2485"/>
      <c r="L61" s="2485"/>
      <c r="M61" s="2485"/>
      <c r="N61" s="344"/>
      <c r="O61" s="344"/>
      <c r="P61" s="344"/>
      <c r="Q61" s="344"/>
    </row>
    <row r="62" spans="1:17" ht="15.95" customHeight="1">
      <c r="A62" s="725">
        <v>34</v>
      </c>
      <c r="B62" s="644"/>
      <c r="C62" s="642"/>
      <c r="D62" s="642"/>
      <c r="E62" s="642"/>
      <c r="F62" s="642"/>
      <c r="G62" s="174"/>
      <c r="H62" s="174"/>
      <c r="I62" s="344"/>
      <c r="J62" s="643"/>
      <c r="K62" s="642"/>
      <c r="L62" s="642"/>
      <c r="M62" s="642"/>
      <c r="N62" s="344"/>
      <c r="O62" s="344"/>
      <c r="P62" s="344"/>
      <c r="Q62" s="344"/>
    </row>
    <row r="63" spans="1:17" ht="15.95" customHeight="1">
      <c r="A63" s="645"/>
      <c r="B63" s="644"/>
      <c r="C63" s="642"/>
      <c r="D63" s="642"/>
      <c r="E63" s="642"/>
      <c r="F63" s="642"/>
      <c r="G63" s="174"/>
      <c r="H63" s="174"/>
      <c r="I63" s="344"/>
      <c r="J63" s="643"/>
      <c r="K63" s="642"/>
      <c r="L63" s="642"/>
      <c r="M63" s="642"/>
      <c r="N63" s="344"/>
      <c r="O63" s="344"/>
      <c r="P63" s="344"/>
      <c r="Q63" s="344"/>
    </row>
    <row r="64" spans="1:17" ht="18.75" hidden="1" customHeight="1"/>
    <row r="65" ht="18.75" hidden="1" customHeight="1"/>
    <row r="66" ht="18.75" hidden="1" customHeight="1"/>
    <row r="67" ht="18.75" hidden="1" customHeight="1"/>
    <row r="68" ht="18.75" hidden="1" customHeight="1"/>
    <row r="69" ht="18.75" hidden="1" customHeight="1"/>
    <row r="70" ht="18.75" hidden="1" customHeight="1"/>
    <row r="71" ht="18.75" hidden="1" customHeight="1"/>
    <row r="72" ht="18.75" hidden="1" customHeight="1"/>
    <row r="73" ht="18.75" hidden="1" customHeight="1"/>
    <row r="74" ht="18.75" hidden="1" customHeight="1"/>
    <row r="75" ht="18.75" hidden="1" customHeight="1"/>
    <row r="76" ht="18.75" hidden="1" customHeight="1"/>
    <row r="77" ht="18.75" hidden="1" customHeight="1"/>
    <row r="78" ht="18.75" hidden="1" customHeight="1"/>
    <row r="79" ht="18.75" hidden="1" customHeight="1"/>
    <row r="80" ht="18.75" hidden="1" customHeight="1"/>
    <row r="81" ht="18.75" hidden="1" customHeight="1"/>
    <row r="82" ht="18.75" hidden="1" customHeight="1"/>
    <row r="83" ht="18.75" hidden="1" customHeight="1"/>
    <row r="84" ht="18.75" hidden="1" customHeight="1"/>
    <row r="85" ht="18.75" hidden="1" customHeight="1"/>
    <row r="86" ht="18.75" hidden="1" customHeight="1"/>
    <row r="87" ht="18.75" hidden="1" customHeight="1"/>
    <row r="88" ht="18.75" hidden="1" customHeight="1"/>
    <row r="89" ht="18.75" hidden="1" customHeight="1"/>
    <row r="90" ht="18.75" hidden="1" customHeight="1"/>
    <row r="91" ht="18.75" hidden="1" customHeight="1"/>
    <row r="92" ht="18.75" hidden="1" customHeight="1"/>
    <row r="93" ht="18.75" hidden="1" customHeight="1"/>
    <row r="94" ht="18.75" hidden="1" customHeight="1"/>
    <row r="95" ht="18.75" hidden="1" customHeight="1"/>
    <row r="96" ht="18.75" hidden="1" customHeight="1"/>
    <row r="97" ht="18.75" hidden="1" customHeight="1"/>
    <row r="98" ht="18.75" hidden="1" customHeight="1"/>
    <row r="99" ht="18.75" hidden="1" customHeight="1"/>
    <row r="100" ht="18.75" hidden="1" customHeight="1"/>
    <row r="101" ht="18.75" hidden="1" customHeight="1"/>
    <row r="102" ht="18.75" hidden="1" customHeight="1"/>
    <row r="103" ht="18.75" hidden="1" customHeight="1"/>
    <row r="104" ht="18.75" hidden="1" customHeight="1"/>
    <row r="105" ht="18.75" hidden="1" customHeight="1"/>
    <row r="106" ht="18.75" hidden="1" customHeight="1"/>
    <row r="107" ht="18.75" hidden="1" customHeight="1"/>
    <row r="108" ht="18.75" hidden="1" customHeight="1"/>
    <row r="109" ht="18.75" hidden="1" customHeight="1"/>
    <row r="110" ht="18.75" hidden="1" customHeight="1"/>
    <row r="111" ht="18.75" hidden="1" customHeight="1"/>
    <row r="112" ht="18.75" hidden="1" customHeight="1"/>
    <row r="113" ht="18.75" hidden="1" customHeight="1"/>
    <row r="114" ht="18.75" hidden="1" customHeight="1"/>
    <row r="115" ht="18.75" hidden="1" customHeight="1"/>
    <row r="116" ht="18.75" hidden="1" customHeight="1"/>
    <row r="117" ht="18.75" hidden="1" customHeight="1"/>
    <row r="118" ht="18.75" hidden="1" customHeight="1"/>
    <row r="119" ht="18.75" hidden="1" customHeight="1"/>
    <row r="120" ht="18.75" hidden="1" customHeight="1"/>
    <row r="121" ht="18.75" hidden="1" customHeight="1"/>
  </sheetData>
  <mergeCells count="66">
    <mergeCell ref="J59:M61"/>
    <mergeCell ref="J51:M52"/>
    <mergeCell ref="J53:M54"/>
    <mergeCell ref="J55:M58"/>
    <mergeCell ref="J43:M45"/>
    <mergeCell ref="J46:M50"/>
    <mergeCell ref="D34:F34"/>
    <mergeCell ref="F20:J24"/>
    <mergeCell ref="J29:M30"/>
    <mergeCell ref="G25:G26"/>
    <mergeCell ref="O15:R16"/>
    <mergeCell ref="J26:M28"/>
    <mergeCell ref="D30:F30"/>
    <mergeCell ref="H25:H26"/>
    <mergeCell ref="I25:I26"/>
    <mergeCell ref="D29:F29"/>
    <mergeCell ref="C26:F27"/>
    <mergeCell ref="C23:C24"/>
    <mergeCell ref="J2:L2"/>
    <mergeCell ref="J5:L5"/>
    <mergeCell ref="C6:G8"/>
    <mergeCell ref="J6:L6"/>
    <mergeCell ref="J7:L7"/>
    <mergeCell ref="O7:Q8"/>
    <mergeCell ref="C9:G9"/>
    <mergeCell ref="O9:R10"/>
    <mergeCell ref="C10:G10"/>
    <mergeCell ref="F18:J19"/>
    <mergeCell ref="F15:J17"/>
    <mergeCell ref="G11:I13"/>
    <mergeCell ref="C12:E13"/>
    <mergeCell ref="C14:D14"/>
    <mergeCell ref="C15:D15"/>
    <mergeCell ref="C16:D16"/>
    <mergeCell ref="K15:L16"/>
    <mergeCell ref="K12:L14"/>
    <mergeCell ref="F14:J14"/>
    <mergeCell ref="H7:I10"/>
    <mergeCell ref="O13:Q14"/>
    <mergeCell ref="C59:F60"/>
    <mergeCell ref="C45:F45"/>
    <mergeCell ref="C47:F47"/>
    <mergeCell ref="C48:F48"/>
    <mergeCell ref="C49:F49"/>
    <mergeCell ref="C50:F50"/>
    <mergeCell ref="C54:F54"/>
    <mergeCell ref="C55:F55"/>
    <mergeCell ref="C53:F53"/>
    <mergeCell ref="C52:F52"/>
    <mergeCell ref="C51:F51"/>
    <mergeCell ref="A25:A26"/>
    <mergeCell ref="C56:F58"/>
    <mergeCell ref="C17:D17"/>
    <mergeCell ref="C18:D18"/>
    <mergeCell ref="D35:F35"/>
    <mergeCell ref="D36:F36"/>
    <mergeCell ref="D37:F37"/>
    <mergeCell ref="D31:F31"/>
    <mergeCell ref="D32:F32"/>
    <mergeCell ref="D40:F40"/>
    <mergeCell ref="D41:F41"/>
    <mergeCell ref="D42:F42"/>
    <mergeCell ref="D43:F43"/>
    <mergeCell ref="D33:F33"/>
    <mergeCell ref="D38:F38"/>
    <mergeCell ref="D39:F39"/>
  </mergeCells>
  <hyperlinks>
    <hyperlink ref="O9:R10" location="Main!A1" display="CLICK HERE"/>
    <hyperlink ref="O15:R16" location="'VASANTHAM HOME'!A1" display="CLICK HERE"/>
  </hyperlinks>
  <pageMargins left="0.62986111111111109" right="0.2361111111111111" top="0.74791666666666667" bottom="0.74791666666666667" header="0.51180555555555551" footer="0.51180555555555551"/>
  <pageSetup paperSize="9" scale="79" firstPageNumber="0" orientation="portrait" horizontalDpi="300" verticalDpi="300" r:id="rId1"/>
  <headerFooter alignWithMargins="0">
    <oddFooter>&amp;C&amp;K02-049VASANTHAM SMART</oddFooter>
  </headerFooter>
  <drawing r:id="rId2"/>
</worksheet>
</file>

<file path=xl/worksheets/sheet32.xml><?xml version="1.0" encoding="utf-8"?>
<worksheet xmlns="http://schemas.openxmlformats.org/spreadsheetml/2006/main" xmlns:r="http://schemas.openxmlformats.org/officeDocument/2006/relationships">
  <sheetPr codeName="Sheet77"/>
  <dimension ref="A1:CR289"/>
  <sheetViews>
    <sheetView showRowColHeaders="0" zoomScale="50" zoomScaleNormal="50" workbookViewId="0">
      <selection activeCell="M19" sqref="M19:O20"/>
    </sheetView>
  </sheetViews>
  <sheetFormatPr defaultColWidth="0" defaultRowHeight="15" zeroHeight="1"/>
  <cols>
    <col min="1" max="2" width="9.125" style="997" customWidth="1"/>
    <col min="3" max="3" width="4.5" style="997" customWidth="1"/>
    <col min="4" max="4" width="8.5" style="997" customWidth="1"/>
    <col min="5" max="5" width="7.125" style="997" customWidth="1"/>
    <col min="6" max="6" width="7.375" style="997" customWidth="1"/>
    <col min="7" max="8" width="8.375" style="997" customWidth="1"/>
    <col min="9" max="9" width="7.125" style="997" customWidth="1"/>
    <col min="10" max="10" width="9.125" style="997" customWidth="1"/>
    <col min="11" max="11" width="8.125" style="997" customWidth="1"/>
    <col min="12" max="12" width="4.5" style="997" customWidth="1"/>
    <col min="13" max="15" width="9.125" style="997" customWidth="1"/>
    <col min="16" max="16" width="4" style="997" customWidth="1"/>
    <col min="17" max="19" width="9.125" style="997" hidden="1" customWidth="1"/>
    <col min="20" max="25" width="9.125" style="1042" hidden="1" customWidth="1"/>
    <col min="26" max="26" width="0.5" style="1042" hidden="1" customWidth="1"/>
    <col min="27" max="31" width="9.125" style="1042" hidden="1" customWidth="1"/>
    <col min="32" max="32" width="11.5" style="1042" hidden="1" customWidth="1"/>
    <col min="33" max="40" width="9.125" style="1042" hidden="1" customWidth="1"/>
    <col min="41" max="41" width="0.125" style="1042" hidden="1" customWidth="1"/>
    <col min="42" max="47" width="9.125" style="1042" hidden="1" customWidth="1"/>
    <col min="48" max="48" width="7.125" style="1042" hidden="1" customWidth="1"/>
    <col min="49" max="49" width="7.5" style="1042" hidden="1" customWidth="1"/>
    <col min="50" max="51" width="9.125" style="1042" hidden="1" customWidth="1"/>
    <col min="52" max="52" width="0.5" style="997" hidden="1" customWidth="1"/>
    <col min="53" max="58" width="9.125" style="997" hidden="1" customWidth="1"/>
    <col min="59" max="59" width="8" style="997" hidden="1" customWidth="1"/>
    <col min="60" max="60" width="9.125" style="997" hidden="1" customWidth="1"/>
    <col min="61" max="61" width="3.5" style="997" customWidth="1"/>
    <col min="62" max="63" width="9.125" style="997" customWidth="1"/>
    <col min="64" max="64" width="11" style="997" customWidth="1"/>
    <col min="65" max="66" width="9.125" style="997" customWidth="1"/>
    <col min="67" max="67" width="10.5" style="997" customWidth="1"/>
    <col min="68" max="68" width="9.125" style="997" customWidth="1"/>
    <col min="69" max="69" width="9" style="997" customWidth="1"/>
    <col min="70" max="76" width="9.125" style="997" hidden="1" customWidth="1"/>
    <col min="77" max="77" width="0.625" style="997" hidden="1" customWidth="1"/>
    <col min="78" max="82" width="9.125" style="997" hidden="1" customWidth="1"/>
    <col min="83" max="83" width="2" style="997" hidden="1" customWidth="1"/>
    <col min="84" max="84" width="10.5" style="997" hidden="1" customWidth="1"/>
    <col min="85" max="95" width="9.125" style="997" hidden="1" customWidth="1"/>
    <col min="96" max="96" width="9.125" style="997" customWidth="1"/>
    <col min="97" max="16384" width="9.125" style="997" hidden="1"/>
  </cols>
  <sheetData>
    <row r="1" spans="1:96" ht="6" customHeight="1">
      <c r="A1" s="998"/>
      <c r="B1" s="998"/>
      <c r="C1" s="998"/>
      <c r="D1" s="998"/>
      <c r="E1" s="998"/>
      <c r="F1" s="998"/>
      <c r="G1" s="998"/>
      <c r="H1" s="998"/>
      <c r="I1" s="998"/>
      <c r="J1" s="998"/>
      <c r="K1" s="998"/>
      <c r="L1" s="998"/>
      <c r="M1" s="998"/>
      <c r="N1" s="998"/>
      <c r="O1" s="998"/>
      <c r="P1" s="998"/>
      <c r="Q1" s="998"/>
      <c r="R1" s="998"/>
      <c r="S1" s="998"/>
      <c r="T1" s="1010"/>
      <c r="U1" s="1010"/>
      <c r="V1" s="1010"/>
      <c r="W1" s="1010"/>
      <c r="X1" s="1010"/>
      <c r="Y1" s="1010"/>
      <c r="Z1" s="1010"/>
      <c r="AA1" s="1010"/>
      <c r="AB1" s="1010"/>
      <c r="AC1" s="1010"/>
      <c r="AD1" s="1010"/>
      <c r="AE1" s="1010"/>
      <c r="AF1" s="1010"/>
      <c r="AG1" s="1010"/>
      <c r="AH1" s="1010"/>
      <c r="AI1" s="1010"/>
      <c r="AJ1" s="1010"/>
      <c r="AK1" s="1010"/>
      <c r="AL1" s="1010"/>
      <c r="AM1" s="1010"/>
      <c r="AN1" s="1010"/>
      <c r="AO1" s="1010"/>
      <c r="AP1" s="1010"/>
      <c r="AQ1" s="1010"/>
      <c r="AR1" s="1010"/>
      <c r="AS1" s="1010"/>
      <c r="AT1" s="1010"/>
      <c r="AU1" s="1010"/>
      <c r="AV1" s="1010"/>
      <c r="AW1" s="1010"/>
      <c r="AX1" s="1010"/>
      <c r="AY1" s="1010"/>
      <c r="AZ1" s="998"/>
      <c r="BA1" s="998"/>
      <c r="BB1" s="998"/>
      <c r="BC1" s="998"/>
      <c r="BD1" s="998"/>
      <c r="BE1" s="998"/>
      <c r="BF1" s="998"/>
      <c r="BG1" s="998"/>
      <c r="BH1" s="998"/>
      <c r="BI1" s="998"/>
      <c r="BJ1" s="998"/>
      <c r="BK1" s="998"/>
      <c r="BL1" s="998"/>
      <c r="BM1" s="998"/>
      <c r="BN1" s="998"/>
      <c r="BO1" s="998"/>
      <c r="BP1" s="998"/>
      <c r="BQ1" s="998"/>
      <c r="BR1" s="998"/>
      <c r="BS1" s="998"/>
      <c r="BT1" s="998"/>
      <c r="BU1" s="998"/>
      <c r="BV1" s="998"/>
      <c r="BW1" s="998"/>
      <c r="BX1" s="998"/>
      <c r="BY1" s="998"/>
      <c r="BZ1" s="998"/>
      <c r="CA1" s="998"/>
      <c r="CB1" s="998"/>
      <c r="CC1" s="998"/>
      <c r="CD1" s="998"/>
      <c r="CE1" s="998"/>
      <c r="CF1" s="998"/>
      <c r="CG1" s="998"/>
      <c r="CH1" s="998"/>
      <c r="CI1" s="998"/>
      <c r="CJ1" s="998"/>
      <c r="CK1" s="998"/>
      <c r="CL1" s="998"/>
      <c r="CM1" s="998"/>
      <c r="CN1" s="998"/>
      <c r="CO1" s="998"/>
      <c r="CP1" s="998"/>
      <c r="CQ1" s="998"/>
      <c r="CR1" s="998"/>
    </row>
    <row r="2" spans="1:96" hidden="1">
      <c r="A2" s="998"/>
      <c r="B2" s="998"/>
      <c r="C2" s="998"/>
      <c r="D2" s="998"/>
      <c r="E2" s="998"/>
      <c r="F2" s="998"/>
      <c r="G2" s="998"/>
      <c r="H2" s="998"/>
      <c r="I2" s="998"/>
      <c r="J2" s="998"/>
      <c r="K2" s="998"/>
      <c r="L2" s="998"/>
      <c r="M2" s="998"/>
      <c r="N2" s="998"/>
      <c r="O2" s="998"/>
      <c r="P2" s="998"/>
      <c r="Q2" s="998"/>
      <c r="R2" s="998"/>
      <c r="S2" s="998"/>
      <c r="T2" s="1010"/>
      <c r="U2" s="1010"/>
      <c r="V2" s="1010"/>
      <c r="W2" s="1010"/>
      <c r="X2" s="1010"/>
      <c r="Y2" s="1010"/>
      <c r="Z2" s="1010"/>
      <c r="AA2" s="1010"/>
      <c r="AB2" s="1010"/>
      <c r="AC2" s="1010"/>
      <c r="AD2" s="1010"/>
      <c r="AE2" s="922">
        <f>LOOKUP($F$11,$AA8:$AD8,AF2:AI2)</f>
        <v>3.62</v>
      </c>
      <c r="AF2" s="922">
        <f>LOOKUP($F$10+25,$Z9:$Z46,AF9:AF46)</f>
        <v>5.27</v>
      </c>
      <c r="AG2" s="922">
        <f>LOOKUP($F$10+25,$Z9:$Z46,AG9:AG46)</f>
        <v>4.4000000000000004</v>
      </c>
      <c r="AH2" s="922">
        <f>LOOKUP($F$10+25,$Z9:$Z46,AH9:AH46)</f>
        <v>3.91</v>
      </c>
      <c r="AI2" s="922">
        <f>LOOKUP($F$10+25,$Z9:$Z46,AI9:AI46)</f>
        <v>3.62</v>
      </c>
      <c r="AJ2" s="922">
        <f>LOOKUP($F$11,$AA8:$AD8,AK2:AN2)</f>
        <v>3.41</v>
      </c>
      <c r="AK2" s="922">
        <f>LOOKUP($F$10+25,$Z9:$Z46,AK9:AK46)</f>
        <v>4.96</v>
      </c>
      <c r="AL2" s="922">
        <f>LOOKUP($F$10+25,$Z9:$Z46,AL9:AL46)</f>
        <v>4.1399999999999997</v>
      </c>
      <c r="AM2" s="922">
        <f>LOOKUP($F$10+25,$Z9:$Z46,AM9:AM46)</f>
        <v>3.69</v>
      </c>
      <c r="AN2" s="922">
        <f>LOOKUP($F$10+25,$Z9:$Z46,AN9:AN46)</f>
        <v>3.41</v>
      </c>
      <c r="AO2" s="1010"/>
      <c r="AP2" s="1010"/>
      <c r="AQ2" s="1010"/>
      <c r="AR2" s="1010"/>
      <c r="AS2" s="1010"/>
      <c r="AT2" s="1010"/>
      <c r="AU2" s="1010"/>
      <c r="AV2" s="1010"/>
      <c r="AW2" s="1010"/>
      <c r="AX2" s="1010"/>
      <c r="AY2" s="1010"/>
      <c r="AZ2" s="998"/>
      <c r="BA2" s="998"/>
      <c r="BB2" s="998"/>
      <c r="BC2" s="998"/>
      <c r="BD2" s="998"/>
      <c r="BE2" s="998"/>
      <c r="BF2" s="998"/>
      <c r="BG2" s="998"/>
      <c r="BH2" s="998"/>
      <c r="BI2" s="998"/>
      <c r="BJ2" s="998"/>
      <c r="BK2" s="998"/>
      <c r="BL2" s="998"/>
      <c r="BM2" s="998"/>
      <c r="BN2" s="998"/>
      <c r="BO2" s="998"/>
      <c r="BP2" s="998"/>
      <c r="BQ2" s="998"/>
      <c r="BR2" s="998"/>
      <c r="BS2" s="998"/>
      <c r="BT2" s="998"/>
      <c r="BU2" s="998"/>
      <c r="BV2" s="998"/>
      <c r="BW2" s="998"/>
      <c r="BX2" s="998"/>
      <c r="BY2" s="998"/>
      <c r="BZ2" s="998"/>
      <c r="CA2" s="998"/>
      <c r="CB2" s="998"/>
      <c r="CC2" s="998"/>
      <c r="CD2" s="998"/>
      <c r="CE2" s="998"/>
      <c r="CF2" s="998"/>
      <c r="CG2" s="998"/>
      <c r="CH2" s="998"/>
      <c r="CI2" s="998"/>
      <c r="CJ2" s="998"/>
      <c r="CK2" s="998"/>
      <c r="CL2" s="998"/>
      <c r="CM2" s="998"/>
      <c r="CN2" s="998"/>
      <c r="CO2" s="998"/>
      <c r="CP2" s="998"/>
      <c r="CQ2" s="998"/>
      <c r="CR2" s="998"/>
    </row>
    <row r="3" spans="1:96" ht="0.75" customHeight="1">
      <c r="A3" s="998"/>
      <c r="B3" s="998"/>
      <c r="C3" s="998"/>
      <c r="D3" s="998"/>
      <c r="E3" s="998"/>
      <c r="F3" s="998"/>
      <c r="G3" s="998"/>
      <c r="H3" s="998"/>
      <c r="I3" s="998"/>
      <c r="J3" s="998"/>
      <c r="K3" s="998"/>
      <c r="L3" s="998"/>
      <c r="M3" s="998"/>
      <c r="N3" s="998"/>
      <c r="O3" s="998"/>
      <c r="P3" s="998"/>
      <c r="Q3" s="998"/>
      <c r="R3" s="998"/>
      <c r="S3" s="998"/>
      <c r="T3" s="1010"/>
      <c r="U3" s="1010"/>
      <c r="V3" s="1010"/>
      <c r="W3" s="1010"/>
      <c r="X3" s="1010"/>
      <c r="Y3" s="1010"/>
      <c r="Z3" s="1010"/>
      <c r="AA3" s="1010"/>
      <c r="AB3" s="1010"/>
      <c r="AC3" s="1010"/>
      <c r="AD3" s="1010"/>
      <c r="AE3" s="922">
        <f>LOOKUP($F$11,$AA8:$AD8,AF3:AI3)</f>
        <v>2.4300000000000002</v>
      </c>
      <c r="AF3" s="922">
        <f>LOOKUP($F$10+20,$Z9:$Z46,AF9:AF46)</f>
        <v>3.55</v>
      </c>
      <c r="AG3" s="922">
        <f>LOOKUP($F$10+20,$Z9:$Z46,AG9:AG46)</f>
        <v>2.96</v>
      </c>
      <c r="AH3" s="922">
        <f>LOOKUP($F$10+20,$Z9:$Z46,AH9:AH46)</f>
        <v>2.63</v>
      </c>
      <c r="AI3" s="922">
        <f>LOOKUP($F$10+20,$Z9:$Z46,AI9:AI46)</f>
        <v>2.4300000000000002</v>
      </c>
      <c r="AJ3" s="922">
        <f>LOOKUP($F$11,$AA8:$AD8,AK3:AN3)</f>
        <v>2.42</v>
      </c>
      <c r="AK3" s="922">
        <f>LOOKUP($F$10+20,$Z9:$Z46,AK9:AK46)</f>
        <v>3.54</v>
      </c>
      <c r="AL3" s="922">
        <f>LOOKUP($F$10+20,$Z9:$Z46,AL9:AL46)</f>
        <v>2.96</v>
      </c>
      <c r="AM3" s="922">
        <f>LOOKUP($F$10+20,$Z9:$Z46,AM9:AM46)</f>
        <v>2.63</v>
      </c>
      <c r="AN3" s="922">
        <f>LOOKUP($F$10+20,$Z9:$Z46,AN9:AN46)</f>
        <v>2.42</v>
      </c>
      <c r="AO3" s="1010"/>
      <c r="AP3" s="1010"/>
      <c r="AQ3" s="1010"/>
      <c r="AR3" s="1010"/>
      <c r="AS3" s="1010"/>
      <c r="AT3" s="1010"/>
      <c r="AU3" s="1010"/>
      <c r="AV3" s="1010"/>
      <c r="AW3" s="1010"/>
      <c r="AX3" s="1010"/>
      <c r="AY3" s="1010"/>
      <c r="AZ3" s="998"/>
      <c r="BA3" s="998"/>
      <c r="BB3" s="998"/>
      <c r="BC3" s="998"/>
      <c r="BD3" s="998"/>
      <c r="BE3" s="998"/>
      <c r="BF3" s="998"/>
      <c r="BG3" s="998"/>
      <c r="BH3" s="998"/>
      <c r="BI3" s="998"/>
      <c r="BJ3" s="998"/>
      <c r="BK3" s="998"/>
      <c r="BL3" s="998"/>
      <c r="BM3" s="998"/>
      <c r="BN3" s="998"/>
      <c r="BO3" s="998"/>
      <c r="BP3" s="998"/>
      <c r="BQ3" s="998"/>
      <c r="BR3" s="998"/>
      <c r="BS3" s="998"/>
      <c r="BT3" s="998"/>
      <c r="BU3" s="998"/>
      <c r="BV3" s="998"/>
      <c r="BW3" s="998"/>
      <c r="BX3" s="998"/>
      <c r="BY3" s="998"/>
      <c r="BZ3" s="998"/>
      <c r="CA3" s="998"/>
      <c r="CB3" s="998"/>
      <c r="CC3" s="998"/>
      <c r="CD3" s="998"/>
      <c r="CE3" s="998"/>
      <c r="CF3" s="998"/>
      <c r="CG3" s="998"/>
      <c r="CH3" s="998"/>
      <c r="CI3" s="998"/>
      <c r="CJ3" s="998"/>
      <c r="CK3" s="998"/>
      <c r="CL3" s="998"/>
      <c r="CM3" s="998"/>
      <c r="CN3" s="998"/>
      <c r="CO3" s="998"/>
      <c r="CP3" s="998"/>
      <c r="CQ3" s="998"/>
      <c r="CR3" s="998"/>
    </row>
    <row r="4" spans="1:96">
      <c r="A4" s="998"/>
      <c r="B4" s="998"/>
      <c r="C4" s="998"/>
      <c r="D4" s="998"/>
      <c r="E4" s="998"/>
      <c r="F4" s="998"/>
      <c r="G4" s="998"/>
      <c r="H4" s="998"/>
      <c r="I4" s="998"/>
      <c r="J4" s="998"/>
      <c r="K4" s="998"/>
      <c r="L4" s="998"/>
      <c r="M4" s="998"/>
      <c r="N4" s="998"/>
      <c r="O4" s="998"/>
      <c r="P4" s="998"/>
      <c r="Q4" s="998"/>
      <c r="R4" s="998"/>
      <c r="S4" s="998"/>
      <c r="T4" s="1010"/>
      <c r="U4" s="1010"/>
      <c r="V4" s="1010"/>
      <c r="W4" s="1010"/>
      <c r="X4" s="1010"/>
      <c r="Y4" s="1010"/>
      <c r="Z4" s="1010"/>
      <c r="AA4" s="1010"/>
      <c r="AB4" s="1010"/>
      <c r="AC4" s="1010"/>
      <c r="AD4" s="1010"/>
      <c r="AE4" s="922" t="e">
        <f>LOOKUP($F$11,$AA8:$AD8,AF4:AI4)</f>
        <v>#N/A</v>
      </c>
      <c r="AF4" s="922" t="e">
        <f>LOOKUP($F$10+15,$Z9:$Z46,AF9:AF46)</f>
        <v>#N/A</v>
      </c>
      <c r="AG4" s="922" t="e">
        <f>LOOKUP($F$10+15,$Z9:$Z46,AG9:AG46)</f>
        <v>#N/A</v>
      </c>
      <c r="AH4" s="922" t="e">
        <f>LOOKUP($F$10+15,$Z9:$Z46,AH9:AH46)</f>
        <v>#N/A</v>
      </c>
      <c r="AI4" s="922" t="e">
        <f>LOOKUP($F$10+15,$Z9:$Z46,AI9:AI46)</f>
        <v>#N/A</v>
      </c>
      <c r="AJ4" s="922" t="e">
        <f>LOOKUP($F$11,$AA8:$AD8,AK4:AN4)</f>
        <v>#N/A</v>
      </c>
      <c r="AK4" s="922" t="e">
        <f>LOOKUP($F$10+15,$Z9:$Z46,AK9:AK46)</f>
        <v>#N/A</v>
      </c>
      <c r="AL4" s="922" t="e">
        <f>LOOKUP($F$10+15,$Z9:$Z46,AL9:AL46)</f>
        <v>#N/A</v>
      </c>
      <c r="AM4" s="922" t="e">
        <f>LOOKUP($F$10+15,$Z9:$Z46,AM9:AM46)</f>
        <v>#N/A</v>
      </c>
      <c r="AN4" s="922" t="e">
        <f>LOOKUP($F$10+15,$Z9:$Z46,AN9:AN46)</f>
        <v>#N/A</v>
      </c>
      <c r="AO4" s="1010"/>
      <c r="AP4" s="1010"/>
      <c r="AQ4" s="1010"/>
      <c r="AR4" s="1010"/>
      <c r="AS4" s="1010"/>
      <c r="AT4" s="1010"/>
      <c r="AU4" s="1010"/>
      <c r="AV4" s="1010"/>
      <c r="AW4" s="1010"/>
      <c r="AX4" s="1010"/>
      <c r="AY4" s="1010"/>
      <c r="AZ4" s="998"/>
      <c r="BA4" s="998"/>
      <c r="BB4" s="998"/>
      <c r="BC4" s="998"/>
      <c r="BD4" s="998"/>
      <c r="BE4" s="998"/>
      <c r="BF4" s="998"/>
      <c r="BG4" s="998"/>
      <c r="BH4" s="998"/>
      <c r="BI4" s="998"/>
      <c r="BJ4" s="998"/>
      <c r="BK4" s="998"/>
      <c r="BL4" s="998"/>
      <c r="BM4" s="998"/>
      <c r="BN4" s="998"/>
      <c r="BO4" s="998"/>
      <c r="BP4" s="998"/>
      <c r="BQ4" s="998"/>
      <c r="BR4" s="998"/>
      <c r="BS4" s="998"/>
      <c r="BT4" s="998"/>
      <c r="BU4" s="998"/>
      <c r="BV4" s="998"/>
      <c r="BW4" s="998"/>
      <c r="BX4" s="998"/>
      <c r="BY4" s="998"/>
      <c r="BZ4" s="998"/>
      <c r="CA4" s="998"/>
      <c r="CB4" s="998"/>
      <c r="CC4" s="998"/>
      <c r="CD4" s="998"/>
      <c r="CE4" s="998"/>
      <c r="CF4" s="998"/>
      <c r="CG4" s="998"/>
      <c r="CH4" s="998"/>
      <c r="CI4" s="998"/>
      <c r="CJ4" s="998"/>
      <c r="CK4" s="998"/>
      <c r="CL4" s="998"/>
      <c r="CM4" s="998"/>
      <c r="CN4" s="998"/>
      <c r="CO4" s="998"/>
      <c r="CP4" s="998"/>
      <c r="CQ4" s="998"/>
      <c r="CR4" s="998"/>
    </row>
    <row r="5" spans="1:96">
      <c r="A5" s="998"/>
      <c r="B5" s="998"/>
      <c r="C5" s="998"/>
      <c r="D5" s="998"/>
      <c r="E5" s="998"/>
      <c r="F5" s="998"/>
      <c r="G5" s="998"/>
      <c r="H5" s="998"/>
      <c r="I5" s="998"/>
      <c r="J5" s="998"/>
      <c r="K5" s="998"/>
      <c r="L5" s="998"/>
      <c r="M5" s="998"/>
      <c r="N5" s="998"/>
      <c r="O5" s="998"/>
      <c r="P5" s="998"/>
      <c r="Q5" s="998"/>
      <c r="R5" s="998"/>
      <c r="S5" s="998"/>
      <c r="T5" s="1010"/>
      <c r="U5" s="1010"/>
      <c r="V5" s="1010"/>
      <c r="W5" s="1010"/>
      <c r="X5" s="1010"/>
      <c r="Y5" s="1010"/>
      <c r="Z5" s="1010"/>
      <c r="AA5" s="1010"/>
      <c r="AB5" s="1010"/>
      <c r="AC5" s="1010"/>
      <c r="AD5" s="1010"/>
      <c r="AE5" s="922" t="e">
        <f>LOOKUP($F$11,$AA8:$AD8,AF5:AI5)</f>
        <v>#N/A</v>
      </c>
      <c r="AF5" s="1011" t="e">
        <f>LOOKUP($F$10+10,$Z9:$Z46,AF9:AF46)</f>
        <v>#N/A</v>
      </c>
      <c r="AG5" s="1011" t="e">
        <f>LOOKUP($F$10+10,$Z9:$Z46,AG9:AG46)</f>
        <v>#N/A</v>
      </c>
      <c r="AH5" s="1011" t="e">
        <f>LOOKUP($F$10+10,$Z9:$Z46,AH9:AH46)</f>
        <v>#N/A</v>
      </c>
      <c r="AI5" s="1011" t="e">
        <f>LOOKUP($F$10+10,$Z9:$Z46,AI9:AI46)</f>
        <v>#N/A</v>
      </c>
      <c r="AJ5" s="922" t="e">
        <f>LOOKUP($F$11,$AA8:$AD8,AK5:AN5)</f>
        <v>#N/A</v>
      </c>
      <c r="AK5" s="1011" t="e">
        <f>LOOKUP($F$10+10,$Z9:$Z46,AK9:AK46)</f>
        <v>#N/A</v>
      </c>
      <c r="AL5" s="1011" t="e">
        <f>LOOKUP($F$10+10,$Z9:$Z46,AL9:AL46)</f>
        <v>#N/A</v>
      </c>
      <c r="AM5" s="1011" t="e">
        <f>LOOKUP($F$10+10,$Z9:$Z46,AM9:AM46)</f>
        <v>#N/A</v>
      </c>
      <c r="AN5" s="1011" t="e">
        <f>LOOKUP($F$10+10,$Z9:$Z46,AN9:AN46)</f>
        <v>#N/A</v>
      </c>
      <c r="AO5" s="1010"/>
      <c r="AP5" s="1010"/>
      <c r="AQ5" s="1010"/>
      <c r="AR5" s="1010"/>
      <c r="AS5" s="1010"/>
      <c r="AT5" s="1010"/>
      <c r="AU5" s="1010"/>
      <c r="AV5" s="1010"/>
      <c r="AW5" s="1010"/>
      <c r="AX5" s="1010"/>
      <c r="AY5" s="1010"/>
      <c r="AZ5" s="998"/>
      <c r="BA5" s="998"/>
      <c r="BB5" s="998"/>
      <c r="BC5" s="998"/>
      <c r="BD5" s="998"/>
      <c r="BE5" s="998"/>
      <c r="BF5" s="998"/>
      <c r="BG5" s="998"/>
      <c r="BH5" s="998"/>
      <c r="BI5" s="998"/>
      <c r="BJ5" s="998"/>
      <c r="BK5" s="998"/>
      <c r="BL5" s="998"/>
      <c r="BM5" s="998"/>
      <c r="BN5" s="998"/>
      <c r="BO5" s="998"/>
      <c r="BP5" s="998"/>
      <c r="BQ5" s="998"/>
      <c r="BR5" s="998"/>
      <c r="BS5" s="998"/>
      <c r="BT5" s="998"/>
      <c r="BU5" s="998"/>
      <c r="BV5" s="998"/>
      <c r="BW5" s="998"/>
      <c r="BX5" s="998"/>
      <c r="BY5" s="998"/>
      <c r="BZ5" s="998"/>
      <c r="CA5" s="998"/>
      <c r="CB5" s="998"/>
      <c r="CC5" s="998"/>
      <c r="CD5" s="998"/>
      <c r="CE5" s="998"/>
      <c r="CF5" s="998"/>
      <c r="CG5" s="998"/>
      <c r="CH5" s="998"/>
      <c r="CI5" s="998"/>
      <c r="CJ5" s="998"/>
      <c r="CK5" s="998"/>
      <c r="CL5" s="998"/>
      <c r="CM5" s="998"/>
      <c r="CN5" s="998"/>
      <c r="CO5" s="998"/>
      <c r="CP5" s="998"/>
      <c r="CQ5" s="998"/>
      <c r="CR5" s="998"/>
    </row>
    <row r="6" spans="1:96">
      <c r="A6" s="998"/>
      <c r="B6" s="998"/>
      <c r="C6" s="998"/>
      <c r="D6" s="998"/>
      <c r="E6" s="998"/>
      <c r="F6" s="998"/>
      <c r="G6" s="998"/>
      <c r="H6" s="998"/>
      <c r="I6" s="998"/>
      <c r="J6" s="998"/>
      <c r="K6" s="998"/>
      <c r="L6" s="998"/>
      <c r="M6" s="998"/>
      <c r="N6" s="998"/>
      <c r="O6" s="998"/>
      <c r="P6" s="998"/>
      <c r="Q6" s="998"/>
      <c r="R6" s="998"/>
      <c r="S6" s="998"/>
      <c r="T6" s="1010"/>
      <c r="U6" s="1010"/>
      <c r="V6" s="1010"/>
      <c r="W6" s="1010"/>
      <c r="X6" s="1010"/>
      <c r="Y6" s="1010"/>
      <c r="Z6" s="1010"/>
      <c r="AA6" s="981" t="e">
        <f>LOOKUP($F$11,$AA8:$AD8,AA7:AD7)</f>
        <v>#N/A</v>
      </c>
      <c r="AB6" s="1010"/>
      <c r="AC6" s="1010"/>
      <c r="AD6" s="1010"/>
      <c r="AE6" s="981" t="e">
        <f>LOOKUP($F$11,$AA8:$AD8,AF6:AI6)</f>
        <v>#N/A</v>
      </c>
      <c r="AF6" s="981" t="e">
        <f>LOOKUP($F$10+5,$Z9:$Z46,AF9:AF46)</f>
        <v>#N/A</v>
      </c>
      <c r="AG6" s="981" t="e">
        <f>LOOKUP($F$10+5,$Z9:$Z46,AG9:AG46)</f>
        <v>#N/A</v>
      </c>
      <c r="AH6" s="981" t="e">
        <f>LOOKUP($F$10+5,$Z9:$Z46,AH9:AH46)</f>
        <v>#N/A</v>
      </c>
      <c r="AI6" s="981" t="e">
        <f>LOOKUP($F$10+5,$Z9:$Z46,AI9:AI46)</f>
        <v>#N/A</v>
      </c>
      <c r="AJ6" s="922" t="e">
        <f>LOOKUP($F$11,$AA8:$AD8,AK6:AN6)</f>
        <v>#N/A</v>
      </c>
      <c r="AK6" s="981" t="e">
        <f>LOOKUP($F$10+5,$Z9:$Z46,AK9:AK46)</f>
        <v>#N/A</v>
      </c>
      <c r="AL6" s="981" t="e">
        <f>LOOKUP($F$10+5,$Z9:$Z46,AL9:AL46)</f>
        <v>#N/A</v>
      </c>
      <c r="AM6" s="981" t="e">
        <f>LOOKUP($F$10+5,$Z9:$Z46,AM9:AM46)</f>
        <v>#N/A</v>
      </c>
      <c r="AN6" s="981" t="e">
        <f>LOOKUP($F$10+5,$Z9:$Z46,AN9:AN46)</f>
        <v>#N/A</v>
      </c>
      <c r="AO6" s="1010"/>
      <c r="AP6" s="981">
        <f>LOOKUP($F$11,$AA8:$AD8,AP7:AS7)</f>
        <v>1.2</v>
      </c>
      <c r="AQ6" s="1010"/>
      <c r="AR6" s="1010"/>
      <c r="AS6" s="1010"/>
      <c r="AT6" s="1010"/>
      <c r="AU6" s="981">
        <f>LOOKUP($F$11,$AA8:$AD8,AU7:AX7)</f>
        <v>1.8</v>
      </c>
      <c r="AV6" s="1010"/>
      <c r="AW6" s="1010"/>
      <c r="AX6" s="1010"/>
      <c r="AY6" s="1010"/>
      <c r="AZ6" s="998"/>
      <c r="BA6" s="998"/>
      <c r="BB6" s="998"/>
      <c r="BC6" s="998"/>
      <c r="BD6" s="998"/>
      <c r="BE6" s="998"/>
      <c r="BF6" s="998"/>
      <c r="BG6" s="998"/>
      <c r="BH6" s="998"/>
      <c r="BI6" s="998"/>
      <c r="BJ6" s="998"/>
      <c r="BK6" s="998"/>
      <c r="BL6" s="998"/>
      <c r="BM6" s="998"/>
      <c r="BN6" s="998"/>
      <c r="BO6" s="998"/>
      <c r="BP6" s="998"/>
      <c r="BQ6" s="998"/>
      <c r="BR6" s="998"/>
      <c r="BS6" s="998"/>
      <c r="BT6" s="998"/>
      <c r="BU6" s="998"/>
      <c r="BV6" s="998"/>
      <c r="BW6" s="998"/>
      <c r="BX6" s="998"/>
      <c r="BY6" s="998"/>
      <c r="BZ6" s="998"/>
      <c r="CA6" s="998"/>
      <c r="CB6" s="998"/>
      <c r="CC6" s="998"/>
      <c r="CD6" s="998"/>
      <c r="CE6" s="998"/>
      <c r="CF6" s="998"/>
      <c r="CG6" s="998"/>
      <c r="CH6" s="998"/>
      <c r="CI6" s="998"/>
      <c r="CJ6" s="998"/>
      <c r="CK6" s="998"/>
      <c r="CL6" s="998"/>
      <c r="CM6" s="998"/>
      <c r="CN6" s="998"/>
      <c r="CO6" s="998"/>
      <c r="CP6" s="998"/>
      <c r="CQ6" s="998"/>
      <c r="CR6" s="998"/>
    </row>
    <row r="7" spans="1:96" ht="15.75" thickBot="1">
      <c r="A7" s="998"/>
      <c r="B7" s="998"/>
      <c r="C7" s="998"/>
      <c r="D7" s="998"/>
      <c r="E7" s="998"/>
      <c r="F7" s="998"/>
      <c r="G7" s="998"/>
      <c r="H7" s="998"/>
      <c r="I7" s="998"/>
      <c r="J7" s="998"/>
      <c r="K7" s="998"/>
      <c r="L7" s="998"/>
      <c r="M7" s="998"/>
      <c r="N7" s="998"/>
      <c r="O7" s="998"/>
      <c r="P7" s="998"/>
      <c r="Q7" s="998"/>
      <c r="R7" s="998"/>
      <c r="S7" s="998"/>
      <c r="T7" s="920"/>
      <c r="U7" s="981">
        <f>LOOKUP($F$10,$T9:$T64,U9:U64)</f>
        <v>0</v>
      </c>
      <c r="V7" s="981">
        <f>LOOKUP($F$10,$T9:$T64,V9:V64)</f>
        <v>0</v>
      </c>
      <c r="W7" s="981">
        <f>LOOKUP($F$10,$T9:$T64,W9:W64)</f>
        <v>0</v>
      </c>
      <c r="X7" s="981">
        <f>LOOKUP($F$10,$T9:$T64,X9:X64)</f>
        <v>31.15</v>
      </c>
      <c r="Y7" s="920"/>
      <c r="Z7" s="920"/>
      <c r="AA7" s="981" t="e">
        <f>LOOKUP($F$10,$Z9:$Z46,AA9:AA46)</f>
        <v>#N/A</v>
      </c>
      <c r="AB7" s="981" t="e">
        <f>LOOKUP($F$10,$Z9:$Z46,AB9:AB46)</f>
        <v>#N/A</v>
      </c>
      <c r="AC7" s="981" t="e">
        <f>LOOKUP($F$10,$Z9:$Z46,AC9:AC46)</f>
        <v>#N/A</v>
      </c>
      <c r="AD7" s="981" t="e">
        <f>LOOKUP($F$10,$Z9:$Z46,AD9:AD46)</f>
        <v>#N/A</v>
      </c>
      <c r="AE7" s="981" t="e">
        <f>LOOKUP($F$11,$AA8:$AD8,AF7:AI7)</f>
        <v>#N/A</v>
      </c>
      <c r="AF7" s="981" t="e">
        <f>LOOKUP($F$10,$Z9:$Z46,AF9:AF46)</f>
        <v>#N/A</v>
      </c>
      <c r="AG7" s="981" t="e">
        <f>LOOKUP($F$10,$Z9:$Z46,AG9:AG46)</f>
        <v>#N/A</v>
      </c>
      <c r="AH7" s="981" t="e">
        <f>LOOKUP($F$10,$Z9:$Z46,AH9:AH46)</f>
        <v>#N/A</v>
      </c>
      <c r="AI7" s="981" t="e">
        <f>LOOKUP($F$10,$Z9:$Z46,AI9:AI46)</f>
        <v>#N/A</v>
      </c>
      <c r="AJ7" s="981" t="e">
        <f>LOOKUP($F$11,$AA8:$AD8,AK7:AN7)</f>
        <v>#N/A</v>
      </c>
      <c r="AK7" s="981" t="e">
        <f>LOOKUP($F$10,$Z9:$Z46,AK9:AK46)</f>
        <v>#N/A</v>
      </c>
      <c r="AL7" s="981" t="e">
        <f>LOOKUP($F$10,$Z9:$Z46,AL9:AL46)</f>
        <v>#N/A</v>
      </c>
      <c r="AM7" s="981" t="e">
        <f>LOOKUP($F$10,$Z9:$Z46,AM9:AM46)</f>
        <v>#N/A</v>
      </c>
      <c r="AN7" s="981" t="e">
        <f>LOOKUP($F$10,$Z9:$Z46,AN9:AN46)</f>
        <v>#N/A</v>
      </c>
      <c r="AO7" s="920">
        <f>70-F10</f>
        <v>69</v>
      </c>
      <c r="AP7" s="981">
        <f>LOOKUP($AO$7,$AO9:$AO56,AP9:AP56)</f>
        <v>1.7</v>
      </c>
      <c r="AQ7" s="981">
        <f>LOOKUP($AO$7,$AO9:$AO56,AQ9:AQ56)</f>
        <v>1.45</v>
      </c>
      <c r="AR7" s="981">
        <f>LOOKUP($AO$7,$AO9:$AO56,AR9:AR56)</f>
        <v>1.3</v>
      </c>
      <c r="AS7" s="981">
        <f>LOOKUP($AO$7,$AO9:$AO56,AS9:AS56)</f>
        <v>1.2</v>
      </c>
      <c r="AT7" s="981"/>
      <c r="AU7" s="981">
        <f>LOOKUP($AO$7,$AO9:$AO56,AU9:AU56)</f>
        <v>2.5499999999999998</v>
      </c>
      <c r="AV7" s="981">
        <f>LOOKUP($AO$7,$AO9:$AO56,AV9:AV56)</f>
        <v>2.15</v>
      </c>
      <c r="AW7" s="981">
        <f>LOOKUP($AO$7,$AO9:$AO56,AW9:AW56)</f>
        <v>1.95</v>
      </c>
      <c r="AX7" s="981">
        <f>LOOKUP($AO$7,$AO9:$AO56,AX9:AX56)</f>
        <v>1.8</v>
      </c>
      <c r="AY7" s="1010"/>
      <c r="AZ7" s="998"/>
      <c r="BA7" s="1010">
        <v>41</v>
      </c>
      <c r="BB7" s="1010">
        <v>45</v>
      </c>
      <c r="BC7" s="1010">
        <v>47</v>
      </c>
      <c r="BD7" s="1010">
        <v>49</v>
      </c>
      <c r="BE7" s="971">
        <f>LOOKUP($F$11,$BA$8:$BD$8,BA7:BD7)</f>
        <v>49</v>
      </c>
      <c r="BF7" s="998"/>
      <c r="BG7" s="998"/>
      <c r="BH7" s="998"/>
      <c r="BI7" s="998"/>
      <c r="BJ7" s="998"/>
      <c r="BK7" s="998"/>
      <c r="BL7" s="998"/>
      <c r="BM7" s="998"/>
      <c r="BN7" s="998"/>
      <c r="BO7" s="998"/>
      <c r="BP7" s="998"/>
      <c r="BQ7" s="998"/>
      <c r="BR7" s="998"/>
      <c r="BS7" s="998"/>
      <c r="BT7" s="998"/>
      <c r="BU7" s="998"/>
      <c r="BV7" s="998"/>
      <c r="BW7" s="998"/>
      <c r="BX7" s="998"/>
      <c r="BY7" s="998"/>
      <c r="BZ7" s="998"/>
      <c r="CA7" s="998"/>
      <c r="CB7" s="998"/>
      <c r="CC7" s="998"/>
      <c r="CD7" s="998"/>
      <c r="CE7" s="998"/>
      <c r="CF7" s="998"/>
      <c r="CG7" s="998"/>
      <c r="CH7" s="998"/>
      <c r="CI7" s="998"/>
      <c r="CJ7" s="998"/>
      <c r="CK7" s="998"/>
      <c r="CL7" s="998"/>
      <c r="CM7" s="998"/>
      <c r="CN7" s="998"/>
      <c r="CO7" s="998"/>
      <c r="CP7" s="998"/>
      <c r="CQ7" s="998"/>
      <c r="CR7" s="998"/>
    </row>
    <row r="8" spans="1:96" ht="25.5" thickTop="1" thickBot="1">
      <c r="A8" s="998"/>
      <c r="B8" s="998"/>
      <c r="C8" s="885"/>
      <c r="D8" s="2496" t="s">
        <v>2105</v>
      </c>
      <c r="E8" s="2497"/>
      <c r="F8" s="2497"/>
      <c r="G8" s="2497"/>
      <c r="H8" s="2498" t="s">
        <v>2106</v>
      </c>
      <c r="I8" s="2499"/>
      <c r="J8" s="2499"/>
      <c r="K8" s="2499"/>
      <c r="L8" s="884"/>
      <c r="M8" s="998"/>
      <c r="N8" s="998"/>
      <c r="O8" s="998"/>
      <c r="P8" s="998"/>
      <c r="Q8" s="998"/>
      <c r="R8" s="998"/>
      <c r="S8" s="998"/>
      <c r="T8" s="1012"/>
      <c r="U8" s="1013">
        <v>15</v>
      </c>
      <c r="V8" s="1013">
        <v>20</v>
      </c>
      <c r="W8" s="1013">
        <v>25</v>
      </c>
      <c r="X8" s="1013">
        <v>30</v>
      </c>
      <c r="Y8" s="920"/>
      <c r="Z8" s="1014" t="s">
        <v>63</v>
      </c>
      <c r="AA8" s="1014">
        <v>15</v>
      </c>
      <c r="AB8" s="1014">
        <v>20</v>
      </c>
      <c r="AC8" s="1014">
        <v>25</v>
      </c>
      <c r="AD8" s="1014">
        <v>30</v>
      </c>
      <c r="AE8" s="1015" t="s">
        <v>891</v>
      </c>
      <c r="AF8" s="1016">
        <v>15</v>
      </c>
      <c r="AG8" s="1016">
        <v>20</v>
      </c>
      <c r="AH8" s="1016">
        <v>25</v>
      </c>
      <c r="AI8" s="1016">
        <v>30</v>
      </c>
      <c r="AJ8" s="1015" t="s">
        <v>893</v>
      </c>
      <c r="AK8" s="1016">
        <v>15</v>
      </c>
      <c r="AL8" s="1016">
        <v>20</v>
      </c>
      <c r="AM8" s="1016">
        <v>25</v>
      </c>
      <c r="AN8" s="1016">
        <v>30</v>
      </c>
      <c r="AO8" s="920" t="s">
        <v>894</v>
      </c>
      <c r="AP8" s="1017">
        <v>15</v>
      </c>
      <c r="AQ8" s="1017">
        <v>20</v>
      </c>
      <c r="AR8" s="1017">
        <v>25</v>
      </c>
      <c r="AS8" s="1017">
        <v>30</v>
      </c>
      <c r="AT8" s="920" t="s">
        <v>900</v>
      </c>
      <c r="AU8" s="1015">
        <v>15</v>
      </c>
      <c r="AV8" s="1015">
        <v>20</v>
      </c>
      <c r="AW8" s="1015">
        <v>25</v>
      </c>
      <c r="AX8" s="1017">
        <v>30</v>
      </c>
      <c r="AY8" s="1010"/>
      <c r="AZ8" s="1018"/>
      <c r="BA8" s="1019">
        <v>15</v>
      </c>
      <c r="BB8" s="1019">
        <v>20</v>
      </c>
      <c r="BC8" s="1019">
        <v>25</v>
      </c>
      <c r="BD8" s="1019">
        <v>30</v>
      </c>
      <c r="BE8" s="998"/>
      <c r="BF8" s="1020"/>
      <c r="BG8" s="998"/>
      <c r="BH8" s="998"/>
      <c r="BI8" s="998"/>
      <c r="BJ8" s="2383" t="s">
        <v>201</v>
      </c>
      <c r="BK8" s="2383"/>
      <c r="BL8" s="2383"/>
      <c r="BM8" s="2383"/>
      <c r="BN8" s="2383"/>
      <c r="BO8" s="2383"/>
      <c r="BP8" s="998"/>
      <c r="BQ8" s="998"/>
      <c r="BR8" s="998"/>
      <c r="BS8" s="998"/>
      <c r="BT8" s="998"/>
      <c r="BU8" s="998"/>
      <c r="BV8" s="998"/>
      <c r="BW8" s="998"/>
      <c r="BX8" s="998"/>
      <c r="BY8" s="998"/>
      <c r="BZ8" s="998"/>
      <c r="CA8" s="998"/>
      <c r="CB8" s="998"/>
      <c r="CC8" s="998"/>
      <c r="CD8" s="998"/>
      <c r="CE8" s="998"/>
      <c r="CF8" s="998"/>
      <c r="CG8" s="998"/>
      <c r="CH8" s="998"/>
      <c r="CI8" s="998"/>
      <c r="CJ8" s="998"/>
      <c r="CK8" s="998"/>
      <c r="CL8" s="998"/>
      <c r="CM8" s="998"/>
      <c r="CN8" s="998"/>
      <c r="CO8" s="998"/>
      <c r="CP8" s="998"/>
      <c r="CQ8" s="998"/>
      <c r="CR8" s="998"/>
    </row>
    <row r="9" spans="1:96" ht="15" customHeight="1" thickTop="1" thickBot="1">
      <c r="A9" s="998"/>
      <c r="B9" s="998"/>
      <c r="C9" s="885"/>
      <c r="D9" s="2549" t="s">
        <v>762</v>
      </c>
      <c r="E9" s="2550"/>
      <c r="F9" s="708" t="s">
        <v>749</v>
      </c>
      <c r="G9" s="2551" t="s">
        <v>189</v>
      </c>
      <c r="H9" s="2552"/>
      <c r="I9" s="2552"/>
      <c r="J9" s="2552"/>
      <c r="K9" s="2553"/>
      <c r="L9" s="884"/>
      <c r="M9" s="2544" t="str">
        <f>IF(OR((C69=0),(Z52=1),(Z53=1),(Z54=1)),"ERROR - RECHECK THE DATA ENTRY"," ")</f>
        <v/>
      </c>
      <c r="N9" s="2544"/>
      <c r="O9" s="998"/>
      <c r="P9" s="998"/>
      <c r="Q9" s="998"/>
      <c r="R9" s="998"/>
      <c r="S9" s="998"/>
      <c r="T9" s="1013">
        <v>0</v>
      </c>
      <c r="U9" s="1021">
        <v>0</v>
      </c>
      <c r="V9" s="1021">
        <v>0</v>
      </c>
      <c r="W9" s="1021">
        <v>0</v>
      </c>
      <c r="X9" s="1022">
        <v>31.15</v>
      </c>
      <c r="Y9" s="920"/>
      <c r="Z9" s="1023">
        <v>18</v>
      </c>
      <c r="AA9" s="1024">
        <v>3.02</v>
      </c>
      <c r="AB9" s="1024">
        <v>2.52</v>
      </c>
      <c r="AC9" s="1024">
        <v>2.2400000000000002</v>
      </c>
      <c r="AD9" s="1024">
        <v>2.06</v>
      </c>
      <c r="AE9" s="1016">
        <v>18</v>
      </c>
      <c r="AF9" s="1024">
        <v>2.81</v>
      </c>
      <c r="AG9" s="1024">
        <v>2.34</v>
      </c>
      <c r="AH9" s="1024">
        <v>2.08</v>
      </c>
      <c r="AI9" s="1024">
        <v>1.92</v>
      </c>
      <c r="AJ9" s="1015">
        <v>18</v>
      </c>
      <c r="AK9" s="1024">
        <v>2.89</v>
      </c>
      <c r="AL9" s="1024">
        <v>2.41</v>
      </c>
      <c r="AM9" s="1024">
        <v>2.14</v>
      </c>
      <c r="AN9" s="1024">
        <v>1.98</v>
      </c>
      <c r="AO9" s="1017">
        <v>5</v>
      </c>
      <c r="AP9" s="1025">
        <v>0</v>
      </c>
      <c r="AQ9" s="1025">
        <v>0</v>
      </c>
      <c r="AR9" s="1025">
        <v>0</v>
      </c>
      <c r="AS9" s="1025">
        <v>0</v>
      </c>
      <c r="AT9" s="920"/>
      <c r="AU9" s="1025">
        <v>0</v>
      </c>
      <c r="AV9" s="1025">
        <v>0</v>
      </c>
      <c r="AW9" s="1025">
        <v>0</v>
      </c>
      <c r="AX9" s="1025">
        <v>0</v>
      </c>
      <c r="AY9" s="1010"/>
      <c r="AZ9" s="1019">
        <v>1</v>
      </c>
      <c r="BA9" s="1026">
        <v>0</v>
      </c>
      <c r="BB9" s="1026">
        <v>0</v>
      </c>
      <c r="BC9" s="1026">
        <v>0</v>
      </c>
      <c r="BD9" s="1026">
        <v>0</v>
      </c>
      <c r="BE9" s="970">
        <f t="shared" ref="BE9:BE38" si="0">LOOKUP($F$11,$BA$8:$BD$8,BA9:BD9)</f>
        <v>0</v>
      </c>
      <c r="BF9" s="1027">
        <v>15</v>
      </c>
      <c r="BG9" s="920">
        <v>10</v>
      </c>
      <c r="BH9" s="998"/>
      <c r="BI9" s="998"/>
      <c r="BJ9" s="2384" t="s">
        <v>901</v>
      </c>
      <c r="BK9" s="2384"/>
      <c r="BL9" s="2384"/>
      <c r="BM9" s="2384"/>
      <c r="BN9" s="2384"/>
      <c r="BO9" s="2384"/>
      <c r="BP9" s="998"/>
      <c r="BQ9" s="998"/>
      <c r="BR9" s="998"/>
      <c r="BS9" s="998"/>
      <c r="BT9" s="998"/>
      <c r="BU9" s="998"/>
      <c r="BV9" s="998"/>
      <c r="BW9" s="998"/>
      <c r="BX9" s="998"/>
      <c r="BY9" s="998"/>
      <c r="BZ9" s="998"/>
      <c r="CA9" s="998"/>
      <c r="CB9" s="998"/>
      <c r="CC9" s="998"/>
      <c r="CD9" s="998"/>
      <c r="CE9" s="998"/>
      <c r="CF9" s="998"/>
      <c r="CG9" s="998"/>
      <c r="CH9" s="998"/>
      <c r="CI9" s="998"/>
      <c r="CJ9" s="998"/>
      <c r="CK9" s="998"/>
      <c r="CL9" s="998"/>
      <c r="CM9" s="998"/>
      <c r="CN9" s="998"/>
      <c r="CO9" s="998"/>
      <c r="CP9" s="998"/>
      <c r="CQ9" s="998"/>
      <c r="CR9" s="998"/>
    </row>
    <row r="10" spans="1:96" ht="18" customHeight="1" thickTop="1" thickBot="1">
      <c r="A10" s="998"/>
      <c r="B10" s="998"/>
      <c r="C10" s="885"/>
      <c r="D10" s="2526" t="s">
        <v>768</v>
      </c>
      <c r="E10" s="2530"/>
      <c r="F10" s="707">
        <v>1</v>
      </c>
      <c r="G10" s="2554" t="s">
        <v>241</v>
      </c>
      <c r="H10" s="2555"/>
      <c r="I10" s="2556">
        <v>200000</v>
      </c>
      <c r="J10" s="2557"/>
      <c r="K10" s="2558"/>
      <c r="L10" s="884"/>
      <c r="M10" s="2544"/>
      <c r="N10" s="2544"/>
      <c r="O10" s="998"/>
      <c r="P10" s="998"/>
      <c r="Q10" s="998"/>
      <c r="R10" s="998"/>
      <c r="S10" s="998"/>
      <c r="T10" s="1013">
        <v>1</v>
      </c>
      <c r="U10" s="1021">
        <v>0</v>
      </c>
      <c r="V10" s="1021">
        <v>0</v>
      </c>
      <c r="W10" s="1021">
        <v>0</v>
      </c>
      <c r="X10" s="1022">
        <v>31.15</v>
      </c>
      <c r="Y10" s="920"/>
      <c r="Z10" s="1023">
        <v>19</v>
      </c>
      <c r="AA10" s="1024">
        <v>3.19</v>
      </c>
      <c r="AB10" s="1024">
        <v>2.66</v>
      </c>
      <c r="AC10" s="1024">
        <v>2.36</v>
      </c>
      <c r="AD10" s="1024">
        <v>2.1800000000000002</v>
      </c>
      <c r="AE10" s="1016">
        <v>19</v>
      </c>
      <c r="AF10" s="1024">
        <v>3.03</v>
      </c>
      <c r="AG10" s="1024">
        <v>2.5299999999999998</v>
      </c>
      <c r="AH10" s="1024">
        <v>2.25</v>
      </c>
      <c r="AI10" s="1024">
        <v>2.0699999999999998</v>
      </c>
      <c r="AJ10" s="1015">
        <v>19</v>
      </c>
      <c r="AK10" s="1024">
        <v>3.09</v>
      </c>
      <c r="AL10" s="1024">
        <v>2.58</v>
      </c>
      <c r="AM10" s="1024">
        <v>2.29</v>
      </c>
      <c r="AN10" s="1024">
        <v>2.11</v>
      </c>
      <c r="AO10" s="1017">
        <v>6</v>
      </c>
      <c r="AP10" s="1025">
        <v>0</v>
      </c>
      <c r="AQ10" s="1025">
        <v>0</v>
      </c>
      <c r="AR10" s="1025">
        <v>0</v>
      </c>
      <c r="AS10" s="1025">
        <v>0</v>
      </c>
      <c r="AT10" s="920"/>
      <c r="AU10" s="1025">
        <v>0</v>
      </c>
      <c r="AV10" s="1025">
        <v>0</v>
      </c>
      <c r="AW10" s="1025">
        <v>0</v>
      </c>
      <c r="AX10" s="1025">
        <v>0</v>
      </c>
      <c r="AY10" s="1010"/>
      <c r="AZ10" s="1019">
        <v>2</v>
      </c>
      <c r="BA10" s="1026" t="s">
        <v>2088</v>
      </c>
      <c r="BB10" s="1026" t="s">
        <v>2087</v>
      </c>
      <c r="BC10" s="1026" t="s">
        <v>2086</v>
      </c>
      <c r="BD10" s="1026" t="s">
        <v>2085</v>
      </c>
      <c r="BE10" s="970" t="str">
        <f t="shared" si="0"/>
        <v>13.63%</v>
      </c>
      <c r="BF10" s="1027">
        <v>16</v>
      </c>
      <c r="BG10" s="920">
        <v>13</v>
      </c>
      <c r="BH10" s="998"/>
      <c r="BI10" s="998"/>
      <c r="BJ10" s="2361" t="s">
        <v>202</v>
      </c>
      <c r="BK10" s="2361"/>
      <c r="BL10" s="2361"/>
      <c r="BM10" s="2361"/>
      <c r="BN10" s="2361"/>
      <c r="BO10" s="2361"/>
      <c r="BP10" s="998"/>
      <c r="BQ10" s="998"/>
      <c r="BR10" s="998"/>
      <c r="BS10" s="998"/>
      <c r="BT10" s="998"/>
      <c r="BU10" s="998"/>
      <c r="BV10" s="998"/>
      <c r="BW10" s="998"/>
      <c r="BX10" s="998"/>
      <c r="BY10" s="998"/>
      <c r="BZ10" s="998"/>
      <c r="CA10" s="998"/>
      <c r="CB10" s="998"/>
      <c r="CC10" s="998"/>
      <c r="CD10" s="998"/>
      <c r="CE10" s="998"/>
      <c r="CF10" s="998"/>
      <c r="CG10" s="998"/>
      <c r="CH10" s="998"/>
      <c r="CI10" s="998"/>
      <c r="CJ10" s="998"/>
      <c r="CK10" s="998"/>
      <c r="CL10" s="998"/>
      <c r="CM10" s="998"/>
      <c r="CN10" s="998"/>
      <c r="CO10" s="998"/>
      <c r="CP10" s="998"/>
      <c r="CQ10" s="998"/>
      <c r="CR10" s="998"/>
    </row>
    <row r="11" spans="1:96" ht="16.5" customHeight="1" thickTop="1" thickBot="1">
      <c r="A11" s="998"/>
      <c r="B11" s="998"/>
      <c r="C11" s="885"/>
      <c r="D11" s="2526" t="s">
        <v>2084</v>
      </c>
      <c r="E11" s="2527"/>
      <c r="F11" s="995">
        <v>30</v>
      </c>
      <c r="G11" s="2529" t="s">
        <v>2083</v>
      </c>
      <c r="H11" s="2530"/>
      <c r="I11" s="2531" t="s">
        <v>1992</v>
      </c>
      <c r="J11" s="2532"/>
      <c r="K11" s="2533"/>
      <c r="L11" s="884"/>
      <c r="M11" s="2544"/>
      <c r="N11" s="2544"/>
      <c r="O11" s="998"/>
      <c r="P11" s="998"/>
      <c r="Q11" s="998"/>
      <c r="R11" s="998"/>
      <c r="S11" s="998"/>
      <c r="T11" s="1013">
        <v>2</v>
      </c>
      <c r="U11" s="1021">
        <v>0</v>
      </c>
      <c r="V11" s="1021">
        <v>0</v>
      </c>
      <c r="W11" s="1021">
        <v>0</v>
      </c>
      <c r="X11" s="1022">
        <v>31.15</v>
      </c>
      <c r="Y11" s="920"/>
      <c r="Z11" s="1023">
        <v>20</v>
      </c>
      <c r="AA11" s="1024">
        <v>3.36</v>
      </c>
      <c r="AB11" s="1024">
        <v>2.8</v>
      </c>
      <c r="AC11" s="1024">
        <v>2.4900000000000002</v>
      </c>
      <c r="AD11" s="1024">
        <v>2.2999999999999998</v>
      </c>
      <c r="AE11" s="1016">
        <v>20</v>
      </c>
      <c r="AF11" s="1024">
        <v>3.28</v>
      </c>
      <c r="AG11" s="1024">
        <v>2.73</v>
      </c>
      <c r="AH11" s="1024">
        <v>2.4300000000000002</v>
      </c>
      <c r="AI11" s="1024">
        <v>2.2400000000000002</v>
      </c>
      <c r="AJ11" s="1015">
        <v>20</v>
      </c>
      <c r="AK11" s="1024">
        <v>3.31</v>
      </c>
      <c r="AL11" s="1024">
        <v>2.76</v>
      </c>
      <c r="AM11" s="1024">
        <v>2.4500000000000002</v>
      </c>
      <c r="AN11" s="1024">
        <v>2.2599999999999998</v>
      </c>
      <c r="AO11" s="1017">
        <v>7</v>
      </c>
      <c r="AP11" s="1025">
        <v>0</v>
      </c>
      <c r="AQ11" s="1025">
        <v>0</v>
      </c>
      <c r="AR11" s="1025">
        <v>0</v>
      </c>
      <c r="AS11" s="1025">
        <v>0</v>
      </c>
      <c r="AT11" s="920"/>
      <c r="AU11" s="1025">
        <v>0</v>
      </c>
      <c r="AV11" s="1025">
        <v>0</v>
      </c>
      <c r="AW11" s="1025">
        <v>0</v>
      </c>
      <c r="AX11" s="1025">
        <v>0</v>
      </c>
      <c r="AY11" s="1010"/>
      <c r="AZ11" s="1019">
        <v>3</v>
      </c>
      <c r="BA11" s="1026" t="s">
        <v>2082</v>
      </c>
      <c r="BB11" s="1026">
        <v>0.27910000000000001</v>
      </c>
      <c r="BC11" s="1026" t="s">
        <v>2081</v>
      </c>
      <c r="BD11" s="1026" t="s">
        <v>2080</v>
      </c>
      <c r="BE11" s="970" t="str">
        <f t="shared" si="0"/>
        <v>14.62%</v>
      </c>
      <c r="BF11" s="1027">
        <v>17</v>
      </c>
      <c r="BG11" s="920">
        <v>15</v>
      </c>
      <c r="BH11" s="998"/>
      <c r="BI11" s="998"/>
      <c r="BJ11" s="2363" t="s">
        <v>203</v>
      </c>
      <c r="BK11" s="2363"/>
      <c r="BL11" s="2363"/>
      <c r="BM11" s="2361" t="s">
        <v>2079</v>
      </c>
      <c r="BN11" s="2361"/>
      <c r="BO11" s="2361"/>
      <c r="BP11" s="998"/>
      <c r="BQ11" s="998"/>
      <c r="BR11" s="998"/>
      <c r="BS11" s="998"/>
      <c r="BT11" s="998"/>
      <c r="BU11" s="998"/>
      <c r="BV11" s="998"/>
      <c r="BW11" s="998"/>
      <c r="BX11" s="998"/>
      <c r="BY11" s="998"/>
      <c r="BZ11" s="998"/>
      <c r="CA11" s="998"/>
      <c r="CB11" s="998"/>
      <c r="CC11" s="998"/>
      <c r="CD11" s="998"/>
      <c r="CE11" s="998"/>
      <c r="CF11" s="998"/>
      <c r="CG11" s="998"/>
      <c r="CH11" s="998"/>
      <c r="CI11" s="998"/>
      <c r="CJ11" s="998"/>
      <c r="CK11" s="998"/>
      <c r="CL11" s="998"/>
      <c r="CM11" s="998"/>
      <c r="CN11" s="998"/>
      <c r="CO11" s="998"/>
      <c r="CP11" s="998"/>
      <c r="CQ11" s="998"/>
      <c r="CR11" s="998"/>
    </row>
    <row r="12" spans="1:96" ht="14.25" customHeight="1" thickTop="1" thickBot="1">
      <c r="A12" s="998"/>
      <c r="B12" s="998"/>
      <c r="C12" s="885"/>
      <c r="D12" s="2539" t="str">
        <f>I11</f>
        <v>ADDB RIDER</v>
      </c>
      <c r="E12" s="2540"/>
      <c r="F12" s="2540"/>
      <c r="G12" s="987" t="s">
        <v>80</v>
      </c>
      <c r="H12" s="2547" t="s">
        <v>904</v>
      </c>
      <c r="I12" s="2540"/>
      <c r="J12" s="2540"/>
      <c r="K12" s="987" t="s">
        <v>80</v>
      </c>
      <c r="L12" s="884"/>
      <c r="M12" s="2559" t="s">
        <v>903</v>
      </c>
      <c r="N12" s="2559"/>
      <c r="O12" s="2559"/>
      <c r="P12" s="998"/>
      <c r="Q12" s="998"/>
      <c r="R12" s="998"/>
      <c r="S12" s="998"/>
      <c r="T12" s="1013">
        <v>3</v>
      </c>
      <c r="U12" s="1021">
        <v>0</v>
      </c>
      <c r="V12" s="1021">
        <v>0</v>
      </c>
      <c r="W12" s="1021">
        <v>0</v>
      </c>
      <c r="X12" s="1022">
        <v>31.15</v>
      </c>
      <c r="Y12" s="920"/>
      <c r="Z12" s="1023">
        <v>21</v>
      </c>
      <c r="AA12" s="1024">
        <v>3.55</v>
      </c>
      <c r="AB12" s="1024">
        <v>2.96</v>
      </c>
      <c r="AC12" s="1024">
        <v>2.63</v>
      </c>
      <c r="AD12" s="1024">
        <v>2.4300000000000002</v>
      </c>
      <c r="AE12" s="1016">
        <v>21</v>
      </c>
      <c r="AF12" s="1024">
        <v>3.55</v>
      </c>
      <c r="AG12" s="1024">
        <v>2.96</v>
      </c>
      <c r="AH12" s="1024">
        <v>2.63</v>
      </c>
      <c r="AI12" s="1024">
        <v>2.4300000000000002</v>
      </c>
      <c r="AJ12" s="1015">
        <v>21</v>
      </c>
      <c r="AK12" s="1024">
        <v>3.54</v>
      </c>
      <c r="AL12" s="1024">
        <v>2.96</v>
      </c>
      <c r="AM12" s="1024">
        <v>2.63</v>
      </c>
      <c r="AN12" s="1024">
        <v>2.42</v>
      </c>
      <c r="AO12" s="1017">
        <v>8</v>
      </c>
      <c r="AP12" s="1025">
        <v>0</v>
      </c>
      <c r="AQ12" s="1025">
        <v>0</v>
      </c>
      <c r="AR12" s="1025">
        <v>0</v>
      </c>
      <c r="AS12" s="1025">
        <v>0</v>
      </c>
      <c r="AT12" s="920"/>
      <c r="AU12" s="1025">
        <v>0</v>
      </c>
      <c r="AV12" s="1025">
        <v>0</v>
      </c>
      <c r="AW12" s="1025">
        <v>0</v>
      </c>
      <c r="AX12" s="1025">
        <v>0</v>
      </c>
      <c r="AY12" s="1010"/>
      <c r="AZ12" s="1019">
        <v>4</v>
      </c>
      <c r="BA12" s="1026" t="s">
        <v>2078</v>
      </c>
      <c r="BB12" s="1026" t="s">
        <v>2077</v>
      </c>
      <c r="BC12" s="1026" t="s">
        <v>2076</v>
      </c>
      <c r="BD12" s="1026" t="s">
        <v>2075</v>
      </c>
      <c r="BE12" s="970" t="str">
        <f t="shared" si="0"/>
        <v>15.68%</v>
      </c>
      <c r="BF12" s="1027">
        <v>18</v>
      </c>
      <c r="BG12" s="920">
        <v>18</v>
      </c>
      <c r="BH12" s="998"/>
      <c r="BI12" s="998"/>
      <c r="BJ12" s="2362" t="s">
        <v>204</v>
      </c>
      <c r="BK12" s="2362"/>
      <c r="BL12" s="2362"/>
      <c r="BM12" s="2361" t="s">
        <v>2074</v>
      </c>
      <c r="BN12" s="2361"/>
      <c r="BO12" s="2361"/>
      <c r="BP12" s="998"/>
      <c r="BQ12" s="998"/>
      <c r="BR12" s="998"/>
      <c r="BS12" s="998"/>
      <c r="BT12" s="998"/>
      <c r="BU12" s="998"/>
      <c r="BV12" s="998"/>
      <c r="BW12" s="998"/>
      <c r="BX12" s="998"/>
      <c r="BY12" s="998"/>
      <c r="BZ12" s="998"/>
      <c r="CA12" s="998"/>
      <c r="CB12" s="998"/>
      <c r="CC12" s="998"/>
      <c r="CD12" s="998"/>
      <c r="CE12" s="998"/>
      <c r="CF12" s="998"/>
      <c r="CG12" s="998"/>
      <c r="CH12" s="998"/>
      <c r="CI12" s="998"/>
      <c r="CJ12" s="998"/>
      <c r="CK12" s="998"/>
      <c r="CL12" s="998"/>
      <c r="CM12" s="998"/>
      <c r="CN12" s="998"/>
      <c r="CO12" s="998"/>
      <c r="CP12" s="998"/>
      <c r="CQ12" s="998"/>
      <c r="CR12" s="998"/>
    </row>
    <row r="13" spans="1:96" ht="14.25" customHeight="1" thickTop="1" thickBot="1">
      <c r="A13" s="998"/>
      <c r="B13" s="998"/>
      <c r="C13" s="885"/>
      <c r="D13" s="2539" t="s">
        <v>117</v>
      </c>
      <c r="E13" s="2540"/>
      <c r="F13" s="2540"/>
      <c r="G13" s="987" t="s">
        <v>80</v>
      </c>
      <c r="H13" s="985" t="str">
        <f>IF(G13="YES","S.A."," ")</f>
        <v/>
      </c>
      <c r="I13" s="2541"/>
      <c r="J13" s="2542"/>
      <c r="K13" s="2543"/>
      <c r="L13" s="884"/>
      <c r="M13" s="2559"/>
      <c r="N13" s="2559"/>
      <c r="O13" s="2559"/>
      <c r="P13" s="998"/>
      <c r="Q13" s="1"/>
      <c r="R13" s="998"/>
      <c r="S13" s="998"/>
      <c r="T13" s="1013">
        <v>4</v>
      </c>
      <c r="U13" s="1021">
        <v>0</v>
      </c>
      <c r="V13" s="1021">
        <v>0</v>
      </c>
      <c r="W13" s="1021">
        <v>0</v>
      </c>
      <c r="X13" s="1022">
        <v>31.15</v>
      </c>
      <c r="Y13" s="920"/>
      <c r="Z13" s="1023">
        <v>22</v>
      </c>
      <c r="AA13" s="1024">
        <v>3.76</v>
      </c>
      <c r="AB13" s="1024">
        <v>3.14</v>
      </c>
      <c r="AC13" s="1024">
        <v>2.79</v>
      </c>
      <c r="AD13" s="1024">
        <v>2.57</v>
      </c>
      <c r="AE13" s="1016">
        <v>22</v>
      </c>
      <c r="AF13" s="1024">
        <v>3.84</v>
      </c>
      <c r="AG13" s="1024">
        <v>3.21</v>
      </c>
      <c r="AH13" s="1024">
        <v>2.85</v>
      </c>
      <c r="AI13" s="1024">
        <v>2.63</v>
      </c>
      <c r="AJ13" s="1015">
        <v>22</v>
      </c>
      <c r="AK13" s="1024">
        <v>3.79</v>
      </c>
      <c r="AL13" s="1024">
        <v>3.16</v>
      </c>
      <c r="AM13" s="1024">
        <v>2.81</v>
      </c>
      <c r="AN13" s="1024">
        <v>2.6</v>
      </c>
      <c r="AO13" s="1017">
        <v>9</v>
      </c>
      <c r="AP13" s="1025">
        <v>0</v>
      </c>
      <c r="AQ13" s="1025">
        <v>0</v>
      </c>
      <c r="AR13" s="1025">
        <v>0</v>
      </c>
      <c r="AS13" s="1025">
        <v>0</v>
      </c>
      <c r="AT13" s="920"/>
      <c r="AU13" s="1025">
        <v>0</v>
      </c>
      <c r="AV13" s="1025">
        <v>0</v>
      </c>
      <c r="AW13" s="1025">
        <v>0</v>
      </c>
      <c r="AX13" s="1025">
        <v>0</v>
      </c>
      <c r="AY13" s="1010"/>
      <c r="AZ13" s="1019">
        <v>5</v>
      </c>
      <c r="BA13" s="1026" t="s">
        <v>2073</v>
      </c>
      <c r="BB13" s="1026" t="s">
        <v>2072</v>
      </c>
      <c r="BC13" s="1026" t="s">
        <v>2071</v>
      </c>
      <c r="BD13" s="1026" t="s">
        <v>2070</v>
      </c>
      <c r="BE13" s="970" t="str">
        <f t="shared" si="0"/>
        <v>16.82%</v>
      </c>
      <c r="BF13" s="1027">
        <v>19</v>
      </c>
      <c r="BG13" s="920">
        <v>25</v>
      </c>
      <c r="BH13" s="998"/>
      <c r="BI13" s="998"/>
      <c r="BJ13" s="2362"/>
      <c r="BK13" s="2362"/>
      <c r="BL13" s="2362"/>
      <c r="BM13" s="2361" t="s">
        <v>2069</v>
      </c>
      <c r="BN13" s="2361"/>
      <c r="BO13" s="2361"/>
      <c r="BP13" s="998"/>
      <c r="BQ13" s="998"/>
      <c r="BR13" s="998"/>
      <c r="BS13" s="998"/>
      <c r="BT13" s="998"/>
      <c r="BU13" s="998"/>
      <c r="BV13" s="998"/>
      <c r="BW13" s="998"/>
      <c r="BX13" s="998"/>
      <c r="BY13" s="998"/>
      <c r="BZ13" s="998"/>
      <c r="CA13" s="998"/>
      <c r="CB13" s="998"/>
      <c r="CC13" s="998"/>
      <c r="CD13" s="998"/>
      <c r="CE13" s="998"/>
      <c r="CF13" s="998"/>
      <c r="CG13" s="998"/>
      <c r="CH13" s="998"/>
      <c r="CI13" s="998"/>
      <c r="CJ13" s="998"/>
      <c r="CK13" s="998"/>
      <c r="CL13" s="998"/>
      <c r="CM13" s="998"/>
      <c r="CN13" s="998"/>
      <c r="CO13" s="998"/>
      <c r="CP13" s="998"/>
      <c r="CQ13" s="998"/>
      <c r="CR13" s="998"/>
    </row>
    <row r="14" spans="1:96" ht="15" customHeight="1" thickTop="1" thickBot="1">
      <c r="A14" s="998"/>
      <c r="B14" s="998"/>
      <c r="C14" s="885"/>
      <c r="D14" s="2548" t="s">
        <v>2068</v>
      </c>
      <c r="E14" s="2530"/>
      <c r="F14" s="2530"/>
      <c r="G14" s="986" t="s">
        <v>80</v>
      </c>
      <c r="H14" s="985" t="str">
        <f>IF(G14="YES","S.A."," ")</f>
        <v/>
      </c>
      <c r="I14" s="2541"/>
      <c r="J14" s="2542"/>
      <c r="K14" s="2543"/>
      <c r="L14" s="884"/>
      <c r="M14" s="2561" t="s">
        <v>226</v>
      </c>
      <c r="N14" s="2561"/>
      <c r="O14" s="2561"/>
      <c r="P14" s="998"/>
      <c r="Q14" s="998"/>
      <c r="R14" s="998"/>
      <c r="S14" s="998"/>
      <c r="T14" s="1013">
        <v>5</v>
      </c>
      <c r="U14" s="1021">
        <v>0</v>
      </c>
      <c r="V14" s="1021">
        <v>0</v>
      </c>
      <c r="W14" s="1022">
        <v>39.85</v>
      </c>
      <c r="X14" s="1022">
        <v>31.15</v>
      </c>
      <c r="Y14" s="920"/>
      <c r="Z14" s="1023">
        <v>23</v>
      </c>
      <c r="AA14" s="1024">
        <v>3.99</v>
      </c>
      <c r="AB14" s="1024">
        <v>3.33</v>
      </c>
      <c r="AC14" s="1024">
        <v>2.96</v>
      </c>
      <c r="AD14" s="1024">
        <v>2.73</v>
      </c>
      <c r="AE14" s="1016">
        <v>23</v>
      </c>
      <c r="AF14" s="1024">
        <v>4.16</v>
      </c>
      <c r="AG14" s="1024">
        <v>3.47</v>
      </c>
      <c r="AH14" s="1024">
        <v>3.08</v>
      </c>
      <c r="AI14" s="1024">
        <v>2.85</v>
      </c>
      <c r="AJ14" s="1015">
        <v>23</v>
      </c>
      <c r="AK14" s="1024">
        <v>4.0599999999999996</v>
      </c>
      <c r="AL14" s="1024">
        <v>3.39</v>
      </c>
      <c r="AM14" s="1024">
        <v>3.01</v>
      </c>
      <c r="AN14" s="1024">
        <v>2.78</v>
      </c>
      <c r="AO14" s="1017">
        <v>10</v>
      </c>
      <c r="AP14" s="1025">
        <v>0</v>
      </c>
      <c r="AQ14" s="1025">
        <v>0</v>
      </c>
      <c r="AR14" s="1025">
        <v>0</v>
      </c>
      <c r="AS14" s="1025">
        <v>0</v>
      </c>
      <c r="AT14" s="920"/>
      <c r="AU14" s="1025">
        <v>0</v>
      </c>
      <c r="AV14" s="1025">
        <v>0</v>
      </c>
      <c r="AW14" s="1025">
        <v>0</v>
      </c>
      <c r="AX14" s="1025">
        <v>0</v>
      </c>
      <c r="AY14" s="1010"/>
      <c r="AZ14" s="1019">
        <v>6</v>
      </c>
      <c r="BA14" s="1026" t="s">
        <v>2067</v>
      </c>
      <c r="BB14" s="1026" t="s">
        <v>2066</v>
      </c>
      <c r="BC14" s="1026" t="s">
        <v>2065</v>
      </c>
      <c r="BD14" s="1026" t="s">
        <v>2064</v>
      </c>
      <c r="BE14" s="970" t="str">
        <f t="shared" si="0"/>
        <v>18.04%</v>
      </c>
      <c r="BF14" s="1027">
        <v>20</v>
      </c>
      <c r="BG14" s="920">
        <v>35</v>
      </c>
      <c r="BH14" s="998"/>
      <c r="BI14" s="998"/>
      <c r="BJ14" s="2362"/>
      <c r="BK14" s="2362"/>
      <c r="BL14" s="2362"/>
      <c r="BM14" s="2361" t="s">
        <v>2063</v>
      </c>
      <c r="BN14" s="2361"/>
      <c r="BO14" s="2361"/>
      <c r="BP14" s="998"/>
      <c r="BQ14" s="998"/>
      <c r="BR14" s="998"/>
      <c r="BS14" s="998"/>
      <c r="BT14" s="998"/>
      <c r="BU14" s="998"/>
      <c r="BV14" s="998"/>
      <c r="BW14" s="998"/>
      <c r="BX14" s="998"/>
      <c r="BY14" s="998"/>
      <c r="BZ14" s="998"/>
      <c r="CA14" s="998"/>
      <c r="CB14" s="998"/>
      <c r="CC14" s="998"/>
      <c r="CD14" s="998"/>
      <c r="CE14" s="998"/>
      <c r="CF14" s="998"/>
      <c r="CG14" s="998"/>
      <c r="CH14" s="998"/>
      <c r="CI14" s="998"/>
      <c r="CJ14" s="998"/>
      <c r="CK14" s="998"/>
      <c r="CL14" s="998"/>
      <c r="CM14" s="998"/>
      <c r="CN14" s="998"/>
      <c r="CO14" s="998"/>
      <c r="CP14" s="998"/>
      <c r="CQ14" s="998"/>
      <c r="CR14" s="998"/>
    </row>
    <row r="15" spans="1:96" ht="15.75" customHeight="1" thickTop="1" thickBot="1">
      <c r="A15" s="998"/>
      <c r="B15" s="998"/>
      <c r="C15" s="885"/>
      <c r="D15" s="2534" t="s">
        <v>2109</v>
      </c>
      <c r="E15" s="2535"/>
      <c r="F15" s="2536"/>
      <c r="G15" s="2537">
        <v>4.4999999999999998E-2</v>
      </c>
      <c r="H15" s="2538"/>
      <c r="I15" s="2526" t="s">
        <v>2062</v>
      </c>
      <c r="J15" s="2527"/>
      <c r="K15" s="984">
        <f>100-F10</f>
        <v>99</v>
      </c>
      <c r="L15" s="884"/>
      <c r="M15" s="2561"/>
      <c r="N15" s="2561"/>
      <c r="O15" s="2561"/>
      <c r="P15" s="998"/>
      <c r="Q15" s="998"/>
      <c r="R15" s="998"/>
      <c r="S15" s="998"/>
      <c r="T15" s="1013">
        <v>6</v>
      </c>
      <c r="U15" s="1021">
        <v>0</v>
      </c>
      <c r="V15" s="1021">
        <v>0</v>
      </c>
      <c r="W15" s="1022">
        <v>39.85</v>
      </c>
      <c r="X15" s="1022">
        <v>31.15</v>
      </c>
      <c r="Y15" s="920"/>
      <c r="Z15" s="1023">
        <v>24</v>
      </c>
      <c r="AA15" s="1024">
        <v>4.24</v>
      </c>
      <c r="AB15" s="1024">
        <v>3.53</v>
      </c>
      <c r="AC15" s="1024">
        <v>3.14</v>
      </c>
      <c r="AD15" s="1024">
        <v>2.9</v>
      </c>
      <c r="AE15" s="1016">
        <v>24</v>
      </c>
      <c r="AF15" s="1024">
        <v>4.5</v>
      </c>
      <c r="AG15" s="1024">
        <v>3.76</v>
      </c>
      <c r="AH15" s="1024">
        <v>3.34</v>
      </c>
      <c r="AI15" s="1024">
        <v>3.08</v>
      </c>
      <c r="AJ15" s="1015">
        <v>24</v>
      </c>
      <c r="AK15" s="1024">
        <v>4.34</v>
      </c>
      <c r="AL15" s="1024">
        <v>3.62</v>
      </c>
      <c r="AM15" s="1024">
        <v>3.22</v>
      </c>
      <c r="AN15" s="1024">
        <v>2.98</v>
      </c>
      <c r="AO15" s="1017">
        <v>11</v>
      </c>
      <c r="AP15" s="1025">
        <v>0</v>
      </c>
      <c r="AQ15" s="1025">
        <v>0</v>
      </c>
      <c r="AR15" s="1025">
        <v>0</v>
      </c>
      <c r="AS15" s="1025">
        <v>0</v>
      </c>
      <c r="AT15" s="920"/>
      <c r="AU15" s="1025">
        <v>0</v>
      </c>
      <c r="AV15" s="1025">
        <v>0</v>
      </c>
      <c r="AW15" s="1025">
        <v>0</v>
      </c>
      <c r="AX15" s="1025">
        <v>0</v>
      </c>
      <c r="AY15" s="1010"/>
      <c r="AZ15" s="1019">
        <v>7</v>
      </c>
      <c r="BA15" s="1026" t="s">
        <v>1939</v>
      </c>
      <c r="BB15" s="1026" t="s">
        <v>2061</v>
      </c>
      <c r="BC15" s="1026" t="s">
        <v>2060</v>
      </c>
      <c r="BD15" s="1026" t="s">
        <v>2059</v>
      </c>
      <c r="BE15" s="970" t="str">
        <f t="shared" si="0"/>
        <v>19.35%</v>
      </c>
      <c r="BF15" s="1027">
        <v>21</v>
      </c>
      <c r="BG15" s="920">
        <v>50</v>
      </c>
      <c r="BH15" s="998"/>
      <c r="BI15" s="998"/>
      <c r="BJ15" s="2362"/>
      <c r="BK15" s="2362"/>
      <c r="BL15" s="2362"/>
      <c r="BM15" s="2361" t="s">
        <v>2058</v>
      </c>
      <c r="BN15" s="2361"/>
      <c r="BO15" s="2361"/>
      <c r="BP15" s="998"/>
      <c r="BQ15" s="998"/>
      <c r="BR15" s="998"/>
      <c r="BS15" s="998"/>
      <c r="BT15" s="998"/>
      <c r="BU15" s="998"/>
      <c r="BV15" s="998"/>
      <c r="BW15" s="998"/>
      <c r="BX15" s="998"/>
      <c r="BY15" s="998"/>
      <c r="BZ15" s="998"/>
      <c r="CA15" s="998"/>
      <c r="CB15" s="998"/>
      <c r="CC15" s="998"/>
      <c r="CD15" s="998"/>
      <c r="CE15" s="998"/>
      <c r="CF15" s="998"/>
      <c r="CG15" s="998"/>
      <c r="CH15" s="998"/>
      <c r="CI15" s="998"/>
      <c r="CJ15" s="998"/>
      <c r="CK15" s="998"/>
      <c r="CL15" s="998"/>
      <c r="CM15" s="998"/>
      <c r="CN15" s="998"/>
      <c r="CO15" s="998"/>
      <c r="CP15" s="998"/>
      <c r="CQ15" s="998"/>
      <c r="CR15" s="998"/>
    </row>
    <row r="16" spans="1:96" ht="16.5" customHeight="1" thickTop="1" thickBot="1">
      <c r="A16" s="998"/>
      <c r="B16" s="998"/>
      <c r="C16" s="884"/>
      <c r="D16" s="2562" t="s">
        <v>2057</v>
      </c>
      <c r="E16" s="2563"/>
      <c r="F16" s="2563"/>
      <c r="G16" s="2563"/>
      <c r="H16" s="2563"/>
      <c r="I16" s="2563"/>
      <c r="J16" s="2563"/>
      <c r="K16" s="2564"/>
      <c r="L16" s="885"/>
      <c r="M16" s="998"/>
      <c r="N16" s="998"/>
      <c r="O16" s="998"/>
      <c r="P16" s="998"/>
      <c r="Q16" s="998"/>
      <c r="R16" s="998"/>
      <c r="S16" s="998"/>
      <c r="T16" s="1013">
        <v>7</v>
      </c>
      <c r="U16" s="1021">
        <v>0</v>
      </c>
      <c r="V16" s="1021">
        <v>0</v>
      </c>
      <c r="W16" s="1022">
        <v>39.85</v>
      </c>
      <c r="X16" s="1022">
        <v>31.15</v>
      </c>
      <c r="Y16" s="920"/>
      <c r="Z16" s="1023">
        <v>25</v>
      </c>
      <c r="AA16" s="1024">
        <v>4.51</v>
      </c>
      <c r="AB16" s="1024">
        <v>3.76</v>
      </c>
      <c r="AC16" s="1024">
        <v>3.34</v>
      </c>
      <c r="AD16" s="1024">
        <v>3.09</v>
      </c>
      <c r="AE16" s="1016">
        <v>25</v>
      </c>
      <c r="AF16" s="1024">
        <v>4.87</v>
      </c>
      <c r="AG16" s="1024">
        <v>4.0599999999999996</v>
      </c>
      <c r="AH16" s="1024">
        <v>3.61</v>
      </c>
      <c r="AI16" s="1024">
        <v>3.34</v>
      </c>
      <c r="AJ16" s="1015">
        <v>25</v>
      </c>
      <c r="AK16" s="1024">
        <v>4.6399999999999997</v>
      </c>
      <c r="AL16" s="1024">
        <v>3.87</v>
      </c>
      <c r="AM16" s="1024">
        <v>3.45</v>
      </c>
      <c r="AN16" s="1024">
        <v>3.18</v>
      </c>
      <c r="AO16" s="1017">
        <v>12</v>
      </c>
      <c r="AP16" s="1025">
        <v>0</v>
      </c>
      <c r="AQ16" s="1025">
        <v>0</v>
      </c>
      <c r="AR16" s="1025">
        <v>0</v>
      </c>
      <c r="AS16" s="1025">
        <v>0</v>
      </c>
      <c r="AT16" s="920"/>
      <c r="AU16" s="1025">
        <v>0</v>
      </c>
      <c r="AV16" s="1025">
        <v>0</v>
      </c>
      <c r="AW16" s="1025">
        <v>0</v>
      </c>
      <c r="AX16" s="1025">
        <v>0</v>
      </c>
      <c r="AY16" s="1010"/>
      <c r="AZ16" s="1019">
        <v>8</v>
      </c>
      <c r="BA16" s="1026" t="s">
        <v>2056</v>
      </c>
      <c r="BB16" s="1026" t="s">
        <v>2055</v>
      </c>
      <c r="BC16" s="1026" t="s">
        <v>2054</v>
      </c>
      <c r="BD16" s="1026" t="s">
        <v>2053</v>
      </c>
      <c r="BE16" s="970" t="str">
        <f t="shared" si="0"/>
        <v>20.76%</v>
      </c>
      <c r="BF16" s="1027">
        <v>22</v>
      </c>
      <c r="BG16" s="920">
        <v>75</v>
      </c>
      <c r="BH16" s="998"/>
      <c r="BI16" s="998"/>
      <c r="BJ16" s="2363" t="s">
        <v>2052</v>
      </c>
      <c r="BK16" s="2363"/>
      <c r="BL16" s="2363"/>
      <c r="BM16" s="2361" t="s">
        <v>2051</v>
      </c>
      <c r="BN16" s="2361"/>
      <c r="BO16" s="2361"/>
      <c r="BP16" s="998"/>
      <c r="BQ16" s="998"/>
      <c r="BR16" s="998"/>
      <c r="BS16" s="998"/>
      <c r="BT16" s="998"/>
      <c r="BU16" s="998"/>
      <c r="BV16" s="998"/>
      <c r="BW16" s="998"/>
      <c r="BX16" s="998"/>
      <c r="BY16" s="998"/>
      <c r="BZ16" s="998"/>
      <c r="CA16" s="998"/>
      <c r="CB16" s="998"/>
      <c r="CC16" s="998"/>
      <c r="CD16" s="998"/>
      <c r="CE16" s="998"/>
      <c r="CF16" s="998"/>
      <c r="CG16" s="998"/>
      <c r="CH16" s="998"/>
      <c r="CI16" s="998"/>
      <c r="CJ16" s="998"/>
      <c r="CK16" s="998"/>
      <c r="CL16" s="998"/>
      <c r="CM16" s="998"/>
      <c r="CN16" s="998"/>
      <c r="CO16" s="998"/>
      <c r="CP16" s="998"/>
      <c r="CQ16" s="998"/>
      <c r="CR16" s="998"/>
    </row>
    <row r="17" spans="1:96" ht="16.5" customHeight="1" thickTop="1" thickBot="1">
      <c r="A17" s="998"/>
      <c r="B17" s="998"/>
      <c r="C17" s="884"/>
      <c r="D17" s="2545" t="s">
        <v>2050</v>
      </c>
      <c r="E17" s="2546"/>
      <c r="F17" s="2545" t="s">
        <v>194</v>
      </c>
      <c r="G17" s="2546"/>
      <c r="H17" s="2545" t="s">
        <v>2110</v>
      </c>
      <c r="I17" s="2546"/>
      <c r="J17" s="2545" t="s">
        <v>255</v>
      </c>
      <c r="K17" s="2546"/>
      <c r="L17" s="885"/>
      <c r="M17" s="2559" t="s">
        <v>352</v>
      </c>
      <c r="N17" s="2559"/>
      <c r="O17" s="2559"/>
      <c r="P17" s="998"/>
      <c r="Q17" s="998"/>
      <c r="R17" s="998"/>
      <c r="S17" s="998"/>
      <c r="T17" s="1013">
        <v>8</v>
      </c>
      <c r="U17" s="1021">
        <v>0</v>
      </c>
      <c r="V17" s="1021">
        <v>0</v>
      </c>
      <c r="W17" s="1022">
        <v>39.9</v>
      </c>
      <c r="X17" s="1022">
        <v>31.15</v>
      </c>
      <c r="Y17" s="920"/>
      <c r="Z17" s="1023">
        <v>26</v>
      </c>
      <c r="AA17" s="1024">
        <v>4.8</v>
      </c>
      <c r="AB17" s="1024">
        <v>4.01</v>
      </c>
      <c r="AC17" s="1024">
        <v>3.56</v>
      </c>
      <c r="AD17" s="1024">
        <v>3.29</v>
      </c>
      <c r="AE17" s="1016">
        <v>26</v>
      </c>
      <c r="AF17" s="1024">
        <v>5.27</v>
      </c>
      <c r="AG17" s="1024">
        <v>4.4000000000000004</v>
      </c>
      <c r="AH17" s="1024">
        <v>3.91</v>
      </c>
      <c r="AI17" s="1024">
        <v>3.62</v>
      </c>
      <c r="AJ17" s="1015">
        <v>26</v>
      </c>
      <c r="AK17" s="1024">
        <v>4.96</v>
      </c>
      <c r="AL17" s="1024">
        <v>4.1399999999999997</v>
      </c>
      <c r="AM17" s="1024">
        <v>3.69</v>
      </c>
      <c r="AN17" s="1024">
        <v>3.41</v>
      </c>
      <c r="AO17" s="1017">
        <v>13</v>
      </c>
      <c r="AP17" s="1025">
        <v>0</v>
      </c>
      <c r="AQ17" s="1025">
        <v>0</v>
      </c>
      <c r="AR17" s="1025">
        <v>0</v>
      </c>
      <c r="AS17" s="1025">
        <v>0</v>
      </c>
      <c r="AT17" s="920"/>
      <c r="AU17" s="1025">
        <v>0</v>
      </c>
      <c r="AV17" s="1025">
        <v>0</v>
      </c>
      <c r="AW17" s="1025">
        <v>0</v>
      </c>
      <c r="AX17" s="1025">
        <v>0</v>
      </c>
      <c r="AY17" s="1010"/>
      <c r="AZ17" s="1019">
        <v>9</v>
      </c>
      <c r="BA17" s="1026" t="s">
        <v>2049</v>
      </c>
      <c r="BB17" s="1026" t="s">
        <v>2048</v>
      </c>
      <c r="BC17" s="1026" t="s">
        <v>2047</v>
      </c>
      <c r="BD17" s="1026" t="s">
        <v>2046</v>
      </c>
      <c r="BE17" s="970" t="str">
        <f t="shared" si="0"/>
        <v>22.27%</v>
      </c>
      <c r="BF17" s="1027">
        <v>23</v>
      </c>
      <c r="BG17" s="920">
        <v>125</v>
      </c>
      <c r="BH17" s="998"/>
      <c r="BI17" s="998"/>
      <c r="BJ17" s="2362" t="s">
        <v>2045</v>
      </c>
      <c r="BK17" s="2362"/>
      <c r="BL17" s="2362"/>
      <c r="BM17" s="2361" t="s">
        <v>2044</v>
      </c>
      <c r="BN17" s="2361"/>
      <c r="BO17" s="2361"/>
      <c r="BP17" s="998"/>
      <c r="BQ17" s="998"/>
      <c r="BR17" s="998"/>
      <c r="BS17" s="998"/>
      <c r="BT17" s="998"/>
      <c r="BU17" s="998"/>
      <c r="BV17" s="998"/>
      <c r="BW17" s="998"/>
      <c r="BX17" s="998"/>
      <c r="BY17" s="998"/>
      <c r="BZ17" s="998"/>
      <c r="CA17" s="998"/>
      <c r="CB17" s="998"/>
      <c r="CC17" s="998"/>
      <c r="CD17" s="998"/>
      <c r="CE17" s="998"/>
      <c r="CF17" s="998"/>
      <c r="CG17" s="998"/>
      <c r="CH17" s="998"/>
      <c r="CI17" s="998"/>
      <c r="CJ17" s="998"/>
      <c r="CK17" s="998"/>
      <c r="CL17" s="998"/>
      <c r="CM17" s="998"/>
      <c r="CN17" s="998"/>
      <c r="CO17" s="998"/>
      <c r="CP17" s="998"/>
      <c r="CQ17" s="998"/>
      <c r="CR17" s="998"/>
    </row>
    <row r="18" spans="1:96" ht="17.25" customHeight="1" thickTop="1" thickBot="1">
      <c r="A18" s="998"/>
      <c r="B18" s="998"/>
      <c r="C18" s="884"/>
      <c r="D18" s="2545" t="s">
        <v>2043</v>
      </c>
      <c r="E18" s="2546"/>
      <c r="F18" s="2528">
        <f>AW69</f>
        <v>6105</v>
      </c>
      <c r="G18" s="2525"/>
      <c r="H18" s="2528">
        <f>J18-F18</f>
        <v>275</v>
      </c>
      <c r="I18" s="2525"/>
      <c r="J18" s="2525">
        <f>BB69</f>
        <v>6380</v>
      </c>
      <c r="K18" s="2525"/>
      <c r="L18" s="885"/>
      <c r="M18" s="2559"/>
      <c r="N18" s="2559"/>
      <c r="O18" s="2559"/>
      <c r="P18" s="998"/>
      <c r="Q18" s="998"/>
      <c r="R18" s="998"/>
      <c r="S18" s="998"/>
      <c r="T18" s="1013">
        <v>9</v>
      </c>
      <c r="U18" s="1021">
        <v>0</v>
      </c>
      <c r="V18" s="1021">
        <v>0</v>
      </c>
      <c r="W18" s="1022">
        <v>39.9</v>
      </c>
      <c r="X18" s="1022">
        <v>31.15</v>
      </c>
      <c r="Y18" s="920"/>
      <c r="Z18" s="1023">
        <v>27</v>
      </c>
      <c r="AA18" s="1024">
        <v>5.13</v>
      </c>
      <c r="AB18" s="1024">
        <v>4.28</v>
      </c>
      <c r="AC18" s="1024">
        <v>3.81</v>
      </c>
      <c r="AD18" s="1024">
        <v>3.52</v>
      </c>
      <c r="AE18" s="1016">
        <v>27</v>
      </c>
      <c r="AF18" s="1024">
        <v>5.7</v>
      </c>
      <c r="AG18" s="1024">
        <v>4.76</v>
      </c>
      <c r="AH18" s="1024">
        <v>4.24</v>
      </c>
      <c r="AI18" s="1024">
        <v>3.92</v>
      </c>
      <c r="AJ18" s="1015">
        <v>27</v>
      </c>
      <c r="AK18" s="1024">
        <v>5.29</v>
      </c>
      <c r="AL18" s="1024">
        <v>4.42</v>
      </c>
      <c r="AM18" s="1024">
        <v>3.94</v>
      </c>
      <c r="AN18" s="1024">
        <v>3.64</v>
      </c>
      <c r="AO18" s="1017">
        <v>14</v>
      </c>
      <c r="AP18" s="1025">
        <v>0</v>
      </c>
      <c r="AQ18" s="1025">
        <v>0</v>
      </c>
      <c r="AR18" s="1025">
        <v>0</v>
      </c>
      <c r="AS18" s="1025">
        <v>0</v>
      </c>
      <c r="AT18" s="920"/>
      <c r="AU18" s="1025">
        <v>0</v>
      </c>
      <c r="AV18" s="1025">
        <v>0</v>
      </c>
      <c r="AW18" s="1025">
        <v>0</v>
      </c>
      <c r="AX18" s="1025">
        <v>0</v>
      </c>
      <c r="AY18" s="1010"/>
      <c r="AZ18" s="1019">
        <v>10</v>
      </c>
      <c r="BA18" s="1026" t="s">
        <v>2042</v>
      </c>
      <c r="BB18" s="1026" t="s">
        <v>2041</v>
      </c>
      <c r="BC18" s="1026" t="s">
        <v>2040</v>
      </c>
      <c r="BD18" s="1026" t="s">
        <v>2039</v>
      </c>
      <c r="BE18" s="970" t="str">
        <f t="shared" si="0"/>
        <v>23.89%</v>
      </c>
      <c r="BF18" s="1027">
        <v>24</v>
      </c>
      <c r="BG18" s="920">
        <v>175</v>
      </c>
      <c r="BH18" s="998"/>
      <c r="BI18" s="998"/>
      <c r="BJ18" s="2362" t="s">
        <v>2038</v>
      </c>
      <c r="BK18" s="2362"/>
      <c r="BL18" s="2362"/>
      <c r="BM18" s="2361" t="s">
        <v>2037</v>
      </c>
      <c r="BN18" s="2361"/>
      <c r="BO18" s="2361"/>
      <c r="BP18" s="998"/>
      <c r="BQ18" s="998"/>
      <c r="BR18" s="998"/>
      <c r="BS18" s="998"/>
      <c r="BT18" s="998"/>
      <c r="BU18" s="998"/>
      <c r="BV18" s="998"/>
      <c r="BW18" s="998"/>
      <c r="BX18" s="998"/>
      <c r="BY18" s="998"/>
      <c r="BZ18" s="998"/>
      <c r="CA18" s="998"/>
      <c r="CB18" s="998"/>
      <c r="CC18" s="998"/>
      <c r="CD18" s="998"/>
      <c r="CE18" s="998"/>
      <c r="CF18" s="998"/>
      <c r="CG18" s="998"/>
      <c r="CH18" s="998"/>
      <c r="CI18" s="998"/>
      <c r="CJ18" s="998"/>
      <c r="CK18" s="998"/>
      <c r="CL18" s="998"/>
      <c r="CM18" s="998"/>
      <c r="CN18" s="998"/>
      <c r="CO18" s="998"/>
      <c r="CP18" s="998"/>
      <c r="CQ18" s="998"/>
      <c r="CR18" s="998"/>
    </row>
    <row r="19" spans="1:96" ht="17.25" thickTop="1" thickBot="1">
      <c r="A19" s="998"/>
      <c r="B19" s="998"/>
      <c r="C19" s="884"/>
      <c r="D19" s="2545" t="s">
        <v>2036</v>
      </c>
      <c r="E19" s="2546"/>
      <c r="F19" s="2528">
        <f>AX69</f>
        <v>3084</v>
      </c>
      <c r="G19" s="2525"/>
      <c r="H19" s="2528">
        <f>J19-F19</f>
        <v>139</v>
      </c>
      <c r="I19" s="2525"/>
      <c r="J19" s="2525">
        <f>BC69</f>
        <v>3223</v>
      </c>
      <c r="K19" s="2525"/>
      <c r="L19" s="885"/>
      <c r="M19" s="2524" t="s">
        <v>226</v>
      </c>
      <c r="N19" s="2524"/>
      <c r="O19" s="2524"/>
      <c r="P19" s="998"/>
      <c r="Q19" s="998"/>
      <c r="R19" s="998"/>
      <c r="S19" s="998"/>
      <c r="T19" s="1013">
        <v>10</v>
      </c>
      <c r="U19" s="1021">
        <v>0</v>
      </c>
      <c r="V19" s="1022">
        <v>54.55</v>
      </c>
      <c r="W19" s="1022">
        <v>39.9</v>
      </c>
      <c r="X19" s="1022">
        <v>31.15</v>
      </c>
      <c r="Y19" s="920"/>
      <c r="Z19" s="1023">
        <v>28</v>
      </c>
      <c r="AA19" s="1024">
        <v>5.48</v>
      </c>
      <c r="AB19" s="1024" t="s">
        <v>889</v>
      </c>
      <c r="AC19" s="1024">
        <v>4.07</v>
      </c>
      <c r="AD19" s="1024">
        <v>3.77</v>
      </c>
      <c r="AE19" s="1016">
        <v>28</v>
      </c>
      <c r="AF19" s="1024">
        <v>6.16</v>
      </c>
      <c r="AG19" s="1024">
        <v>5.15</v>
      </c>
      <c r="AH19" s="1024">
        <v>4.58</v>
      </c>
      <c r="AI19" s="1024">
        <v>4.24</v>
      </c>
      <c r="AJ19" s="1015">
        <v>28</v>
      </c>
      <c r="AK19" s="1024">
        <v>5.65</v>
      </c>
      <c r="AL19" s="1024">
        <v>4.72</v>
      </c>
      <c r="AM19" s="1024">
        <v>4.21</v>
      </c>
      <c r="AN19" s="1024">
        <v>3.89</v>
      </c>
      <c r="AO19" s="1017">
        <v>15</v>
      </c>
      <c r="AP19" s="1028">
        <v>1</v>
      </c>
      <c r="AQ19" s="1025">
        <v>0</v>
      </c>
      <c r="AR19" s="1025">
        <v>0</v>
      </c>
      <c r="AS19" s="1025">
        <v>0</v>
      </c>
      <c r="AT19" s="920"/>
      <c r="AU19" s="1024">
        <v>1.5</v>
      </c>
      <c r="AV19" s="1025">
        <v>0</v>
      </c>
      <c r="AW19" s="1025">
        <v>0</v>
      </c>
      <c r="AX19" s="1025">
        <v>0</v>
      </c>
      <c r="AY19" s="1010"/>
      <c r="AZ19" s="1019">
        <v>11</v>
      </c>
      <c r="BA19" s="1026" t="s">
        <v>1529</v>
      </c>
      <c r="BB19" s="1026" t="s">
        <v>2035</v>
      </c>
      <c r="BC19" s="1026" t="s">
        <v>2034</v>
      </c>
      <c r="BD19" s="1026" t="s">
        <v>2033</v>
      </c>
      <c r="BE19" s="970" t="str">
        <f t="shared" si="0"/>
        <v>25.64%</v>
      </c>
      <c r="BF19" s="1027">
        <v>25</v>
      </c>
      <c r="BG19" s="920">
        <v>225</v>
      </c>
      <c r="BH19" s="998"/>
      <c r="BI19" s="998"/>
      <c r="BJ19" s="2509" t="s">
        <v>2032</v>
      </c>
      <c r="BK19" s="2510"/>
      <c r="BL19" s="2511"/>
      <c r="BM19" s="2515" t="s">
        <v>2031</v>
      </c>
      <c r="BN19" s="2516"/>
      <c r="BO19" s="2517"/>
      <c r="BP19" s="998"/>
      <c r="BQ19" s="998"/>
      <c r="BR19" s="998"/>
      <c r="BS19" s="998"/>
      <c r="BT19" s="998"/>
      <c r="BU19" s="998"/>
      <c r="BV19" s="998"/>
      <c r="BW19" s="998"/>
      <c r="BX19" s="998"/>
      <c r="BY19" s="998"/>
      <c r="BZ19" s="998"/>
      <c r="CA19" s="998"/>
      <c r="CB19" s="998"/>
      <c r="CC19" s="998"/>
      <c r="CD19" s="998"/>
      <c r="CE19" s="998"/>
      <c r="CF19" s="998"/>
      <c r="CG19" s="998"/>
      <c r="CH19" s="998"/>
      <c r="CI19" s="998"/>
      <c r="CJ19" s="998"/>
      <c r="CK19" s="998"/>
      <c r="CL19" s="998"/>
      <c r="CM19" s="998"/>
      <c r="CN19" s="998"/>
      <c r="CO19" s="998"/>
      <c r="CP19" s="998"/>
      <c r="CQ19" s="998"/>
      <c r="CR19" s="998"/>
    </row>
    <row r="20" spans="1:96" ht="17.25" customHeight="1" thickTop="1" thickBot="1">
      <c r="A20" s="998"/>
      <c r="B20" s="998"/>
      <c r="C20" s="884"/>
      <c r="D20" s="2545" t="s">
        <v>2030</v>
      </c>
      <c r="E20" s="2546"/>
      <c r="F20" s="2528">
        <f>AY69</f>
        <v>1558</v>
      </c>
      <c r="G20" s="2525"/>
      <c r="H20" s="2528">
        <f>J20-F20</f>
        <v>70</v>
      </c>
      <c r="I20" s="2525"/>
      <c r="J20" s="2525">
        <f>BD69</f>
        <v>1628</v>
      </c>
      <c r="K20" s="2525"/>
      <c r="L20" s="885"/>
      <c r="M20" s="2524"/>
      <c r="N20" s="2524"/>
      <c r="O20" s="2524"/>
      <c r="P20" s="998"/>
      <c r="Q20" s="998"/>
      <c r="R20" s="998"/>
      <c r="S20" s="998"/>
      <c r="T20" s="1013">
        <v>11</v>
      </c>
      <c r="U20" s="1021">
        <v>0</v>
      </c>
      <c r="V20" s="1022">
        <v>54.55</v>
      </c>
      <c r="W20" s="1022">
        <v>39.9</v>
      </c>
      <c r="X20" s="1022">
        <v>31.15</v>
      </c>
      <c r="Y20" s="920"/>
      <c r="Z20" s="1023">
        <v>29</v>
      </c>
      <c r="AA20" s="1024">
        <v>5.87</v>
      </c>
      <c r="AB20" s="1024">
        <v>4.9000000000000004</v>
      </c>
      <c r="AC20" s="1024">
        <v>4.37</v>
      </c>
      <c r="AD20" s="1024">
        <v>4.04</v>
      </c>
      <c r="AE20" s="1016">
        <v>29</v>
      </c>
      <c r="AF20" s="1024">
        <v>6.65</v>
      </c>
      <c r="AG20" s="1024">
        <v>5.56</v>
      </c>
      <c r="AH20" s="1024">
        <v>4.95</v>
      </c>
      <c r="AI20" s="1024">
        <v>4.59</v>
      </c>
      <c r="AJ20" s="1015">
        <v>29</v>
      </c>
      <c r="AK20" s="1024">
        <v>6.02</v>
      </c>
      <c r="AL20" s="1024">
        <v>5.03</v>
      </c>
      <c r="AM20" s="1024">
        <v>4.4800000000000004</v>
      </c>
      <c r="AN20" s="1024">
        <v>4.1500000000000004</v>
      </c>
      <c r="AO20" s="1017">
        <v>16</v>
      </c>
      <c r="AP20" s="1028">
        <v>1.05</v>
      </c>
      <c r="AQ20" s="1025">
        <v>0</v>
      </c>
      <c r="AR20" s="1025">
        <v>0</v>
      </c>
      <c r="AS20" s="1025">
        <v>0</v>
      </c>
      <c r="AT20" s="920"/>
      <c r="AU20" s="1024">
        <v>1.6</v>
      </c>
      <c r="AV20" s="1025">
        <v>0</v>
      </c>
      <c r="AW20" s="1025">
        <v>0</v>
      </c>
      <c r="AX20" s="1025">
        <v>0</v>
      </c>
      <c r="AY20" s="1010"/>
      <c r="AZ20" s="1019">
        <v>12</v>
      </c>
      <c r="BA20" s="1026" t="s">
        <v>1150</v>
      </c>
      <c r="BB20" s="1026" t="s">
        <v>1941</v>
      </c>
      <c r="BC20" s="1026" t="s">
        <v>2029</v>
      </c>
      <c r="BD20" s="1026" t="s">
        <v>2028</v>
      </c>
      <c r="BE20" s="970" t="str">
        <f t="shared" si="0"/>
        <v>27.51%</v>
      </c>
      <c r="BF20" s="1027">
        <v>26</v>
      </c>
      <c r="BG20" s="920">
        <v>275</v>
      </c>
      <c r="BH20" s="998"/>
      <c r="BI20" s="998"/>
      <c r="BJ20" s="2518" t="s">
        <v>205</v>
      </c>
      <c r="BK20" s="2519"/>
      <c r="BL20" s="2520"/>
      <c r="BM20" s="2500" t="s">
        <v>2027</v>
      </c>
      <c r="BN20" s="2501"/>
      <c r="BO20" s="2502"/>
      <c r="BP20" s="998"/>
      <c r="BQ20" s="998"/>
      <c r="BR20" s="998"/>
      <c r="BS20" s="998"/>
      <c r="BT20" s="998"/>
      <c r="BU20" s="998"/>
      <c r="BV20" s="998"/>
      <c r="BW20" s="998"/>
      <c r="BX20" s="998"/>
      <c r="BY20" s="998"/>
      <c r="BZ20" s="998"/>
      <c r="CA20" s="998"/>
      <c r="CB20" s="998"/>
      <c r="CC20" s="998"/>
      <c r="CD20" s="998"/>
      <c r="CE20" s="998"/>
      <c r="CF20" s="998"/>
      <c r="CG20" s="998"/>
      <c r="CH20" s="998"/>
      <c r="CI20" s="998"/>
      <c r="CJ20" s="998"/>
      <c r="CK20" s="998"/>
      <c r="CL20" s="998"/>
      <c r="CM20" s="998"/>
      <c r="CN20" s="998"/>
      <c r="CO20" s="998"/>
      <c r="CP20" s="998"/>
      <c r="CQ20" s="998"/>
      <c r="CR20" s="998"/>
    </row>
    <row r="21" spans="1:96" ht="17.25" customHeight="1" thickTop="1" thickBot="1">
      <c r="A21" s="998"/>
      <c r="B21" s="998"/>
      <c r="C21" s="884"/>
      <c r="D21" s="2545" t="s">
        <v>2026</v>
      </c>
      <c r="E21" s="2546"/>
      <c r="F21" s="2528">
        <f>AZ69</f>
        <v>519</v>
      </c>
      <c r="G21" s="2525"/>
      <c r="H21" s="2528">
        <f>J21-F21</f>
        <v>23</v>
      </c>
      <c r="I21" s="2525"/>
      <c r="J21" s="2525">
        <f>BE69</f>
        <v>542</v>
      </c>
      <c r="K21" s="2525"/>
      <c r="L21" s="885"/>
      <c r="M21" s="998"/>
      <c r="N21" s="998"/>
      <c r="O21" s="998"/>
      <c r="P21" s="998"/>
      <c r="Q21" s="998"/>
      <c r="R21" s="998"/>
      <c r="S21" s="998"/>
      <c r="T21" s="1013">
        <v>12</v>
      </c>
      <c r="U21" s="1021">
        <v>0</v>
      </c>
      <c r="V21" s="1022">
        <v>54.55</v>
      </c>
      <c r="W21" s="1022">
        <v>39.9</v>
      </c>
      <c r="X21" s="1022">
        <v>31.15</v>
      </c>
      <c r="Y21" s="920"/>
      <c r="Z21" s="1023">
        <v>30</v>
      </c>
      <c r="AA21" s="1024">
        <v>6.3</v>
      </c>
      <c r="AB21" s="1024">
        <v>5.26</v>
      </c>
      <c r="AC21" s="1024">
        <v>4.68</v>
      </c>
      <c r="AD21" s="1024">
        <v>4.33</v>
      </c>
      <c r="AE21" s="1016">
        <v>30</v>
      </c>
      <c r="AF21" s="1024">
        <v>7.18</v>
      </c>
      <c r="AG21" s="1024">
        <v>6</v>
      </c>
      <c r="AH21" s="1024">
        <v>5.35</v>
      </c>
      <c r="AI21" s="1024">
        <v>4.96</v>
      </c>
      <c r="AJ21" s="1015">
        <v>30</v>
      </c>
      <c r="AK21" s="1024">
        <v>6.4</v>
      </c>
      <c r="AL21" s="1024">
        <v>5.36</v>
      </c>
      <c r="AM21" s="1024">
        <v>4.7699999999999996</v>
      </c>
      <c r="AN21" s="1024">
        <v>4.42</v>
      </c>
      <c r="AO21" s="1017">
        <v>17</v>
      </c>
      <c r="AP21" s="1028">
        <v>1.1000000000000001</v>
      </c>
      <c r="AQ21" s="1025">
        <v>0</v>
      </c>
      <c r="AR21" s="1025">
        <v>0</v>
      </c>
      <c r="AS21" s="1025">
        <v>0</v>
      </c>
      <c r="AT21" s="920"/>
      <c r="AU21" s="1024">
        <v>1.65</v>
      </c>
      <c r="AV21" s="1025">
        <v>0</v>
      </c>
      <c r="AW21" s="1025">
        <v>0</v>
      </c>
      <c r="AX21" s="1025">
        <v>0</v>
      </c>
      <c r="AY21" s="1010"/>
      <c r="AZ21" s="1019">
        <v>13</v>
      </c>
      <c r="BA21" s="1026" t="s">
        <v>2025</v>
      </c>
      <c r="BB21" s="1026" t="s">
        <v>2024</v>
      </c>
      <c r="BC21" s="1026" t="s">
        <v>2023</v>
      </c>
      <c r="BD21" s="1026" t="s">
        <v>2022</v>
      </c>
      <c r="BE21" s="970" t="str">
        <f t="shared" si="0"/>
        <v>29.52%</v>
      </c>
      <c r="BF21" s="1027">
        <v>27</v>
      </c>
      <c r="BG21" s="920">
        <v>335</v>
      </c>
      <c r="BH21" s="998"/>
      <c r="BI21" s="998"/>
      <c r="BJ21" s="2518" t="s">
        <v>206</v>
      </c>
      <c r="BK21" s="2519"/>
      <c r="BL21" s="2520"/>
      <c r="BM21" s="2521" t="s">
        <v>69</v>
      </c>
      <c r="BN21" s="2522"/>
      <c r="BO21" s="2523"/>
      <c r="BP21" s="998"/>
      <c r="BQ21" s="998"/>
      <c r="BR21" s="998"/>
      <c r="BS21" s="998"/>
      <c r="BT21" s="998"/>
      <c r="BU21" s="998"/>
      <c r="BV21" s="998"/>
      <c r="BW21" s="998"/>
      <c r="BX21" s="998"/>
      <c r="BY21" s="998"/>
      <c r="BZ21" s="998"/>
      <c r="CA21" s="998"/>
      <c r="CB21" s="998"/>
      <c r="CC21" s="998"/>
      <c r="CD21" s="998"/>
      <c r="CE21" s="998"/>
      <c r="CF21" s="998"/>
      <c r="CG21" s="998"/>
      <c r="CH21" s="998"/>
      <c r="CI21" s="998"/>
      <c r="CJ21" s="998"/>
      <c r="CK21" s="998"/>
      <c r="CL21" s="998"/>
      <c r="CM21" s="998"/>
      <c r="CN21" s="998"/>
      <c r="CO21" s="998"/>
      <c r="CP21" s="998"/>
      <c r="CQ21" s="998"/>
      <c r="CR21" s="998"/>
    </row>
    <row r="22" spans="1:96" ht="15.75" customHeight="1" thickTop="1">
      <c r="A22" s="998"/>
      <c r="B22" s="998"/>
      <c r="C22" s="884"/>
      <c r="D22" s="983"/>
      <c r="E22" s="983"/>
      <c r="F22" s="983"/>
      <c r="G22" s="983"/>
      <c r="H22" s="983"/>
      <c r="I22" s="983"/>
      <c r="J22" s="983"/>
      <c r="K22" s="983"/>
      <c r="L22" s="885"/>
      <c r="M22" s="998"/>
      <c r="N22" s="998"/>
      <c r="O22" s="998"/>
      <c r="P22" s="998"/>
      <c r="Q22" s="998"/>
      <c r="R22" s="998"/>
      <c r="S22" s="998"/>
      <c r="T22" s="1013">
        <v>13</v>
      </c>
      <c r="U22" s="1021">
        <v>0</v>
      </c>
      <c r="V22" s="1022">
        <v>54.55</v>
      </c>
      <c r="W22" s="1022">
        <v>39.9</v>
      </c>
      <c r="X22" s="1022">
        <v>31.15</v>
      </c>
      <c r="Y22" s="920"/>
      <c r="Z22" s="1023">
        <v>31</v>
      </c>
      <c r="AA22" s="1024">
        <v>6.76</v>
      </c>
      <c r="AB22" s="1024">
        <v>5.65</v>
      </c>
      <c r="AC22" s="1024">
        <v>5.03</v>
      </c>
      <c r="AD22" s="1024">
        <v>4.66</v>
      </c>
      <c r="AE22" s="1016">
        <v>31</v>
      </c>
      <c r="AF22" s="1024">
        <v>7.74</v>
      </c>
      <c r="AG22" s="1024">
        <v>6.48</v>
      </c>
      <c r="AH22" s="1024">
        <v>5.78</v>
      </c>
      <c r="AI22" s="1024">
        <v>5.36</v>
      </c>
      <c r="AJ22" s="1015">
        <v>31</v>
      </c>
      <c r="AK22" s="1024">
        <v>6.81</v>
      </c>
      <c r="AL22" s="1024">
        <v>5.69</v>
      </c>
      <c r="AM22" s="1024">
        <v>5.08</v>
      </c>
      <c r="AN22" s="1024">
        <v>4.7</v>
      </c>
      <c r="AO22" s="1017">
        <v>18</v>
      </c>
      <c r="AP22" s="1028">
        <v>1.1499999999999999</v>
      </c>
      <c r="AQ22" s="1025">
        <v>0</v>
      </c>
      <c r="AR22" s="1025">
        <v>0</v>
      </c>
      <c r="AS22" s="1025">
        <v>0</v>
      </c>
      <c r="AT22" s="920"/>
      <c r="AU22" s="1024">
        <v>1.7</v>
      </c>
      <c r="AV22" s="1025">
        <v>0</v>
      </c>
      <c r="AW22" s="1025">
        <v>0</v>
      </c>
      <c r="AX22" s="1025">
        <v>0</v>
      </c>
      <c r="AY22" s="1010"/>
      <c r="AZ22" s="1019">
        <v>14</v>
      </c>
      <c r="BA22" s="1026" t="s">
        <v>1994</v>
      </c>
      <c r="BB22" s="1026" t="s">
        <v>1640</v>
      </c>
      <c r="BC22" s="1026" t="s">
        <v>2021</v>
      </c>
      <c r="BD22" s="1026" t="s">
        <v>2020</v>
      </c>
      <c r="BE22" s="970" t="str">
        <f t="shared" si="0"/>
        <v>31.67%</v>
      </c>
      <c r="BF22" s="1027">
        <v>28</v>
      </c>
      <c r="BG22" s="920">
        <v>395</v>
      </c>
      <c r="BH22" s="998"/>
      <c r="BI22" s="998"/>
      <c r="BJ22" s="2506" t="s">
        <v>2019</v>
      </c>
      <c r="BK22" s="2507"/>
      <c r="BL22" s="2508"/>
      <c r="BM22" s="2512" t="s">
        <v>2011</v>
      </c>
      <c r="BN22" s="2513"/>
      <c r="BO22" s="2514"/>
      <c r="BP22" s="998"/>
      <c r="BQ22" s="998"/>
      <c r="BR22" s="998"/>
      <c r="BS22" s="998"/>
      <c r="BT22" s="998"/>
      <c r="BU22" s="998"/>
      <c r="BV22" s="998"/>
      <c r="BW22" s="998"/>
      <c r="BX22" s="998"/>
      <c r="BY22" s="998"/>
      <c r="BZ22" s="998"/>
      <c r="CA22" s="998"/>
      <c r="CB22" s="998"/>
      <c r="CC22" s="998"/>
      <c r="CD22" s="998"/>
      <c r="CE22" s="998"/>
      <c r="CF22" s="998"/>
      <c r="CG22" s="998"/>
      <c r="CH22" s="998"/>
      <c r="CI22" s="998"/>
      <c r="CJ22" s="998"/>
      <c r="CK22" s="998"/>
      <c r="CL22" s="998"/>
      <c r="CM22" s="998"/>
      <c r="CN22" s="998"/>
      <c r="CO22" s="998"/>
      <c r="CP22" s="998"/>
      <c r="CQ22" s="998"/>
      <c r="CR22" s="998"/>
    </row>
    <row r="23" spans="1:96" ht="18" customHeight="1" thickBot="1">
      <c r="A23" s="998"/>
      <c r="B23" s="998"/>
      <c r="C23" s="884"/>
      <c r="D23" s="884"/>
      <c r="E23" s="884"/>
      <c r="F23" s="884"/>
      <c r="G23" s="884"/>
      <c r="H23" s="885"/>
      <c r="I23" s="885"/>
      <c r="J23" s="885"/>
      <c r="K23" s="885"/>
      <c r="L23" s="885"/>
      <c r="M23" s="998"/>
      <c r="N23" s="998"/>
      <c r="O23" s="998"/>
      <c r="P23" s="998"/>
      <c r="Q23" s="998"/>
      <c r="R23" s="998"/>
      <c r="S23" s="998"/>
      <c r="T23" s="1013">
        <v>14</v>
      </c>
      <c r="U23" s="1021">
        <v>0</v>
      </c>
      <c r="V23" s="1022">
        <v>54.55</v>
      </c>
      <c r="W23" s="1022">
        <v>39.9</v>
      </c>
      <c r="X23" s="1022">
        <v>31.15</v>
      </c>
      <c r="Y23" s="920"/>
      <c r="Z23" s="1023">
        <v>32</v>
      </c>
      <c r="AA23" s="1024">
        <v>7.26</v>
      </c>
      <c r="AB23" s="1024">
        <v>6.07</v>
      </c>
      <c r="AC23" s="1024">
        <v>5.41</v>
      </c>
      <c r="AD23" s="1024">
        <v>5.01</v>
      </c>
      <c r="AE23" s="1016">
        <v>32</v>
      </c>
      <c r="AF23" s="1024">
        <v>8.34</v>
      </c>
      <c r="AG23" s="1024">
        <v>6.98</v>
      </c>
      <c r="AH23" s="1024">
        <v>6.23</v>
      </c>
      <c r="AI23" s="1024">
        <v>5.78</v>
      </c>
      <c r="AJ23" s="1015">
        <v>32</v>
      </c>
      <c r="AK23" s="1024">
        <v>7.22</v>
      </c>
      <c r="AL23" s="1024">
        <v>6.05</v>
      </c>
      <c r="AM23" s="1024">
        <v>5.39</v>
      </c>
      <c r="AN23" s="1024">
        <v>5</v>
      </c>
      <c r="AO23" s="1017">
        <v>19</v>
      </c>
      <c r="AP23" s="1028">
        <v>1.2</v>
      </c>
      <c r="AQ23" s="1025">
        <v>0</v>
      </c>
      <c r="AR23" s="1025">
        <v>0</v>
      </c>
      <c r="AS23" s="1025">
        <v>0</v>
      </c>
      <c r="AT23" s="920"/>
      <c r="AU23" s="1024">
        <v>1.75</v>
      </c>
      <c r="AV23" s="1025">
        <v>0</v>
      </c>
      <c r="AW23" s="1025">
        <v>0</v>
      </c>
      <c r="AX23" s="1025">
        <v>0</v>
      </c>
      <c r="AY23" s="1010"/>
      <c r="AZ23" s="1019">
        <v>15</v>
      </c>
      <c r="BA23" s="1026" t="s">
        <v>914</v>
      </c>
      <c r="BB23" s="1026" t="s">
        <v>2018</v>
      </c>
      <c r="BC23" s="1026" t="s">
        <v>2017</v>
      </c>
      <c r="BD23" s="1026" t="s">
        <v>2016</v>
      </c>
      <c r="BE23" s="970" t="str">
        <f t="shared" si="0"/>
        <v>33.98%</v>
      </c>
      <c r="BF23" s="1027">
        <v>29</v>
      </c>
      <c r="BG23" s="920">
        <v>455</v>
      </c>
      <c r="BH23" s="998"/>
      <c r="BI23" s="998"/>
      <c r="BJ23" s="2509"/>
      <c r="BK23" s="2510"/>
      <c r="BL23" s="2511"/>
      <c r="BM23" s="2515"/>
      <c r="BN23" s="2516"/>
      <c r="BO23" s="2517"/>
      <c r="BP23" s="998"/>
      <c r="BQ23" s="998"/>
      <c r="BR23" s="998"/>
      <c r="BS23" s="998"/>
      <c r="BT23" s="998"/>
      <c r="BU23" s="998"/>
      <c r="BV23" s="998"/>
      <c r="BW23" s="998"/>
      <c r="BX23" s="998"/>
      <c r="BY23" s="998"/>
      <c r="BZ23" s="998"/>
      <c r="CA23" s="998"/>
      <c r="CB23" s="998"/>
      <c r="CC23" s="998"/>
      <c r="CD23" s="998"/>
      <c r="CE23" s="998"/>
      <c r="CF23" s="998"/>
      <c r="CG23" s="998"/>
      <c r="CH23" s="998"/>
      <c r="CI23" s="998"/>
      <c r="CJ23" s="998"/>
      <c r="CK23" s="998"/>
      <c r="CL23" s="998"/>
      <c r="CM23" s="998"/>
      <c r="CN23" s="998"/>
      <c r="CO23" s="998"/>
      <c r="CP23" s="998"/>
      <c r="CQ23" s="998"/>
      <c r="CR23" s="998"/>
    </row>
    <row r="24" spans="1:96" ht="16.5" thickTop="1" thickBot="1">
      <c r="A24" s="998"/>
      <c r="B24" s="998"/>
      <c r="C24" s="998"/>
      <c r="D24" s="998"/>
      <c r="E24" s="998"/>
      <c r="F24" s="998"/>
      <c r="G24" s="998"/>
      <c r="H24" s="998"/>
      <c r="I24" s="998"/>
      <c r="J24" s="998"/>
      <c r="K24" s="998"/>
      <c r="L24" s="998"/>
      <c r="M24" s="998"/>
      <c r="N24" s="998"/>
      <c r="O24" s="998"/>
      <c r="P24" s="998"/>
      <c r="Q24" s="998"/>
      <c r="R24" s="998"/>
      <c r="S24" s="998"/>
      <c r="T24" s="1013">
        <v>15</v>
      </c>
      <c r="U24" s="1022">
        <v>80.3</v>
      </c>
      <c r="V24" s="1022">
        <v>54.55</v>
      </c>
      <c r="W24" s="1022">
        <v>39.9</v>
      </c>
      <c r="X24" s="1022">
        <v>31.15</v>
      </c>
      <c r="Y24" s="920"/>
      <c r="Z24" s="1023">
        <v>33</v>
      </c>
      <c r="AA24" s="1024">
        <v>7.81</v>
      </c>
      <c r="AB24" s="1024">
        <v>6.53</v>
      </c>
      <c r="AC24" s="1024">
        <v>5.82</v>
      </c>
      <c r="AD24" s="1024">
        <v>5.4</v>
      </c>
      <c r="AE24" s="1016">
        <v>33</v>
      </c>
      <c r="AF24" s="1024">
        <v>8.9700000000000006</v>
      </c>
      <c r="AG24" s="1024">
        <v>7.51</v>
      </c>
      <c r="AH24" s="1024">
        <v>6.71</v>
      </c>
      <c r="AI24" s="1024">
        <v>6.23</v>
      </c>
      <c r="AJ24" s="1015">
        <v>33</v>
      </c>
      <c r="AK24" s="1024">
        <v>7.66</v>
      </c>
      <c r="AL24" s="1024">
        <v>6.41</v>
      </c>
      <c r="AM24" s="1024">
        <v>5.72</v>
      </c>
      <c r="AN24" s="1024">
        <v>5.3</v>
      </c>
      <c r="AO24" s="1017">
        <v>20</v>
      </c>
      <c r="AP24" s="1028">
        <v>1.2</v>
      </c>
      <c r="AQ24" s="1028">
        <v>1</v>
      </c>
      <c r="AR24" s="1025">
        <v>0</v>
      </c>
      <c r="AS24" s="1025">
        <v>0</v>
      </c>
      <c r="AT24" s="920"/>
      <c r="AU24" s="1024" t="s">
        <v>2015</v>
      </c>
      <c r="AV24" s="1024">
        <v>1.5</v>
      </c>
      <c r="AW24" s="1025">
        <v>0</v>
      </c>
      <c r="AX24" s="1025">
        <v>0</v>
      </c>
      <c r="AY24" s="1010"/>
      <c r="AZ24" s="1019">
        <v>16</v>
      </c>
      <c r="BA24" s="1029"/>
      <c r="BB24" s="1026" t="s">
        <v>2014</v>
      </c>
      <c r="BC24" s="1026" t="s">
        <v>2013</v>
      </c>
      <c r="BD24" s="1026" t="s">
        <v>2012</v>
      </c>
      <c r="BE24" s="970" t="str">
        <f t="shared" si="0"/>
        <v>36.44%</v>
      </c>
      <c r="BF24" s="1027">
        <v>30</v>
      </c>
      <c r="BG24" s="920">
        <v>550</v>
      </c>
      <c r="BH24" s="998"/>
      <c r="BI24" s="998"/>
      <c r="BJ24" s="2500" t="s">
        <v>208</v>
      </c>
      <c r="BK24" s="2501"/>
      <c r="BL24" s="2502"/>
      <c r="BM24" s="2503" t="s">
        <v>2011</v>
      </c>
      <c r="BN24" s="2504"/>
      <c r="BO24" s="2505"/>
      <c r="BP24" s="998"/>
      <c r="BQ24" s="998"/>
      <c r="BR24" s="998"/>
      <c r="BS24" s="998"/>
      <c r="BT24" s="998"/>
      <c r="BU24" s="998"/>
      <c r="BV24" s="998"/>
      <c r="BW24" s="998"/>
      <c r="BX24" s="998"/>
      <c r="BY24" s="998"/>
      <c r="BZ24" s="998"/>
      <c r="CA24" s="998"/>
      <c r="CB24" s="998"/>
      <c r="CC24" s="998"/>
      <c r="CD24" s="998"/>
      <c r="CE24" s="998"/>
      <c r="CF24" s="998"/>
      <c r="CG24" s="998"/>
      <c r="CH24" s="998"/>
      <c r="CI24" s="998"/>
      <c r="CJ24" s="998"/>
      <c r="CK24" s="998"/>
      <c r="CL24" s="998"/>
      <c r="CM24" s="998"/>
      <c r="CN24" s="998"/>
      <c r="CO24" s="998"/>
      <c r="CP24" s="998"/>
      <c r="CQ24" s="998"/>
      <c r="CR24" s="998"/>
    </row>
    <row r="25" spans="1:96" ht="16.5" thickTop="1" thickBot="1">
      <c r="A25" s="998"/>
      <c r="B25" s="1048"/>
      <c r="C25" s="1048"/>
      <c r="D25" s="2565" t="s">
        <v>484</v>
      </c>
      <c r="E25" s="2565"/>
      <c r="F25" s="2565"/>
      <c r="G25" s="2565"/>
      <c r="H25" s="2565"/>
      <c r="I25" s="2565"/>
      <c r="J25" s="1049"/>
      <c r="K25" s="1049"/>
      <c r="L25" s="1049"/>
      <c r="M25" s="1049"/>
      <c r="N25" s="1049"/>
      <c r="O25" s="1049"/>
      <c r="P25" s="1047"/>
      <c r="Q25" s="1049"/>
      <c r="R25" s="1049"/>
      <c r="S25" s="998"/>
      <c r="T25" s="1013">
        <v>16</v>
      </c>
      <c r="U25" s="1022">
        <v>80.3</v>
      </c>
      <c r="V25" s="1022">
        <v>54.55</v>
      </c>
      <c r="W25" s="1022">
        <v>39.950000000000003</v>
      </c>
      <c r="X25" s="1022">
        <v>31.15</v>
      </c>
      <c r="Y25" s="920"/>
      <c r="Z25" s="1023">
        <v>34</v>
      </c>
      <c r="AA25" s="1024">
        <v>8.4</v>
      </c>
      <c r="AB25" s="1024">
        <v>7.03</v>
      </c>
      <c r="AC25" s="1024">
        <v>6.27</v>
      </c>
      <c r="AD25" s="1024">
        <v>5.82</v>
      </c>
      <c r="AE25" s="1016">
        <v>34</v>
      </c>
      <c r="AF25" s="1024">
        <v>9.6300000000000008</v>
      </c>
      <c r="AG25" s="1024">
        <v>8.07</v>
      </c>
      <c r="AH25" s="1024">
        <v>7.22</v>
      </c>
      <c r="AI25" s="1024">
        <v>6.71</v>
      </c>
      <c r="AJ25" s="1015">
        <v>34</v>
      </c>
      <c r="AK25" s="1024">
        <v>8.1</v>
      </c>
      <c r="AL25" s="1024">
        <v>6.79</v>
      </c>
      <c r="AM25" s="1024">
        <v>6.06</v>
      </c>
      <c r="AN25" s="1024">
        <v>5.62</v>
      </c>
      <c r="AO25" s="1017">
        <v>21</v>
      </c>
      <c r="AP25" s="1028">
        <v>1.25</v>
      </c>
      <c r="AQ25" s="1028">
        <v>1.05</v>
      </c>
      <c r="AR25" s="1025">
        <v>0</v>
      </c>
      <c r="AS25" s="1025">
        <v>0</v>
      </c>
      <c r="AT25" s="920"/>
      <c r="AU25" s="1024">
        <v>1.85</v>
      </c>
      <c r="AV25" s="1024">
        <v>1.55</v>
      </c>
      <c r="AW25" s="1025">
        <v>0</v>
      </c>
      <c r="AX25" s="1025">
        <v>0</v>
      </c>
      <c r="AY25" s="1010"/>
      <c r="AZ25" s="1019">
        <v>17</v>
      </c>
      <c r="BA25" s="1029"/>
      <c r="BB25" s="1026" t="s">
        <v>165</v>
      </c>
      <c r="BC25" s="1026" t="s">
        <v>1913</v>
      </c>
      <c r="BD25" s="1026" t="s">
        <v>2010</v>
      </c>
      <c r="BE25" s="970" t="str">
        <f t="shared" si="0"/>
        <v>39.09%</v>
      </c>
      <c r="BF25" s="1013">
        <v>31</v>
      </c>
      <c r="BG25" s="920">
        <v>625</v>
      </c>
      <c r="BH25" s="998"/>
      <c r="BI25" s="998"/>
      <c r="BJ25" s="2500" t="s">
        <v>2009</v>
      </c>
      <c r="BK25" s="2501"/>
      <c r="BL25" s="2502"/>
      <c r="BM25" s="2503" t="s">
        <v>2008</v>
      </c>
      <c r="BN25" s="2504"/>
      <c r="BO25" s="2505"/>
      <c r="BP25" s="998"/>
      <c r="BQ25" s="998"/>
      <c r="BR25" s="998"/>
      <c r="BS25" s="998"/>
      <c r="BT25" s="998"/>
      <c r="BU25" s="998"/>
      <c r="BV25" s="998"/>
      <c r="BW25" s="998"/>
      <c r="BX25" s="998"/>
      <c r="BY25" s="998"/>
      <c r="BZ25" s="998"/>
      <c r="CA25" s="998"/>
      <c r="CB25" s="998"/>
      <c r="CC25" s="998"/>
      <c r="CD25" s="998"/>
      <c r="CE25" s="998"/>
      <c r="CF25" s="998"/>
      <c r="CG25" s="998"/>
      <c r="CH25" s="998"/>
      <c r="CI25" s="998"/>
      <c r="CJ25" s="998"/>
      <c r="CK25" s="998"/>
      <c r="CL25" s="998"/>
      <c r="CM25" s="998"/>
      <c r="CN25" s="998"/>
      <c r="CO25" s="998"/>
      <c r="CP25" s="998"/>
      <c r="CQ25" s="998"/>
      <c r="CR25" s="998"/>
    </row>
    <row r="26" spans="1:96" ht="15.75" thickTop="1">
      <c r="A26" s="998"/>
      <c r="B26" s="1048"/>
      <c r="C26" s="1048"/>
      <c r="D26" s="2560" t="s">
        <v>485</v>
      </c>
      <c r="E26" s="2560"/>
      <c r="F26" s="2560"/>
      <c r="G26" s="2560"/>
      <c r="H26" s="2560"/>
      <c r="I26" s="2560"/>
      <c r="J26" s="1050"/>
      <c r="K26" s="1050"/>
      <c r="L26" s="1050"/>
      <c r="M26" s="1050"/>
      <c r="N26" s="1050"/>
      <c r="O26" s="1050"/>
      <c r="P26" s="1047"/>
      <c r="Q26" s="1050"/>
      <c r="R26" s="1050"/>
      <c r="S26" s="998"/>
      <c r="T26" s="1013">
        <v>17</v>
      </c>
      <c r="U26" s="1022">
        <v>80.3</v>
      </c>
      <c r="V26" s="1022">
        <v>54.55</v>
      </c>
      <c r="W26" s="1022">
        <v>39.950000000000003</v>
      </c>
      <c r="X26" s="1022">
        <v>31.15</v>
      </c>
      <c r="Y26" s="920"/>
      <c r="Z26" s="1023">
        <v>35</v>
      </c>
      <c r="AA26" s="1024">
        <v>9.0399999999999991</v>
      </c>
      <c r="AB26" s="1024">
        <v>7.57</v>
      </c>
      <c r="AC26" s="1024">
        <v>6.76</v>
      </c>
      <c r="AD26" s="1024">
        <v>6.28</v>
      </c>
      <c r="AE26" s="1016">
        <v>35</v>
      </c>
      <c r="AF26" s="1024">
        <v>10.32</v>
      </c>
      <c r="AG26" s="1024">
        <v>8.66</v>
      </c>
      <c r="AH26" s="1024">
        <v>7.75</v>
      </c>
      <c r="AI26" s="1024">
        <v>7.21</v>
      </c>
      <c r="AJ26" s="1015">
        <v>35</v>
      </c>
      <c r="AK26" s="1024">
        <v>8.57</v>
      </c>
      <c r="AL26" s="1024">
        <v>7.18</v>
      </c>
      <c r="AM26" s="1024">
        <v>6.42</v>
      </c>
      <c r="AN26" s="1024">
        <v>5.95</v>
      </c>
      <c r="AO26" s="1017">
        <v>22</v>
      </c>
      <c r="AP26" s="1028">
        <v>1.25</v>
      </c>
      <c r="AQ26" s="1028">
        <v>1.05</v>
      </c>
      <c r="AR26" s="1025">
        <v>0</v>
      </c>
      <c r="AS26" s="1025">
        <v>0</v>
      </c>
      <c r="AT26" s="920"/>
      <c r="AU26" s="1024">
        <v>1.9</v>
      </c>
      <c r="AV26" s="1024">
        <v>1.6</v>
      </c>
      <c r="AW26" s="1025">
        <v>0</v>
      </c>
      <c r="AX26" s="1025">
        <v>0</v>
      </c>
      <c r="AY26" s="1010"/>
      <c r="AZ26" s="1019">
        <v>18</v>
      </c>
      <c r="BA26" s="1029"/>
      <c r="BB26" s="1026">
        <v>0.77290000000000003</v>
      </c>
      <c r="BC26" s="1026" t="s">
        <v>2007</v>
      </c>
      <c r="BD26" s="1026" t="s">
        <v>2006</v>
      </c>
      <c r="BE26" s="970" t="str">
        <f t="shared" si="0"/>
        <v>41.92%</v>
      </c>
      <c r="BF26" s="1013">
        <v>32</v>
      </c>
      <c r="BG26" s="920"/>
      <c r="BH26" s="998"/>
      <c r="BI26" s="998"/>
      <c r="BJ26" s="998"/>
      <c r="BK26" s="998"/>
      <c r="BL26" s="998"/>
      <c r="BM26" s="998"/>
      <c r="BN26" s="998"/>
      <c r="BO26" s="998"/>
      <c r="BP26" s="998"/>
      <c r="BQ26" s="998"/>
      <c r="BR26" s="998"/>
      <c r="BS26" s="998"/>
      <c r="BT26" s="998"/>
      <c r="BU26" s="998"/>
      <c r="BV26" s="998"/>
      <c r="BW26" s="998"/>
      <c r="BX26" s="998"/>
      <c r="BY26" s="998"/>
      <c r="BZ26" s="998"/>
      <c r="CA26" s="998"/>
      <c r="CB26" s="998"/>
      <c r="CC26" s="998"/>
      <c r="CD26" s="998"/>
      <c r="CE26" s="998"/>
      <c r="CF26" s="998"/>
      <c r="CG26" s="998"/>
      <c r="CH26" s="998"/>
      <c r="CI26" s="998"/>
      <c r="CJ26" s="998"/>
      <c r="CK26" s="998"/>
      <c r="CL26" s="998"/>
      <c r="CM26" s="998"/>
      <c r="CN26" s="998"/>
      <c r="CO26" s="998"/>
      <c r="CP26" s="998"/>
      <c r="CQ26" s="998"/>
      <c r="CR26" s="998"/>
    </row>
    <row r="27" spans="1:96">
      <c r="A27" s="998"/>
      <c r="B27" s="1048"/>
      <c r="C27" s="1048"/>
      <c r="D27" s="2560" t="s">
        <v>486</v>
      </c>
      <c r="E27" s="2560"/>
      <c r="F27" s="2560"/>
      <c r="G27" s="2560"/>
      <c r="H27" s="2560"/>
      <c r="I27" s="2560"/>
      <c r="J27" s="1050"/>
      <c r="K27" s="1050"/>
      <c r="L27" s="1050"/>
      <c r="M27" s="1050"/>
      <c r="N27" s="1050"/>
      <c r="O27" s="1050"/>
      <c r="P27" s="1047"/>
      <c r="Q27" s="1050"/>
      <c r="R27" s="1050"/>
      <c r="S27" s="998"/>
      <c r="T27" s="1013">
        <v>18</v>
      </c>
      <c r="U27" s="1022">
        <v>80.3</v>
      </c>
      <c r="V27" s="1022">
        <v>54.55</v>
      </c>
      <c r="W27" s="1022">
        <v>39.950000000000003</v>
      </c>
      <c r="X27" s="1022">
        <v>31.15</v>
      </c>
      <c r="Y27" s="920"/>
      <c r="Z27" s="1023">
        <v>36</v>
      </c>
      <c r="AA27" s="1024">
        <v>9.73</v>
      </c>
      <c r="AB27" s="1024" t="s">
        <v>890</v>
      </c>
      <c r="AC27" s="1024">
        <v>7.29</v>
      </c>
      <c r="AD27" s="1024">
        <v>6.77</v>
      </c>
      <c r="AE27" s="1016">
        <v>36</v>
      </c>
      <c r="AF27" s="1024">
        <v>11.07</v>
      </c>
      <c r="AG27" s="1024">
        <v>9.2899999999999991</v>
      </c>
      <c r="AH27" s="1024">
        <v>8.32</v>
      </c>
      <c r="AI27" s="1024">
        <v>7.74</v>
      </c>
      <c r="AJ27" s="1015">
        <v>36</v>
      </c>
      <c r="AK27" s="1024">
        <v>9.06</v>
      </c>
      <c r="AL27" s="1024">
        <v>7.6</v>
      </c>
      <c r="AM27" s="1024">
        <v>6.79</v>
      </c>
      <c r="AN27" s="1024">
        <v>6.31</v>
      </c>
      <c r="AO27" s="1017">
        <v>23</v>
      </c>
      <c r="AP27" s="1028">
        <v>1.3</v>
      </c>
      <c r="AQ27" s="1028">
        <v>1.1000000000000001</v>
      </c>
      <c r="AR27" s="1025">
        <v>0</v>
      </c>
      <c r="AS27" s="1025">
        <v>0</v>
      </c>
      <c r="AT27" s="920"/>
      <c r="AU27" s="1024">
        <v>1.95</v>
      </c>
      <c r="AV27" s="1024">
        <v>1.65</v>
      </c>
      <c r="AW27" s="1025">
        <v>0</v>
      </c>
      <c r="AX27" s="1025">
        <v>0</v>
      </c>
      <c r="AY27" s="1010"/>
      <c r="AZ27" s="1019">
        <v>19</v>
      </c>
      <c r="BA27" s="1029"/>
      <c r="BB27" s="1026" t="s">
        <v>1994</v>
      </c>
      <c r="BC27" s="1026" t="s">
        <v>2005</v>
      </c>
      <c r="BD27" s="1026" t="s">
        <v>2004</v>
      </c>
      <c r="BE27" s="970" t="str">
        <f t="shared" si="0"/>
        <v>44.97%</v>
      </c>
      <c r="BF27" s="1013">
        <v>33</v>
      </c>
      <c r="BG27" s="920"/>
      <c r="BH27" s="998"/>
      <c r="BI27" s="998"/>
      <c r="BJ27" s="998"/>
      <c r="BK27" s="998"/>
      <c r="BL27" s="998"/>
      <c r="BM27" s="998"/>
      <c r="BN27" s="998"/>
      <c r="BO27" s="998"/>
      <c r="BP27" s="998"/>
      <c r="BQ27" s="998"/>
      <c r="BR27" s="998"/>
      <c r="BS27" s="998"/>
      <c r="BT27" s="998"/>
      <c r="BU27" s="998"/>
      <c r="BV27" s="998"/>
      <c r="BW27" s="998"/>
      <c r="BX27" s="998"/>
      <c r="BY27" s="998"/>
      <c r="BZ27" s="998"/>
      <c r="CA27" s="998"/>
      <c r="CB27" s="998"/>
      <c r="CC27" s="998"/>
      <c r="CD27" s="998"/>
      <c r="CE27" s="998"/>
      <c r="CF27" s="998"/>
      <c r="CG27" s="998"/>
      <c r="CH27" s="998"/>
      <c r="CI27" s="998"/>
      <c r="CJ27" s="998"/>
      <c r="CK27" s="998"/>
      <c r="CL27" s="998"/>
      <c r="CM27" s="998"/>
      <c r="CN27" s="998"/>
      <c r="CO27" s="998"/>
      <c r="CP27" s="998"/>
      <c r="CQ27" s="998"/>
      <c r="CR27" s="998"/>
    </row>
    <row r="28" spans="1:96">
      <c r="A28" s="998"/>
      <c r="B28" s="1048"/>
      <c r="C28" s="1048"/>
      <c r="D28" s="2560" t="s">
        <v>907</v>
      </c>
      <c r="E28" s="2560"/>
      <c r="F28" s="2560"/>
      <c r="G28" s="2560"/>
      <c r="H28" s="2560"/>
      <c r="I28" s="2560"/>
      <c r="J28" s="1050"/>
      <c r="K28" s="1050"/>
      <c r="L28" s="1050"/>
      <c r="M28" s="1050"/>
      <c r="N28" s="1050"/>
      <c r="O28" s="1050"/>
      <c r="P28" s="1047"/>
      <c r="Q28" s="1050"/>
      <c r="R28" s="1050"/>
      <c r="S28" s="998"/>
      <c r="T28" s="1013">
        <v>19</v>
      </c>
      <c r="U28" s="1022">
        <v>80.3</v>
      </c>
      <c r="V28" s="1022">
        <v>54.55</v>
      </c>
      <c r="W28" s="1022">
        <v>39.950000000000003</v>
      </c>
      <c r="X28" s="1022">
        <v>31.15</v>
      </c>
      <c r="Y28" s="920"/>
      <c r="Z28" s="1023">
        <v>37</v>
      </c>
      <c r="AA28" s="1024">
        <v>10.48</v>
      </c>
      <c r="AB28" s="1024">
        <v>8.7899999999999991</v>
      </c>
      <c r="AC28" s="1024">
        <v>7.86</v>
      </c>
      <c r="AD28" s="1024">
        <v>7.31</v>
      </c>
      <c r="AE28" s="1016">
        <v>37</v>
      </c>
      <c r="AF28" s="1024">
        <v>11.85</v>
      </c>
      <c r="AG28" s="1024">
        <v>9.9499999999999993</v>
      </c>
      <c r="AH28" s="1024">
        <v>8.92</v>
      </c>
      <c r="AI28" s="1024">
        <v>8.31</v>
      </c>
      <c r="AJ28" s="1015">
        <v>37</v>
      </c>
      <c r="AK28" s="1024">
        <v>9.58</v>
      </c>
      <c r="AL28" s="1024">
        <v>8.0399999999999991</v>
      </c>
      <c r="AM28" s="1024">
        <v>7.19</v>
      </c>
      <c r="AN28" s="1024">
        <v>6.68</v>
      </c>
      <c r="AO28" s="1017">
        <v>24</v>
      </c>
      <c r="AP28" s="1028">
        <v>1.35</v>
      </c>
      <c r="AQ28" s="1028">
        <v>1.1000000000000001</v>
      </c>
      <c r="AR28" s="1025">
        <v>0</v>
      </c>
      <c r="AS28" s="1025">
        <v>0</v>
      </c>
      <c r="AT28" s="920"/>
      <c r="AU28" s="1024">
        <v>2</v>
      </c>
      <c r="AV28" s="1024">
        <v>1.65</v>
      </c>
      <c r="AW28" s="1025">
        <v>0</v>
      </c>
      <c r="AX28" s="1025">
        <v>0</v>
      </c>
      <c r="AY28" s="1010"/>
      <c r="AZ28" s="1019">
        <v>20</v>
      </c>
      <c r="BA28" s="1029"/>
      <c r="BB28" s="1026" t="s">
        <v>914</v>
      </c>
      <c r="BC28" s="1026" t="s">
        <v>2003</v>
      </c>
      <c r="BD28" s="1026" t="s">
        <v>2002</v>
      </c>
      <c r="BE28" s="970" t="str">
        <f t="shared" si="0"/>
        <v>48.24%</v>
      </c>
      <c r="BF28" s="1013">
        <v>34</v>
      </c>
      <c r="BG28" s="920"/>
      <c r="BH28" s="998"/>
      <c r="BI28" s="998"/>
      <c r="BJ28" s="998"/>
      <c r="BK28" s="998"/>
      <c r="BL28" s="998"/>
      <c r="BM28" s="998"/>
      <c r="BN28" s="998"/>
      <c r="BO28" s="998"/>
      <c r="BP28" s="998"/>
      <c r="BQ28" s="998"/>
      <c r="BR28" s="998"/>
      <c r="BS28" s="998"/>
      <c r="BT28" s="998"/>
      <c r="BU28" s="998"/>
      <c r="BV28" s="998"/>
      <c r="BW28" s="998"/>
      <c r="BX28" s="998"/>
      <c r="BY28" s="998"/>
      <c r="BZ28" s="998"/>
      <c r="CA28" s="998"/>
      <c r="CB28" s="998"/>
      <c r="CC28" s="998"/>
      <c r="CD28" s="998"/>
      <c r="CE28" s="998"/>
      <c r="CF28" s="998"/>
      <c r="CG28" s="998"/>
      <c r="CH28" s="998"/>
      <c r="CI28" s="998"/>
      <c r="CJ28" s="998"/>
      <c r="CK28" s="998"/>
      <c r="CL28" s="998"/>
      <c r="CM28" s="998"/>
      <c r="CN28" s="998"/>
      <c r="CO28" s="998"/>
      <c r="CP28" s="998"/>
      <c r="CQ28" s="998"/>
      <c r="CR28" s="998"/>
    </row>
    <row r="29" spans="1:96">
      <c r="A29" s="998"/>
      <c r="B29" s="1048"/>
      <c r="C29" s="1048"/>
      <c r="D29" s="2560" t="s">
        <v>908</v>
      </c>
      <c r="E29" s="2560"/>
      <c r="F29" s="2560"/>
      <c r="G29" s="2560"/>
      <c r="H29" s="2560"/>
      <c r="I29" s="2560"/>
      <c r="J29" s="1050"/>
      <c r="K29" s="1050"/>
      <c r="L29" s="1050"/>
      <c r="M29" s="1050"/>
      <c r="N29" s="1050"/>
      <c r="O29" s="1050"/>
      <c r="P29" s="1047"/>
      <c r="Q29" s="1050"/>
      <c r="R29" s="1050"/>
      <c r="S29" s="998"/>
      <c r="T29" s="1013">
        <v>20</v>
      </c>
      <c r="U29" s="1022">
        <v>80.3</v>
      </c>
      <c r="V29" s="1022">
        <v>54.55</v>
      </c>
      <c r="W29" s="1022">
        <v>39.950000000000003</v>
      </c>
      <c r="X29" s="1022">
        <v>31.15</v>
      </c>
      <c r="Y29" s="920"/>
      <c r="Z29" s="1023">
        <v>38</v>
      </c>
      <c r="AA29" s="1024">
        <v>11.28</v>
      </c>
      <c r="AB29" s="1024">
        <v>9.4700000000000006</v>
      </c>
      <c r="AC29" s="1024">
        <v>8.48</v>
      </c>
      <c r="AD29" s="1024">
        <v>7.89</v>
      </c>
      <c r="AE29" s="1016">
        <v>38</v>
      </c>
      <c r="AF29" s="1024">
        <v>12.66</v>
      </c>
      <c r="AG29" s="1024">
        <v>10.64</v>
      </c>
      <c r="AH29" s="1024">
        <v>9.5500000000000007</v>
      </c>
      <c r="AI29" s="1024">
        <v>8.91</v>
      </c>
      <c r="AJ29" s="1015" t="s">
        <v>892</v>
      </c>
      <c r="AK29" s="1024">
        <v>10.11</v>
      </c>
      <c r="AL29" s="1024">
        <v>8.49</v>
      </c>
      <c r="AM29" s="1024">
        <v>7.59</v>
      </c>
      <c r="AN29" s="1024">
        <v>7.06</v>
      </c>
      <c r="AO29" s="1017">
        <v>25</v>
      </c>
      <c r="AP29" s="1028">
        <v>1.35</v>
      </c>
      <c r="AQ29" s="1028">
        <v>1.1499999999999999</v>
      </c>
      <c r="AR29" s="1028">
        <v>1</v>
      </c>
      <c r="AS29" s="1025">
        <v>0</v>
      </c>
      <c r="AT29" s="920"/>
      <c r="AU29" s="1024">
        <v>2</v>
      </c>
      <c r="AV29" s="1024">
        <v>1.7</v>
      </c>
      <c r="AW29" s="1024">
        <v>1.5</v>
      </c>
      <c r="AX29" s="1025">
        <v>0</v>
      </c>
      <c r="AY29" s="1010"/>
      <c r="AZ29" s="1019">
        <v>21</v>
      </c>
      <c r="BA29" s="1029"/>
      <c r="BB29" s="1029"/>
      <c r="BC29" s="1026" t="s">
        <v>1529</v>
      </c>
      <c r="BD29" s="1026" t="s">
        <v>1986</v>
      </c>
      <c r="BE29" s="970" t="str">
        <f t="shared" si="0"/>
        <v>50.98%</v>
      </c>
      <c r="BF29" s="1013">
        <v>35</v>
      </c>
      <c r="BG29" s="920"/>
      <c r="BH29" s="998"/>
      <c r="BI29" s="998"/>
      <c r="BJ29" s="998"/>
      <c r="BK29" s="998"/>
      <c r="BL29" s="998"/>
      <c r="BM29" s="998"/>
      <c r="BN29" s="998"/>
      <c r="BO29" s="998"/>
      <c r="BP29" s="998"/>
      <c r="BQ29" s="998"/>
      <c r="BR29" s="998"/>
      <c r="BS29" s="998"/>
      <c r="BT29" s="998"/>
      <c r="BU29" s="998"/>
      <c r="BV29" s="998"/>
      <c r="BW29" s="998"/>
      <c r="BX29" s="998"/>
      <c r="BY29" s="998"/>
      <c r="BZ29" s="998"/>
      <c r="CA29" s="998"/>
      <c r="CB29" s="998"/>
      <c r="CC29" s="998"/>
      <c r="CD29" s="998"/>
      <c r="CE29" s="998"/>
      <c r="CF29" s="998"/>
      <c r="CG29" s="998"/>
      <c r="CH29" s="998"/>
      <c r="CI29" s="998"/>
      <c r="CJ29" s="998"/>
      <c r="CK29" s="998"/>
      <c r="CL29" s="998"/>
      <c r="CM29" s="998"/>
      <c r="CN29" s="998"/>
      <c r="CO29" s="998"/>
      <c r="CP29" s="998"/>
      <c r="CQ29" s="998"/>
      <c r="CR29" s="998"/>
    </row>
    <row r="30" spans="1:96">
      <c r="A30" s="998"/>
      <c r="B30" s="1048"/>
      <c r="C30" s="1048"/>
      <c r="D30" s="2560" t="s">
        <v>488</v>
      </c>
      <c r="E30" s="2560"/>
      <c r="F30" s="2560"/>
      <c r="G30" s="2560"/>
      <c r="H30" s="2560"/>
      <c r="I30" s="2560"/>
      <c r="J30" s="1051"/>
      <c r="K30" s="1051"/>
      <c r="L30" s="1051"/>
      <c r="M30" s="1051"/>
      <c r="N30" s="1051"/>
      <c r="O30" s="1051"/>
      <c r="P30" s="1047"/>
      <c r="Q30" s="1051"/>
      <c r="R30" s="1051"/>
      <c r="S30" s="998"/>
      <c r="T30" s="1013">
        <v>21</v>
      </c>
      <c r="U30" s="1022">
        <v>80.3</v>
      </c>
      <c r="V30" s="1022">
        <v>54.55</v>
      </c>
      <c r="W30" s="1022">
        <v>39.950000000000003</v>
      </c>
      <c r="X30" s="1022">
        <v>31.2</v>
      </c>
      <c r="Y30" s="920"/>
      <c r="Z30" s="1023">
        <v>39</v>
      </c>
      <c r="AA30" s="1024">
        <v>12.14</v>
      </c>
      <c r="AB30" s="1024">
        <v>10.199999999999999</v>
      </c>
      <c r="AC30" s="1024">
        <v>9.14</v>
      </c>
      <c r="AD30" s="1024">
        <v>8.52</v>
      </c>
      <c r="AE30" s="1016">
        <v>39</v>
      </c>
      <c r="AF30" s="1024">
        <v>13.5</v>
      </c>
      <c r="AG30" s="1024">
        <v>11.37</v>
      </c>
      <c r="AH30" s="1024">
        <v>10.210000000000001</v>
      </c>
      <c r="AI30" s="1024">
        <v>9.5299999999999994</v>
      </c>
      <c r="AJ30" s="1015">
        <v>39</v>
      </c>
      <c r="AK30" s="1024">
        <v>10.65</v>
      </c>
      <c r="AL30" s="1024">
        <v>8.9499999999999993</v>
      </c>
      <c r="AM30" s="1024">
        <v>8.01</v>
      </c>
      <c r="AN30" s="1024">
        <v>7.45</v>
      </c>
      <c r="AO30" s="1017">
        <v>26</v>
      </c>
      <c r="AP30" s="1028">
        <v>1.4</v>
      </c>
      <c r="AQ30" s="1028">
        <v>1.1499999999999999</v>
      </c>
      <c r="AR30" s="1028">
        <v>1.05</v>
      </c>
      <c r="AS30" s="1025">
        <v>0</v>
      </c>
      <c r="AT30" s="920"/>
      <c r="AU30" s="1024">
        <v>2.0499999999999998</v>
      </c>
      <c r="AV30" s="1024">
        <v>1.75</v>
      </c>
      <c r="AW30" s="1024">
        <v>1.55</v>
      </c>
      <c r="AX30" s="1025">
        <v>0</v>
      </c>
      <c r="AY30" s="1010"/>
      <c r="AZ30" s="1019">
        <v>22</v>
      </c>
      <c r="BA30" s="1029"/>
      <c r="BB30" s="1029"/>
      <c r="BC30" s="1026" t="s">
        <v>2001</v>
      </c>
      <c r="BD30" s="1026" t="s">
        <v>2000</v>
      </c>
      <c r="BE30" s="970" t="str">
        <f t="shared" si="0"/>
        <v>54.05%</v>
      </c>
      <c r="BF30" s="1013">
        <v>36</v>
      </c>
      <c r="BG30" s="998"/>
      <c r="BH30" s="998"/>
      <c r="BI30" s="998"/>
      <c r="BJ30" s="998"/>
      <c r="BK30" s="998"/>
      <c r="BL30" s="998"/>
      <c r="BM30" s="998"/>
      <c r="BN30" s="998"/>
      <c r="BO30" s="998"/>
      <c r="BP30" s="998"/>
      <c r="BQ30" s="998"/>
      <c r="BR30" s="998"/>
      <c r="BS30" s="998"/>
      <c r="BT30" s="998"/>
      <c r="BU30" s="998"/>
      <c r="BV30" s="998"/>
      <c r="BW30" s="998"/>
      <c r="BX30" s="998"/>
      <c r="BY30" s="998"/>
      <c r="BZ30" s="998"/>
      <c r="CA30" s="998"/>
      <c r="CB30" s="998"/>
      <c r="CC30" s="998"/>
      <c r="CD30" s="998"/>
      <c r="CE30" s="998"/>
      <c r="CF30" s="998"/>
      <c r="CG30" s="998"/>
      <c r="CH30" s="998"/>
      <c r="CI30" s="998"/>
      <c r="CJ30" s="998"/>
      <c r="CK30" s="998"/>
      <c r="CL30" s="998"/>
      <c r="CM30" s="998"/>
      <c r="CN30" s="998"/>
      <c r="CO30" s="998"/>
      <c r="CP30" s="998"/>
      <c r="CQ30" s="998"/>
      <c r="CR30" s="998"/>
    </row>
    <row r="31" spans="1:96">
      <c r="A31" s="998"/>
      <c r="B31" s="998"/>
      <c r="C31" s="998"/>
      <c r="L31" s="998"/>
      <c r="M31" s="998"/>
      <c r="N31" s="998"/>
      <c r="O31" s="998"/>
      <c r="P31" s="998"/>
      <c r="Q31" s="998"/>
      <c r="R31" s="998"/>
      <c r="S31" s="998"/>
      <c r="T31" s="1013">
        <v>22</v>
      </c>
      <c r="U31" s="1022">
        <v>80.3</v>
      </c>
      <c r="V31" s="1022">
        <v>54.55</v>
      </c>
      <c r="W31" s="1022">
        <v>39.950000000000003</v>
      </c>
      <c r="X31" s="1022">
        <v>31.25</v>
      </c>
      <c r="Y31" s="920"/>
      <c r="Z31" s="1023">
        <v>40</v>
      </c>
      <c r="AA31" s="1024">
        <v>13.07</v>
      </c>
      <c r="AB31" s="1024">
        <v>10.99</v>
      </c>
      <c r="AC31" s="1024">
        <v>9.86</v>
      </c>
      <c r="AD31" s="1024">
        <v>9.19</v>
      </c>
      <c r="AE31" s="1016">
        <v>40</v>
      </c>
      <c r="AF31" s="1024">
        <v>14.38</v>
      </c>
      <c r="AG31" s="1024">
        <v>12.11</v>
      </c>
      <c r="AH31" s="1024">
        <v>10.89</v>
      </c>
      <c r="AI31" s="1024">
        <v>10.17</v>
      </c>
      <c r="AJ31" s="1015">
        <v>40</v>
      </c>
      <c r="AK31" s="1024">
        <v>11.21</v>
      </c>
      <c r="AL31" s="1024">
        <v>9.43</v>
      </c>
      <c r="AM31" s="1024">
        <v>8.44</v>
      </c>
      <c r="AN31" s="1024">
        <v>7.86</v>
      </c>
      <c r="AO31" s="1017">
        <v>27</v>
      </c>
      <c r="AP31" s="1028">
        <v>1.4</v>
      </c>
      <c r="AQ31" s="1028">
        <v>1.2</v>
      </c>
      <c r="AR31" s="1028">
        <v>1.05</v>
      </c>
      <c r="AS31" s="1025">
        <v>0</v>
      </c>
      <c r="AT31" s="920"/>
      <c r="AU31" s="1024">
        <v>2.1</v>
      </c>
      <c r="AV31" s="1024">
        <v>1.75</v>
      </c>
      <c r="AW31" s="1024">
        <v>1.55</v>
      </c>
      <c r="AX31" s="1025">
        <v>0</v>
      </c>
      <c r="AY31" s="1010"/>
      <c r="AZ31" s="1019">
        <v>23</v>
      </c>
      <c r="BA31" s="1029"/>
      <c r="BB31" s="1029"/>
      <c r="BC31" s="1026" t="s">
        <v>1131</v>
      </c>
      <c r="BD31" s="1026" t="s">
        <v>1803</v>
      </c>
      <c r="BE31" s="970" t="str">
        <f t="shared" si="0"/>
        <v>57.50%</v>
      </c>
      <c r="BF31" s="1013">
        <v>37</v>
      </c>
      <c r="BG31" s="998"/>
      <c r="BH31" s="998"/>
      <c r="BI31" s="998"/>
      <c r="BJ31" s="998"/>
      <c r="BK31" s="998"/>
      <c r="BL31" s="998"/>
      <c r="BM31" s="998"/>
      <c r="BN31" s="998"/>
      <c r="BO31" s="998"/>
      <c r="BP31" s="998"/>
      <c r="BQ31" s="998"/>
      <c r="BR31" s="998"/>
      <c r="BS31" s="998"/>
      <c r="BT31" s="998"/>
      <c r="BU31" s="998"/>
      <c r="BV31" s="998"/>
      <c r="BW31" s="998"/>
      <c r="BX31" s="998"/>
      <c r="BY31" s="998"/>
      <c r="BZ31" s="998"/>
      <c r="CA31" s="998"/>
      <c r="CB31" s="998"/>
      <c r="CC31" s="998"/>
      <c r="CD31" s="998"/>
      <c r="CE31" s="998"/>
      <c r="CF31" s="998"/>
      <c r="CG31" s="998"/>
      <c r="CH31" s="998"/>
      <c r="CI31" s="998"/>
      <c r="CJ31" s="998"/>
      <c r="CK31" s="998"/>
      <c r="CL31" s="998"/>
      <c r="CM31" s="998"/>
      <c r="CN31" s="998"/>
      <c r="CO31" s="998"/>
      <c r="CP31" s="998"/>
      <c r="CQ31" s="998"/>
      <c r="CR31" s="998"/>
    </row>
    <row r="32" spans="1:96" s="998" customFormat="1">
      <c r="T32" s="1013">
        <v>23</v>
      </c>
      <c r="U32" s="1022">
        <v>80.3</v>
      </c>
      <c r="V32" s="1022">
        <v>54.55</v>
      </c>
      <c r="W32" s="1022">
        <v>39.950000000000003</v>
      </c>
      <c r="X32" s="1022">
        <v>31.3</v>
      </c>
      <c r="Y32" s="920"/>
      <c r="Z32" s="1023">
        <v>41</v>
      </c>
      <c r="AA32" s="1024">
        <v>13.59</v>
      </c>
      <c r="AB32" s="1024">
        <v>11.44</v>
      </c>
      <c r="AC32" s="1024">
        <v>10.27</v>
      </c>
      <c r="AD32" s="1021">
        <v>0</v>
      </c>
      <c r="AE32" s="1016">
        <v>41</v>
      </c>
      <c r="AF32" s="1024">
        <v>14.92</v>
      </c>
      <c r="AG32" s="1024">
        <v>12.59</v>
      </c>
      <c r="AH32" s="1024">
        <v>11.33</v>
      </c>
      <c r="AI32" s="1021">
        <v>0</v>
      </c>
      <c r="AJ32" s="1015">
        <v>41</v>
      </c>
      <c r="AK32" s="1024">
        <v>11.54</v>
      </c>
      <c r="AL32" s="1024">
        <v>9.7100000000000009</v>
      </c>
      <c r="AM32" s="1024">
        <v>8.7100000000000009</v>
      </c>
      <c r="AN32" s="1021">
        <v>0</v>
      </c>
      <c r="AO32" s="1017">
        <v>28</v>
      </c>
      <c r="AP32" s="1028">
        <v>1.45</v>
      </c>
      <c r="AQ32" s="1028">
        <v>1.2</v>
      </c>
      <c r="AR32" s="1028">
        <v>1.05</v>
      </c>
      <c r="AS32" s="1025">
        <v>0</v>
      </c>
      <c r="AT32" s="920"/>
      <c r="AU32" s="1024">
        <v>2.15</v>
      </c>
      <c r="AV32" s="1024" t="s">
        <v>1993</v>
      </c>
      <c r="AW32" s="1024">
        <v>1.6</v>
      </c>
      <c r="AX32" s="1025">
        <v>0</v>
      </c>
      <c r="AY32" s="1010"/>
      <c r="AZ32" s="1019">
        <v>24</v>
      </c>
      <c r="BA32" s="1029"/>
      <c r="BB32" s="1029"/>
      <c r="BC32" s="1026" t="s">
        <v>1994</v>
      </c>
      <c r="BD32" s="1026" t="s">
        <v>1999</v>
      </c>
      <c r="BE32" s="970" t="str">
        <f t="shared" si="0"/>
        <v>61.41%</v>
      </c>
      <c r="BF32" s="1013">
        <v>38</v>
      </c>
    </row>
    <row r="33" spans="20:58" s="998" customFormat="1">
      <c r="T33" s="1013">
        <v>24</v>
      </c>
      <c r="U33" s="1022">
        <v>80.3</v>
      </c>
      <c r="V33" s="1022">
        <v>54.55</v>
      </c>
      <c r="W33" s="1022">
        <v>39.950000000000003</v>
      </c>
      <c r="X33" s="1022">
        <v>31.35</v>
      </c>
      <c r="Y33" s="920"/>
      <c r="Z33" s="1023">
        <v>42</v>
      </c>
      <c r="AA33" s="1024">
        <v>14.14</v>
      </c>
      <c r="AB33" s="1024">
        <v>11.91</v>
      </c>
      <c r="AC33" s="1024">
        <v>10.7</v>
      </c>
      <c r="AD33" s="1021">
        <v>0</v>
      </c>
      <c r="AE33" s="1016">
        <v>42</v>
      </c>
      <c r="AF33" s="1024">
        <v>15.48</v>
      </c>
      <c r="AG33" s="1024">
        <v>13.07</v>
      </c>
      <c r="AH33" s="1024">
        <v>11.78</v>
      </c>
      <c r="AI33" s="1021">
        <v>0</v>
      </c>
      <c r="AJ33" s="1015">
        <v>42</v>
      </c>
      <c r="AK33" s="1024">
        <v>11.86</v>
      </c>
      <c r="AL33" s="1024">
        <v>9.99</v>
      </c>
      <c r="AM33" s="1024">
        <v>8.9600000000000009</v>
      </c>
      <c r="AN33" s="1021">
        <v>0</v>
      </c>
      <c r="AO33" s="1017">
        <v>29</v>
      </c>
      <c r="AP33" s="1028">
        <v>1.45</v>
      </c>
      <c r="AQ33" s="1028">
        <v>1.2</v>
      </c>
      <c r="AR33" s="1028">
        <v>1.1000000000000001</v>
      </c>
      <c r="AS33" s="1025">
        <v>0</v>
      </c>
      <c r="AT33" s="920"/>
      <c r="AU33" s="1024">
        <v>2.15</v>
      </c>
      <c r="AV33" s="1024" t="s">
        <v>1993</v>
      </c>
      <c r="AW33" s="1024">
        <v>1.6</v>
      </c>
      <c r="AX33" s="1025">
        <v>0</v>
      </c>
      <c r="AY33" s="1010"/>
      <c r="AZ33" s="1019">
        <v>25</v>
      </c>
      <c r="BA33" s="1029"/>
      <c r="BB33" s="1029"/>
      <c r="BC33" s="1026" t="s">
        <v>914</v>
      </c>
      <c r="BD33" s="1026" t="s">
        <v>1998</v>
      </c>
      <c r="BE33" s="970" t="str">
        <f t="shared" si="0"/>
        <v>65.84%</v>
      </c>
      <c r="BF33" s="1013">
        <v>39</v>
      </c>
    </row>
    <row r="34" spans="20:58" s="998" customFormat="1">
      <c r="T34" s="1013">
        <v>25</v>
      </c>
      <c r="U34" s="1022">
        <v>80.3</v>
      </c>
      <c r="V34" s="1022">
        <v>54.55</v>
      </c>
      <c r="W34" s="1022">
        <v>39.950000000000003</v>
      </c>
      <c r="X34" s="1022">
        <v>31.45</v>
      </c>
      <c r="Y34" s="920"/>
      <c r="Z34" s="1023">
        <v>43</v>
      </c>
      <c r="AA34" s="1024">
        <v>14.69</v>
      </c>
      <c r="AB34" s="1024">
        <v>12.39</v>
      </c>
      <c r="AC34" s="1024">
        <v>11.15</v>
      </c>
      <c r="AD34" s="1021">
        <v>0</v>
      </c>
      <c r="AE34" s="1016">
        <v>43</v>
      </c>
      <c r="AF34" s="1024">
        <v>16.04</v>
      </c>
      <c r="AG34" s="1024">
        <v>13.56</v>
      </c>
      <c r="AH34" s="1024">
        <v>12.23</v>
      </c>
      <c r="AI34" s="1021">
        <v>0</v>
      </c>
      <c r="AJ34" s="1015">
        <v>43</v>
      </c>
      <c r="AK34" s="1024">
        <v>12.19</v>
      </c>
      <c r="AL34" s="1024">
        <v>10.27</v>
      </c>
      <c r="AM34" s="1024">
        <v>9.2200000000000006</v>
      </c>
      <c r="AN34" s="1021">
        <v>0</v>
      </c>
      <c r="AO34" s="1017">
        <v>30</v>
      </c>
      <c r="AP34" s="1028">
        <v>1.45</v>
      </c>
      <c r="AQ34" s="1028">
        <v>1.25</v>
      </c>
      <c r="AR34" s="1028">
        <v>1.1000000000000001</v>
      </c>
      <c r="AS34" s="1028">
        <v>1</v>
      </c>
      <c r="AT34" s="920"/>
      <c r="AU34" s="1024">
        <v>2.2000000000000002</v>
      </c>
      <c r="AV34" s="1024">
        <v>1.85</v>
      </c>
      <c r="AW34" s="1024">
        <v>1.65</v>
      </c>
      <c r="AX34" s="1024" t="s">
        <v>899</v>
      </c>
      <c r="AY34" s="1010"/>
      <c r="AZ34" s="1019">
        <v>26</v>
      </c>
      <c r="BA34" s="1029"/>
      <c r="BB34" s="1029"/>
      <c r="BC34" s="1029"/>
      <c r="BD34" s="1026" t="s">
        <v>1997</v>
      </c>
      <c r="BE34" s="970" t="str">
        <f t="shared" si="0"/>
        <v>70.24%</v>
      </c>
      <c r="BF34" s="1013">
        <v>40</v>
      </c>
    </row>
    <row r="35" spans="20:58" s="998" customFormat="1">
      <c r="T35" s="1013">
        <v>26</v>
      </c>
      <c r="U35" s="1022">
        <v>80.3</v>
      </c>
      <c r="V35" s="1022">
        <v>54.55</v>
      </c>
      <c r="W35" s="1022">
        <v>40</v>
      </c>
      <c r="X35" s="1022">
        <v>31.55</v>
      </c>
      <c r="Y35" s="920"/>
      <c r="Z35" s="1023">
        <v>44</v>
      </c>
      <c r="AA35" s="1024">
        <v>15.27</v>
      </c>
      <c r="AB35" s="1024">
        <v>12.89</v>
      </c>
      <c r="AC35" s="1024">
        <v>11.62</v>
      </c>
      <c r="AD35" s="1021">
        <v>0</v>
      </c>
      <c r="AE35" s="1016">
        <v>44</v>
      </c>
      <c r="AF35" s="1024">
        <v>16.61</v>
      </c>
      <c r="AG35" s="1024">
        <v>14.06</v>
      </c>
      <c r="AH35" s="1024">
        <v>12.7</v>
      </c>
      <c r="AI35" s="1021">
        <v>0</v>
      </c>
      <c r="AJ35" s="1015">
        <v>44</v>
      </c>
      <c r="AK35" s="1024">
        <v>12.52</v>
      </c>
      <c r="AL35" s="1024">
        <v>10.56</v>
      </c>
      <c r="AM35" s="1024">
        <v>9.48</v>
      </c>
      <c r="AN35" s="1021">
        <v>0</v>
      </c>
      <c r="AO35" s="1017">
        <v>31</v>
      </c>
      <c r="AP35" s="1028">
        <v>1.5</v>
      </c>
      <c r="AQ35" s="1028">
        <v>1.25</v>
      </c>
      <c r="AR35" s="1028">
        <v>1.1000000000000001</v>
      </c>
      <c r="AS35" s="1028">
        <v>1.05</v>
      </c>
      <c r="AT35" s="920"/>
      <c r="AU35" s="1024">
        <v>2.2000000000000002</v>
      </c>
      <c r="AV35" s="1024">
        <v>1.85</v>
      </c>
      <c r="AW35" s="1024">
        <v>1.65</v>
      </c>
      <c r="AX35" s="1024">
        <v>1.55</v>
      </c>
      <c r="AY35" s="1010"/>
      <c r="AZ35" s="1019">
        <v>27</v>
      </c>
      <c r="BA35" s="1029"/>
      <c r="BB35" s="1029"/>
      <c r="BC35" s="1029"/>
      <c r="BD35" s="1026" t="s">
        <v>1996</v>
      </c>
      <c r="BE35" s="970" t="str">
        <f t="shared" si="0"/>
        <v>72.52%</v>
      </c>
      <c r="BF35" s="1030"/>
    </row>
    <row r="36" spans="20:58" s="998" customFormat="1">
      <c r="T36" s="1013">
        <v>27</v>
      </c>
      <c r="U36" s="1022">
        <v>80.3</v>
      </c>
      <c r="V36" s="1022">
        <v>54.55</v>
      </c>
      <c r="W36" s="1022">
        <v>40</v>
      </c>
      <c r="X36" s="1022">
        <v>31.65</v>
      </c>
      <c r="Y36" s="920"/>
      <c r="Z36" s="1023">
        <v>45</v>
      </c>
      <c r="AA36" s="1024">
        <v>15.85</v>
      </c>
      <c r="AB36" s="1024">
        <v>13.4</v>
      </c>
      <c r="AC36" s="1024">
        <v>12.09</v>
      </c>
      <c r="AD36" s="1021">
        <v>0</v>
      </c>
      <c r="AE36" s="1016">
        <v>45</v>
      </c>
      <c r="AF36" s="1024">
        <v>17.2</v>
      </c>
      <c r="AG36" s="1024">
        <v>14.58</v>
      </c>
      <c r="AH36" s="1024">
        <v>13.18</v>
      </c>
      <c r="AI36" s="1021">
        <v>0</v>
      </c>
      <c r="AJ36" s="1015">
        <v>45</v>
      </c>
      <c r="AK36" s="1024">
        <v>12.84</v>
      </c>
      <c r="AL36" s="1024">
        <v>10.84</v>
      </c>
      <c r="AM36" s="1024">
        <v>9.74</v>
      </c>
      <c r="AN36" s="1021">
        <v>0</v>
      </c>
      <c r="AO36" s="1017">
        <v>32</v>
      </c>
      <c r="AP36" s="1028">
        <v>1.5</v>
      </c>
      <c r="AQ36" s="1028">
        <v>1.25</v>
      </c>
      <c r="AR36" s="1028">
        <v>1.1499999999999999</v>
      </c>
      <c r="AS36" s="1028">
        <v>1.05</v>
      </c>
      <c r="AT36" s="920"/>
      <c r="AU36" s="1024">
        <v>2.25</v>
      </c>
      <c r="AV36" s="1024">
        <v>1.9</v>
      </c>
      <c r="AW36" s="1024">
        <v>1.7</v>
      </c>
      <c r="AX36" s="1024">
        <v>1.55</v>
      </c>
      <c r="AY36" s="1010"/>
      <c r="AZ36" s="1019">
        <v>28</v>
      </c>
      <c r="BA36" s="1029"/>
      <c r="BB36" s="1029"/>
      <c r="BC36" s="1029"/>
      <c r="BD36" s="1026" t="s">
        <v>1995</v>
      </c>
      <c r="BE36" s="970" t="str">
        <f t="shared" si="0"/>
        <v>74.96%</v>
      </c>
      <c r="BF36" s="1030"/>
    </row>
    <row r="37" spans="20:58" s="998" customFormat="1">
      <c r="T37" s="1013">
        <v>28</v>
      </c>
      <c r="U37" s="1022">
        <v>80.3</v>
      </c>
      <c r="V37" s="1022">
        <v>54.55</v>
      </c>
      <c r="W37" s="1022">
        <v>40.049999999999997</v>
      </c>
      <c r="X37" s="1022">
        <v>31.75</v>
      </c>
      <c r="Y37" s="920"/>
      <c r="Z37" s="1023">
        <v>46</v>
      </c>
      <c r="AA37" s="1024">
        <v>16.45</v>
      </c>
      <c r="AB37" s="1024">
        <v>13.92</v>
      </c>
      <c r="AC37" s="1021">
        <v>0</v>
      </c>
      <c r="AD37" s="1021">
        <v>0</v>
      </c>
      <c r="AE37" s="1016">
        <v>46</v>
      </c>
      <c r="AF37" s="1024">
        <v>17.79</v>
      </c>
      <c r="AG37" s="1024">
        <v>15.1</v>
      </c>
      <c r="AH37" s="1021">
        <v>0</v>
      </c>
      <c r="AI37" s="1021">
        <v>0</v>
      </c>
      <c r="AJ37" s="1015">
        <v>46</v>
      </c>
      <c r="AK37" s="1024">
        <v>13.16</v>
      </c>
      <c r="AL37" s="1024">
        <v>11.11</v>
      </c>
      <c r="AM37" s="1021">
        <v>0</v>
      </c>
      <c r="AN37" s="1021">
        <v>0</v>
      </c>
      <c r="AO37" s="1017">
        <v>33</v>
      </c>
      <c r="AP37" s="1028">
        <v>1.5</v>
      </c>
      <c r="AQ37" s="1028">
        <v>1.3</v>
      </c>
      <c r="AR37" s="1028">
        <v>1.1499999999999999</v>
      </c>
      <c r="AS37" s="1028">
        <v>1.05</v>
      </c>
      <c r="AT37" s="920"/>
      <c r="AU37" s="1024">
        <v>2.25</v>
      </c>
      <c r="AV37" s="1024">
        <v>1.9</v>
      </c>
      <c r="AW37" s="1024">
        <v>1.7</v>
      </c>
      <c r="AX37" s="1024">
        <v>1.6</v>
      </c>
      <c r="AY37" s="1010"/>
      <c r="AZ37" s="1019">
        <v>29</v>
      </c>
      <c r="BA37" s="1029"/>
      <c r="BB37" s="1029"/>
      <c r="BC37" s="1029"/>
      <c r="BD37" s="1026" t="s">
        <v>1994</v>
      </c>
      <c r="BE37" s="970" t="str">
        <f t="shared" si="0"/>
        <v>82.57%</v>
      </c>
      <c r="BF37" s="1030"/>
    </row>
    <row r="38" spans="20:58" s="998" customFormat="1">
      <c r="T38" s="1013">
        <v>29</v>
      </c>
      <c r="U38" s="1022">
        <v>80.3</v>
      </c>
      <c r="V38" s="1022">
        <v>54.55</v>
      </c>
      <c r="W38" s="1022">
        <v>40.15</v>
      </c>
      <c r="X38" s="1022">
        <v>31.9</v>
      </c>
      <c r="Y38" s="920"/>
      <c r="Z38" s="1023">
        <v>47</v>
      </c>
      <c r="AA38" s="1024">
        <v>17.05</v>
      </c>
      <c r="AB38" s="1024">
        <v>14.45</v>
      </c>
      <c r="AC38" s="1021">
        <v>0</v>
      </c>
      <c r="AD38" s="1021">
        <v>0</v>
      </c>
      <c r="AE38" s="1016">
        <v>47</v>
      </c>
      <c r="AF38" s="1024">
        <v>18.38</v>
      </c>
      <c r="AG38" s="1024">
        <v>15.63</v>
      </c>
      <c r="AH38" s="1021">
        <v>0</v>
      </c>
      <c r="AI38" s="1021">
        <v>0</v>
      </c>
      <c r="AJ38" s="1015">
        <v>47</v>
      </c>
      <c r="AK38" s="1024">
        <v>13.46</v>
      </c>
      <c r="AL38" s="1024">
        <v>11.38</v>
      </c>
      <c r="AM38" s="1021">
        <v>0</v>
      </c>
      <c r="AN38" s="1021">
        <v>0</v>
      </c>
      <c r="AO38" s="1017">
        <v>34</v>
      </c>
      <c r="AP38" s="1028">
        <v>1.55</v>
      </c>
      <c r="AQ38" s="1028">
        <v>1.3</v>
      </c>
      <c r="AR38" s="1028">
        <v>1.1499999999999999</v>
      </c>
      <c r="AS38" s="1028">
        <v>1.05</v>
      </c>
      <c r="AT38" s="920"/>
      <c r="AU38" s="1024">
        <v>2.2999999999999998</v>
      </c>
      <c r="AV38" s="1024">
        <v>1.95</v>
      </c>
      <c r="AW38" s="1024">
        <v>1.7</v>
      </c>
      <c r="AX38" s="1024">
        <v>1.6</v>
      </c>
      <c r="AY38" s="1010"/>
      <c r="AZ38" s="1019">
        <v>30</v>
      </c>
      <c r="BA38" s="1029"/>
      <c r="BB38" s="1029"/>
      <c r="BC38" s="1029"/>
      <c r="BD38" s="1026" t="s">
        <v>914</v>
      </c>
      <c r="BE38" s="970" t="str">
        <f t="shared" si="0"/>
        <v>90.00%</v>
      </c>
      <c r="BF38" s="1030"/>
    </row>
    <row r="39" spans="20:58" s="998" customFormat="1">
      <c r="T39" s="1013">
        <v>30</v>
      </c>
      <c r="U39" s="1022">
        <v>80.3</v>
      </c>
      <c r="V39" s="1022">
        <v>54.55</v>
      </c>
      <c r="W39" s="1022">
        <v>40.200000000000003</v>
      </c>
      <c r="X39" s="1022">
        <v>32.049999999999997</v>
      </c>
      <c r="Y39" s="920"/>
      <c r="Z39" s="1023">
        <v>48</v>
      </c>
      <c r="AA39" s="1024">
        <v>17.649999999999999</v>
      </c>
      <c r="AB39" s="1024">
        <v>14.99</v>
      </c>
      <c r="AC39" s="1021">
        <v>0</v>
      </c>
      <c r="AD39" s="1021">
        <v>0</v>
      </c>
      <c r="AE39" s="1016">
        <v>48</v>
      </c>
      <c r="AF39" s="1024">
        <v>18.989999999999998</v>
      </c>
      <c r="AG39" s="1024">
        <v>16.170000000000002</v>
      </c>
      <c r="AH39" s="1021">
        <v>0</v>
      </c>
      <c r="AI39" s="1021">
        <v>0</v>
      </c>
      <c r="AJ39" s="1015">
        <v>48</v>
      </c>
      <c r="AK39" s="1024">
        <v>13.76</v>
      </c>
      <c r="AL39" s="1024">
        <v>11.63</v>
      </c>
      <c r="AM39" s="1021">
        <v>0</v>
      </c>
      <c r="AN39" s="1021">
        <v>0</v>
      </c>
      <c r="AO39" s="1017">
        <v>35</v>
      </c>
      <c r="AP39" s="1028">
        <v>1.55</v>
      </c>
      <c r="AQ39" s="1028">
        <v>1.3</v>
      </c>
      <c r="AR39" s="1028">
        <v>1.1499999999999999</v>
      </c>
      <c r="AS39" s="1028">
        <v>1.1000000000000001</v>
      </c>
      <c r="AT39" s="920"/>
      <c r="AU39" s="1024">
        <v>2.2999999999999998</v>
      </c>
      <c r="AV39" s="1024">
        <v>1.95</v>
      </c>
      <c r="AW39" s="1024">
        <v>1.75</v>
      </c>
      <c r="AX39" s="1024">
        <v>1.6</v>
      </c>
      <c r="AY39" s="1010"/>
      <c r="AZ39" s="1010"/>
      <c r="BA39" s="1010"/>
      <c r="BB39" s="1010"/>
      <c r="BC39" s="1010"/>
      <c r="BD39" s="1010"/>
      <c r="BF39" s="1030"/>
    </row>
    <row r="40" spans="20:58" s="998" customFormat="1">
      <c r="T40" s="1013">
        <v>31</v>
      </c>
      <c r="U40" s="1022">
        <v>80.3</v>
      </c>
      <c r="V40" s="1022">
        <v>54.55</v>
      </c>
      <c r="W40" s="1022">
        <v>40.299999999999997</v>
      </c>
      <c r="X40" s="1022">
        <v>32.25</v>
      </c>
      <c r="Y40" s="920"/>
      <c r="Z40" s="1023">
        <v>49</v>
      </c>
      <c r="AA40" s="1024">
        <v>18.25</v>
      </c>
      <c r="AB40" s="1024">
        <v>15.52</v>
      </c>
      <c r="AC40" s="1021">
        <v>0</v>
      </c>
      <c r="AD40" s="1021">
        <v>0</v>
      </c>
      <c r="AE40" s="1016">
        <v>49</v>
      </c>
      <c r="AF40" s="1024">
        <v>19.579999999999998</v>
      </c>
      <c r="AG40" s="1024">
        <v>16.7</v>
      </c>
      <c r="AH40" s="1021">
        <v>0</v>
      </c>
      <c r="AI40" s="1021">
        <v>0</v>
      </c>
      <c r="AJ40" s="1015">
        <v>49</v>
      </c>
      <c r="AK40" s="1024">
        <v>14.03</v>
      </c>
      <c r="AL40" s="1024">
        <v>11.87</v>
      </c>
      <c r="AM40" s="1021">
        <v>0</v>
      </c>
      <c r="AN40" s="1021">
        <v>0</v>
      </c>
      <c r="AO40" s="1017">
        <v>36</v>
      </c>
      <c r="AP40" s="1028">
        <v>1.55</v>
      </c>
      <c r="AQ40" s="1028">
        <v>1.3</v>
      </c>
      <c r="AR40" s="1028">
        <v>1.2</v>
      </c>
      <c r="AS40" s="1028">
        <v>1.1000000000000001</v>
      </c>
      <c r="AT40" s="920"/>
      <c r="AU40" s="1024">
        <v>2.35</v>
      </c>
      <c r="AV40" s="1024">
        <v>1.95</v>
      </c>
      <c r="AW40" s="1024">
        <v>1.75</v>
      </c>
      <c r="AX40" s="1024">
        <v>1.6</v>
      </c>
      <c r="AY40" s="1010"/>
      <c r="AZ40" s="1010"/>
      <c r="BA40" s="1010"/>
      <c r="BB40" s="1010"/>
      <c r="BC40" s="1010"/>
      <c r="BD40" s="1010"/>
      <c r="BF40" s="1030"/>
    </row>
    <row r="41" spans="20:58" s="998" customFormat="1">
      <c r="T41" s="1013">
        <v>32</v>
      </c>
      <c r="U41" s="1022">
        <v>80.3</v>
      </c>
      <c r="V41" s="1022">
        <v>54.55</v>
      </c>
      <c r="W41" s="1022">
        <v>40.450000000000003</v>
      </c>
      <c r="X41" s="1022">
        <v>32.450000000000003</v>
      </c>
      <c r="Y41" s="920"/>
      <c r="Z41" s="1023">
        <v>50</v>
      </c>
      <c r="AA41" s="1024">
        <v>18.850000000000001</v>
      </c>
      <c r="AB41" s="1024">
        <v>16.05</v>
      </c>
      <c r="AC41" s="1021">
        <v>0</v>
      </c>
      <c r="AD41" s="1021">
        <v>0</v>
      </c>
      <c r="AE41" s="1016">
        <v>50</v>
      </c>
      <c r="AF41" s="1024">
        <v>20.149999999999999</v>
      </c>
      <c r="AG41" s="1024">
        <v>17.2</v>
      </c>
      <c r="AH41" s="1021">
        <v>0</v>
      </c>
      <c r="AI41" s="1021">
        <v>0</v>
      </c>
      <c r="AJ41" s="1015">
        <v>50</v>
      </c>
      <c r="AK41" s="1024">
        <v>14.28</v>
      </c>
      <c r="AL41" s="1024">
        <v>12.09</v>
      </c>
      <c r="AM41" s="1021">
        <v>0</v>
      </c>
      <c r="AN41" s="1021">
        <v>0</v>
      </c>
      <c r="AO41" s="1017">
        <v>37</v>
      </c>
      <c r="AP41" s="1028">
        <v>1.6</v>
      </c>
      <c r="AQ41" s="1028">
        <v>1.35</v>
      </c>
      <c r="AR41" s="1028">
        <v>1.2</v>
      </c>
      <c r="AS41" s="1028">
        <v>1.1000000000000001</v>
      </c>
      <c r="AT41" s="920"/>
      <c r="AU41" s="1024">
        <v>2.35</v>
      </c>
      <c r="AV41" s="1024">
        <v>2</v>
      </c>
      <c r="AW41" s="1024">
        <v>1.75</v>
      </c>
      <c r="AX41" s="1024">
        <v>1.65</v>
      </c>
      <c r="AY41" s="1010"/>
      <c r="AZ41" s="1010"/>
      <c r="BA41" s="1010"/>
      <c r="BB41" s="1010"/>
      <c r="BC41" s="1010"/>
      <c r="BD41" s="1010"/>
      <c r="BE41" s="1010"/>
      <c r="BF41" s="1010"/>
    </row>
    <row r="42" spans="20:58" s="998" customFormat="1">
      <c r="T42" s="1013">
        <v>33</v>
      </c>
      <c r="U42" s="1022">
        <v>80.3</v>
      </c>
      <c r="V42" s="1022">
        <v>54.55</v>
      </c>
      <c r="W42" s="1022">
        <v>40.549999999999997</v>
      </c>
      <c r="X42" s="1022">
        <v>32.700000000000003</v>
      </c>
      <c r="Y42" s="920"/>
      <c r="Z42" s="1023">
        <v>51</v>
      </c>
      <c r="AA42" s="1024">
        <v>19.43</v>
      </c>
      <c r="AB42" s="1021">
        <v>0</v>
      </c>
      <c r="AC42" s="1021">
        <v>0</v>
      </c>
      <c r="AD42" s="1021">
        <v>0</v>
      </c>
      <c r="AE42" s="1016">
        <v>51</v>
      </c>
      <c r="AF42" s="1024">
        <v>20.68</v>
      </c>
      <c r="AG42" s="1021">
        <v>0</v>
      </c>
      <c r="AH42" s="1021">
        <v>0</v>
      </c>
      <c r="AI42" s="1021">
        <v>0</v>
      </c>
      <c r="AJ42" s="1015">
        <v>51</v>
      </c>
      <c r="AK42" s="1024">
        <v>14.5</v>
      </c>
      <c r="AL42" s="1021">
        <v>0</v>
      </c>
      <c r="AM42" s="1021">
        <v>0</v>
      </c>
      <c r="AN42" s="1021">
        <v>0</v>
      </c>
      <c r="AO42" s="1017">
        <v>38</v>
      </c>
      <c r="AP42" s="1028">
        <v>1.6</v>
      </c>
      <c r="AQ42" s="1028">
        <v>1.35</v>
      </c>
      <c r="AR42" s="1028">
        <v>1.2</v>
      </c>
      <c r="AS42" s="1028">
        <v>1.1000000000000001</v>
      </c>
      <c r="AT42" s="920"/>
      <c r="AU42" s="1024">
        <v>2.4</v>
      </c>
      <c r="AV42" s="1024">
        <v>2</v>
      </c>
      <c r="AW42" s="1024">
        <v>1.8</v>
      </c>
      <c r="AX42" s="1024">
        <v>1.65</v>
      </c>
      <c r="AY42" s="1010"/>
      <c r="AZ42" s="1010"/>
      <c r="BA42" s="1010"/>
      <c r="BB42" s="1010"/>
      <c r="BC42" s="1010"/>
      <c r="BD42" s="1010"/>
      <c r="BF42" s="1030"/>
    </row>
    <row r="43" spans="20:58" s="998" customFormat="1">
      <c r="T43" s="1013">
        <v>34</v>
      </c>
      <c r="U43" s="1022">
        <v>80.3</v>
      </c>
      <c r="V43" s="1022">
        <v>54.55</v>
      </c>
      <c r="W43" s="1022">
        <v>40.75</v>
      </c>
      <c r="X43" s="1022">
        <v>32.950000000000003</v>
      </c>
      <c r="Y43" s="920"/>
      <c r="Z43" s="1023">
        <v>52</v>
      </c>
      <c r="AA43" s="1024">
        <v>19.989999999999998</v>
      </c>
      <c r="AB43" s="1021">
        <v>0</v>
      </c>
      <c r="AC43" s="1021">
        <v>0</v>
      </c>
      <c r="AD43" s="1021">
        <v>0</v>
      </c>
      <c r="AE43" s="1016">
        <v>52</v>
      </c>
      <c r="AF43" s="1024">
        <v>21.19</v>
      </c>
      <c r="AG43" s="1021">
        <v>0</v>
      </c>
      <c r="AH43" s="1021">
        <v>0</v>
      </c>
      <c r="AI43" s="1021">
        <v>0</v>
      </c>
      <c r="AJ43" s="1015">
        <v>52</v>
      </c>
      <c r="AK43" s="1024">
        <v>14.7</v>
      </c>
      <c r="AL43" s="1021">
        <v>0</v>
      </c>
      <c r="AM43" s="1021">
        <v>0</v>
      </c>
      <c r="AN43" s="1021">
        <v>0</v>
      </c>
      <c r="AO43" s="1017">
        <v>39</v>
      </c>
      <c r="AP43" s="1028">
        <v>1.6</v>
      </c>
      <c r="AQ43" s="1028">
        <v>1.35</v>
      </c>
      <c r="AR43" s="1028">
        <v>1.2</v>
      </c>
      <c r="AS43" s="1028">
        <v>1.1000000000000001</v>
      </c>
      <c r="AT43" s="920"/>
      <c r="AU43" s="1024">
        <v>2.4</v>
      </c>
      <c r="AV43" s="1024">
        <v>2</v>
      </c>
      <c r="AW43" s="1024" t="s">
        <v>1993</v>
      </c>
      <c r="AX43" s="1024">
        <v>1.65</v>
      </c>
      <c r="AY43" s="1010"/>
      <c r="AZ43" s="1010"/>
      <c r="BA43" s="1010"/>
      <c r="BB43" s="1010"/>
      <c r="BC43" s="1010"/>
      <c r="BD43" s="1010"/>
      <c r="BE43" s="1010"/>
      <c r="BF43" s="1010"/>
    </row>
    <row r="44" spans="20:58" s="998" customFormat="1">
      <c r="T44" s="1013">
        <v>35</v>
      </c>
      <c r="U44" s="1022">
        <v>80.3</v>
      </c>
      <c r="V44" s="1022">
        <v>54.55</v>
      </c>
      <c r="W44" s="1022">
        <v>40.9</v>
      </c>
      <c r="X44" s="1022">
        <v>33.200000000000003</v>
      </c>
      <c r="Y44" s="920"/>
      <c r="Z44" s="1023">
        <v>53</v>
      </c>
      <c r="AA44" s="1024">
        <v>20.53</v>
      </c>
      <c r="AB44" s="1021">
        <v>0</v>
      </c>
      <c r="AC44" s="1021">
        <v>0</v>
      </c>
      <c r="AD44" s="1021">
        <v>0</v>
      </c>
      <c r="AE44" s="1016">
        <v>53</v>
      </c>
      <c r="AF44" s="1024">
        <v>21.69</v>
      </c>
      <c r="AG44" s="1021">
        <v>0</v>
      </c>
      <c r="AH44" s="1021">
        <v>0</v>
      </c>
      <c r="AI44" s="1021">
        <v>0</v>
      </c>
      <c r="AJ44" s="1015">
        <v>53</v>
      </c>
      <c r="AK44" s="1024">
        <v>14.88</v>
      </c>
      <c r="AL44" s="1021">
        <v>0</v>
      </c>
      <c r="AM44" s="1021">
        <v>0</v>
      </c>
      <c r="AN44" s="1021">
        <v>0</v>
      </c>
      <c r="AO44" s="1017">
        <v>40</v>
      </c>
      <c r="AP44" s="1028">
        <v>1.6</v>
      </c>
      <c r="AQ44" s="1028">
        <v>1.35</v>
      </c>
      <c r="AR44" s="1028">
        <v>1.2</v>
      </c>
      <c r="AS44" s="1028">
        <v>1.1000000000000001</v>
      </c>
      <c r="AT44" s="920"/>
      <c r="AU44" s="1024">
        <v>2.4</v>
      </c>
      <c r="AV44" s="1024">
        <v>2.0499999999999998</v>
      </c>
      <c r="AW44" s="1024" t="s">
        <v>1993</v>
      </c>
      <c r="AX44" s="1024">
        <v>1.7</v>
      </c>
      <c r="AY44" s="1010"/>
      <c r="AZ44" s="1010"/>
      <c r="BA44" s="1010"/>
      <c r="BB44" s="1010"/>
      <c r="BC44" s="1010"/>
      <c r="BD44" s="1010"/>
      <c r="BF44" s="1030"/>
    </row>
    <row r="45" spans="20:58" s="998" customFormat="1">
      <c r="T45" s="1013">
        <v>36</v>
      </c>
      <c r="U45" s="1022">
        <v>80.3</v>
      </c>
      <c r="V45" s="1022">
        <v>54.55</v>
      </c>
      <c r="W45" s="1022">
        <v>41.15</v>
      </c>
      <c r="X45" s="1022">
        <v>33.5</v>
      </c>
      <c r="Y45" s="920"/>
      <c r="Z45" s="1023">
        <v>54</v>
      </c>
      <c r="AA45" s="1024">
        <v>21.05</v>
      </c>
      <c r="AB45" s="1021">
        <v>0</v>
      </c>
      <c r="AC45" s="1021">
        <v>0</v>
      </c>
      <c r="AD45" s="1021">
        <v>0</v>
      </c>
      <c r="AE45" s="1016">
        <v>54</v>
      </c>
      <c r="AF45" s="1024">
        <v>22.14</v>
      </c>
      <c r="AG45" s="1021">
        <v>0</v>
      </c>
      <c r="AH45" s="1021">
        <v>0</v>
      </c>
      <c r="AI45" s="1021">
        <v>0</v>
      </c>
      <c r="AJ45" s="1015">
        <v>54</v>
      </c>
      <c r="AK45" s="1024">
        <v>15.02</v>
      </c>
      <c r="AL45" s="1021">
        <v>0</v>
      </c>
      <c r="AM45" s="1021">
        <v>0</v>
      </c>
      <c r="AN45" s="1021">
        <v>0</v>
      </c>
      <c r="AO45" s="1017">
        <v>41</v>
      </c>
      <c r="AP45" s="1028">
        <v>1.65</v>
      </c>
      <c r="AQ45" s="1028">
        <v>1.35</v>
      </c>
      <c r="AR45" s="1028">
        <v>1.2</v>
      </c>
      <c r="AS45" s="1028">
        <v>1.1499999999999999</v>
      </c>
      <c r="AT45" s="920"/>
      <c r="AU45" s="1024">
        <v>2.4500000000000002</v>
      </c>
      <c r="AV45" s="1024">
        <v>2.0499999999999998</v>
      </c>
      <c r="AW45" s="1024">
        <v>1.85</v>
      </c>
      <c r="AX45" s="1024">
        <v>1.7</v>
      </c>
      <c r="AY45" s="1010"/>
      <c r="AZ45" s="1010"/>
      <c r="BA45" s="1010"/>
      <c r="BB45" s="1010"/>
      <c r="BC45" s="1010"/>
      <c r="BD45" s="1010"/>
      <c r="BE45" s="1010"/>
      <c r="BF45" s="1030"/>
    </row>
    <row r="46" spans="20:58" s="998" customFormat="1">
      <c r="T46" s="1013">
        <v>37</v>
      </c>
      <c r="U46" s="1022">
        <v>80.3</v>
      </c>
      <c r="V46" s="1022">
        <v>54.55</v>
      </c>
      <c r="W46" s="1022">
        <v>41.35</v>
      </c>
      <c r="X46" s="1022">
        <v>33.85</v>
      </c>
      <c r="Y46" s="920"/>
      <c r="Z46" s="1023">
        <v>55</v>
      </c>
      <c r="AA46" s="1024">
        <v>21.54</v>
      </c>
      <c r="AB46" s="1021">
        <v>0</v>
      </c>
      <c r="AC46" s="1021">
        <v>0</v>
      </c>
      <c r="AD46" s="1021">
        <v>0</v>
      </c>
      <c r="AE46" s="1016">
        <v>55</v>
      </c>
      <c r="AF46" s="1024">
        <v>22.54</v>
      </c>
      <c r="AG46" s="1021">
        <v>0</v>
      </c>
      <c r="AH46" s="1021">
        <v>0</v>
      </c>
      <c r="AI46" s="1021">
        <v>0</v>
      </c>
      <c r="AJ46" s="1015">
        <v>55</v>
      </c>
      <c r="AK46" s="1024">
        <v>15.13</v>
      </c>
      <c r="AL46" s="1021">
        <v>0</v>
      </c>
      <c r="AM46" s="1021">
        <v>0</v>
      </c>
      <c r="AN46" s="1021">
        <v>0</v>
      </c>
      <c r="AO46" s="1017">
        <v>42</v>
      </c>
      <c r="AP46" s="1028">
        <v>1.65</v>
      </c>
      <c r="AQ46" s="1028">
        <v>1.4</v>
      </c>
      <c r="AR46" s="1028">
        <v>1.25</v>
      </c>
      <c r="AS46" s="1028">
        <v>1.1499999999999999</v>
      </c>
      <c r="AT46" s="920"/>
      <c r="AU46" s="1024">
        <v>2.4500000000000002</v>
      </c>
      <c r="AV46" s="1024">
        <v>2.0499999999999998</v>
      </c>
      <c r="AW46" s="1024">
        <v>1.85</v>
      </c>
      <c r="AX46" s="1024">
        <v>1.7</v>
      </c>
      <c r="AY46" s="1010"/>
      <c r="AZ46" s="1010"/>
      <c r="BA46" s="1010"/>
      <c r="BB46" s="1010"/>
      <c r="BC46" s="1010"/>
      <c r="BD46" s="1010"/>
      <c r="BF46" s="1030"/>
    </row>
    <row r="47" spans="20:58" s="998" customFormat="1">
      <c r="T47" s="1013">
        <v>38</v>
      </c>
      <c r="U47" s="1022">
        <v>80.3</v>
      </c>
      <c r="V47" s="1022">
        <v>54.55</v>
      </c>
      <c r="W47" s="1022">
        <v>41.65</v>
      </c>
      <c r="X47" s="1022">
        <v>34.25</v>
      </c>
      <c r="Y47" s="920"/>
      <c r="Z47" s="920"/>
      <c r="AA47" s="920"/>
      <c r="AB47" s="920"/>
      <c r="AC47" s="920"/>
      <c r="AD47" s="920"/>
      <c r="AE47" s="920"/>
      <c r="AF47" s="920"/>
      <c r="AG47" s="920"/>
      <c r="AH47" s="920"/>
      <c r="AI47" s="921">
        <f>LOOKUP($AH$52,$AH53:$AI53,AH59:AI59)</f>
        <v>3.62</v>
      </c>
      <c r="AJ47" s="920"/>
      <c r="AK47" s="920"/>
      <c r="AL47" s="920"/>
      <c r="AM47" s="920"/>
      <c r="AN47" s="920"/>
      <c r="AO47" s="1017">
        <v>43</v>
      </c>
      <c r="AP47" s="1028">
        <v>1.65</v>
      </c>
      <c r="AQ47" s="1028">
        <v>1.4</v>
      </c>
      <c r="AR47" s="1028">
        <v>1.25</v>
      </c>
      <c r="AS47" s="1028">
        <v>1.1499999999999999</v>
      </c>
      <c r="AT47" s="920"/>
      <c r="AU47" s="1024">
        <v>2.4500000000000002</v>
      </c>
      <c r="AV47" s="1024">
        <v>2.0499999999999998</v>
      </c>
      <c r="AW47" s="1024">
        <v>1.85</v>
      </c>
      <c r="AX47" s="1024">
        <v>1.7</v>
      </c>
      <c r="AY47" s="1010"/>
      <c r="AZ47" s="1010"/>
      <c r="BA47" s="1010"/>
      <c r="BB47" s="1010"/>
      <c r="BC47" s="1010"/>
      <c r="BD47" s="1010"/>
      <c r="BE47" s="1010"/>
      <c r="BF47" s="1030"/>
    </row>
    <row r="48" spans="20:58" s="998" customFormat="1">
      <c r="T48" s="1013">
        <v>39</v>
      </c>
      <c r="U48" s="1022">
        <v>80.3</v>
      </c>
      <c r="V48" s="1022">
        <v>54.6</v>
      </c>
      <c r="W48" s="1022">
        <v>41.95</v>
      </c>
      <c r="X48" s="1022">
        <v>34.65</v>
      </c>
      <c r="Y48" s="920"/>
      <c r="Z48" s="920"/>
      <c r="AA48" s="920"/>
      <c r="AB48" s="920"/>
      <c r="AC48" s="920"/>
      <c r="AD48" s="920"/>
      <c r="AE48" s="920"/>
      <c r="AF48" s="920"/>
      <c r="AG48" s="920"/>
      <c r="AH48" s="920"/>
      <c r="AI48" s="921">
        <f>LOOKUP($AH$52,$AH53:$AI53,AH58:AI58)</f>
        <v>2.4300000000000002</v>
      </c>
      <c r="AJ48" s="920"/>
      <c r="AK48" s="920"/>
      <c r="AL48" s="920"/>
      <c r="AM48" s="920"/>
      <c r="AN48" s="920"/>
      <c r="AO48" s="1017">
        <v>44</v>
      </c>
      <c r="AP48" s="1028">
        <v>1.65</v>
      </c>
      <c r="AQ48" s="1028">
        <v>1.4</v>
      </c>
      <c r="AR48" s="1028">
        <v>1.25</v>
      </c>
      <c r="AS48" s="1028">
        <v>1.1499999999999999</v>
      </c>
      <c r="AT48" s="920"/>
      <c r="AU48" s="1024">
        <v>2.5</v>
      </c>
      <c r="AV48" s="1024">
        <v>2.1</v>
      </c>
      <c r="AW48" s="1024">
        <v>1.85</v>
      </c>
      <c r="AX48" s="1024">
        <v>1.7</v>
      </c>
      <c r="AY48" s="1010"/>
      <c r="AZ48" s="1010"/>
      <c r="BA48" s="1010"/>
      <c r="BB48" s="1010"/>
      <c r="BC48" s="1010"/>
      <c r="BD48" s="1010"/>
      <c r="BF48" s="1030"/>
    </row>
    <row r="49" spans="20:59" s="998" customFormat="1">
      <c r="T49" s="1013">
        <v>40</v>
      </c>
      <c r="U49" s="1022">
        <v>80.3</v>
      </c>
      <c r="V49" s="1022">
        <v>54.8</v>
      </c>
      <c r="W49" s="1022">
        <v>42.3</v>
      </c>
      <c r="X49" s="1022">
        <v>35.1</v>
      </c>
      <c r="Y49" s="920"/>
      <c r="Z49" s="920"/>
      <c r="AA49" s="920"/>
      <c r="AB49" s="920"/>
      <c r="AC49" s="920"/>
      <c r="AD49" s="920"/>
      <c r="AE49" s="920"/>
      <c r="AF49" s="920"/>
      <c r="AG49" s="920"/>
      <c r="AH49" s="920"/>
      <c r="AI49" s="921" t="e">
        <f>LOOKUP($AH$52,$AH53:$AI53,AH57:AI57)</f>
        <v>#N/A</v>
      </c>
      <c r="AJ49" s="920">
        <v>1</v>
      </c>
      <c r="AK49" s="920">
        <v>2</v>
      </c>
      <c r="AL49" s="920">
        <v>3</v>
      </c>
      <c r="AM49" s="920">
        <v>4</v>
      </c>
      <c r="AN49" s="920"/>
      <c r="AO49" s="1017">
        <v>45</v>
      </c>
      <c r="AP49" s="1028">
        <v>1.65</v>
      </c>
      <c r="AQ49" s="1028">
        <v>1.4</v>
      </c>
      <c r="AR49" s="1028">
        <v>1.25</v>
      </c>
      <c r="AS49" s="1028">
        <v>1.1499999999999999</v>
      </c>
      <c r="AT49" s="920"/>
      <c r="AU49" s="1024">
        <v>2.5</v>
      </c>
      <c r="AV49" s="1024">
        <v>2.1</v>
      </c>
      <c r="AW49" s="1024">
        <v>1.85</v>
      </c>
      <c r="AX49" s="1024">
        <v>1.75</v>
      </c>
      <c r="AY49" s="1010"/>
      <c r="AZ49" s="1010"/>
      <c r="BA49" s="1010"/>
      <c r="BB49" s="1010"/>
      <c r="BC49" s="1010"/>
      <c r="BD49" s="1010"/>
      <c r="BE49" s="1010"/>
      <c r="BF49" s="1030"/>
    </row>
    <row r="50" spans="20:59" s="998" customFormat="1">
      <c r="T50" s="1013">
        <v>41</v>
      </c>
      <c r="U50" s="1022">
        <v>80.3</v>
      </c>
      <c r="V50" s="1022">
        <v>55.05</v>
      </c>
      <c r="W50" s="1022">
        <v>42.65</v>
      </c>
      <c r="X50" s="1021">
        <v>0</v>
      </c>
      <c r="Y50" s="920"/>
      <c r="Z50" s="920"/>
      <c r="AA50" s="920"/>
      <c r="AB50" s="920"/>
      <c r="AC50" s="920"/>
      <c r="AD50" s="920"/>
      <c r="AE50" s="920"/>
      <c r="AF50" s="920"/>
      <c r="AG50" s="920"/>
      <c r="AH50" s="920"/>
      <c r="AI50" s="921" t="e">
        <f>LOOKUP($AH$52,$AH53:$AI53,AH56:AI56)</f>
        <v>#N/A</v>
      </c>
      <c r="AJ50" s="920">
        <f>IF(F$10&lt;=0,30,IF(F$10&gt;=4,30,IF(F$10&gt;=40,30,0)))</f>
        <v>0</v>
      </c>
      <c r="AK50" s="920">
        <f>IF(F$10&lt;=5,25,IF(F$10&gt;=9,25,IF(F$10&gt;=45,25)))</f>
        <v>25</v>
      </c>
      <c r="AL50" s="920">
        <f>IF(F$10&lt;=10,20,IF(F$10&gt;=14,20,IF(F$10&gt;=50,20)))</f>
        <v>20</v>
      </c>
      <c r="AM50" s="920">
        <v>15</v>
      </c>
      <c r="AN50" s="920"/>
      <c r="AO50" s="1017">
        <v>46</v>
      </c>
      <c r="AP50" s="1028">
        <v>1.7</v>
      </c>
      <c r="AQ50" s="1028">
        <v>1.4</v>
      </c>
      <c r="AR50" s="1028">
        <v>1.25</v>
      </c>
      <c r="AS50" s="1028">
        <v>1.1499999999999999</v>
      </c>
      <c r="AT50" s="920"/>
      <c r="AU50" s="1024">
        <v>2.5</v>
      </c>
      <c r="AV50" s="1024">
        <v>2.1</v>
      </c>
      <c r="AW50" s="1024">
        <v>1.9</v>
      </c>
      <c r="AX50" s="1024">
        <v>1.75</v>
      </c>
      <c r="AY50" s="1010"/>
      <c r="AZ50" s="1010"/>
      <c r="BA50" s="1010"/>
      <c r="BB50" s="1010"/>
      <c r="BC50" s="1010"/>
      <c r="BD50" s="1010"/>
      <c r="BF50" s="1030"/>
    </row>
    <row r="51" spans="20:59" s="998" customFormat="1" ht="3.75" customHeight="1">
      <c r="T51" s="1013">
        <v>42</v>
      </c>
      <c r="U51" s="1022">
        <v>80.3</v>
      </c>
      <c r="V51" s="1022">
        <v>55.3</v>
      </c>
      <c r="W51" s="1022">
        <v>43.05</v>
      </c>
      <c r="X51" s="1021">
        <v>0</v>
      </c>
      <c r="Y51" s="920"/>
      <c r="Z51" s="920"/>
      <c r="AA51" s="920"/>
      <c r="AB51" s="920"/>
      <c r="AC51" s="920"/>
      <c r="AD51" s="920"/>
      <c r="AE51" s="920"/>
      <c r="AF51" s="920"/>
      <c r="AG51" s="920"/>
      <c r="AH51" s="920"/>
      <c r="AI51" s="921" t="e">
        <f>LOOKUP($AH$52,$AH53:$AI53,AH55:AI55)</f>
        <v>#N/A</v>
      </c>
      <c r="AJ51" s="920"/>
      <c r="AK51" s="920">
        <f>IF(F$10&lt;=5,30,IF(F$10&gt;=9,30,IF(F$10&gt;=40,30)))</f>
        <v>30</v>
      </c>
      <c r="AL51" s="920">
        <f>IF(F$10&lt;=10,25,IF(F$10&gt;=14,25,IF(F$10&gt;=45,25)))</f>
        <v>25</v>
      </c>
      <c r="AM51" s="920">
        <v>20</v>
      </c>
      <c r="AN51" s="920"/>
      <c r="AO51" s="1017">
        <v>47</v>
      </c>
      <c r="AP51" s="1028">
        <v>1.7</v>
      </c>
      <c r="AQ51" s="1028">
        <v>1.4</v>
      </c>
      <c r="AR51" s="1028">
        <v>1.25</v>
      </c>
      <c r="AS51" s="1028">
        <v>1.1499999999999999</v>
      </c>
      <c r="AT51" s="920"/>
      <c r="AU51" s="1024">
        <v>2.5</v>
      </c>
      <c r="AV51" s="1024">
        <v>2.1</v>
      </c>
      <c r="AW51" s="1024">
        <v>1.9</v>
      </c>
      <c r="AX51" s="1024">
        <v>1.75</v>
      </c>
      <c r="AY51" s="1010"/>
      <c r="AZ51" s="1010"/>
      <c r="BA51" s="1010"/>
      <c r="BB51" s="1010"/>
      <c r="BC51" s="1010"/>
      <c r="BD51" s="1010"/>
      <c r="BE51" s="1010"/>
      <c r="BF51" s="1010"/>
    </row>
    <row r="52" spans="20:59" s="998" customFormat="1" hidden="1">
      <c r="T52" s="1013">
        <v>43</v>
      </c>
      <c r="U52" s="1022">
        <v>80.3</v>
      </c>
      <c r="V52" s="1022">
        <v>55.6</v>
      </c>
      <c r="W52" s="1022">
        <v>43.55</v>
      </c>
      <c r="X52" s="1021">
        <v>0</v>
      </c>
      <c r="Y52" s="920"/>
      <c r="Z52" s="920">
        <f>IF(F10&lt;18,IF(G12="YES",1,2),0)</f>
        <v>2</v>
      </c>
      <c r="AA52" s="920"/>
      <c r="AB52" s="920"/>
      <c r="AC52" s="920"/>
      <c r="AD52" s="920"/>
      <c r="AE52" s="920"/>
      <c r="AF52" s="920"/>
      <c r="AG52" s="920"/>
      <c r="AH52" s="920">
        <f>IF(F9="SRI.",1,IF(F9="MR.",1,IF(F9="SELVAN.",1,2)))</f>
        <v>1</v>
      </c>
      <c r="AI52" s="981" t="e">
        <f>LOOKUP($AH$52,$AH53:$AI53,AH54:AI54)</f>
        <v>#N/A</v>
      </c>
      <c r="AJ52" s="920"/>
      <c r="AK52" s="920"/>
      <c r="AL52" s="920">
        <f>IF(F$10&lt;=10,30,IF(F$10&gt;=14,30,IF(F$10&gt;=40,30)))</f>
        <v>30</v>
      </c>
      <c r="AM52" s="920">
        <v>25</v>
      </c>
      <c r="AN52" s="920"/>
      <c r="AO52" s="1017">
        <v>48</v>
      </c>
      <c r="AP52" s="1028">
        <v>1.7</v>
      </c>
      <c r="AQ52" s="1028">
        <v>1.4</v>
      </c>
      <c r="AR52" s="1028">
        <v>1.25</v>
      </c>
      <c r="AS52" s="1028">
        <v>1.2</v>
      </c>
      <c r="AT52" s="920"/>
      <c r="AU52" s="1024">
        <v>2.5499999999999998</v>
      </c>
      <c r="AV52" s="1024">
        <v>2.15</v>
      </c>
      <c r="AW52" s="1024">
        <v>1.9</v>
      </c>
      <c r="AX52" s="1024">
        <v>1.75</v>
      </c>
      <c r="AY52" s="1010"/>
      <c r="AZ52" s="1010"/>
      <c r="BA52" s="1010"/>
      <c r="BB52" s="1010"/>
      <c r="BC52" s="1010"/>
      <c r="BD52" s="1010"/>
      <c r="BF52" s="1030"/>
    </row>
    <row r="53" spans="20:59" s="998" customFormat="1" hidden="1">
      <c r="T53" s="1013">
        <v>44</v>
      </c>
      <c r="U53" s="1022">
        <v>80.3</v>
      </c>
      <c r="V53" s="1022">
        <v>55.95</v>
      </c>
      <c r="W53" s="1022">
        <v>44.05</v>
      </c>
      <c r="X53" s="1021">
        <v>0</v>
      </c>
      <c r="Y53" s="920"/>
      <c r="Z53" s="920">
        <f>IF(F10&lt;18,IF(G13="YES",1,2),0)</f>
        <v>2</v>
      </c>
      <c r="AA53" s="920"/>
      <c r="AB53" s="920"/>
      <c r="AC53" s="982">
        <f>IF(I11="ADDB RIDER",1,2)</f>
        <v>1</v>
      </c>
      <c r="AD53" s="981">
        <f>LOOKUP($AC$53,$AB54:$AB55,AD54:AD55)</f>
        <v>1.2</v>
      </c>
      <c r="AE53" s="981">
        <f>LOOKUP($AC$53,$AB54:$AB55,AE54:AE55)</f>
        <v>1.8</v>
      </c>
      <c r="AF53" s="920"/>
      <c r="AG53" s="920"/>
      <c r="AH53" s="920">
        <v>1</v>
      </c>
      <c r="AI53" s="920">
        <v>2</v>
      </c>
      <c r="AJ53" s="920"/>
      <c r="AK53" s="920"/>
      <c r="AL53" s="920"/>
      <c r="AM53" s="920">
        <v>30</v>
      </c>
      <c r="AN53" s="920"/>
      <c r="AO53" s="1017">
        <v>49</v>
      </c>
      <c r="AP53" s="1028">
        <v>1.7</v>
      </c>
      <c r="AQ53" s="1028">
        <v>1.45</v>
      </c>
      <c r="AR53" s="1028">
        <v>1.3</v>
      </c>
      <c r="AS53" s="1028">
        <v>1.2</v>
      </c>
      <c r="AT53" s="920"/>
      <c r="AU53" s="1024">
        <v>2.5499999999999998</v>
      </c>
      <c r="AV53" s="1024">
        <v>2.15</v>
      </c>
      <c r="AW53" s="1024">
        <v>1.9</v>
      </c>
      <c r="AX53" s="1024">
        <v>1.75</v>
      </c>
      <c r="AY53" s="1010"/>
      <c r="AZ53" s="1010"/>
      <c r="BA53" s="1010"/>
      <c r="BB53" s="1010"/>
      <c r="BC53" s="1010"/>
      <c r="BD53" s="1010"/>
      <c r="BE53" s="1010"/>
      <c r="BF53" s="1030"/>
    </row>
    <row r="54" spans="20:59" s="998" customFormat="1" hidden="1">
      <c r="T54" s="1013">
        <v>45</v>
      </c>
      <c r="U54" s="1022">
        <v>80.3</v>
      </c>
      <c r="V54" s="1022">
        <v>56.35</v>
      </c>
      <c r="W54" s="1022">
        <v>44.6</v>
      </c>
      <c r="X54" s="1021">
        <v>0</v>
      </c>
      <c r="Y54" s="920"/>
      <c r="Z54" s="920">
        <f>IF(F10&lt;18,IF(G14="YES",1,2),0)</f>
        <v>2</v>
      </c>
      <c r="AA54" s="920"/>
      <c r="AB54" s="920">
        <v>1</v>
      </c>
      <c r="AC54" s="920" t="s">
        <v>1992</v>
      </c>
      <c r="AD54" s="921">
        <f>AP6</f>
        <v>1.2</v>
      </c>
      <c r="AE54" s="921">
        <f>AU6</f>
        <v>1.8</v>
      </c>
      <c r="AF54" s="920"/>
      <c r="AG54" s="920"/>
      <c r="AH54" s="921" t="e">
        <f>AE7</f>
        <v>#N/A</v>
      </c>
      <c r="AI54" s="921" t="e">
        <f>AJ7</f>
        <v>#N/A</v>
      </c>
      <c r="AJ54" s="920"/>
      <c r="AK54" s="920"/>
      <c r="AL54" s="920"/>
      <c r="AM54" s="920"/>
      <c r="AN54" s="920"/>
      <c r="AO54" s="1017">
        <v>50</v>
      </c>
      <c r="AP54" s="1028">
        <v>1.7</v>
      </c>
      <c r="AQ54" s="1028">
        <v>1.45</v>
      </c>
      <c r="AR54" s="1028">
        <v>1.3</v>
      </c>
      <c r="AS54" s="1028">
        <v>1.2</v>
      </c>
      <c r="AT54" s="920"/>
      <c r="AU54" s="1024">
        <v>2.5499999999999998</v>
      </c>
      <c r="AV54" s="1024">
        <v>2.15</v>
      </c>
      <c r="AW54" s="1024">
        <v>1.9</v>
      </c>
      <c r="AX54" s="1024">
        <v>1.75</v>
      </c>
      <c r="AY54" s="1010"/>
      <c r="AZ54" s="1010"/>
      <c r="BA54" s="1010"/>
      <c r="BB54" s="1010"/>
      <c r="BC54" s="1010"/>
      <c r="BD54" s="1010"/>
      <c r="BF54" s="1030"/>
    </row>
    <row r="55" spans="20:59" s="998" customFormat="1" hidden="1">
      <c r="T55" s="1013">
        <v>46</v>
      </c>
      <c r="U55" s="1022">
        <v>80.3</v>
      </c>
      <c r="V55" s="1022">
        <v>56.8</v>
      </c>
      <c r="W55" s="1021">
        <v>0</v>
      </c>
      <c r="X55" s="1021">
        <v>0</v>
      </c>
      <c r="Y55" s="920"/>
      <c r="Z55" s="920"/>
      <c r="AA55" s="920"/>
      <c r="AB55" s="920">
        <v>2</v>
      </c>
      <c r="AC55" s="920" t="s">
        <v>1991</v>
      </c>
      <c r="AD55" s="921">
        <v>1</v>
      </c>
      <c r="AE55" s="921">
        <v>1.5</v>
      </c>
      <c r="AF55" s="920"/>
      <c r="AG55" s="920"/>
      <c r="AH55" s="921" t="e">
        <f>AE6</f>
        <v>#N/A</v>
      </c>
      <c r="AI55" s="921" t="e">
        <f>AJ6</f>
        <v>#N/A</v>
      </c>
      <c r="AJ55" s="920"/>
      <c r="AK55" s="920"/>
      <c r="AL55" s="920"/>
      <c r="AM55" s="920"/>
      <c r="AN55" s="920"/>
      <c r="AO55" s="1017">
        <v>51</v>
      </c>
      <c r="AP55" s="1028">
        <v>1.7</v>
      </c>
      <c r="AQ55" s="1028">
        <v>1.45</v>
      </c>
      <c r="AR55" s="1028">
        <v>1.3</v>
      </c>
      <c r="AS55" s="1028">
        <v>1.2</v>
      </c>
      <c r="AT55" s="920"/>
      <c r="AU55" s="1024">
        <v>2.5499999999999998</v>
      </c>
      <c r="AV55" s="1024">
        <v>2.15</v>
      </c>
      <c r="AW55" s="1024">
        <v>1.9</v>
      </c>
      <c r="AX55" s="1024">
        <v>1.75</v>
      </c>
      <c r="AY55" s="1010"/>
      <c r="AZ55" s="1010"/>
      <c r="BA55" s="1010"/>
      <c r="BB55" s="1010"/>
      <c r="BC55" s="1010"/>
      <c r="BD55" s="1010"/>
      <c r="BE55" s="1010"/>
      <c r="BF55" s="1030"/>
    </row>
    <row r="56" spans="20:59" s="998" customFormat="1" hidden="1">
      <c r="T56" s="1013">
        <v>47</v>
      </c>
      <c r="U56" s="1022">
        <v>80.3</v>
      </c>
      <c r="V56" s="1022">
        <v>57.25</v>
      </c>
      <c r="W56" s="1021">
        <v>0</v>
      </c>
      <c r="X56" s="1021">
        <v>0</v>
      </c>
      <c r="Y56" s="920"/>
      <c r="Z56" s="920"/>
      <c r="AA56" s="920"/>
      <c r="AB56" s="920"/>
      <c r="AC56" s="920"/>
      <c r="AD56" s="920"/>
      <c r="AE56" s="920"/>
      <c r="AF56" s="920"/>
      <c r="AG56" s="920"/>
      <c r="AH56" s="921" t="e">
        <f>AE5</f>
        <v>#N/A</v>
      </c>
      <c r="AI56" s="921" t="e">
        <f>AJ5</f>
        <v>#N/A</v>
      </c>
      <c r="AJ56" s="920"/>
      <c r="AK56" s="920"/>
      <c r="AL56" s="920"/>
      <c r="AM56" s="920"/>
      <c r="AN56" s="920"/>
      <c r="AO56" s="1017">
        <v>52</v>
      </c>
      <c r="AP56" s="1028">
        <v>1.7</v>
      </c>
      <c r="AQ56" s="1028">
        <v>1.45</v>
      </c>
      <c r="AR56" s="1028">
        <v>1.3</v>
      </c>
      <c r="AS56" s="1028">
        <v>1.2</v>
      </c>
      <c r="AT56" s="920"/>
      <c r="AU56" s="1024">
        <v>2.5499999999999998</v>
      </c>
      <c r="AV56" s="1024">
        <v>2.15</v>
      </c>
      <c r="AW56" s="1024">
        <v>1.95</v>
      </c>
      <c r="AX56" s="1024">
        <v>1.8</v>
      </c>
      <c r="AY56" s="1010"/>
      <c r="AZ56" s="1010"/>
      <c r="BA56" s="1010"/>
      <c r="BB56" s="1010"/>
      <c r="BC56" s="1010"/>
      <c r="BD56" s="1010"/>
      <c r="BF56" s="1030"/>
    </row>
    <row r="57" spans="20:59" s="998" customFormat="1" hidden="1">
      <c r="T57" s="1013">
        <v>48</v>
      </c>
      <c r="U57" s="1022">
        <v>80.3</v>
      </c>
      <c r="V57" s="1022">
        <v>57.75</v>
      </c>
      <c r="W57" s="1021">
        <v>0</v>
      </c>
      <c r="X57" s="1021">
        <v>0</v>
      </c>
      <c r="Y57" s="920"/>
      <c r="Z57" s="920"/>
      <c r="AA57" s="920"/>
      <c r="AB57" s="920"/>
      <c r="AC57" s="920"/>
      <c r="AD57" s="920"/>
      <c r="AE57" s="920"/>
      <c r="AF57" s="920"/>
      <c r="AG57" s="920"/>
      <c r="AH57" s="921" t="e">
        <f>AE4</f>
        <v>#N/A</v>
      </c>
      <c r="AI57" s="921" t="e">
        <f>AJ4</f>
        <v>#N/A</v>
      </c>
      <c r="AJ57" s="920"/>
      <c r="AK57" s="920"/>
      <c r="AL57" s="920"/>
      <c r="AM57" s="920"/>
      <c r="AN57" s="920"/>
      <c r="AO57" s="1010"/>
      <c r="AP57" s="1010"/>
      <c r="AQ57" s="1010"/>
      <c r="AR57" s="1010"/>
      <c r="AS57" s="1010"/>
      <c r="AT57" s="1010"/>
      <c r="AU57" s="1010"/>
      <c r="AV57" s="1010"/>
      <c r="AW57" s="1010"/>
      <c r="AX57" s="1010"/>
      <c r="AY57" s="1010"/>
      <c r="AZ57" s="1010"/>
      <c r="BA57" s="1010"/>
      <c r="BB57" s="1010"/>
      <c r="BC57" s="1010"/>
      <c r="BD57" s="1010"/>
      <c r="BE57" s="1010"/>
      <c r="BF57" s="1010"/>
    </row>
    <row r="58" spans="20:59" s="998" customFormat="1" hidden="1">
      <c r="T58" s="1013">
        <v>49</v>
      </c>
      <c r="U58" s="1022">
        <v>80.3</v>
      </c>
      <c r="V58" s="1022">
        <v>58.3</v>
      </c>
      <c r="W58" s="1021">
        <v>0</v>
      </c>
      <c r="X58" s="1021">
        <v>0</v>
      </c>
      <c r="Y58" s="920"/>
      <c r="Z58" s="920"/>
      <c r="AA58" s="920"/>
      <c r="AB58" s="920"/>
      <c r="AC58" s="920"/>
      <c r="AD58" s="920"/>
      <c r="AE58" s="920"/>
      <c r="AF58" s="920"/>
      <c r="AG58" s="920"/>
      <c r="AH58" s="921">
        <f>AE3</f>
        <v>2.4300000000000002</v>
      </c>
      <c r="AI58" s="921">
        <f>AJ3</f>
        <v>2.42</v>
      </c>
      <c r="AJ58" s="920"/>
      <c r="AK58" s="920"/>
      <c r="AL58" s="920"/>
      <c r="AM58" s="920"/>
      <c r="AN58" s="920"/>
      <c r="AO58" s="1010"/>
      <c r="AP58" s="1010"/>
      <c r="AQ58" s="1010"/>
      <c r="AR58" s="1010"/>
      <c r="AS58" s="1010"/>
      <c r="AT58" s="1010"/>
      <c r="AU58" s="1010"/>
      <c r="AV58" s="1010"/>
      <c r="AW58" s="1010"/>
      <c r="AX58" s="1010"/>
      <c r="AY58" s="1010"/>
      <c r="AZ58" s="1010"/>
      <c r="BA58" s="1010"/>
      <c r="BB58" s="1010"/>
      <c r="BC58" s="1010"/>
      <c r="BD58" s="1010"/>
      <c r="BF58" s="1030"/>
    </row>
    <row r="59" spans="20:59" s="998" customFormat="1" hidden="1">
      <c r="T59" s="1013">
        <v>50</v>
      </c>
      <c r="U59" s="1022">
        <v>80.3</v>
      </c>
      <c r="V59" s="1022">
        <v>58.9</v>
      </c>
      <c r="W59" s="1021">
        <v>0</v>
      </c>
      <c r="X59" s="1021">
        <v>0</v>
      </c>
      <c r="Y59" s="920"/>
      <c r="Z59" s="920"/>
      <c r="AA59" s="920"/>
      <c r="AB59" s="920"/>
      <c r="AC59" s="920"/>
      <c r="AD59" s="920"/>
      <c r="AE59" s="920"/>
      <c r="AF59" s="920"/>
      <c r="AG59" s="920"/>
      <c r="AH59" s="921">
        <f>AE2</f>
        <v>3.62</v>
      </c>
      <c r="AI59" s="921">
        <f>AJ2</f>
        <v>3.41</v>
      </c>
      <c r="AJ59" s="920"/>
      <c r="AK59" s="920"/>
      <c r="AL59" s="920"/>
      <c r="AM59" s="920"/>
      <c r="AN59" s="920"/>
      <c r="AO59" s="1010"/>
      <c r="AP59" s="1010"/>
      <c r="AQ59" s="1010"/>
      <c r="AR59" s="1010"/>
      <c r="AS59" s="1010"/>
      <c r="AT59" s="1010"/>
      <c r="AU59" s="1010"/>
      <c r="AV59" s="1010"/>
      <c r="AW59" s="1010"/>
      <c r="AX59" s="1010"/>
      <c r="AY59" s="1010"/>
      <c r="AZ59" s="1010"/>
      <c r="BA59" s="1010"/>
      <c r="BB59" s="1010"/>
      <c r="BC59" s="1010"/>
      <c r="BD59" s="1010"/>
      <c r="BE59" s="1010"/>
      <c r="BF59" s="1010"/>
    </row>
    <row r="60" spans="20:59" s="998" customFormat="1" hidden="1">
      <c r="T60" s="1013">
        <v>51</v>
      </c>
      <c r="U60" s="1022">
        <v>80.599999999999994</v>
      </c>
      <c r="V60" s="1021">
        <v>0</v>
      </c>
      <c r="W60" s="1021">
        <v>0</v>
      </c>
      <c r="X60" s="1021">
        <v>0</v>
      </c>
      <c r="Y60" s="920"/>
      <c r="Z60" s="920"/>
      <c r="AA60" s="920"/>
      <c r="AB60" s="920"/>
      <c r="AC60" s="920"/>
      <c r="AD60" s="920"/>
      <c r="AE60" s="920"/>
      <c r="AF60" s="920"/>
      <c r="AG60" s="920"/>
      <c r="AH60" s="920"/>
      <c r="AI60" s="920"/>
      <c r="AJ60" s="920"/>
      <c r="AK60" s="920"/>
      <c r="AL60" s="920"/>
      <c r="AM60" s="920"/>
      <c r="AN60" s="920"/>
      <c r="AO60" s="1010"/>
      <c r="AP60" s="1010"/>
      <c r="AQ60" s="1010"/>
      <c r="AR60" s="1010"/>
      <c r="AS60" s="1010"/>
      <c r="AT60" s="1010"/>
      <c r="AU60" s="1010"/>
      <c r="AV60" s="1010"/>
      <c r="AW60" s="1010"/>
      <c r="AX60" s="1010"/>
      <c r="AY60" s="1010"/>
      <c r="AZ60" s="1010"/>
      <c r="BA60" s="1010"/>
      <c r="BB60" s="1010"/>
      <c r="BC60" s="1010"/>
      <c r="BD60" s="1010"/>
      <c r="BF60" s="1030"/>
    </row>
    <row r="61" spans="20:59" s="998" customFormat="1" ht="12.75" hidden="1" customHeight="1">
      <c r="T61" s="1013">
        <v>52</v>
      </c>
      <c r="U61" s="1022">
        <v>81.05</v>
      </c>
      <c r="V61" s="1021">
        <v>0</v>
      </c>
      <c r="W61" s="1021">
        <v>0</v>
      </c>
      <c r="X61" s="1021">
        <v>0</v>
      </c>
      <c r="Y61" s="920"/>
      <c r="Z61" s="920"/>
      <c r="AA61" s="920"/>
      <c r="AB61" s="920"/>
      <c r="AC61" s="920"/>
      <c r="AD61" s="920"/>
      <c r="AE61" s="920"/>
      <c r="AF61" s="920"/>
      <c r="AG61" s="920"/>
      <c r="AH61" s="920"/>
      <c r="AI61" s="920"/>
      <c r="AJ61" s="920"/>
      <c r="AK61" s="920"/>
      <c r="AL61" s="920"/>
      <c r="AM61" s="920"/>
      <c r="AN61" s="920"/>
      <c r="AO61" s="1010"/>
      <c r="AP61" s="1010"/>
      <c r="AQ61" s="1010"/>
      <c r="AR61" s="1010"/>
      <c r="AS61" s="1010"/>
      <c r="AT61" s="1010"/>
      <c r="AU61" s="1010"/>
      <c r="AV61" s="1010"/>
      <c r="AW61" s="1010"/>
      <c r="AX61" s="1010"/>
      <c r="AY61" s="1010"/>
      <c r="AZ61" s="1010"/>
      <c r="BA61" s="1010"/>
      <c r="BB61" s="1010"/>
      <c r="BC61" s="1010"/>
      <c r="BD61" s="1010"/>
      <c r="BE61" s="1010"/>
      <c r="BF61" s="1030"/>
    </row>
    <row r="62" spans="20:59" s="998" customFormat="1" hidden="1">
      <c r="T62" s="1013">
        <v>53</v>
      </c>
      <c r="U62" s="1022">
        <v>81.5</v>
      </c>
      <c r="V62" s="1021">
        <v>0</v>
      </c>
      <c r="W62" s="1021">
        <v>0</v>
      </c>
      <c r="X62" s="1021">
        <v>0</v>
      </c>
      <c r="Y62" s="920"/>
      <c r="Z62" s="920"/>
      <c r="AA62" s="920"/>
      <c r="AB62" s="920"/>
      <c r="AC62" s="920"/>
      <c r="AD62" s="920"/>
      <c r="AE62" s="920"/>
      <c r="AF62" s="920"/>
      <c r="AG62" s="920"/>
      <c r="AH62" s="920"/>
      <c r="AI62" s="920"/>
      <c r="AJ62" s="920"/>
      <c r="AK62" s="920"/>
      <c r="AL62" s="920"/>
      <c r="AM62" s="920"/>
      <c r="AN62" s="920"/>
      <c r="AO62" s="1010"/>
      <c r="AP62" s="1010"/>
      <c r="AQ62" s="1010"/>
      <c r="AR62" s="1010"/>
      <c r="AS62" s="1010"/>
      <c r="AT62" s="1010"/>
      <c r="AU62" s="1010"/>
      <c r="AV62" s="1010"/>
      <c r="AW62" s="1010"/>
      <c r="AX62" s="1010"/>
      <c r="AY62" s="1010"/>
      <c r="AZ62" s="1010"/>
      <c r="BA62" s="1010"/>
      <c r="BB62" s="1010"/>
      <c r="BC62" s="1010"/>
      <c r="BD62" s="1010"/>
      <c r="BF62" s="1030"/>
    </row>
    <row r="63" spans="20:59" s="998" customFormat="1" hidden="1">
      <c r="T63" s="1013">
        <v>54</v>
      </c>
      <c r="U63" s="1022">
        <v>82</v>
      </c>
      <c r="V63" s="1021">
        <v>0</v>
      </c>
      <c r="W63" s="1021">
        <v>0</v>
      </c>
      <c r="X63" s="1021">
        <v>0</v>
      </c>
      <c r="Y63" s="920"/>
      <c r="Z63" s="920"/>
      <c r="AA63" s="920"/>
      <c r="AB63" s="920"/>
      <c r="AC63" s="1010"/>
      <c r="AD63" s="1010"/>
      <c r="AE63" s="1010"/>
      <c r="AF63" s="1010"/>
      <c r="AG63" s="1010"/>
      <c r="AH63" s="1010"/>
      <c r="AI63" s="1010"/>
      <c r="AJ63" s="1010"/>
      <c r="AK63" s="1010"/>
      <c r="AL63" s="1010"/>
      <c r="AM63" s="1010"/>
      <c r="AN63" s="1010"/>
      <c r="AO63" s="1010"/>
      <c r="AP63" s="1010"/>
      <c r="AQ63" s="1010"/>
      <c r="AR63" s="1010"/>
      <c r="AS63" s="1010"/>
      <c r="AT63" s="1010"/>
      <c r="AU63" s="1010"/>
      <c r="AV63" s="1010"/>
      <c r="AW63" s="1010"/>
      <c r="AX63" s="1010"/>
      <c r="AY63" s="1010"/>
      <c r="AZ63" s="1010"/>
      <c r="BA63" s="1010"/>
      <c r="BB63" s="1010"/>
      <c r="BC63" s="1010"/>
      <c r="BD63" s="1010"/>
      <c r="BE63" s="1010"/>
      <c r="BF63" s="1010"/>
    </row>
    <row r="64" spans="20:59" s="998" customFormat="1" hidden="1">
      <c r="T64" s="1013">
        <v>55</v>
      </c>
      <c r="U64" s="1022">
        <v>82.6</v>
      </c>
      <c r="V64" s="1021">
        <v>0</v>
      </c>
      <c r="W64" s="1021">
        <v>0</v>
      </c>
      <c r="X64" s="1021">
        <v>0</v>
      </c>
      <c r="Y64" s="920"/>
      <c r="Z64" s="920"/>
      <c r="AA64" s="920"/>
      <c r="AB64" s="920"/>
      <c r="AC64" s="1010"/>
      <c r="AD64" s="1010"/>
      <c r="AE64" s="1010"/>
      <c r="AF64" s="1010"/>
      <c r="AG64" s="1010"/>
      <c r="AH64" s="1010"/>
      <c r="AI64" s="1010"/>
      <c r="AJ64" s="1010"/>
      <c r="AK64" s="1010"/>
      <c r="AL64" s="1010"/>
      <c r="AM64" s="1010"/>
      <c r="AN64" s="1010"/>
      <c r="AO64" s="1010"/>
      <c r="AP64" s="1003" t="str">
        <f t="shared" ref="AP64:AP69" si="1">G$14</f>
        <v>NO</v>
      </c>
      <c r="AQ64" s="1003">
        <f>IF(AP64="YES",AI$51,0)</f>
        <v>0</v>
      </c>
      <c r="AR64" s="1004">
        <f t="shared" ref="AR64:AR69" si="2">IF(AP64="YES",$I$14,0)</f>
        <v>0</v>
      </c>
      <c r="AS64" s="956">
        <f>ROUND((($AQ64*(100-D$69)/100))*$AR64/1000,0)</f>
        <v>0</v>
      </c>
      <c r="AT64" s="956">
        <f>ROUND((($AQ64*(100-E$69)/100))*$AR64/2000,0)</f>
        <v>0</v>
      </c>
      <c r="AU64" s="956">
        <f>ROUND((($AQ64*(100-F$69)/100))*$AR64/4000,0)</f>
        <v>0</v>
      </c>
      <c r="AV64" s="956">
        <f>ROUND((($AQ64*(100-G$69)/100))*$AR64/12000,0)</f>
        <v>0</v>
      </c>
      <c r="AW64" s="1004">
        <f>AL$69+AS64</f>
        <v>6105</v>
      </c>
      <c r="AX64" s="1010"/>
      <c r="AY64" s="1010"/>
      <c r="AZ64" s="1010"/>
      <c r="BA64" s="1010"/>
      <c r="BB64" s="1010"/>
      <c r="BC64" s="1010"/>
      <c r="BD64" s="1010"/>
      <c r="BF64" s="1030"/>
      <c r="BG64" s="1005">
        <f>ROUND(($AW64*$BF$69)+$AW64,0)</f>
        <v>6242</v>
      </c>
    </row>
    <row r="65" spans="2:93" s="998" customFormat="1" hidden="1">
      <c r="T65" s="1010"/>
      <c r="U65" s="1010"/>
      <c r="V65" s="1010"/>
      <c r="W65" s="1010"/>
      <c r="X65" s="1010"/>
      <c r="Y65" s="1010"/>
      <c r="Z65" s="1010"/>
      <c r="AA65" s="1010">
        <f>ROUND((($C69*(100-D69)/100)-$Y69)*$J69/1000,0)</f>
        <v>6105</v>
      </c>
      <c r="AB65" s="1010"/>
      <c r="AC65" s="1010"/>
      <c r="AD65" s="1010"/>
      <c r="AE65" s="1010"/>
      <c r="AF65" s="1010"/>
      <c r="AG65" s="1010"/>
      <c r="AH65" s="1010"/>
      <c r="AI65" s="1010"/>
      <c r="AJ65" s="1010"/>
      <c r="AK65" s="1010"/>
      <c r="AL65" s="1010"/>
      <c r="AM65" s="1010"/>
      <c r="AN65" s="1010"/>
      <c r="AO65" s="1010"/>
      <c r="AP65" s="1003" t="str">
        <f t="shared" si="1"/>
        <v>NO</v>
      </c>
      <c r="AQ65" s="1003">
        <f>IF(AP65="YES",AI$50,0)</f>
        <v>0</v>
      </c>
      <c r="AR65" s="1004">
        <f t="shared" si="2"/>
        <v>0</v>
      </c>
      <c r="AS65" s="956">
        <f>ROUND((($AQ65*(100-D$69)/100))*$AR65/1000,0)</f>
        <v>0</v>
      </c>
      <c r="AT65" s="956">
        <f>ROUND((($AQ65*(100-E$69)/100))*$AR65/2000,0)</f>
        <v>0</v>
      </c>
      <c r="AU65" s="956">
        <f>ROUND((($AQ65*(100-F$69)/100))*$AR65/4000,0)</f>
        <v>0</v>
      </c>
      <c r="AV65" s="956">
        <f>ROUND((($AQ65*(100-G$69)/100))*$AR65/12000,0)</f>
        <v>0</v>
      </c>
      <c r="AW65" s="1004">
        <f>AL$69+AS65</f>
        <v>6105</v>
      </c>
      <c r="AX65" s="1010"/>
      <c r="AY65" s="1010"/>
      <c r="AZ65" s="1010"/>
      <c r="BA65" s="1010"/>
      <c r="BB65" s="1010"/>
      <c r="BC65" s="1010"/>
      <c r="BD65" s="1010"/>
      <c r="BE65" s="1010"/>
      <c r="BF65" s="1030"/>
      <c r="BG65" s="1005">
        <f>ROUND(($AW65*$BF$69)+$AW65,0)</f>
        <v>6242</v>
      </c>
    </row>
    <row r="66" spans="2:93" s="998" customFormat="1" hidden="1">
      <c r="T66" s="1010"/>
      <c r="U66" s="1010"/>
      <c r="V66" s="1010"/>
      <c r="W66" s="1010"/>
      <c r="X66" s="1010"/>
      <c r="Y66" s="1010"/>
      <c r="Z66" s="1010"/>
      <c r="AA66" s="1010"/>
      <c r="AB66" s="1010"/>
      <c r="AC66" s="1010"/>
      <c r="AD66" s="1010"/>
      <c r="AE66" s="1010"/>
      <c r="AF66" s="1010"/>
      <c r="AG66" s="1010"/>
      <c r="AH66" s="1010"/>
      <c r="AI66" s="1010"/>
      <c r="AJ66" s="1010"/>
      <c r="AK66" s="1010"/>
      <c r="AL66" s="1010"/>
      <c r="AM66" s="1010"/>
      <c r="AN66" s="1010"/>
      <c r="AO66" s="1010"/>
      <c r="AP66" s="1003" t="str">
        <f t="shared" si="1"/>
        <v>NO</v>
      </c>
      <c r="AQ66" s="1003">
        <f>IF(AP66="YES",AI$49,0)</f>
        <v>0</v>
      </c>
      <c r="AR66" s="1004">
        <f t="shared" si="2"/>
        <v>0</v>
      </c>
      <c r="AS66" s="956">
        <f>ROUND((($AQ66*(100-D$69)/100))*$AR66/1000,0)</f>
        <v>0</v>
      </c>
      <c r="AT66" s="956">
        <f>ROUND((($AQ66*(100-E$69)/100))*$AR66/2000,0)</f>
        <v>0</v>
      </c>
      <c r="AU66" s="956">
        <f>ROUND((($AQ66*(100-F$69)/100))*$AR66/4000,0)</f>
        <v>0</v>
      </c>
      <c r="AV66" s="956">
        <f>ROUND((($AQ66*(100-G$69)/100))*$AR66/12000,0)</f>
        <v>0</v>
      </c>
      <c r="AW66" s="1004">
        <f>AL$69+AS66</f>
        <v>6105</v>
      </c>
      <c r="AX66" s="1010"/>
      <c r="AY66" s="1010"/>
      <c r="AZ66" s="1010"/>
      <c r="BA66" s="1010"/>
      <c r="BB66" s="1010"/>
      <c r="BC66" s="1010"/>
      <c r="BD66" s="1010"/>
      <c r="BF66" s="1030"/>
      <c r="BG66" s="1005">
        <f>ROUND(($AW66*$BF$69)+$AW66,0)</f>
        <v>6242</v>
      </c>
    </row>
    <row r="67" spans="2:93" s="998" customFormat="1" hidden="1">
      <c r="T67" s="1010"/>
      <c r="U67" s="1010"/>
      <c r="V67" s="1010"/>
      <c r="W67" s="1010"/>
      <c r="X67" s="1010"/>
      <c r="Y67" s="1010"/>
      <c r="Z67" s="1010"/>
      <c r="AA67" s="1010"/>
      <c r="AB67" s="1010"/>
      <c r="AC67" s="1010"/>
      <c r="AD67" s="1010"/>
      <c r="AE67" s="1010"/>
      <c r="AF67" s="1010"/>
      <c r="AG67" s="1010"/>
      <c r="AH67" s="1010"/>
      <c r="AI67" s="1010"/>
      <c r="AJ67" s="1010"/>
      <c r="AK67" s="1010"/>
      <c r="AL67" s="1010"/>
      <c r="AM67" s="1010"/>
      <c r="AN67" s="1010"/>
      <c r="AO67" s="1010"/>
      <c r="AP67" s="1003" t="str">
        <f t="shared" si="1"/>
        <v>NO</v>
      </c>
      <c r="AQ67" s="1003">
        <f>IF(AP67="YES",AI$48,0)</f>
        <v>0</v>
      </c>
      <c r="AR67" s="1004">
        <f t="shared" si="2"/>
        <v>0</v>
      </c>
      <c r="AS67" s="956">
        <f>ROUND((($AQ67*(100-D$69)/100))*$AR67/1000,0)</f>
        <v>0</v>
      </c>
      <c r="AT67" s="956">
        <f>ROUND((($AQ67*(100-E$69)/100))*$AR67/2000,0)</f>
        <v>0</v>
      </c>
      <c r="AU67" s="956">
        <f>ROUND((($AQ67*(100-F$69)/100))*$AR67/4000,0)</f>
        <v>0</v>
      </c>
      <c r="AV67" s="956">
        <f>ROUND((($AQ67*(100-G$69)/100))*$AR67/12000,0)</f>
        <v>0</v>
      </c>
      <c r="AW67" s="1004">
        <f>AL$69+AS67</f>
        <v>6105</v>
      </c>
      <c r="AX67" s="1010"/>
      <c r="AY67" s="1010"/>
      <c r="AZ67" s="1010"/>
      <c r="BA67" s="1010"/>
      <c r="BB67" s="1010"/>
      <c r="BC67" s="1010"/>
      <c r="BD67" s="1010"/>
      <c r="BG67" s="1005">
        <f>ROUND(($AW67*$BF$69)+$AW67,0)</f>
        <v>6242</v>
      </c>
    </row>
    <row r="68" spans="2:93" s="998" customFormat="1" hidden="1">
      <c r="T68" s="1010"/>
      <c r="U68" s="1010"/>
      <c r="V68" s="1010"/>
      <c r="W68" s="1010"/>
      <c r="X68" s="1010"/>
      <c r="Y68" s="1010"/>
      <c r="Z68" s="1010"/>
      <c r="AA68" s="1010"/>
      <c r="AB68" s="1010"/>
      <c r="AC68" s="1010"/>
      <c r="AD68" s="1010"/>
      <c r="AE68" s="1010"/>
      <c r="AF68" s="1010"/>
      <c r="AG68" s="1010"/>
      <c r="AH68" s="1010"/>
      <c r="AI68" s="1010"/>
      <c r="AJ68" s="1010"/>
      <c r="AK68" s="1010"/>
      <c r="AL68" s="1010"/>
      <c r="AM68" s="1010"/>
      <c r="AN68" s="1010"/>
      <c r="AO68" s="1010"/>
      <c r="AP68" s="1003" t="str">
        <f t="shared" si="1"/>
        <v>NO</v>
      </c>
      <c r="AQ68" s="1003">
        <f>IF(AP68="YES",AI$47,0)</f>
        <v>0</v>
      </c>
      <c r="AR68" s="1004">
        <f t="shared" si="2"/>
        <v>0</v>
      </c>
      <c r="AS68" s="956">
        <f>ROUND((($AQ68*(100-D$69)/100))*$AR68/1000,0)</f>
        <v>0</v>
      </c>
      <c r="AT68" s="956">
        <f>ROUND((($AQ68*(100-E$69)/100))*$AR68/2000,0)</f>
        <v>0</v>
      </c>
      <c r="AU68" s="956">
        <f>ROUND((($AQ68*(100-F$69)/100))*$AR68/4000,0)</f>
        <v>0</v>
      </c>
      <c r="AV68" s="956">
        <f>ROUND((($AQ68*(100-G$69)/100))*$AR68/12000,0)</f>
        <v>0</v>
      </c>
      <c r="AW68" s="1004">
        <f>AL$69+AS68</f>
        <v>6105</v>
      </c>
      <c r="AX68" s="1010"/>
      <c r="AY68" s="1010"/>
      <c r="BG68" s="1005">
        <f>ROUND(($AW68*$BF$69)+$AW68,0)</f>
        <v>6242</v>
      </c>
    </row>
    <row r="69" spans="2:93" s="998" customFormat="1" ht="14.25" hidden="1" customHeight="1">
      <c r="B69" s="956"/>
      <c r="C69" s="957">
        <f>LOOKUP(F11,U8:X8,U7:X7)</f>
        <v>31.15</v>
      </c>
      <c r="D69" s="954">
        <v>2</v>
      </c>
      <c r="E69" s="954">
        <v>1</v>
      </c>
      <c r="F69" s="954">
        <v>0</v>
      </c>
      <c r="G69" s="954">
        <v>0</v>
      </c>
      <c r="H69" s="954" t="s">
        <v>902</v>
      </c>
      <c r="I69" s="954" t="s">
        <v>902</v>
      </c>
      <c r="J69" s="1006">
        <f>IF(I10&lt;200000,0,I10)</f>
        <v>200000</v>
      </c>
      <c r="K69" s="1006">
        <f>K15</f>
        <v>99</v>
      </c>
      <c r="L69" s="1004">
        <f>F11</f>
        <v>30</v>
      </c>
      <c r="M69" s="1006">
        <f>F10</f>
        <v>1</v>
      </c>
      <c r="N69" s="954">
        <v>1</v>
      </c>
      <c r="O69" s="954">
        <v>25000</v>
      </c>
      <c r="P69" s="954" t="str">
        <f>IF(M69&lt;18,"NO",$G$12)</f>
        <v>NO</v>
      </c>
      <c r="Q69" s="954" t="str">
        <f>$K$12</f>
        <v>NO</v>
      </c>
      <c r="R69" s="1007">
        <f>IF(N69=1,IF(P69="YES",IF(Q69="YES",AE53,AD53),0),0)</f>
        <v>0</v>
      </c>
      <c r="S69" s="954">
        <v>500000</v>
      </c>
      <c r="T69" s="954">
        <v>1000000</v>
      </c>
      <c r="U69" s="954">
        <v>2500000</v>
      </c>
      <c r="V69" s="954">
        <v>1.25</v>
      </c>
      <c r="W69" s="954">
        <v>1.75</v>
      </c>
      <c r="X69" s="954">
        <v>2.25</v>
      </c>
      <c r="Y69" s="955">
        <f>IF(J69&gt;=S69,IF(J69&gt;=T69,IF(J69&gt;=U69,X69,W69),V69),0)</f>
        <v>0</v>
      </c>
      <c r="Z69" s="958"/>
      <c r="AA69" s="956">
        <f>ROUND((($C69*(100-D69)/100)-$Y69)*$J69/1000+$J69*$R69/1000,0)</f>
        <v>6105</v>
      </c>
      <c r="AB69" s="956">
        <f>ROUND((($C69*(100-E69)/100)-$Y69)*$J69/2000+$J69*$R69/2000,0)</f>
        <v>3084</v>
      </c>
      <c r="AC69" s="956">
        <f>ROUND((($C69*(100-F69)/100)-$Y69)*$J69/4000+$J69*$R69/4000,0)</f>
        <v>1558</v>
      </c>
      <c r="AD69" s="956">
        <f>ROUND((($C69*(100-G69)/100)-$Y69)*$J69/12000+$J69*$R69/12000,0)</f>
        <v>519</v>
      </c>
      <c r="AE69" s="956" t="str">
        <f>$G$13</f>
        <v>NO</v>
      </c>
      <c r="AF69" s="957">
        <f>IF(AE69="YES",AA$6,0)</f>
        <v>0</v>
      </c>
      <c r="AG69" s="1004">
        <f>IF(AE69="YES",$I$13,0)</f>
        <v>0</v>
      </c>
      <c r="AH69" s="956">
        <f>ROUND((($AF69*(100-D69)/100))*$AG69/1000,0)</f>
        <v>0</v>
      </c>
      <c r="AI69" s="956">
        <f>ROUND((($AF69*(100-E69)/100))*$AG69/2000,0)</f>
        <v>0</v>
      </c>
      <c r="AJ69" s="956">
        <f>ROUND((($AF69*(100-F69)/100))*$AG69/4000,0)</f>
        <v>0</v>
      </c>
      <c r="AK69" s="956">
        <f>ROUND((($AF69*(100-G69)/100))*$AG69/12000,0)</f>
        <v>0</v>
      </c>
      <c r="AL69" s="954">
        <f>AA69+AH69</f>
        <v>6105</v>
      </c>
      <c r="AM69" s="954">
        <f>AB69+AI69</f>
        <v>3084</v>
      </c>
      <c r="AN69" s="954">
        <f>AC69+AJ69</f>
        <v>1558</v>
      </c>
      <c r="AO69" s="954">
        <f>AD69+AK69</f>
        <v>519</v>
      </c>
      <c r="AP69" s="1003" t="str">
        <f t="shared" si="1"/>
        <v>NO</v>
      </c>
      <c r="AQ69" s="1003">
        <f>IF(AP69="YES",AI$52,0)</f>
        <v>0</v>
      </c>
      <c r="AR69" s="1004">
        <f t="shared" si="2"/>
        <v>0</v>
      </c>
      <c r="AS69" s="956">
        <f>ROUND((($AQ69*(100-D69)/100))*$AR69/1000,0)</f>
        <v>0</v>
      </c>
      <c r="AT69" s="956">
        <f>ROUND((($AQ69*(100-E69)/100))*$AR69/2000,0)</f>
        <v>0</v>
      </c>
      <c r="AU69" s="956">
        <f>ROUND((($AQ69*(100-F69)/100))*$AR69/4000,0)</f>
        <v>0</v>
      </c>
      <c r="AV69" s="956">
        <f>ROUND((($AQ69*(100-G69)/100))*$AR69/12000,0)</f>
        <v>0</v>
      </c>
      <c r="AW69" s="1004">
        <f>AL69+AS69</f>
        <v>6105</v>
      </c>
      <c r="AX69" s="1004">
        <f>AM69+AT69</f>
        <v>3084</v>
      </c>
      <c r="AY69" s="1004">
        <f>AN69+AU69</f>
        <v>1558</v>
      </c>
      <c r="AZ69" s="1004">
        <f>AO69+AV69</f>
        <v>519</v>
      </c>
      <c r="BA69" s="1008">
        <f>$G$15</f>
        <v>4.4999999999999998E-2</v>
      </c>
      <c r="BB69" s="1009">
        <f>ROUND(($AW69*$BA69)+$AW69,0)</f>
        <v>6380</v>
      </c>
      <c r="BC69" s="1009">
        <f>ROUND(($AX69*$BA69)+$AX69,0)</f>
        <v>3223</v>
      </c>
      <c r="BD69" s="1009">
        <f>ROUND(($AY69*$BA69)+$AY69,0)</f>
        <v>1628</v>
      </c>
      <c r="BE69" s="1009">
        <f>ROUND(($AZ69*$BA69)+$AZ69,0)</f>
        <v>542</v>
      </c>
      <c r="BF69" s="1008">
        <f>BA69/2</f>
        <v>2.2499999999999999E-2</v>
      </c>
      <c r="BG69" s="1005">
        <f>ROUND(($AW69*$BF69)+$AW69,0)</f>
        <v>6242</v>
      </c>
      <c r="BH69" s="1">
        <f>ROUND(BB69/365,0)</f>
        <v>17</v>
      </c>
      <c r="BI69" s="1"/>
    </row>
    <row r="70" spans="2:93" s="998" customFormat="1" hidden="1">
      <c r="T70" s="1010"/>
      <c r="U70" s="1010"/>
      <c r="V70" s="1010"/>
      <c r="W70" s="1010"/>
      <c r="X70" s="1010"/>
      <c r="Y70" s="1010"/>
      <c r="Z70" s="1010"/>
      <c r="AA70" s="1010"/>
      <c r="AB70" s="1010"/>
      <c r="AC70" s="1010"/>
      <c r="AD70" s="1010"/>
      <c r="AE70" s="1010"/>
      <c r="AF70" s="1010"/>
      <c r="AG70" s="1010"/>
      <c r="AH70" s="1010"/>
      <c r="AI70" s="1010"/>
      <c r="AJ70" s="1010"/>
      <c r="AK70" s="1010"/>
      <c r="AL70" s="1010"/>
      <c r="AM70" s="1010"/>
      <c r="AN70" s="1010"/>
      <c r="AO70" s="1010"/>
      <c r="AP70" s="1010"/>
      <c r="AQ70" s="1010"/>
      <c r="AR70" s="1010"/>
      <c r="AS70" s="1010"/>
      <c r="AT70" s="1010"/>
      <c r="AU70" s="1010"/>
      <c r="AV70" s="1010"/>
      <c r="AW70" s="1010"/>
      <c r="AX70" s="1010"/>
      <c r="AY70" s="1010"/>
      <c r="CI70" s="998">
        <f>F10</f>
        <v>1</v>
      </c>
      <c r="CJ70" s="998">
        <v>101</v>
      </c>
    </row>
    <row r="71" spans="2:93" s="998" customFormat="1" hidden="1">
      <c r="T71" s="1010"/>
      <c r="U71" s="1010"/>
      <c r="V71" s="1010"/>
      <c r="W71" s="1010"/>
      <c r="X71" s="1010"/>
      <c r="Y71" s="1010"/>
      <c r="Z71" s="1010"/>
      <c r="AA71" s="1010"/>
      <c r="AB71" s="1010"/>
      <c r="AC71" s="1010"/>
      <c r="AD71" s="1010"/>
      <c r="AE71" s="1010"/>
      <c r="AF71" s="1010"/>
      <c r="AG71" s="1010"/>
      <c r="AH71" s="1010"/>
      <c r="AI71" s="1010"/>
      <c r="AJ71" s="1010"/>
      <c r="AK71" s="1010"/>
      <c r="AL71" s="1010"/>
      <c r="AM71" s="1010"/>
      <c r="AN71" s="1010"/>
      <c r="AO71" s="1010"/>
      <c r="AP71" s="1010"/>
      <c r="AQ71" s="1010"/>
      <c r="AR71" s="1010"/>
      <c r="AS71" s="1010"/>
      <c r="AT71" s="1010"/>
      <c r="AU71" s="1010"/>
      <c r="AV71" s="1010"/>
      <c r="AW71" s="1010"/>
      <c r="AX71" s="1010"/>
      <c r="AY71" s="1010"/>
    </row>
    <row r="72" spans="2:93" s="998" customFormat="1" hidden="1">
      <c r="B72" s="1031"/>
      <c r="C72" s="1032">
        <v>45</v>
      </c>
      <c r="D72" s="1032">
        <v>46</v>
      </c>
      <c r="E72" s="1032">
        <v>47</v>
      </c>
      <c r="F72" s="1032">
        <v>48</v>
      </c>
      <c r="G72" s="1032">
        <v>49</v>
      </c>
      <c r="H72" s="1032">
        <v>50</v>
      </c>
      <c r="I72" s="1032">
        <v>51</v>
      </c>
      <c r="J72" s="1032">
        <v>52</v>
      </c>
      <c r="K72" s="1032">
        <v>53</v>
      </c>
      <c r="L72" s="1032">
        <v>54</v>
      </c>
      <c r="M72" s="1032">
        <v>55</v>
      </c>
      <c r="N72" s="1032">
        <v>56</v>
      </c>
      <c r="O72" s="1032">
        <v>57</v>
      </c>
      <c r="P72" s="1032">
        <v>58</v>
      </c>
      <c r="Q72" s="1032">
        <v>59</v>
      </c>
      <c r="R72" s="1032">
        <v>60</v>
      </c>
      <c r="S72" s="1032">
        <v>61</v>
      </c>
      <c r="T72" s="1032">
        <v>62</v>
      </c>
      <c r="U72" s="1032">
        <v>63</v>
      </c>
      <c r="V72" s="1032">
        <v>64</v>
      </c>
      <c r="W72" s="1032">
        <v>65</v>
      </c>
      <c r="X72" s="1032">
        <v>66</v>
      </c>
      <c r="Y72" s="1032">
        <v>67</v>
      </c>
      <c r="Z72" s="1032">
        <v>68</v>
      </c>
      <c r="AA72" s="1032">
        <v>69</v>
      </c>
      <c r="AB72" s="1032">
        <v>70</v>
      </c>
      <c r="AC72" s="1032">
        <v>71</v>
      </c>
      <c r="AD72" s="1032">
        <v>72</v>
      </c>
      <c r="AE72" s="1032">
        <v>73</v>
      </c>
      <c r="AF72" s="1032">
        <v>74</v>
      </c>
      <c r="AG72" s="1032">
        <v>75</v>
      </c>
      <c r="AH72" s="1032">
        <v>76</v>
      </c>
      <c r="AI72" s="1032">
        <v>77</v>
      </c>
      <c r="AJ72" s="1032">
        <v>78</v>
      </c>
      <c r="AK72" s="1032">
        <v>79</v>
      </c>
      <c r="AL72" s="1032">
        <v>80</v>
      </c>
      <c r="AM72" s="1032">
        <v>81</v>
      </c>
      <c r="AN72" s="1032">
        <v>82</v>
      </c>
      <c r="AO72" s="1032">
        <v>83</v>
      </c>
      <c r="AP72" s="1032">
        <v>84</v>
      </c>
      <c r="AQ72" s="1032">
        <v>85</v>
      </c>
      <c r="AR72" s="1032">
        <v>86</v>
      </c>
      <c r="AS72" s="1032">
        <v>87</v>
      </c>
      <c r="AT72" s="1032">
        <v>88</v>
      </c>
      <c r="AU72" s="1032">
        <v>89</v>
      </c>
      <c r="AV72" s="1032">
        <v>90</v>
      </c>
      <c r="AW72" s="1032">
        <v>91</v>
      </c>
      <c r="AX72" s="1032">
        <v>92</v>
      </c>
      <c r="AY72" s="1032">
        <v>93</v>
      </c>
      <c r="AZ72" s="1032">
        <v>94</v>
      </c>
      <c r="BA72" s="1032">
        <v>95</v>
      </c>
      <c r="BB72" s="1032">
        <v>96</v>
      </c>
      <c r="BC72" s="1032">
        <v>97</v>
      </c>
      <c r="BD72" s="1032">
        <v>98</v>
      </c>
      <c r="BE72" s="1032">
        <v>99</v>
      </c>
      <c r="BF72" s="1032">
        <v>100</v>
      </c>
      <c r="BN72" s="1"/>
      <c r="BO72" s="1"/>
      <c r="BP72" s="1"/>
      <c r="BQ72" s="1"/>
      <c r="BR72" s="1"/>
      <c r="BS72" s="1"/>
      <c r="BT72" s="1"/>
      <c r="BU72" s="1"/>
      <c r="BV72" s="1"/>
      <c r="BW72" s="1"/>
      <c r="BX72" s="1"/>
      <c r="BY72" s="1"/>
      <c r="BZ72" s="1"/>
      <c r="CA72" s="954"/>
      <c r="CB72" s="1"/>
      <c r="CC72" s="1"/>
      <c r="CD72" s="1"/>
      <c r="CE72" s="1">
        <f>IF(G12="YES",I10,0)</f>
        <v>0</v>
      </c>
      <c r="CF72" s="1"/>
      <c r="CG72" s="1"/>
      <c r="CH72" s="954"/>
      <c r="CI72" s="954"/>
      <c r="CJ72" s="954"/>
      <c r="CK72" s="954"/>
      <c r="CL72" s="954"/>
      <c r="CM72" s="954"/>
      <c r="CN72" s="971">
        <f>LOOKUP($CJ$70,$CI$73:$CI$173,CN73:CN173)</f>
        <v>2290000</v>
      </c>
      <c r="CO72" s="1"/>
    </row>
    <row r="73" spans="2:93" s="998" customFormat="1" hidden="1">
      <c r="B73" s="1032">
        <v>1</v>
      </c>
      <c r="C73" s="1033">
        <v>0</v>
      </c>
      <c r="D73" s="1033">
        <v>0</v>
      </c>
      <c r="E73" s="1033">
        <v>0</v>
      </c>
      <c r="F73" s="1033">
        <v>0</v>
      </c>
      <c r="G73" s="1033">
        <v>0</v>
      </c>
      <c r="H73" s="1033">
        <v>0</v>
      </c>
      <c r="I73" s="1033">
        <v>0</v>
      </c>
      <c r="J73" s="1033">
        <v>0</v>
      </c>
      <c r="K73" s="1033">
        <v>0</v>
      </c>
      <c r="L73" s="1033">
        <v>0</v>
      </c>
      <c r="M73" s="1033">
        <v>0</v>
      </c>
      <c r="N73" s="1033">
        <v>0</v>
      </c>
      <c r="O73" s="1033">
        <v>0</v>
      </c>
      <c r="P73" s="1033">
        <v>0</v>
      </c>
      <c r="Q73" s="1033">
        <v>0</v>
      </c>
      <c r="R73" s="1033">
        <v>0</v>
      </c>
      <c r="S73" s="1033">
        <v>0</v>
      </c>
      <c r="T73" s="1033">
        <v>0</v>
      </c>
      <c r="U73" s="1033">
        <v>0</v>
      </c>
      <c r="V73" s="1033">
        <v>0</v>
      </c>
      <c r="W73" s="1033">
        <v>0</v>
      </c>
      <c r="X73" s="1033">
        <v>0</v>
      </c>
      <c r="Y73" s="1033">
        <v>0</v>
      </c>
      <c r="Z73" s="1033">
        <v>0</v>
      </c>
      <c r="AA73" s="1033">
        <v>0</v>
      </c>
      <c r="AB73" s="1033">
        <v>0</v>
      </c>
      <c r="AC73" s="1033">
        <v>0</v>
      </c>
      <c r="AD73" s="1033">
        <v>0</v>
      </c>
      <c r="AE73" s="1033">
        <v>0</v>
      </c>
      <c r="AF73" s="1033">
        <v>0</v>
      </c>
      <c r="AG73" s="1033">
        <v>0</v>
      </c>
      <c r="AH73" s="1033">
        <v>0</v>
      </c>
      <c r="AI73" s="1033">
        <v>0</v>
      </c>
      <c r="AJ73" s="1033">
        <v>0</v>
      </c>
      <c r="AK73" s="1033">
        <v>0</v>
      </c>
      <c r="AL73" s="1033">
        <v>0</v>
      </c>
      <c r="AM73" s="1033">
        <v>0</v>
      </c>
      <c r="AN73" s="1033">
        <v>0</v>
      </c>
      <c r="AO73" s="1033">
        <v>0</v>
      </c>
      <c r="AP73" s="1033">
        <v>0</v>
      </c>
      <c r="AQ73" s="1033">
        <v>0</v>
      </c>
      <c r="AR73" s="1033">
        <v>0</v>
      </c>
      <c r="AS73" s="1033">
        <v>0</v>
      </c>
      <c r="AT73" s="1033">
        <v>0</v>
      </c>
      <c r="AU73" s="1033">
        <v>0</v>
      </c>
      <c r="AV73" s="1033">
        <v>0</v>
      </c>
      <c r="AW73" s="1033">
        <v>0</v>
      </c>
      <c r="AX73" s="1033">
        <v>0</v>
      </c>
      <c r="AY73" s="1033">
        <v>0</v>
      </c>
      <c r="AZ73" s="1033">
        <v>0</v>
      </c>
      <c r="BA73" s="1033">
        <v>0</v>
      </c>
      <c r="BB73" s="1033">
        <v>0</v>
      </c>
      <c r="BC73" s="1033">
        <v>0</v>
      </c>
      <c r="BD73" s="1033">
        <v>0</v>
      </c>
      <c r="BE73" s="1033">
        <v>0</v>
      </c>
      <c r="BF73" s="1033">
        <v>0</v>
      </c>
      <c r="BH73" s="970">
        <f t="shared" ref="BH73:BH104" si="3">LOOKUP($K$15,$C$72:$BF$72,C73:BF73)</f>
        <v>0</v>
      </c>
      <c r="BI73" s="970"/>
      <c r="BL73" s="998">
        <f>BB69</f>
        <v>6380</v>
      </c>
      <c r="BN73" s="1">
        <v>1</v>
      </c>
      <c r="BO73" s="1"/>
      <c r="BP73" s="1"/>
      <c r="BQ73" s="980"/>
      <c r="BR73" s="1"/>
      <c r="BS73" s="1"/>
      <c r="BT73" s="1"/>
      <c r="BU73" s="1"/>
      <c r="BV73" s="1"/>
      <c r="BW73" s="1"/>
      <c r="BX73" s="1"/>
      <c r="BY73" s="1"/>
      <c r="BZ73" s="1"/>
      <c r="CA73" s="954"/>
      <c r="CB73" s="1"/>
      <c r="CC73" s="1"/>
      <c r="CD73" s="1"/>
      <c r="CE73" s="1">
        <f>IF(($CE$72&gt;10000000),10000000,$CE$72)</f>
        <v>0</v>
      </c>
      <c r="CF73" s="980">
        <f>LOOKUP($C$54,$I74:$I107,CF74:CF107)</f>
        <v>0</v>
      </c>
      <c r="CG73" s="1">
        <f>($BE$7)*($I$10/1000)</f>
        <v>9800</v>
      </c>
      <c r="CH73" s="972">
        <f>CG73+CC74</f>
        <v>209800</v>
      </c>
      <c r="CI73" s="972">
        <f>CI70+1</f>
        <v>2</v>
      </c>
      <c r="CJ73" s="972">
        <f t="shared" ref="CJ73:CJ104" si="4">IF(CI73&lt;71,CE$73,0)</f>
        <v>0</v>
      </c>
      <c r="CK73" s="972">
        <f t="shared" ref="CK73:CK104" si="5">IF(BN73&lt;=F$11,CE$73,0)</f>
        <v>0</v>
      </c>
      <c r="CL73" s="972">
        <f t="shared" ref="CL73:CL104" si="6">IF(AC$53=2,CK73,CJ73)</f>
        <v>0</v>
      </c>
      <c r="CM73" s="972"/>
      <c r="CN73" s="954">
        <f t="shared" ref="CN73:CN104" si="7">IF($G$13="YES",$I$13+CH73,CH73)</f>
        <v>209800</v>
      </c>
      <c r="CO73" s="1">
        <f t="shared" ref="CO73:CO104" si="8">IF(AND(($F$10&gt;=18),($G$12="YES")),CL73+CN73,CN73)</f>
        <v>209800</v>
      </c>
    </row>
    <row r="74" spans="2:93" s="998" customFormat="1" hidden="1">
      <c r="B74" s="1032">
        <v>2</v>
      </c>
      <c r="C74" s="1033">
        <v>0</v>
      </c>
      <c r="D74" s="1033">
        <v>0</v>
      </c>
      <c r="E74" s="1033">
        <v>0</v>
      </c>
      <c r="F74" s="1033">
        <v>0</v>
      </c>
      <c r="G74" s="1033">
        <v>0</v>
      </c>
      <c r="H74" s="1033">
        <v>0</v>
      </c>
      <c r="I74" s="1033">
        <v>0</v>
      </c>
      <c r="J74" s="1033">
        <v>0</v>
      </c>
      <c r="K74" s="1033">
        <v>0</v>
      </c>
      <c r="L74" s="1033">
        <v>0</v>
      </c>
      <c r="M74" s="1033">
        <v>0</v>
      </c>
      <c r="N74" s="1033">
        <v>0</v>
      </c>
      <c r="O74" s="1033">
        <v>0</v>
      </c>
      <c r="P74" s="1033">
        <v>0</v>
      </c>
      <c r="Q74" s="1033">
        <v>0</v>
      </c>
      <c r="R74" s="1033">
        <v>0</v>
      </c>
      <c r="S74" s="1033">
        <v>0</v>
      </c>
      <c r="T74" s="1033">
        <v>0</v>
      </c>
      <c r="U74" s="1033">
        <v>0</v>
      </c>
      <c r="V74" s="1033">
        <v>0</v>
      </c>
      <c r="W74" s="1033">
        <v>0</v>
      </c>
      <c r="X74" s="1033">
        <v>0</v>
      </c>
      <c r="Y74" s="1033">
        <v>0</v>
      </c>
      <c r="Z74" s="1033">
        <v>0</v>
      </c>
      <c r="AA74" s="1033">
        <v>0</v>
      </c>
      <c r="AB74" s="1033">
        <v>0</v>
      </c>
      <c r="AC74" s="1033">
        <v>0</v>
      </c>
      <c r="AD74" s="1033">
        <v>0</v>
      </c>
      <c r="AE74" s="1033">
        <v>0</v>
      </c>
      <c r="AF74" s="1033">
        <v>0</v>
      </c>
      <c r="AG74" s="1033">
        <v>0</v>
      </c>
      <c r="AH74" s="1033">
        <v>0</v>
      </c>
      <c r="AI74" s="1033">
        <v>0</v>
      </c>
      <c r="AJ74" s="1033">
        <v>0</v>
      </c>
      <c r="AK74" s="1033">
        <v>0</v>
      </c>
      <c r="AL74" s="1033">
        <v>0</v>
      </c>
      <c r="AM74" s="1033">
        <v>0</v>
      </c>
      <c r="AN74" s="1033">
        <v>0</v>
      </c>
      <c r="AO74" s="1033">
        <v>0</v>
      </c>
      <c r="AP74" s="1033">
        <v>0</v>
      </c>
      <c r="AQ74" s="1033">
        <v>0</v>
      </c>
      <c r="AR74" s="1033">
        <v>0</v>
      </c>
      <c r="AS74" s="1033">
        <v>0</v>
      </c>
      <c r="AT74" s="1033">
        <v>0</v>
      </c>
      <c r="AU74" s="1033">
        <v>0</v>
      </c>
      <c r="AV74" s="1033">
        <v>0</v>
      </c>
      <c r="AW74" s="1033">
        <v>0</v>
      </c>
      <c r="AX74" s="1033">
        <v>0</v>
      </c>
      <c r="AY74" s="1033">
        <v>0</v>
      </c>
      <c r="AZ74" s="1033">
        <v>0</v>
      </c>
      <c r="BA74" s="1033">
        <v>0</v>
      </c>
      <c r="BB74" s="1033">
        <v>0</v>
      </c>
      <c r="BC74" s="1033">
        <v>0</v>
      </c>
      <c r="BD74" s="1033">
        <v>0</v>
      </c>
      <c r="BE74" s="1033">
        <v>0</v>
      </c>
      <c r="BF74" s="1033">
        <v>0</v>
      </c>
      <c r="BH74" s="970">
        <f t="shared" si="3"/>
        <v>0</v>
      </c>
      <c r="BI74" s="970"/>
      <c r="BJ74" s="1034"/>
      <c r="BK74" s="998">
        <f>I10*8/100</f>
        <v>16000</v>
      </c>
      <c r="BL74" s="998">
        <f>IF(BN74&lt;=F$11,BG$69,0)</f>
        <v>6242</v>
      </c>
      <c r="BM74" s="978">
        <v>2</v>
      </c>
      <c r="BN74" s="978">
        <v>2</v>
      </c>
      <c r="BO74" s="955" t="str">
        <f t="shared" ref="BO74:BO102" si="9">BE10</f>
        <v>13.63%</v>
      </c>
      <c r="BP74" s="974">
        <f t="shared" ref="BP74:BP102" si="10">$I$10*BN74/$F$11</f>
        <v>13333.333333333334</v>
      </c>
      <c r="BQ74" s="1">
        <f t="shared" ref="BQ74:BQ102" si="11">(BN74*$BE$7)*($I$10/1000)</f>
        <v>19600</v>
      </c>
      <c r="BR74" s="973">
        <f t="shared" ref="BR74:BR102" si="12">BP74+BQ74</f>
        <v>32933.333333333336</v>
      </c>
      <c r="BS74" s="977">
        <f t="shared" ref="BS74:BS102" si="13">ROUND((BR74*BO74),0)</f>
        <v>4489</v>
      </c>
      <c r="BT74" s="976">
        <f t="shared" ref="BT74:BT105" si="14">BH178</f>
        <v>0</v>
      </c>
      <c r="BU74" s="1">
        <f t="shared" ref="BU74:BU102" si="15">ROUND(($AA$65*BM74)*BT74,0)</f>
        <v>0</v>
      </c>
      <c r="BV74" s="975">
        <f t="shared" ref="BV74:BV105" si="16">BH74</f>
        <v>0</v>
      </c>
      <c r="BW74" s="1">
        <f t="shared" ref="BW74:BW105" si="17">ROUND(BQ74*BV74,0)</f>
        <v>0</v>
      </c>
      <c r="BX74" s="973">
        <f t="shared" ref="BX74:BX105" si="18">BU74+BW74</f>
        <v>0</v>
      </c>
      <c r="BY74" s="973">
        <f t="shared" ref="BY74:BY105" si="19">IF(BX74&gt;BS74,BX74,BS74)</f>
        <v>4489</v>
      </c>
      <c r="BZ74" s="973">
        <f t="shared" ref="BZ74:BZ105" si="20">ROUND((BY74*(90/100)),-2)</f>
        <v>4000</v>
      </c>
      <c r="CA74" s="972">
        <f t="shared" ref="CA74:CA102" si="21">$AA$65*BM74</f>
        <v>12210</v>
      </c>
      <c r="CB74" s="972">
        <f t="shared" ref="CB74:CB102" si="22">CA74*105/100</f>
        <v>12820.5</v>
      </c>
      <c r="CC74" s="974">
        <f t="shared" ref="CC74:CC105" si="23">$I$10</f>
        <v>200000</v>
      </c>
      <c r="CD74" s="977">
        <f t="shared" ref="CD74:CD102" si="24">IF((CC74&gt;$CE$74),CC74,$CE$74)</f>
        <v>200000</v>
      </c>
      <c r="CE74" s="1">
        <f>AA65*10</f>
        <v>61050</v>
      </c>
      <c r="CF74" s="979">
        <v>0</v>
      </c>
      <c r="CG74" s="973">
        <f>CC74+BQ74+CF74</f>
        <v>219600</v>
      </c>
      <c r="CH74" s="972">
        <f t="shared" ref="CH74:CH105" si="25">IF((CB74&gt;CG74),CB74,CG74)</f>
        <v>219600</v>
      </c>
      <c r="CI74" s="972">
        <f t="shared" ref="CI74:CI105" si="26">CI$70+BN74</f>
        <v>3</v>
      </c>
      <c r="CJ74" s="972">
        <f t="shared" si="4"/>
        <v>0</v>
      </c>
      <c r="CK74" s="972">
        <f t="shared" si="5"/>
        <v>0</v>
      </c>
      <c r="CL74" s="972">
        <f t="shared" si="6"/>
        <v>0</v>
      </c>
      <c r="CM74" s="972"/>
      <c r="CN74" s="954">
        <f t="shared" si="7"/>
        <v>219600</v>
      </c>
      <c r="CO74" s="1">
        <f t="shared" si="8"/>
        <v>219600</v>
      </c>
    </row>
    <row r="75" spans="2:93" s="998" customFormat="1" hidden="1">
      <c r="B75" s="1032">
        <v>3</v>
      </c>
      <c r="C75" s="1033">
        <v>0.20710000000000001</v>
      </c>
      <c r="D75" s="1033">
        <v>0.20369999999999999</v>
      </c>
      <c r="E75" s="1033">
        <v>0.20030000000000001</v>
      </c>
      <c r="F75" s="1033">
        <v>0.19689999999999999</v>
      </c>
      <c r="G75" s="1033">
        <v>0.19350000000000001</v>
      </c>
      <c r="H75" s="1033">
        <v>0.19009999999999999</v>
      </c>
      <c r="I75" s="1033">
        <v>0.1867</v>
      </c>
      <c r="J75" s="1033">
        <v>0.18329999999999999</v>
      </c>
      <c r="K75" s="1033">
        <v>0.1799</v>
      </c>
      <c r="L75" s="1033">
        <v>0.17649999999999999</v>
      </c>
      <c r="M75" s="1033">
        <v>0.1731</v>
      </c>
      <c r="N75" s="1033">
        <v>0.16969999999999999</v>
      </c>
      <c r="O75" s="1033">
        <v>0.1663</v>
      </c>
      <c r="P75" s="1033">
        <v>0.16289999999999999</v>
      </c>
      <c r="Q75" s="1033">
        <v>0.1595</v>
      </c>
      <c r="R75" s="1033">
        <v>0.15609999999999999</v>
      </c>
      <c r="S75" s="1033">
        <v>0.1527</v>
      </c>
      <c r="T75" s="1033">
        <v>0.14929999999999999</v>
      </c>
      <c r="U75" s="1033">
        <v>0.1459</v>
      </c>
      <c r="V75" s="1033">
        <v>0.14249999999999999</v>
      </c>
      <c r="W75" s="1033">
        <v>0.1391</v>
      </c>
      <c r="X75" s="1033">
        <v>0.13569999999999999</v>
      </c>
      <c r="Y75" s="1033">
        <v>0.1323</v>
      </c>
      <c r="Z75" s="1033">
        <v>0.12889999999999999</v>
      </c>
      <c r="AA75" s="1033">
        <v>0.1255</v>
      </c>
      <c r="AB75" s="1033">
        <v>0.1221</v>
      </c>
      <c r="AC75" s="1035">
        <v>0.1187</v>
      </c>
      <c r="AD75" s="1035">
        <v>0.1153</v>
      </c>
      <c r="AE75" s="1035">
        <v>0.1119</v>
      </c>
      <c r="AF75" s="1035">
        <v>0.1085</v>
      </c>
      <c r="AG75" s="1035">
        <v>0.1051</v>
      </c>
      <c r="AH75" s="1035">
        <v>0.1016</v>
      </c>
      <c r="AI75" s="1035">
        <v>9.8199999999999996E-2</v>
      </c>
      <c r="AJ75" s="1035">
        <v>9.4799999999999995E-2</v>
      </c>
      <c r="AK75" s="1035">
        <v>9.1399999999999995E-2</v>
      </c>
      <c r="AL75" s="1035">
        <v>8.7999999999999995E-2</v>
      </c>
      <c r="AM75" s="1035">
        <v>8.4599999999999995E-2</v>
      </c>
      <c r="AN75" s="1035">
        <v>8.1199999999999994E-2</v>
      </c>
      <c r="AO75" s="1035">
        <v>7.7799999999999994E-2</v>
      </c>
      <c r="AP75" s="1035">
        <v>7.4399999999999994E-2</v>
      </c>
      <c r="AQ75" s="1035">
        <v>7.0999999999999994E-2</v>
      </c>
      <c r="AR75" s="1035">
        <v>6.7599999999999993E-2</v>
      </c>
      <c r="AS75" s="1035">
        <v>6.4199999999999993E-2</v>
      </c>
      <c r="AT75" s="1035">
        <v>6.08E-2</v>
      </c>
      <c r="AU75" s="1035">
        <v>5.74E-2</v>
      </c>
      <c r="AV75" s="1035">
        <v>5.3999999999999999E-2</v>
      </c>
      <c r="AW75" s="1035">
        <v>5.0599999999999999E-2</v>
      </c>
      <c r="AX75" s="1035">
        <v>4.7199999999999999E-2</v>
      </c>
      <c r="AY75" s="1035">
        <v>4.3799999999999999E-2</v>
      </c>
      <c r="AZ75" s="1035">
        <v>4.0399999999999998E-2</v>
      </c>
      <c r="BA75" s="1035">
        <v>3.6999999999999998E-2</v>
      </c>
      <c r="BB75" s="1035">
        <v>3.3599999999999998E-2</v>
      </c>
      <c r="BC75" s="1035">
        <v>3.0200000000000001E-2</v>
      </c>
      <c r="BD75" s="1035">
        <v>2.6800000000000001E-2</v>
      </c>
      <c r="BE75" s="1035">
        <v>2.3400000000000001E-2</v>
      </c>
      <c r="BF75" s="1035">
        <v>0.02</v>
      </c>
      <c r="BH75" s="970">
        <f t="shared" si="3"/>
        <v>2.3400000000000001E-2</v>
      </c>
      <c r="BI75" s="1034">
        <f t="shared" ref="BI75:BJ87" si="27">BY75</f>
        <v>7222</v>
      </c>
      <c r="BJ75" s="1034">
        <f t="shared" si="27"/>
        <v>6500</v>
      </c>
      <c r="BL75" s="998">
        <f t="shared" ref="BL75:BL102" si="28">IF(BN75&lt;=F$11,BG$69,0)</f>
        <v>6242</v>
      </c>
      <c r="BM75" s="978">
        <v>3</v>
      </c>
      <c r="BN75" s="978">
        <v>3</v>
      </c>
      <c r="BO75" s="955" t="str">
        <f t="shared" si="9"/>
        <v>14.62%</v>
      </c>
      <c r="BP75" s="974">
        <f t="shared" si="10"/>
        <v>20000</v>
      </c>
      <c r="BQ75" s="1">
        <f t="shared" si="11"/>
        <v>29400</v>
      </c>
      <c r="BR75" s="973">
        <f t="shared" si="12"/>
        <v>49400</v>
      </c>
      <c r="BS75" s="977">
        <f t="shared" si="13"/>
        <v>7222</v>
      </c>
      <c r="BT75" s="976">
        <f t="shared" si="14"/>
        <v>0.3</v>
      </c>
      <c r="BU75" s="1">
        <f t="shared" si="15"/>
        <v>5495</v>
      </c>
      <c r="BV75" s="975">
        <f t="shared" si="16"/>
        <v>2.3400000000000001E-2</v>
      </c>
      <c r="BW75" s="1">
        <f t="shared" si="17"/>
        <v>688</v>
      </c>
      <c r="BX75" s="973">
        <f t="shared" si="18"/>
        <v>6183</v>
      </c>
      <c r="BY75" s="973">
        <f t="shared" si="19"/>
        <v>7222</v>
      </c>
      <c r="BZ75" s="973">
        <f t="shared" si="20"/>
        <v>6500</v>
      </c>
      <c r="CA75" s="972">
        <f t="shared" si="21"/>
        <v>18315</v>
      </c>
      <c r="CB75" s="972">
        <f t="shared" si="22"/>
        <v>19230.75</v>
      </c>
      <c r="CC75" s="974">
        <f t="shared" si="23"/>
        <v>200000</v>
      </c>
      <c r="CD75" s="977">
        <f t="shared" si="24"/>
        <v>200000</v>
      </c>
      <c r="CE75" s="1">
        <f t="shared" ref="CE75:CE106" si="29">IF(BN75&lt;=F$11,BQ75,BN75*69*($I$10/1000))</f>
        <v>29400</v>
      </c>
      <c r="CF75" s="979">
        <v>0</v>
      </c>
      <c r="CG75" s="973">
        <f t="shared" ref="CG75:CG106" si="30">CC75+CE75+CF75</f>
        <v>229400</v>
      </c>
      <c r="CH75" s="972">
        <f t="shared" si="25"/>
        <v>229400</v>
      </c>
      <c r="CI75" s="972">
        <f t="shared" si="26"/>
        <v>4</v>
      </c>
      <c r="CJ75" s="972">
        <f t="shared" si="4"/>
        <v>0</v>
      </c>
      <c r="CK75" s="972">
        <f t="shared" si="5"/>
        <v>0</v>
      </c>
      <c r="CL75" s="972">
        <f t="shared" si="6"/>
        <v>0</v>
      </c>
      <c r="CM75" s="972"/>
      <c r="CN75" s="954">
        <f t="shared" si="7"/>
        <v>229400</v>
      </c>
      <c r="CO75" s="1">
        <f t="shared" si="8"/>
        <v>229400</v>
      </c>
    </row>
    <row r="76" spans="2:93" s="998" customFormat="1" hidden="1">
      <c r="B76" s="1032">
        <v>4</v>
      </c>
      <c r="C76" s="1033">
        <v>0.21049999999999999</v>
      </c>
      <c r="D76" s="1033">
        <v>0.20710000000000001</v>
      </c>
      <c r="E76" s="1033">
        <v>0.20369999999999999</v>
      </c>
      <c r="F76" s="1033">
        <v>0.20030000000000001</v>
      </c>
      <c r="G76" s="1033">
        <v>0.19689999999999999</v>
      </c>
      <c r="H76" s="1033">
        <v>0.19350000000000001</v>
      </c>
      <c r="I76" s="1033">
        <v>0.19009999999999999</v>
      </c>
      <c r="J76" s="1033">
        <v>0.1867</v>
      </c>
      <c r="K76" s="1033">
        <v>0.18329999999999999</v>
      </c>
      <c r="L76" s="1033">
        <v>0.1799</v>
      </c>
      <c r="M76" s="1033">
        <v>0.17649999999999999</v>
      </c>
      <c r="N76" s="1033">
        <v>0.1731</v>
      </c>
      <c r="O76" s="1033">
        <v>0.16969999999999999</v>
      </c>
      <c r="P76" s="1033">
        <v>0.1663</v>
      </c>
      <c r="Q76" s="1033">
        <v>0.16289999999999999</v>
      </c>
      <c r="R76" s="1033">
        <v>0.1595</v>
      </c>
      <c r="S76" s="1033">
        <v>0.15609999999999999</v>
      </c>
      <c r="T76" s="1033">
        <v>0.1527</v>
      </c>
      <c r="U76" s="1033">
        <v>0.14929999999999999</v>
      </c>
      <c r="V76" s="1033">
        <v>0.1459</v>
      </c>
      <c r="W76" s="1033">
        <v>0.14249999999999999</v>
      </c>
      <c r="X76" s="1033">
        <v>0.1391</v>
      </c>
      <c r="Y76" s="1033">
        <v>0.13569999999999999</v>
      </c>
      <c r="Z76" s="1033">
        <v>0.1323</v>
      </c>
      <c r="AA76" s="1033">
        <v>0.12889999999999999</v>
      </c>
      <c r="AB76" s="1033">
        <v>0.1255</v>
      </c>
      <c r="AC76" s="1033">
        <v>0.1221</v>
      </c>
      <c r="AD76" s="1035">
        <v>0.1187</v>
      </c>
      <c r="AE76" s="1035">
        <v>0.1153</v>
      </c>
      <c r="AF76" s="1035">
        <v>0.1119</v>
      </c>
      <c r="AG76" s="1035">
        <v>0.1085</v>
      </c>
      <c r="AH76" s="1035">
        <v>0.1051</v>
      </c>
      <c r="AI76" s="1035">
        <v>0.1016</v>
      </c>
      <c r="AJ76" s="1035">
        <v>9.8199999999999996E-2</v>
      </c>
      <c r="AK76" s="1035">
        <v>9.4799999999999995E-2</v>
      </c>
      <c r="AL76" s="1035">
        <v>9.1399999999999995E-2</v>
      </c>
      <c r="AM76" s="1035">
        <v>8.7999999999999995E-2</v>
      </c>
      <c r="AN76" s="1035">
        <v>8.4599999999999995E-2</v>
      </c>
      <c r="AO76" s="1035">
        <v>8.1199999999999994E-2</v>
      </c>
      <c r="AP76" s="1035">
        <v>7.7799999999999994E-2</v>
      </c>
      <c r="AQ76" s="1035">
        <v>7.4399999999999994E-2</v>
      </c>
      <c r="AR76" s="1035">
        <v>7.0999999999999994E-2</v>
      </c>
      <c r="AS76" s="1035">
        <v>6.7599999999999993E-2</v>
      </c>
      <c r="AT76" s="1035">
        <v>6.4199999999999993E-2</v>
      </c>
      <c r="AU76" s="1035">
        <v>6.08E-2</v>
      </c>
      <c r="AV76" s="1035">
        <v>5.74E-2</v>
      </c>
      <c r="AW76" s="1035">
        <v>5.3999999999999999E-2</v>
      </c>
      <c r="AX76" s="1035">
        <v>5.0599999999999999E-2</v>
      </c>
      <c r="AY76" s="1035">
        <v>4.7199999999999999E-2</v>
      </c>
      <c r="AZ76" s="1035">
        <v>4.3799999999999999E-2</v>
      </c>
      <c r="BA76" s="1035">
        <v>4.0399999999999998E-2</v>
      </c>
      <c r="BB76" s="1035">
        <v>3.6999999999999998E-2</v>
      </c>
      <c r="BC76" s="1035">
        <v>3.3599999999999998E-2</v>
      </c>
      <c r="BD76" s="1035">
        <v>3.0200000000000001E-2</v>
      </c>
      <c r="BE76" s="1035">
        <v>2.6800000000000001E-2</v>
      </c>
      <c r="BF76" s="1035">
        <v>2.3400000000000001E-2</v>
      </c>
      <c r="BH76" s="970">
        <f t="shared" si="3"/>
        <v>2.6800000000000001E-2</v>
      </c>
      <c r="BI76" s="1034">
        <f t="shared" si="27"/>
        <v>13261</v>
      </c>
      <c r="BJ76" s="1034">
        <f t="shared" si="27"/>
        <v>11900</v>
      </c>
      <c r="BL76" s="998">
        <f t="shared" si="28"/>
        <v>6242</v>
      </c>
      <c r="BM76" s="978">
        <v>4</v>
      </c>
      <c r="BN76" s="978">
        <v>4</v>
      </c>
      <c r="BO76" s="955" t="str">
        <f t="shared" si="9"/>
        <v>15.68%</v>
      </c>
      <c r="BP76" s="974">
        <f t="shared" si="10"/>
        <v>26666.666666666668</v>
      </c>
      <c r="BQ76" s="1">
        <f t="shared" si="11"/>
        <v>39200</v>
      </c>
      <c r="BR76" s="973">
        <f t="shared" si="12"/>
        <v>65866.666666666672</v>
      </c>
      <c r="BS76" s="977">
        <f t="shared" si="13"/>
        <v>10328</v>
      </c>
      <c r="BT76" s="976">
        <f t="shared" si="14"/>
        <v>0.5</v>
      </c>
      <c r="BU76" s="1">
        <f t="shared" si="15"/>
        <v>12210</v>
      </c>
      <c r="BV76" s="975">
        <f t="shared" si="16"/>
        <v>2.6800000000000001E-2</v>
      </c>
      <c r="BW76" s="1">
        <f t="shared" si="17"/>
        <v>1051</v>
      </c>
      <c r="BX76" s="973">
        <f t="shared" si="18"/>
        <v>13261</v>
      </c>
      <c r="BY76" s="973">
        <f t="shared" si="19"/>
        <v>13261</v>
      </c>
      <c r="BZ76" s="973">
        <f t="shared" si="20"/>
        <v>11900</v>
      </c>
      <c r="CA76" s="972">
        <f t="shared" si="21"/>
        <v>24420</v>
      </c>
      <c r="CB76" s="972">
        <f t="shared" si="22"/>
        <v>25641</v>
      </c>
      <c r="CC76" s="974">
        <f t="shared" si="23"/>
        <v>200000</v>
      </c>
      <c r="CD76" s="977">
        <f t="shared" si="24"/>
        <v>200000</v>
      </c>
      <c r="CE76" s="1">
        <f t="shared" si="29"/>
        <v>39200</v>
      </c>
      <c r="CF76" s="979">
        <v>0</v>
      </c>
      <c r="CG76" s="973">
        <f t="shared" si="30"/>
        <v>239200</v>
      </c>
      <c r="CH76" s="972">
        <f t="shared" si="25"/>
        <v>239200</v>
      </c>
      <c r="CI76" s="972">
        <f t="shared" si="26"/>
        <v>5</v>
      </c>
      <c r="CJ76" s="972">
        <f t="shared" si="4"/>
        <v>0</v>
      </c>
      <c r="CK76" s="972">
        <f t="shared" si="5"/>
        <v>0</v>
      </c>
      <c r="CL76" s="972">
        <f t="shared" si="6"/>
        <v>0</v>
      </c>
      <c r="CM76" s="972"/>
      <c r="CN76" s="954">
        <f t="shared" si="7"/>
        <v>239200</v>
      </c>
      <c r="CO76" s="1">
        <f t="shared" si="8"/>
        <v>239200</v>
      </c>
    </row>
    <row r="77" spans="2:93" s="998" customFormat="1" hidden="1">
      <c r="B77" s="1032">
        <v>5</v>
      </c>
      <c r="C77" s="1033">
        <v>0.21390000000000001</v>
      </c>
      <c r="D77" s="1033">
        <v>0.21049999999999999</v>
      </c>
      <c r="E77" s="1033">
        <v>0.20710000000000001</v>
      </c>
      <c r="F77" s="1033">
        <v>0.20369999999999999</v>
      </c>
      <c r="G77" s="1033">
        <v>0.20030000000000001</v>
      </c>
      <c r="H77" s="1033">
        <v>0.19689999999999999</v>
      </c>
      <c r="I77" s="1033">
        <v>0.19350000000000001</v>
      </c>
      <c r="J77" s="1033">
        <v>0.19009999999999999</v>
      </c>
      <c r="K77" s="1033">
        <v>0.1867</v>
      </c>
      <c r="L77" s="1033">
        <v>0.18329999999999999</v>
      </c>
      <c r="M77" s="1033">
        <v>0.1799</v>
      </c>
      <c r="N77" s="1033">
        <v>0.17649999999999999</v>
      </c>
      <c r="O77" s="1033">
        <v>0.1731</v>
      </c>
      <c r="P77" s="1033">
        <v>0.16969999999999999</v>
      </c>
      <c r="Q77" s="1033">
        <v>0.1663</v>
      </c>
      <c r="R77" s="1033">
        <v>0.16289999999999999</v>
      </c>
      <c r="S77" s="1033">
        <v>0.1595</v>
      </c>
      <c r="T77" s="1033">
        <v>0.15609999999999999</v>
      </c>
      <c r="U77" s="1033">
        <v>0.1527</v>
      </c>
      <c r="V77" s="1033">
        <v>0.14929999999999999</v>
      </c>
      <c r="W77" s="1033">
        <v>0.1459</v>
      </c>
      <c r="X77" s="1033">
        <v>0.14249999999999999</v>
      </c>
      <c r="Y77" s="1033">
        <v>0.1391</v>
      </c>
      <c r="Z77" s="1033">
        <v>0.13569999999999999</v>
      </c>
      <c r="AA77" s="1033">
        <v>0.1323</v>
      </c>
      <c r="AB77" s="1033">
        <v>0.12889999999999999</v>
      </c>
      <c r="AC77" s="1033">
        <v>0.1255</v>
      </c>
      <c r="AD77" s="1033">
        <v>0.1221</v>
      </c>
      <c r="AE77" s="1035">
        <v>0.1187</v>
      </c>
      <c r="AF77" s="1035">
        <v>0.1153</v>
      </c>
      <c r="AG77" s="1035">
        <v>0.1119</v>
      </c>
      <c r="AH77" s="1035">
        <v>0.1085</v>
      </c>
      <c r="AI77" s="1035">
        <v>0.1051</v>
      </c>
      <c r="AJ77" s="1035">
        <v>0.1016</v>
      </c>
      <c r="AK77" s="1035">
        <v>9.8199999999999996E-2</v>
      </c>
      <c r="AL77" s="1035">
        <v>9.4799999999999995E-2</v>
      </c>
      <c r="AM77" s="1035">
        <v>9.1399999999999995E-2</v>
      </c>
      <c r="AN77" s="1035">
        <v>8.7999999999999995E-2</v>
      </c>
      <c r="AO77" s="1035">
        <v>8.4599999999999995E-2</v>
      </c>
      <c r="AP77" s="1035">
        <v>8.1199999999999994E-2</v>
      </c>
      <c r="AQ77" s="1035">
        <v>7.7799999999999994E-2</v>
      </c>
      <c r="AR77" s="1035">
        <v>7.4399999999999994E-2</v>
      </c>
      <c r="AS77" s="1035">
        <v>7.0999999999999994E-2</v>
      </c>
      <c r="AT77" s="1035">
        <v>6.7599999999999993E-2</v>
      </c>
      <c r="AU77" s="1035">
        <v>6.4199999999999993E-2</v>
      </c>
      <c r="AV77" s="1035">
        <v>6.08E-2</v>
      </c>
      <c r="AW77" s="1035">
        <v>5.74E-2</v>
      </c>
      <c r="AX77" s="1035">
        <v>5.3999999999999999E-2</v>
      </c>
      <c r="AY77" s="1035">
        <v>5.0599999999999999E-2</v>
      </c>
      <c r="AZ77" s="1035">
        <v>4.7199999999999999E-2</v>
      </c>
      <c r="BA77" s="1035">
        <v>4.3799999999999999E-2</v>
      </c>
      <c r="BB77" s="1035">
        <v>4.0399999999999998E-2</v>
      </c>
      <c r="BC77" s="1035">
        <v>3.6999999999999998E-2</v>
      </c>
      <c r="BD77" s="1035">
        <v>3.3599999999999998E-2</v>
      </c>
      <c r="BE77" s="1035">
        <v>3.0200000000000001E-2</v>
      </c>
      <c r="BF77" s="1035">
        <v>2.6800000000000001E-2</v>
      </c>
      <c r="BH77" s="970">
        <f t="shared" si="3"/>
        <v>3.0200000000000001E-2</v>
      </c>
      <c r="BI77" s="1034">
        <f t="shared" si="27"/>
        <v>16743</v>
      </c>
      <c r="BJ77" s="1034">
        <f t="shared" si="27"/>
        <v>15100</v>
      </c>
      <c r="BL77" s="998">
        <f t="shared" si="28"/>
        <v>6242</v>
      </c>
      <c r="BM77" s="978">
        <v>5</v>
      </c>
      <c r="BN77" s="978">
        <v>5</v>
      </c>
      <c r="BO77" s="955" t="str">
        <f t="shared" si="9"/>
        <v>16.82%</v>
      </c>
      <c r="BP77" s="974">
        <f t="shared" si="10"/>
        <v>33333.333333333336</v>
      </c>
      <c r="BQ77" s="1">
        <f t="shared" si="11"/>
        <v>49000</v>
      </c>
      <c r="BR77" s="973">
        <f t="shared" si="12"/>
        <v>82333.333333333343</v>
      </c>
      <c r="BS77" s="977">
        <f t="shared" si="13"/>
        <v>13848</v>
      </c>
      <c r="BT77" s="976">
        <f t="shared" si="14"/>
        <v>0.5</v>
      </c>
      <c r="BU77" s="1">
        <f t="shared" si="15"/>
        <v>15263</v>
      </c>
      <c r="BV77" s="975">
        <f t="shared" si="16"/>
        <v>3.0200000000000001E-2</v>
      </c>
      <c r="BW77" s="1">
        <f t="shared" si="17"/>
        <v>1480</v>
      </c>
      <c r="BX77" s="973">
        <f t="shared" si="18"/>
        <v>16743</v>
      </c>
      <c r="BY77" s="973">
        <f t="shared" si="19"/>
        <v>16743</v>
      </c>
      <c r="BZ77" s="973">
        <f t="shared" si="20"/>
        <v>15100</v>
      </c>
      <c r="CA77" s="972">
        <f t="shared" si="21"/>
        <v>30525</v>
      </c>
      <c r="CB77" s="972">
        <f t="shared" si="22"/>
        <v>32051.25</v>
      </c>
      <c r="CC77" s="974">
        <f t="shared" si="23"/>
        <v>200000</v>
      </c>
      <c r="CD77" s="977">
        <f t="shared" si="24"/>
        <v>200000</v>
      </c>
      <c r="CE77" s="1">
        <f t="shared" si="29"/>
        <v>49000</v>
      </c>
      <c r="CF77" s="979">
        <v>0</v>
      </c>
      <c r="CG77" s="973">
        <f t="shared" si="30"/>
        <v>249000</v>
      </c>
      <c r="CH77" s="972">
        <f t="shared" si="25"/>
        <v>249000</v>
      </c>
      <c r="CI77" s="972">
        <f t="shared" si="26"/>
        <v>6</v>
      </c>
      <c r="CJ77" s="972">
        <f t="shared" si="4"/>
        <v>0</v>
      </c>
      <c r="CK77" s="972">
        <f t="shared" si="5"/>
        <v>0</v>
      </c>
      <c r="CL77" s="972">
        <f t="shared" si="6"/>
        <v>0</v>
      </c>
      <c r="CM77" s="972"/>
      <c r="CN77" s="954">
        <f t="shared" si="7"/>
        <v>249000</v>
      </c>
      <c r="CO77" s="1">
        <f t="shared" si="8"/>
        <v>249000</v>
      </c>
    </row>
    <row r="78" spans="2:93" s="998" customFormat="1" hidden="1">
      <c r="B78" s="1032">
        <v>6</v>
      </c>
      <c r="C78" s="1033">
        <v>0.21729999999999999</v>
      </c>
      <c r="D78" s="1033">
        <v>0.21390000000000001</v>
      </c>
      <c r="E78" s="1033">
        <v>0.21049999999999999</v>
      </c>
      <c r="F78" s="1033">
        <v>0.20710000000000001</v>
      </c>
      <c r="G78" s="1033">
        <v>0.20369999999999999</v>
      </c>
      <c r="H78" s="1033">
        <v>0.20030000000000001</v>
      </c>
      <c r="I78" s="1033">
        <v>0.19689999999999999</v>
      </c>
      <c r="J78" s="1033">
        <v>0.19350000000000001</v>
      </c>
      <c r="K78" s="1033">
        <v>0.19009999999999999</v>
      </c>
      <c r="L78" s="1033">
        <v>0.1867</v>
      </c>
      <c r="M78" s="1033">
        <v>0.18329999999999999</v>
      </c>
      <c r="N78" s="1033">
        <v>0.1799</v>
      </c>
      <c r="O78" s="1033">
        <v>0.17649999999999999</v>
      </c>
      <c r="P78" s="1033">
        <v>0.1731</v>
      </c>
      <c r="Q78" s="1033">
        <v>0.16969999999999999</v>
      </c>
      <c r="R78" s="1033">
        <v>0.1663</v>
      </c>
      <c r="S78" s="1033">
        <v>0.16289999999999999</v>
      </c>
      <c r="T78" s="1033">
        <v>0.1595</v>
      </c>
      <c r="U78" s="1033">
        <v>0.15609999999999999</v>
      </c>
      <c r="V78" s="1033">
        <v>0.1527</v>
      </c>
      <c r="W78" s="1033">
        <v>0.14929999999999999</v>
      </c>
      <c r="X78" s="1033">
        <v>0.1459</v>
      </c>
      <c r="Y78" s="1033">
        <v>0.14249999999999999</v>
      </c>
      <c r="Z78" s="1033">
        <v>0.1391</v>
      </c>
      <c r="AA78" s="1033">
        <v>0.13569999999999999</v>
      </c>
      <c r="AB78" s="1033">
        <v>0.1323</v>
      </c>
      <c r="AC78" s="1033">
        <v>0.12889999999999999</v>
      </c>
      <c r="AD78" s="1033">
        <v>0.1255</v>
      </c>
      <c r="AE78" s="1033">
        <v>0.1221</v>
      </c>
      <c r="AF78" s="1035">
        <v>0.1187</v>
      </c>
      <c r="AG78" s="1035">
        <v>0.1153</v>
      </c>
      <c r="AH78" s="1035">
        <v>0.1119</v>
      </c>
      <c r="AI78" s="1035">
        <v>0.1085</v>
      </c>
      <c r="AJ78" s="1035">
        <v>0.1051</v>
      </c>
      <c r="AK78" s="1035">
        <v>0.1016</v>
      </c>
      <c r="AL78" s="1035">
        <v>9.8199999999999996E-2</v>
      </c>
      <c r="AM78" s="1035">
        <v>9.4799999999999995E-2</v>
      </c>
      <c r="AN78" s="1035">
        <v>9.1399999999999995E-2</v>
      </c>
      <c r="AO78" s="1035">
        <v>8.7999999999999995E-2</v>
      </c>
      <c r="AP78" s="1035">
        <v>8.4599999999999995E-2</v>
      </c>
      <c r="AQ78" s="1035">
        <v>8.1199999999999994E-2</v>
      </c>
      <c r="AR78" s="1035">
        <v>7.7799999999999994E-2</v>
      </c>
      <c r="AS78" s="1035">
        <v>7.4399999999999994E-2</v>
      </c>
      <c r="AT78" s="1035">
        <v>7.0999999999999994E-2</v>
      </c>
      <c r="AU78" s="1035">
        <v>6.7599999999999993E-2</v>
      </c>
      <c r="AV78" s="1035">
        <v>6.4199999999999993E-2</v>
      </c>
      <c r="AW78" s="1035">
        <v>6.08E-2</v>
      </c>
      <c r="AX78" s="1035">
        <v>5.74E-2</v>
      </c>
      <c r="AY78" s="1035">
        <v>5.3999999999999999E-2</v>
      </c>
      <c r="AZ78" s="1035">
        <v>5.0599999999999999E-2</v>
      </c>
      <c r="BA78" s="1035">
        <v>4.7199999999999999E-2</v>
      </c>
      <c r="BB78" s="1035">
        <v>4.3799999999999999E-2</v>
      </c>
      <c r="BC78" s="1035">
        <v>4.0399999999999998E-2</v>
      </c>
      <c r="BD78" s="1035">
        <v>3.6999999999999998E-2</v>
      </c>
      <c r="BE78" s="1035">
        <v>3.3599999999999998E-2</v>
      </c>
      <c r="BF78" s="1035">
        <v>3.0200000000000001E-2</v>
      </c>
      <c r="BH78" s="970">
        <f t="shared" si="3"/>
        <v>3.3599999999999998E-2</v>
      </c>
      <c r="BI78" s="1034">
        <f t="shared" si="27"/>
        <v>20291</v>
      </c>
      <c r="BJ78" s="1034">
        <f t="shared" si="27"/>
        <v>18300</v>
      </c>
      <c r="BL78" s="998">
        <f t="shared" si="28"/>
        <v>6242</v>
      </c>
      <c r="BM78" s="978">
        <v>6</v>
      </c>
      <c r="BN78" s="978">
        <v>6</v>
      </c>
      <c r="BO78" s="955" t="str">
        <f t="shared" si="9"/>
        <v>18.04%</v>
      </c>
      <c r="BP78" s="974">
        <f t="shared" si="10"/>
        <v>40000</v>
      </c>
      <c r="BQ78" s="1">
        <f t="shared" si="11"/>
        <v>58800</v>
      </c>
      <c r="BR78" s="973">
        <f t="shared" si="12"/>
        <v>98800</v>
      </c>
      <c r="BS78" s="977">
        <f t="shared" si="13"/>
        <v>17824</v>
      </c>
      <c r="BT78" s="976">
        <f t="shared" si="14"/>
        <v>0.5</v>
      </c>
      <c r="BU78" s="1">
        <f t="shared" si="15"/>
        <v>18315</v>
      </c>
      <c r="BV78" s="975">
        <f t="shared" si="16"/>
        <v>3.3599999999999998E-2</v>
      </c>
      <c r="BW78" s="1">
        <f t="shared" si="17"/>
        <v>1976</v>
      </c>
      <c r="BX78" s="973">
        <f t="shared" si="18"/>
        <v>20291</v>
      </c>
      <c r="BY78" s="973">
        <f t="shared" si="19"/>
        <v>20291</v>
      </c>
      <c r="BZ78" s="973">
        <f t="shared" si="20"/>
        <v>18300</v>
      </c>
      <c r="CA78" s="972">
        <f t="shared" si="21"/>
        <v>36630</v>
      </c>
      <c r="CB78" s="972">
        <f t="shared" si="22"/>
        <v>38461.5</v>
      </c>
      <c r="CC78" s="974">
        <f t="shared" si="23"/>
        <v>200000</v>
      </c>
      <c r="CD78" s="977">
        <f t="shared" si="24"/>
        <v>200000</v>
      </c>
      <c r="CE78" s="1">
        <f t="shared" si="29"/>
        <v>58800</v>
      </c>
      <c r="CF78" s="979">
        <v>0</v>
      </c>
      <c r="CG78" s="973">
        <f t="shared" si="30"/>
        <v>258800</v>
      </c>
      <c r="CH78" s="972">
        <f t="shared" si="25"/>
        <v>258800</v>
      </c>
      <c r="CI78" s="972">
        <f t="shared" si="26"/>
        <v>7</v>
      </c>
      <c r="CJ78" s="972">
        <f t="shared" si="4"/>
        <v>0</v>
      </c>
      <c r="CK78" s="972">
        <f t="shared" si="5"/>
        <v>0</v>
      </c>
      <c r="CL78" s="972">
        <f t="shared" si="6"/>
        <v>0</v>
      </c>
      <c r="CM78" s="972"/>
      <c r="CN78" s="954">
        <f t="shared" si="7"/>
        <v>258800</v>
      </c>
      <c r="CO78" s="1">
        <f t="shared" si="8"/>
        <v>258800</v>
      </c>
    </row>
    <row r="79" spans="2:93" s="998" customFormat="1" hidden="1">
      <c r="B79" s="1032">
        <v>7</v>
      </c>
      <c r="C79" s="1033">
        <v>0.22070000000000001</v>
      </c>
      <c r="D79" s="1033">
        <v>0.21729999999999999</v>
      </c>
      <c r="E79" s="1033">
        <v>0.21390000000000001</v>
      </c>
      <c r="F79" s="1033">
        <v>0.21049999999999999</v>
      </c>
      <c r="G79" s="1033">
        <v>0.20710000000000001</v>
      </c>
      <c r="H79" s="1033">
        <v>0.20369999999999999</v>
      </c>
      <c r="I79" s="1033">
        <v>0.20030000000000001</v>
      </c>
      <c r="J79" s="1033">
        <v>0.19689999999999999</v>
      </c>
      <c r="K79" s="1033">
        <v>0.19350000000000001</v>
      </c>
      <c r="L79" s="1033">
        <v>0.19009999999999999</v>
      </c>
      <c r="M79" s="1033">
        <v>0.1867</v>
      </c>
      <c r="N79" s="1033">
        <v>0.18329999999999999</v>
      </c>
      <c r="O79" s="1033">
        <v>0.1799</v>
      </c>
      <c r="P79" s="1033">
        <v>0.17649999999999999</v>
      </c>
      <c r="Q79" s="1033">
        <v>0.1731</v>
      </c>
      <c r="R79" s="1033">
        <v>0.16969999999999999</v>
      </c>
      <c r="S79" s="1033">
        <v>0.1663</v>
      </c>
      <c r="T79" s="1033">
        <v>0.16289999999999999</v>
      </c>
      <c r="U79" s="1033">
        <v>0.1595</v>
      </c>
      <c r="V79" s="1033">
        <v>0.15609999999999999</v>
      </c>
      <c r="W79" s="1033">
        <v>0.1527</v>
      </c>
      <c r="X79" s="1033">
        <v>0.14929999999999999</v>
      </c>
      <c r="Y79" s="1033">
        <v>0.1459</v>
      </c>
      <c r="Z79" s="1033">
        <v>0.14249999999999999</v>
      </c>
      <c r="AA79" s="1033">
        <v>0.1391</v>
      </c>
      <c r="AB79" s="1033">
        <v>0.13569999999999999</v>
      </c>
      <c r="AC79" s="1033">
        <v>0.1323</v>
      </c>
      <c r="AD79" s="1033">
        <v>0.12889999999999999</v>
      </c>
      <c r="AE79" s="1033">
        <v>0.1255</v>
      </c>
      <c r="AF79" s="1033">
        <v>0.1221</v>
      </c>
      <c r="AG79" s="1035">
        <v>0.1187</v>
      </c>
      <c r="AH79" s="1035">
        <v>0.1153</v>
      </c>
      <c r="AI79" s="1035">
        <v>0.1119</v>
      </c>
      <c r="AJ79" s="1035">
        <v>0.1085</v>
      </c>
      <c r="AK79" s="1035">
        <v>0.1051</v>
      </c>
      <c r="AL79" s="1035">
        <v>0.1016</v>
      </c>
      <c r="AM79" s="1035">
        <v>9.8199999999999996E-2</v>
      </c>
      <c r="AN79" s="1035">
        <v>9.4799999999999995E-2</v>
      </c>
      <c r="AO79" s="1035">
        <v>9.1399999999999995E-2</v>
      </c>
      <c r="AP79" s="1035">
        <v>8.7999999999999995E-2</v>
      </c>
      <c r="AQ79" s="1035">
        <v>8.4599999999999995E-2</v>
      </c>
      <c r="AR79" s="1035">
        <v>8.1199999999999994E-2</v>
      </c>
      <c r="AS79" s="1035">
        <v>7.7799999999999994E-2</v>
      </c>
      <c r="AT79" s="1035">
        <v>7.4399999999999994E-2</v>
      </c>
      <c r="AU79" s="1035">
        <v>7.0999999999999994E-2</v>
      </c>
      <c r="AV79" s="1035">
        <v>6.7599999999999993E-2</v>
      </c>
      <c r="AW79" s="1035">
        <v>6.4199999999999993E-2</v>
      </c>
      <c r="AX79" s="1035">
        <v>6.08E-2</v>
      </c>
      <c r="AY79" s="1035">
        <v>5.74E-2</v>
      </c>
      <c r="AZ79" s="1035">
        <v>5.3999999999999999E-2</v>
      </c>
      <c r="BA79" s="1035">
        <v>5.0599999999999999E-2</v>
      </c>
      <c r="BB79" s="1035">
        <v>4.7199999999999999E-2</v>
      </c>
      <c r="BC79" s="1035">
        <v>4.3799999999999999E-2</v>
      </c>
      <c r="BD79" s="1035">
        <v>4.0399999999999998E-2</v>
      </c>
      <c r="BE79" s="1035">
        <v>3.6999999999999998E-2</v>
      </c>
      <c r="BF79" s="1035">
        <v>3.3599999999999998E-2</v>
      </c>
      <c r="BH79" s="970">
        <f t="shared" si="3"/>
        <v>3.6999999999999998E-2</v>
      </c>
      <c r="BI79" s="1034">
        <f t="shared" si="27"/>
        <v>23906</v>
      </c>
      <c r="BJ79" s="1034">
        <f t="shared" si="27"/>
        <v>21500</v>
      </c>
      <c r="BL79" s="998">
        <f t="shared" si="28"/>
        <v>6242</v>
      </c>
      <c r="BM79" s="978">
        <v>7</v>
      </c>
      <c r="BN79" s="978">
        <v>7</v>
      </c>
      <c r="BO79" s="955" t="str">
        <f t="shared" si="9"/>
        <v>19.35%</v>
      </c>
      <c r="BP79" s="974">
        <f t="shared" si="10"/>
        <v>46666.666666666664</v>
      </c>
      <c r="BQ79" s="1">
        <f t="shared" si="11"/>
        <v>68600</v>
      </c>
      <c r="BR79" s="973">
        <f t="shared" si="12"/>
        <v>115266.66666666666</v>
      </c>
      <c r="BS79" s="977">
        <f t="shared" si="13"/>
        <v>22304</v>
      </c>
      <c r="BT79" s="976">
        <f t="shared" si="14"/>
        <v>0.5</v>
      </c>
      <c r="BU79" s="1">
        <f t="shared" si="15"/>
        <v>21368</v>
      </c>
      <c r="BV79" s="975">
        <f t="shared" si="16"/>
        <v>3.6999999999999998E-2</v>
      </c>
      <c r="BW79" s="1">
        <f t="shared" si="17"/>
        <v>2538</v>
      </c>
      <c r="BX79" s="973">
        <f t="shared" si="18"/>
        <v>23906</v>
      </c>
      <c r="BY79" s="973">
        <f t="shared" si="19"/>
        <v>23906</v>
      </c>
      <c r="BZ79" s="973">
        <f t="shared" si="20"/>
        <v>21500</v>
      </c>
      <c r="CA79" s="972">
        <f t="shared" si="21"/>
        <v>42735</v>
      </c>
      <c r="CB79" s="972">
        <f t="shared" si="22"/>
        <v>44871.75</v>
      </c>
      <c r="CC79" s="974">
        <f t="shared" si="23"/>
        <v>200000</v>
      </c>
      <c r="CD79" s="977">
        <f t="shared" si="24"/>
        <v>200000</v>
      </c>
      <c r="CE79" s="1">
        <f t="shared" si="29"/>
        <v>68600</v>
      </c>
      <c r="CF79" s="979">
        <v>0</v>
      </c>
      <c r="CG79" s="973">
        <f t="shared" si="30"/>
        <v>268600</v>
      </c>
      <c r="CH79" s="972">
        <f t="shared" si="25"/>
        <v>268600</v>
      </c>
      <c r="CI79" s="972">
        <f t="shared" si="26"/>
        <v>8</v>
      </c>
      <c r="CJ79" s="972">
        <f t="shared" si="4"/>
        <v>0</v>
      </c>
      <c r="CK79" s="972">
        <f t="shared" si="5"/>
        <v>0</v>
      </c>
      <c r="CL79" s="972">
        <f t="shared" si="6"/>
        <v>0</v>
      </c>
      <c r="CM79" s="972"/>
      <c r="CN79" s="954">
        <f t="shared" si="7"/>
        <v>268600</v>
      </c>
      <c r="CO79" s="1">
        <f t="shared" si="8"/>
        <v>268600</v>
      </c>
    </row>
    <row r="80" spans="2:93" s="998" customFormat="1" hidden="1">
      <c r="B80" s="1032">
        <v>8</v>
      </c>
      <c r="C80" s="1033">
        <v>0.22409999999999999</v>
      </c>
      <c r="D80" s="1033">
        <v>0.22070000000000001</v>
      </c>
      <c r="E80" s="1033">
        <v>0.21729999999999999</v>
      </c>
      <c r="F80" s="1033">
        <v>0.21390000000000001</v>
      </c>
      <c r="G80" s="1033">
        <v>0.21049999999999999</v>
      </c>
      <c r="H80" s="1033">
        <v>0.20710000000000001</v>
      </c>
      <c r="I80" s="1033">
        <v>0.20369999999999999</v>
      </c>
      <c r="J80" s="1033">
        <v>0.20030000000000001</v>
      </c>
      <c r="K80" s="1033">
        <v>0.19689999999999999</v>
      </c>
      <c r="L80" s="1033">
        <v>0.19350000000000001</v>
      </c>
      <c r="M80" s="1033">
        <v>0.19009999999999999</v>
      </c>
      <c r="N80" s="1033">
        <v>0.1867</v>
      </c>
      <c r="O80" s="1033">
        <v>0.18329999999999999</v>
      </c>
      <c r="P80" s="1033">
        <v>0.1799</v>
      </c>
      <c r="Q80" s="1033">
        <v>0.17649999999999999</v>
      </c>
      <c r="R80" s="1033">
        <v>0.1731</v>
      </c>
      <c r="S80" s="1033">
        <v>0.16969999999999999</v>
      </c>
      <c r="T80" s="1033">
        <v>0.1663</v>
      </c>
      <c r="U80" s="1033">
        <v>0.16289999999999999</v>
      </c>
      <c r="V80" s="1033">
        <v>0.1595</v>
      </c>
      <c r="W80" s="1033">
        <v>0.15609999999999999</v>
      </c>
      <c r="X80" s="1033">
        <v>0.1527</v>
      </c>
      <c r="Y80" s="1033">
        <v>0.14929999999999999</v>
      </c>
      <c r="Z80" s="1033">
        <v>0.1459</v>
      </c>
      <c r="AA80" s="1033">
        <v>0.14249999999999999</v>
      </c>
      <c r="AB80" s="1033">
        <v>0.1391</v>
      </c>
      <c r="AC80" s="1033">
        <v>0.13569999999999999</v>
      </c>
      <c r="AD80" s="1033">
        <v>0.1323</v>
      </c>
      <c r="AE80" s="1033">
        <v>0.12889999999999999</v>
      </c>
      <c r="AF80" s="1033">
        <v>0.1255</v>
      </c>
      <c r="AG80" s="1033">
        <v>0.1221</v>
      </c>
      <c r="AH80" s="1035">
        <v>0.1187</v>
      </c>
      <c r="AI80" s="1035">
        <v>0.1153</v>
      </c>
      <c r="AJ80" s="1035">
        <v>0.1119</v>
      </c>
      <c r="AK80" s="1035">
        <v>0.1085</v>
      </c>
      <c r="AL80" s="1035">
        <v>0.1051</v>
      </c>
      <c r="AM80" s="1035">
        <v>0.1016</v>
      </c>
      <c r="AN80" s="1035">
        <v>9.8199999999999996E-2</v>
      </c>
      <c r="AO80" s="1035">
        <v>9.4799999999999995E-2</v>
      </c>
      <c r="AP80" s="1035">
        <v>9.1399999999999995E-2</v>
      </c>
      <c r="AQ80" s="1035">
        <v>8.7999999999999995E-2</v>
      </c>
      <c r="AR80" s="1035">
        <v>8.4599999999999995E-2</v>
      </c>
      <c r="AS80" s="1035">
        <v>8.1199999999999994E-2</v>
      </c>
      <c r="AT80" s="1035">
        <v>7.7799999999999994E-2</v>
      </c>
      <c r="AU80" s="1035">
        <v>7.4399999999999994E-2</v>
      </c>
      <c r="AV80" s="1035">
        <v>7.0999999999999994E-2</v>
      </c>
      <c r="AW80" s="1035">
        <v>6.7599999999999993E-2</v>
      </c>
      <c r="AX80" s="1035">
        <v>6.4199999999999993E-2</v>
      </c>
      <c r="AY80" s="1035">
        <v>6.08E-2</v>
      </c>
      <c r="AZ80" s="1035">
        <v>5.74E-2</v>
      </c>
      <c r="BA80" s="1035">
        <v>5.3999999999999999E-2</v>
      </c>
      <c r="BB80" s="1035">
        <v>5.0599999999999999E-2</v>
      </c>
      <c r="BC80" s="1035">
        <v>4.7199999999999999E-2</v>
      </c>
      <c r="BD80" s="1035">
        <v>4.3799999999999999E-2</v>
      </c>
      <c r="BE80" s="1035">
        <v>4.0399999999999998E-2</v>
      </c>
      <c r="BF80" s="1035">
        <v>3.6999999999999998E-2</v>
      </c>
      <c r="BH80" s="970">
        <f t="shared" si="3"/>
        <v>4.0399999999999998E-2</v>
      </c>
      <c r="BI80" s="1034">
        <f t="shared" si="27"/>
        <v>27802</v>
      </c>
      <c r="BJ80" s="1034">
        <f t="shared" si="27"/>
        <v>25000</v>
      </c>
      <c r="BL80" s="998">
        <f t="shared" si="28"/>
        <v>6242</v>
      </c>
      <c r="BM80" s="978">
        <v>8</v>
      </c>
      <c r="BN80" s="978">
        <v>8</v>
      </c>
      <c r="BO80" s="955" t="str">
        <f t="shared" si="9"/>
        <v>20.76%</v>
      </c>
      <c r="BP80" s="974">
        <f t="shared" si="10"/>
        <v>53333.333333333336</v>
      </c>
      <c r="BQ80" s="1">
        <f t="shared" si="11"/>
        <v>78400</v>
      </c>
      <c r="BR80" s="973">
        <f t="shared" si="12"/>
        <v>131733.33333333334</v>
      </c>
      <c r="BS80" s="977">
        <f t="shared" si="13"/>
        <v>27348</v>
      </c>
      <c r="BT80" s="976">
        <f t="shared" si="14"/>
        <v>0.50439999999999996</v>
      </c>
      <c r="BU80" s="1">
        <f t="shared" si="15"/>
        <v>24635</v>
      </c>
      <c r="BV80" s="975">
        <f t="shared" si="16"/>
        <v>4.0399999999999998E-2</v>
      </c>
      <c r="BW80" s="1">
        <f t="shared" si="17"/>
        <v>3167</v>
      </c>
      <c r="BX80" s="973">
        <f t="shared" si="18"/>
        <v>27802</v>
      </c>
      <c r="BY80" s="973">
        <f t="shared" si="19"/>
        <v>27802</v>
      </c>
      <c r="BZ80" s="973">
        <f t="shared" si="20"/>
        <v>25000</v>
      </c>
      <c r="CA80" s="972">
        <f t="shared" si="21"/>
        <v>48840</v>
      </c>
      <c r="CB80" s="972">
        <f t="shared" si="22"/>
        <v>51282</v>
      </c>
      <c r="CC80" s="974">
        <f t="shared" si="23"/>
        <v>200000</v>
      </c>
      <c r="CD80" s="977">
        <f t="shared" si="24"/>
        <v>200000</v>
      </c>
      <c r="CE80" s="1">
        <f t="shared" si="29"/>
        <v>78400</v>
      </c>
      <c r="CF80" s="979">
        <v>0</v>
      </c>
      <c r="CG80" s="973">
        <f t="shared" si="30"/>
        <v>278400</v>
      </c>
      <c r="CH80" s="972">
        <f t="shared" si="25"/>
        <v>278400</v>
      </c>
      <c r="CI80" s="972">
        <f t="shared" si="26"/>
        <v>9</v>
      </c>
      <c r="CJ80" s="972">
        <f t="shared" si="4"/>
        <v>0</v>
      </c>
      <c r="CK80" s="972">
        <f t="shared" si="5"/>
        <v>0</v>
      </c>
      <c r="CL80" s="972">
        <f t="shared" si="6"/>
        <v>0</v>
      </c>
      <c r="CM80" s="972"/>
      <c r="CN80" s="954">
        <f t="shared" si="7"/>
        <v>278400</v>
      </c>
      <c r="CO80" s="1">
        <f t="shared" si="8"/>
        <v>278400</v>
      </c>
    </row>
    <row r="81" spans="2:93" s="998" customFormat="1" hidden="1">
      <c r="B81" s="1032">
        <v>9</v>
      </c>
      <c r="C81" s="1033">
        <v>0.22750000000000001</v>
      </c>
      <c r="D81" s="1033">
        <v>0.22409999999999999</v>
      </c>
      <c r="E81" s="1033">
        <v>0.22070000000000001</v>
      </c>
      <c r="F81" s="1033">
        <v>0.21729999999999999</v>
      </c>
      <c r="G81" s="1033">
        <v>0.21390000000000001</v>
      </c>
      <c r="H81" s="1033">
        <v>0.21049999999999999</v>
      </c>
      <c r="I81" s="1033">
        <v>0.20710000000000001</v>
      </c>
      <c r="J81" s="1033">
        <v>0.20369999999999999</v>
      </c>
      <c r="K81" s="1033">
        <v>0.20030000000000001</v>
      </c>
      <c r="L81" s="1033">
        <v>0.19689999999999999</v>
      </c>
      <c r="M81" s="1033">
        <v>0.19350000000000001</v>
      </c>
      <c r="N81" s="1033">
        <v>0.19009999999999999</v>
      </c>
      <c r="O81" s="1033">
        <v>0.1867</v>
      </c>
      <c r="P81" s="1033">
        <v>0.18329999999999999</v>
      </c>
      <c r="Q81" s="1033">
        <v>0.1799</v>
      </c>
      <c r="R81" s="1033">
        <v>0.17649999999999999</v>
      </c>
      <c r="S81" s="1033">
        <v>0.1731</v>
      </c>
      <c r="T81" s="1033">
        <v>0.16969999999999999</v>
      </c>
      <c r="U81" s="1033">
        <v>0.1663</v>
      </c>
      <c r="V81" s="1033">
        <v>0.16289999999999999</v>
      </c>
      <c r="W81" s="1033">
        <v>0.1595</v>
      </c>
      <c r="X81" s="1033">
        <v>0.15609999999999999</v>
      </c>
      <c r="Y81" s="1033">
        <v>0.1527</v>
      </c>
      <c r="Z81" s="1033">
        <v>0.14929999999999999</v>
      </c>
      <c r="AA81" s="1033">
        <v>0.1459</v>
      </c>
      <c r="AB81" s="1033">
        <v>0.14249999999999999</v>
      </c>
      <c r="AC81" s="1033">
        <v>0.1391</v>
      </c>
      <c r="AD81" s="1033">
        <v>0.13569999999999999</v>
      </c>
      <c r="AE81" s="1033">
        <v>0.1323</v>
      </c>
      <c r="AF81" s="1033">
        <v>0.12889999999999999</v>
      </c>
      <c r="AG81" s="1033">
        <v>0.1255</v>
      </c>
      <c r="AH81" s="1033">
        <v>0.1221</v>
      </c>
      <c r="AI81" s="1035">
        <v>0.1187</v>
      </c>
      <c r="AJ81" s="1035">
        <v>0.1153</v>
      </c>
      <c r="AK81" s="1035">
        <v>0.1119</v>
      </c>
      <c r="AL81" s="1035">
        <v>0.1085</v>
      </c>
      <c r="AM81" s="1035">
        <v>0.1051</v>
      </c>
      <c r="AN81" s="1035">
        <v>0.1016</v>
      </c>
      <c r="AO81" s="1035">
        <v>9.8199999999999996E-2</v>
      </c>
      <c r="AP81" s="1035">
        <v>9.4799999999999995E-2</v>
      </c>
      <c r="AQ81" s="1035">
        <v>9.1399999999999995E-2</v>
      </c>
      <c r="AR81" s="1035">
        <v>8.7999999999999995E-2</v>
      </c>
      <c r="AS81" s="1035">
        <v>8.4599999999999995E-2</v>
      </c>
      <c r="AT81" s="1035">
        <v>8.1199999999999994E-2</v>
      </c>
      <c r="AU81" s="1035">
        <v>7.7799999999999994E-2</v>
      </c>
      <c r="AV81" s="1035">
        <v>7.4399999999999994E-2</v>
      </c>
      <c r="AW81" s="1035">
        <v>7.0999999999999994E-2</v>
      </c>
      <c r="AX81" s="1035">
        <v>6.7599999999999993E-2</v>
      </c>
      <c r="AY81" s="1035">
        <v>6.4199999999999993E-2</v>
      </c>
      <c r="AZ81" s="1035">
        <v>6.08E-2</v>
      </c>
      <c r="BA81" s="1035">
        <v>5.74E-2</v>
      </c>
      <c r="BB81" s="1035">
        <v>5.3999999999999999E-2</v>
      </c>
      <c r="BC81" s="1035">
        <v>5.0599999999999999E-2</v>
      </c>
      <c r="BD81" s="1035">
        <v>4.7199999999999999E-2</v>
      </c>
      <c r="BE81" s="1035">
        <v>4.3799999999999999E-2</v>
      </c>
      <c r="BF81" s="1035">
        <v>4.0399999999999998E-2</v>
      </c>
      <c r="BH81" s="970">
        <f t="shared" si="3"/>
        <v>4.3799999999999999E-2</v>
      </c>
      <c r="BI81" s="1034">
        <f t="shared" si="27"/>
        <v>33004</v>
      </c>
      <c r="BJ81" s="1034">
        <f t="shared" si="27"/>
        <v>29700</v>
      </c>
      <c r="BL81" s="998">
        <f t="shared" si="28"/>
        <v>6242</v>
      </c>
      <c r="BM81" s="978">
        <v>9</v>
      </c>
      <c r="BN81" s="978">
        <v>9</v>
      </c>
      <c r="BO81" s="955" t="str">
        <f t="shared" si="9"/>
        <v>22.27%</v>
      </c>
      <c r="BP81" s="974">
        <f t="shared" si="10"/>
        <v>60000</v>
      </c>
      <c r="BQ81" s="1">
        <f t="shared" si="11"/>
        <v>88200</v>
      </c>
      <c r="BR81" s="973">
        <f t="shared" si="12"/>
        <v>148200</v>
      </c>
      <c r="BS81" s="977">
        <f t="shared" si="13"/>
        <v>33004</v>
      </c>
      <c r="BT81" s="976">
        <f t="shared" si="14"/>
        <v>0.50880000000000003</v>
      </c>
      <c r="BU81" s="1">
        <f t="shared" si="15"/>
        <v>27956</v>
      </c>
      <c r="BV81" s="975">
        <f t="shared" si="16"/>
        <v>4.3799999999999999E-2</v>
      </c>
      <c r="BW81" s="1">
        <f t="shared" si="17"/>
        <v>3863</v>
      </c>
      <c r="BX81" s="973">
        <f t="shared" si="18"/>
        <v>31819</v>
      </c>
      <c r="BY81" s="973">
        <f t="shared" si="19"/>
        <v>33004</v>
      </c>
      <c r="BZ81" s="973">
        <f t="shared" si="20"/>
        <v>29700</v>
      </c>
      <c r="CA81" s="972">
        <f t="shared" si="21"/>
        <v>54945</v>
      </c>
      <c r="CB81" s="972">
        <f t="shared" si="22"/>
        <v>57692.25</v>
      </c>
      <c r="CC81" s="974">
        <f t="shared" si="23"/>
        <v>200000</v>
      </c>
      <c r="CD81" s="977">
        <f t="shared" si="24"/>
        <v>200000</v>
      </c>
      <c r="CE81" s="1">
        <f t="shared" si="29"/>
        <v>88200</v>
      </c>
      <c r="CF81" s="979">
        <v>0</v>
      </c>
      <c r="CG81" s="973">
        <f t="shared" si="30"/>
        <v>288200</v>
      </c>
      <c r="CH81" s="972">
        <f t="shared" si="25"/>
        <v>288200</v>
      </c>
      <c r="CI81" s="972">
        <f t="shared" si="26"/>
        <v>10</v>
      </c>
      <c r="CJ81" s="972">
        <f t="shared" si="4"/>
        <v>0</v>
      </c>
      <c r="CK81" s="972">
        <f t="shared" si="5"/>
        <v>0</v>
      </c>
      <c r="CL81" s="972">
        <f t="shared" si="6"/>
        <v>0</v>
      </c>
      <c r="CM81" s="972"/>
      <c r="CN81" s="954">
        <f t="shared" si="7"/>
        <v>288200</v>
      </c>
      <c r="CO81" s="1">
        <f t="shared" si="8"/>
        <v>288200</v>
      </c>
    </row>
    <row r="82" spans="2:93" s="998" customFormat="1" hidden="1">
      <c r="B82" s="1032">
        <v>10</v>
      </c>
      <c r="C82" s="1033">
        <v>0.23089999999999999</v>
      </c>
      <c r="D82" s="1033">
        <v>0.22750000000000001</v>
      </c>
      <c r="E82" s="1033">
        <v>0.22409999999999999</v>
      </c>
      <c r="F82" s="1033">
        <v>0.22070000000000001</v>
      </c>
      <c r="G82" s="1033">
        <v>0.21729999999999999</v>
      </c>
      <c r="H82" s="1033">
        <v>0.21390000000000001</v>
      </c>
      <c r="I82" s="1033">
        <v>0.21049999999999999</v>
      </c>
      <c r="J82" s="1033">
        <v>0.20710000000000001</v>
      </c>
      <c r="K82" s="1033">
        <v>0.20369999999999999</v>
      </c>
      <c r="L82" s="1033">
        <v>0.20030000000000001</v>
      </c>
      <c r="M82" s="1033">
        <v>0.19689999999999999</v>
      </c>
      <c r="N82" s="1033">
        <v>0.19350000000000001</v>
      </c>
      <c r="O82" s="1033">
        <v>0.19009999999999999</v>
      </c>
      <c r="P82" s="1033">
        <v>0.1867</v>
      </c>
      <c r="Q82" s="1033">
        <v>0.18329999999999999</v>
      </c>
      <c r="R82" s="1033">
        <v>0.1799</v>
      </c>
      <c r="S82" s="1033">
        <v>0.17649999999999999</v>
      </c>
      <c r="T82" s="1033">
        <v>0.1731</v>
      </c>
      <c r="U82" s="1033">
        <v>0.16969999999999999</v>
      </c>
      <c r="V82" s="1033">
        <v>0.1663</v>
      </c>
      <c r="W82" s="1033">
        <v>0.16289999999999999</v>
      </c>
      <c r="X82" s="1033">
        <v>0.1595</v>
      </c>
      <c r="Y82" s="1033">
        <v>0.15609999999999999</v>
      </c>
      <c r="Z82" s="1033">
        <v>0.1527</v>
      </c>
      <c r="AA82" s="1033">
        <v>0.14929999999999999</v>
      </c>
      <c r="AB82" s="1033">
        <v>0.1459</v>
      </c>
      <c r="AC82" s="1033">
        <v>0.14249999999999999</v>
      </c>
      <c r="AD82" s="1033">
        <v>0.1391</v>
      </c>
      <c r="AE82" s="1033">
        <v>0.13569999999999999</v>
      </c>
      <c r="AF82" s="1033">
        <v>0.1323</v>
      </c>
      <c r="AG82" s="1033">
        <v>0.12889999999999999</v>
      </c>
      <c r="AH82" s="1033">
        <v>0.1255</v>
      </c>
      <c r="AI82" s="1033">
        <v>0.1221</v>
      </c>
      <c r="AJ82" s="1035">
        <v>0.1187</v>
      </c>
      <c r="AK82" s="1035">
        <v>0.1153</v>
      </c>
      <c r="AL82" s="1035">
        <v>0.1119</v>
      </c>
      <c r="AM82" s="1035">
        <v>0.1085</v>
      </c>
      <c r="AN82" s="1035">
        <v>0.1051</v>
      </c>
      <c r="AO82" s="1035">
        <v>0.1016</v>
      </c>
      <c r="AP82" s="1035">
        <v>9.8199999999999996E-2</v>
      </c>
      <c r="AQ82" s="1035">
        <v>9.4799999999999995E-2</v>
      </c>
      <c r="AR82" s="1035">
        <v>9.1399999999999995E-2</v>
      </c>
      <c r="AS82" s="1035">
        <v>8.7999999999999995E-2</v>
      </c>
      <c r="AT82" s="1035">
        <v>8.4599999999999995E-2</v>
      </c>
      <c r="AU82" s="1035">
        <v>8.1199999999999994E-2</v>
      </c>
      <c r="AV82" s="1035">
        <v>7.7799999999999994E-2</v>
      </c>
      <c r="AW82" s="1035">
        <v>7.4399999999999994E-2</v>
      </c>
      <c r="AX82" s="1035">
        <v>7.0999999999999994E-2</v>
      </c>
      <c r="AY82" s="1035">
        <v>6.7599999999999993E-2</v>
      </c>
      <c r="AZ82" s="1035">
        <v>6.4199999999999993E-2</v>
      </c>
      <c r="BA82" s="1035">
        <v>6.08E-2</v>
      </c>
      <c r="BB82" s="1035">
        <v>5.74E-2</v>
      </c>
      <c r="BC82" s="1035">
        <v>5.3999999999999999E-2</v>
      </c>
      <c r="BD82" s="1035">
        <v>5.0599999999999999E-2</v>
      </c>
      <c r="BE82" s="1035">
        <v>4.7199999999999999E-2</v>
      </c>
      <c r="BF82" s="1035">
        <v>4.3799999999999999E-2</v>
      </c>
      <c r="BH82" s="970">
        <f t="shared" si="3"/>
        <v>4.7199999999999999E-2</v>
      </c>
      <c r="BI82" s="1034">
        <f t="shared" si="27"/>
        <v>39339</v>
      </c>
      <c r="BJ82" s="1034">
        <f t="shared" si="27"/>
        <v>35400</v>
      </c>
      <c r="BL82" s="998">
        <f t="shared" si="28"/>
        <v>6242</v>
      </c>
      <c r="BM82" s="978">
        <v>10</v>
      </c>
      <c r="BN82" s="978">
        <v>10</v>
      </c>
      <c r="BO82" s="955" t="str">
        <f t="shared" si="9"/>
        <v>23.89%</v>
      </c>
      <c r="BP82" s="974">
        <f t="shared" si="10"/>
        <v>66666.666666666672</v>
      </c>
      <c r="BQ82" s="1">
        <f t="shared" si="11"/>
        <v>98000</v>
      </c>
      <c r="BR82" s="973">
        <f t="shared" si="12"/>
        <v>164666.66666666669</v>
      </c>
      <c r="BS82" s="977">
        <f t="shared" si="13"/>
        <v>39339</v>
      </c>
      <c r="BT82" s="976">
        <f t="shared" si="14"/>
        <v>0.51319999999999999</v>
      </c>
      <c r="BU82" s="1">
        <f t="shared" si="15"/>
        <v>31331</v>
      </c>
      <c r="BV82" s="975">
        <f t="shared" si="16"/>
        <v>4.7199999999999999E-2</v>
      </c>
      <c r="BW82" s="1">
        <f t="shared" si="17"/>
        <v>4626</v>
      </c>
      <c r="BX82" s="973">
        <f t="shared" si="18"/>
        <v>35957</v>
      </c>
      <c r="BY82" s="973">
        <f t="shared" si="19"/>
        <v>39339</v>
      </c>
      <c r="BZ82" s="973">
        <f t="shared" si="20"/>
        <v>35400</v>
      </c>
      <c r="CA82" s="972">
        <f t="shared" si="21"/>
        <v>61050</v>
      </c>
      <c r="CB82" s="972">
        <f t="shared" si="22"/>
        <v>64102.5</v>
      </c>
      <c r="CC82" s="974">
        <f t="shared" si="23"/>
        <v>200000</v>
      </c>
      <c r="CD82" s="977">
        <f t="shared" si="24"/>
        <v>200000</v>
      </c>
      <c r="CE82" s="1">
        <f t="shared" si="29"/>
        <v>98000</v>
      </c>
      <c r="CF82" s="979">
        <v>0</v>
      </c>
      <c r="CG82" s="973">
        <f t="shared" si="30"/>
        <v>298000</v>
      </c>
      <c r="CH82" s="972">
        <f t="shared" si="25"/>
        <v>298000</v>
      </c>
      <c r="CI82" s="972">
        <f t="shared" si="26"/>
        <v>11</v>
      </c>
      <c r="CJ82" s="972">
        <f t="shared" si="4"/>
        <v>0</v>
      </c>
      <c r="CK82" s="972">
        <f t="shared" si="5"/>
        <v>0</v>
      </c>
      <c r="CL82" s="972">
        <f t="shared" si="6"/>
        <v>0</v>
      </c>
      <c r="CM82" s="972"/>
      <c r="CN82" s="954">
        <f t="shared" si="7"/>
        <v>298000</v>
      </c>
      <c r="CO82" s="1">
        <f t="shared" si="8"/>
        <v>298000</v>
      </c>
    </row>
    <row r="83" spans="2:93" s="998" customFormat="1" hidden="1">
      <c r="B83" s="1032">
        <v>11</v>
      </c>
      <c r="C83" s="1033">
        <v>0.23430000000000001</v>
      </c>
      <c r="D83" s="1033">
        <v>0.23089999999999999</v>
      </c>
      <c r="E83" s="1033">
        <v>0.22750000000000001</v>
      </c>
      <c r="F83" s="1033">
        <v>0.22409999999999999</v>
      </c>
      <c r="G83" s="1033">
        <v>0.22070000000000001</v>
      </c>
      <c r="H83" s="1033">
        <v>0.21729999999999999</v>
      </c>
      <c r="I83" s="1033">
        <v>0.21390000000000001</v>
      </c>
      <c r="J83" s="1033">
        <v>0.21049999999999999</v>
      </c>
      <c r="K83" s="1033">
        <v>0.20710000000000001</v>
      </c>
      <c r="L83" s="1033">
        <v>0.20369999999999999</v>
      </c>
      <c r="M83" s="1033">
        <v>0.20030000000000001</v>
      </c>
      <c r="N83" s="1033">
        <v>0.19689999999999999</v>
      </c>
      <c r="O83" s="1033">
        <v>0.19350000000000001</v>
      </c>
      <c r="P83" s="1033">
        <v>0.19009999999999999</v>
      </c>
      <c r="Q83" s="1033">
        <v>0.1867</v>
      </c>
      <c r="R83" s="1033">
        <v>0.18329999999999999</v>
      </c>
      <c r="S83" s="1033">
        <v>0.1799</v>
      </c>
      <c r="T83" s="1033">
        <v>0.17649999999999999</v>
      </c>
      <c r="U83" s="1033">
        <v>0.1731</v>
      </c>
      <c r="V83" s="1033">
        <v>0.16969999999999999</v>
      </c>
      <c r="W83" s="1033">
        <v>0.1663</v>
      </c>
      <c r="X83" s="1033">
        <v>0.16289999999999999</v>
      </c>
      <c r="Y83" s="1033">
        <v>0.1595</v>
      </c>
      <c r="Z83" s="1033">
        <v>0.15609999999999999</v>
      </c>
      <c r="AA83" s="1033">
        <v>0.1527</v>
      </c>
      <c r="AB83" s="1033">
        <v>0.14929999999999999</v>
      </c>
      <c r="AC83" s="1033">
        <v>0.1459</v>
      </c>
      <c r="AD83" s="1033">
        <v>0.14249999999999999</v>
      </c>
      <c r="AE83" s="1033">
        <v>0.1391</v>
      </c>
      <c r="AF83" s="1033">
        <v>0.13569999999999999</v>
      </c>
      <c r="AG83" s="1033">
        <v>0.1323</v>
      </c>
      <c r="AH83" s="1033">
        <v>0.12889999999999999</v>
      </c>
      <c r="AI83" s="1033">
        <v>0.1255</v>
      </c>
      <c r="AJ83" s="1033">
        <v>0.1221</v>
      </c>
      <c r="AK83" s="1035">
        <v>0.1187</v>
      </c>
      <c r="AL83" s="1035">
        <v>0.1153</v>
      </c>
      <c r="AM83" s="1035">
        <v>0.1119</v>
      </c>
      <c r="AN83" s="1035">
        <v>0.1085</v>
      </c>
      <c r="AO83" s="1035">
        <v>0.1051</v>
      </c>
      <c r="AP83" s="1035">
        <v>0.1016</v>
      </c>
      <c r="AQ83" s="1035">
        <v>9.8199999999999996E-2</v>
      </c>
      <c r="AR83" s="1035">
        <v>9.4799999999999995E-2</v>
      </c>
      <c r="AS83" s="1035">
        <v>9.1399999999999995E-2</v>
      </c>
      <c r="AT83" s="1035">
        <v>8.7999999999999995E-2</v>
      </c>
      <c r="AU83" s="1035">
        <v>8.4599999999999995E-2</v>
      </c>
      <c r="AV83" s="1035">
        <v>8.1199999999999994E-2</v>
      </c>
      <c r="AW83" s="1035">
        <v>7.7799999999999994E-2</v>
      </c>
      <c r="AX83" s="1035">
        <v>7.4399999999999994E-2</v>
      </c>
      <c r="AY83" s="1035">
        <v>7.0999999999999994E-2</v>
      </c>
      <c r="AZ83" s="1035">
        <v>6.7599999999999993E-2</v>
      </c>
      <c r="BA83" s="1035">
        <v>6.4199999999999993E-2</v>
      </c>
      <c r="BB83" s="1035">
        <v>6.08E-2</v>
      </c>
      <c r="BC83" s="1035">
        <v>5.74E-2</v>
      </c>
      <c r="BD83" s="1035">
        <v>5.3999999999999999E-2</v>
      </c>
      <c r="BE83" s="1035">
        <v>5.0599999999999999E-2</v>
      </c>
      <c r="BF83" s="1035">
        <v>4.7199999999999999E-2</v>
      </c>
      <c r="BH83" s="970">
        <f t="shared" si="3"/>
        <v>5.0599999999999999E-2</v>
      </c>
      <c r="BI83" s="1034">
        <f t="shared" si="27"/>
        <v>46443</v>
      </c>
      <c r="BJ83" s="1034">
        <f t="shared" si="27"/>
        <v>41800</v>
      </c>
      <c r="BL83" s="998">
        <f t="shared" si="28"/>
        <v>6242</v>
      </c>
      <c r="BM83" s="978">
        <v>11</v>
      </c>
      <c r="BN83" s="978">
        <v>11</v>
      </c>
      <c r="BO83" s="955" t="str">
        <f t="shared" si="9"/>
        <v>25.64%</v>
      </c>
      <c r="BP83" s="974">
        <f t="shared" si="10"/>
        <v>73333.333333333328</v>
      </c>
      <c r="BQ83" s="1">
        <f t="shared" si="11"/>
        <v>107800</v>
      </c>
      <c r="BR83" s="973">
        <f t="shared" si="12"/>
        <v>181133.33333333331</v>
      </c>
      <c r="BS83" s="977">
        <f t="shared" si="13"/>
        <v>46443</v>
      </c>
      <c r="BT83" s="976">
        <f t="shared" si="14"/>
        <v>0.51759999999999995</v>
      </c>
      <c r="BU83" s="1">
        <f t="shared" si="15"/>
        <v>34759</v>
      </c>
      <c r="BV83" s="975">
        <f t="shared" si="16"/>
        <v>5.0599999999999999E-2</v>
      </c>
      <c r="BW83" s="1">
        <f t="shared" si="17"/>
        <v>5455</v>
      </c>
      <c r="BX83" s="973">
        <f t="shared" si="18"/>
        <v>40214</v>
      </c>
      <c r="BY83" s="973">
        <f t="shared" si="19"/>
        <v>46443</v>
      </c>
      <c r="BZ83" s="973">
        <f t="shared" si="20"/>
        <v>41800</v>
      </c>
      <c r="CA83" s="972">
        <f t="shared" si="21"/>
        <v>67155</v>
      </c>
      <c r="CB83" s="972">
        <f t="shared" si="22"/>
        <v>70512.75</v>
      </c>
      <c r="CC83" s="974">
        <f t="shared" si="23"/>
        <v>200000</v>
      </c>
      <c r="CD83" s="977">
        <f t="shared" si="24"/>
        <v>200000</v>
      </c>
      <c r="CE83" s="1">
        <f t="shared" si="29"/>
        <v>107800</v>
      </c>
      <c r="CF83" s="979">
        <v>0</v>
      </c>
      <c r="CG83" s="973">
        <f t="shared" si="30"/>
        <v>307800</v>
      </c>
      <c r="CH83" s="972">
        <f t="shared" si="25"/>
        <v>307800</v>
      </c>
      <c r="CI83" s="972">
        <f t="shared" si="26"/>
        <v>12</v>
      </c>
      <c r="CJ83" s="972">
        <f t="shared" si="4"/>
        <v>0</v>
      </c>
      <c r="CK83" s="972">
        <f t="shared" si="5"/>
        <v>0</v>
      </c>
      <c r="CL83" s="972">
        <f t="shared" si="6"/>
        <v>0</v>
      </c>
      <c r="CM83" s="972"/>
      <c r="CN83" s="954">
        <f t="shared" si="7"/>
        <v>307800</v>
      </c>
      <c r="CO83" s="1">
        <f t="shared" si="8"/>
        <v>307800</v>
      </c>
    </row>
    <row r="84" spans="2:93" s="998" customFormat="1" hidden="1">
      <c r="B84" s="1032">
        <v>12</v>
      </c>
      <c r="C84" s="1033">
        <v>0.23769999999999999</v>
      </c>
      <c r="D84" s="1033">
        <v>0.23430000000000001</v>
      </c>
      <c r="E84" s="1033">
        <v>0.23089999999999999</v>
      </c>
      <c r="F84" s="1033">
        <v>0.22750000000000001</v>
      </c>
      <c r="G84" s="1033">
        <v>0.22409999999999999</v>
      </c>
      <c r="H84" s="1033">
        <v>0.22070000000000001</v>
      </c>
      <c r="I84" s="1033">
        <v>0.21729999999999999</v>
      </c>
      <c r="J84" s="1033">
        <v>0.21390000000000001</v>
      </c>
      <c r="K84" s="1033">
        <v>0.21049999999999999</v>
      </c>
      <c r="L84" s="1033">
        <v>0.20710000000000001</v>
      </c>
      <c r="M84" s="1033">
        <v>0.20369999999999999</v>
      </c>
      <c r="N84" s="1033">
        <v>0.20030000000000001</v>
      </c>
      <c r="O84" s="1033">
        <v>0.19689999999999999</v>
      </c>
      <c r="P84" s="1033">
        <v>0.19350000000000001</v>
      </c>
      <c r="Q84" s="1033">
        <v>0.19009999999999999</v>
      </c>
      <c r="R84" s="1033">
        <v>0.1867</v>
      </c>
      <c r="S84" s="1033">
        <v>0.18329999999999999</v>
      </c>
      <c r="T84" s="1033">
        <v>0.1799</v>
      </c>
      <c r="U84" s="1033">
        <v>0.17649999999999999</v>
      </c>
      <c r="V84" s="1033">
        <v>0.1731</v>
      </c>
      <c r="W84" s="1033">
        <v>0.16969999999999999</v>
      </c>
      <c r="X84" s="1033">
        <v>0.1663</v>
      </c>
      <c r="Y84" s="1033">
        <v>0.16289999999999999</v>
      </c>
      <c r="Z84" s="1033">
        <v>0.1595</v>
      </c>
      <c r="AA84" s="1033">
        <v>0.15609999999999999</v>
      </c>
      <c r="AB84" s="1033">
        <v>0.1527</v>
      </c>
      <c r="AC84" s="1033">
        <v>0.14929999999999999</v>
      </c>
      <c r="AD84" s="1033">
        <v>0.1459</v>
      </c>
      <c r="AE84" s="1033">
        <v>0.14249999999999999</v>
      </c>
      <c r="AF84" s="1033">
        <v>0.1391</v>
      </c>
      <c r="AG84" s="1033">
        <v>0.13569999999999999</v>
      </c>
      <c r="AH84" s="1033">
        <v>0.1323</v>
      </c>
      <c r="AI84" s="1033">
        <v>0.12889999999999999</v>
      </c>
      <c r="AJ84" s="1033">
        <v>0.1255</v>
      </c>
      <c r="AK84" s="1033">
        <v>0.1221</v>
      </c>
      <c r="AL84" s="1035">
        <v>0.1187</v>
      </c>
      <c r="AM84" s="1035">
        <v>0.1153</v>
      </c>
      <c r="AN84" s="1035">
        <v>0.1119</v>
      </c>
      <c r="AO84" s="1035">
        <v>0.1085</v>
      </c>
      <c r="AP84" s="1035">
        <v>0.1051</v>
      </c>
      <c r="AQ84" s="1035">
        <v>0.1016</v>
      </c>
      <c r="AR84" s="1035">
        <v>9.8199999999999996E-2</v>
      </c>
      <c r="AS84" s="1035">
        <v>9.4799999999999995E-2</v>
      </c>
      <c r="AT84" s="1035">
        <v>9.1399999999999995E-2</v>
      </c>
      <c r="AU84" s="1035">
        <v>8.7999999999999995E-2</v>
      </c>
      <c r="AV84" s="1035">
        <v>8.4599999999999995E-2</v>
      </c>
      <c r="AW84" s="1035">
        <v>8.1199999999999994E-2</v>
      </c>
      <c r="AX84" s="1035">
        <v>7.7799999999999994E-2</v>
      </c>
      <c r="AY84" s="1035">
        <v>7.4399999999999994E-2</v>
      </c>
      <c r="AZ84" s="1035">
        <v>7.0999999999999994E-2</v>
      </c>
      <c r="BA84" s="1035">
        <v>6.7599999999999993E-2</v>
      </c>
      <c r="BB84" s="1035">
        <v>6.4199999999999993E-2</v>
      </c>
      <c r="BC84" s="1035">
        <v>6.08E-2</v>
      </c>
      <c r="BD84" s="1035">
        <v>5.74E-2</v>
      </c>
      <c r="BE84" s="1035">
        <v>5.3999999999999999E-2</v>
      </c>
      <c r="BF84" s="1035">
        <v>5.0599999999999999E-2</v>
      </c>
      <c r="BH84" s="970">
        <f t="shared" si="3"/>
        <v>5.3999999999999999E-2</v>
      </c>
      <c r="BI84" s="1034">
        <f t="shared" si="27"/>
        <v>54360</v>
      </c>
      <c r="BJ84" s="1034">
        <f t="shared" si="27"/>
        <v>48900</v>
      </c>
      <c r="BL84" s="998">
        <f t="shared" si="28"/>
        <v>6242</v>
      </c>
      <c r="BM84" s="978">
        <v>12</v>
      </c>
      <c r="BN84" s="978">
        <v>12</v>
      </c>
      <c r="BO84" s="955" t="str">
        <f t="shared" si="9"/>
        <v>27.51%</v>
      </c>
      <c r="BP84" s="974">
        <f t="shared" si="10"/>
        <v>80000</v>
      </c>
      <c r="BQ84" s="1">
        <f t="shared" si="11"/>
        <v>117600</v>
      </c>
      <c r="BR84" s="973">
        <f t="shared" si="12"/>
        <v>197600</v>
      </c>
      <c r="BS84" s="977">
        <f t="shared" si="13"/>
        <v>54360</v>
      </c>
      <c r="BT84" s="976">
        <f t="shared" si="14"/>
        <v>0.52200000000000002</v>
      </c>
      <c r="BU84" s="1">
        <f t="shared" si="15"/>
        <v>38242</v>
      </c>
      <c r="BV84" s="975">
        <f t="shared" si="16"/>
        <v>5.3999999999999999E-2</v>
      </c>
      <c r="BW84" s="1">
        <f t="shared" si="17"/>
        <v>6350</v>
      </c>
      <c r="BX84" s="973">
        <f t="shared" si="18"/>
        <v>44592</v>
      </c>
      <c r="BY84" s="973">
        <f t="shared" si="19"/>
        <v>54360</v>
      </c>
      <c r="BZ84" s="973">
        <f t="shared" si="20"/>
        <v>48900</v>
      </c>
      <c r="CA84" s="972">
        <f t="shared" si="21"/>
        <v>73260</v>
      </c>
      <c r="CB84" s="972">
        <f t="shared" si="22"/>
        <v>76923</v>
      </c>
      <c r="CC84" s="974">
        <f t="shared" si="23"/>
        <v>200000</v>
      </c>
      <c r="CD84" s="977">
        <f t="shared" si="24"/>
        <v>200000</v>
      </c>
      <c r="CE84" s="1">
        <f t="shared" si="29"/>
        <v>117600</v>
      </c>
      <c r="CF84" s="979">
        <v>0</v>
      </c>
      <c r="CG84" s="973">
        <f t="shared" si="30"/>
        <v>317600</v>
      </c>
      <c r="CH84" s="972">
        <f t="shared" si="25"/>
        <v>317600</v>
      </c>
      <c r="CI84" s="972">
        <f t="shared" si="26"/>
        <v>13</v>
      </c>
      <c r="CJ84" s="972">
        <f t="shared" si="4"/>
        <v>0</v>
      </c>
      <c r="CK84" s="972">
        <f t="shared" si="5"/>
        <v>0</v>
      </c>
      <c r="CL84" s="972">
        <f t="shared" si="6"/>
        <v>0</v>
      </c>
      <c r="CM84" s="972"/>
      <c r="CN84" s="954">
        <f t="shared" si="7"/>
        <v>317600</v>
      </c>
      <c r="CO84" s="1">
        <f t="shared" si="8"/>
        <v>317600</v>
      </c>
    </row>
    <row r="85" spans="2:93" s="998" customFormat="1" hidden="1">
      <c r="B85" s="1032">
        <v>13</v>
      </c>
      <c r="C85" s="1033">
        <v>0.24110000000000001</v>
      </c>
      <c r="D85" s="1033">
        <v>0.23769999999999999</v>
      </c>
      <c r="E85" s="1033">
        <v>0.23430000000000001</v>
      </c>
      <c r="F85" s="1033">
        <v>0.23089999999999999</v>
      </c>
      <c r="G85" s="1033">
        <v>0.22750000000000001</v>
      </c>
      <c r="H85" s="1033">
        <v>0.22409999999999999</v>
      </c>
      <c r="I85" s="1033">
        <v>0.22070000000000001</v>
      </c>
      <c r="J85" s="1033">
        <v>0.21729999999999999</v>
      </c>
      <c r="K85" s="1033">
        <v>0.21390000000000001</v>
      </c>
      <c r="L85" s="1033">
        <v>0.21049999999999999</v>
      </c>
      <c r="M85" s="1033">
        <v>0.20710000000000001</v>
      </c>
      <c r="N85" s="1033">
        <v>0.20369999999999999</v>
      </c>
      <c r="O85" s="1033">
        <v>0.20030000000000001</v>
      </c>
      <c r="P85" s="1033">
        <v>0.19689999999999999</v>
      </c>
      <c r="Q85" s="1033">
        <v>0.19350000000000001</v>
      </c>
      <c r="R85" s="1033">
        <v>0.19009999999999999</v>
      </c>
      <c r="S85" s="1033">
        <v>0.1867</v>
      </c>
      <c r="T85" s="1033">
        <v>0.18329999999999999</v>
      </c>
      <c r="U85" s="1033">
        <v>0.1799</v>
      </c>
      <c r="V85" s="1033">
        <v>0.17649999999999999</v>
      </c>
      <c r="W85" s="1033">
        <v>0.1731</v>
      </c>
      <c r="X85" s="1033">
        <v>0.16969999999999999</v>
      </c>
      <c r="Y85" s="1033">
        <v>0.1663</v>
      </c>
      <c r="Z85" s="1033">
        <v>0.16289999999999999</v>
      </c>
      <c r="AA85" s="1033">
        <v>0.1595</v>
      </c>
      <c r="AB85" s="1033">
        <v>0.15609999999999999</v>
      </c>
      <c r="AC85" s="1033">
        <v>0.1527</v>
      </c>
      <c r="AD85" s="1033">
        <v>0.14929999999999999</v>
      </c>
      <c r="AE85" s="1033">
        <v>0.1459</v>
      </c>
      <c r="AF85" s="1033">
        <v>0.14249999999999999</v>
      </c>
      <c r="AG85" s="1033">
        <v>0.1391</v>
      </c>
      <c r="AH85" s="1033">
        <v>0.13569999999999999</v>
      </c>
      <c r="AI85" s="1033">
        <v>0.1323</v>
      </c>
      <c r="AJ85" s="1033">
        <v>0.12889999999999999</v>
      </c>
      <c r="AK85" s="1033">
        <v>0.1255</v>
      </c>
      <c r="AL85" s="1033">
        <v>0.1221</v>
      </c>
      <c r="AM85" s="1035">
        <v>0.1187</v>
      </c>
      <c r="AN85" s="1035">
        <v>0.1153</v>
      </c>
      <c r="AO85" s="1035">
        <v>0.1119</v>
      </c>
      <c r="AP85" s="1035">
        <v>0.1085</v>
      </c>
      <c r="AQ85" s="1035">
        <v>0.1051</v>
      </c>
      <c r="AR85" s="1035">
        <v>0.1016</v>
      </c>
      <c r="AS85" s="1035">
        <v>9.8199999999999996E-2</v>
      </c>
      <c r="AT85" s="1035">
        <v>9.4799999999999995E-2</v>
      </c>
      <c r="AU85" s="1035">
        <v>9.1399999999999995E-2</v>
      </c>
      <c r="AV85" s="1035">
        <v>8.7999999999999995E-2</v>
      </c>
      <c r="AW85" s="1035">
        <v>8.4599999999999995E-2</v>
      </c>
      <c r="AX85" s="1035">
        <v>8.1199999999999994E-2</v>
      </c>
      <c r="AY85" s="1035">
        <v>7.7799999999999994E-2</v>
      </c>
      <c r="AZ85" s="1035">
        <v>7.4399999999999994E-2</v>
      </c>
      <c r="BA85" s="1035">
        <v>7.0999999999999994E-2</v>
      </c>
      <c r="BB85" s="1035">
        <v>6.7599999999999993E-2</v>
      </c>
      <c r="BC85" s="1035">
        <v>6.4199999999999993E-2</v>
      </c>
      <c r="BD85" s="1035">
        <v>6.08E-2</v>
      </c>
      <c r="BE85" s="1035">
        <v>5.74E-2</v>
      </c>
      <c r="BF85" s="1035">
        <v>5.3999999999999999E-2</v>
      </c>
      <c r="BH85" s="970">
        <f t="shared" si="3"/>
        <v>5.74E-2</v>
      </c>
      <c r="BI85" s="1034">
        <f t="shared" si="27"/>
        <v>63192</v>
      </c>
      <c r="BJ85" s="1034">
        <f t="shared" si="27"/>
        <v>56900</v>
      </c>
      <c r="BL85" s="998">
        <f t="shared" si="28"/>
        <v>6242</v>
      </c>
      <c r="BM85" s="978">
        <v>13</v>
      </c>
      <c r="BN85" s="978">
        <v>13</v>
      </c>
      <c r="BO85" s="955" t="str">
        <f t="shared" si="9"/>
        <v>29.52%</v>
      </c>
      <c r="BP85" s="974">
        <f t="shared" si="10"/>
        <v>86666.666666666672</v>
      </c>
      <c r="BQ85" s="1">
        <f t="shared" si="11"/>
        <v>127400</v>
      </c>
      <c r="BR85" s="973">
        <f t="shared" si="12"/>
        <v>214066.66666666669</v>
      </c>
      <c r="BS85" s="977">
        <f t="shared" si="13"/>
        <v>63192</v>
      </c>
      <c r="BT85" s="976">
        <f t="shared" si="14"/>
        <v>0.52639999999999998</v>
      </c>
      <c r="BU85" s="1">
        <f t="shared" si="15"/>
        <v>41778</v>
      </c>
      <c r="BV85" s="975">
        <f t="shared" si="16"/>
        <v>5.74E-2</v>
      </c>
      <c r="BW85" s="1">
        <f t="shared" si="17"/>
        <v>7313</v>
      </c>
      <c r="BX85" s="973">
        <f t="shared" si="18"/>
        <v>49091</v>
      </c>
      <c r="BY85" s="973">
        <f t="shared" si="19"/>
        <v>63192</v>
      </c>
      <c r="BZ85" s="973">
        <f t="shared" si="20"/>
        <v>56900</v>
      </c>
      <c r="CA85" s="972">
        <f t="shared" si="21"/>
        <v>79365</v>
      </c>
      <c r="CB85" s="972">
        <f t="shared" si="22"/>
        <v>83333.25</v>
      </c>
      <c r="CC85" s="974">
        <f t="shared" si="23"/>
        <v>200000</v>
      </c>
      <c r="CD85" s="977">
        <f t="shared" si="24"/>
        <v>200000</v>
      </c>
      <c r="CE85" s="1">
        <f t="shared" si="29"/>
        <v>127400</v>
      </c>
      <c r="CF85" s="979">
        <v>0</v>
      </c>
      <c r="CG85" s="973">
        <f t="shared" si="30"/>
        <v>327400</v>
      </c>
      <c r="CH85" s="972">
        <f t="shared" si="25"/>
        <v>327400</v>
      </c>
      <c r="CI85" s="972">
        <f t="shared" si="26"/>
        <v>14</v>
      </c>
      <c r="CJ85" s="972">
        <f t="shared" si="4"/>
        <v>0</v>
      </c>
      <c r="CK85" s="972">
        <f t="shared" si="5"/>
        <v>0</v>
      </c>
      <c r="CL85" s="972">
        <f t="shared" si="6"/>
        <v>0</v>
      </c>
      <c r="CM85" s="972"/>
      <c r="CN85" s="954">
        <f t="shared" si="7"/>
        <v>327400</v>
      </c>
      <c r="CO85" s="1">
        <f t="shared" si="8"/>
        <v>327400</v>
      </c>
    </row>
    <row r="86" spans="2:93" s="998" customFormat="1" hidden="1">
      <c r="B86" s="1032">
        <v>14</v>
      </c>
      <c r="C86" s="1033">
        <v>0.2445</v>
      </c>
      <c r="D86" s="1033">
        <v>0.24110000000000001</v>
      </c>
      <c r="E86" s="1033">
        <v>0.23769999999999999</v>
      </c>
      <c r="F86" s="1033">
        <v>0.23430000000000001</v>
      </c>
      <c r="G86" s="1033">
        <v>0.23089999999999999</v>
      </c>
      <c r="H86" s="1033">
        <v>0.22750000000000001</v>
      </c>
      <c r="I86" s="1033">
        <v>0.22409999999999999</v>
      </c>
      <c r="J86" s="1033">
        <v>0.22070000000000001</v>
      </c>
      <c r="K86" s="1033">
        <v>0.21729999999999999</v>
      </c>
      <c r="L86" s="1033">
        <v>0.21390000000000001</v>
      </c>
      <c r="M86" s="1033">
        <v>0.21049999999999999</v>
      </c>
      <c r="N86" s="1033">
        <v>0.20710000000000001</v>
      </c>
      <c r="O86" s="1033">
        <v>0.20369999999999999</v>
      </c>
      <c r="P86" s="1033">
        <v>0.20030000000000001</v>
      </c>
      <c r="Q86" s="1033">
        <v>0.19689999999999999</v>
      </c>
      <c r="R86" s="1033">
        <v>0.19350000000000001</v>
      </c>
      <c r="S86" s="1033">
        <v>0.19009999999999999</v>
      </c>
      <c r="T86" s="1033">
        <v>0.1867</v>
      </c>
      <c r="U86" s="1033">
        <v>0.18329999999999999</v>
      </c>
      <c r="V86" s="1033">
        <v>0.1799</v>
      </c>
      <c r="W86" s="1033">
        <v>0.17649999999999999</v>
      </c>
      <c r="X86" s="1033">
        <v>0.1731</v>
      </c>
      <c r="Y86" s="1033">
        <v>0.16969999999999999</v>
      </c>
      <c r="Z86" s="1033">
        <v>0.1663</v>
      </c>
      <c r="AA86" s="1033">
        <v>0.16289999999999999</v>
      </c>
      <c r="AB86" s="1033">
        <v>0.1595</v>
      </c>
      <c r="AC86" s="1033">
        <v>0.15609999999999999</v>
      </c>
      <c r="AD86" s="1033">
        <v>0.1527</v>
      </c>
      <c r="AE86" s="1033">
        <v>0.14929999999999999</v>
      </c>
      <c r="AF86" s="1033">
        <v>0.1459</v>
      </c>
      <c r="AG86" s="1033">
        <v>0.14249999999999999</v>
      </c>
      <c r="AH86" s="1033">
        <v>0.1391</v>
      </c>
      <c r="AI86" s="1033">
        <v>0.13569999999999999</v>
      </c>
      <c r="AJ86" s="1033">
        <v>0.1323</v>
      </c>
      <c r="AK86" s="1033">
        <v>0.12889999999999999</v>
      </c>
      <c r="AL86" s="1033">
        <v>0.1255</v>
      </c>
      <c r="AM86" s="1033">
        <v>0.1221</v>
      </c>
      <c r="AN86" s="1035">
        <v>0.1187</v>
      </c>
      <c r="AO86" s="1035">
        <v>0.1153</v>
      </c>
      <c r="AP86" s="1035">
        <v>0.1119</v>
      </c>
      <c r="AQ86" s="1035">
        <v>0.1085</v>
      </c>
      <c r="AR86" s="1035">
        <v>0.1051</v>
      </c>
      <c r="AS86" s="1035">
        <v>0.1016</v>
      </c>
      <c r="AT86" s="1035">
        <v>9.8199999999999996E-2</v>
      </c>
      <c r="AU86" s="1035">
        <v>9.4799999999999995E-2</v>
      </c>
      <c r="AV86" s="1035">
        <v>9.1399999999999995E-2</v>
      </c>
      <c r="AW86" s="1035">
        <v>8.7999999999999995E-2</v>
      </c>
      <c r="AX86" s="1035">
        <v>8.4599999999999995E-2</v>
      </c>
      <c r="AY86" s="1035">
        <v>8.1199999999999994E-2</v>
      </c>
      <c r="AZ86" s="1035">
        <v>7.7799999999999994E-2</v>
      </c>
      <c r="BA86" s="1035">
        <v>7.4399999999999994E-2</v>
      </c>
      <c r="BB86" s="1035">
        <v>7.0999999999999994E-2</v>
      </c>
      <c r="BC86" s="1035">
        <v>6.7599999999999993E-2</v>
      </c>
      <c r="BD86" s="1035">
        <v>6.4199999999999993E-2</v>
      </c>
      <c r="BE86" s="1035">
        <v>6.08E-2</v>
      </c>
      <c r="BF86" s="1035">
        <v>5.74E-2</v>
      </c>
      <c r="BH86" s="970">
        <f t="shared" si="3"/>
        <v>6.08E-2</v>
      </c>
      <c r="BI86" s="1034">
        <f t="shared" si="27"/>
        <v>73010</v>
      </c>
      <c r="BJ86" s="1034">
        <f t="shared" si="27"/>
        <v>65700</v>
      </c>
      <c r="BL86" s="998">
        <f t="shared" si="28"/>
        <v>6242</v>
      </c>
      <c r="BM86" s="978">
        <v>14</v>
      </c>
      <c r="BN86" s="978">
        <v>14</v>
      </c>
      <c r="BO86" s="955" t="str">
        <f t="shared" si="9"/>
        <v>31.67%</v>
      </c>
      <c r="BP86" s="974">
        <f t="shared" si="10"/>
        <v>93333.333333333328</v>
      </c>
      <c r="BQ86" s="1">
        <f t="shared" si="11"/>
        <v>137200</v>
      </c>
      <c r="BR86" s="973">
        <f t="shared" si="12"/>
        <v>230533.33333333331</v>
      </c>
      <c r="BS86" s="977">
        <f t="shared" si="13"/>
        <v>73010</v>
      </c>
      <c r="BT86" s="976">
        <f t="shared" si="14"/>
        <v>0.53080000000000005</v>
      </c>
      <c r="BU86" s="1">
        <f t="shared" si="15"/>
        <v>45367</v>
      </c>
      <c r="BV86" s="975">
        <f t="shared" si="16"/>
        <v>6.08E-2</v>
      </c>
      <c r="BW86" s="1">
        <f t="shared" si="17"/>
        <v>8342</v>
      </c>
      <c r="BX86" s="973">
        <f t="shared" si="18"/>
        <v>53709</v>
      </c>
      <c r="BY86" s="973">
        <f t="shared" si="19"/>
        <v>73010</v>
      </c>
      <c r="BZ86" s="973">
        <f t="shared" si="20"/>
        <v>65700</v>
      </c>
      <c r="CA86" s="972">
        <f t="shared" si="21"/>
        <v>85470</v>
      </c>
      <c r="CB86" s="972">
        <f t="shared" si="22"/>
        <v>89743.5</v>
      </c>
      <c r="CC86" s="974">
        <f t="shared" si="23"/>
        <v>200000</v>
      </c>
      <c r="CD86" s="977">
        <f t="shared" si="24"/>
        <v>200000</v>
      </c>
      <c r="CE86" s="1">
        <f t="shared" si="29"/>
        <v>137200</v>
      </c>
      <c r="CF86" s="979">
        <v>0</v>
      </c>
      <c r="CG86" s="973">
        <f t="shared" si="30"/>
        <v>337200</v>
      </c>
      <c r="CH86" s="972">
        <f t="shared" si="25"/>
        <v>337200</v>
      </c>
      <c r="CI86" s="972">
        <f t="shared" si="26"/>
        <v>15</v>
      </c>
      <c r="CJ86" s="972">
        <f t="shared" si="4"/>
        <v>0</v>
      </c>
      <c r="CK86" s="972">
        <f t="shared" si="5"/>
        <v>0</v>
      </c>
      <c r="CL86" s="972">
        <f t="shared" si="6"/>
        <v>0</v>
      </c>
      <c r="CM86" s="972"/>
      <c r="CN86" s="954">
        <f t="shared" si="7"/>
        <v>337200</v>
      </c>
      <c r="CO86" s="1">
        <f t="shared" si="8"/>
        <v>337200</v>
      </c>
    </row>
    <row r="87" spans="2:93" s="998" customFormat="1" ht="3" hidden="1" customHeight="1">
      <c r="B87" s="1032">
        <v>15</v>
      </c>
      <c r="C87" s="1033">
        <v>0.24790000000000001</v>
      </c>
      <c r="D87" s="1033">
        <v>0.2445</v>
      </c>
      <c r="E87" s="1033">
        <v>0.24110000000000001</v>
      </c>
      <c r="F87" s="1033">
        <v>0.23769999999999999</v>
      </c>
      <c r="G87" s="1033">
        <v>0.23430000000000001</v>
      </c>
      <c r="H87" s="1033">
        <v>0.23089999999999999</v>
      </c>
      <c r="I87" s="1033">
        <v>0.22750000000000001</v>
      </c>
      <c r="J87" s="1033">
        <v>0.22409999999999999</v>
      </c>
      <c r="K87" s="1033">
        <v>0.22070000000000001</v>
      </c>
      <c r="L87" s="1033">
        <v>0.21729999999999999</v>
      </c>
      <c r="M87" s="1033">
        <v>0.21390000000000001</v>
      </c>
      <c r="N87" s="1033">
        <v>0.21049999999999999</v>
      </c>
      <c r="O87" s="1033">
        <v>0.20710000000000001</v>
      </c>
      <c r="P87" s="1033">
        <v>0.20369999999999999</v>
      </c>
      <c r="Q87" s="1033">
        <v>0.20030000000000001</v>
      </c>
      <c r="R87" s="1033">
        <v>0.19689999999999999</v>
      </c>
      <c r="S87" s="1033">
        <v>0.19350000000000001</v>
      </c>
      <c r="T87" s="1033">
        <v>0.19009999999999999</v>
      </c>
      <c r="U87" s="1033">
        <v>0.1867</v>
      </c>
      <c r="V87" s="1033">
        <v>0.18329999999999999</v>
      </c>
      <c r="W87" s="1033">
        <v>0.1799</v>
      </c>
      <c r="X87" s="1033">
        <v>0.17649999999999999</v>
      </c>
      <c r="Y87" s="1033">
        <v>0.1731</v>
      </c>
      <c r="Z87" s="1033">
        <v>0.16969999999999999</v>
      </c>
      <c r="AA87" s="1033">
        <v>0.1663</v>
      </c>
      <c r="AB87" s="1033">
        <v>0.16289999999999999</v>
      </c>
      <c r="AC87" s="1033">
        <v>0.1595</v>
      </c>
      <c r="AD87" s="1033">
        <v>0.15609999999999999</v>
      </c>
      <c r="AE87" s="1033">
        <v>0.1527</v>
      </c>
      <c r="AF87" s="1033">
        <v>0.14929999999999999</v>
      </c>
      <c r="AG87" s="1033">
        <v>0.1459</v>
      </c>
      <c r="AH87" s="1033">
        <v>0.14249999999999999</v>
      </c>
      <c r="AI87" s="1033">
        <v>0.1391</v>
      </c>
      <c r="AJ87" s="1033">
        <v>0.13569999999999999</v>
      </c>
      <c r="AK87" s="1033">
        <v>0.1323</v>
      </c>
      <c r="AL87" s="1033">
        <v>0.12889999999999999</v>
      </c>
      <c r="AM87" s="1033">
        <v>0.1255</v>
      </c>
      <c r="AN87" s="1033">
        <v>0.1221</v>
      </c>
      <c r="AO87" s="1035">
        <v>0.1187</v>
      </c>
      <c r="AP87" s="1035">
        <v>0.1153</v>
      </c>
      <c r="AQ87" s="1035">
        <v>0.1119</v>
      </c>
      <c r="AR87" s="1035">
        <v>0.1085</v>
      </c>
      <c r="AS87" s="1035">
        <v>0.1051</v>
      </c>
      <c r="AT87" s="1035">
        <v>0.1016</v>
      </c>
      <c r="AU87" s="1035">
        <v>9.8199999999999996E-2</v>
      </c>
      <c r="AV87" s="1035">
        <v>9.4799999999999995E-2</v>
      </c>
      <c r="AW87" s="1035">
        <v>9.1399999999999995E-2</v>
      </c>
      <c r="AX87" s="1035">
        <v>8.7999999999999995E-2</v>
      </c>
      <c r="AY87" s="1035">
        <v>8.4599999999999995E-2</v>
      </c>
      <c r="AZ87" s="1035">
        <v>8.1199999999999994E-2</v>
      </c>
      <c r="BA87" s="1035">
        <v>7.7799999999999994E-2</v>
      </c>
      <c r="BB87" s="1035">
        <v>7.4399999999999994E-2</v>
      </c>
      <c r="BC87" s="1035">
        <v>7.0999999999999994E-2</v>
      </c>
      <c r="BD87" s="1035">
        <v>6.7599999999999993E-2</v>
      </c>
      <c r="BE87" s="1035">
        <v>6.4199999999999993E-2</v>
      </c>
      <c r="BF87" s="1035">
        <v>6.08E-2</v>
      </c>
      <c r="BH87" s="970">
        <f t="shared" si="3"/>
        <v>6.4199999999999993E-2</v>
      </c>
      <c r="BI87" s="1034">
        <f t="shared" si="27"/>
        <v>83931</v>
      </c>
      <c r="BJ87" s="1034">
        <f>IF(F$11=15,BK$74*5,BZ87)</f>
        <v>75500</v>
      </c>
      <c r="BL87" s="998">
        <f t="shared" si="28"/>
        <v>6242</v>
      </c>
      <c r="BM87" s="978">
        <v>15</v>
      </c>
      <c r="BN87" s="978">
        <v>15</v>
      </c>
      <c r="BO87" s="955" t="str">
        <f t="shared" si="9"/>
        <v>33.98%</v>
      </c>
      <c r="BP87" s="974">
        <f t="shared" si="10"/>
        <v>100000</v>
      </c>
      <c r="BQ87" s="1">
        <f t="shared" si="11"/>
        <v>147000</v>
      </c>
      <c r="BR87" s="973">
        <f t="shared" si="12"/>
        <v>247000</v>
      </c>
      <c r="BS87" s="977">
        <f t="shared" si="13"/>
        <v>83931</v>
      </c>
      <c r="BT87" s="976">
        <f t="shared" si="14"/>
        <v>0.53520000000000001</v>
      </c>
      <c r="BU87" s="1">
        <f t="shared" si="15"/>
        <v>49011</v>
      </c>
      <c r="BV87" s="975">
        <f t="shared" si="16"/>
        <v>6.4199999999999993E-2</v>
      </c>
      <c r="BW87" s="1">
        <f t="shared" si="17"/>
        <v>9437</v>
      </c>
      <c r="BX87" s="973">
        <f t="shared" si="18"/>
        <v>58448</v>
      </c>
      <c r="BY87" s="973">
        <f t="shared" si="19"/>
        <v>83931</v>
      </c>
      <c r="BZ87" s="973">
        <f t="shared" si="20"/>
        <v>75500</v>
      </c>
      <c r="CA87" s="972">
        <f t="shared" si="21"/>
        <v>91575</v>
      </c>
      <c r="CB87" s="972">
        <f t="shared" si="22"/>
        <v>96153.75</v>
      </c>
      <c r="CC87" s="974">
        <f t="shared" si="23"/>
        <v>200000</v>
      </c>
      <c r="CD87" s="977">
        <f t="shared" si="24"/>
        <v>200000</v>
      </c>
      <c r="CE87" s="1">
        <f t="shared" si="29"/>
        <v>147000</v>
      </c>
      <c r="CF87" s="1">
        <f t="shared" ref="CF87:CF102" si="31">IF(BO87=0,0,BG9*CC87/1000)</f>
        <v>2000</v>
      </c>
      <c r="CG87" s="973">
        <f t="shared" si="30"/>
        <v>349000</v>
      </c>
      <c r="CH87" s="972">
        <f t="shared" si="25"/>
        <v>349000</v>
      </c>
      <c r="CI87" s="972">
        <f t="shared" si="26"/>
        <v>16</v>
      </c>
      <c r="CJ87" s="972">
        <f t="shared" si="4"/>
        <v>0</v>
      </c>
      <c r="CK87" s="972">
        <f t="shared" si="5"/>
        <v>0</v>
      </c>
      <c r="CL87" s="972">
        <f t="shared" si="6"/>
        <v>0</v>
      </c>
      <c r="CM87" s="972"/>
      <c r="CN87" s="954">
        <f t="shared" si="7"/>
        <v>349000</v>
      </c>
      <c r="CO87" s="1">
        <f t="shared" si="8"/>
        <v>349000</v>
      </c>
    </row>
    <row r="88" spans="2:93" s="998" customFormat="1" hidden="1">
      <c r="B88" s="1032">
        <v>16</v>
      </c>
      <c r="C88" s="1033">
        <v>0.25130000000000002</v>
      </c>
      <c r="D88" s="1033">
        <v>0.24790000000000001</v>
      </c>
      <c r="E88" s="1033">
        <v>0.2445</v>
      </c>
      <c r="F88" s="1033">
        <v>0.24110000000000001</v>
      </c>
      <c r="G88" s="1033">
        <v>0.23769999999999999</v>
      </c>
      <c r="H88" s="1033">
        <v>0.23430000000000001</v>
      </c>
      <c r="I88" s="1033">
        <v>0.23089999999999999</v>
      </c>
      <c r="J88" s="1033">
        <v>0.22750000000000001</v>
      </c>
      <c r="K88" s="1033">
        <v>0.22409999999999999</v>
      </c>
      <c r="L88" s="1033">
        <v>0.22070000000000001</v>
      </c>
      <c r="M88" s="1033">
        <v>0.21729999999999999</v>
      </c>
      <c r="N88" s="1033">
        <v>0.21390000000000001</v>
      </c>
      <c r="O88" s="1033">
        <v>0.21049999999999999</v>
      </c>
      <c r="P88" s="1033">
        <v>0.20710000000000001</v>
      </c>
      <c r="Q88" s="1033">
        <v>0.20369999999999999</v>
      </c>
      <c r="R88" s="1033">
        <v>0.20030000000000001</v>
      </c>
      <c r="S88" s="1033">
        <v>0.19689999999999999</v>
      </c>
      <c r="T88" s="1033">
        <v>0.19350000000000001</v>
      </c>
      <c r="U88" s="1033">
        <v>0.19009999999999999</v>
      </c>
      <c r="V88" s="1033">
        <v>0.1867</v>
      </c>
      <c r="W88" s="1033">
        <v>0.18329999999999999</v>
      </c>
      <c r="X88" s="1033">
        <v>0.1799</v>
      </c>
      <c r="Y88" s="1033">
        <v>0.17649999999999999</v>
      </c>
      <c r="Z88" s="1033">
        <v>0.1731</v>
      </c>
      <c r="AA88" s="1033">
        <v>0.16969999999999999</v>
      </c>
      <c r="AB88" s="1033">
        <v>0.1663</v>
      </c>
      <c r="AC88" s="1033">
        <v>0.16289999999999999</v>
      </c>
      <c r="AD88" s="1033">
        <v>0.1595</v>
      </c>
      <c r="AE88" s="1033">
        <v>0.15609999999999999</v>
      </c>
      <c r="AF88" s="1033">
        <v>0.1527</v>
      </c>
      <c r="AG88" s="1033">
        <v>0.14929999999999999</v>
      </c>
      <c r="AH88" s="1033">
        <v>0.1459</v>
      </c>
      <c r="AI88" s="1033">
        <v>0.14249999999999999</v>
      </c>
      <c r="AJ88" s="1033">
        <v>0.1391</v>
      </c>
      <c r="AK88" s="1033">
        <v>0.13569999999999999</v>
      </c>
      <c r="AL88" s="1033">
        <v>0.1323</v>
      </c>
      <c r="AM88" s="1033">
        <v>0.12889999999999999</v>
      </c>
      <c r="AN88" s="1033">
        <v>0.1255</v>
      </c>
      <c r="AO88" s="1033">
        <v>0.1221</v>
      </c>
      <c r="AP88" s="1035">
        <v>0.1187</v>
      </c>
      <c r="AQ88" s="1035">
        <v>0.1153</v>
      </c>
      <c r="AR88" s="1035">
        <v>0.1119</v>
      </c>
      <c r="AS88" s="1035">
        <v>0.1085</v>
      </c>
      <c r="AT88" s="1035">
        <v>0.1051</v>
      </c>
      <c r="AU88" s="1035">
        <v>0.1016</v>
      </c>
      <c r="AV88" s="1035">
        <v>9.8199999999999996E-2</v>
      </c>
      <c r="AW88" s="1035">
        <v>9.4799999999999995E-2</v>
      </c>
      <c r="AX88" s="1035">
        <v>9.1399999999999995E-2</v>
      </c>
      <c r="AY88" s="1035">
        <v>8.7999999999999995E-2</v>
      </c>
      <c r="AZ88" s="1035">
        <v>8.4599999999999995E-2</v>
      </c>
      <c r="BA88" s="1035">
        <v>8.1199999999999994E-2</v>
      </c>
      <c r="BB88" s="1035">
        <v>7.7799999999999994E-2</v>
      </c>
      <c r="BC88" s="1035">
        <v>7.4399999999999994E-2</v>
      </c>
      <c r="BD88" s="1035">
        <v>7.0999999999999994E-2</v>
      </c>
      <c r="BE88" s="1035">
        <v>6.7599999999999993E-2</v>
      </c>
      <c r="BF88" s="1035">
        <v>6.4199999999999993E-2</v>
      </c>
      <c r="BH88" s="970">
        <f t="shared" si="3"/>
        <v>6.7599999999999993E-2</v>
      </c>
      <c r="BI88" s="1034">
        <f>IF(F$11=15,BX88,BY88)</f>
        <v>96007</v>
      </c>
      <c r="BJ88" s="1034">
        <f>IF(F$11=15,BK$74*5,BZ88)</f>
        <v>86400</v>
      </c>
      <c r="BK88" s="998">
        <f>IF(F$11=15,BK$74,0)</f>
        <v>0</v>
      </c>
      <c r="BL88" s="998">
        <f t="shared" si="28"/>
        <v>6242</v>
      </c>
      <c r="BM88" s="998">
        <f>IF(F$11=15,15,BN88)</f>
        <v>16</v>
      </c>
      <c r="BN88" s="978">
        <v>16</v>
      </c>
      <c r="BO88" s="955" t="str">
        <f t="shared" si="9"/>
        <v>36.44%</v>
      </c>
      <c r="BP88" s="974">
        <f t="shared" si="10"/>
        <v>106666.66666666667</v>
      </c>
      <c r="BQ88" s="1">
        <f t="shared" si="11"/>
        <v>156800</v>
      </c>
      <c r="BR88" s="973">
        <f t="shared" si="12"/>
        <v>263466.66666666669</v>
      </c>
      <c r="BS88" s="977">
        <f t="shared" si="13"/>
        <v>96007</v>
      </c>
      <c r="BT88" s="976">
        <f t="shared" si="14"/>
        <v>0.53959999999999997</v>
      </c>
      <c r="BU88" s="1">
        <f t="shared" si="15"/>
        <v>52708</v>
      </c>
      <c r="BV88" s="975">
        <f t="shared" si="16"/>
        <v>6.7599999999999993E-2</v>
      </c>
      <c r="BW88" s="1">
        <f t="shared" si="17"/>
        <v>10600</v>
      </c>
      <c r="BX88" s="973">
        <f t="shared" si="18"/>
        <v>63308</v>
      </c>
      <c r="BY88" s="973">
        <f t="shared" si="19"/>
        <v>96007</v>
      </c>
      <c r="BZ88" s="973">
        <f t="shared" si="20"/>
        <v>86400</v>
      </c>
      <c r="CA88" s="972">
        <f t="shared" si="21"/>
        <v>97680</v>
      </c>
      <c r="CB88" s="972">
        <f t="shared" si="22"/>
        <v>102564</v>
      </c>
      <c r="CC88" s="974">
        <f t="shared" si="23"/>
        <v>200000</v>
      </c>
      <c r="CD88" s="977">
        <f t="shared" si="24"/>
        <v>200000</v>
      </c>
      <c r="CE88" s="1">
        <f t="shared" si="29"/>
        <v>156800</v>
      </c>
      <c r="CF88" s="1">
        <f t="shared" si="31"/>
        <v>2600</v>
      </c>
      <c r="CG88" s="973">
        <f t="shared" si="30"/>
        <v>359400</v>
      </c>
      <c r="CH88" s="972">
        <f t="shared" si="25"/>
        <v>359400</v>
      </c>
      <c r="CI88" s="972">
        <f t="shared" si="26"/>
        <v>17</v>
      </c>
      <c r="CJ88" s="972">
        <f t="shared" si="4"/>
        <v>0</v>
      </c>
      <c r="CK88" s="972">
        <f t="shared" si="5"/>
        <v>0</v>
      </c>
      <c r="CL88" s="972">
        <f t="shared" si="6"/>
        <v>0</v>
      </c>
      <c r="CM88" s="972"/>
      <c r="CN88" s="954">
        <f t="shared" si="7"/>
        <v>359400</v>
      </c>
      <c r="CO88" s="1">
        <f t="shared" si="8"/>
        <v>359400</v>
      </c>
    </row>
    <row r="89" spans="2:93" s="998" customFormat="1" hidden="1">
      <c r="B89" s="1032">
        <v>17</v>
      </c>
      <c r="C89" s="1033">
        <v>0.25469999999999998</v>
      </c>
      <c r="D89" s="1033">
        <v>0.25130000000000002</v>
      </c>
      <c r="E89" s="1033">
        <v>0.24790000000000001</v>
      </c>
      <c r="F89" s="1033">
        <v>0.2445</v>
      </c>
      <c r="G89" s="1033">
        <v>0.24110000000000001</v>
      </c>
      <c r="H89" s="1033">
        <v>0.23769999999999999</v>
      </c>
      <c r="I89" s="1033">
        <v>0.23430000000000001</v>
      </c>
      <c r="J89" s="1033">
        <v>0.23089999999999999</v>
      </c>
      <c r="K89" s="1033">
        <v>0.22750000000000001</v>
      </c>
      <c r="L89" s="1033">
        <v>0.22409999999999999</v>
      </c>
      <c r="M89" s="1033">
        <v>0.22070000000000001</v>
      </c>
      <c r="N89" s="1033">
        <v>0.21729999999999999</v>
      </c>
      <c r="O89" s="1033">
        <v>0.21390000000000001</v>
      </c>
      <c r="P89" s="1033">
        <v>0.21049999999999999</v>
      </c>
      <c r="Q89" s="1033">
        <v>0.20710000000000001</v>
      </c>
      <c r="R89" s="1033">
        <v>0.20369999999999999</v>
      </c>
      <c r="S89" s="1033">
        <v>0.20030000000000001</v>
      </c>
      <c r="T89" s="1033">
        <v>0.19689999999999999</v>
      </c>
      <c r="U89" s="1033">
        <v>0.19350000000000001</v>
      </c>
      <c r="V89" s="1033">
        <v>0.19009999999999999</v>
      </c>
      <c r="W89" s="1033">
        <v>0.1867</v>
      </c>
      <c r="X89" s="1033">
        <v>0.18329999999999999</v>
      </c>
      <c r="Y89" s="1033">
        <v>0.1799</v>
      </c>
      <c r="Z89" s="1033">
        <v>0.17649999999999999</v>
      </c>
      <c r="AA89" s="1033">
        <v>0.1731</v>
      </c>
      <c r="AB89" s="1033">
        <v>0.16969999999999999</v>
      </c>
      <c r="AC89" s="1033">
        <v>0.1663</v>
      </c>
      <c r="AD89" s="1033">
        <v>0.16289999999999999</v>
      </c>
      <c r="AE89" s="1033">
        <v>0.1595</v>
      </c>
      <c r="AF89" s="1033">
        <v>0.15609999999999999</v>
      </c>
      <c r="AG89" s="1033">
        <v>0.1527</v>
      </c>
      <c r="AH89" s="1033">
        <v>0.14929999999999999</v>
      </c>
      <c r="AI89" s="1033">
        <v>0.1459</v>
      </c>
      <c r="AJ89" s="1033">
        <v>0.14249999999999999</v>
      </c>
      <c r="AK89" s="1033">
        <v>0.1391</v>
      </c>
      <c r="AL89" s="1033">
        <v>0.13569999999999999</v>
      </c>
      <c r="AM89" s="1033">
        <v>0.1323</v>
      </c>
      <c r="AN89" s="1033">
        <v>0.12889999999999999</v>
      </c>
      <c r="AO89" s="1033">
        <v>0.1255</v>
      </c>
      <c r="AP89" s="1033">
        <v>0.1221</v>
      </c>
      <c r="AQ89" s="1035">
        <v>0.1187</v>
      </c>
      <c r="AR89" s="1035">
        <v>0.1153</v>
      </c>
      <c r="AS89" s="1035">
        <v>0.1119</v>
      </c>
      <c r="AT89" s="1035">
        <v>0.1085</v>
      </c>
      <c r="AU89" s="1035">
        <v>0.1051</v>
      </c>
      <c r="AV89" s="1035">
        <v>0.1016</v>
      </c>
      <c r="AW89" s="1035">
        <v>9.8199999999999996E-2</v>
      </c>
      <c r="AX89" s="1035">
        <v>9.4799999999999995E-2</v>
      </c>
      <c r="AY89" s="1035">
        <v>9.1399999999999995E-2</v>
      </c>
      <c r="AZ89" s="1035">
        <v>8.7999999999999995E-2</v>
      </c>
      <c r="BA89" s="1035">
        <v>8.4599999999999995E-2</v>
      </c>
      <c r="BB89" s="1035">
        <v>8.1199999999999994E-2</v>
      </c>
      <c r="BC89" s="1035">
        <v>7.7799999999999994E-2</v>
      </c>
      <c r="BD89" s="1035">
        <v>7.4399999999999994E-2</v>
      </c>
      <c r="BE89" s="1035">
        <v>7.0999999999999994E-2</v>
      </c>
      <c r="BF89" s="1035">
        <v>6.7599999999999993E-2</v>
      </c>
      <c r="BH89" s="970">
        <f t="shared" si="3"/>
        <v>7.0999999999999994E-2</v>
      </c>
      <c r="BI89" s="1034">
        <f t="shared" ref="BI89:BI92" si="32">IF(F$11=15,BX89,BY89)</f>
        <v>109426</v>
      </c>
      <c r="BJ89" s="1034">
        <f>IF(F$11=15,BK$74*5,BZ89)</f>
        <v>98500</v>
      </c>
      <c r="BK89" s="998">
        <f>IF(F$11=15,BK$74,0)</f>
        <v>0</v>
      </c>
      <c r="BL89" s="998">
        <f t="shared" si="28"/>
        <v>6242</v>
      </c>
      <c r="BM89" s="998">
        <f>IF(F$11=15,15,BN89)</f>
        <v>17</v>
      </c>
      <c r="BN89" s="978">
        <v>17</v>
      </c>
      <c r="BO89" s="955" t="str">
        <f t="shared" si="9"/>
        <v>39.09%</v>
      </c>
      <c r="BP89" s="974">
        <f t="shared" si="10"/>
        <v>113333.33333333333</v>
      </c>
      <c r="BQ89" s="1">
        <f t="shared" si="11"/>
        <v>166600</v>
      </c>
      <c r="BR89" s="973">
        <f t="shared" si="12"/>
        <v>279933.33333333331</v>
      </c>
      <c r="BS89" s="977">
        <f t="shared" si="13"/>
        <v>109426</v>
      </c>
      <c r="BT89" s="976">
        <f t="shared" si="14"/>
        <v>0.54400000000000004</v>
      </c>
      <c r="BU89" s="1">
        <f t="shared" si="15"/>
        <v>56459</v>
      </c>
      <c r="BV89" s="975">
        <f t="shared" si="16"/>
        <v>7.0999999999999994E-2</v>
      </c>
      <c r="BW89" s="1">
        <f t="shared" si="17"/>
        <v>11829</v>
      </c>
      <c r="BX89" s="973">
        <f t="shared" si="18"/>
        <v>68288</v>
      </c>
      <c r="BY89" s="973">
        <f t="shared" si="19"/>
        <v>109426</v>
      </c>
      <c r="BZ89" s="973">
        <f t="shared" si="20"/>
        <v>98500</v>
      </c>
      <c r="CA89" s="972">
        <f t="shared" si="21"/>
        <v>103785</v>
      </c>
      <c r="CB89" s="972">
        <f t="shared" si="22"/>
        <v>108974.25</v>
      </c>
      <c r="CC89" s="974">
        <f t="shared" si="23"/>
        <v>200000</v>
      </c>
      <c r="CD89" s="977">
        <f t="shared" si="24"/>
        <v>200000</v>
      </c>
      <c r="CE89" s="1">
        <f t="shared" si="29"/>
        <v>166600</v>
      </c>
      <c r="CF89" s="1">
        <f t="shared" si="31"/>
        <v>3000</v>
      </c>
      <c r="CG89" s="973">
        <f t="shared" si="30"/>
        <v>369600</v>
      </c>
      <c r="CH89" s="972">
        <f t="shared" si="25"/>
        <v>369600</v>
      </c>
      <c r="CI89" s="972">
        <f t="shared" si="26"/>
        <v>18</v>
      </c>
      <c r="CJ89" s="972">
        <f t="shared" si="4"/>
        <v>0</v>
      </c>
      <c r="CK89" s="972">
        <f t="shared" si="5"/>
        <v>0</v>
      </c>
      <c r="CL89" s="972">
        <f t="shared" si="6"/>
        <v>0</v>
      </c>
      <c r="CM89" s="972"/>
      <c r="CN89" s="954">
        <f t="shared" si="7"/>
        <v>369600</v>
      </c>
      <c r="CO89" s="1">
        <f t="shared" si="8"/>
        <v>369600</v>
      </c>
    </row>
    <row r="90" spans="2:93" s="998" customFormat="1" hidden="1">
      <c r="B90" s="1032">
        <v>18</v>
      </c>
      <c r="C90" s="1033">
        <v>0.25609999999999999</v>
      </c>
      <c r="D90" s="1033">
        <v>0.25469999999999998</v>
      </c>
      <c r="E90" s="1033">
        <v>0.25130000000000002</v>
      </c>
      <c r="F90" s="1033">
        <v>0.24790000000000001</v>
      </c>
      <c r="G90" s="1033">
        <v>0.2445</v>
      </c>
      <c r="H90" s="1033">
        <v>0.24110000000000001</v>
      </c>
      <c r="I90" s="1033">
        <v>0.23769999999999999</v>
      </c>
      <c r="J90" s="1033">
        <v>0.23430000000000001</v>
      </c>
      <c r="K90" s="1033">
        <v>0.23089999999999999</v>
      </c>
      <c r="L90" s="1033">
        <v>0.22750000000000001</v>
      </c>
      <c r="M90" s="1033">
        <v>0.22409999999999999</v>
      </c>
      <c r="N90" s="1033">
        <v>0.22070000000000001</v>
      </c>
      <c r="O90" s="1033">
        <v>0.21729999999999999</v>
      </c>
      <c r="P90" s="1033">
        <v>0.21390000000000001</v>
      </c>
      <c r="Q90" s="1033">
        <v>0.21049999999999999</v>
      </c>
      <c r="R90" s="1033">
        <v>0.20710000000000001</v>
      </c>
      <c r="S90" s="1033">
        <v>0.20369999999999999</v>
      </c>
      <c r="T90" s="1033">
        <v>0.20030000000000001</v>
      </c>
      <c r="U90" s="1033">
        <v>0.19689999999999999</v>
      </c>
      <c r="V90" s="1033">
        <v>0.19350000000000001</v>
      </c>
      <c r="W90" s="1033">
        <v>0.19009999999999999</v>
      </c>
      <c r="X90" s="1033">
        <v>0.1867</v>
      </c>
      <c r="Y90" s="1033">
        <v>0.18329999999999999</v>
      </c>
      <c r="Z90" s="1033">
        <v>0.1799</v>
      </c>
      <c r="AA90" s="1033">
        <v>0.17649999999999999</v>
      </c>
      <c r="AB90" s="1033">
        <v>0.1731</v>
      </c>
      <c r="AC90" s="1033">
        <v>0.16969999999999999</v>
      </c>
      <c r="AD90" s="1033">
        <v>0.1663</v>
      </c>
      <c r="AE90" s="1033">
        <v>0.16289999999999999</v>
      </c>
      <c r="AF90" s="1033">
        <v>0.1595</v>
      </c>
      <c r="AG90" s="1033">
        <v>0.15609999999999999</v>
      </c>
      <c r="AH90" s="1033">
        <v>0.1527</v>
      </c>
      <c r="AI90" s="1033">
        <v>0.14929999999999999</v>
      </c>
      <c r="AJ90" s="1033">
        <v>0.1459</v>
      </c>
      <c r="AK90" s="1033">
        <v>0.14249999999999999</v>
      </c>
      <c r="AL90" s="1033">
        <v>0.1391</v>
      </c>
      <c r="AM90" s="1033">
        <v>0.13569999999999999</v>
      </c>
      <c r="AN90" s="1033">
        <v>0.1323</v>
      </c>
      <c r="AO90" s="1033">
        <v>0.12889999999999999</v>
      </c>
      <c r="AP90" s="1033">
        <v>0.1255</v>
      </c>
      <c r="AQ90" s="1033">
        <v>0.1221</v>
      </c>
      <c r="AR90" s="1035">
        <v>0.1187</v>
      </c>
      <c r="AS90" s="1035">
        <v>0.1153</v>
      </c>
      <c r="AT90" s="1035">
        <v>0.1119</v>
      </c>
      <c r="AU90" s="1035">
        <v>0.1085</v>
      </c>
      <c r="AV90" s="1035">
        <v>0.1051</v>
      </c>
      <c r="AW90" s="1035">
        <v>0.1016</v>
      </c>
      <c r="AX90" s="1035">
        <v>9.8199999999999996E-2</v>
      </c>
      <c r="AY90" s="1035">
        <v>9.4799999999999995E-2</v>
      </c>
      <c r="AZ90" s="1035">
        <v>9.1399999999999995E-2</v>
      </c>
      <c r="BA90" s="1035">
        <v>8.7999999999999995E-2</v>
      </c>
      <c r="BB90" s="1035">
        <v>8.4599999999999995E-2</v>
      </c>
      <c r="BC90" s="1035">
        <v>8.1199999999999994E-2</v>
      </c>
      <c r="BD90" s="1035">
        <v>7.7799999999999994E-2</v>
      </c>
      <c r="BE90" s="1035">
        <v>7.4399999999999994E-2</v>
      </c>
      <c r="BF90" s="1035">
        <v>7.0999999999999994E-2</v>
      </c>
      <c r="BH90" s="970">
        <f t="shared" si="3"/>
        <v>7.4399999999999994E-2</v>
      </c>
      <c r="BI90" s="1034">
        <f t="shared" si="32"/>
        <v>124251</v>
      </c>
      <c r="BJ90" s="1034">
        <f>IF(F$11=15,BK$74*5,BZ90)</f>
        <v>111800</v>
      </c>
      <c r="BK90" s="998">
        <f>IF(F$11=15,BK$74,0)</f>
        <v>0</v>
      </c>
      <c r="BL90" s="998">
        <f t="shared" si="28"/>
        <v>6242</v>
      </c>
      <c r="BM90" s="998">
        <f>IF(F$11=15,15,BN90)</f>
        <v>18</v>
      </c>
      <c r="BN90" s="978">
        <v>18</v>
      </c>
      <c r="BO90" s="955" t="str">
        <f t="shared" si="9"/>
        <v>41.92%</v>
      </c>
      <c r="BP90" s="974">
        <f t="shared" si="10"/>
        <v>120000</v>
      </c>
      <c r="BQ90" s="1">
        <f t="shared" si="11"/>
        <v>176400</v>
      </c>
      <c r="BR90" s="973">
        <f t="shared" si="12"/>
        <v>296400</v>
      </c>
      <c r="BS90" s="977">
        <f t="shared" si="13"/>
        <v>124251</v>
      </c>
      <c r="BT90" s="976">
        <f t="shared" si="14"/>
        <v>0.5484</v>
      </c>
      <c r="BU90" s="1">
        <f t="shared" si="15"/>
        <v>60264</v>
      </c>
      <c r="BV90" s="975">
        <f t="shared" si="16"/>
        <v>7.4399999999999994E-2</v>
      </c>
      <c r="BW90" s="1">
        <f t="shared" si="17"/>
        <v>13124</v>
      </c>
      <c r="BX90" s="973">
        <f t="shared" si="18"/>
        <v>73388</v>
      </c>
      <c r="BY90" s="973">
        <f t="shared" si="19"/>
        <v>124251</v>
      </c>
      <c r="BZ90" s="973">
        <f t="shared" si="20"/>
        <v>111800</v>
      </c>
      <c r="CA90" s="972">
        <f t="shared" si="21"/>
        <v>109890</v>
      </c>
      <c r="CB90" s="972">
        <f t="shared" si="22"/>
        <v>115384.5</v>
      </c>
      <c r="CC90" s="974">
        <f t="shared" si="23"/>
        <v>200000</v>
      </c>
      <c r="CD90" s="977">
        <f t="shared" si="24"/>
        <v>200000</v>
      </c>
      <c r="CE90" s="1">
        <f t="shared" si="29"/>
        <v>176400</v>
      </c>
      <c r="CF90" s="1">
        <f t="shared" si="31"/>
        <v>3600</v>
      </c>
      <c r="CG90" s="973">
        <f t="shared" si="30"/>
        <v>380000</v>
      </c>
      <c r="CH90" s="972">
        <f t="shared" si="25"/>
        <v>380000</v>
      </c>
      <c r="CI90" s="972">
        <f t="shared" si="26"/>
        <v>19</v>
      </c>
      <c r="CJ90" s="972">
        <f t="shared" si="4"/>
        <v>0</v>
      </c>
      <c r="CK90" s="972">
        <f t="shared" si="5"/>
        <v>0</v>
      </c>
      <c r="CL90" s="972">
        <f t="shared" si="6"/>
        <v>0</v>
      </c>
      <c r="CM90" s="972"/>
      <c r="CN90" s="954">
        <f t="shared" si="7"/>
        <v>380000</v>
      </c>
      <c r="CO90" s="1">
        <f t="shared" si="8"/>
        <v>380000</v>
      </c>
    </row>
    <row r="91" spans="2:93" s="998" customFormat="1" hidden="1">
      <c r="B91" s="1032">
        <v>19</v>
      </c>
      <c r="C91" s="1033">
        <v>0.26150000000000001</v>
      </c>
      <c r="D91" s="1033">
        <v>0.25609999999999999</v>
      </c>
      <c r="E91" s="1033">
        <v>0.25469999999999998</v>
      </c>
      <c r="F91" s="1033">
        <v>0.25130000000000002</v>
      </c>
      <c r="G91" s="1033">
        <v>0.24790000000000001</v>
      </c>
      <c r="H91" s="1033">
        <v>0.2445</v>
      </c>
      <c r="I91" s="1033">
        <v>0.24110000000000001</v>
      </c>
      <c r="J91" s="1033">
        <v>0.23769999999999999</v>
      </c>
      <c r="K91" s="1033">
        <v>0.23430000000000001</v>
      </c>
      <c r="L91" s="1033">
        <v>0.23089999999999999</v>
      </c>
      <c r="M91" s="1033">
        <v>0.22750000000000001</v>
      </c>
      <c r="N91" s="1033">
        <v>0.22409999999999999</v>
      </c>
      <c r="O91" s="1033">
        <v>0.22070000000000001</v>
      </c>
      <c r="P91" s="1033">
        <v>0.21729999999999999</v>
      </c>
      <c r="Q91" s="1033">
        <v>0.21390000000000001</v>
      </c>
      <c r="R91" s="1033">
        <v>0.21049999999999999</v>
      </c>
      <c r="S91" s="1033">
        <v>0.20710000000000001</v>
      </c>
      <c r="T91" s="1033">
        <v>0.20369999999999999</v>
      </c>
      <c r="U91" s="1033">
        <v>0.20030000000000001</v>
      </c>
      <c r="V91" s="1033">
        <v>0.19689999999999999</v>
      </c>
      <c r="W91" s="1033">
        <v>0.19350000000000001</v>
      </c>
      <c r="X91" s="1033">
        <v>0.19009999999999999</v>
      </c>
      <c r="Y91" s="1033">
        <v>0.1867</v>
      </c>
      <c r="Z91" s="1033">
        <v>0.18329999999999999</v>
      </c>
      <c r="AA91" s="1033">
        <v>0.1799</v>
      </c>
      <c r="AB91" s="1033">
        <v>0.17649999999999999</v>
      </c>
      <c r="AC91" s="1033">
        <v>0.1731</v>
      </c>
      <c r="AD91" s="1033">
        <v>0.16969999999999999</v>
      </c>
      <c r="AE91" s="1033">
        <v>0.1663</v>
      </c>
      <c r="AF91" s="1033">
        <v>0.16289999999999999</v>
      </c>
      <c r="AG91" s="1033">
        <v>0.1595</v>
      </c>
      <c r="AH91" s="1033">
        <v>0.15609999999999999</v>
      </c>
      <c r="AI91" s="1033">
        <v>0.1527</v>
      </c>
      <c r="AJ91" s="1033">
        <v>0.14929999999999999</v>
      </c>
      <c r="AK91" s="1033">
        <v>0.1459</v>
      </c>
      <c r="AL91" s="1033">
        <v>0.14249999999999999</v>
      </c>
      <c r="AM91" s="1033">
        <v>0.1391</v>
      </c>
      <c r="AN91" s="1033">
        <v>0.13569999999999999</v>
      </c>
      <c r="AO91" s="1033">
        <v>0.1323</v>
      </c>
      <c r="AP91" s="1033">
        <v>0.12889999999999999</v>
      </c>
      <c r="AQ91" s="1033">
        <v>0.1255</v>
      </c>
      <c r="AR91" s="1033">
        <v>0.1221</v>
      </c>
      <c r="AS91" s="1035">
        <v>0.1187</v>
      </c>
      <c r="AT91" s="1035">
        <v>0.1153</v>
      </c>
      <c r="AU91" s="1035">
        <v>0.1119</v>
      </c>
      <c r="AV91" s="1035">
        <v>0.1085</v>
      </c>
      <c r="AW91" s="1035">
        <v>0.1051</v>
      </c>
      <c r="AX91" s="1035">
        <v>0.1016</v>
      </c>
      <c r="AY91" s="1035">
        <v>9.8199999999999996E-2</v>
      </c>
      <c r="AZ91" s="1035">
        <v>9.4799999999999995E-2</v>
      </c>
      <c r="BA91" s="1035">
        <v>9.1399999999999995E-2</v>
      </c>
      <c r="BB91" s="1035">
        <v>8.7999999999999995E-2</v>
      </c>
      <c r="BC91" s="1035">
        <v>8.4599999999999995E-2</v>
      </c>
      <c r="BD91" s="1035">
        <v>8.1199999999999994E-2</v>
      </c>
      <c r="BE91" s="1035">
        <v>7.7799999999999994E-2</v>
      </c>
      <c r="BF91" s="1035">
        <v>7.4399999999999994E-2</v>
      </c>
      <c r="BH91" s="970">
        <f t="shared" si="3"/>
        <v>7.7799999999999994E-2</v>
      </c>
      <c r="BI91" s="1034">
        <f t="shared" si="32"/>
        <v>140696</v>
      </c>
      <c r="BJ91" s="1034">
        <f>IF(F$11=15,BK$74*5,BZ91)</f>
        <v>126600</v>
      </c>
      <c r="BK91" s="998">
        <f>IF(F$11=15,BK$74,0)</f>
        <v>0</v>
      </c>
      <c r="BL91" s="998">
        <f t="shared" si="28"/>
        <v>6242</v>
      </c>
      <c r="BM91" s="998">
        <f>IF(F$11=15,15,BN91)</f>
        <v>19</v>
      </c>
      <c r="BN91" s="978">
        <v>19</v>
      </c>
      <c r="BO91" s="955" t="str">
        <f t="shared" si="9"/>
        <v>44.97%</v>
      </c>
      <c r="BP91" s="974">
        <f t="shared" si="10"/>
        <v>126666.66666666667</v>
      </c>
      <c r="BQ91" s="1">
        <f t="shared" si="11"/>
        <v>186200</v>
      </c>
      <c r="BR91" s="973">
        <f t="shared" si="12"/>
        <v>312866.66666666669</v>
      </c>
      <c r="BS91" s="977">
        <f t="shared" si="13"/>
        <v>140696</v>
      </c>
      <c r="BT91" s="976">
        <f t="shared" si="14"/>
        <v>0.55269999999999997</v>
      </c>
      <c r="BU91" s="1">
        <f t="shared" si="15"/>
        <v>64110</v>
      </c>
      <c r="BV91" s="975">
        <f t="shared" si="16"/>
        <v>7.7799999999999994E-2</v>
      </c>
      <c r="BW91" s="1">
        <f t="shared" si="17"/>
        <v>14486</v>
      </c>
      <c r="BX91" s="973">
        <f t="shared" si="18"/>
        <v>78596</v>
      </c>
      <c r="BY91" s="973">
        <f t="shared" si="19"/>
        <v>140696</v>
      </c>
      <c r="BZ91" s="973">
        <f t="shared" si="20"/>
        <v>126600</v>
      </c>
      <c r="CA91" s="972">
        <f t="shared" si="21"/>
        <v>115995</v>
      </c>
      <c r="CB91" s="972">
        <f t="shared" si="22"/>
        <v>121794.75</v>
      </c>
      <c r="CC91" s="974">
        <f t="shared" si="23"/>
        <v>200000</v>
      </c>
      <c r="CD91" s="977">
        <f t="shared" si="24"/>
        <v>200000</v>
      </c>
      <c r="CE91" s="1">
        <f t="shared" si="29"/>
        <v>186200</v>
      </c>
      <c r="CF91" s="1">
        <f t="shared" si="31"/>
        <v>5000</v>
      </c>
      <c r="CG91" s="973">
        <f t="shared" si="30"/>
        <v>391200</v>
      </c>
      <c r="CH91" s="972">
        <f t="shared" si="25"/>
        <v>391200</v>
      </c>
      <c r="CI91" s="972">
        <f t="shared" si="26"/>
        <v>20</v>
      </c>
      <c r="CJ91" s="972">
        <f t="shared" si="4"/>
        <v>0</v>
      </c>
      <c r="CK91" s="972">
        <f t="shared" si="5"/>
        <v>0</v>
      </c>
      <c r="CL91" s="972">
        <f t="shared" si="6"/>
        <v>0</v>
      </c>
      <c r="CM91" s="972"/>
      <c r="CN91" s="954">
        <f t="shared" si="7"/>
        <v>391200</v>
      </c>
      <c r="CO91" s="1">
        <f t="shared" si="8"/>
        <v>391200</v>
      </c>
    </row>
    <row r="92" spans="2:93" s="998" customFormat="1" hidden="1">
      <c r="B92" s="1032">
        <v>20</v>
      </c>
      <c r="C92" s="1033">
        <v>0.26490000000000002</v>
      </c>
      <c r="D92" s="1033">
        <v>0.26150000000000001</v>
      </c>
      <c r="E92" s="1033">
        <v>0.25609999999999999</v>
      </c>
      <c r="F92" s="1033">
        <v>0.25469999999999998</v>
      </c>
      <c r="G92" s="1033">
        <v>0.25130000000000002</v>
      </c>
      <c r="H92" s="1033">
        <v>0.24790000000000001</v>
      </c>
      <c r="I92" s="1033">
        <v>0.2445</v>
      </c>
      <c r="J92" s="1033">
        <v>0.24110000000000001</v>
      </c>
      <c r="K92" s="1033">
        <v>0.23769999999999999</v>
      </c>
      <c r="L92" s="1033">
        <v>0.23430000000000001</v>
      </c>
      <c r="M92" s="1033">
        <v>0.23089999999999999</v>
      </c>
      <c r="N92" s="1033">
        <v>0.22750000000000001</v>
      </c>
      <c r="O92" s="1033">
        <v>0.22409999999999999</v>
      </c>
      <c r="P92" s="1033">
        <v>0.22070000000000001</v>
      </c>
      <c r="Q92" s="1033">
        <v>0.21729999999999999</v>
      </c>
      <c r="R92" s="1033">
        <v>0.21390000000000001</v>
      </c>
      <c r="S92" s="1033">
        <v>0.21049999999999999</v>
      </c>
      <c r="T92" s="1033">
        <v>0.20710000000000001</v>
      </c>
      <c r="U92" s="1033">
        <v>0.20369999999999999</v>
      </c>
      <c r="V92" s="1033">
        <v>0.20030000000000001</v>
      </c>
      <c r="W92" s="1033">
        <v>0.19689999999999999</v>
      </c>
      <c r="X92" s="1033">
        <v>0.19350000000000001</v>
      </c>
      <c r="Y92" s="1033">
        <v>0.19009999999999999</v>
      </c>
      <c r="Z92" s="1033">
        <v>0.1867</v>
      </c>
      <c r="AA92" s="1033">
        <v>0.18329999999999999</v>
      </c>
      <c r="AB92" s="1033">
        <v>0.1799</v>
      </c>
      <c r="AC92" s="1033">
        <v>0.17649999999999999</v>
      </c>
      <c r="AD92" s="1033">
        <v>0.1731</v>
      </c>
      <c r="AE92" s="1033">
        <v>0.16969999999999999</v>
      </c>
      <c r="AF92" s="1033">
        <v>0.1663</v>
      </c>
      <c r="AG92" s="1033">
        <v>0.16289999999999999</v>
      </c>
      <c r="AH92" s="1033">
        <v>0.1595</v>
      </c>
      <c r="AI92" s="1033">
        <v>0.15609999999999999</v>
      </c>
      <c r="AJ92" s="1033">
        <v>0.1527</v>
      </c>
      <c r="AK92" s="1033">
        <v>0.14929999999999999</v>
      </c>
      <c r="AL92" s="1033">
        <v>0.1459</v>
      </c>
      <c r="AM92" s="1033">
        <v>0.14249999999999999</v>
      </c>
      <c r="AN92" s="1033">
        <v>0.1391</v>
      </c>
      <c r="AO92" s="1033">
        <v>0.13569999999999999</v>
      </c>
      <c r="AP92" s="1033">
        <v>0.1323</v>
      </c>
      <c r="AQ92" s="1033">
        <v>0.12889999999999999</v>
      </c>
      <c r="AR92" s="1033">
        <v>0.1255</v>
      </c>
      <c r="AS92" s="1033">
        <v>0.1221</v>
      </c>
      <c r="AT92" s="1035">
        <v>0.1187</v>
      </c>
      <c r="AU92" s="1035">
        <v>0.1153</v>
      </c>
      <c r="AV92" s="1035">
        <v>0.1119</v>
      </c>
      <c r="AW92" s="1035">
        <v>0.1085</v>
      </c>
      <c r="AX92" s="1035">
        <v>0.1051</v>
      </c>
      <c r="AY92" s="1035">
        <v>0.1016</v>
      </c>
      <c r="AZ92" s="1035">
        <v>9.8199999999999996E-2</v>
      </c>
      <c r="BA92" s="1035">
        <v>9.4799999999999995E-2</v>
      </c>
      <c r="BB92" s="1035">
        <v>9.1399999999999995E-2</v>
      </c>
      <c r="BC92" s="1035">
        <v>8.7999999999999995E-2</v>
      </c>
      <c r="BD92" s="1035">
        <v>8.4599999999999995E-2</v>
      </c>
      <c r="BE92" s="1035">
        <v>8.1199999999999994E-2</v>
      </c>
      <c r="BF92" s="1035">
        <v>7.7799999999999994E-2</v>
      </c>
      <c r="BH92" s="970">
        <f t="shared" si="3"/>
        <v>8.1199999999999994E-2</v>
      </c>
      <c r="BI92" s="1034">
        <f t="shared" si="32"/>
        <v>158870</v>
      </c>
      <c r="BJ92" s="1034">
        <f>IF(F$11=15,BK$74*5,IF(F$11=20,BK$74*5,BZ92))</f>
        <v>143000</v>
      </c>
      <c r="BK92" s="998">
        <f>IF(F$11=15,BK$74,IF(F$11=20,BK$74,0))</f>
        <v>0</v>
      </c>
      <c r="BL92" s="998">
        <f t="shared" si="28"/>
        <v>6242</v>
      </c>
      <c r="BM92" s="998">
        <f>IF(F$11=15,15,IF(F$11=20,20,BN92))</f>
        <v>20</v>
      </c>
      <c r="BN92" s="978">
        <v>20</v>
      </c>
      <c r="BO92" s="955" t="str">
        <f t="shared" si="9"/>
        <v>48.24%</v>
      </c>
      <c r="BP92" s="974">
        <f t="shared" si="10"/>
        <v>133333.33333333334</v>
      </c>
      <c r="BQ92" s="1">
        <f t="shared" si="11"/>
        <v>196000</v>
      </c>
      <c r="BR92" s="973">
        <f t="shared" si="12"/>
        <v>329333.33333333337</v>
      </c>
      <c r="BS92" s="977">
        <f t="shared" si="13"/>
        <v>158870</v>
      </c>
      <c r="BT92" s="976">
        <f t="shared" si="14"/>
        <v>0.55710000000000004</v>
      </c>
      <c r="BU92" s="1">
        <f t="shared" si="15"/>
        <v>68022</v>
      </c>
      <c r="BV92" s="975">
        <f t="shared" si="16"/>
        <v>8.1199999999999994E-2</v>
      </c>
      <c r="BW92" s="1">
        <f t="shared" si="17"/>
        <v>15915</v>
      </c>
      <c r="BX92" s="973">
        <f t="shared" si="18"/>
        <v>83937</v>
      </c>
      <c r="BY92" s="973">
        <f t="shared" si="19"/>
        <v>158870</v>
      </c>
      <c r="BZ92" s="973">
        <f t="shared" si="20"/>
        <v>143000</v>
      </c>
      <c r="CA92" s="972">
        <f t="shared" si="21"/>
        <v>122100</v>
      </c>
      <c r="CB92" s="972">
        <f t="shared" si="22"/>
        <v>128205</v>
      </c>
      <c r="CC92" s="974">
        <f t="shared" si="23"/>
        <v>200000</v>
      </c>
      <c r="CD92" s="977">
        <f t="shared" si="24"/>
        <v>200000</v>
      </c>
      <c r="CE92" s="1">
        <f t="shared" si="29"/>
        <v>196000</v>
      </c>
      <c r="CF92" s="1">
        <f t="shared" si="31"/>
        <v>7000</v>
      </c>
      <c r="CG92" s="973">
        <f t="shared" si="30"/>
        <v>403000</v>
      </c>
      <c r="CH92" s="972">
        <f t="shared" si="25"/>
        <v>403000</v>
      </c>
      <c r="CI92" s="972">
        <f t="shared" si="26"/>
        <v>21</v>
      </c>
      <c r="CJ92" s="972">
        <f t="shared" si="4"/>
        <v>0</v>
      </c>
      <c r="CK92" s="972">
        <f t="shared" si="5"/>
        <v>0</v>
      </c>
      <c r="CL92" s="972">
        <f t="shared" si="6"/>
        <v>0</v>
      </c>
      <c r="CM92" s="972"/>
      <c r="CN92" s="954">
        <f t="shared" si="7"/>
        <v>403000</v>
      </c>
      <c r="CO92" s="1">
        <f t="shared" si="8"/>
        <v>403000</v>
      </c>
    </row>
    <row r="93" spans="2:93" s="998" customFormat="1" hidden="1">
      <c r="B93" s="1032">
        <v>21</v>
      </c>
      <c r="C93" s="1033">
        <v>0.26840000000000003</v>
      </c>
      <c r="D93" s="1033">
        <v>0.26490000000000002</v>
      </c>
      <c r="E93" s="1033">
        <v>0.26150000000000001</v>
      </c>
      <c r="F93" s="1033">
        <v>0.25609999999999999</v>
      </c>
      <c r="G93" s="1033">
        <v>0.25469999999999998</v>
      </c>
      <c r="H93" s="1033">
        <v>0.25130000000000002</v>
      </c>
      <c r="I93" s="1033">
        <v>0.24790000000000001</v>
      </c>
      <c r="J93" s="1033">
        <v>0.2445</v>
      </c>
      <c r="K93" s="1033">
        <v>0.24110000000000001</v>
      </c>
      <c r="L93" s="1033">
        <v>0.23769999999999999</v>
      </c>
      <c r="M93" s="1033">
        <v>0.23430000000000001</v>
      </c>
      <c r="N93" s="1033">
        <v>0.23089999999999999</v>
      </c>
      <c r="O93" s="1033">
        <v>0.22750000000000001</v>
      </c>
      <c r="P93" s="1033">
        <v>0.22409999999999999</v>
      </c>
      <c r="Q93" s="1033">
        <v>0.22070000000000001</v>
      </c>
      <c r="R93" s="1033">
        <v>0.21729999999999999</v>
      </c>
      <c r="S93" s="1033">
        <v>0.21390000000000001</v>
      </c>
      <c r="T93" s="1033">
        <v>0.21049999999999999</v>
      </c>
      <c r="U93" s="1033">
        <v>0.20710000000000001</v>
      </c>
      <c r="V93" s="1033">
        <v>0.20369999999999999</v>
      </c>
      <c r="W93" s="1033">
        <v>0.20030000000000001</v>
      </c>
      <c r="X93" s="1033">
        <v>0.19689999999999999</v>
      </c>
      <c r="Y93" s="1033">
        <v>0.19350000000000001</v>
      </c>
      <c r="Z93" s="1033">
        <v>0.19009999999999999</v>
      </c>
      <c r="AA93" s="1033">
        <v>0.1867</v>
      </c>
      <c r="AB93" s="1033">
        <v>0.18329999999999999</v>
      </c>
      <c r="AC93" s="1033">
        <v>0.1799</v>
      </c>
      <c r="AD93" s="1033">
        <v>0.17649999999999999</v>
      </c>
      <c r="AE93" s="1033">
        <v>0.1731</v>
      </c>
      <c r="AF93" s="1033">
        <v>0.16969999999999999</v>
      </c>
      <c r="AG93" s="1033">
        <v>0.1663</v>
      </c>
      <c r="AH93" s="1033">
        <v>0.16289999999999999</v>
      </c>
      <c r="AI93" s="1033">
        <v>0.1595</v>
      </c>
      <c r="AJ93" s="1033">
        <v>0.15609999999999999</v>
      </c>
      <c r="AK93" s="1033">
        <v>0.1527</v>
      </c>
      <c r="AL93" s="1033">
        <v>0.14929999999999999</v>
      </c>
      <c r="AM93" s="1033">
        <v>0.1459</v>
      </c>
      <c r="AN93" s="1033">
        <v>0.14249999999999999</v>
      </c>
      <c r="AO93" s="1033">
        <v>0.1391</v>
      </c>
      <c r="AP93" s="1033">
        <v>0.13569999999999999</v>
      </c>
      <c r="AQ93" s="1033">
        <v>0.1323</v>
      </c>
      <c r="AR93" s="1033">
        <v>0.12889999999999999</v>
      </c>
      <c r="AS93" s="1033">
        <v>0.1255</v>
      </c>
      <c r="AT93" s="1033">
        <v>0.1221</v>
      </c>
      <c r="AU93" s="1035">
        <v>0.1187</v>
      </c>
      <c r="AV93" s="1035">
        <v>0.1153</v>
      </c>
      <c r="AW93" s="1035">
        <v>0.1119</v>
      </c>
      <c r="AX93" s="1035">
        <v>0.1085</v>
      </c>
      <c r="AY93" s="1035">
        <v>0.1051</v>
      </c>
      <c r="AZ93" s="1035">
        <v>0.1016</v>
      </c>
      <c r="BA93" s="1035">
        <v>9.8199999999999996E-2</v>
      </c>
      <c r="BB93" s="1035">
        <v>9.4799999999999995E-2</v>
      </c>
      <c r="BC93" s="1035">
        <v>9.1399999999999995E-2</v>
      </c>
      <c r="BD93" s="1035">
        <v>8.7999999999999995E-2</v>
      </c>
      <c r="BE93" s="1035">
        <v>8.4599999999999995E-2</v>
      </c>
      <c r="BF93" s="1035">
        <v>8.1199999999999994E-2</v>
      </c>
      <c r="BH93" s="970">
        <f t="shared" si="3"/>
        <v>8.4599999999999995E-2</v>
      </c>
      <c r="BI93" s="1034">
        <f>IF(F$11=15,BX93,IF(F$11=20,BX93,BY93))</f>
        <v>176289</v>
      </c>
      <c r="BJ93" s="1034">
        <f>IF(F$11=15,BK$74*5,IF(F$11=20,BK$74*5,BZ93))</f>
        <v>158700</v>
      </c>
      <c r="BK93" s="998">
        <f>IF(F$11=15,BK$74,IF(F$11=20,BK$74,0))</f>
        <v>0</v>
      </c>
      <c r="BL93" s="998">
        <f t="shared" si="28"/>
        <v>6242</v>
      </c>
      <c r="BM93" s="998">
        <f>IF(F$11=15,15,IF(F$11=20,20,BN93))</f>
        <v>21</v>
      </c>
      <c r="BN93" s="978">
        <v>21</v>
      </c>
      <c r="BO93" s="955" t="str">
        <f t="shared" si="9"/>
        <v>50.98%</v>
      </c>
      <c r="BP93" s="974">
        <f t="shared" si="10"/>
        <v>140000</v>
      </c>
      <c r="BQ93" s="1">
        <f t="shared" si="11"/>
        <v>205800</v>
      </c>
      <c r="BR93" s="973">
        <f t="shared" si="12"/>
        <v>345800</v>
      </c>
      <c r="BS93" s="977">
        <f t="shared" si="13"/>
        <v>176289</v>
      </c>
      <c r="BT93" s="976">
        <f t="shared" si="14"/>
        <v>0.5615</v>
      </c>
      <c r="BU93" s="1">
        <f t="shared" si="15"/>
        <v>71987</v>
      </c>
      <c r="BV93" s="975">
        <f t="shared" si="16"/>
        <v>8.4599999999999995E-2</v>
      </c>
      <c r="BW93" s="1">
        <f t="shared" si="17"/>
        <v>17411</v>
      </c>
      <c r="BX93" s="973">
        <f t="shared" si="18"/>
        <v>89398</v>
      </c>
      <c r="BY93" s="973">
        <f t="shared" si="19"/>
        <v>176289</v>
      </c>
      <c r="BZ93" s="973">
        <f t="shared" si="20"/>
        <v>158700</v>
      </c>
      <c r="CA93" s="972">
        <f t="shared" si="21"/>
        <v>128205</v>
      </c>
      <c r="CB93" s="972">
        <f t="shared" si="22"/>
        <v>134615.25</v>
      </c>
      <c r="CC93" s="974">
        <f t="shared" si="23"/>
        <v>200000</v>
      </c>
      <c r="CD93" s="977">
        <f t="shared" si="24"/>
        <v>200000</v>
      </c>
      <c r="CE93" s="1">
        <f t="shared" si="29"/>
        <v>205800</v>
      </c>
      <c r="CF93" s="1">
        <f t="shared" si="31"/>
        <v>10000</v>
      </c>
      <c r="CG93" s="973">
        <f t="shared" si="30"/>
        <v>415800</v>
      </c>
      <c r="CH93" s="972">
        <f t="shared" si="25"/>
        <v>415800</v>
      </c>
      <c r="CI93" s="972">
        <f t="shared" si="26"/>
        <v>22</v>
      </c>
      <c r="CJ93" s="972">
        <f t="shared" si="4"/>
        <v>0</v>
      </c>
      <c r="CK93" s="972">
        <f t="shared" si="5"/>
        <v>0</v>
      </c>
      <c r="CL93" s="972">
        <f t="shared" si="6"/>
        <v>0</v>
      </c>
      <c r="CM93" s="972"/>
      <c r="CN93" s="954">
        <f t="shared" si="7"/>
        <v>415800</v>
      </c>
      <c r="CO93" s="1">
        <f t="shared" si="8"/>
        <v>415800</v>
      </c>
    </row>
    <row r="94" spans="2:93" s="998" customFormat="1" hidden="1">
      <c r="B94" s="1032">
        <v>22</v>
      </c>
      <c r="C94" s="1033">
        <v>0.27179999999999999</v>
      </c>
      <c r="D94" s="1033">
        <v>0.26840000000000003</v>
      </c>
      <c r="E94" s="1033">
        <v>0.26490000000000002</v>
      </c>
      <c r="F94" s="1033">
        <v>0.26150000000000001</v>
      </c>
      <c r="G94" s="1033">
        <v>0.25609999999999999</v>
      </c>
      <c r="H94" s="1033">
        <v>0.25469999999999998</v>
      </c>
      <c r="I94" s="1033">
        <v>0.25130000000000002</v>
      </c>
      <c r="J94" s="1033">
        <v>0.24790000000000001</v>
      </c>
      <c r="K94" s="1033">
        <v>0.2445</v>
      </c>
      <c r="L94" s="1033">
        <v>0.24110000000000001</v>
      </c>
      <c r="M94" s="1033">
        <v>0.23769999999999999</v>
      </c>
      <c r="N94" s="1033">
        <v>0.23430000000000001</v>
      </c>
      <c r="O94" s="1033">
        <v>0.23089999999999999</v>
      </c>
      <c r="P94" s="1033">
        <v>0.22750000000000001</v>
      </c>
      <c r="Q94" s="1033">
        <v>0.22409999999999999</v>
      </c>
      <c r="R94" s="1033">
        <v>0.22070000000000001</v>
      </c>
      <c r="S94" s="1033">
        <v>0.21729999999999999</v>
      </c>
      <c r="T94" s="1033">
        <v>0.21390000000000001</v>
      </c>
      <c r="U94" s="1033">
        <v>0.21049999999999999</v>
      </c>
      <c r="V94" s="1033">
        <v>0.20710000000000001</v>
      </c>
      <c r="W94" s="1033">
        <v>0.20369999999999999</v>
      </c>
      <c r="X94" s="1033">
        <v>0.20030000000000001</v>
      </c>
      <c r="Y94" s="1033">
        <v>0.19689999999999999</v>
      </c>
      <c r="Z94" s="1033">
        <v>0.19350000000000001</v>
      </c>
      <c r="AA94" s="1033">
        <v>0.19009999999999999</v>
      </c>
      <c r="AB94" s="1033">
        <v>0.1867</v>
      </c>
      <c r="AC94" s="1033">
        <v>0.18329999999999999</v>
      </c>
      <c r="AD94" s="1033">
        <v>0.1799</v>
      </c>
      <c r="AE94" s="1033">
        <v>0.17649999999999999</v>
      </c>
      <c r="AF94" s="1033">
        <v>0.1731</v>
      </c>
      <c r="AG94" s="1033">
        <v>0.16969999999999999</v>
      </c>
      <c r="AH94" s="1033">
        <v>0.1663</v>
      </c>
      <c r="AI94" s="1033">
        <v>0.16289999999999999</v>
      </c>
      <c r="AJ94" s="1033">
        <v>0.1595</v>
      </c>
      <c r="AK94" s="1033">
        <v>0.15609999999999999</v>
      </c>
      <c r="AL94" s="1033">
        <v>0.1527</v>
      </c>
      <c r="AM94" s="1033">
        <v>0.14929999999999999</v>
      </c>
      <c r="AN94" s="1033">
        <v>0.1459</v>
      </c>
      <c r="AO94" s="1033">
        <v>0.14249999999999999</v>
      </c>
      <c r="AP94" s="1033">
        <v>0.1391</v>
      </c>
      <c r="AQ94" s="1033">
        <v>0.13569999999999999</v>
      </c>
      <c r="AR94" s="1033">
        <v>0.1323</v>
      </c>
      <c r="AS94" s="1033">
        <v>0.12889999999999999</v>
      </c>
      <c r="AT94" s="1033">
        <v>0.1255</v>
      </c>
      <c r="AU94" s="1033">
        <v>0.1221</v>
      </c>
      <c r="AV94" s="1035">
        <v>0.1187</v>
      </c>
      <c r="AW94" s="1035">
        <v>0.1153</v>
      </c>
      <c r="AX94" s="1035">
        <v>0.1119</v>
      </c>
      <c r="AY94" s="1035">
        <v>0.1085</v>
      </c>
      <c r="AZ94" s="1035">
        <v>0.1051</v>
      </c>
      <c r="BA94" s="1035">
        <v>0.1016</v>
      </c>
      <c r="BB94" s="1035">
        <v>9.8199999999999996E-2</v>
      </c>
      <c r="BC94" s="1035">
        <v>9.4799999999999995E-2</v>
      </c>
      <c r="BD94" s="1035">
        <v>9.1399999999999995E-2</v>
      </c>
      <c r="BE94" s="1035">
        <v>8.7999999999999995E-2</v>
      </c>
      <c r="BF94" s="1035">
        <v>8.4599999999999995E-2</v>
      </c>
      <c r="BH94" s="970">
        <f t="shared" si="3"/>
        <v>8.7999999999999995E-2</v>
      </c>
      <c r="BI94" s="1034">
        <f t="shared" ref="BI94:BI96" si="33">IF(F$11=15,BX94,IF(F$11=20,BX94,BY94))</f>
        <v>195805</v>
      </c>
      <c r="BJ94" s="1034">
        <f>IF(F$11=15,BK$74*5,IF(F$11=20,BK$74*5,BZ94))</f>
        <v>176200</v>
      </c>
      <c r="BK94" s="998">
        <f>IF(F$11=15,BK$74,IF(F$11=20,BK$74,0))</f>
        <v>0</v>
      </c>
      <c r="BL94" s="998">
        <f t="shared" si="28"/>
        <v>6242</v>
      </c>
      <c r="BM94" s="998">
        <f>IF(F$11=15,15,IF(F$11=20,20,BN94))</f>
        <v>22</v>
      </c>
      <c r="BN94" s="978">
        <v>22</v>
      </c>
      <c r="BO94" s="955" t="str">
        <f t="shared" si="9"/>
        <v>54.05%</v>
      </c>
      <c r="BP94" s="974">
        <f t="shared" si="10"/>
        <v>146666.66666666666</v>
      </c>
      <c r="BQ94" s="1">
        <f t="shared" si="11"/>
        <v>215600</v>
      </c>
      <c r="BR94" s="973">
        <f t="shared" si="12"/>
        <v>362266.66666666663</v>
      </c>
      <c r="BS94" s="977">
        <f t="shared" si="13"/>
        <v>195805</v>
      </c>
      <c r="BT94" s="976">
        <f t="shared" si="14"/>
        <v>0.56589999999999996</v>
      </c>
      <c r="BU94" s="1">
        <f t="shared" si="15"/>
        <v>76006</v>
      </c>
      <c r="BV94" s="975">
        <f t="shared" si="16"/>
        <v>8.7999999999999995E-2</v>
      </c>
      <c r="BW94" s="1">
        <f t="shared" si="17"/>
        <v>18973</v>
      </c>
      <c r="BX94" s="973">
        <f t="shared" si="18"/>
        <v>94979</v>
      </c>
      <c r="BY94" s="973">
        <f t="shared" si="19"/>
        <v>195805</v>
      </c>
      <c r="BZ94" s="973">
        <f t="shared" si="20"/>
        <v>176200</v>
      </c>
      <c r="CA94" s="972">
        <f t="shared" si="21"/>
        <v>134310</v>
      </c>
      <c r="CB94" s="972">
        <f t="shared" si="22"/>
        <v>141025.5</v>
      </c>
      <c r="CC94" s="974">
        <f t="shared" si="23"/>
        <v>200000</v>
      </c>
      <c r="CD94" s="977">
        <f t="shared" si="24"/>
        <v>200000</v>
      </c>
      <c r="CE94" s="1">
        <f t="shared" si="29"/>
        <v>215600</v>
      </c>
      <c r="CF94" s="1">
        <f t="shared" si="31"/>
        <v>15000</v>
      </c>
      <c r="CG94" s="973">
        <f t="shared" si="30"/>
        <v>430600</v>
      </c>
      <c r="CH94" s="972">
        <f t="shared" si="25"/>
        <v>430600</v>
      </c>
      <c r="CI94" s="972">
        <f t="shared" si="26"/>
        <v>23</v>
      </c>
      <c r="CJ94" s="972">
        <f t="shared" si="4"/>
        <v>0</v>
      </c>
      <c r="CK94" s="972">
        <f t="shared" si="5"/>
        <v>0</v>
      </c>
      <c r="CL94" s="972">
        <f t="shared" si="6"/>
        <v>0</v>
      </c>
      <c r="CM94" s="972"/>
      <c r="CN94" s="954">
        <f t="shared" si="7"/>
        <v>430600</v>
      </c>
      <c r="CO94" s="1">
        <f t="shared" si="8"/>
        <v>430600</v>
      </c>
    </row>
    <row r="95" spans="2:93" s="998" customFormat="1" hidden="1">
      <c r="B95" s="1032">
        <v>23</v>
      </c>
      <c r="C95" s="1033">
        <v>0.2752</v>
      </c>
      <c r="D95" s="1033">
        <v>0.27179999999999999</v>
      </c>
      <c r="E95" s="1033">
        <v>0.26840000000000003</v>
      </c>
      <c r="F95" s="1033">
        <v>0.26490000000000002</v>
      </c>
      <c r="G95" s="1033">
        <v>0.26150000000000001</v>
      </c>
      <c r="H95" s="1033">
        <v>0.25609999999999999</v>
      </c>
      <c r="I95" s="1033">
        <v>0.25469999999999998</v>
      </c>
      <c r="J95" s="1033">
        <v>0.25130000000000002</v>
      </c>
      <c r="K95" s="1033">
        <v>0.24790000000000001</v>
      </c>
      <c r="L95" s="1033">
        <v>0.2445</v>
      </c>
      <c r="M95" s="1033">
        <v>0.24110000000000001</v>
      </c>
      <c r="N95" s="1033">
        <v>0.23769999999999999</v>
      </c>
      <c r="O95" s="1033">
        <v>0.23430000000000001</v>
      </c>
      <c r="P95" s="1033">
        <v>0.23089999999999999</v>
      </c>
      <c r="Q95" s="1033">
        <v>0.22750000000000001</v>
      </c>
      <c r="R95" s="1033">
        <v>0.22409999999999999</v>
      </c>
      <c r="S95" s="1033">
        <v>0.22070000000000001</v>
      </c>
      <c r="T95" s="1033">
        <v>0.21729999999999999</v>
      </c>
      <c r="U95" s="1033">
        <v>0.21390000000000001</v>
      </c>
      <c r="V95" s="1033">
        <v>0.21049999999999999</v>
      </c>
      <c r="W95" s="1033">
        <v>0.20710000000000001</v>
      </c>
      <c r="X95" s="1033">
        <v>0.20369999999999999</v>
      </c>
      <c r="Y95" s="1033">
        <v>0.20030000000000001</v>
      </c>
      <c r="Z95" s="1033">
        <v>0.19689999999999999</v>
      </c>
      <c r="AA95" s="1033">
        <v>0.19350000000000001</v>
      </c>
      <c r="AB95" s="1033">
        <v>0.19009999999999999</v>
      </c>
      <c r="AC95" s="1033">
        <v>0.1867</v>
      </c>
      <c r="AD95" s="1033">
        <v>0.18329999999999999</v>
      </c>
      <c r="AE95" s="1033">
        <v>0.1799</v>
      </c>
      <c r="AF95" s="1033">
        <v>0.17649999999999999</v>
      </c>
      <c r="AG95" s="1033">
        <v>0.1731</v>
      </c>
      <c r="AH95" s="1033">
        <v>0.16969999999999999</v>
      </c>
      <c r="AI95" s="1033">
        <v>0.1663</v>
      </c>
      <c r="AJ95" s="1033">
        <v>0.16289999999999999</v>
      </c>
      <c r="AK95" s="1033">
        <v>0.1595</v>
      </c>
      <c r="AL95" s="1033">
        <v>0.15609999999999999</v>
      </c>
      <c r="AM95" s="1033">
        <v>0.1527</v>
      </c>
      <c r="AN95" s="1033">
        <v>0.14929999999999999</v>
      </c>
      <c r="AO95" s="1033">
        <v>0.1459</v>
      </c>
      <c r="AP95" s="1033">
        <v>0.14249999999999999</v>
      </c>
      <c r="AQ95" s="1033">
        <v>0.1391</v>
      </c>
      <c r="AR95" s="1033">
        <v>0.13569999999999999</v>
      </c>
      <c r="AS95" s="1033">
        <v>0.1323</v>
      </c>
      <c r="AT95" s="1033">
        <v>0.12889999999999999</v>
      </c>
      <c r="AU95" s="1033">
        <v>0.1255</v>
      </c>
      <c r="AV95" s="1033">
        <v>0.1221</v>
      </c>
      <c r="AW95" s="1035">
        <v>0.1187</v>
      </c>
      <c r="AX95" s="1035">
        <v>0.1153</v>
      </c>
      <c r="AY95" s="1035">
        <v>0.1119</v>
      </c>
      <c r="AZ95" s="1035">
        <v>0.1085</v>
      </c>
      <c r="BA95" s="1035">
        <v>0.1051</v>
      </c>
      <c r="BB95" s="1035">
        <v>0.1016</v>
      </c>
      <c r="BC95" s="1035">
        <v>9.8199999999999996E-2</v>
      </c>
      <c r="BD95" s="1035">
        <v>9.4799999999999995E-2</v>
      </c>
      <c r="BE95" s="1035">
        <v>9.1399999999999995E-2</v>
      </c>
      <c r="BF95" s="1035">
        <v>8.7999999999999995E-2</v>
      </c>
      <c r="BH95" s="970">
        <f t="shared" si="3"/>
        <v>9.1399999999999995E-2</v>
      </c>
      <c r="BI95" s="1034">
        <f t="shared" si="33"/>
        <v>217772</v>
      </c>
      <c r="BJ95" s="1034">
        <f>IF(F$11=15,BK$74*5,IF(F$11=20,BK$74*5,BZ95))</f>
        <v>196000</v>
      </c>
      <c r="BK95" s="998">
        <f>IF(F$11=15,BK$74,IF(F$11=20,BK$74,0))</f>
        <v>0</v>
      </c>
      <c r="BL95" s="998">
        <f t="shared" si="28"/>
        <v>6242</v>
      </c>
      <c r="BM95" s="998">
        <f>IF(F$11=15,15,IF(F$11=20,20,BN95))</f>
        <v>23</v>
      </c>
      <c r="BN95" s="978">
        <v>23</v>
      </c>
      <c r="BO95" s="955" t="str">
        <f t="shared" si="9"/>
        <v>57.50%</v>
      </c>
      <c r="BP95" s="974">
        <f t="shared" si="10"/>
        <v>153333.33333333334</v>
      </c>
      <c r="BQ95" s="1">
        <f t="shared" si="11"/>
        <v>225400</v>
      </c>
      <c r="BR95" s="973">
        <f t="shared" si="12"/>
        <v>378733.33333333337</v>
      </c>
      <c r="BS95" s="977">
        <f t="shared" si="13"/>
        <v>217772</v>
      </c>
      <c r="BT95" s="976">
        <f t="shared" si="14"/>
        <v>0.57030000000000003</v>
      </c>
      <c r="BU95" s="1">
        <f t="shared" si="15"/>
        <v>80079</v>
      </c>
      <c r="BV95" s="975">
        <f t="shared" si="16"/>
        <v>9.1399999999999995E-2</v>
      </c>
      <c r="BW95" s="1">
        <f t="shared" si="17"/>
        <v>20602</v>
      </c>
      <c r="BX95" s="973">
        <f t="shared" si="18"/>
        <v>100681</v>
      </c>
      <c r="BY95" s="973">
        <f t="shared" si="19"/>
        <v>217772</v>
      </c>
      <c r="BZ95" s="973">
        <f t="shared" si="20"/>
        <v>196000</v>
      </c>
      <c r="CA95" s="972">
        <f t="shared" si="21"/>
        <v>140415</v>
      </c>
      <c r="CB95" s="972">
        <f t="shared" si="22"/>
        <v>147435.75</v>
      </c>
      <c r="CC95" s="974">
        <f t="shared" si="23"/>
        <v>200000</v>
      </c>
      <c r="CD95" s="977">
        <f t="shared" si="24"/>
        <v>200000</v>
      </c>
      <c r="CE95" s="1">
        <f t="shared" si="29"/>
        <v>225400</v>
      </c>
      <c r="CF95" s="1">
        <f t="shared" si="31"/>
        <v>25000</v>
      </c>
      <c r="CG95" s="973">
        <f t="shared" si="30"/>
        <v>450400</v>
      </c>
      <c r="CH95" s="972">
        <f t="shared" si="25"/>
        <v>450400</v>
      </c>
      <c r="CI95" s="972">
        <f t="shared" si="26"/>
        <v>24</v>
      </c>
      <c r="CJ95" s="972">
        <f t="shared" si="4"/>
        <v>0</v>
      </c>
      <c r="CK95" s="972">
        <f t="shared" si="5"/>
        <v>0</v>
      </c>
      <c r="CL95" s="972">
        <f t="shared" si="6"/>
        <v>0</v>
      </c>
      <c r="CM95" s="972"/>
      <c r="CN95" s="954">
        <f t="shared" si="7"/>
        <v>450400</v>
      </c>
      <c r="CO95" s="1">
        <f t="shared" si="8"/>
        <v>450400</v>
      </c>
    </row>
    <row r="96" spans="2:93" s="998" customFormat="1" hidden="1">
      <c r="B96" s="1032">
        <v>24</v>
      </c>
      <c r="C96" s="1033">
        <v>0.27860000000000001</v>
      </c>
      <c r="D96" s="1033">
        <v>0.2752</v>
      </c>
      <c r="E96" s="1033">
        <v>0.27179999999999999</v>
      </c>
      <c r="F96" s="1033">
        <v>0.26840000000000003</v>
      </c>
      <c r="G96" s="1033">
        <v>0.26490000000000002</v>
      </c>
      <c r="H96" s="1033">
        <v>0.26150000000000001</v>
      </c>
      <c r="I96" s="1033">
        <v>0.25609999999999999</v>
      </c>
      <c r="J96" s="1033">
        <v>0.25469999999999998</v>
      </c>
      <c r="K96" s="1033">
        <v>0.25130000000000002</v>
      </c>
      <c r="L96" s="1033">
        <v>0.24790000000000001</v>
      </c>
      <c r="M96" s="1033">
        <v>0.2445</v>
      </c>
      <c r="N96" s="1033">
        <v>0.24110000000000001</v>
      </c>
      <c r="O96" s="1033">
        <v>0.23769999999999999</v>
      </c>
      <c r="P96" s="1033">
        <v>0.23430000000000001</v>
      </c>
      <c r="Q96" s="1033">
        <v>0.23089999999999999</v>
      </c>
      <c r="R96" s="1033">
        <v>0.22750000000000001</v>
      </c>
      <c r="S96" s="1033">
        <v>0.22409999999999999</v>
      </c>
      <c r="T96" s="1033">
        <v>0.22070000000000001</v>
      </c>
      <c r="U96" s="1033">
        <v>0.21729999999999999</v>
      </c>
      <c r="V96" s="1033">
        <v>0.21390000000000001</v>
      </c>
      <c r="W96" s="1033">
        <v>0.21049999999999999</v>
      </c>
      <c r="X96" s="1033">
        <v>0.20710000000000001</v>
      </c>
      <c r="Y96" s="1033">
        <v>0.20369999999999999</v>
      </c>
      <c r="Z96" s="1033">
        <v>0.20030000000000001</v>
      </c>
      <c r="AA96" s="1033">
        <v>0.19689999999999999</v>
      </c>
      <c r="AB96" s="1033">
        <v>0.19350000000000001</v>
      </c>
      <c r="AC96" s="1033">
        <v>0.19009999999999999</v>
      </c>
      <c r="AD96" s="1033">
        <v>0.1867</v>
      </c>
      <c r="AE96" s="1033">
        <v>0.18329999999999999</v>
      </c>
      <c r="AF96" s="1033">
        <v>0.1799</v>
      </c>
      <c r="AG96" s="1033">
        <v>0.17649999999999999</v>
      </c>
      <c r="AH96" s="1033">
        <v>0.1731</v>
      </c>
      <c r="AI96" s="1033">
        <v>0.16969999999999999</v>
      </c>
      <c r="AJ96" s="1033">
        <v>0.1663</v>
      </c>
      <c r="AK96" s="1033">
        <v>0.16289999999999999</v>
      </c>
      <c r="AL96" s="1033">
        <v>0.1595</v>
      </c>
      <c r="AM96" s="1033">
        <v>0.15609999999999999</v>
      </c>
      <c r="AN96" s="1033">
        <v>0.1527</v>
      </c>
      <c r="AO96" s="1033">
        <v>0.14929999999999999</v>
      </c>
      <c r="AP96" s="1033">
        <v>0.1459</v>
      </c>
      <c r="AQ96" s="1033">
        <v>0.14249999999999999</v>
      </c>
      <c r="AR96" s="1033">
        <v>0.1391</v>
      </c>
      <c r="AS96" s="1033">
        <v>0.13569999999999999</v>
      </c>
      <c r="AT96" s="1033">
        <v>0.1323</v>
      </c>
      <c r="AU96" s="1033">
        <v>0.12889999999999999</v>
      </c>
      <c r="AV96" s="1033">
        <v>0.1255</v>
      </c>
      <c r="AW96" s="1033">
        <v>0.1221</v>
      </c>
      <c r="AX96" s="1035">
        <v>0.1187</v>
      </c>
      <c r="AY96" s="1035">
        <v>0.1153</v>
      </c>
      <c r="AZ96" s="1035">
        <v>0.1119</v>
      </c>
      <c r="BA96" s="1035">
        <v>0.1085</v>
      </c>
      <c r="BB96" s="1035">
        <v>0.1051</v>
      </c>
      <c r="BC96" s="1035">
        <v>0.1016</v>
      </c>
      <c r="BD96" s="1035">
        <v>9.8199999999999996E-2</v>
      </c>
      <c r="BE96" s="1035">
        <v>9.4799999999999995E-2</v>
      </c>
      <c r="BF96" s="1035">
        <v>9.1399999999999995E-2</v>
      </c>
      <c r="BH96" s="970">
        <f t="shared" si="3"/>
        <v>9.4799999999999995E-2</v>
      </c>
      <c r="BI96" s="1034">
        <f t="shared" si="33"/>
        <v>242692</v>
      </c>
      <c r="BJ96" s="1034">
        <f>IF(F$11=15,BK$74*5,IF(F$11=20,BK$74*5,BZ96))</f>
        <v>218400</v>
      </c>
      <c r="BK96" s="998">
        <f>IF(F$11=15,BK$74,IF(F$11=20,BK$74,0))</f>
        <v>0</v>
      </c>
      <c r="BL96" s="998">
        <f t="shared" si="28"/>
        <v>6242</v>
      </c>
      <c r="BM96" s="998">
        <f>IF(F$11=15,15,IF(F$11=20,20,BN96))</f>
        <v>24</v>
      </c>
      <c r="BN96" s="978">
        <v>24</v>
      </c>
      <c r="BO96" s="955" t="str">
        <f t="shared" si="9"/>
        <v>61.41%</v>
      </c>
      <c r="BP96" s="974">
        <f t="shared" si="10"/>
        <v>160000</v>
      </c>
      <c r="BQ96" s="1">
        <f t="shared" si="11"/>
        <v>235200</v>
      </c>
      <c r="BR96" s="973">
        <f t="shared" si="12"/>
        <v>395200</v>
      </c>
      <c r="BS96" s="977">
        <f t="shared" si="13"/>
        <v>242692</v>
      </c>
      <c r="BT96" s="976">
        <f t="shared" si="14"/>
        <v>0.57469999999999999</v>
      </c>
      <c r="BU96" s="1">
        <f t="shared" si="15"/>
        <v>84205</v>
      </c>
      <c r="BV96" s="975">
        <f t="shared" si="16"/>
        <v>9.4799999999999995E-2</v>
      </c>
      <c r="BW96" s="1">
        <f t="shared" si="17"/>
        <v>22297</v>
      </c>
      <c r="BX96" s="973">
        <f t="shared" si="18"/>
        <v>106502</v>
      </c>
      <c r="BY96" s="973">
        <f t="shared" si="19"/>
        <v>242692</v>
      </c>
      <c r="BZ96" s="973">
        <f t="shared" si="20"/>
        <v>218400</v>
      </c>
      <c r="CA96" s="972">
        <f t="shared" si="21"/>
        <v>146520</v>
      </c>
      <c r="CB96" s="972">
        <f t="shared" si="22"/>
        <v>153846</v>
      </c>
      <c r="CC96" s="974">
        <f t="shared" si="23"/>
        <v>200000</v>
      </c>
      <c r="CD96" s="977">
        <f t="shared" si="24"/>
        <v>200000</v>
      </c>
      <c r="CE96" s="1">
        <f t="shared" si="29"/>
        <v>235200</v>
      </c>
      <c r="CF96" s="1">
        <f t="shared" si="31"/>
        <v>35000</v>
      </c>
      <c r="CG96" s="973">
        <f t="shared" si="30"/>
        <v>470200</v>
      </c>
      <c r="CH96" s="972">
        <f t="shared" si="25"/>
        <v>470200</v>
      </c>
      <c r="CI96" s="972">
        <f t="shared" si="26"/>
        <v>25</v>
      </c>
      <c r="CJ96" s="972">
        <f t="shared" si="4"/>
        <v>0</v>
      </c>
      <c r="CK96" s="972">
        <f t="shared" si="5"/>
        <v>0</v>
      </c>
      <c r="CL96" s="972">
        <f t="shared" si="6"/>
        <v>0</v>
      </c>
      <c r="CM96" s="972"/>
      <c r="CN96" s="954">
        <f t="shared" si="7"/>
        <v>470200</v>
      </c>
      <c r="CO96" s="1">
        <f t="shared" si="8"/>
        <v>470200</v>
      </c>
    </row>
    <row r="97" spans="2:93" s="998" customFormat="1" hidden="1">
      <c r="B97" s="1032">
        <v>25</v>
      </c>
      <c r="C97" s="1033">
        <v>0.28199999999999997</v>
      </c>
      <c r="D97" s="1033">
        <v>0.27860000000000001</v>
      </c>
      <c r="E97" s="1033">
        <v>0.2752</v>
      </c>
      <c r="F97" s="1033">
        <v>0.27179999999999999</v>
      </c>
      <c r="G97" s="1033">
        <v>0.26840000000000003</v>
      </c>
      <c r="H97" s="1033">
        <v>0.26490000000000002</v>
      </c>
      <c r="I97" s="1033">
        <v>0.26150000000000001</v>
      </c>
      <c r="J97" s="1033">
        <v>0.25609999999999999</v>
      </c>
      <c r="K97" s="1033">
        <v>0.25469999999999998</v>
      </c>
      <c r="L97" s="1033">
        <v>0.25130000000000002</v>
      </c>
      <c r="M97" s="1033">
        <v>0.24790000000000001</v>
      </c>
      <c r="N97" s="1033">
        <v>0.2445</v>
      </c>
      <c r="O97" s="1033">
        <v>0.24110000000000001</v>
      </c>
      <c r="P97" s="1033">
        <v>0.23769999999999999</v>
      </c>
      <c r="Q97" s="1033">
        <v>0.23430000000000001</v>
      </c>
      <c r="R97" s="1033">
        <v>0.23089999999999999</v>
      </c>
      <c r="S97" s="1033">
        <v>0.22750000000000001</v>
      </c>
      <c r="T97" s="1033">
        <v>0.22409999999999999</v>
      </c>
      <c r="U97" s="1033">
        <v>0.22070000000000001</v>
      </c>
      <c r="V97" s="1033">
        <v>0.21729999999999999</v>
      </c>
      <c r="W97" s="1033">
        <v>0.21390000000000001</v>
      </c>
      <c r="X97" s="1033">
        <v>0.21049999999999999</v>
      </c>
      <c r="Y97" s="1033">
        <v>0.20710000000000001</v>
      </c>
      <c r="Z97" s="1033">
        <v>0.20369999999999999</v>
      </c>
      <c r="AA97" s="1033">
        <v>0.20030000000000001</v>
      </c>
      <c r="AB97" s="1033">
        <v>0.19689999999999999</v>
      </c>
      <c r="AC97" s="1033">
        <v>0.19350000000000001</v>
      </c>
      <c r="AD97" s="1033">
        <v>0.19009999999999999</v>
      </c>
      <c r="AE97" s="1033">
        <v>0.1867</v>
      </c>
      <c r="AF97" s="1033">
        <v>0.18329999999999999</v>
      </c>
      <c r="AG97" s="1033">
        <v>0.1799</v>
      </c>
      <c r="AH97" s="1033">
        <v>0.17649999999999999</v>
      </c>
      <c r="AI97" s="1033">
        <v>0.1731</v>
      </c>
      <c r="AJ97" s="1033">
        <v>0.16969999999999999</v>
      </c>
      <c r="AK97" s="1033">
        <v>0.1663</v>
      </c>
      <c r="AL97" s="1033">
        <v>0.16289999999999999</v>
      </c>
      <c r="AM97" s="1033">
        <v>0.1595</v>
      </c>
      <c r="AN97" s="1033">
        <v>0.15609999999999999</v>
      </c>
      <c r="AO97" s="1033">
        <v>0.1527</v>
      </c>
      <c r="AP97" s="1033">
        <v>0.14929999999999999</v>
      </c>
      <c r="AQ97" s="1033">
        <v>0.1459</v>
      </c>
      <c r="AR97" s="1033">
        <v>0.14249999999999999</v>
      </c>
      <c r="AS97" s="1033">
        <v>0.1391</v>
      </c>
      <c r="AT97" s="1033">
        <v>0.13569999999999999</v>
      </c>
      <c r="AU97" s="1033">
        <v>0.1323</v>
      </c>
      <c r="AV97" s="1033">
        <v>0.12889999999999999</v>
      </c>
      <c r="AW97" s="1033">
        <v>0.1255</v>
      </c>
      <c r="AX97" s="1033">
        <v>0.1221</v>
      </c>
      <c r="AY97" s="1035">
        <v>0.1187</v>
      </c>
      <c r="AZ97" s="1035">
        <v>0.1153</v>
      </c>
      <c r="BA97" s="1035">
        <v>0.1119</v>
      </c>
      <c r="BB97" s="1035">
        <v>0.1085</v>
      </c>
      <c r="BC97" s="1035">
        <v>0.1051</v>
      </c>
      <c r="BD97" s="1035">
        <v>0.1016</v>
      </c>
      <c r="BE97" s="1035">
        <v>9.8199999999999996E-2</v>
      </c>
      <c r="BF97" s="1035">
        <v>9.4799999999999995E-2</v>
      </c>
      <c r="BH97" s="970">
        <f t="shared" si="3"/>
        <v>9.8199999999999996E-2</v>
      </c>
      <c r="BI97" s="1034">
        <f>IF(F$11=15,BX97,IF(F$11=20,BX97,IF(F$11=25,BX97,BY97)))</f>
        <v>271041</v>
      </c>
      <c r="BJ97" s="1034">
        <f>IF(F$11=15,BK$74*5,IF(F$11=20,BK$74*5,IF(F$11=25,BK$74*5,BZ97)))</f>
        <v>243900</v>
      </c>
      <c r="BK97" s="998">
        <f>IF(F$11=15,BK$74,IF(F$11=20,BK$74,IF(F$11=25,BK$74,0)))</f>
        <v>0</v>
      </c>
      <c r="BL97" s="998">
        <f t="shared" si="28"/>
        <v>6242</v>
      </c>
      <c r="BM97" s="998">
        <f t="shared" ref="BM97:BM102" si="34">IF(F$11=15,15,IF(F$11=20,20,IF(F$11=25,25,BN97)))</f>
        <v>25</v>
      </c>
      <c r="BN97" s="978">
        <v>25</v>
      </c>
      <c r="BO97" s="955" t="str">
        <f t="shared" si="9"/>
        <v>65.84%</v>
      </c>
      <c r="BP97" s="974">
        <f t="shared" si="10"/>
        <v>166666.66666666666</v>
      </c>
      <c r="BQ97" s="1">
        <f t="shared" si="11"/>
        <v>245000</v>
      </c>
      <c r="BR97" s="973">
        <f t="shared" si="12"/>
        <v>411666.66666666663</v>
      </c>
      <c r="BS97" s="977">
        <f t="shared" si="13"/>
        <v>271041</v>
      </c>
      <c r="BT97" s="976">
        <f t="shared" si="14"/>
        <v>0.57909999999999995</v>
      </c>
      <c r="BU97" s="1">
        <f t="shared" si="15"/>
        <v>88385</v>
      </c>
      <c r="BV97" s="975">
        <f t="shared" si="16"/>
        <v>9.8199999999999996E-2</v>
      </c>
      <c r="BW97" s="1">
        <f t="shared" si="17"/>
        <v>24059</v>
      </c>
      <c r="BX97" s="973">
        <f t="shared" si="18"/>
        <v>112444</v>
      </c>
      <c r="BY97" s="973">
        <f t="shared" si="19"/>
        <v>271041</v>
      </c>
      <c r="BZ97" s="973">
        <f t="shared" si="20"/>
        <v>243900</v>
      </c>
      <c r="CA97" s="972">
        <f t="shared" si="21"/>
        <v>152625</v>
      </c>
      <c r="CB97" s="972">
        <f t="shared" si="22"/>
        <v>160256.25</v>
      </c>
      <c r="CC97" s="974">
        <f t="shared" si="23"/>
        <v>200000</v>
      </c>
      <c r="CD97" s="977">
        <f t="shared" si="24"/>
        <v>200000</v>
      </c>
      <c r="CE97" s="1">
        <f t="shared" si="29"/>
        <v>245000</v>
      </c>
      <c r="CF97" s="1">
        <f t="shared" si="31"/>
        <v>45000</v>
      </c>
      <c r="CG97" s="973">
        <f t="shared" si="30"/>
        <v>490000</v>
      </c>
      <c r="CH97" s="972">
        <f t="shared" si="25"/>
        <v>490000</v>
      </c>
      <c r="CI97" s="972">
        <f t="shared" si="26"/>
        <v>26</v>
      </c>
      <c r="CJ97" s="972">
        <f t="shared" si="4"/>
        <v>0</v>
      </c>
      <c r="CK97" s="972">
        <f t="shared" si="5"/>
        <v>0</v>
      </c>
      <c r="CL97" s="972">
        <f t="shared" si="6"/>
        <v>0</v>
      </c>
      <c r="CM97" s="972"/>
      <c r="CN97" s="954">
        <f t="shared" si="7"/>
        <v>490000</v>
      </c>
      <c r="CO97" s="1">
        <f t="shared" si="8"/>
        <v>490000</v>
      </c>
    </row>
    <row r="98" spans="2:93" s="998" customFormat="1" hidden="1">
      <c r="B98" s="1032">
        <v>26</v>
      </c>
      <c r="C98" s="1033">
        <v>0.28539999999999999</v>
      </c>
      <c r="D98" s="1033">
        <v>0.28199999999999997</v>
      </c>
      <c r="E98" s="1033">
        <v>0.27860000000000001</v>
      </c>
      <c r="F98" s="1033">
        <v>0.2752</v>
      </c>
      <c r="G98" s="1033">
        <v>0.27179999999999999</v>
      </c>
      <c r="H98" s="1033">
        <v>0.26840000000000003</v>
      </c>
      <c r="I98" s="1033">
        <v>0.26490000000000002</v>
      </c>
      <c r="J98" s="1033">
        <v>0.26150000000000001</v>
      </c>
      <c r="K98" s="1033">
        <v>0.25609999999999999</v>
      </c>
      <c r="L98" s="1033">
        <v>0.25469999999999998</v>
      </c>
      <c r="M98" s="1033">
        <v>0.25130000000000002</v>
      </c>
      <c r="N98" s="1033">
        <v>0.24790000000000001</v>
      </c>
      <c r="O98" s="1033">
        <v>0.2445</v>
      </c>
      <c r="P98" s="1033">
        <v>0.24110000000000001</v>
      </c>
      <c r="Q98" s="1033">
        <v>0.23769999999999999</v>
      </c>
      <c r="R98" s="1033">
        <v>0.23430000000000001</v>
      </c>
      <c r="S98" s="1033">
        <v>0.23089999999999999</v>
      </c>
      <c r="T98" s="1033">
        <v>0.22750000000000001</v>
      </c>
      <c r="U98" s="1033">
        <v>0.22409999999999999</v>
      </c>
      <c r="V98" s="1033">
        <v>0.22070000000000001</v>
      </c>
      <c r="W98" s="1033">
        <v>0.21729999999999999</v>
      </c>
      <c r="X98" s="1033">
        <v>0.21390000000000001</v>
      </c>
      <c r="Y98" s="1033">
        <v>0.21049999999999999</v>
      </c>
      <c r="Z98" s="1033">
        <v>0.20710000000000001</v>
      </c>
      <c r="AA98" s="1033">
        <v>0.20369999999999999</v>
      </c>
      <c r="AB98" s="1033">
        <v>0.20030000000000001</v>
      </c>
      <c r="AC98" s="1033">
        <v>0.19689999999999999</v>
      </c>
      <c r="AD98" s="1033">
        <v>0.19350000000000001</v>
      </c>
      <c r="AE98" s="1033">
        <v>0.19009999999999999</v>
      </c>
      <c r="AF98" s="1033">
        <v>0.1867</v>
      </c>
      <c r="AG98" s="1033">
        <v>0.18329999999999999</v>
      </c>
      <c r="AH98" s="1033">
        <v>0.1799</v>
      </c>
      <c r="AI98" s="1033">
        <v>0.17649999999999999</v>
      </c>
      <c r="AJ98" s="1033">
        <v>0.1731</v>
      </c>
      <c r="AK98" s="1033">
        <v>0.16969999999999999</v>
      </c>
      <c r="AL98" s="1033">
        <v>0.1663</v>
      </c>
      <c r="AM98" s="1033">
        <v>0.16289999999999999</v>
      </c>
      <c r="AN98" s="1033">
        <v>0.1595</v>
      </c>
      <c r="AO98" s="1033">
        <v>0.15609999999999999</v>
      </c>
      <c r="AP98" s="1033">
        <v>0.1527</v>
      </c>
      <c r="AQ98" s="1033">
        <v>0.14929999999999999</v>
      </c>
      <c r="AR98" s="1033">
        <v>0.1459</v>
      </c>
      <c r="AS98" s="1033">
        <v>0.14249999999999999</v>
      </c>
      <c r="AT98" s="1033">
        <v>0.1391</v>
      </c>
      <c r="AU98" s="1033">
        <v>0.13569999999999999</v>
      </c>
      <c r="AV98" s="1033">
        <v>0.1323</v>
      </c>
      <c r="AW98" s="1033">
        <v>0.12889999999999999</v>
      </c>
      <c r="AX98" s="1033">
        <v>0.1255</v>
      </c>
      <c r="AY98" s="1033">
        <v>0.1221</v>
      </c>
      <c r="AZ98" s="1035">
        <v>0.1187</v>
      </c>
      <c r="BA98" s="1035">
        <v>0.1153</v>
      </c>
      <c r="BB98" s="1035">
        <v>0.1119</v>
      </c>
      <c r="BC98" s="1035">
        <v>0.1085</v>
      </c>
      <c r="BD98" s="1035">
        <v>0.1051</v>
      </c>
      <c r="BE98" s="1035">
        <v>0.1016</v>
      </c>
      <c r="BF98" s="1035">
        <v>9.8199999999999996E-2</v>
      </c>
      <c r="BH98" s="970">
        <f t="shared" si="3"/>
        <v>0.1016</v>
      </c>
      <c r="BI98" s="1034">
        <f t="shared" ref="BI98:BI101" si="35">IF(F$11=15,BX98,IF(F$11=20,BX98,IF(F$11=25,BX98,BY98)))</f>
        <v>300721</v>
      </c>
      <c r="BJ98" s="1034">
        <f>IF(F$11=15,BK$74*5,IF(F$11=20,BK$74*5,IF(F$11=25,BK$74*5,BZ98)))</f>
        <v>270600</v>
      </c>
      <c r="BK98" s="998">
        <f>IF(F$11=15,BK$74,IF(F$11=20,BK$74,IF(F$11=25,BK$74,0)))</f>
        <v>0</v>
      </c>
      <c r="BL98" s="998">
        <f t="shared" si="28"/>
        <v>6242</v>
      </c>
      <c r="BM98" s="998">
        <f t="shared" si="34"/>
        <v>26</v>
      </c>
      <c r="BN98" s="978">
        <v>26</v>
      </c>
      <c r="BO98" s="955" t="str">
        <f t="shared" si="9"/>
        <v>70.24%</v>
      </c>
      <c r="BP98" s="974">
        <f t="shared" si="10"/>
        <v>173333.33333333334</v>
      </c>
      <c r="BQ98" s="1">
        <f t="shared" si="11"/>
        <v>254800</v>
      </c>
      <c r="BR98" s="973">
        <f t="shared" si="12"/>
        <v>428133.33333333337</v>
      </c>
      <c r="BS98" s="977">
        <f t="shared" si="13"/>
        <v>300721</v>
      </c>
      <c r="BT98" s="976">
        <f t="shared" si="14"/>
        <v>0.58350000000000002</v>
      </c>
      <c r="BU98" s="1">
        <f t="shared" si="15"/>
        <v>92619</v>
      </c>
      <c r="BV98" s="975">
        <f t="shared" si="16"/>
        <v>0.1016</v>
      </c>
      <c r="BW98" s="1">
        <f t="shared" si="17"/>
        <v>25888</v>
      </c>
      <c r="BX98" s="973">
        <f t="shared" si="18"/>
        <v>118507</v>
      </c>
      <c r="BY98" s="973">
        <f t="shared" si="19"/>
        <v>300721</v>
      </c>
      <c r="BZ98" s="973">
        <f t="shared" si="20"/>
        <v>270600</v>
      </c>
      <c r="CA98" s="972">
        <f t="shared" si="21"/>
        <v>158730</v>
      </c>
      <c r="CB98" s="972">
        <f t="shared" si="22"/>
        <v>166666.5</v>
      </c>
      <c r="CC98" s="974">
        <f t="shared" si="23"/>
        <v>200000</v>
      </c>
      <c r="CD98" s="977">
        <f t="shared" si="24"/>
        <v>200000</v>
      </c>
      <c r="CE98" s="1">
        <f t="shared" si="29"/>
        <v>254800</v>
      </c>
      <c r="CF98" s="1">
        <f t="shared" si="31"/>
        <v>55000</v>
      </c>
      <c r="CG98" s="973">
        <f t="shared" si="30"/>
        <v>509800</v>
      </c>
      <c r="CH98" s="972">
        <f t="shared" si="25"/>
        <v>509800</v>
      </c>
      <c r="CI98" s="972">
        <f t="shared" si="26"/>
        <v>27</v>
      </c>
      <c r="CJ98" s="972">
        <f t="shared" si="4"/>
        <v>0</v>
      </c>
      <c r="CK98" s="972">
        <f t="shared" si="5"/>
        <v>0</v>
      </c>
      <c r="CL98" s="972">
        <f t="shared" si="6"/>
        <v>0</v>
      </c>
      <c r="CM98" s="972"/>
      <c r="CN98" s="954">
        <f t="shared" si="7"/>
        <v>509800</v>
      </c>
      <c r="CO98" s="1">
        <f t="shared" si="8"/>
        <v>509800</v>
      </c>
    </row>
    <row r="99" spans="2:93" s="998" customFormat="1" hidden="1">
      <c r="B99" s="1032">
        <v>27</v>
      </c>
      <c r="C99" s="1033">
        <v>0.2888</v>
      </c>
      <c r="D99" s="1033">
        <v>0.28539999999999999</v>
      </c>
      <c r="E99" s="1033">
        <v>0.28199999999999997</v>
      </c>
      <c r="F99" s="1033">
        <v>0.27860000000000001</v>
      </c>
      <c r="G99" s="1033">
        <v>0.2752</v>
      </c>
      <c r="H99" s="1033">
        <v>0.27179999999999999</v>
      </c>
      <c r="I99" s="1033">
        <v>0.26840000000000003</v>
      </c>
      <c r="J99" s="1033">
        <v>0.26490000000000002</v>
      </c>
      <c r="K99" s="1033">
        <v>0.26150000000000001</v>
      </c>
      <c r="L99" s="1033">
        <v>0.25609999999999999</v>
      </c>
      <c r="M99" s="1033">
        <v>0.25469999999999998</v>
      </c>
      <c r="N99" s="1033">
        <v>0.25130000000000002</v>
      </c>
      <c r="O99" s="1033">
        <v>0.24790000000000001</v>
      </c>
      <c r="P99" s="1033">
        <v>0.2445</v>
      </c>
      <c r="Q99" s="1033">
        <v>0.24110000000000001</v>
      </c>
      <c r="R99" s="1033">
        <v>0.23769999999999999</v>
      </c>
      <c r="S99" s="1033">
        <v>0.23430000000000001</v>
      </c>
      <c r="T99" s="1033">
        <v>0.23089999999999999</v>
      </c>
      <c r="U99" s="1033">
        <v>0.22750000000000001</v>
      </c>
      <c r="V99" s="1033">
        <v>0.22409999999999999</v>
      </c>
      <c r="W99" s="1033">
        <v>0.22070000000000001</v>
      </c>
      <c r="X99" s="1033">
        <v>0.21729999999999999</v>
      </c>
      <c r="Y99" s="1033">
        <v>0.21390000000000001</v>
      </c>
      <c r="Z99" s="1033">
        <v>0.21049999999999999</v>
      </c>
      <c r="AA99" s="1033">
        <v>0.20710000000000001</v>
      </c>
      <c r="AB99" s="1033">
        <v>0.20369999999999999</v>
      </c>
      <c r="AC99" s="1033">
        <v>0.20030000000000001</v>
      </c>
      <c r="AD99" s="1033">
        <v>0.19689999999999999</v>
      </c>
      <c r="AE99" s="1033">
        <v>0.19350000000000001</v>
      </c>
      <c r="AF99" s="1033">
        <v>0.19009999999999999</v>
      </c>
      <c r="AG99" s="1033">
        <v>0.1867</v>
      </c>
      <c r="AH99" s="1033">
        <v>0.18329999999999999</v>
      </c>
      <c r="AI99" s="1033">
        <v>0.1799</v>
      </c>
      <c r="AJ99" s="1033">
        <v>0.17649999999999999</v>
      </c>
      <c r="AK99" s="1033">
        <v>0.1731</v>
      </c>
      <c r="AL99" s="1033">
        <v>0.16969999999999999</v>
      </c>
      <c r="AM99" s="1033">
        <v>0.1663</v>
      </c>
      <c r="AN99" s="1033">
        <v>0.16289999999999999</v>
      </c>
      <c r="AO99" s="1033">
        <v>0.1595</v>
      </c>
      <c r="AP99" s="1033">
        <v>0.15609999999999999</v>
      </c>
      <c r="AQ99" s="1033">
        <v>0.1527</v>
      </c>
      <c r="AR99" s="1033">
        <v>0.14929999999999999</v>
      </c>
      <c r="AS99" s="1033">
        <v>0.1459</v>
      </c>
      <c r="AT99" s="1033">
        <v>0.14249999999999999</v>
      </c>
      <c r="AU99" s="1033">
        <v>0.1391</v>
      </c>
      <c r="AV99" s="1033">
        <v>0.13569999999999999</v>
      </c>
      <c r="AW99" s="1033">
        <v>0.1323</v>
      </c>
      <c r="AX99" s="1033">
        <v>0.12889999999999999</v>
      </c>
      <c r="AY99" s="1033">
        <v>0.1255</v>
      </c>
      <c r="AZ99" s="1033">
        <v>0.1221</v>
      </c>
      <c r="BA99" s="1035">
        <v>0.1187</v>
      </c>
      <c r="BB99" s="1035">
        <v>0.1153</v>
      </c>
      <c r="BC99" s="1035">
        <v>0.1119</v>
      </c>
      <c r="BD99" s="1035">
        <v>0.1085</v>
      </c>
      <c r="BE99" s="1035">
        <v>0.1051</v>
      </c>
      <c r="BF99" s="1035">
        <v>0.1016</v>
      </c>
      <c r="BH99" s="970">
        <f t="shared" si="3"/>
        <v>0.1051</v>
      </c>
      <c r="BI99" s="1034">
        <f t="shared" si="35"/>
        <v>322424</v>
      </c>
      <c r="BJ99" s="1034">
        <f>IF(F$11=15,BK$74*5,IF(F$11=20,BK$74*5,IF(F$11=25,BK$74*5,BZ99)))</f>
        <v>290200</v>
      </c>
      <c r="BK99" s="998">
        <f>IF(F$11=15,BK$74,IF(F$11=20,BK$74,IF(F$11=25,BK$74,0)))</f>
        <v>0</v>
      </c>
      <c r="BL99" s="998">
        <f t="shared" si="28"/>
        <v>6242</v>
      </c>
      <c r="BM99" s="998">
        <f t="shared" si="34"/>
        <v>27</v>
      </c>
      <c r="BN99" s="978">
        <v>27</v>
      </c>
      <c r="BO99" s="955" t="str">
        <f t="shared" si="9"/>
        <v>72.52%</v>
      </c>
      <c r="BP99" s="974">
        <f t="shared" si="10"/>
        <v>180000</v>
      </c>
      <c r="BQ99" s="1">
        <f t="shared" si="11"/>
        <v>264600</v>
      </c>
      <c r="BR99" s="973">
        <f t="shared" si="12"/>
        <v>444600</v>
      </c>
      <c r="BS99" s="977">
        <f t="shared" si="13"/>
        <v>322424</v>
      </c>
      <c r="BT99" s="976">
        <f t="shared" si="14"/>
        <v>0.58789999999999998</v>
      </c>
      <c r="BU99" s="1">
        <f t="shared" si="15"/>
        <v>96906</v>
      </c>
      <c r="BV99" s="975">
        <f t="shared" si="16"/>
        <v>0.1051</v>
      </c>
      <c r="BW99" s="1">
        <f t="shared" si="17"/>
        <v>27809</v>
      </c>
      <c r="BX99" s="973">
        <f t="shared" si="18"/>
        <v>124715</v>
      </c>
      <c r="BY99" s="973">
        <f t="shared" si="19"/>
        <v>322424</v>
      </c>
      <c r="BZ99" s="973">
        <f t="shared" si="20"/>
        <v>290200</v>
      </c>
      <c r="CA99" s="972">
        <f t="shared" si="21"/>
        <v>164835</v>
      </c>
      <c r="CB99" s="972">
        <f t="shared" si="22"/>
        <v>173076.75</v>
      </c>
      <c r="CC99" s="974">
        <f t="shared" si="23"/>
        <v>200000</v>
      </c>
      <c r="CD99" s="977">
        <f t="shared" si="24"/>
        <v>200000</v>
      </c>
      <c r="CE99" s="1">
        <f t="shared" si="29"/>
        <v>264600</v>
      </c>
      <c r="CF99" s="1">
        <f t="shared" si="31"/>
        <v>67000</v>
      </c>
      <c r="CG99" s="973">
        <f t="shared" si="30"/>
        <v>531600</v>
      </c>
      <c r="CH99" s="972">
        <f t="shared" si="25"/>
        <v>531600</v>
      </c>
      <c r="CI99" s="972">
        <f t="shared" si="26"/>
        <v>28</v>
      </c>
      <c r="CJ99" s="972">
        <f t="shared" si="4"/>
        <v>0</v>
      </c>
      <c r="CK99" s="972">
        <f t="shared" si="5"/>
        <v>0</v>
      </c>
      <c r="CL99" s="972">
        <f t="shared" si="6"/>
        <v>0</v>
      </c>
      <c r="CM99" s="972"/>
      <c r="CN99" s="954">
        <f t="shared" si="7"/>
        <v>531600</v>
      </c>
      <c r="CO99" s="1">
        <f t="shared" si="8"/>
        <v>531600</v>
      </c>
    </row>
    <row r="100" spans="2:93" s="998" customFormat="1" hidden="1">
      <c r="B100" s="1032">
        <v>28</v>
      </c>
      <c r="C100" s="1033">
        <v>0.29220000000000002</v>
      </c>
      <c r="D100" s="1033">
        <v>0.2888</v>
      </c>
      <c r="E100" s="1033">
        <v>0.28539999999999999</v>
      </c>
      <c r="F100" s="1033">
        <v>0.28199999999999997</v>
      </c>
      <c r="G100" s="1033">
        <v>0.27860000000000001</v>
      </c>
      <c r="H100" s="1033">
        <v>0.2752</v>
      </c>
      <c r="I100" s="1033">
        <v>0.27179999999999999</v>
      </c>
      <c r="J100" s="1033">
        <v>0.26840000000000003</v>
      </c>
      <c r="K100" s="1033">
        <v>0.26490000000000002</v>
      </c>
      <c r="L100" s="1033">
        <v>0.26150000000000001</v>
      </c>
      <c r="M100" s="1033">
        <v>0.25609999999999999</v>
      </c>
      <c r="N100" s="1033">
        <v>0.25469999999999998</v>
      </c>
      <c r="O100" s="1033">
        <v>0.25130000000000002</v>
      </c>
      <c r="P100" s="1033">
        <v>0.24790000000000001</v>
      </c>
      <c r="Q100" s="1033">
        <v>0.2445</v>
      </c>
      <c r="R100" s="1033">
        <v>0.24110000000000001</v>
      </c>
      <c r="S100" s="1033">
        <v>0.23769999999999999</v>
      </c>
      <c r="T100" s="1033">
        <v>0.23430000000000001</v>
      </c>
      <c r="U100" s="1033">
        <v>0.23089999999999999</v>
      </c>
      <c r="V100" s="1033">
        <v>0.22750000000000001</v>
      </c>
      <c r="W100" s="1033">
        <v>0.22409999999999999</v>
      </c>
      <c r="X100" s="1033">
        <v>0.22070000000000001</v>
      </c>
      <c r="Y100" s="1033">
        <v>0.21729999999999999</v>
      </c>
      <c r="Z100" s="1033">
        <v>0.21390000000000001</v>
      </c>
      <c r="AA100" s="1033">
        <v>0.21049999999999999</v>
      </c>
      <c r="AB100" s="1033">
        <v>0.20710000000000001</v>
      </c>
      <c r="AC100" s="1033">
        <v>0.20369999999999999</v>
      </c>
      <c r="AD100" s="1033">
        <v>0.20030000000000001</v>
      </c>
      <c r="AE100" s="1033">
        <v>0.19689999999999999</v>
      </c>
      <c r="AF100" s="1033">
        <v>0.19350000000000001</v>
      </c>
      <c r="AG100" s="1033">
        <v>0.19009999999999999</v>
      </c>
      <c r="AH100" s="1033">
        <v>0.1867</v>
      </c>
      <c r="AI100" s="1033">
        <v>0.18329999999999999</v>
      </c>
      <c r="AJ100" s="1033">
        <v>0.1799</v>
      </c>
      <c r="AK100" s="1033">
        <v>0.17649999999999999</v>
      </c>
      <c r="AL100" s="1033">
        <v>0.1731</v>
      </c>
      <c r="AM100" s="1033">
        <v>0.16969999999999999</v>
      </c>
      <c r="AN100" s="1033">
        <v>0.1663</v>
      </c>
      <c r="AO100" s="1033">
        <v>0.16289999999999999</v>
      </c>
      <c r="AP100" s="1033">
        <v>0.1595</v>
      </c>
      <c r="AQ100" s="1033">
        <v>0.15609999999999999</v>
      </c>
      <c r="AR100" s="1033">
        <v>0.1527</v>
      </c>
      <c r="AS100" s="1033">
        <v>0.14929999999999999</v>
      </c>
      <c r="AT100" s="1033">
        <v>0.1459</v>
      </c>
      <c r="AU100" s="1033">
        <v>0.14249999999999999</v>
      </c>
      <c r="AV100" s="1033">
        <v>0.1391</v>
      </c>
      <c r="AW100" s="1033">
        <v>0.13569999999999999</v>
      </c>
      <c r="AX100" s="1033">
        <v>0.1323</v>
      </c>
      <c r="AY100" s="1033">
        <v>0.12889999999999999</v>
      </c>
      <c r="AZ100" s="1033">
        <v>0.1255</v>
      </c>
      <c r="BA100" s="1033">
        <v>0.1221</v>
      </c>
      <c r="BB100" s="1035">
        <v>0.1187</v>
      </c>
      <c r="BC100" s="1035">
        <v>0.1153</v>
      </c>
      <c r="BD100" s="1035">
        <v>0.1119</v>
      </c>
      <c r="BE100" s="1035">
        <v>0.1085</v>
      </c>
      <c r="BF100" s="1035">
        <v>0.1051</v>
      </c>
      <c r="BH100" s="970">
        <f t="shared" si="3"/>
        <v>0.1085</v>
      </c>
      <c r="BI100" s="1034">
        <f t="shared" si="35"/>
        <v>345616</v>
      </c>
      <c r="BJ100" s="1034">
        <f>IF(F$11=15,BK$74*5,IF(F$11=20,BK$74*5,IF(F$11=25,BK$74*5,BZ100)))</f>
        <v>311100</v>
      </c>
      <c r="BK100" s="998">
        <f>IF(F$11=15,BK$74,IF(F$11=20,BK$74,IF(F$11=25,BK$74,0)))</f>
        <v>0</v>
      </c>
      <c r="BL100" s="998">
        <f t="shared" si="28"/>
        <v>6242</v>
      </c>
      <c r="BM100" s="998">
        <f t="shared" si="34"/>
        <v>28</v>
      </c>
      <c r="BN100" s="978">
        <v>28</v>
      </c>
      <c r="BO100" s="955" t="str">
        <f t="shared" si="9"/>
        <v>74.96%</v>
      </c>
      <c r="BP100" s="974">
        <f t="shared" si="10"/>
        <v>186666.66666666666</v>
      </c>
      <c r="BQ100" s="1">
        <f t="shared" si="11"/>
        <v>274400</v>
      </c>
      <c r="BR100" s="973">
        <f t="shared" si="12"/>
        <v>461066.66666666663</v>
      </c>
      <c r="BS100" s="977">
        <f t="shared" si="13"/>
        <v>345616</v>
      </c>
      <c r="BT100" s="976">
        <f t="shared" si="14"/>
        <v>0.59230000000000005</v>
      </c>
      <c r="BU100" s="1">
        <f t="shared" si="15"/>
        <v>101248</v>
      </c>
      <c r="BV100" s="975">
        <f t="shared" si="16"/>
        <v>0.1085</v>
      </c>
      <c r="BW100" s="1">
        <f t="shared" si="17"/>
        <v>29772</v>
      </c>
      <c r="BX100" s="973">
        <f t="shared" si="18"/>
        <v>131020</v>
      </c>
      <c r="BY100" s="973">
        <f t="shared" si="19"/>
        <v>345616</v>
      </c>
      <c r="BZ100" s="973">
        <f t="shared" si="20"/>
        <v>311100</v>
      </c>
      <c r="CA100" s="972">
        <f t="shared" si="21"/>
        <v>170940</v>
      </c>
      <c r="CB100" s="972">
        <f t="shared" si="22"/>
        <v>179487</v>
      </c>
      <c r="CC100" s="974">
        <f t="shared" si="23"/>
        <v>200000</v>
      </c>
      <c r="CD100" s="977">
        <f t="shared" si="24"/>
        <v>200000</v>
      </c>
      <c r="CE100" s="1">
        <f t="shared" si="29"/>
        <v>274400</v>
      </c>
      <c r="CF100" s="1">
        <f t="shared" si="31"/>
        <v>79000</v>
      </c>
      <c r="CG100" s="973">
        <f t="shared" si="30"/>
        <v>553400</v>
      </c>
      <c r="CH100" s="972">
        <f t="shared" si="25"/>
        <v>553400</v>
      </c>
      <c r="CI100" s="972">
        <f t="shared" si="26"/>
        <v>29</v>
      </c>
      <c r="CJ100" s="972">
        <f t="shared" si="4"/>
        <v>0</v>
      </c>
      <c r="CK100" s="972">
        <f t="shared" si="5"/>
        <v>0</v>
      </c>
      <c r="CL100" s="972">
        <f t="shared" si="6"/>
        <v>0</v>
      </c>
      <c r="CM100" s="972"/>
      <c r="CN100" s="954">
        <f t="shared" si="7"/>
        <v>553400</v>
      </c>
      <c r="CO100" s="1">
        <f t="shared" si="8"/>
        <v>553400</v>
      </c>
    </row>
    <row r="101" spans="2:93" s="998" customFormat="1" hidden="1">
      <c r="B101" s="1032">
        <v>29</v>
      </c>
      <c r="C101" s="1033">
        <v>0.29559999999999997</v>
      </c>
      <c r="D101" s="1033">
        <v>0.29220000000000002</v>
      </c>
      <c r="E101" s="1033">
        <v>0.2888</v>
      </c>
      <c r="F101" s="1033">
        <v>0.28539999999999999</v>
      </c>
      <c r="G101" s="1033">
        <v>0.28199999999999997</v>
      </c>
      <c r="H101" s="1033">
        <v>0.27860000000000001</v>
      </c>
      <c r="I101" s="1033">
        <v>0.2752</v>
      </c>
      <c r="J101" s="1033">
        <v>0.27179999999999999</v>
      </c>
      <c r="K101" s="1033">
        <v>0.26840000000000003</v>
      </c>
      <c r="L101" s="1033">
        <v>0.26490000000000002</v>
      </c>
      <c r="M101" s="1033">
        <v>0.26150000000000001</v>
      </c>
      <c r="N101" s="1033">
        <v>0.25609999999999999</v>
      </c>
      <c r="O101" s="1033">
        <v>0.25469999999999998</v>
      </c>
      <c r="P101" s="1033">
        <v>0.25130000000000002</v>
      </c>
      <c r="Q101" s="1033">
        <v>0.24790000000000001</v>
      </c>
      <c r="R101" s="1033">
        <v>0.2445</v>
      </c>
      <c r="S101" s="1033">
        <v>0.24110000000000001</v>
      </c>
      <c r="T101" s="1033">
        <v>0.23769999999999999</v>
      </c>
      <c r="U101" s="1033">
        <v>0.23430000000000001</v>
      </c>
      <c r="V101" s="1033">
        <v>0.23089999999999999</v>
      </c>
      <c r="W101" s="1033">
        <v>0.22750000000000001</v>
      </c>
      <c r="X101" s="1033">
        <v>0.22409999999999999</v>
      </c>
      <c r="Y101" s="1033">
        <v>0.22070000000000001</v>
      </c>
      <c r="Z101" s="1033">
        <v>0.21729999999999999</v>
      </c>
      <c r="AA101" s="1033">
        <v>0.21390000000000001</v>
      </c>
      <c r="AB101" s="1033">
        <v>0.21049999999999999</v>
      </c>
      <c r="AC101" s="1033">
        <v>0.20710000000000001</v>
      </c>
      <c r="AD101" s="1033">
        <v>0.20369999999999999</v>
      </c>
      <c r="AE101" s="1033">
        <v>0.20030000000000001</v>
      </c>
      <c r="AF101" s="1033">
        <v>0.19689999999999999</v>
      </c>
      <c r="AG101" s="1033">
        <v>0.19350000000000001</v>
      </c>
      <c r="AH101" s="1033">
        <v>0.19009999999999999</v>
      </c>
      <c r="AI101" s="1033">
        <v>0.1867</v>
      </c>
      <c r="AJ101" s="1033">
        <v>0.18329999999999999</v>
      </c>
      <c r="AK101" s="1033">
        <v>0.1799</v>
      </c>
      <c r="AL101" s="1033">
        <v>0.17649999999999999</v>
      </c>
      <c r="AM101" s="1033">
        <v>0.1731</v>
      </c>
      <c r="AN101" s="1033">
        <v>0.16969999999999999</v>
      </c>
      <c r="AO101" s="1033">
        <v>0.1663</v>
      </c>
      <c r="AP101" s="1033">
        <v>0.16289999999999999</v>
      </c>
      <c r="AQ101" s="1033">
        <v>0.1595</v>
      </c>
      <c r="AR101" s="1033">
        <v>0.15609999999999999</v>
      </c>
      <c r="AS101" s="1033">
        <v>0.1527</v>
      </c>
      <c r="AT101" s="1033">
        <v>0.14929999999999999</v>
      </c>
      <c r="AU101" s="1033">
        <v>0.1459</v>
      </c>
      <c r="AV101" s="1033">
        <v>0.14249999999999999</v>
      </c>
      <c r="AW101" s="1033">
        <v>0.1391</v>
      </c>
      <c r="AX101" s="1033">
        <v>0.13569999999999999</v>
      </c>
      <c r="AY101" s="1033">
        <v>0.1323</v>
      </c>
      <c r="AZ101" s="1033">
        <v>0.12889999999999999</v>
      </c>
      <c r="BA101" s="1033">
        <v>0.1255</v>
      </c>
      <c r="BB101" s="1033">
        <v>0.1221</v>
      </c>
      <c r="BC101" s="1035">
        <v>0.1187</v>
      </c>
      <c r="BD101" s="1035">
        <v>0.1153</v>
      </c>
      <c r="BE101" s="1035">
        <v>0.1119</v>
      </c>
      <c r="BF101" s="1035">
        <v>0.1085</v>
      </c>
      <c r="BH101" s="970">
        <f t="shared" si="3"/>
        <v>0.1119</v>
      </c>
      <c r="BI101" s="1034">
        <f t="shared" si="35"/>
        <v>394299</v>
      </c>
      <c r="BJ101" s="1034">
        <f>IF(F$11=15,BK$74*5,IF(F$11=20,BK$74*5,IF(F$11=25,BK$74*5,BZ101)))</f>
        <v>354900</v>
      </c>
      <c r="BK101" s="998">
        <f>IF(F$11=15,BK$74,IF(F$11=20,BK$74,IF(F$11=25,BK$74,0)))</f>
        <v>0</v>
      </c>
      <c r="BL101" s="998">
        <f t="shared" si="28"/>
        <v>6242</v>
      </c>
      <c r="BM101" s="998">
        <f t="shared" si="34"/>
        <v>29</v>
      </c>
      <c r="BN101" s="978">
        <v>29</v>
      </c>
      <c r="BO101" s="955" t="str">
        <f t="shared" si="9"/>
        <v>82.57%</v>
      </c>
      <c r="BP101" s="974">
        <f t="shared" si="10"/>
        <v>193333.33333333334</v>
      </c>
      <c r="BQ101" s="1">
        <f t="shared" si="11"/>
        <v>284200</v>
      </c>
      <c r="BR101" s="973">
        <f t="shared" si="12"/>
        <v>477533.33333333337</v>
      </c>
      <c r="BS101" s="977">
        <f t="shared" si="13"/>
        <v>394299</v>
      </c>
      <c r="BT101" s="976">
        <f t="shared" si="14"/>
        <v>0.59670000000000001</v>
      </c>
      <c r="BU101" s="1">
        <f t="shared" si="15"/>
        <v>105643</v>
      </c>
      <c r="BV101" s="975">
        <f t="shared" si="16"/>
        <v>0.1119</v>
      </c>
      <c r="BW101" s="1">
        <f t="shared" si="17"/>
        <v>31802</v>
      </c>
      <c r="BX101" s="973">
        <f t="shared" si="18"/>
        <v>137445</v>
      </c>
      <c r="BY101" s="973">
        <f t="shared" si="19"/>
        <v>394299</v>
      </c>
      <c r="BZ101" s="973">
        <f t="shared" si="20"/>
        <v>354900</v>
      </c>
      <c r="CA101" s="972">
        <f t="shared" si="21"/>
        <v>177045</v>
      </c>
      <c r="CB101" s="972">
        <f t="shared" si="22"/>
        <v>185897.25</v>
      </c>
      <c r="CC101" s="974">
        <f t="shared" si="23"/>
        <v>200000</v>
      </c>
      <c r="CD101" s="977">
        <f t="shared" si="24"/>
        <v>200000</v>
      </c>
      <c r="CE101" s="1">
        <f t="shared" si="29"/>
        <v>284200</v>
      </c>
      <c r="CF101" s="1">
        <f t="shared" si="31"/>
        <v>91000</v>
      </c>
      <c r="CG101" s="973">
        <f t="shared" si="30"/>
        <v>575200</v>
      </c>
      <c r="CH101" s="972">
        <f t="shared" si="25"/>
        <v>575200</v>
      </c>
      <c r="CI101" s="972">
        <f t="shared" si="26"/>
        <v>30</v>
      </c>
      <c r="CJ101" s="972">
        <f t="shared" si="4"/>
        <v>0</v>
      </c>
      <c r="CK101" s="972">
        <f t="shared" si="5"/>
        <v>0</v>
      </c>
      <c r="CL101" s="972">
        <f t="shared" si="6"/>
        <v>0</v>
      </c>
      <c r="CM101" s="972"/>
      <c r="CN101" s="954">
        <f t="shared" si="7"/>
        <v>575200</v>
      </c>
      <c r="CO101" s="1">
        <f t="shared" si="8"/>
        <v>575200</v>
      </c>
    </row>
    <row r="102" spans="2:93" s="998" customFormat="1" hidden="1">
      <c r="B102" s="1032">
        <v>30</v>
      </c>
      <c r="C102" s="1033">
        <v>0.29899999999999999</v>
      </c>
      <c r="D102" s="1033">
        <v>0.29559999999999997</v>
      </c>
      <c r="E102" s="1033">
        <v>0.29220000000000002</v>
      </c>
      <c r="F102" s="1033">
        <v>0.2888</v>
      </c>
      <c r="G102" s="1033">
        <v>0.28539999999999999</v>
      </c>
      <c r="H102" s="1033">
        <v>0.28199999999999997</v>
      </c>
      <c r="I102" s="1033">
        <v>0.27860000000000001</v>
      </c>
      <c r="J102" s="1033">
        <v>0.2752</v>
      </c>
      <c r="K102" s="1033">
        <v>0.27179999999999999</v>
      </c>
      <c r="L102" s="1033">
        <v>0.26840000000000003</v>
      </c>
      <c r="M102" s="1033">
        <v>0.26490000000000002</v>
      </c>
      <c r="N102" s="1033">
        <v>0.26150000000000001</v>
      </c>
      <c r="O102" s="1033">
        <v>0.25609999999999999</v>
      </c>
      <c r="P102" s="1033">
        <v>0.25469999999999998</v>
      </c>
      <c r="Q102" s="1033">
        <v>0.25130000000000002</v>
      </c>
      <c r="R102" s="1033">
        <v>0.24790000000000001</v>
      </c>
      <c r="S102" s="1033">
        <v>0.2445</v>
      </c>
      <c r="T102" s="1033">
        <v>0.24110000000000001</v>
      </c>
      <c r="U102" s="1033">
        <v>0.23769999999999999</v>
      </c>
      <c r="V102" s="1033">
        <v>0.23430000000000001</v>
      </c>
      <c r="W102" s="1033">
        <v>0.23089999999999999</v>
      </c>
      <c r="X102" s="1033">
        <v>0.22750000000000001</v>
      </c>
      <c r="Y102" s="1033">
        <v>0.22409999999999999</v>
      </c>
      <c r="Z102" s="1033">
        <v>0.22070000000000001</v>
      </c>
      <c r="AA102" s="1033">
        <v>0.21729999999999999</v>
      </c>
      <c r="AB102" s="1033">
        <v>0.21390000000000001</v>
      </c>
      <c r="AC102" s="1033">
        <v>0.21049999999999999</v>
      </c>
      <c r="AD102" s="1033">
        <v>0.20710000000000001</v>
      </c>
      <c r="AE102" s="1033">
        <v>0.20369999999999999</v>
      </c>
      <c r="AF102" s="1033">
        <v>0.20030000000000001</v>
      </c>
      <c r="AG102" s="1033">
        <v>0.19689999999999999</v>
      </c>
      <c r="AH102" s="1033">
        <v>0.19350000000000001</v>
      </c>
      <c r="AI102" s="1033">
        <v>0.19009999999999999</v>
      </c>
      <c r="AJ102" s="1033">
        <v>0.1867</v>
      </c>
      <c r="AK102" s="1033">
        <v>0.18329999999999999</v>
      </c>
      <c r="AL102" s="1033">
        <v>0.1799</v>
      </c>
      <c r="AM102" s="1033">
        <v>0.17649999999999999</v>
      </c>
      <c r="AN102" s="1033">
        <v>0.1731</v>
      </c>
      <c r="AO102" s="1033">
        <v>0.16969999999999999</v>
      </c>
      <c r="AP102" s="1033">
        <v>0.1663</v>
      </c>
      <c r="AQ102" s="1033">
        <v>0.16289999999999999</v>
      </c>
      <c r="AR102" s="1033">
        <v>0.1595</v>
      </c>
      <c r="AS102" s="1033">
        <v>0.15609999999999999</v>
      </c>
      <c r="AT102" s="1033">
        <v>0.1527</v>
      </c>
      <c r="AU102" s="1033">
        <v>0.14929999999999999</v>
      </c>
      <c r="AV102" s="1033">
        <v>0.1459</v>
      </c>
      <c r="AW102" s="1033">
        <v>0.14249999999999999</v>
      </c>
      <c r="AX102" s="1033">
        <v>0.1391</v>
      </c>
      <c r="AY102" s="1033">
        <v>0.13569999999999999</v>
      </c>
      <c r="AZ102" s="1033">
        <v>0.1323</v>
      </c>
      <c r="BA102" s="1033">
        <v>0.12889999999999999</v>
      </c>
      <c r="BB102" s="1033">
        <v>0.1255</v>
      </c>
      <c r="BC102" s="1033">
        <v>0.1221</v>
      </c>
      <c r="BD102" s="1035">
        <v>0.1187</v>
      </c>
      <c r="BE102" s="1035">
        <v>0.1153</v>
      </c>
      <c r="BF102" s="1035">
        <v>0.1119</v>
      </c>
      <c r="BH102" s="970">
        <f t="shared" si="3"/>
        <v>0.1153</v>
      </c>
      <c r="BI102" s="1034">
        <f>IF(F$11=15,BX102,IF(F$11=20,BX102,IF(F$11=25,BX102,IF(F$11=30,BX102,BY102))))</f>
        <v>143989</v>
      </c>
      <c r="BJ102" s="1034">
        <f>IF(F$11=15,BK$74*5,IF(F$11=20,BK$74*5,IF(F$11=25,BK$74*5,IF(F$11=30,BK$74*5,BZ102))))</f>
        <v>80000</v>
      </c>
      <c r="BK102" s="998">
        <f>IF(F$11=15,BK$74,IF(F$11=20,BK$74,IF(F$11=25,BK$74,IF(F$11=30,BK$74,0))))</f>
        <v>16000</v>
      </c>
      <c r="BL102" s="998">
        <f t="shared" si="28"/>
        <v>6242</v>
      </c>
      <c r="BM102" s="998">
        <f t="shared" si="34"/>
        <v>30</v>
      </c>
      <c r="BN102" s="978">
        <v>30</v>
      </c>
      <c r="BO102" s="955" t="str">
        <f t="shared" si="9"/>
        <v>90.00%</v>
      </c>
      <c r="BP102" s="974">
        <f t="shared" si="10"/>
        <v>200000</v>
      </c>
      <c r="BQ102" s="1">
        <f t="shared" si="11"/>
        <v>294000</v>
      </c>
      <c r="BR102" s="973">
        <f t="shared" si="12"/>
        <v>494000</v>
      </c>
      <c r="BS102" s="977">
        <f t="shared" si="13"/>
        <v>444600</v>
      </c>
      <c r="BT102" s="976">
        <f t="shared" si="14"/>
        <v>0.60109999999999997</v>
      </c>
      <c r="BU102" s="1">
        <f t="shared" si="15"/>
        <v>110091</v>
      </c>
      <c r="BV102" s="975">
        <f t="shared" si="16"/>
        <v>0.1153</v>
      </c>
      <c r="BW102" s="1">
        <f t="shared" si="17"/>
        <v>33898</v>
      </c>
      <c r="BX102" s="973">
        <f t="shared" si="18"/>
        <v>143989</v>
      </c>
      <c r="BY102" s="973">
        <f t="shared" si="19"/>
        <v>444600</v>
      </c>
      <c r="BZ102" s="973">
        <f t="shared" si="20"/>
        <v>400100</v>
      </c>
      <c r="CA102" s="972">
        <f t="shared" si="21"/>
        <v>183150</v>
      </c>
      <c r="CB102" s="972">
        <f t="shared" si="22"/>
        <v>192307.5</v>
      </c>
      <c r="CC102" s="974">
        <f t="shared" si="23"/>
        <v>200000</v>
      </c>
      <c r="CD102" s="977">
        <f t="shared" si="24"/>
        <v>200000</v>
      </c>
      <c r="CE102" s="1">
        <f t="shared" si="29"/>
        <v>294000</v>
      </c>
      <c r="CF102" s="1">
        <f t="shared" si="31"/>
        <v>110000</v>
      </c>
      <c r="CG102" s="973">
        <f t="shared" si="30"/>
        <v>604000</v>
      </c>
      <c r="CH102" s="972">
        <f t="shared" si="25"/>
        <v>604000</v>
      </c>
      <c r="CI102" s="972">
        <f t="shared" si="26"/>
        <v>31</v>
      </c>
      <c r="CJ102" s="972">
        <f t="shared" si="4"/>
        <v>0</v>
      </c>
      <c r="CK102" s="972">
        <f t="shared" si="5"/>
        <v>0</v>
      </c>
      <c r="CL102" s="972">
        <f t="shared" si="6"/>
        <v>0</v>
      </c>
      <c r="CM102" s="972"/>
      <c r="CN102" s="954">
        <f t="shared" si="7"/>
        <v>604000</v>
      </c>
      <c r="CO102" s="1">
        <f t="shared" si="8"/>
        <v>604000</v>
      </c>
    </row>
    <row r="103" spans="2:93" s="998" customFormat="1" hidden="1">
      <c r="B103" s="1032">
        <v>31</v>
      </c>
      <c r="C103" s="1033">
        <v>0.3024</v>
      </c>
      <c r="D103" s="1033">
        <v>0.29899999999999999</v>
      </c>
      <c r="E103" s="1033">
        <v>0.29559999999999997</v>
      </c>
      <c r="F103" s="1033">
        <v>0.29220000000000002</v>
      </c>
      <c r="G103" s="1033">
        <v>0.2888</v>
      </c>
      <c r="H103" s="1033">
        <v>0.28539999999999999</v>
      </c>
      <c r="I103" s="1033">
        <v>0.28199999999999997</v>
      </c>
      <c r="J103" s="1033">
        <v>0.27860000000000001</v>
      </c>
      <c r="K103" s="1033">
        <v>0.2752</v>
      </c>
      <c r="L103" s="1033">
        <v>0.27179999999999999</v>
      </c>
      <c r="M103" s="1033">
        <v>0.26840000000000003</v>
      </c>
      <c r="N103" s="1033">
        <v>0.26490000000000002</v>
      </c>
      <c r="O103" s="1033">
        <v>0.26150000000000001</v>
      </c>
      <c r="P103" s="1033">
        <v>0.25609999999999999</v>
      </c>
      <c r="Q103" s="1033">
        <v>0.25469999999999998</v>
      </c>
      <c r="R103" s="1033">
        <v>0.25130000000000002</v>
      </c>
      <c r="S103" s="1033">
        <v>0.24790000000000001</v>
      </c>
      <c r="T103" s="1033">
        <v>0.2445</v>
      </c>
      <c r="U103" s="1033">
        <v>0.24110000000000001</v>
      </c>
      <c r="V103" s="1033">
        <v>0.23769999999999999</v>
      </c>
      <c r="W103" s="1033">
        <v>0.23430000000000001</v>
      </c>
      <c r="X103" s="1033">
        <v>0.23089999999999999</v>
      </c>
      <c r="Y103" s="1033">
        <v>0.22750000000000001</v>
      </c>
      <c r="Z103" s="1033">
        <v>0.22409999999999999</v>
      </c>
      <c r="AA103" s="1033">
        <v>0.22070000000000001</v>
      </c>
      <c r="AB103" s="1033">
        <v>0.21729999999999999</v>
      </c>
      <c r="AC103" s="1033">
        <v>0.21390000000000001</v>
      </c>
      <c r="AD103" s="1033">
        <v>0.21049999999999999</v>
      </c>
      <c r="AE103" s="1033">
        <v>0.20710000000000001</v>
      </c>
      <c r="AF103" s="1033">
        <v>0.20369999999999999</v>
      </c>
      <c r="AG103" s="1033">
        <v>0.20030000000000001</v>
      </c>
      <c r="AH103" s="1033">
        <v>0.19689999999999999</v>
      </c>
      <c r="AI103" s="1033">
        <v>0.19350000000000001</v>
      </c>
      <c r="AJ103" s="1033">
        <v>0.19009999999999999</v>
      </c>
      <c r="AK103" s="1033">
        <v>0.1867</v>
      </c>
      <c r="AL103" s="1033">
        <v>0.18329999999999999</v>
      </c>
      <c r="AM103" s="1033">
        <v>0.1799</v>
      </c>
      <c r="AN103" s="1033">
        <v>0.17649999999999999</v>
      </c>
      <c r="AO103" s="1033">
        <v>0.1731</v>
      </c>
      <c r="AP103" s="1033">
        <v>0.16969999999999999</v>
      </c>
      <c r="AQ103" s="1033">
        <v>0.1663</v>
      </c>
      <c r="AR103" s="1033">
        <v>0.16289999999999999</v>
      </c>
      <c r="AS103" s="1033">
        <v>0.1595</v>
      </c>
      <c r="AT103" s="1033">
        <v>0.15609999999999999</v>
      </c>
      <c r="AU103" s="1033">
        <v>0.1527</v>
      </c>
      <c r="AV103" s="1033">
        <v>0.14929999999999999</v>
      </c>
      <c r="AW103" s="1033">
        <v>0.1459</v>
      </c>
      <c r="AX103" s="1033">
        <v>0.14249999999999999</v>
      </c>
      <c r="AY103" s="1033">
        <v>0.1391</v>
      </c>
      <c r="AZ103" s="1033">
        <v>0.13569999999999999</v>
      </c>
      <c r="BA103" s="1033">
        <v>0.1323</v>
      </c>
      <c r="BB103" s="1033">
        <v>0.12889999999999999</v>
      </c>
      <c r="BC103" s="1033">
        <v>0.1255</v>
      </c>
      <c r="BD103" s="1033">
        <v>0.1221</v>
      </c>
      <c r="BE103" s="1035">
        <v>0.1187</v>
      </c>
      <c r="BF103" s="1035">
        <v>0.1153</v>
      </c>
      <c r="BH103" s="970">
        <f t="shared" si="3"/>
        <v>0.1187</v>
      </c>
      <c r="BI103" s="1034">
        <f t="shared" ref="BI103:BI154" si="36">BY103</f>
        <v>110897</v>
      </c>
      <c r="BJ103" s="1034">
        <f>BK$74*5</f>
        <v>80000</v>
      </c>
      <c r="BK103" s="998">
        <f t="shared" ref="BK103:BK134" si="37">IF(CI103&lt;=100,BK$74," ")</f>
        <v>16000</v>
      </c>
      <c r="BL103" s="998">
        <f t="shared" ref="BL103:BL134" si="38">IF(CI103=101,CN$72,BK103)</f>
        <v>16000</v>
      </c>
      <c r="BN103" s="1032">
        <v>31</v>
      </c>
      <c r="BQ103" s="998">
        <v>0</v>
      </c>
      <c r="BS103" s="1010">
        <v>0</v>
      </c>
      <c r="BT103" s="976">
        <f t="shared" si="14"/>
        <v>0.60550000000000004</v>
      </c>
      <c r="BU103" s="1">
        <f t="shared" ref="BU103:BU134" si="39">ROUND(($AA$65*F$11)*BT103,0)</f>
        <v>110897</v>
      </c>
      <c r="BV103" s="975">
        <f t="shared" si="16"/>
        <v>0.1187</v>
      </c>
      <c r="BW103" s="1">
        <f t="shared" si="17"/>
        <v>0</v>
      </c>
      <c r="BX103" s="973">
        <f t="shared" si="18"/>
        <v>110897</v>
      </c>
      <c r="BY103" s="973">
        <f t="shared" si="19"/>
        <v>110897</v>
      </c>
      <c r="BZ103" s="973">
        <f t="shared" si="20"/>
        <v>99800</v>
      </c>
      <c r="CC103" s="974">
        <f t="shared" si="23"/>
        <v>200000</v>
      </c>
      <c r="CE103" s="1">
        <f t="shared" si="29"/>
        <v>427800</v>
      </c>
      <c r="CF103" s="1">
        <f t="shared" ref="CF103:CF134" si="40">IF(CI103=101,3550*$I$10/1000,0)</f>
        <v>0</v>
      </c>
      <c r="CG103" s="973">
        <f t="shared" si="30"/>
        <v>627800</v>
      </c>
      <c r="CH103" s="972">
        <f t="shared" si="25"/>
        <v>627800</v>
      </c>
      <c r="CI103" s="972">
        <f t="shared" si="26"/>
        <v>32</v>
      </c>
      <c r="CJ103" s="972">
        <f t="shared" si="4"/>
        <v>0</v>
      </c>
      <c r="CK103" s="972">
        <f t="shared" si="5"/>
        <v>0</v>
      </c>
      <c r="CL103" s="972">
        <f t="shared" si="6"/>
        <v>0</v>
      </c>
      <c r="CN103" s="954">
        <f t="shared" si="7"/>
        <v>627800</v>
      </c>
      <c r="CO103" s="1">
        <f t="shared" si="8"/>
        <v>627800</v>
      </c>
    </row>
    <row r="104" spans="2:93" s="998" customFormat="1" hidden="1">
      <c r="B104" s="1032">
        <v>32</v>
      </c>
      <c r="C104" s="1033">
        <v>0.30580000000000002</v>
      </c>
      <c r="D104" s="1033">
        <v>0.3024</v>
      </c>
      <c r="E104" s="1033">
        <v>0.29899999999999999</v>
      </c>
      <c r="F104" s="1033">
        <v>0.29559999999999997</v>
      </c>
      <c r="G104" s="1033">
        <v>0.29220000000000002</v>
      </c>
      <c r="H104" s="1033">
        <v>0.2888</v>
      </c>
      <c r="I104" s="1033">
        <v>0.28539999999999999</v>
      </c>
      <c r="J104" s="1033">
        <v>0.28199999999999997</v>
      </c>
      <c r="K104" s="1033">
        <v>0.27860000000000001</v>
      </c>
      <c r="L104" s="1033">
        <v>0.2752</v>
      </c>
      <c r="M104" s="1033">
        <v>0.27179999999999999</v>
      </c>
      <c r="N104" s="1033">
        <v>0.26840000000000003</v>
      </c>
      <c r="O104" s="1033">
        <v>0.26490000000000002</v>
      </c>
      <c r="P104" s="1033">
        <v>0.26150000000000001</v>
      </c>
      <c r="Q104" s="1033">
        <v>0.25609999999999999</v>
      </c>
      <c r="R104" s="1033">
        <v>0.25469999999999998</v>
      </c>
      <c r="S104" s="1033">
        <v>0.25130000000000002</v>
      </c>
      <c r="T104" s="1033">
        <v>0.24790000000000001</v>
      </c>
      <c r="U104" s="1033">
        <v>0.2445</v>
      </c>
      <c r="V104" s="1033">
        <v>0.24110000000000001</v>
      </c>
      <c r="W104" s="1033">
        <v>0.23769999999999999</v>
      </c>
      <c r="X104" s="1033">
        <v>0.23430000000000001</v>
      </c>
      <c r="Y104" s="1033">
        <v>0.23089999999999999</v>
      </c>
      <c r="Z104" s="1033">
        <v>0.22750000000000001</v>
      </c>
      <c r="AA104" s="1033">
        <v>0.22409999999999999</v>
      </c>
      <c r="AB104" s="1033">
        <v>0.22070000000000001</v>
      </c>
      <c r="AC104" s="1033">
        <v>0.21729999999999999</v>
      </c>
      <c r="AD104" s="1033">
        <v>0.21390000000000001</v>
      </c>
      <c r="AE104" s="1033">
        <v>0.21049999999999999</v>
      </c>
      <c r="AF104" s="1033">
        <v>0.20710000000000001</v>
      </c>
      <c r="AG104" s="1033">
        <v>0.20369999999999999</v>
      </c>
      <c r="AH104" s="1033">
        <v>0.20030000000000001</v>
      </c>
      <c r="AI104" s="1033">
        <v>0.19689999999999999</v>
      </c>
      <c r="AJ104" s="1033">
        <v>0.19350000000000001</v>
      </c>
      <c r="AK104" s="1033">
        <v>0.19009999999999999</v>
      </c>
      <c r="AL104" s="1033">
        <v>0.1867</v>
      </c>
      <c r="AM104" s="1033">
        <v>0.18329999999999999</v>
      </c>
      <c r="AN104" s="1033">
        <v>0.1799</v>
      </c>
      <c r="AO104" s="1033">
        <v>0.17649999999999999</v>
      </c>
      <c r="AP104" s="1033">
        <v>0.1731</v>
      </c>
      <c r="AQ104" s="1033">
        <v>0.16969999999999999</v>
      </c>
      <c r="AR104" s="1033">
        <v>0.1663</v>
      </c>
      <c r="AS104" s="1033">
        <v>0.16289999999999999</v>
      </c>
      <c r="AT104" s="1033">
        <v>0.1595</v>
      </c>
      <c r="AU104" s="1033">
        <v>0.15609999999999999</v>
      </c>
      <c r="AV104" s="1033">
        <v>0.1527</v>
      </c>
      <c r="AW104" s="1033">
        <v>0.14929999999999999</v>
      </c>
      <c r="AX104" s="1033">
        <v>0.1459</v>
      </c>
      <c r="AY104" s="1033">
        <v>0.14249999999999999</v>
      </c>
      <c r="AZ104" s="1033">
        <v>0.1391</v>
      </c>
      <c r="BA104" s="1033">
        <v>0.13569999999999999</v>
      </c>
      <c r="BB104" s="1033">
        <v>0.1323</v>
      </c>
      <c r="BC104" s="1033">
        <v>0.12889999999999999</v>
      </c>
      <c r="BD104" s="1033">
        <v>0.1255</v>
      </c>
      <c r="BE104" s="1033">
        <v>0.1221</v>
      </c>
      <c r="BF104" s="1035">
        <v>0.1187</v>
      </c>
      <c r="BH104" s="970">
        <f t="shared" si="3"/>
        <v>0.1221</v>
      </c>
      <c r="BI104" s="1034">
        <f t="shared" si="36"/>
        <v>112069</v>
      </c>
      <c r="BJ104" s="1034">
        <f t="shared" ref="BJ104:BJ167" si="41">BK$74*5</f>
        <v>80000</v>
      </c>
      <c r="BK104" s="998">
        <f t="shared" si="37"/>
        <v>16000</v>
      </c>
      <c r="BL104" s="998">
        <f t="shared" si="38"/>
        <v>16000</v>
      </c>
      <c r="BN104" s="1032">
        <v>32</v>
      </c>
      <c r="BQ104" s="998">
        <v>0</v>
      </c>
      <c r="BS104" s="1010">
        <v>0</v>
      </c>
      <c r="BT104" s="976">
        <f t="shared" si="14"/>
        <v>0.61190000000000011</v>
      </c>
      <c r="BU104" s="1">
        <f t="shared" si="39"/>
        <v>112069</v>
      </c>
      <c r="BV104" s="975">
        <f t="shared" si="16"/>
        <v>0.1221</v>
      </c>
      <c r="BW104" s="1">
        <f t="shared" si="17"/>
        <v>0</v>
      </c>
      <c r="BX104" s="973">
        <f t="shared" si="18"/>
        <v>112069</v>
      </c>
      <c r="BY104" s="973">
        <f t="shared" si="19"/>
        <v>112069</v>
      </c>
      <c r="BZ104" s="973">
        <f t="shared" si="20"/>
        <v>100900</v>
      </c>
      <c r="CC104" s="974">
        <f t="shared" si="23"/>
        <v>200000</v>
      </c>
      <c r="CE104" s="1">
        <f t="shared" si="29"/>
        <v>441600</v>
      </c>
      <c r="CF104" s="1">
        <f t="shared" si="40"/>
        <v>0</v>
      </c>
      <c r="CG104" s="973">
        <f t="shared" si="30"/>
        <v>641600</v>
      </c>
      <c r="CH104" s="972">
        <f t="shared" si="25"/>
        <v>641600</v>
      </c>
      <c r="CI104" s="972">
        <f t="shared" si="26"/>
        <v>33</v>
      </c>
      <c r="CJ104" s="972">
        <f t="shared" si="4"/>
        <v>0</v>
      </c>
      <c r="CK104" s="972">
        <f t="shared" si="5"/>
        <v>0</v>
      </c>
      <c r="CL104" s="972">
        <f t="shared" si="6"/>
        <v>0</v>
      </c>
      <c r="CN104" s="954">
        <f t="shared" si="7"/>
        <v>641600</v>
      </c>
      <c r="CO104" s="1">
        <f t="shared" si="8"/>
        <v>641600</v>
      </c>
    </row>
    <row r="105" spans="2:93" s="998" customFormat="1" ht="5.25" hidden="1" customHeight="1">
      <c r="B105" s="1032">
        <v>33</v>
      </c>
      <c r="C105" s="1033">
        <v>0.30919999999999997</v>
      </c>
      <c r="D105" s="1033">
        <v>0.30580000000000002</v>
      </c>
      <c r="E105" s="1033">
        <v>0.3024</v>
      </c>
      <c r="F105" s="1033">
        <v>0.29899999999999999</v>
      </c>
      <c r="G105" s="1033">
        <v>0.29559999999999997</v>
      </c>
      <c r="H105" s="1033">
        <v>0.29220000000000002</v>
      </c>
      <c r="I105" s="1033">
        <v>0.2888</v>
      </c>
      <c r="J105" s="1033">
        <v>0.28539999999999999</v>
      </c>
      <c r="K105" s="1033">
        <v>0.28199999999999997</v>
      </c>
      <c r="L105" s="1033">
        <v>0.27860000000000001</v>
      </c>
      <c r="M105" s="1033">
        <v>0.2752</v>
      </c>
      <c r="N105" s="1033">
        <v>0.27179999999999999</v>
      </c>
      <c r="O105" s="1033">
        <v>0.26840000000000003</v>
      </c>
      <c r="P105" s="1033">
        <v>0.26490000000000002</v>
      </c>
      <c r="Q105" s="1033">
        <v>0.26150000000000001</v>
      </c>
      <c r="R105" s="1033">
        <v>0.25609999999999999</v>
      </c>
      <c r="S105" s="1033">
        <v>0.25469999999999998</v>
      </c>
      <c r="T105" s="1033">
        <v>0.25130000000000002</v>
      </c>
      <c r="U105" s="1033">
        <v>0.24790000000000001</v>
      </c>
      <c r="V105" s="1033">
        <v>0.2445</v>
      </c>
      <c r="W105" s="1033">
        <v>0.24110000000000001</v>
      </c>
      <c r="X105" s="1033">
        <v>0.23769999999999999</v>
      </c>
      <c r="Y105" s="1033">
        <v>0.23430000000000001</v>
      </c>
      <c r="Z105" s="1033">
        <v>0.23089999999999999</v>
      </c>
      <c r="AA105" s="1033">
        <v>0.22750000000000001</v>
      </c>
      <c r="AB105" s="1033">
        <v>0.22409999999999999</v>
      </c>
      <c r="AC105" s="1033">
        <v>0.22070000000000001</v>
      </c>
      <c r="AD105" s="1033">
        <v>0.21729999999999999</v>
      </c>
      <c r="AE105" s="1033">
        <v>0.21390000000000001</v>
      </c>
      <c r="AF105" s="1033">
        <v>0.21049999999999999</v>
      </c>
      <c r="AG105" s="1033">
        <v>0.20710000000000001</v>
      </c>
      <c r="AH105" s="1033">
        <v>0.20369999999999999</v>
      </c>
      <c r="AI105" s="1033">
        <v>0.20030000000000001</v>
      </c>
      <c r="AJ105" s="1033">
        <v>0.19689999999999999</v>
      </c>
      <c r="AK105" s="1033">
        <v>0.19350000000000001</v>
      </c>
      <c r="AL105" s="1033">
        <v>0.19009999999999999</v>
      </c>
      <c r="AM105" s="1033">
        <v>0.1867</v>
      </c>
      <c r="AN105" s="1033">
        <v>0.18329999999999999</v>
      </c>
      <c r="AO105" s="1033">
        <v>0.1799</v>
      </c>
      <c r="AP105" s="1033">
        <v>0.17649999999999999</v>
      </c>
      <c r="AQ105" s="1033">
        <v>0.1731</v>
      </c>
      <c r="AR105" s="1033">
        <v>0.16969999999999999</v>
      </c>
      <c r="AS105" s="1033">
        <v>0.1663</v>
      </c>
      <c r="AT105" s="1033">
        <v>0.16289999999999999</v>
      </c>
      <c r="AU105" s="1033">
        <v>0.1595</v>
      </c>
      <c r="AV105" s="1033">
        <v>0.15609999999999999</v>
      </c>
      <c r="AW105" s="1033">
        <v>0.1527</v>
      </c>
      <c r="AX105" s="1033">
        <v>0.14929999999999999</v>
      </c>
      <c r="AY105" s="1033">
        <v>0.1459</v>
      </c>
      <c r="AZ105" s="1033">
        <v>0.14249999999999999</v>
      </c>
      <c r="BA105" s="1033">
        <v>0.1391</v>
      </c>
      <c r="BB105" s="1033">
        <v>0.13569999999999999</v>
      </c>
      <c r="BC105" s="1033">
        <v>0.1323</v>
      </c>
      <c r="BD105" s="1033">
        <v>0.12889999999999999</v>
      </c>
      <c r="BE105" s="1033">
        <v>0.1255</v>
      </c>
      <c r="BF105" s="1033">
        <v>0.1221</v>
      </c>
      <c r="BH105" s="970">
        <f t="shared" ref="BH105:BH136" si="42">LOOKUP($K$15,$C$72:$BF$72,C105:BF105)</f>
        <v>0.1255</v>
      </c>
      <c r="BI105" s="1034">
        <f t="shared" si="36"/>
        <v>112930</v>
      </c>
      <c r="BJ105" s="1034">
        <f t="shared" si="41"/>
        <v>80000</v>
      </c>
      <c r="BK105" s="998">
        <f t="shared" si="37"/>
        <v>16000</v>
      </c>
      <c r="BL105" s="998">
        <f t="shared" si="38"/>
        <v>16000</v>
      </c>
      <c r="BN105" s="1032">
        <v>33</v>
      </c>
      <c r="BQ105" s="998">
        <v>0</v>
      </c>
      <c r="BS105" s="1010">
        <v>0</v>
      </c>
      <c r="BT105" s="976">
        <f t="shared" si="14"/>
        <v>0.61660000000000026</v>
      </c>
      <c r="BU105" s="1">
        <f t="shared" si="39"/>
        <v>112930</v>
      </c>
      <c r="BV105" s="975">
        <f t="shared" si="16"/>
        <v>0.1255</v>
      </c>
      <c r="BW105" s="1">
        <f t="shared" si="17"/>
        <v>0</v>
      </c>
      <c r="BX105" s="973">
        <f t="shared" si="18"/>
        <v>112930</v>
      </c>
      <c r="BY105" s="973">
        <f t="shared" si="19"/>
        <v>112930</v>
      </c>
      <c r="BZ105" s="973">
        <f t="shared" si="20"/>
        <v>101600</v>
      </c>
      <c r="CC105" s="974">
        <f t="shared" si="23"/>
        <v>200000</v>
      </c>
      <c r="CE105" s="1">
        <f t="shared" si="29"/>
        <v>455400</v>
      </c>
      <c r="CF105" s="1">
        <f t="shared" si="40"/>
        <v>0</v>
      </c>
      <c r="CG105" s="973">
        <f t="shared" si="30"/>
        <v>655400</v>
      </c>
      <c r="CH105" s="972">
        <f t="shared" si="25"/>
        <v>655400</v>
      </c>
      <c r="CI105" s="972">
        <f t="shared" si="26"/>
        <v>34</v>
      </c>
      <c r="CJ105" s="972">
        <f t="shared" ref="CJ105:CJ136" si="43">IF(CI105&lt;71,CE$73,0)</f>
        <v>0</v>
      </c>
      <c r="CK105" s="972">
        <f t="shared" ref="CK105:CK136" si="44">IF(BN105&lt;=F$11,CE$73,0)</f>
        <v>0</v>
      </c>
      <c r="CL105" s="972">
        <f t="shared" ref="CL105:CL136" si="45">IF(AC$53=2,CK105,CJ105)</f>
        <v>0</v>
      </c>
      <c r="CN105" s="954">
        <f t="shared" ref="CN105:CN136" si="46">IF($G$13="YES",$I$13+CH105,CH105)</f>
        <v>655400</v>
      </c>
      <c r="CO105" s="1">
        <f t="shared" ref="CO105:CO136" si="47">IF(AND(($F$10&gt;=18),($G$12="YES")),CL105+CN105,CN105)</f>
        <v>655400</v>
      </c>
    </row>
    <row r="106" spans="2:93" s="998" customFormat="1" hidden="1">
      <c r="B106" s="1032">
        <v>34</v>
      </c>
      <c r="C106" s="1033">
        <v>0.31259999999999999</v>
      </c>
      <c r="D106" s="1033">
        <v>0.30919999999999997</v>
      </c>
      <c r="E106" s="1033">
        <v>0.30580000000000002</v>
      </c>
      <c r="F106" s="1033">
        <v>0.3024</v>
      </c>
      <c r="G106" s="1033">
        <v>0.29899999999999999</v>
      </c>
      <c r="H106" s="1033">
        <v>0.29559999999999997</v>
      </c>
      <c r="I106" s="1033">
        <v>0.29220000000000002</v>
      </c>
      <c r="J106" s="1033">
        <v>0.2888</v>
      </c>
      <c r="K106" s="1033">
        <v>0.28539999999999999</v>
      </c>
      <c r="L106" s="1033">
        <v>0.28199999999999997</v>
      </c>
      <c r="M106" s="1033">
        <v>0.27860000000000001</v>
      </c>
      <c r="N106" s="1033">
        <v>0.2752</v>
      </c>
      <c r="O106" s="1033">
        <v>0.27179999999999999</v>
      </c>
      <c r="P106" s="1033">
        <v>0.26840000000000003</v>
      </c>
      <c r="Q106" s="1033">
        <v>0.26490000000000002</v>
      </c>
      <c r="R106" s="1033">
        <v>0.26150000000000001</v>
      </c>
      <c r="S106" s="1033">
        <v>0.25609999999999999</v>
      </c>
      <c r="T106" s="1033">
        <v>0.25469999999999998</v>
      </c>
      <c r="U106" s="1033">
        <v>0.25130000000000002</v>
      </c>
      <c r="V106" s="1033">
        <v>0.24790000000000001</v>
      </c>
      <c r="W106" s="1033">
        <v>0.2445</v>
      </c>
      <c r="X106" s="1033">
        <v>0.24110000000000001</v>
      </c>
      <c r="Y106" s="1033">
        <v>0.23769999999999999</v>
      </c>
      <c r="Z106" s="1033">
        <v>0.23430000000000001</v>
      </c>
      <c r="AA106" s="1033">
        <v>0.23089999999999999</v>
      </c>
      <c r="AB106" s="1033">
        <v>0.22750000000000001</v>
      </c>
      <c r="AC106" s="1033">
        <v>0.22409999999999999</v>
      </c>
      <c r="AD106" s="1033">
        <v>0.22070000000000001</v>
      </c>
      <c r="AE106" s="1033">
        <v>0.21729999999999999</v>
      </c>
      <c r="AF106" s="1033">
        <v>0.21390000000000001</v>
      </c>
      <c r="AG106" s="1033">
        <v>0.21049999999999999</v>
      </c>
      <c r="AH106" s="1033">
        <v>0.20710000000000001</v>
      </c>
      <c r="AI106" s="1033">
        <v>0.20369999999999999</v>
      </c>
      <c r="AJ106" s="1033">
        <v>0.20030000000000001</v>
      </c>
      <c r="AK106" s="1033">
        <v>0.19689999999999999</v>
      </c>
      <c r="AL106" s="1033">
        <v>0.19350000000000001</v>
      </c>
      <c r="AM106" s="1033">
        <v>0.19009999999999999</v>
      </c>
      <c r="AN106" s="1033">
        <v>0.1867</v>
      </c>
      <c r="AO106" s="1033">
        <v>0.18329999999999999</v>
      </c>
      <c r="AP106" s="1033">
        <v>0.1799</v>
      </c>
      <c r="AQ106" s="1033">
        <v>0.17649999999999999</v>
      </c>
      <c r="AR106" s="1033">
        <v>0.1731</v>
      </c>
      <c r="AS106" s="1033">
        <v>0.16969999999999999</v>
      </c>
      <c r="AT106" s="1033">
        <v>0.1663</v>
      </c>
      <c r="AU106" s="1033">
        <v>0.16289999999999999</v>
      </c>
      <c r="AV106" s="1033">
        <v>0.1595</v>
      </c>
      <c r="AW106" s="1033">
        <v>0.15609999999999999</v>
      </c>
      <c r="AX106" s="1033">
        <v>0.1527</v>
      </c>
      <c r="AY106" s="1033">
        <v>0.14929999999999999</v>
      </c>
      <c r="AZ106" s="1033">
        <v>0.1459</v>
      </c>
      <c r="BA106" s="1033">
        <v>0.14249999999999999</v>
      </c>
      <c r="BB106" s="1033">
        <v>0.1391</v>
      </c>
      <c r="BC106" s="1033">
        <v>0.13569999999999999</v>
      </c>
      <c r="BD106" s="1033">
        <v>0.1323</v>
      </c>
      <c r="BE106" s="1033">
        <v>0.12889999999999999</v>
      </c>
      <c r="BF106" s="1033">
        <v>0.1255</v>
      </c>
      <c r="BH106" s="970">
        <f t="shared" si="42"/>
        <v>0.12889999999999999</v>
      </c>
      <c r="BI106" s="1034">
        <f t="shared" si="36"/>
        <v>114029</v>
      </c>
      <c r="BJ106" s="1034">
        <f t="shared" si="41"/>
        <v>80000</v>
      </c>
      <c r="BK106" s="998">
        <f t="shared" si="37"/>
        <v>16000</v>
      </c>
      <c r="BL106" s="998">
        <f t="shared" si="38"/>
        <v>16000</v>
      </c>
      <c r="BN106" s="1032">
        <v>34</v>
      </c>
      <c r="BQ106" s="998">
        <v>0</v>
      </c>
      <c r="BS106" s="1010">
        <v>0</v>
      </c>
      <c r="BT106" s="976">
        <f t="shared" ref="BT106:BT137" si="48">BH210</f>
        <v>0.62260000000000026</v>
      </c>
      <c r="BU106" s="1">
        <f t="shared" si="39"/>
        <v>114029</v>
      </c>
      <c r="BV106" s="975">
        <f t="shared" ref="BV106:BV137" si="49">BH106</f>
        <v>0.12889999999999999</v>
      </c>
      <c r="BW106" s="1">
        <f t="shared" ref="BW106:BW137" si="50">ROUND(BQ106*BV106,0)</f>
        <v>0</v>
      </c>
      <c r="BX106" s="973">
        <f t="shared" ref="BX106:BX137" si="51">BU106+BW106</f>
        <v>114029</v>
      </c>
      <c r="BY106" s="973">
        <f t="shared" ref="BY106:BY137" si="52">IF(BX106&gt;BS106,BX106,BS106)</f>
        <v>114029</v>
      </c>
      <c r="BZ106" s="973">
        <f t="shared" ref="BZ106:BZ137" si="53">ROUND((BY106*(90/100)),-2)</f>
        <v>102600</v>
      </c>
      <c r="CC106" s="974">
        <f t="shared" ref="CC106:CC137" si="54">$I$10</f>
        <v>200000</v>
      </c>
      <c r="CE106" s="1">
        <f t="shared" si="29"/>
        <v>469200</v>
      </c>
      <c r="CF106" s="1">
        <f t="shared" si="40"/>
        <v>0</v>
      </c>
      <c r="CG106" s="973">
        <f t="shared" si="30"/>
        <v>669200</v>
      </c>
      <c r="CH106" s="972">
        <f t="shared" ref="CH106:CH137" si="55">IF((CB106&gt;CG106),CB106,CG106)</f>
        <v>669200</v>
      </c>
      <c r="CI106" s="972">
        <f t="shared" ref="CI106:CI137" si="56">CI$70+BN106</f>
        <v>35</v>
      </c>
      <c r="CJ106" s="972">
        <f t="shared" si="43"/>
        <v>0</v>
      </c>
      <c r="CK106" s="972">
        <f t="shared" si="44"/>
        <v>0</v>
      </c>
      <c r="CL106" s="972">
        <f t="shared" si="45"/>
        <v>0</v>
      </c>
      <c r="CN106" s="954">
        <f t="shared" si="46"/>
        <v>669200</v>
      </c>
      <c r="CO106" s="1">
        <f t="shared" si="47"/>
        <v>669200</v>
      </c>
    </row>
    <row r="107" spans="2:93" s="998" customFormat="1" hidden="1">
      <c r="B107" s="1032">
        <v>35</v>
      </c>
      <c r="C107" s="1033">
        <v>0.316</v>
      </c>
      <c r="D107" s="1033">
        <v>0.31259999999999999</v>
      </c>
      <c r="E107" s="1033">
        <v>0.30919999999999997</v>
      </c>
      <c r="F107" s="1033">
        <v>0.30580000000000002</v>
      </c>
      <c r="G107" s="1033">
        <v>0.3024</v>
      </c>
      <c r="H107" s="1033">
        <v>0.29899999999999999</v>
      </c>
      <c r="I107" s="1033">
        <v>0.29559999999999997</v>
      </c>
      <c r="J107" s="1033">
        <v>0.29220000000000002</v>
      </c>
      <c r="K107" s="1033">
        <v>0.2888</v>
      </c>
      <c r="L107" s="1033">
        <v>0.28539999999999999</v>
      </c>
      <c r="M107" s="1033">
        <v>0.28199999999999997</v>
      </c>
      <c r="N107" s="1033">
        <v>0.27860000000000001</v>
      </c>
      <c r="O107" s="1033">
        <v>0.2752</v>
      </c>
      <c r="P107" s="1033">
        <v>0.27179999999999999</v>
      </c>
      <c r="Q107" s="1033">
        <v>0.26840000000000003</v>
      </c>
      <c r="R107" s="1033">
        <v>0.26490000000000002</v>
      </c>
      <c r="S107" s="1033">
        <v>0.26150000000000001</v>
      </c>
      <c r="T107" s="1033">
        <v>0.25609999999999999</v>
      </c>
      <c r="U107" s="1033">
        <v>0.25469999999999998</v>
      </c>
      <c r="V107" s="1033">
        <v>0.25130000000000002</v>
      </c>
      <c r="W107" s="1033">
        <v>0.24790000000000001</v>
      </c>
      <c r="X107" s="1033">
        <v>0.2445</v>
      </c>
      <c r="Y107" s="1033">
        <v>0.24110000000000001</v>
      </c>
      <c r="Z107" s="1033">
        <v>0.23769999999999999</v>
      </c>
      <c r="AA107" s="1033">
        <v>0.23430000000000001</v>
      </c>
      <c r="AB107" s="1033">
        <v>0.23089999999999999</v>
      </c>
      <c r="AC107" s="1033">
        <v>0.22750000000000001</v>
      </c>
      <c r="AD107" s="1033">
        <v>0.22409999999999999</v>
      </c>
      <c r="AE107" s="1033">
        <v>0.22070000000000001</v>
      </c>
      <c r="AF107" s="1033">
        <v>0.21729999999999999</v>
      </c>
      <c r="AG107" s="1033">
        <v>0.21390000000000001</v>
      </c>
      <c r="AH107" s="1033">
        <v>0.21049999999999999</v>
      </c>
      <c r="AI107" s="1033">
        <v>0.20710000000000001</v>
      </c>
      <c r="AJ107" s="1033">
        <v>0.20369999999999999</v>
      </c>
      <c r="AK107" s="1033">
        <v>0.20030000000000001</v>
      </c>
      <c r="AL107" s="1033">
        <v>0.19689999999999999</v>
      </c>
      <c r="AM107" s="1033">
        <v>0.19350000000000001</v>
      </c>
      <c r="AN107" s="1033">
        <v>0.19009999999999999</v>
      </c>
      <c r="AO107" s="1033">
        <v>0.1867</v>
      </c>
      <c r="AP107" s="1033">
        <v>0.18329999999999999</v>
      </c>
      <c r="AQ107" s="1033">
        <v>0.1799</v>
      </c>
      <c r="AR107" s="1033">
        <v>0.17649999999999999</v>
      </c>
      <c r="AS107" s="1033">
        <v>0.1731</v>
      </c>
      <c r="AT107" s="1033">
        <v>0.16969999999999999</v>
      </c>
      <c r="AU107" s="1033">
        <v>0.1663</v>
      </c>
      <c r="AV107" s="1033">
        <v>0.16289999999999999</v>
      </c>
      <c r="AW107" s="1033">
        <v>0.1595</v>
      </c>
      <c r="AX107" s="1033">
        <v>0.15609999999999999</v>
      </c>
      <c r="AY107" s="1033">
        <v>0.1527</v>
      </c>
      <c r="AZ107" s="1033">
        <v>0.14929999999999999</v>
      </c>
      <c r="BA107" s="1033">
        <v>0.1459</v>
      </c>
      <c r="BB107" s="1033">
        <v>0.14249999999999999</v>
      </c>
      <c r="BC107" s="1033">
        <v>0.1391</v>
      </c>
      <c r="BD107" s="1033">
        <v>0.13569999999999999</v>
      </c>
      <c r="BE107" s="1033">
        <v>0.1323</v>
      </c>
      <c r="BF107" s="1033">
        <v>0.12889999999999999</v>
      </c>
      <c r="BH107" s="970">
        <f t="shared" si="42"/>
        <v>0.1323</v>
      </c>
      <c r="BI107" s="1034">
        <f t="shared" si="36"/>
        <v>114634</v>
      </c>
      <c r="BJ107" s="1034">
        <f t="shared" si="41"/>
        <v>80000</v>
      </c>
      <c r="BK107" s="998">
        <f t="shared" si="37"/>
        <v>16000</v>
      </c>
      <c r="BL107" s="998">
        <f t="shared" si="38"/>
        <v>16000</v>
      </c>
      <c r="BN107" s="1032">
        <v>35</v>
      </c>
      <c r="BQ107" s="998">
        <v>0</v>
      </c>
      <c r="BS107" s="1010">
        <v>0</v>
      </c>
      <c r="BT107" s="976">
        <f t="shared" si="48"/>
        <v>0.62589999999999901</v>
      </c>
      <c r="BU107" s="1">
        <f t="shared" si="39"/>
        <v>114634</v>
      </c>
      <c r="BV107" s="975">
        <f t="shared" si="49"/>
        <v>0.1323</v>
      </c>
      <c r="BW107" s="1">
        <f t="shared" si="50"/>
        <v>0</v>
      </c>
      <c r="BX107" s="973">
        <f t="shared" si="51"/>
        <v>114634</v>
      </c>
      <c r="BY107" s="973">
        <f t="shared" si="52"/>
        <v>114634</v>
      </c>
      <c r="BZ107" s="973">
        <f t="shared" si="53"/>
        <v>103200</v>
      </c>
      <c r="CC107" s="974">
        <f t="shared" si="54"/>
        <v>200000</v>
      </c>
      <c r="CE107" s="1">
        <f t="shared" ref="CE107:CE138" si="57">IF(BN107&lt;=F$11,BQ107,BN107*69*($I$10/1000))</f>
        <v>483000</v>
      </c>
      <c r="CF107" s="1">
        <f t="shared" si="40"/>
        <v>0</v>
      </c>
      <c r="CG107" s="973">
        <f t="shared" ref="CG107:CG138" si="58">CC107+CE107+CF107</f>
        <v>683000</v>
      </c>
      <c r="CH107" s="972">
        <f t="shared" si="55"/>
        <v>683000</v>
      </c>
      <c r="CI107" s="972">
        <f t="shared" si="56"/>
        <v>36</v>
      </c>
      <c r="CJ107" s="972">
        <f t="shared" si="43"/>
        <v>0</v>
      </c>
      <c r="CK107" s="972">
        <f t="shared" si="44"/>
        <v>0</v>
      </c>
      <c r="CL107" s="972">
        <f t="shared" si="45"/>
        <v>0</v>
      </c>
      <c r="CN107" s="954">
        <f t="shared" si="46"/>
        <v>683000</v>
      </c>
      <c r="CO107" s="1">
        <f t="shared" si="47"/>
        <v>683000</v>
      </c>
    </row>
    <row r="108" spans="2:93" s="998" customFormat="1" hidden="1">
      <c r="B108" s="1032">
        <v>36</v>
      </c>
      <c r="C108" s="1033">
        <v>0.31940000000000002</v>
      </c>
      <c r="D108" s="1033">
        <v>0.316</v>
      </c>
      <c r="E108" s="1033">
        <v>0.31259999999999999</v>
      </c>
      <c r="F108" s="1033">
        <v>0.30919999999999997</v>
      </c>
      <c r="G108" s="1033">
        <v>0.30580000000000002</v>
      </c>
      <c r="H108" s="1033">
        <v>0.3024</v>
      </c>
      <c r="I108" s="1033">
        <v>0.29899999999999999</v>
      </c>
      <c r="J108" s="1033">
        <v>0.29559999999999997</v>
      </c>
      <c r="K108" s="1033">
        <v>0.29220000000000002</v>
      </c>
      <c r="L108" s="1033">
        <v>0.2888</v>
      </c>
      <c r="M108" s="1033">
        <v>0.28539999999999999</v>
      </c>
      <c r="N108" s="1033">
        <v>0.28199999999999997</v>
      </c>
      <c r="O108" s="1033">
        <v>0.27860000000000001</v>
      </c>
      <c r="P108" s="1033">
        <v>0.2752</v>
      </c>
      <c r="Q108" s="1033">
        <v>0.27179999999999999</v>
      </c>
      <c r="R108" s="1033">
        <v>0.26840000000000003</v>
      </c>
      <c r="S108" s="1033">
        <v>0.26490000000000002</v>
      </c>
      <c r="T108" s="1033">
        <v>0.26150000000000001</v>
      </c>
      <c r="U108" s="1033">
        <v>0.25609999999999999</v>
      </c>
      <c r="V108" s="1033">
        <v>0.25469999999999998</v>
      </c>
      <c r="W108" s="1033">
        <v>0.25130000000000002</v>
      </c>
      <c r="X108" s="1033">
        <v>0.24790000000000001</v>
      </c>
      <c r="Y108" s="1033">
        <v>0.2445</v>
      </c>
      <c r="Z108" s="1033">
        <v>0.24110000000000001</v>
      </c>
      <c r="AA108" s="1033">
        <v>0.23769999999999999</v>
      </c>
      <c r="AB108" s="1033">
        <v>0.23430000000000001</v>
      </c>
      <c r="AC108" s="1033">
        <v>0.23089999999999999</v>
      </c>
      <c r="AD108" s="1033">
        <v>0.22750000000000001</v>
      </c>
      <c r="AE108" s="1033">
        <v>0.22409999999999999</v>
      </c>
      <c r="AF108" s="1033">
        <v>0.22070000000000001</v>
      </c>
      <c r="AG108" s="1033">
        <v>0.21729999999999999</v>
      </c>
      <c r="AH108" s="1033">
        <v>0.21390000000000001</v>
      </c>
      <c r="AI108" s="1033">
        <v>0.21049999999999999</v>
      </c>
      <c r="AJ108" s="1033">
        <v>0.20710000000000001</v>
      </c>
      <c r="AK108" s="1033">
        <v>0.20369999999999999</v>
      </c>
      <c r="AL108" s="1033">
        <v>0.20030000000000001</v>
      </c>
      <c r="AM108" s="1033">
        <v>0.19689999999999999</v>
      </c>
      <c r="AN108" s="1033">
        <v>0.19350000000000001</v>
      </c>
      <c r="AO108" s="1033">
        <v>0.19009999999999999</v>
      </c>
      <c r="AP108" s="1033">
        <v>0.1867</v>
      </c>
      <c r="AQ108" s="1033">
        <v>0.18329999999999999</v>
      </c>
      <c r="AR108" s="1033">
        <v>0.1799</v>
      </c>
      <c r="AS108" s="1033">
        <v>0.17649999999999999</v>
      </c>
      <c r="AT108" s="1033">
        <v>0.1731</v>
      </c>
      <c r="AU108" s="1033">
        <v>0.16969999999999999</v>
      </c>
      <c r="AV108" s="1033">
        <v>0.1663</v>
      </c>
      <c r="AW108" s="1033">
        <v>0.16289999999999999</v>
      </c>
      <c r="AX108" s="1033">
        <v>0.1595</v>
      </c>
      <c r="AY108" s="1033">
        <v>0.15609999999999999</v>
      </c>
      <c r="AZ108" s="1033">
        <v>0.1527</v>
      </c>
      <c r="BA108" s="1033">
        <v>0.14929999999999999</v>
      </c>
      <c r="BB108" s="1033">
        <v>0.1459</v>
      </c>
      <c r="BC108" s="1033">
        <v>0.14249999999999999</v>
      </c>
      <c r="BD108" s="1033">
        <v>0.1391</v>
      </c>
      <c r="BE108" s="1033">
        <v>0.13569999999999999</v>
      </c>
      <c r="BF108" s="1033">
        <v>0.1323</v>
      </c>
      <c r="BH108" s="970">
        <f t="shared" si="42"/>
        <v>0.13569999999999999</v>
      </c>
      <c r="BI108" s="1034">
        <f t="shared" si="36"/>
        <v>115494</v>
      </c>
      <c r="BJ108" s="1034">
        <f t="shared" si="41"/>
        <v>80000</v>
      </c>
      <c r="BK108" s="998">
        <f t="shared" si="37"/>
        <v>16000</v>
      </c>
      <c r="BL108" s="998">
        <f t="shared" si="38"/>
        <v>16000</v>
      </c>
      <c r="BN108" s="1032">
        <v>36</v>
      </c>
      <c r="BQ108" s="998">
        <v>0</v>
      </c>
      <c r="BS108" s="1010">
        <v>0</v>
      </c>
      <c r="BT108" s="976">
        <f t="shared" si="48"/>
        <v>0.63059999999999916</v>
      </c>
      <c r="BU108" s="1">
        <f t="shared" si="39"/>
        <v>115494</v>
      </c>
      <c r="BV108" s="975">
        <f t="shared" si="49"/>
        <v>0.13569999999999999</v>
      </c>
      <c r="BW108" s="1">
        <f t="shared" si="50"/>
        <v>0</v>
      </c>
      <c r="BX108" s="973">
        <f t="shared" si="51"/>
        <v>115494</v>
      </c>
      <c r="BY108" s="973">
        <f t="shared" si="52"/>
        <v>115494</v>
      </c>
      <c r="BZ108" s="973">
        <f t="shared" si="53"/>
        <v>103900</v>
      </c>
      <c r="CC108" s="974">
        <f t="shared" si="54"/>
        <v>200000</v>
      </c>
      <c r="CE108" s="1">
        <f t="shared" si="57"/>
        <v>496800</v>
      </c>
      <c r="CF108" s="1">
        <f t="shared" si="40"/>
        <v>0</v>
      </c>
      <c r="CG108" s="973">
        <f t="shared" si="58"/>
        <v>696800</v>
      </c>
      <c r="CH108" s="972">
        <f t="shared" si="55"/>
        <v>696800</v>
      </c>
      <c r="CI108" s="972">
        <f t="shared" si="56"/>
        <v>37</v>
      </c>
      <c r="CJ108" s="972">
        <f t="shared" si="43"/>
        <v>0</v>
      </c>
      <c r="CK108" s="972">
        <f t="shared" si="44"/>
        <v>0</v>
      </c>
      <c r="CL108" s="972">
        <f t="shared" si="45"/>
        <v>0</v>
      </c>
      <c r="CN108" s="954">
        <f t="shared" si="46"/>
        <v>696800</v>
      </c>
      <c r="CO108" s="1">
        <f t="shared" si="47"/>
        <v>696800</v>
      </c>
    </row>
    <row r="109" spans="2:93" s="998" customFormat="1" hidden="1">
      <c r="B109" s="1032">
        <v>37</v>
      </c>
      <c r="C109" s="1033">
        <v>0.32279999999999998</v>
      </c>
      <c r="D109" s="1033">
        <v>0.31940000000000002</v>
      </c>
      <c r="E109" s="1033">
        <v>0.316</v>
      </c>
      <c r="F109" s="1033">
        <v>0.31259999999999999</v>
      </c>
      <c r="G109" s="1033">
        <v>0.30919999999999997</v>
      </c>
      <c r="H109" s="1033">
        <v>0.30580000000000002</v>
      </c>
      <c r="I109" s="1033">
        <v>0.3024</v>
      </c>
      <c r="J109" s="1033">
        <v>0.29899999999999999</v>
      </c>
      <c r="K109" s="1033">
        <v>0.29559999999999997</v>
      </c>
      <c r="L109" s="1033">
        <v>0.29220000000000002</v>
      </c>
      <c r="M109" s="1033">
        <v>0.2888</v>
      </c>
      <c r="N109" s="1033">
        <v>0.28539999999999999</v>
      </c>
      <c r="O109" s="1033">
        <v>0.28199999999999997</v>
      </c>
      <c r="P109" s="1033">
        <v>0.27860000000000001</v>
      </c>
      <c r="Q109" s="1033">
        <v>0.2752</v>
      </c>
      <c r="R109" s="1033">
        <v>0.27179999999999999</v>
      </c>
      <c r="S109" s="1033">
        <v>0.26840000000000003</v>
      </c>
      <c r="T109" s="1033">
        <v>0.26490000000000002</v>
      </c>
      <c r="U109" s="1033">
        <v>0.26150000000000001</v>
      </c>
      <c r="V109" s="1033">
        <v>0.25609999999999999</v>
      </c>
      <c r="W109" s="1033">
        <v>0.25469999999999998</v>
      </c>
      <c r="X109" s="1033">
        <v>0.25130000000000002</v>
      </c>
      <c r="Y109" s="1033">
        <v>0.24790000000000001</v>
      </c>
      <c r="Z109" s="1033">
        <v>0.2445</v>
      </c>
      <c r="AA109" s="1033">
        <v>0.24110000000000001</v>
      </c>
      <c r="AB109" s="1033">
        <v>0.23769999999999999</v>
      </c>
      <c r="AC109" s="1033">
        <v>0.23430000000000001</v>
      </c>
      <c r="AD109" s="1033">
        <v>0.23089999999999999</v>
      </c>
      <c r="AE109" s="1033">
        <v>0.22750000000000001</v>
      </c>
      <c r="AF109" s="1033">
        <v>0.22409999999999999</v>
      </c>
      <c r="AG109" s="1033">
        <v>0.22070000000000001</v>
      </c>
      <c r="AH109" s="1033">
        <v>0.21729999999999999</v>
      </c>
      <c r="AI109" s="1033">
        <v>0.21390000000000001</v>
      </c>
      <c r="AJ109" s="1033">
        <v>0.21049999999999999</v>
      </c>
      <c r="AK109" s="1033">
        <v>0.20710000000000001</v>
      </c>
      <c r="AL109" s="1033">
        <v>0.20369999999999999</v>
      </c>
      <c r="AM109" s="1033">
        <v>0.20030000000000001</v>
      </c>
      <c r="AN109" s="1033">
        <v>0.19689999999999999</v>
      </c>
      <c r="AO109" s="1033">
        <v>0.19350000000000001</v>
      </c>
      <c r="AP109" s="1033">
        <v>0.19009999999999999</v>
      </c>
      <c r="AQ109" s="1033">
        <v>0.1867</v>
      </c>
      <c r="AR109" s="1033">
        <v>0.18329999999999999</v>
      </c>
      <c r="AS109" s="1033">
        <v>0.1799</v>
      </c>
      <c r="AT109" s="1033">
        <v>0.17649999999999999</v>
      </c>
      <c r="AU109" s="1033">
        <v>0.1731</v>
      </c>
      <c r="AV109" s="1033">
        <v>0.16969999999999999</v>
      </c>
      <c r="AW109" s="1033">
        <v>0.1663</v>
      </c>
      <c r="AX109" s="1033">
        <v>0.16289999999999999</v>
      </c>
      <c r="AY109" s="1033">
        <v>0.1595</v>
      </c>
      <c r="AZ109" s="1033">
        <v>0.15609999999999999</v>
      </c>
      <c r="BA109" s="1033">
        <v>0.1527</v>
      </c>
      <c r="BB109" s="1033">
        <v>0.14929999999999999</v>
      </c>
      <c r="BC109" s="1033">
        <v>0.1459</v>
      </c>
      <c r="BD109" s="1033">
        <v>0.14249999999999999</v>
      </c>
      <c r="BE109" s="1033">
        <v>0.1391</v>
      </c>
      <c r="BF109" s="1033">
        <v>0.13569999999999999</v>
      </c>
      <c r="BH109" s="970">
        <f t="shared" si="42"/>
        <v>0.1391</v>
      </c>
      <c r="BI109" s="1034">
        <f t="shared" si="36"/>
        <v>116337</v>
      </c>
      <c r="BJ109" s="1034">
        <f t="shared" si="41"/>
        <v>80000</v>
      </c>
      <c r="BK109" s="998">
        <f t="shared" si="37"/>
        <v>16000</v>
      </c>
      <c r="BL109" s="998">
        <f t="shared" si="38"/>
        <v>16000</v>
      </c>
      <c r="BN109" s="1032">
        <v>37</v>
      </c>
      <c r="BQ109" s="998">
        <v>0</v>
      </c>
      <c r="BS109" s="1010">
        <v>0</v>
      </c>
      <c r="BT109" s="976">
        <f t="shared" si="48"/>
        <v>0.63519999999999932</v>
      </c>
      <c r="BU109" s="1">
        <f t="shared" si="39"/>
        <v>116337</v>
      </c>
      <c r="BV109" s="975">
        <f t="shared" si="49"/>
        <v>0.1391</v>
      </c>
      <c r="BW109" s="1">
        <f t="shared" si="50"/>
        <v>0</v>
      </c>
      <c r="BX109" s="973">
        <f t="shared" si="51"/>
        <v>116337</v>
      </c>
      <c r="BY109" s="973">
        <f t="shared" si="52"/>
        <v>116337</v>
      </c>
      <c r="BZ109" s="973">
        <f t="shared" si="53"/>
        <v>104700</v>
      </c>
      <c r="CC109" s="974">
        <f t="shared" si="54"/>
        <v>200000</v>
      </c>
      <c r="CE109" s="1">
        <f t="shared" si="57"/>
        <v>510600</v>
      </c>
      <c r="CF109" s="1">
        <f t="shared" si="40"/>
        <v>0</v>
      </c>
      <c r="CG109" s="973">
        <f t="shared" si="58"/>
        <v>710600</v>
      </c>
      <c r="CH109" s="972">
        <f t="shared" si="55"/>
        <v>710600</v>
      </c>
      <c r="CI109" s="972">
        <f t="shared" si="56"/>
        <v>38</v>
      </c>
      <c r="CJ109" s="972">
        <f t="shared" si="43"/>
        <v>0</v>
      </c>
      <c r="CK109" s="972">
        <f t="shared" si="44"/>
        <v>0</v>
      </c>
      <c r="CL109" s="972">
        <f t="shared" si="45"/>
        <v>0</v>
      </c>
      <c r="CN109" s="954">
        <f t="shared" si="46"/>
        <v>710600</v>
      </c>
      <c r="CO109" s="1">
        <f t="shared" si="47"/>
        <v>710600</v>
      </c>
    </row>
    <row r="110" spans="2:93" s="998" customFormat="1" hidden="1">
      <c r="B110" s="1032">
        <v>38</v>
      </c>
      <c r="C110" s="1033">
        <v>0.32619999999999999</v>
      </c>
      <c r="D110" s="1033">
        <v>0.32279999999999998</v>
      </c>
      <c r="E110" s="1033">
        <v>0.31940000000000002</v>
      </c>
      <c r="F110" s="1033">
        <v>0.316</v>
      </c>
      <c r="G110" s="1033">
        <v>0.31259999999999999</v>
      </c>
      <c r="H110" s="1033">
        <v>0.30919999999999997</v>
      </c>
      <c r="I110" s="1033">
        <v>0.30580000000000002</v>
      </c>
      <c r="J110" s="1033">
        <v>0.3024</v>
      </c>
      <c r="K110" s="1033">
        <v>0.29899999999999999</v>
      </c>
      <c r="L110" s="1033">
        <v>0.29559999999999997</v>
      </c>
      <c r="M110" s="1033">
        <v>0.29220000000000002</v>
      </c>
      <c r="N110" s="1033">
        <v>0.2888</v>
      </c>
      <c r="O110" s="1033">
        <v>0.28539999999999999</v>
      </c>
      <c r="P110" s="1033">
        <v>0.28199999999999997</v>
      </c>
      <c r="Q110" s="1033">
        <v>0.27860000000000001</v>
      </c>
      <c r="R110" s="1033">
        <v>0.2752</v>
      </c>
      <c r="S110" s="1033">
        <v>0.27179999999999999</v>
      </c>
      <c r="T110" s="1033">
        <v>0.26840000000000003</v>
      </c>
      <c r="U110" s="1033">
        <v>0.26490000000000002</v>
      </c>
      <c r="V110" s="1033">
        <v>0.26150000000000001</v>
      </c>
      <c r="W110" s="1033">
        <v>0.25609999999999999</v>
      </c>
      <c r="X110" s="1033">
        <v>0.25469999999999998</v>
      </c>
      <c r="Y110" s="1033">
        <v>0.25130000000000002</v>
      </c>
      <c r="Z110" s="1033">
        <v>0.24790000000000001</v>
      </c>
      <c r="AA110" s="1033">
        <v>0.2445</v>
      </c>
      <c r="AB110" s="1033">
        <v>0.24110000000000001</v>
      </c>
      <c r="AC110" s="1033">
        <v>0.23769999999999999</v>
      </c>
      <c r="AD110" s="1033">
        <v>0.23430000000000001</v>
      </c>
      <c r="AE110" s="1033">
        <v>0.23089999999999999</v>
      </c>
      <c r="AF110" s="1033">
        <v>0.22750000000000001</v>
      </c>
      <c r="AG110" s="1033">
        <v>0.22409999999999999</v>
      </c>
      <c r="AH110" s="1033">
        <v>0.22070000000000001</v>
      </c>
      <c r="AI110" s="1033">
        <v>0.21729999999999999</v>
      </c>
      <c r="AJ110" s="1033">
        <v>0.21390000000000001</v>
      </c>
      <c r="AK110" s="1033">
        <v>0.21049999999999999</v>
      </c>
      <c r="AL110" s="1033">
        <v>0.20710000000000001</v>
      </c>
      <c r="AM110" s="1033">
        <v>0.20369999999999999</v>
      </c>
      <c r="AN110" s="1033">
        <v>0.20030000000000001</v>
      </c>
      <c r="AO110" s="1033">
        <v>0.19689999999999999</v>
      </c>
      <c r="AP110" s="1033">
        <v>0.19350000000000001</v>
      </c>
      <c r="AQ110" s="1033">
        <v>0.19009999999999999</v>
      </c>
      <c r="AR110" s="1033">
        <v>0.1867</v>
      </c>
      <c r="AS110" s="1033">
        <v>0.18329999999999999</v>
      </c>
      <c r="AT110" s="1033">
        <v>0.1799</v>
      </c>
      <c r="AU110" s="1033">
        <v>0.17649999999999999</v>
      </c>
      <c r="AV110" s="1033">
        <v>0.1731</v>
      </c>
      <c r="AW110" s="1033">
        <v>0.16969999999999999</v>
      </c>
      <c r="AX110" s="1033">
        <v>0.1663</v>
      </c>
      <c r="AY110" s="1033">
        <v>0.16289999999999999</v>
      </c>
      <c r="AZ110" s="1033">
        <v>0.1595</v>
      </c>
      <c r="BA110" s="1033">
        <v>0.15609999999999999</v>
      </c>
      <c r="BB110" s="1033">
        <v>0.1527</v>
      </c>
      <c r="BC110" s="1033">
        <v>0.14929999999999999</v>
      </c>
      <c r="BD110" s="1033">
        <v>0.1459</v>
      </c>
      <c r="BE110" s="1033">
        <v>0.14249999999999999</v>
      </c>
      <c r="BF110" s="1033">
        <v>0.1391</v>
      </c>
      <c r="BH110" s="970">
        <f t="shared" si="42"/>
        <v>0.14249999999999999</v>
      </c>
      <c r="BI110" s="1034">
        <f t="shared" si="36"/>
        <v>117198</v>
      </c>
      <c r="BJ110" s="1034">
        <f t="shared" si="41"/>
        <v>80000</v>
      </c>
      <c r="BK110" s="998">
        <f t="shared" si="37"/>
        <v>16000</v>
      </c>
      <c r="BL110" s="998">
        <f t="shared" si="38"/>
        <v>16000</v>
      </c>
      <c r="BN110" s="1032">
        <v>38</v>
      </c>
      <c r="BQ110" s="998">
        <v>0</v>
      </c>
      <c r="BS110" s="1010">
        <v>0</v>
      </c>
      <c r="BT110" s="976">
        <f t="shared" si="48"/>
        <v>0.63989999999999947</v>
      </c>
      <c r="BU110" s="1">
        <f t="shared" si="39"/>
        <v>117198</v>
      </c>
      <c r="BV110" s="975">
        <f t="shared" si="49"/>
        <v>0.14249999999999999</v>
      </c>
      <c r="BW110" s="1">
        <f t="shared" si="50"/>
        <v>0</v>
      </c>
      <c r="BX110" s="973">
        <f t="shared" si="51"/>
        <v>117198</v>
      </c>
      <c r="BY110" s="973">
        <f t="shared" si="52"/>
        <v>117198</v>
      </c>
      <c r="BZ110" s="973">
        <f t="shared" si="53"/>
        <v>105500</v>
      </c>
      <c r="CC110" s="974">
        <f t="shared" si="54"/>
        <v>200000</v>
      </c>
      <c r="CE110" s="1">
        <f t="shared" si="57"/>
        <v>524400</v>
      </c>
      <c r="CF110" s="1">
        <f t="shared" si="40"/>
        <v>0</v>
      </c>
      <c r="CG110" s="973">
        <f t="shared" si="58"/>
        <v>724400</v>
      </c>
      <c r="CH110" s="972">
        <f t="shared" si="55"/>
        <v>724400</v>
      </c>
      <c r="CI110" s="972">
        <f t="shared" si="56"/>
        <v>39</v>
      </c>
      <c r="CJ110" s="972">
        <f t="shared" si="43"/>
        <v>0</v>
      </c>
      <c r="CK110" s="972">
        <f t="shared" si="44"/>
        <v>0</v>
      </c>
      <c r="CL110" s="972">
        <f t="shared" si="45"/>
        <v>0</v>
      </c>
      <c r="CN110" s="954">
        <f t="shared" si="46"/>
        <v>724400</v>
      </c>
      <c r="CO110" s="1">
        <f t="shared" si="47"/>
        <v>724400</v>
      </c>
    </row>
    <row r="111" spans="2:93" s="998" customFormat="1" hidden="1">
      <c r="B111" s="1032">
        <v>39</v>
      </c>
      <c r="C111" s="1033">
        <v>0.3296</v>
      </c>
      <c r="D111" s="1033">
        <v>0.32619999999999999</v>
      </c>
      <c r="E111" s="1033">
        <v>0.32279999999999998</v>
      </c>
      <c r="F111" s="1033">
        <v>0.31940000000000002</v>
      </c>
      <c r="G111" s="1033">
        <v>0.316</v>
      </c>
      <c r="H111" s="1033">
        <v>0.31259999999999999</v>
      </c>
      <c r="I111" s="1033">
        <v>0.30919999999999997</v>
      </c>
      <c r="J111" s="1033">
        <v>0.30580000000000002</v>
      </c>
      <c r="K111" s="1033">
        <v>0.3024</v>
      </c>
      <c r="L111" s="1033">
        <v>0.29899999999999999</v>
      </c>
      <c r="M111" s="1033">
        <v>0.29559999999999997</v>
      </c>
      <c r="N111" s="1033">
        <v>0.29220000000000002</v>
      </c>
      <c r="O111" s="1033">
        <v>0.2888</v>
      </c>
      <c r="P111" s="1033">
        <v>0.28539999999999999</v>
      </c>
      <c r="Q111" s="1033">
        <v>0.28199999999999997</v>
      </c>
      <c r="R111" s="1033">
        <v>0.27860000000000001</v>
      </c>
      <c r="S111" s="1033">
        <v>0.2752</v>
      </c>
      <c r="T111" s="1033">
        <v>0.27179999999999999</v>
      </c>
      <c r="U111" s="1033">
        <v>0.26840000000000003</v>
      </c>
      <c r="V111" s="1033">
        <v>0.26490000000000002</v>
      </c>
      <c r="W111" s="1033">
        <v>0.26150000000000001</v>
      </c>
      <c r="X111" s="1033">
        <v>0.25609999999999999</v>
      </c>
      <c r="Y111" s="1033">
        <v>0.25469999999999998</v>
      </c>
      <c r="Z111" s="1033">
        <v>0.25130000000000002</v>
      </c>
      <c r="AA111" s="1033">
        <v>0.24790000000000001</v>
      </c>
      <c r="AB111" s="1033">
        <v>0.2445</v>
      </c>
      <c r="AC111" s="1033">
        <v>0.24110000000000001</v>
      </c>
      <c r="AD111" s="1033">
        <v>0.23769999999999999</v>
      </c>
      <c r="AE111" s="1033">
        <v>0.23430000000000001</v>
      </c>
      <c r="AF111" s="1033">
        <v>0.23089999999999999</v>
      </c>
      <c r="AG111" s="1033">
        <v>0.22750000000000001</v>
      </c>
      <c r="AH111" s="1033">
        <v>0.22409999999999999</v>
      </c>
      <c r="AI111" s="1033">
        <v>0.22070000000000001</v>
      </c>
      <c r="AJ111" s="1033">
        <v>0.21729999999999999</v>
      </c>
      <c r="AK111" s="1033">
        <v>0.21390000000000001</v>
      </c>
      <c r="AL111" s="1033">
        <v>0.21049999999999999</v>
      </c>
      <c r="AM111" s="1033">
        <v>0.20710000000000001</v>
      </c>
      <c r="AN111" s="1033">
        <v>0.20369999999999999</v>
      </c>
      <c r="AO111" s="1033">
        <v>0.20030000000000001</v>
      </c>
      <c r="AP111" s="1033">
        <v>0.19689999999999999</v>
      </c>
      <c r="AQ111" s="1033">
        <v>0.19350000000000001</v>
      </c>
      <c r="AR111" s="1033">
        <v>0.19009999999999999</v>
      </c>
      <c r="AS111" s="1033">
        <v>0.1867</v>
      </c>
      <c r="AT111" s="1033">
        <v>0.18329999999999999</v>
      </c>
      <c r="AU111" s="1033">
        <v>0.1799</v>
      </c>
      <c r="AV111" s="1033">
        <v>0.17649999999999999</v>
      </c>
      <c r="AW111" s="1033">
        <v>0.1731</v>
      </c>
      <c r="AX111" s="1033">
        <v>0.16969999999999999</v>
      </c>
      <c r="AY111" s="1033">
        <v>0.1663</v>
      </c>
      <c r="AZ111" s="1033">
        <v>0.16289999999999999</v>
      </c>
      <c r="BA111" s="1033">
        <v>0.1595</v>
      </c>
      <c r="BB111" s="1033">
        <v>0.15609999999999999</v>
      </c>
      <c r="BC111" s="1033">
        <v>0.1527</v>
      </c>
      <c r="BD111" s="1033">
        <v>0.14929999999999999</v>
      </c>
      <c r="BE111" s="1033">
        <v>0.1459</v>
      </c>
      <c r="BF111" s="1033">
        <v>0.14249999999999999</v>
      </c>
      <c r="BH111" s="970">
        <f t="shared" si="42"/>
        <v>0.1459</v>
      </c>
      <c r="BI111" s="1034">
        <f t="shared" si="36"/>
        <v>118040</v>
      </c>
      <c r="BJ111" s="1034">
        <f t="shared" si="41"/>
        <v>80000</v>
      </c>
      <c r="BK111" s="998">
        <f t="shared" si="37"/>
        <v>16000</v>
      </c>
      <c r="BL111" s="998">
        <f t="shared" si="38"/>
        <v>16000</v>
      </c>
      <c r="BN111" s="1032">
        <v>39</v>
      </c>
      <c r="BQ111" s="998">
        <v>0</v>
      </c>
      <c r="BS111" s="1010">
        <v>0</v>
      </c>
      <c r="BT111" s="976">
        <f t="shared" si="48"/>
        <v>0.64449999999999963</v>
      </c>
      <c r="BU111" s="1">
        <f t="shared" si="39"/>
        <v>118040</v>
      </c>
      <c r="BV111" s="975">
        <f t="shared" si="49"/>
        <v>0.1459</v>
      </c>
      <c r="BW111" s="1">
        <f t="shared" si="50"/>
        <v>0</v>
      </c>
      <c r="BX111" s="973">
        <f t="shared" si="51"/>
        <v>118040</v>
      </c>
      <c r="BY111" s="973">
        <f t="shared" si="52"/>
        <v>118040</v>
      </c>
      <c r="BZ111" s="973">
        <f t="shared" si="53"/>
        <v>106200</v>
      </c>
      <c r="CC111" s="974">
        <f t="shared" si="54"/>
        <v>200000</v>
      </c>
      <c r="CE111" s="1">
        <f t="shared" si="57"/>
        <v>538200</v>
      </c>
      <c r="CF111" s="1">
        <f t="shared" si="40"/>
        <v>0</v>
      </c>
      <c r="CG111" s="973">
        <f t="shared" si="58"/>
        <v>738200</v>
      </c>
      <c r="CH111" s="972">
        <f t="shared" si="55"/>
        <v>738200</v>
      </c>
      <c r="CI111" s="972">
        <f t="shared" si="56"/>
        <v>40</v>
      </c>
      <c r="CJ111" s="972">
        <f t="shared" si="43"/>
        <v>0</v>
      </c>
      <c r="CK111" s="972">
        <f t="shared" si="44"/>
        <v>0</v>
      </c>
      <c r="CL111" s="972">
        <f t="shared" si="45"/>
        <v>0</v>
      </c>
      <c r="CN111" s="954">
        <f t="shared" si="46"/>
        <v>738200</v>
      </c>
      <c r="CO111" s="1">
        <f t="shared" si="47"/>
        <v>738200</v>
      </c>
    </row>
    <row r="112" spans="2:93" s="998" customFormat="1" hidden="1">
      <c r="B112" s="1032">
        <v>40</v>
      </c>
      <c r="C112" s="1033">
        <v>0.33300000000000002</v>
      </c>
      <c r="D112" s="1033">
        <v>0.3296</v>
      </c>
      <c r="E112" s="1033">
        <v>0.32619999999999999</v>
      </c>
      <c r="F112" s="1033">
        <v>0.32279999999999998</v>
      </c>
      <c r="G112" s="1033">
        <v>0.31940000000000002</v>
      </c>
      <c r="H112" s="1033">
        <v>0.316</v>
      </c>
      <c r="I112" s="1033">
        <v>0.31259999999999999</v>
      </c>
      <c r="J112" s="1033">
        <v>0.30919999999999997</v>
      </c>
      <c r="K112" s="1033">
        <v>0.30580000000000002</v>
      </c>
      <c r="L112" s="1033">
        <v>0.3024</v>
      </c>
      <c r="M112" s="1033">
        <v>0.29899999999999999</v>
      </c>
      <c r="N112" s="1033">
        <v>0.29559999999999997</v>
      </c>
      <c r="O112" s="1033">
        <v>0.29220000000000002</v>
      </c>
      <c r="P112" s="1033">
        <v>0.2888</v>
      </c>
      <c r="Q112" s="1033">
        <v>0.28539999999999999</v>
      </c>
      <c r="R112" s="1033">
        <v>0.28199999999999997</v>
      </c>
      <c r="S112" s="1033">
        <v>0.27860000000000001</v>
      </c>
      <c r="T112" s="1033">
        <v>0.2752</v>
      </c>
      <c r="U112" s="1033">
        <v>0.27179999999999999</v>
      </c>
      <c r="V112" s="1033">
        <v>0.26840000000000003</v>
      </c>
      <c r="W112" s="1033">
        <v>0.26490000000000002</v>
      </c>
      <c r="X112" s="1033">
        <v>0.26150000000000001</v>
      </c>
      <c r="Y112" s="1033">
        <v>0.25609999999999999</v>
      </c>
      <c r="Z112" s="1033">
        <v>0.25469999999999998</v>
      </c>
      <c r="AA112" s="1033">
        <v>0.25130000000000002</v>
      </c>
      <c r="AB112" s="1033">
        <v>0.24790000000000001</v>
      </c>
      <c r="AC112" s="1033">
        <v>0.2445</v>
      </c>
      <c r="AD112" s="1033">
        <v>0.24110000000000001</v>
      </c>
      <c r="AE112" s="1033">
        <v>0.23769999999999999</v>
      </c>
      <c r="AF112" s="1033">
        <v>0.23430000000000001</v>
      </c>
      <c r="AG112" s="1033">
        <v>0.23089999999999999</v>
      </c>
      <c r="AH112" s="1033">
        <v>0.22750000000000001</v>
      </c>
      <c r="AI112" s="1033">
        <v>0.22409999999999999</v>
      </c>
      <c r="AJ112" s="1033">
        <v>0.22070000000000001</v>
      </c>
      <c r="AK112" s="1033">
        <v>0.21729999999999999</v>
      </c>
      <c r="AL112" s="1033">
        <v>0.21390000000000001</v>
      </c>
      <c r="AM112" s="1033">
        <v>0.21049999999999999</v>
      </c>
      <c r="AN112" s="1033">
        <v>0.20710000000000001</v>
      </c>
      <c r="AO112" s="1033">
        <v>0.20369999999999999</v>
      </c>
      <c r="AP112" s="1033">
        <v>0.20030000000000001</v>
      </c>
      <c r="AQ112" s="1033">
        <v>0.19689999999999999</v>
      </c>
      <c r="AR112" s="1033">
        <v>0.19350000000000001</v>
      </c>
      <c r="AS112" s="1033">
        <v>0.19009999999999999</v>
      </c>
      <c r="AT112" s="1033">
        <v>0.1867</v>
      </c>
      <c r="AU112" s="1033">
        <v>0.18329999999999999</v>
      </c>
      <c r="AV112" s="1033">
        <v>0.1799</v>
      </c>
      <c r="AW112" s="1033">
        <v>0.17649999999999999</v>
      </c>
      <c r="AX112" s="1033">
        <v>0.1731</v>
      </c>
      <c r="AY112" s="1033">
        <v>0.16969999999999999</v>
      </c>
      <c r="AZ112" s="1033">
        <v>0.1663</v>
      </c>
      <c r="BA112" s="1033">
        <v>0.16289999999999999</v>
      </c>
      <c r="BB112" s="1033">
        <v>0.1595</v>
      </c>
      <c r="BC112" s="1033">
        <v>0.15609999999999999</v>
      </c>
      <c r="BD112" s="1033">
        <v>0.1527</v>
      </c>
      <c r="BE112" s="1033">
        <v>0.14929999999999999</v>
      </c>
      <c r="BF112" s="1033">
        <v>0.1459</v>
      </c>
      <c r="BH112" s="970">
        <f t="shared" si="42"/>
        <v>0.14929999999999999</v>
      </c>
      <c r="BI112" s="1034">
        <f t="shared" si="36"/>
        <v>118901</v>
      </c>
      <c r="BJ112" s="1034">
        <f t="shared" si="41"/>
        <v>80000</v>
      </c>
      <c r="BK112" s="998">
        <f t="shared" si="37"/>
        <v>16000</v>
      </c>
      <c r="BL112" s="998">
        <f t="shared" si="38"/>
        <v>16000</v>
      </c>
      <c r="BN112" s="1032">
        <v>40</v>
      </c>
      <c r="BQ112" s="998">
        <v>0</v>
      </c>
      <c r="BS112" s="1010">
        <v>0</v>
      </c>
      <c r="BT112" s="976">
        <f t="shared" si="48"/>
        <v>0.64919999999999978</v>
      </c>
      <c r="BU112" s="1">
        <f t="shared" si="39"/>
        <v>118901</v>
      </c>
      <c r="BV112" s="975">
        <f t="shared" si="49"/>
        <v>0.14929999999999999</v>
      </c>
      <c r="BW112" s="1">
        <f t="shared" si="50"/>
        <v>0</v>
      </c>
      <c r="BX112" s="973">
        <f t="shared" si="51"/>
        <v>118901</v>
      </c>
      <c r="BY112" s="973">
        <f t="shared" si="52"/>
        <v>118901</v>
      </c>
      <c r="BZ112" s="973">
        <f t="shared" si="53"/>
        <v>107000</v>
      </c>
      <c r="CC112" s="974">
        <f t="shared" si="54"/>
        <v>200000</v>
      </c>
      <c r="CE112" s="1">
        <f t="shared" si="57"/>
        <v>552000</v>
      </c>
      <c r="CF112" s="1">
        <f t="shared" si="40"/>
        <v>0</v>
      </c>
      <c r="CG112" s="973">
        <f t="shared" si="58"/>
        <v>752000</v>
      </c>
      <c r="CH112" s="972">
        <f t="shared" si="55"/>
        <v>752000</v>
      </c>
      <c r="CI112" s="972">
        <f t="shared" si="56"/>
        <v>41</v>
      </c>
      <c r="CJ112" s="972">
        <f t="shared" si="43"/>
        <v>0</v>
      </c>
      <c r="CK112" s="972">
        <f t="shared" si="44"/>
        <v>0</v>
      </c>
      <c r="CL112" s="972">
        <f t="shared" si="45"/>
        <v>0</v>
      </c>
      <c r="CN112" s="954">
        <f t="shared" si="46"/>
        <v>752000</v>
      </c>
      <c r="CO112" s="1">
        <f t="shared" si="47"/>
        <v>752000</v>
      </c>
    </row>
    <row r="113" spans="2:93" s="998" customFormat="1" hidden="1">
      <c r="B113" s="1032">
        <v>41</v>
      </c>
      <c r="C113" s="1033">
        <v>0.33639999999999998</v>
      </c>
      <c r="D113" s="1033">
        <v>0.33300000000000002</v>
      </c>
      <c r="E113" s="1033">
        <v>0.3296</v>
      </c>
      <c r="F113" s="1033">
        <v>0.32619999999999999</v>
      </c>
      <c r="G113" s="1033">
        <v>0.32279999999999998</v>
      </c>
      <c r="H113" s="1033">
        <v>0.31940000000000002</v>
      </c>
      <c r="I113" s="1033">
        <v>0.316</v>
      </c>
      <c r="J113" s="1033">
        <v>0.31259999999999999</v>
      </c>
      <c r="K113" s="1033">
        <v>0.30919999999999997</v>
      </c>
      <c r="L113" s="1033">
        <v>0.30580000000000002</v>
      </c>
      <c r="M113" s="1033">
        <v>0.3024</v>
      </c>
      <c r="N113" s="1033">
        <v>0.29899999999999999</v>
      </c>
      <c r="O113" s="1033">
        <v>0.29559999999999997</v>
      </c>
      <c r="P113" s="1033">
        <v>0.29220000000000002</v>
      </c>
      <c r="Q113" s="1033">
        <v>0.2888</v>
      </c>
      <c r="R113" s="1033">
        <v>0.28539999999999999</v>
      </c>
      <c r="S113" s="1033">
        <v>0.28199999999999997</v>
      </c>
      <c r="T113" s="1033">
        <v>0.27860000000000001</v>
      </c>
      <c r="U113" s="1033">
        <v>0.2752</v>
      </c>
      <c r="V113" s="1033">
        <v>0.27179999999999999</v>
      </c>
      <c r="W113" s="1033">
        <v>0.26840000000000003</v>
      </c>
      <c r="X113" s="1033">
        <v>0.26490000000000002</v>
      </c>
      <c r="Y113" s="1033">
        <v>0.26150000000000001</v>
      </c>
      <c r="Z113" s="1033">
        <v>0.25609999999999999</v>
      </c>
      <c r="AA113" s="1033">
        <v>0.25469999999999998</v>
      </c>
      <c r="AB113" s="1033">
        <v>0.25130000000000002</v>
      </c>
      <c r="AC113" s="1033">
        <v>0.24790000000000001</v>
      </c>
      <c r="AD113" s="1033">
        <v>0.2445</v>
      </c>
      <c r="AE113" s="1033">
        <v>0.24110000000000001</v>
      </c>
      <c r="AF113" s="1033">
        <v>0.23769999999999999</v>
      </c>
      <c r="AG113" s="1033">
        <v>0.23430000000000001</v>
      </c>
      <c r="AH113" s="1033">
        <v>0.23089999999999999</v>
      </c>
      <c r="AI113" s="1033">
        <v>0.22750000000000001</v>
      </c>
      <c r="AJ113" s="1033">
        <v>0.22409999999999999</v>
      </c>
      <c r="AK113" s="1033">
        <v>0.22070000000000001</v>
      </c>
      <c r="AL113" s="1033">
        <v>0.21729999999999999</v>
      </c>
      <c r="AM113" s="1033">
        <v>0.21390000000000001</v>
      </c>
      <c r="AN113" s="1033">
        <v>0.21049999999999999</v>
      </c>
      <c r="AO113" s="1033">
        <v>0.20710000000000001</v>
      </c>
      <c r="AP113" s="1033">
        <v>0.20369999999999999</v>
      </c>
      <c r="AQ113" s="1033">
        <v>0.20030000000000001</v>
      </c>
      <c r="AR113" s="1033">
        <v>0.19689999999999999</v>
      </c>
      <c r="AS113" s="1033">
        <v>0.19350000000000001</v>
      </c>
      <c r="AT113" s="1033">
        <v>0.19009999999999999</v>
      </c>
      <c r="AU113" s="1033">
        <v>0.1867</v>
      </c>
      <c r="AV113" s="1033">
        <v>0.18329999999999999</v>
      </c>
      <c r="AW113" s="1033">
        <v>0.1799</v>
      </c>
      <c r="AX113" s="1033">
        <v>0.17649999999999999</v>
      </c>
      <c r="AY113" s="1033">
        <v>0.1731</v>
      </c>
      <c r="AZ113" s="1033">
        <v>0.16969999999999999</v>
      </c>
      <c r="BA113" s="1033">
        <v>0.1663</v>
      </c>
      <c r="BB113" s="1033">
        <v>0.16289999999999999</v>
      </c>
      <c r="BC113" s="1033">
        <v>0.1595</v>
      </c>
      <c r="BD113" s="1033">
        <v>0.15609999999999999</v>
      </c>
      <c r="BE113" s="1033">
        <v>0.1527</v>
      </c>
      <c r="BF113" s="1033">
        <v>0.14929999999999999</v>
      </c>
      <c r="BH113" s="970">
        <f t="shared" si="42"/>
        <v>0.1527</v>
      </c>
      <c r="BI113" s="1034">
        <f t="shared" si="36"/>
        <v>120018</v>
      </c>
      <c r="BJ113" s="1034">
        <f t="shared" si="41"/>
        <v>80000</v>
      </c>
      <c r="BK113" s="998">
        <f t="shared" si="37"/>
        <v>16000</v>
      </c>
      <c r="BL113" s="998">
        <f t="shared" si="38"/>
        <v>16000</v>
      </c>
      <c r="BN113" s="1032">
        <v>41</v>
      </c>
      <c r="BQ113" s="998">
        <v>0</v>
      </c>
      <c r="BS113" s="1010">
        <v>0</v>
      </c>
      <c r="BT113" s="976">
        <f t="shared" si="48"/>
        <v>0.65529999999999977</v>
      </c>
      <c r="BU113" s="1">
        <f t="shared" si="39"/>
        <v>120018</v>
      </c>
      <c r="BV113" s="975">
        <f t="shared" si="49"/>
        <v>0.1527</v>
      </c>
      <c r="BW113" s="1">
        <f t="shared" si="50"/>
        <v>0</v>
      </c>
      <c r="BX113" s="973">
        <f t="shared" si="51"/>
        <v>120018</v>
      </c>
      <c r="BY113" s="973">
        <f t="shared" si="52"/>
        <v>120018</v>
      </c>
      <c r="BZ113" s="973">
        <f t="shared" si="53"/>
        <v>108000</v>
      </c>
      <c r="CC113" s="974">
        <f t="shared" si="54"/>
        <v>200000</v>
      </c>
      <c r="CE113" s="1">
        <f t="shared" si="57"/>
        <v>565800</v>
      </c>
      <c r="CF113" s="1">
        <f t="shared" si="40"/>
        <v>0</v>
      </c>
      <c r="CG113" s="973">
        <f t="shared" si="58"/>
        <v>765800</v>
      </c>
      <c r="CH113" s="972">
        <f t="shared" si="55"/>
        <v>765800</v>
      </c>
      <c r="CI113" s="972">
        <f t="shared" si="56"/>
        <v>42</v>
      </c>
      <c r="CJ113" s="972">
        <f t="shared" si="43"/>
        <v>0</v>
      </c>
      <c r="CK113" s="972">
        <f t="shared" si="44"/>
        <v>0</v>
      </c>
      <c r="CL113" s="972">
        <f t="shared" si="45"/>
        <v>0</v>
      </c>
      <c r="CN113" s="954">
        <f t="shared" si="46"/>
        <v>765800</v>
      </c>
      <c r="CO113" s="1">
        <f t="shared" si="47"/>
        <v>765800</v>
      </c>
    </row>
    <row r="114" spans="2:93" s="998" customFormat="1" hidden="1">
      <c r="B114" s="1032">
        <v>42</v>
      </c>
      <c r="C114" s="1033">
        <v>0.33979999999999999</v>
      </c>
      <c r="D114" s="1033">
        <v>0.33639999999999998</v>
      </c>
      <c r="E114" s="1033">
        <v>0.33300000000000002</v>
      </c>
      <c r="F114" s="1033">
        <v>0.3296</v>
      </c>
      <c r="G114" s="1033">
        <v>0.32619999999999999</v>
      </c>
      <c r="H114" s="1033">
        <v>0.32279999999999998</v>
      </c>
      <c r="I114" s="1033">
        <v>0.31940000000000002</v>
      </c>
      <c r="J114" s="1033">
        <v>0.316</v>
      </c>
      <c r="K114" s="1033">
        <v>0.31259999999999999</v>
      </c>
      <c r="L114" s="1033">
        <v>0.30919999999999997</v>
      </c>
      <c r="M114" s="1033">
        <v>0.30580000000000002</v>
      </c>
      <c r="N114" s="1033">
        <v>0.3024</v>
      </c>
      <c r="O114" s="1033">
        <v>0.29899999999999999</v>
      </c>
      <c r="P114" s="1033">
        <v>0.29559999999999997</v>
      </c>
      <c r="Q114" s="1033">
        <v>0.29220000000000002</v>
      </c>
      <c r="R114" s="1033">
        <v>0.2888</v>
      </c>
      <c r="S114" s="1033">
        <v>0.28539999999999999</v>
      </c>
      <c r="T114" s="1033">
        <v>0.28199999999999997</v>
      </c>
      <c r="U114" s="1033">
        <v>0.27860000000000001</v>
      </c>
      <c r="V114" s="1033">
        <v>0.2752</v>
      </c>
      <c r="W114" s="1033">
        <v>0.27179999999999999</v>
      </c>
      <c r="X114" s="1033">
        <v>0.26840000000000003</v>
      </c>
      <c r="Y114" s="1033">
        <v>0.26490000000000002</v>
      </c>
      <c r="Z114" s="1033">
        <v>0.26150000000000001</v>
      </c>
      <c r="AA114" s="1033">
        <v>0.25609999999999999</v>
      </c>
      <c r="AB114" s="1033">
        <v>0.25469999999999998</v>
      </c>
      <c r="AC114" s="1033">
        <v>0.25130000000000002</v>
      </c>
      <c r="AD114" s="1033">
        <v>0.24790000000000001</v>
      </c>
      <c r="AE114" s="1033">
        <v>0.2445</v>
      </c>
      <c r="AF114" s="1033">
        <v>0.24110000000000001</v>
      </c>
      <c r="AG114" s="1033">
        <v>0.23769999999999999</v>
      </c>
      <c r="AH114" s="1033">
        <v>0.23430000000000001</v>
      </c>
      <c r="AI114" s="1033">
        <v>0.23089999999999999</v>
      </c>
      <c r="AJ114" s="1033">
        <v>0.22750000000000001</v>
      </c>
      <c r="AK114" s="1033">
        <v>0.22409999999999999</v>
      </c>
      <c r="AL114" s="1033">
        <v>0.22070000000000001</v>
      </c>
      <c r="AM114" s="1033">
        <v>0.21729999999999999</v>
      </c>
      <c r="AN114" s="1033">
        <v>0.21390000000000001</v>
      </c>
      <c r="AO114" s="1033">
        <v>0.21049999999999999</v>
      </c>
      <c r="AP114" s="1033">
        <v>0.20710000000000001</v>
      </c>
      <c r="AQ114" s="1033">
        <v>0.20369999999999999</v>
      </c>
      <c r="AR114" s="1033">
        <v>0.20030000000000001</v>
      </c>
      <c r="AS114" s="1033">
        <v>0.19689999999999999</v>
      </c>
      <c r="AT114" s="1033">
        <v>0.19350000000000001</v>
      </c>
      <c r="AU114" s="1033">
        <v>0.19009999999999999</v>
      </c>
      <c r="AV114" s="1033">
        <v>0.1867</v>
      </c>
      <c r="AW114" s="1033">
        <v>0.18329999999999999</v>
      </c>
      <c r="AX114" s="1033">
        <v>0.1799</v>
      </c>
      <c r="AY114" s="1033">
        <v>0.17649999999999999</v>
      </c>
      <c r="AZ114" s="1033">
        <v>0.1731</v>
      </c>
      <c r="BA114" s="1033">
        <v>0.16969999999999999</v>
      </c>
      <c r="BB114" s="1033">
        <v>0.1663</v>
      </c>
      <c r="BC114" s="1033">
        <v>0.16289999999999999</v>
      </c>
      <c r="BD114" s="1033">
        <v>0.1595</v>
      </c>
      <c r="BE114" s="1033">
        <v>0.15609999999999999</v>
      </c>
      <c r="BF114" s="1033">
        <v>0.1527</v>
      </c>
      <c r="BH114" s="970">
        <f t="shared" si="42"/>
        <v>0.15609999999999999</v>
      </c>
      <c r="BI114" s="1034">
        <f t="shared" si="36"/>
        <v>119597</v>
      </c>
      <c r="BJ114" s="1034">
        <f t="shared" si="41"/>
        <v>80000</v>
      </c>
      <c r="BK114" s="998">
        <f t="shared" si="37"/>
        <v>16000</v>
      </c>
      <c r="BL114" s="998">
        <f t="shared" si="38"/>
        <v>16000</v>
      </c>
      <c r="BN114" s="1032">
        <v>42</v>
      </c>
      <c r="BQ114" s="998">
        <v>0</v>
      </c>
      <c r="BS114" s="1010">
        <v>0</v>
      </c>
      <c r="BT114" s="976">
        <f t="shared" si="48"/>
        <v>0.65300000000000014</v>
      </c>
      <c r="BU114" s="1">
        <f t="shared" si="39"/>
        <v>119597</v>
      </c>
      <c r="BV114" s="975">
        <f t="shared" si="49"/>
        <v>0.15609999999999999</v>
      </c>
      <c r="BW114" s="1">
        <f t="shared" si="50"/>
        <v>0</v>
      </c>
      <c r="BX114" s="973">
        <f t="shared" si="51"/>
        <v>119597</v>
      </c>
      <c r="BY114" s="973">
        <f t="shared" si="52"/>
        <v>119597</v>
      </c>
      <c r="BZ114" s="973">
        <f t="shared" si="53"/>
        <v>107600</v>
      </c>
      <c r="CC114" s="974">
        <f t="shared" si="54"/>
        <v>200000</v>
      </c>
      <c r="CE114" s="1">
        <f t="shared" si="57"/>
        <v>579600</v>
      </c>
      <c r="CF114" s="1">
        <f t="shared" si="40"/>
        <v>0</v>
      </c>
      <c r="CG114" s="973">
        <f t="shared" si="58"/>
        <v>779600</v>
      </c>
      <c r="CH114" s="972">
        <f t="shared" si="55"/>
        <v>779600</v>
      </c>
      <c r="CI114" s="972">
        <f t="shared" si="56"/>
        <v>43</v>
      </c>
      <c r="CJ114" s="972">
        <f t="shared" si="43"/>
        <v>0</v>
      </c>
      <c r="CK114" s="972">
        <f t="shared" si="44"/>
        <v>0</v>
      </c>
      <c r="CL114" s="972">
        <f t="shared" si="45"/>
        <v>0</v>
      </c>
      <c r="CN114" s="954">
        <f t="shared" si="46"/>
        <v>779600</v>
      </c>
      <c r="CO114" s="1">
        <f t="shared" si="47"/>
        <v>779600</v>
      </c>
    </row>
    <row r="115" spans="2:93" s="998" customFormat="1" hidden="1">
      <c r="B115" s="1032">
        <v>43</v>
      </c>
      <c r="C115" s="1033">
        <v>0.34320000000000001</v>
      </c>
      <c r="D115" s="1033">
        <v>0.33979999999999999</v>
      </c>
      <c r="E115" s="1033">
        <v>0.33639999999999998</v>
      </c>
      <c r="F115" s="1033">
        <v>0.33300000000000002</v>
      </c>
      <c r="G115" s="1033">
        <v>0.3296</v>
      </c>
      <c r="H115" s="1033">
        <v>0.32619999999999999</v>
      </c>
      <c r="I115" s="1033">
        <v>0.32279999999999998</v>
      </c>
      <c r="J115" s="1033">
        <v>0.31940000000000002</v>
      </c>
      <c r="K115" s="1033">
        <v>0.316</v>
      </c>
      <c r="L115" s="1033">
        <v>0.31259999999999999</v>
      </c>
      <c r="M115" s="1033">
        <v>0.30919999999999997</v>
      </c>
      <c r="N115" s="1033">
        <v>0.30580000000000002</v>
      </c>
      <c r="O115" s="1033">
        <v>0.3024</v>
      </c>
      <c r="P115" s="1033">
        <v>0.29899999999999999</v>
      </c>
      <c r="Q115" s="1033">
        <v>0.29559999999999997</v>
      </c>
      <c r="R115" s="1033">
        <v>0.29220000000000002</v>
      </c>
      <c r="S115" s="1033">
        <v>0.2888</v>
      </c>
      <c r="T115" s="1033">
        <v>0.28539999999999999</v>
      </c>
      <c r="U115" s="1033">
        <v>0.28199999999999997</v>
      </c>
      <c r="V115" s="1033">
        <v>0.27860000000000001</v>
      </c>
      <c r="W115" s="1033">
        <v>0.2752</v>
      </c>
      <c r="X115" s="1033">
        <v>0.27179999999999999</v>
      </c>
      <c r="Y115" s="1033">
        <v>0.26840000000000003</v>
      </c>
      <c r="Z115" s="1033">
        <v>0.26490000000000002</v>
      </c>
      <c r="AA115" s="1033">
        <v>0.26150000000000001</v>
      </c>
      <c r="AB115" s="1033">
        <v>0.25609999999999999</v>
      </c>
      <c r="AC115" s="1033">
        <v>0.25469999999999998</v>
      </c>
      <c r="AD115" s="1033">
        <v>0.25130000000000002</v>
      </c>
      <c r="AE115" s="1033">
        <v>0.24790000000000001</v>
      </c>
      <c r="AF115" s="1033">
        <v>0.2445</v>
      </c>
      <c r="AG115" s="1033">
        <v>0.24110000000000001</v>
      </c>
      <c r="AH115" s="1033">
        <v>0.23769999999999999</v>
      </c>
      <c r="AI115" s="1033">
        <v>0.23430000000000001</v>
      </c>
      <c r="AJ115" s="1033">
        <v>0.23089999999999999</v>
      </c>
      <c r="AK115" s="1033">
        <v>0.22750000000000001</v>
      </c>
      <c r="AL115" s="1033">
        <v>0.22409999999999999</v>
      </c>
      <c r="AM115" s="1033">
        <v>0.22070000000000001</v>
      </c>
      <c r="AN115" s="1033">
        <v>0.21729999999999999</v>
      </c>
      <c r="AO115" s="1033">
        <v>0.21390000000000001</v>
      </c>
      <c r="AP115" s="1033">
        <v>0.21049999999999999</v>
      </c>
      <c r="AQ115" s="1033">
        <v>0.20710000000000001</v>
      </c>
      <c r="AR115" s="1033">
        <v>0.20369999999999999</v>
      </c>
      <c r="AS115" s="1033">
        <v>0.20030000000000001</v>
      </c>
      <c r="AT115" s="1033">
        <v>0.19689999999999999</v>
      </c>
      <c r="AU115" s="1033">
        <v>0.19350000000000001</v>
      </c>
      <c r="AV115" s="1033">
        <v>0.19009999999999999</v>
      </c>
      <c r="AW115" s="1033">
        <v>0.1867</v>
      </c>
      <c r="AX115" s="1033">
        <v>0.18329999999999999</v>
      </c>
      <c r="AY115" s="1033">
        <v>0.1799</v>
      </c>
      <c r="AZ115" s="1033">
        <v>0.17649999999999999</v>
      </c>
      <c r="BA115" s="1033">
        <v>0.1731</v>
      </c>
      <c r="BB115" s="1033">
        <v>0.16969999999999999</v>
      </c>
      <c r="BC115" s="1033">
        <v>0.1663</v>
      </c>
      <c r="BD115" s="1033">
        <v>0.16289999999999999</v>
      </c>
      <c r="BE115" s="1033">
        <v>0.1595</v>
      </c>
      <c r="BF115" s="1033">
        <v>0.15609999999999999</v>
      </c>
      <c r="BH115" s="970">
        <f t="shared" si="42"/>
        <v>0.1595</v>
      </c>
      <c r="BI115" s="1034">
        <f t="shared" si="36"/>
        <v>120714</v>
      </c>
      <c r="BJ115" s="1034">
        <f t="shared" si="41"/>
        <v>80000</v>
      </c>
      <c r="BK115" s="998">
        <f t="shared" si="37"/>
        <v>16000</v>
      </c>
      <c r="BL115" s="998">
        <f t="shared" si="38"/>
        <v>16000</v>
      </c>
      <c r="BN115" s="1032">
        <v>43</v>
      </c>
      <c r="BQ115" s="998">
        <v>0</v>
      </c>
      <c r="BS115" s="1010">
        <v>0</v>
      </c>
      <c r="BT115" s="976">
        <f t="shared" si="48"/>
        <v>0.65910000000000013</v>
      </c>
      <c r="BU115" s="1">
        <f t="shared" si="39"/>
        <v>120714</v>
      </c>
      <c r="BV115" s="975">
        <f t="shared" si="49"/>
        <v>0.1595</v>
      </c>
      <c r="BW115" s="1">
        <f t="shared" si="50"/>
        <v>0</v>
      </c>
      <c r="BX115" s="973">
        <f t="shared" si="51"/>
        <v>120714</v>
      </c>
      <c r="BY115" s="973">
        <f t="shared" si="52"/>
        <v>120714</v>
      </c>
      <c r="BZ115" s="973">
        <f t="shared" si="53"/>
        <v>108600</v>
      </c>
      <c r="CC115" s="974">
        <f t="shared" si="54"/>
        <v>200000</v>
      </c>
      <c r="CE115" s="1">
        <f t="shared" si="57"/>
        <v>593400</v>
      </c>
      <c r="CF115" s="1">
        <f t="shared" si="40"/>
        <v>0</v>
      </c>
      <c r="CG115" s="973">
        <f t="shared" si="58"/>
        <v>793400</v>
      </c>
      <c r="CH115" s="972">
        <f t="shared" si="55"/>
        <v>793400</v>
      </c>
      <c r="CI115" s="972">
        <f t="shared" si="56"/>
        <v>44</v>
      </c>
      <c r="CJ115" s="972">
        <f t="shared" si="43"/>
        <v>0</v>
      </c>
      <c r="CK115" s="972">
        <f t="shared" si="44"/>
        <v>0</v>
      </c>
      <c r="CL115" s="972">
        <f t="shared" si="45"/>
        <v>0</v>
      </c>
      <c r="CN115" s="954">
        <f t="shared" si="46"/>
        <v>793400</v>
      </c>
      <c r="CO115" s="1">
        <f t="shared" si="47"/>
        <v>793400</v>
      </c>
    </row>
    <row r="116" spans="2:93" s="998" customFormat="1" hidden="1">
      <c r="B116" s="1032">
        <v>44</v>
      </c>
      <c r="C116" s="1033">
        <v>0.34660000000000002</v>
      </c>
      <c r="D116" s="1033">
        <v>0.34320000000000001</v>
      </c>
      <c r="E116" s="1033">
        <v>0.33979999999999999</v>
      </c>
      <c r="F116" s="1033">
        <v>0.33639999999999998</v>
      </c>
      <c r="G116" s="1033">
        <v>0.33300000000000002</v>
      </c>
      <c r="H116" s="1033">
        <v>0.3296</v>
      </c>
      <c r="I116" s="1033">
        <v>0.32619999999999999</v>
      </c>
      <c r="J116" s="1033">
        <v>0.32279999999999998</v>
      </c>
      <c r="K116" s="1033">
        <v>0.31940000000000002</v>
      </c>
      <c r="L116" s="1033">
        <v>0.316</v>
      </c>
      <c r="M116" s="1033">
        <v>0.31259999999999999</v>
      </c>
      <c r="N116" s="1033">
        <v>0.30919999999999997</v>
      </c>
      <c r="O116" s="1033">
        <v>0.30580000000000002</v>
      </c>
      <c r="P116" s="1033">
        <v>0.3024</v>
      </c>
      <c r="Q116" s="1033">
        <v>0.29899999999999999</v>
      </c>
      <c r="R116" s="1033">
        <v>0.29559999999999997</v>
      </c>
      <c r="S116" s="1033">
        <v>0.29220000000000002</v>
      </c>
      <c r="T116" s="1033">
        <v>0.2888</v>
      </c>
      <c r="U116" s="1033">
        <v>0.28539999999999999</v>
      </c>
      <c r="V116" s="1033">
        <v>0.28199999999999997</v>
      </c>
      <c r="W116" s="1033">
        <v>0.27860000000000001</v>
      </c>
      <c r="X116" s="1033">
        <v>0.2752</v>
      </c>
      <c r="Y116" s="1033">
        <v>0.27179999999999999</v>
      </c>
      <c r="Z116" s="1033">
        <v>0.26840000000000003</v>
      </c>
      <c r="AA116" s="1033">
        <v>0.26490000000000002</v>
      </c>
      <c r="AB116" s="1033">
        <v>0.26150000000000001</v>
      </c>
      <c r="AC116" s="1033">
        <v>0.25609999999999999</v>
      </c>
      <c r="AD116" s="1033">
        <v>0.25469999999999998</v>
      </c>
      <c r="AE116" s="1033">
        <v>0.25130000000000002</v>
      </c>
      <c r="AF116" s="1033">
        <v>0.24790000000000001</v>
      </c>
      <c r="AG116" s="1033">
        <v>0.2445</v>
      </c>
      <c r="AH116" s="1033">
        <v>0.24110000000000001</v>
      </c>
      <c r="AI116" s="1033">
        <v>0.23769999999999999</v>
      </c>
      <c r="AJ116" s="1033">
        <v>0.23430000000000001</v>
      </c>
      <c r="AK116" s="1033">
        <v>0.23089999999999999</v>
      </c>
      <c r="AL116" s="1033">
        <v>0.22750000000000001</v>
      </c>
      <c r="AM116" s="1033">
        <v>0.22409999999999999</v>
      </c>
      <c r="AN116" s="1033">
        <v>0.22070000000000001</v>
      </c>
      <c r="AO116" s="1033">
        <v>0.21729999999999999</v>
      </c>
      <c r="AP116" s="1033">
        <v>0.21390000000000001</v>
      </c>
      <c r="AQ116" s="1033">
        <v>0.21049999999999999</v>
      </c>
      <c r="AR116" s="1033">
        <v>0.20710000000000001</v>
      </c>
      <c r="AS116" s="1033">
        <v>0.20369999999999999</v>
      </c>
      <c r="AT116" s="1033">
        <v>0.20030000000000001</v>
      </c>
      <c r="AU116" s="1033">
        <v>0.19689999999999999</v>
      </c>
      <c r="AV116" s="1033">
        <v>0.19350000000000001</v>
      </c>
      <c r="AW116" s="1033">
        <v>0.19009999999999999</v>
      </c>
      <c r="AX116" s="1033">
        <v>0.1867</v>
      </c>
      <c r="AY116" s="1033">
        <v>0.18329999999999999</v>
      </c>
      <c r="AZ116" s="1033">
        <v>0.1799</v>
      </c>
      <c r="BA116" s="1033">
        <v>0.17649999999999999</v>
      </c>
      <c r="BB116" s="1033">
        <v>0.1731</v>
      </c>
      <c r="BC116" s="1033">
        <v>0.16969999999999999</v>
      </c>
      <c r="BD116" s="1033">
        <v>0.1663</v>
      </c>
      <c r="BE116" s="1033">
        <v>0.16289999999999999</v>
      </c>
      <c r="BF116" s="1033">
        <v>0.1595</v>
      </c>
      <c r="BH116" s="970">
        <f t="shared" si="42"/>
        <v>0.16289999999999999</v>
      </c>
      <c r="BI116" s="1034">
        <f t="shared" si="36"/>
        <v>121227</v>
      </c>
      <c r="BJ116" s="1034">
        <f t="shared" si="41"/>
        <v>80000</v>
      </c>
      <c r="BK116" s="998">
        <f t="shared" si="37"/>
        <v>16000</v>
      </c>
      <c r="BL116" s="998">
        <f t="shared" si="38"/>
        <v>16000</v>
      </c>
      <c r="BN116" s="1032">
        <v>44</v>
      </c>
      <c r="BQ116" s="998">
        <v>0</v>
      </c>
      <c r="BS116" s="1010">
        <v>0</v>
      </c>
      <c r="BT116" s="976">
        <f t="shared" si="48"/>
        <v>0.66190000000000049</v>
      </c>
      <c r="BU116" s="1">
        <f t="shared" si="39"/>
        <v>121227</v>
      </c>
      <c r="BV116" s="975">
        <f t="shared" si="49"/>
        <v>0.16289999999999999</v>
      </c>
      <c r="BW116" s="1">
        <f t="shared" si="50"/>
        <v>0</v>
      </c>
      <c r="BX116" s="973">
        <f t="shared" si="51"/>
        <v>121227</v>
      </c>
      <c r="BY116" s="973">
        <f t="shared" si="52"/>
        <v>121227</v>
      </c>
      <c r="BZ116" s="973">
        <f t="shared" si="53"/>
        <v>109100</v>
      </c>
      <c r="CC116" s="974">
        <f t="shared" si="54"/>
        <v>200000</v>
      </c>
      <c r="CE116" s="1">
        <f t="shared" si="57"/>
        <v>607200</v>
      </c>
      <c r="CF116" s="1">
        <f t="shared" si="40"/>
        <v>0</v>
      </c>
      <c r="CG116" s="973">
        <f t="shared" si="58"/>
        <v>807200</v>
      </c>
      <c r="CH116" s="972">
        <f t="shared" si="55"/>
        <v>807200</v>
      </c>
      <c r="CI116" s="972">
        <f t="shared" si="56"/>
        <v>45</v>
      </c>
      <c r="CJ116" s="972">
        <f t="shared" si="43"/>
        <v>0</v>
      </c>
      <c r="CK116" s="972">
        <f t="shared" si="44"/>
        <v>0</v>
      </c>
      <c r="CL116" s="972">
        <f t="shared" si="45"/>
        <v>0</v>
      </c>
      <c r="CN116" s="954">
        <f t="shared" si="46"/>
        <v>807200</v>
      </c>
      <c r="CO116" s="1">
        <f t="shared" si="47"/>
        <v>807200</v>
      </c>
    </row>
    <row r="117" spans="2:93" s="998" customFormat="1" hidden="1">
      <c r="B117" s="1032">
        <v>45</v>
      </c>
      <c r="C117" s="1033">
        <v>0.35</v>
      </c>
      <c r="D117" s="1033">
        <v>0.34660000000000002</v>
      </c>
      <c r="E117" s="1033">
        <v>0.34320000000000001</v>
      </c>
      <c r="F117" s="1033">
        <v>0.33979999999999999</v>
      </c>
      <c r="G117" s="1033">
        <v>0.33639999999999998</v>
      </c>
      <c r="H117" s="1033">
        <v>0.33300000000000002</v>
      </c>
      <c r="I117" s="1033">
        <v>0.3296</v>
      </c>
      <c r="J117" s="1033">
        <v>0.32619999999999999</v>
      </c>
      <c r="K117" s="1033">
        <v>0.32279999999999998</v>
      </c>
      <c r="L117" s="1033">
        <v>0.31940000000000002</v>
      </c>
      <c r="M117" s="1033">
        <v>0.316</v>
      </c>
      <c r="N117" s="1033">
        <v>0.31259999999999999</v>
      </c>
      <c r="O117" s="1033">
        <v>0.30919999999999997</v>
      </c>
      <c r="P117" s="1033">
        <v>0.30580000000000002</v>
      </c>
      <c r="Q117" s="1033">
        <v>0.3024</v>
      </c>
      <c r="R117" s="1033">
        <v>0.29899999999999999</v>
      </c>
      <c r="S117" s="1033">
        <v>0.29559999999999997</v>
      </c>
      <c r="T117" s="1033">
        <v>0.29220000000000002</v>
      </c>
      <c r="U117" s="1033">
        <v>0.2888</v>
      </c>
      <c r="V117" s="1033">
        <v>0.28539999999999999</v>
      </c>
      <c r="W117" s="1033">
        <v>0.28199999999999997</v>
      </c>
      <c r="X117" s="1033">
        <v>0.27860000000000001</v>
      </c>
      <c r="Y117" s="1033">
        <v>0.2752</v>
      </c>
      <c r="Z117" s="1033">
        <v>0.27179999999999999</v>
      </c>
      <c r="AA117" s="1033">
        <v>0.26840000000000003</v>
      </c>
      <c r="AB117" s="1033">
        <v>0.26490000000000002</v>
      </c>
      <c r="AC117" s="1033">
        <v>0.26150000000000001</v>
      </c>
      <c r="AD117" s="1033">
        <v>0.25609999999999999</v>
      </c>
      <c r="AE117" s="1033">
        <v>0.25469999999999998</v>
      </c>
      <c r="AF117" s="1033">
        <v>0.25130000000000002</v>
      </c>
      <c r="AG117" s="1033">
        <v>0.24790000000000001</v>
      </c>
      <c r="AH117" s="1033">
        <v>0.2445</v>
      </c>
      <c r="AI117" s="1033">
        <v>0.24110000000000001</v>
      </c>
      <c r="AJ117" s="1033">
        <v>0.23769999999999999</v>
      </c>
      <c r="AK117" s="1033">
        <v>0.23430000000000001</v>
      </c>
      <c r="AL117" s="1033">
        <v>0.23089999999999999</v>
      </c>
      <c r="AM117" s="1033">
        <v>0.22750000000000001</v>
      </c>
      <c r="AN117" s="1033">
        <v>0.22409999999999999</v>
      </c>
      <c r="AO117" s="1033">
        <v>0.22070000000000001</v>
      </c>
      <c r="AP117" s="1033">
        <v>0.21729999999999999</v>
      </c>
      <c r="AQ117" s="1033">
        <v>0.21390000000000001</v>
      </c>
      <c r="AR117" s="1033">
        <v>0.21049999999999999</v>
      </c>
      <c r="AS117" s="1033">
        <v>0.20710000000000001</v>
      </c>
      <c r="AT117" s="1033">
        <v>0.20369999999999999</v>
      </c>
      <c r="AU117" s="1033">
        <v>0.20030000000000001</v>
      </c>
      <c r="AV117" s="1033">
        <v>0.19689999999999999</v>
      </c>
      <c r="AW117" s="1033">
        <v>0.19350000000000001</v>
      </c>
      <c r="AX117" s="1033">
        <v>0.19009999999999999</v>
      </c>
      <c r="AY117" s="1033">
        <v>0.1867</v>
      </c>
      <c r="AZ117" s="1033">
        <v>0.18329999999999999</v>
      </c>
      <c r="BA117" s="1033">
        <v>0.1799</v>
      </c>
      <c r="BB117" s="1033">
        <v>0.17649999999999999</v>
      </c>
      <c r="BC117" s="1033">
        <v>0.1731</v>
      </c>
      <c r="BD117" s="1033">
        <v>0.16969999999999999</v>
      </c>
      <c r="BE117" s="1033">
        <v>0.1663</v>
      </c>
      <c r="BF117" s="1033">
        <v>0.16289999999999999</v>
      </c>
      <c r="BH117" s="970">
        <f t="shared" si="42"/>
        <v>0.1663</v>
      </c>
      <c r="BI117" s="1034">
        <f t="shared" si="36"/>
        <v>122344</v>
      </c>
      <c r="BJ117" s="1034">
        <f t="shared" si="41"/>
        <v>80000</v>
      </c>
      <c r="BK117" s="998">
        <f t="shared" si="37"/>
        <v>16000</v>
      </c>
      <c r="BL117" s="998">
        <f t="shared" si="38"/>
        <v>16000</v>
      </c>
      <c r="BN117" s="1032">
        <v>45</v>
      </c>
      <c r="BQ117" s="998">
        <v>0</v>
      </c>
      <c r="BS117" s="1010">
        <v>0</v>
      </c>
      <c r="BT117" s="976">
        <f t="shared" si="48"/>
        <v>0.66800000000000048</v>
      </c>
      <c r="BU117" s="1">
        <f t="shared" si="39"/>
        <v>122344</v>
      </c>
      <c r="BV117" s="975">
        <f t="shared" si="49"/>
        <v>0.1663</v>
      </c>
      <c r="BW117" s="1">
        <f t="shared" si="50"/>
        <v>0</v>
      </c>
      <c r="BX117" s="973">
        <f t="shared" si="51"/>
        <v>122344</v>
      </c>
      <c r="BY117" s="973">
        <f t="shared" si="52"/>
        <v>122344</v>
      </c>
      <c r="BZ117" s="973">
        <f t="shared" si="53"/>
        <v>110100</v>
      </c>
      <c r="CC117" s="974">
        <f t="shared" si="54"/>
        <v>200000</v>
      </c>
      <c r="CE117" s="1">
        <f t="shared" si="57"/>
        <v>621000</v>
      </c>
      <c r="CF117" s="1">
        <f t="shared" si="40"/>
        <v>0</v>
      </c>
      <c r="CG117" s="973">
        <f t="shared" si="58"/>
        <v>821000</v>
      </c>
      <c r="CH117" s="972">
        <f t="shared" si="55"/>
        <v>821000</v>
      </c>
      <c r="CI117" s="972">
        <f t="shared" si="56"/>
        <v>46</v>
      </c>
      <c r="CJ117" s="972">
        <f t="shared" si="43"/>
        <v>0</v>
      </c>
      <c r="CK117" s="972">
        <f t="shared" si="44"/>
        <v>0</v>
      </c>
      <c r="CL117" s="972">
        <f t="shared" si="45"/>
        <v>0</v>
      </c>
      <c r="CN117" s="954">
        <f t="shared" si="46"/>
        <v>821000</v>
      </c>
      <c r="CO117" s="1">
        <f t="shared" si="47"/>
        <v>821000</v>
      </c>
    </row>
    <row r="118" spans="2:93" s="998" customFormat="1" hidden="1">
      <c r="B118" s="1032">
        <v>46</v>
      </c>
      <c r="C118" s="1032"/>
      <c r="D118" s="1033">
        <v>0.35</v>
      </c>
      <c r="E118" s="1033">
        <v>0.34660000000000002</v>
      </c>
      <c r="F118" s="1033">
        <v>0.34320000000000001</v>
      </c>
      <c r="G118" s="1033">
        <v>0.33979999999999999</v>
      </c>
      <c r="H118" s="1033">
        <v>0.33639999999999998</v>
      </c>
      <c r="I118" s="1033">
        <v>0.33300000000000002</v>
      </c>
      <c r="J118" s="1033">
        <v>0.3296</v>
      </c>
      <c r="K118" s="1033">
        <v>0.32619999999999999</v>
      </c>
      <c r="L118" s="1033">
        <v>0.32279999999999998</v>
      </c>
      <c r="M118" s="1033">
        <v>0.31940000000000002</v>
      </c>
      <c r="N118" s="1033">
        <v>0.316</v>
      </c>
      <c r="O118" s="1033">
        <v>0.31259999999999999</v>
      </c>
      <c r="P118" s="1033">
        <v>0.30919999999999997</v>
      </c>
      <c r="Q118" s="1033">
        <v>0.30580000000000002</v>
      </c>
      <c r="R118" s="1033">
        <v>0.3024</v>
      </c>
      <c r="S118" s="1033">
        <v>0.29899999999999999</v>
      </c>
      <c r="T118" s="1033">
        <v>0.29559999999999997</v>
      </c>
      <c r="U118" s="1033">
        <v>0.29220000000000002</v>
      </c>
      <c r="V118" s="1033">
        <v>0.2888</v>
      </c>
      <c r="W118" s="1033">
        <v>0.28539999999999999</v>
      </c>
      <c r="X118" s="1033">
        <v>0.28199999999999997</v>
      </c>
      <c r="Y118" s="1033">
        <v>0.27860000000000001</v>
      </c>
      <c r="Z118" s="1033">
        <v>0.2752</v>
      </c>
      <c r="AA118" s="1033">
        <v>0.27179999999999999</v>
      </c>
      <c r="AB118" s="1033">
        <v>0.26840000000000003</v>
      </c>
      <c r="AC118" s="1033">
        <v>0.26490000000000002</v>
      </c>
      <c r="AD118" s="1033">
        <v>0.26150000000000001</v>
      </c>
      <c r="AE118" s="1033">
        <v>0.25609999999999999</v>
      </c>
      <c r="AF118" s="1033">
        <v>0.25469999999999998</v>
      </c>
      <c r="AG118" s="1033">
        <v>0.25130000000000002</v>
      </c>
      <c r="AH118" s="1033">
        <v>0.24790000000000001</v>
      </c>
      <c r="AI118" s="1033">
        <v>0.2445</v>
      </c>
      <c r="AJ118" s="1033">
        <v>0.24110000000000001</v>
      </c>
      <c r="AK118" s="1033">
        <v>0.23769999999999999</v>
      </c>
      <c r="AL118" s="1033">
        <v>0.23430000000000001</v>
      </c>
      <c r="AM118" s="1033">
        <v>0.23089999999999999</v>
      </c>
      <c r="AN118" s="1033">
        <v>0.22750000000000001</v>
      </c>
      <c r="AO118" s="1033">
        <v>0.22409999999999999</v>
      </c>
      <c r="AP118" s="1033">
        <v>0.22070000000000001</v>
      </c>
      <c r="AQ118" s="1033">
        <v>0.21729999999999999</v>
      </c>
      <c r="AR118" s="1033">
        <v>0.21390000000000001</v>
      </c>
      <c r="AS118" s="1033">
        <v>0.21049999999999999</v>
      </c>
      <c r="AT118" s="1033">
        <v>0.20710000000000001</v>
      </c>
      <c r="AU118" s="1033">
        <v>0.20369999999999999</v>
      </c>
      <c r="AV118" s="1033">
        <v>0.20030000000000001</v>
      </c>
      <c r="AW118" s="1033">
        <v>0.19689999999999999</v>
      </c>
      <c r="AX118" s="1033">
        <v>0.19350000000000001</v>
      </c>
      <c r="AY118" s="1033">
        <v>0.19009999999999999</v>
      </c>
      <c r="AZ118" s="1033">
        <v>0.1867</v>
      </c>
      <c r="BA118" s="1033">
        <v>0.18329999999999999</v>
      </c>
      <c r="BB118" s="1033">
        <v>0.1799</v>
      </c>
      <c r="BC118" s="1033">
        <v>0.17649999999999999</v>
      </c>
      <c r="BD118" s="1033">
        <v>0.1731</v>
      </c>
      <c r="BE118" s="1033">
        <v>0.16969999999999999</v>
      </c>
      <c r="BF118" s="1033">
        <v>0.1663</v>
      </c>
      <c r="BH118" s="970">
        <f t="shared" si="42"/>
        <v>0.16969999999999999</v>
      </c>
      <c r="BI118" s="1034">
        <f t="shared" si="36"/>
        <v>123168</v>
      </c>
      <c r="BJ118" s="1034">
        <f t="shared" si="41"/>
        <v>80000</v>
      </c>
      <c r="BK118" s="998">
        <f t="shared" si="37"/>
        <v>16000</v>
      </c>
      <c r="BL118" s="998">
        <f t="shared" si="38"/>
        <v>16000</v>
      </c>
      <c r="BN118" s="1032">
        <v>46</v>
      </c>
      <c r="BQ118" s="998">
        <v>0</v>
      </c>
      <c r="BS118" s="1010">
        <v>0</v>
      </c>
      <c r="BT118" s="976">
        <f t="shared" si="48"/>
        <v>0.67249999999999899</v>
      </c>
      <c r="BU118" s="1">
        <f t="shared" si="39"/>
        <v>123168</v>
      </c>
      <c r="BV118" s="975">
        <f t="shared" si="49"/>
        <v>0.16969999999999999</v>
      </c>
      <c r="BW118" s="1">
        <f t="shared" si="50"/>
        <v>0</v>
      </c>
      <c r="BX118" s="973">
        <f t="shared" si="51"/>
        <v>123168</v>
      </c>
      <c r="BY118" s="973">
        <f t="shared" si="52"/>
        <v>123168</v>
      </c>
      <c r="BZ118" s="973">
        <f t="shared" si="53"/>
        <v>110900</v>
      </c>
      <c r="CC118" s="974">
        <f t="shared" si="54"/>
        <v>200000</v>
      </c>
      <c r="CE118" s="1">
        <f t="shared" si="57"/>
        <v>634800</v>
      </c>
      <c r="CF118" s="1">
        <f t="shared" si="40"/>
        <v>0</v>
      </c>
      <c r="CG118" s="973">
        <f t="shared" si="58"/>
        <v>834800</v>
      </c>
      <c r="CH118" s="972">
        <f t="shared" si="55"/>
        <v>834800</v>
      </c>
      <c r="CI118" s="972">
        <f t="shared" si="56"/>
        <v>47</v>
      </c>
      <c r="CJ118" s="972">
        <f t="shared" si="43"/>
        <v>0</v>
      </c>
      <c r="CK118" s="972">
        <f t="shared" si="44"/>
        <v>0</v>
      </c>
      <c r="CL118" s="972">
        <f t="shared" si="45"/>
        <v>0</v>
      </c>
      <c r="CN118" s="954">
        <f t="shared" si="46"/>
        <v>834800</v>
      </c>
      <c r="CO118" s="1">
        <f t="shared" si="47"/>
        <v>834800</v>
      </c>
    </row>
    <row r="119" spans="2:93" s="998" customFormat="1" hidden="1">
      <c r="B119" s="1032">
        <v>47</v>
      </c>
      <c r="C119" s="1032"/>
      <c r="D119" s="1032"/>
      <c r="E119" s="1033">
        <v>0.35</v>
      </c>
      <c r="F119" s="1033">
        <v>0.34660000000000002</v>
      </c>
      <c r="G119" s="1033">
        <v>0.34320000000000001</v>
      </c>
      <c r="H119" s="1033">
        <v>0.33979999999999999</v>
      </c>
      <c r="I119" s="1033">
        <v>0.33639999999999998</v>
      </c>
      <c r="J119" s="1033">
        <v>0.33300000000000002</v>
      </c>
      <c r="K119" s="1033">
        <v>0.3296</v>
      </c>
      <c r="L119" s="1033">
        <v>0.32619999999999999</v>
      </c>
      <c r="M119" s="1033">
        <v>0.32279999999999998</v>
      </c>
      <c r="N119" s="1033">
        <v>0.31940000000000002</v>
      </c>
      <c r="O119" s="1033">
        <v>0.316</v>
      </c>
      <c r="P119" s="1033">
        <v>0.31259999999999999</v>
      </c>
      <c r="Q119" s="1033">
        <v>0.30919999999999997</v>
      </c>
      <c r="R119" s="1033">
        <v>0.30580000000000002</v>
      </c>
      <c r="S119" s="1033">
        <v>0.3024</v>
      </c>
      <c r="T119" s="1033">
        <v>0.29899999999999999</v>
      </c>
      <c r="U119" s="1033">
        <v>0.29559999999999997</v>
      </c>
      <c r="V119" s="1033">
        <v>0.29220000000000002</v>
      </c>
      <c r="W119" s="1033">
        <v>0.2888</v>
      </c>
      <c r="X119" s="1033">
        <v>0.28539999999999999</v>
      </c>
      <c r="Y119" s="1033">
        <v>0.28199999999999997</v>
      </c>
      <c r="Z119" s="1033">
        <v>0.27860000000000001</v>
      </c>
      <c r="AA119" s="1033">
        <v>0.2752</v>
      </c>
      <c r="AB119" s="1033">
        <v>0.27179999999999999</v>
      </c>
      <c r="AC119" s="1033">
        <v>0.26840000000000003</v>
      </c>
      <c r="AD119" s="1033">
        <v>0.26490000000000002</v>
      </c>
      <c r="AE119" s="1033">
        <v>0.26150000000000001</v>
      </c>
      <c r="AF119" s="1033">
        <v>0.25609999999999999</v>
      </c>
      <c r="AG119" s="1033">
        <v>0.25469999999999998</v>
      </c>
      <c r="AH119" s="1033">
        <v>0.25130000000000002</v>
      </c>
      <c r="AI119" s="1033">
        <v>0.24790000000000001</v>
      </c>
      <c r="AJ119" s="1033">
        <v>0.2445</v>
      </c>
      <c r="AK119" s="1033">
        <v>0.24110000000000001</v>
      </c>
      <c r="AL119" s="1033">
        <v>0.23769999999999999</v>
      </c>
      <c r="AM119" s="1033">
        <v>0.23430000000000001</v>
      </c>
      <c r="AN119" s="1033">
        <v>0.23089999999999999</v>
      </c>
      <c r="AO119" s="1033">
        <v>0.22750000000000001</v>
      </c>
      <c r="AP119" s="1033">
        <v>0.22409999999999999</v>
      </c>
      <c r="AQ119" s="1033">
        <v>0.22070000000000001</v>
      </c>
      <c r="AR119" s="1033">
        <v>0.21729999999999999</v>
      </c>
      <c r="AS119" s="1033">
        <v>0.21390000000000001</v>
      </c>
      <c r="AT119" s="1033">
        <v>0.21049999999999999</v>
      </c>
      <c r="AU119" s="1033">
        <v>0.20710000000000001</v>
      </c>
      <c r="AV119" s="1033">
        <v>0.20369999999999999</v>
      </c>
      <c r="AW119" s="1033">
        <v>0.20030000000000001</v>
      </c>
      <c r="AX119" s="1033">
        <v>0.19689999999999999</v>
      </c>
      <c r="AY119" s="1033">
        <v>0.19350000000000001</v>
      </c>
      <c r="AZ119" s="1033">
        <v>0.19009999999999999</v>
      </c>
      <c r="BA119" s="1033">
        <v>0.1867</v>
      </c>
      <c r="BB119" s="1033">
        <v>0.18329999999999999</v>
      </c>
      <c r="BC119" s="1033">
        <v>0.1799</v>
      </c>
      <c r="BD119" s="1033">
        <v>0.17649999999999999</v>
      </c>
      <c r="BE119" s="1033">
        <v>0.1731</v>
      </c>
      <c r="BF119" s="1033">
        <v>0.16969999999999999</v>
      </c>
      <c r="BH119" s="970">
        <f t="shared" si="42"/>
        <v>0.1731</v>
      </c>
      <c r="BI119" s="1034">
        <f t="shared" si="36"/>
        <v>123681</v>
      </c>
      <c r="BJ119" s="1034">
        <f t="shared" si="41"/>
        <v>80000</v>
      </c>
      <c r="BK119" s="998">
        <f t="shared" si="37"/>
        <v>16000</v>
      </c>
      <c r="BL119" s="998">
        <f t="shared" si="38"/>
        <v>16000</v>
      </c>
      <c r="BN119" s="1032">
        <v>47</v>
      </c>
      <c r="BQ119" s="998">
        <v>0</v>
      </c>
      <c r="BS119" s="1010">
        <v>0</v>
      </c>
      <c r="BT119" s="976">
        <f t="shared" si="48"/>
        <v>0.67529999999999923</v>
      </c>
      <c r="BU119" s="1">
        <f t="shared" si="39"/>
        <v>123681</v>
      </c>
      <c r="BV119" s="975">
        <f t="shared" si="49"/>
        <v>0.1731</v>
      </c>
      <c r="BW119" s="1">
        <f t="shared" si="50"/>
        <v>0</v>
      </c>
      <c r="BX119" s="973">
        <f t="shared" si="51"/>
        <v>123681</v>
      </c>
      <c r="BY119" s="973">
        <f t="shared" si="52"/>
        <v>123681</v>
      </c>
      <c r="BZ119" s="973">
        <f t="shared" si="53"/>
        <v>111300</v>
      </c>
      <c r="CC119" s="974">
        <f t="shared" si="54"/>
        <v>200000</v>
      </c>
      <c r="CE119" s="1">
        <f t="shared" si="57"/>
        <v>648600</v>
      </c>
      <c r="CF119" s="1">
        <f t="shared" si="40"/>
        <v>0</v>
      </c>
      <c r="CG119" s="973">
        <f t="shared" si="58"/>
        <v>848600</v>
      </c>
      <c r="CH119" s="972">
        <f t="shared" si="55"/>
        <v>848600</v>
      </c>
      <c r="CI119" s="972">
        <f t="shared" si="56"/>
        <v>48</v>
      </c>
      <c r="CJ119" s="972">
        <f t="shared" si="43"/>
        <v>0</v>
      </c>
      <c r="CK119" s="972">
        <f t="shared" si="44"/>
        <v>0</v>
      </c>
      <c r="CL119" s="972">
        <f t="shared" si="45"/>
        <v>0</v>
      </c>
      <c r="CN119" s="954">
        <f t="shared" si="46"/>
        <v>848600</v>
      </c>
      <c r="CO119" s="1">
        <f t="shared" si="47"/>
        <v>848600</v>
      </c>
    </row>
    <row r="120" spans="2:93" s="998" customFormat="1" hidden="1">
      <c r="B120" s="1032">
        <v>48</v>
      </c>
      <c r="C120" s="1032"/>
      <c r="D120" s="1032"/>
      <c r="E120" s="1032"/>
      <c r="F120" s="1033">
        <v>0.35</v>
      </c>
      <c r="G120" s="1033">
        <v>0.34660000000000002</v>
      </c>
      <c r="H120" s="1033">
        <v>0.34320000000000001</v>
      </c>
      <c r="I120" s="1033">
        <v>0.33979999999999999</v>
      </c>
      <c r="J120" s="1033">
        <v>0.33639999999999998</v>
      </c>
      <c r="K120" s="1033">
        <v>0.33300000000000002</v>
      </c>
      <c r="L120" s="1033">
        <v>0.3296</v>
      </c>
      <c r="M120" s="1033">
        <v>0.32619999999999999</v>
      </c>
      <c r="N120" s="1033">
        <v>0.32279999999999998</v>
      </c>
      <c r="O120" s="1033">
        <v>0.31940000000000002</v>
      </c>
      <c r="P120" s="1033">
        <v>0.316</v>
      </c>
      <c r="Q120" s="1033">
        <v>0.31259999999999999</v>
      </c>
      <c r="R120" s="1033">
        <v>0.30919999999999997</v>
      </c>
      <c r="S120" s="1033">
        <v>0.30580000000000002</v>
      </c>
      <c r="T120" s="1033">
        <v>0.3024</v>
      </c>
      <c r="U120" s="1033">
        <v>0.29899999999999999</v>
      </c>
      <c r="V120" s="1033">
        <v>0.29559999999999997</v>
      </c>
      <c r="W120" s="1033">
        <v>0.29220000000000002</v>
      </c>
      <c r="X120" s="1033">
        <v>0.2888</v>
      </c>
      <c r="Y120" s="1033">
        <v>0.28539999999999999</v>
      </c>
      <c r="Z120" s="1033">
        <v>0.28199999999999997</v>
      </c>
      <c r="AA120" s="1033">
        <v>0.27860000000000001</v>
      </c>
      <c r="AB120" s="1033">
        <v>0.2752</v>
      </c>
      <c r="AC120" s="1033">
        <v>0.27179999999999999</v>
      </c>
      <c r="AD120" s="1033">
        <v>0.26840000000000003</v>
      </c>
      <c r="AE120" s="1033">
        <v>0.26490000000000002</v>
      </c>
      <c r="AF120" s="1033">
        <v>0.26150000000000001</v>
      </c>
      <c r="AG120" s="1033">
        <v>0.25609999999999999</v>
      </c>
      <c r="AH120" s="1033">
        <v>0.25469999999999998</v>
      </c>
      <c r="AI120" s="1033">
        <v>0.25130000000000002</v>
      </c>
      <c r="AJ120" s="1033">
        <v>0.24790000000000001</v>
      </c>
      <c r="AK120" s="1033">
        <v>0.2445</v>
      </c>
      <c r="AL120" s="1033">
        <v>0.24110000000000001</v>
      </c>
      <c r="AM120" s="1033">
        <v>0.23769999999999999</v>
      </c>
      <c r="AN120" s="1033">
        <v>0.23430000000000001</v>
      </c>
      <c r="AO120" s="1033">
        <v>0.23089999999999999</v>
      </c>
      <c r="AP120" s="1033">
        <v>0.22750000000000001</v>
      </c>
      <c r="AQ120" s="1033">
        <v>0.22409999999999999</v>
      </c>
      <c r="AR120" s="1033">
        <v>0.22070000000000001</v>
      </c>
      <c r="AS120" s="1033">
        <v>0.21729999999999999</v>
      </c>
      <c r="AT120" s="1033">
        <v>0.21390000000000001</v>
      </c>
      <c r="AU120" s="1033">
        <v>0.21049999999999999</v>
      </c>
      <c r="AV120" s="1033">
        <v>0.20710000000000001</v>
      </c>
      <c r="AW120" s="1033">
        <v>0.20369999999999999</v>
      </c>
      <c r="AX120" s="1033">
        <v>0.20030000000000001</v>
      </c>
      <c r="AY120" s="1033">
        <v>0.19689999999999999</v>
      </c>
      <c r="AZ120" s="1033">
        <v>0.19350000000000001</v>
      </c>
      <c r="BA120" s="1033">
        <v>0.19009999999999999</v>
      </c>
      <c r="BB120" s="1033">
        <v>0.1867</v>
      </c>
      <c r="BC120" s="1033">
        <v>0.18329999999999999</v>
      </c>
      <c r="BD120" s="1033">
        <v>0.1799</v>
      </c>
      <c r="BE120" s="1033">
        <v>0.17649999999999999</v>
      </c>
      <c r="BF120" s="1033">
        <v>0.1731</v>
      </c>
      <c r="BH120" s="970">
        <f t="shared" si="42"/>
        <v>0.17649999999999999</v>
      </c>
      <c r="BI120" s="1034">
        <f t="shared" si="36"/>
        <v>124798</v>
      </c>
      <c r="BJ120" s="1034">
        <f t="shared" si="41"/>
        <v>80000</v>
      </c>
      <c r="BK120" s="998">
        <f t="shared" si="37"/>
        <v>16000</v>
      </c>
      <c r="BL120" s="998">
        <f t="shared" si="38"/>
        <v>16000</v>
      </c>
      <c r="BN120" s="1032">
        <v>48</v>
      </c>
      <c r="BQ120" s="998">
        <v>0</v>
      </c>
      <c r="BS120" s="1010">
        <v>0</v>
      </c>
      <c r="BT120" s="976">
        <f t="shared" si="48"/>
        <v>0.68139999999999934</v>
      </c>
      <c r="BU120" s="1">
        <f t="shared" si="39"/>
        <v>124798</v>
      </c>
      <c r="BV120" s="975">
        <f t="shared" si="49"/>
        <v>0.17649999999999999</v>
      </c>
      <c r="BW120" s="1">
        <f t="shared" si="50"/>
        <v>0</v>
      </c>
      <c r="BX120" s="973">
        <f t="shared" si="51"/>
        <v>124798</v>
      </c>
      <c r="BY120" s="973">
        <f t="shared" si="52"/>
        <v>124798</v>
      </c>
      <c r="BZ120" s="973">
        <f t="shared" si="53"/>
        <v>112300</v>
      </c>
      <c r="CC120" s="974">
        <f t="shared" si="54"/>
        <v>200000</v>
      </c>
      <c r="CE120" s="1">
        <f t="shared" si="57"/>
        <v>662400</v>
      </c>
      <c r="CF120" s="1">
        <f t="shared" si="40"/>
        <v>0</v>
      </c>
      <c r="CG120" s="973">
        <f t="shared" si="58"/>
        <v>862400</v>
      </c>
      <c r="CH120" s="972">
        <f t="shared" si="55"/>
        <v>862400</v>
      </c>
      <c r="CI120" s="972">
        <f t="shared" si="56"/>
        <v>49</v>
      </c>
      <c r="CJ120" s="972">
        <f t="shared" si="43"/>
        <v>0</v>
      </c>
      <c r="CK120" s="972">
        <f t="shared" si="44"/>
        <v>0</v>
      </c>
      <c r="CL120" s="972">
        <f t="shared" si="45"/>
        <v>0</v>
      </c>
      <c r="CN120" s="954">
        <f t="shared" si="46"/>
        <v>862400</v>
      </c>
      <c r="CO120" s="1">
        <f t="shared" si="47"/>
        <v>862400</v>
      </c>
    </row>
    <row r="121" spans="2:93" s="998" customFormat="1" hidden="1">
      <c r="B121" s="1032">
        <v>49</v>
      </c>
      <c r="C121" s="1032"/>
      <c r="D121" s="1032"/>
      <c r="E121" s="1032"/>
      <c r="F121" s="1032"/>
      <c r="G121" s="1033">
        <v>0.35</v>
      </c>
      <c r="H121" s="1033">
        <v>0.34660000000000002</v>
      </c>
      <c r="I121" s="1033">
        <v>0.34320000000000001</v>
      </c>
      <c r="J121" s="1033">
        <v>0.33979999999999999</v>
      </c>
      <c r="K121" s="1033">
        <v>0.33639999999999998</v>
      </c>
      <c r="L121" s="1033">
        <v>0.33300000000000002</v>
      </c>
      <c r="M121" s="1033">
        <v>0.3296</v>
      </c>
      <c r="N121" s="1033">
        <v>0.32619999999999999</v>
      </c>
      <c r="O121" s="1033">
        <v>0.32279999999999998</v>
      </c>
      <c r="P121" s="1033">
        <v>0.31940000000000002</v>
      </c>
      <c r="Q121" s="1033">
        <v>0.316</v>
      </c>
      <c r="R121" s="1033">
        <v>0.31259999999999999</v>
      </c>
      <c r="S121" s="1033">
        <v>0.30919999999999997</v>
      </c>
      <c r="T121" s="1033">
        <v>0.30580000000000002</v>
      </c>
      <c r="U121" s="1033">
        <v>0.3024</v>
      </c>
      <c r="V121" s="1033">
        <v>0.29899999999999999</v>
      </c>
      <c r="W121" s="1033">
        <v>0.29559999999999997</v>
      </c>
      <c r="X121" s="1033">
        <v>0.29220000000000002</v>
      </c>
      <c r="Y121" s="1033">
        <v>0.2888</v>
      </c>
      <c r="Z121" s="1033">
        <v>0.28539999999999999</v>
      </c>
      <c r="AA121" s="1033">
        <v>0.28199999999999997</v>
      </c>
      <c r="AB121" s="1033">
        <v>0.27860000000000001</v>
      </c>
      <c r="AC121" s="1033">
        <v>0.2752</v>
      </c>
      <c r="AD121" s="1033">
        <v>0.27179999999999999</v>
      </c>
      <c r="AE121" s="1033">
        <v>0.26840000000000003</v>
      </c>
      <c r="AF121" s="1033">
        <v>0.26490000000000002</v>
      </c>
      <c r="AG121" s="1033">
        <v>0.26150000000000001</v>
      </c>
      <c r="AH121" s="1033">
        <v>0.25609999999999999</v>
      </c>
      <c r="AI121" s="1033">
        <v>0.25469999999999998</v>
      </c>
      <c r="AJ121" s="1033">
        <v>0.25130000000000002</v>
      </c>
      <c r="AK121" s="1033">
        <v>0.24790000000000001</v>
      </c>
      <c r="AL121" s="1033">
        <v>0.2445</v>
      </c>
      <c r="AM121" s="1033">
        <v>0.24110000000000001</v>
      </c>
      <c r="AN121" s="1033">
        <v>0.23769999999999999</v>
      </c>
      <c r="AO121" s="1033">
        <v>0.23430000000000001</v>
      </c>
      <c r="AP121" s="1033">
        <v>0.23089999999999999</v>
      </c>
      <c r="AQ121" s="1033">
        <v>0.22750000000000001</v>
      </c>
      <c r="AR121" s="1033">
        <v>0.22409999999999999</v>
      </c>
      <c r="AS121" s="1033">
        <v>0.22070000000000001</v>
      </c>
      <c r="AT121" s="1033">
        <v>0.21729999999999999</v>
      </c>
      <c r="AU121" s="1033">
        <v>0.21390000000000001</v>
      </c>
      <c r="AV121" s="1033">
        <v>0.21049999999999999</v>
      </c>
      <c r="AW121" s="1033">
        <v>0.20710000000000001</v>
      </c>
      <c r="AX121" s="1033">
        <v>0.20369999999999999</v>
      </c>
      <c r="AY121" s="1033">
        <v>0.20030000000000001</v>
      </c>
      <c r="AZ121" s="1033">
        <v>0.19689999999999999</v>
      </c>
      <c r="BA121" s="1033">
        <v>0.19350000000000001</v>
      </c>
      <c r="BB121" s="1033">
        <v>0.19009999999999999</v>
      </c>
      <c r="BC121" s="1033">
        <v>0.1867</v>
      </c>
      <c r="BD121" s="1033">
        <v>0.18329999999999999</v>
      </c>
      <c r="BE121" s="1033">
        <v>0.1799</v>
      </c>
      <c r="BF121" s="1033">
        <v>0.17649999999999999</v>
      </c>
      <c r="BH121" s="970">
        <f t="shared" si="42"/>
        <v>0.1799</v>
      </c>
      <c r="BI121" s="1034">
        <f t="shared" si="36"/>
        <v>125311</v>
      </c>
      <c r="BJ121" s="1034">
        <f t="shared" si="41"/>
        <v>80000</v>
      </c>
      <c r="BK121" s="998">
        <f t="shared" si="37"/>
        <v>16000</v>
      </c>
      <c r="BL121" s="998">
        <f t="shared" si="38"/>
        <v>16000</v>
      </c>
      <c r="BN121" s="1032">
        <v>49</v>
      </c>
      <c r="BQ121" s="998">
        <v>0</v>
      </c>
      <c r="BS121" s="1010">
        <v>0</v>
      </c>
      <c r="BT121" s="976">
        <f t="shared" si="48"/>
        <v>0.68419999999999959</v>
      </c>
      <c r="BU121" s="1">
        <f t="shared" si="39"/>
        <v>125311</v>
      </c>
      <c r="BV121" s="975">
        <f t="shared" si="49"/>
        <v>0.1799</v>
      </c>
      <c r="BW121" s="1">
        <f t="shared" si="50"/>
        <v>0</v>
      </c>
      <c r="BX121" s="973">
        <f t="shared" si="51"/>
        <v>125311</v>
      </c>
      <c r="BY121" s="973">
        <f t="shared" si="52"/>
        <v>125311</v>
      </c>
      <c r="BZ121" s="973">
        <f t="shared" si="53"/>
        <v>112800</v>
      </c>
      <c r="CC121" s="974">
        <f t="shared" si="54"/>
        <v>200000</v>
      </c>
      <c r="CE121" s="1">
        <f t="shared" si="57"/>
        <v>676200</v>
      </c>
      <c r="CF121" s="1">
        <f t="shared" si="40"/>
        <v>0</v>
      </c>
      <c r="CG121" s="973">
        <f t="shared" si="58"/>
        <v>876200</v>
      </c>
      <c r="CH121" s="972">
        <f t="shared" si="55"/>
        <v>876200</v>
      </c>
      <c r="CI121" s="972">
        <f t="shared" si="56"/>
        <v>50</v>
      </c>
      <c r="CJ121" s="972">
        <f t="shared" si="43"/>
        <v>0</v>
      </c>
      <c r="CK121" s="972">
        <f t="shared" si="44"/>
        <v>0</v>
      </c>
      <c r="CL121" s="972">
        <f t="shared" si="45"/>
        <v>0</v>
      </c>
      <c r="CN121" s="954">
        <f t="shared" si="46"/>
        <v>876200</v>
      </c>
      <c r="CO121" s="1">
        <f t="shared" si="47"/>
        <v>876200</v>
      </c>
    </row>
    <row r="122" spans="2:93" s="998" customFormat="1" hidden="1">
      <c r="B122" s="1032">
        <v>50</v>
      </c>
      <c r="C122" s="1032"/>
      <c r="D122" s="1032"/>
      <c r="E122" s="1032"/>
      <c r="F122" s="1032"/>
      <c r="G122" s="1032"/>
      <c r="H122" s="1033">
        <v>0.35</v>
      </c>
      <c r="I122" s="1033">
        <v>0.34660000000000002</v>
      </c>
      <c r="J122" s="1033">
        <v>0.34320000000000001</v>
      </c>
      <c r="K122" s="1033">
        <v>0.33979999999999999</v>
      </c>
      <c r="L122" s="1033">
        <v>0.33639999999999998</v>
      </c>
      <c r="M122" s="1033">
        <v>0.33300000000000002</v>
      </c>
      <c r="N122" s="1033">
        <v>0.3296</v>
      </c>
      <c r="O122" s="1033">
        <v>0.32619999999999999</v>
      </c>
      <c r="P122" s="1033">
        <v>0.32279999999999998</v>
      </c>
      <c r="Q122" s="1033">
        <v>0.31940000000000002</v>
      </c>
      <c r="R122" s="1033">
        <v>0.316</v>
      </c>
      <c r="S122" s="1033">
        <v>0.31259999999999999</v>
      </c>
      <c r="T122" s="1033">
        <v>0.30919999999999997</v>
      </c>
      <c r="U122" s="1033">
        <v>0.30580000000000002</v>
      </c>
      <c r="V122" s="1033">
        <v>0.3024</v>
      </c>
      <c r="W122" s="1033">
        <v>0.29899999999999999</v>
      </c>
      <c r="X122" s="1033">
        <v>0.29559999999999997</v>
      </c>
      <c r="Y122" s="1033">
        <v>0.29220000000000002</v>
      </c>
      <c r="Z122" s="1033">
        <v>0.2888</v>
      </c>
      <c r="AA122" s="1033">
        <v>0.28539999999999999</v>
      </c>
      <c r="AB122" s="1033">
        <v>0.28199999999999997</v>
      </c>
      <c r="AC122" s="1033">
        <v>0.27860000000000001</v>
      </c>
      <c r="AD122" s="1033">
        <v>0.2752</v>
      </c>
      <c r="AE122" s="1033">
        <v>0.27179999999999999</v>
      </c>
      <c r="AF122" s="1033">
        <v>0.26840000000000003</v>
      </c>
      <c r="AG122" s="1033">
        <v>0.26490000000000002</v>
      </c>
      <c r="AH122" s="1033">
        <v>0.26150000000000001</v>
      </c>
      <c r="AI122" s="1033">
        <v>0.25609999999999999</v>
      </c>
      <c r="AJ122" s="1033">
        <v>0.25469999999999998</v>
      </c>
      <c r="AK122" s="1033">
        <v>0.25130000000000002</v>
      </c>
      <c r="AL122" s="1033">
        <v>0.24790000000000001</v>
      </c>
      <c r="AM122" s="1033">
        <v>0.2445</v>
      </c>
      <c r="AN122" s="1033">
        <v>0.24110000000000001</v>
      </c>
      <c r="AO122" s="1033">
        <v>0.23769999999999999</v>
      </c>
      <c r="AP122" s="1033">
        <v>0.23430000000000001</v>
      </c>
      <c r="AQ122" s="1033">
        <v>0.23089999999999999</v>
      </c>
      <c r="AR122" s="1033">
        <v>0.22750000000000001</v>
      </c>
      <c r="AS122" s="1033">
        <v>0.22409999999999999</v>
      </c>
      <c r="AT122" s="1033">
        <v>0.22070000000000001</v>
      </c>
      <c r="AU122" s="1033">
        <v>0.21729999999999999</v>
      </c>
      <c r="AV122" s="1033">
        <v>0.21390000000000001</v>
      </c>
      <c r="AW122" s="1033">
        <v>0.21049999999999999</v>
      </c>
      <c r="AX122" s="1033">
        <v>0.20710000000000001</v>
      </c>
      <c r="AY122" s="1033">
        <v>0.20369999999999999</v>
      </c>
      <c r="AZ122" s="1033">
        <v>0.20030000000000001</v>
      </c>
      <c r="BA122" s="1033">
        <v>0.19689999999999999</v>
      </c>
      <c r="BB122" s="1033">
        <v>0.19350000000000001</v>
      </c>
      <c r="BC122" s="1033">
        <v>0.19009999999999999</v>
      </c>
      <c r="BD122" s="1033">
        <v>0.1867</v>
      </c>
      <c r="BE122" s="1033">
        <v>0.18329999999999999</v>
      </c>
      <c r="BF122" s="1033">
        <v>0.1799</v>
      </c>
      <c r="BH122" s="970">
        <f t="shared" si="42"/>
        <v>0.18329999999999999</v>
      </c>
      <c r="BI122" s="1034">
        <f t="shared" si="36"/>
        <v>126428</v>
      </c>
      <c r="BJ122" s="1034">
        <f t="shared" si="41"/>
        <v>80000</v>
      </c>
      <c r="BK122" s="998">
        <f t="shared" si="37"/>
        <v>16000</v>
      </c>
      <c r="BL122" s="998">
        <f t="shared" si="38"/>
        <v>16000</v>
      </c>
      <c r="BN122" s="1032">
        <v>50</v>
      </c>
      <c r="BQ122" s="998">
        <v>0</v>
      </c>
      <c r="BS122" s="1010">
        <v>0</v>
      </c>
      <c r="BT122" s="976">
        <f t="shared" si="48"/>
        <v>0.69029999999999969</v>
      </c>
      <c r="BU122" s="1">
        <f t="shared" si="39"/>
        <v>126428</v>
      </c>
      <c r="BV122" s="975">
        <f t="shared" si="49"/>
        <v>0.18329999999999999</v>
      </c>
      <c r="BW122" s="1">
        <f t="shared" si="50"/>
        <v>0</v>
      </c>
      <c r="BX122" s="973">
        <f t="shared" si="51"/>
        <v>126428</v>
      </c>
      <c r="BY122" s="973">
        <f t="shared" si="52"/>
        <v>126428</v>
      </c>
      <c r="BZ122" s="973">
        <f t="shared" si="53"/>
        <v>113800</v>
      </c>
      <c r="CC122" s="974">
        <f t="shared" si="54"/>
        <v>200000</v>
      </c>
      <c r="CE122" s="1">
        <f t="shared" si="57"/>
        <v>690000</v>
      </c>
      <c r="CF122" s="1">
        <f t="shared" si="40"/>
        <v>0</v>
      </c>
      <c r="CG122" s="973">
        <f t="shared" si="58"/>
        <v>890000</v>
      </c>
      <c r="CH122" s="972">
        <f t="shared" si="55"/>
        <v>890000</v>
      </c>
      <c r="CI122" s="972">
        <f t="shared" si="56"/>
        <v>51</v>
      </c>
      <c r="CJ122" s="972">
        <f t="shared" si="43"/>
        <v>0</v>
      </c>
      <c r="CK122" s="972">
        <f t="shared" si="44"/>
        <v>0</v>
      </c>
      <c r="CL122" s="972">
        <f t="shared" si="45"/>
        <v>0</v>
      </c>
      <c r="CN122" s="954">
        <f t="shared" si="46"/>
        <v>890000</v>
      </c>
      <c r="CO122" s="1">
        <f t="shared" si="47"/>
        <v>890000</v>
      </c>
    </row>
    <row r="123" spans="2:93" s="998" customFormat="1" hidden="1">
      <c r="B123" s="1032">
        <v>51</v>
      </c>
      <c r="C123" s="1032"/>
      <c r="D123" s="1032"/>
      <c r="E123" s="1032"/>
      <c r="F123" s="1032"/>
      <c r="G123" s="1032"/>
      <c r="H123" s="1032"/>
      <c r="I123" s="1033">
        <v>0.35</v>
      </c>
      <c r="J123" s="1033">
        <v>0.34660000000000002</v>
      </c>
      <c r="K123" s="1033">
        <v>0.34320000000000001</v>
      </c>
      <c r="L123" s="1033">
        <v>0.33979999999999999</v>
      </c>
      <c r="M123" s="1033">
        <v>0.33639999999999998</v>
      </c>
      <c r="N123" s="1033">
        <v>0.33300000000000002</v>
      </c>
      <c r="O123" s="1033">
        <v>0.3296</v>
      </c>
      <c r="P123" s="1033">
        <v>0.32619999999999999</v>
      </c>
      <c r="Q123" s="1033">
        <v>0.32279999999999998</v>
      </c>
      <c r="R123" s="1033">
        <v>0.31940000000000002</v>
      </c>
      <c r="S123" s="1033">
        <v>0.316</v>
      </c>
      <c r="T123" s="1033">
        <v>0.31259999999999999</v>
      </c>
      <c r="U123" s="1033">
        <v>0.30919999999999997</v>
      </c>
      <c r="V123" s="1033">
        <v>0.30580000000000002</v>
      </c>
      <c r="W123" s="1033">
        <v>0.3024</v>
      </c>
      <c r="X123" s="1033">
        <v>0.29899999999999999</v>
      </c>
      <c r="Y123" s="1033">
        <v>0.29559999999999997</v>
      </c>
      <c r="Z123" s="1033">
        <v>0.29220000000000002</v>
      </c>
      <c r="AA123" s="1033">
        <v>0.2888</v>
      </c>
      <c r="AB123" s="1033">
        <v>0.28539999999999999</v>
      </c>
      <c r="AC123" s="1033">
        <v>0.28199999999999997</v>
      </c>
      <c r="AD123" s="1033">
        <v>0.27860000000000001</v>
      </c>
      <c r="AE123" s="1033">
        <v>0.2752</v>
      </c>
      <c r="AF123" s="1033">
        <v>0.27179999999999999</v>
      </c>
      <c r="AG123" s="1033">
        <v>0.26840000000000003</v>
      </c>
      <c r="AH123" s="1033">
        <v>0.26490000000000002</v>
      </c>
      <c r="AI123" s="1033">
        <v>0.26150000000000001</v>
      </c>
      <c r="AJ123" s="1033">
        <v>0.25609999999999999</v>
      </c>
      <c r="AK123" s="1033">
        <v>0.25469999999999998</v>
      </c>
      <c r="AL123" s="1033">
        <v>0.25130000000000002</v>
      </c>
      <c r="AM123" s="1033">
        <v>0.24790000000000001</v>
      </c>
      <c r="AN123" s="1033">
        <v>0.2445</v>
      </c>
      <c r="AO123" s="1033">
        <v>0.24110000000000001</v>
      </c>
      <c r="AP123" s="1033">
        <v>0.23769999999999999</v>
      </c>
      <c r="AQ123" s="1033">
        <v>0.23430000000000001</v>
      </c>
      <c r="AR123" s="1033">
        <v>0.23089999999999999</v>
      </c>
      <c r="AS123" s="1033">
        <v>0.22750000000000001</v>
      </c>
      <c r="AT123" s="1033">
        <v>0.22409999999999999</v>
      </c>
      <c r="AU123" s="1033">
        <v>0.22070000000000001</v>
      </c>
      <c r="AV123" s="1033">
        <v>0.21729999999999999</v>
      </c>
      <c r="AW123" s="1033">
        <v>0.21390000000000001</v>
      </c>
      <c r="AX123" s="1033">
        <v>0.21049999999999999</v>
      </c>
      <c r="AY123" s="1033">
        <v>0.20710000000000001</v>
      </c>
      <c r="AZ123" s="1033">
        <v>0.20369999999999999</v>
      </c>
      <c r="BA123" s="1033">
        <v>0.20030000000000001</v>
      </c>
      <c r="BB123" s="1033">
        <v>0.19689999999999999</v>
      </c>
      <c r="BC123" s="1033">
        <v>0.19350000000000001</v>
      </c>
      <c r="BD123" s="1033">
        <v>0.19009999999999999</v>
      </c>
      <c r="BE123" s="1033">
        <v>0.1867</v>
      </c>
      <c r="BF123" s="1033">
        <v>0.18329999999999999</v>
      </c>
      <c r="BH123" s="970">
        <f t="shared" si="42"/>
        <v>0.1867</v>
      </c>
      <c r="BI123" s="1034">
        <f t="shared" si="36"/>
        <v>127253</v>
      </c>
      <c r="BJ123" s="1034">
        <f t="shared" si="41"/>
        <v>80000</v>
      </c>
      <c r="BK123" s="998">
        <f t="shared" si="37"/>
        <v>16000</v>
      </c>
      <c r="BL123" s="998">
        <f t="shared" si="38"/>
        <v>16000</v>
      </c>
      <c r="BN123" s="1032">
        <v>51</v>
      </c>
      <c r="BQ123" s="998">
        <v>0</v>
      </c>
      <c r="BS123" s="1010">
        <v>0</v>
      </c>
      <c r="BT123" s="976">
        <f t="shared" si="48"/>
        <v>0.69479999999999986</v>
      </c>
      <c r="BU123" s="1">
        <f t="shared" si="39"/>
        <v>127253</v>
      </c>
      <c r="BV123" s="975">
        <f t="shared" si="49"/>
        <v>0.1867</v>
      </c>
      <c r="BW123" s="1">
        <f t="shared" si="50"/>
        <v>0</v>
      </c>
      <c r="BX123" s="973">
        <f t="shared" si="51"/>
        <v>127253</v>
      </c>
      <c r="BY123" s="973">
        <f t="shared" si="52"/>
        <v>127253</v>
      </c>
      <c r="BZ123" s="973">
        <f t="shared" si="53"/>
        <v>114500</v>
      </c>
      <c r="CC123" s="974">
        <f t="shared" si="54"/>
        <v>200000</v>
      </c>
      <c r="CE123" s="1">
        <f t="shared" si="57"/>
        <v>703800</v>
      </c>
      <c r="CF123" s="1">
        <f t="shared" si="40"/>
        <v>0</v>
      </c>
      <c r="CG123" s="973">
        <f t="shared" si="58"/>
        <v>903800</v>
      </c>
      <c r="CH123" s="972">
        <f t="shared" si="55"/>
        <v>903800</v>
      </c>
      <c r="CI123" s="972">
        <f t="shared" si="56"/>
        <v>52</v>
      </c>
      <c r="CJ123" s="972">
        <f t="shared" si="43"/>
        <v>0</v>
      </c>
      <c r="CK123" s="972">
        <f t="shared" si="44"/>
        <v>0</v>
      </c>
      <c r="CL123" s="972">
        <f t="shared" si="45"/>
        <v>0</v>
      </c>
      <c r="CN123" s="954">
        <f t="shared" si="46"/>
        <v>903800</v>
      </c>
      <c r="CO123" s="1">
        <f t="shared" si="47"/>
        <v>903800</v>
      </c>
    </row>
    <row r="124" spans="2:93" s="998" customFormat="1" hidden="1">
      <c r="B124" s="1032">
        <v>52</v>
      </c>
      <c r="C124" s="1032"/>
      <c r="D124" s="1032"/>
      <c r="E124" s="1032"/>
      <c r="F124" s="1032"/>
      <c r="G124" s="1032"/>
      <c r="H124" s="1032"/>
      <c r="I124" s="1032"/>
      <c r="J124" s="1033">
        <v>0.35</v>
      </c>
      <c r="K124" s="1033">
        <v>0.34660000000000002</v>
      </c>
      <c r="L124" s="1033">
        <v>0.34320000000000001</v>
      </c>
      <c r="M124" s="1033">
        <v>0.33979999999999999</v>
      </c>
      <c r="N124" s="1033">
        <v>0.33639999999999998</v>
      </c>
      <c r="O124" s="1033">
        <v>0.33300000000000002</v>
      </c>
      <c r="P124" s="1033">
        <v>0.3296</v>
      </c>
      <c r="Q124" s="1033">
        <v>0.32619999999999999</v>
      </c>
      <c r="R124" s="1033">
        <v>0.32279999999999998</v>
      </c>
      <c r="S124" s="1033">
        <v>0.31940000000000002</v>
      </c>
      <c r="T124" s="1033">
        <v>0.316</v>
      </c>
      <c r="U124" s="1033">
        <v>0.31259999999999999</v>
      </c>
      <c r="V124" s="1033">
        <v>0.30919999999999997</v>
      </c>
      <c r="W124" s="1033">
        <v>0.30580000000000002</v>
      </c>
      <c r="X124" s="1033">
        <v>0.3024</v>
      </c>
      <c r="Y124" s="1033">
        <v>0.29899999999999999</v>
      </c>
      <c r="Z124" s="1033">
        <v>0.29559999999999997</v>
      </c>
      <c r="AA124" s="1033">
        <v>0.29220000000000002</v>
      </c>
      <c r="AB124" s="1033">
        <v>0.2888</v>
      </c>
      <c r="AC124" s="1033">
        <v>0.28539999999999999</v>
      </c>
      <c r="AD124" s="1033">
        <v>0.28199999999999997</v>
      </c>
      <c r="AE124" s="1033">
        <v>0.27860000000000001</v>
      </c>
      <c r="AF124" s="1033">
        <v>0.2752</v>
      </c>
      <c r="AG124" s="1033">
        <v>0.27179999999999999</v>
      </c>
      <c r="AH124" s="1033">
        <v>0.26840000000000003</v>
      </c>
      <c r="AI124" s="1033">
        <v>0.26490000000000002</v>
      </c>
      <c r="AJ124" s="1033">
        <v>0.26150000000000001</v>
      </c>
      <c r="AK124" s="1033">
        <v>0.25609999999999999</v>
      </c>
      <c r="AL124" s="1033">
        <v>0.25469999999999998</v>
      </c>
      <c r="AM124" s="1033">
        <v>0.25130000000000002</v>
      </c>
      <c r="AN124" s="1033">
        <v>0.24790000000000001</v>
      </c>
      <c r="AO124" s="1033">
        <v>0.2445</v>
      </c>
      <c r="AP124" s="1033">
        <v>0.24110000000000001</v>
      </c>
      <c r="AQ124" s="1033">
        <v>0.23769999999999999</v>
      </c>
      <c r="AR124" s="1033">
        <v>0.23430000000000001</v>
      </c>
      <c r="AS124" s="1033">
        <v>0.23089999999999999</v>
      </c>
      <c r="AT124" s="1033">
        <v>0.22750000000000001</v>
      </c>
      <c r="AU124" s="1033">
        <v>0.22409999999999999</v>
      </c>
      <c r="AV124" s="1033">
        <v>0.22070000000000001</v>
      </c>
      <c r="AW124" s="1033">
        <v>0.21729999999999999</v>
      </c>
      <c r="AX124" s="1033">
        <v>0.21390000000000001</v>
      </c>
      <c r="AY124" s="1033">
        <v>0.21049999999999999</v>
      </c>
      <c r="AZ124" s="1033">
        <v>0.20710000000000001</v>
      </c>
      <c r="BA124" s="1033">
        <v>0.20369999999999999</v>
      </c>
      <c r="BB124" s="1033">
        <v>0.20030000000000001</v>
      </c>
      <c r="BC124" s="1033">
        <v>0.19689999999999999</v>
      </c>
      <c r="BD124" s="1033">
        <v>0.19350000000000001</v>
      </c>
      <c r="BE124" s="1033">
        <v>0.19009999999999999</v>
      </c>
      <c r="BF124" s="1033">
        <v>0.1867</v>
      </c>
      <c r="BH124" s="970">
        <f t="shared" si="42"/>
        <v>0.19009999999999999</v>
      </c>
      <c r="BI124" s="1034">
        <f t="shared" si="36"/>
        <v>128058</v>
      </c>
      <c r="BJ124" s="1034">
        <f t="shared" si="41"/>
        <v>80000</v>
      </c>
      <c r="BK124" s="998">
        <f t="shared" si="37"/>
        <v>16000</v>
      </c>
      <c r="BL124" s="998">
        <f t="shared" si="38"/>
        <v>16000</v>
      </c>
      <c r="BN124" s="1032">
        <v>52</v>
      </c>
      <c r="BQ124" s="998">
        <v>0</v>
      </c>
      <c r="BS124" s="1010">
        <v>0</v>
      </c>
      <c r="BT124" s="976">
        <f t="shared" si="48"/>
        <v>0.69920000000000004</v>
      </c>
      <c r="BU124" s="1">
        <f t="shared" si="39"/>
        <v>128058</v>
      </c>
      <c r="BV124" s="975">
        <f t="shared" si="49"/>
        <v>0.19009999999999999</v>
      </c>
      <c r="BW124" s="1">
        <f t="shared" si="50"/>
        <v>0</v>
      </c>
      <c r="BX124" s="973">
        <f t="shared" si="51"/>
        <v>128058</v>
      </c>
      <c r="BY124" s="973">
        <f t="shared" si="52"/>
        <v>128058</v>
      </c>
      <c r="BZ124" s="973">
        <f t="shared" si="53"/>
        <v>115300</v>
      </c>
      <c r="CC124" s="974">
        <f t="shared" si="54"/>
        <v>200000</v>
      </c>
      <c r="CE124" s="1">
        <f t="shared" si="57"/>
        <v>717600</v>
      </c>
      <c r="CF124" s="1">
        <f t="shared" si="40"/>
        <v>0</v>
      </c>
      <c r="CG124" s="973">
        <f t="shared" si="58"/>
        <v>917600</v>
      </c>
      <c r="CH124" s="972">
        <f t="shared" si="55"/>
        <v>917600</v>
      </c>
      <c r="CI124" s="972">
        <f t="shared" si="56"/>
        <v>53</v>
      </c>
      <c r="CJ124" s="972">
        <f t="shared" si="43"/>
        <v>0</v>
      </c>
      <c r="CK124" s="972">
        <f t="shared" si="44"/>
        <v>0</v>
      </c>
      <c r="CL124" s="972">
        <f t="shared" si="45"/>
        <v>0</v>
      </c>
      <c r="CN124" s="954">
        <f t="shared" si="46"/>
        <v>917600</v>
      </c>
      <c r="CO124" s="1">
        <f t="shared" si="47"/>
        <v>917600</v>
      </c>
    </row>
    <row r="125" spans="2:93" s="998" customFormat="1" hidden="1">
      <c r="B125" s="1032">
        <v>53</v>
      </c>
      <c r="C125" s="1032"/>
      <c r="D125" s="1032"/>
      <c r="E125" s="1032"/>
      <c r="F125" s="1032"/>
      <c r="G125" s="1032"/>
      <c r="H125" s="1032"/>
      <c r="I125" s="1032"/>
      <c r="J125" s="1032"/>
      <c r="K125" s="1033">
        <v>0.35</v>
      </c>
      <c r="L125" s="1033">
        <v>0.34660000000000002</v>
      </c>
      <c r="M125" s="1033">
        <v>0.34320000000000001</v>
      </c>
      <c r="N125" s="1033">
        <v>0.33979999999999999</v>
      </c>
      <c r="O125" s="1033">
        <v>0.33639999999999998</v>
      </c>
      <c r="P125" s="1033">
        <v>0.33300000000000002</v>
      </c>
      <c r="Q125" s="1033">
        <v>0.3296</v>
      </c>
      <c r="R125" s="1033">
        <v>0.32619999999999999</v>
      </c>
      <c r="S125" s="1033">
        <v>0.32279999999999998</v>
      </c>
      <c r="T125" s="1033">
        <v>0.31940000000000002</v>
      </c>
      <c r="U125" s="1033">
        <v>0.316</v>
      </c>
      <c r="V125" s="1033">
        <v>0.31259999999999999</v>
      </c>
      <c r="W125" s="1033">
        <v>0.30919999999999997</v>
      </c>
      <c r="X125" s="1033">
        <v>0.30580000000000002</v>
      </c>
      <c r="Y125" s="1033">
        <v>0.3024</v>
      </c>
      <c r="Z125" s="1033">
        <v>0.29899999999999999</v>
      </c>
      <c r="AA125" s="1033">
        <v>0.29559999999999997</v>
      </c>
      <c r="AB125" s="1033">
        <v>0.29220000000000002</v>
      </c>
      <c r="AC125" s="1033">
        <v>0.2888</v>
      </c>
      <c r="AD125" s="1033">
        <v>0.28539999999999999</v>
      </c>
      <c r="AE125" s="1033">
        <v>0.28199999999999997</v>
      </c>
      <c r="AF125" s="1033">
        <v>0.27860000000000001</v>
      </c>
      <c r="AG125" s="1033">
        <v>0.2752</v>
      </c>
      <c r="AH125" s="1033">
        <v>0.27179999999999999</v>
      </c>
      <c r="AI125" s="1033">
        <v>0.26840000000000003</v>
      </c>
      <c r="AJ125" s="1033">
        <v>0.26490000000000002</v>
      </c>
      <c r="AK125" s="1033">
        <v>0.26150000000000001</v>
      </c>
      <c r="AL125" s="1033">
        <v>0.25609999999999999</v>
      </c>
      <c r="AM125" s="1033">
        <v>0.25469999999999998</v>
      </c>
      <c r="AN125" s="1033">
        <v>0.25130000000000002</v>
      </c>
      <c r="AO125" s="1033">
        <v>0.24790000000000001</v>
      </c>
      <c r="AP125" s="1033">
        <v>0.2445</v>
      </c>
      <c r="AQ125" s="1033">
        <v>0.24110000000000001</v>
      </c>
      <c r="AR125" s="1033">
        <v>0.23769999999999999</v>
      </c>
      <c r="AS125" s="1033">
        <v>0.23430000000000001</v>
      </c>
      <c r="AT125" s="1033">
        <v>0.23089999999999999</v>
      </c>
      <c r="AU125" s="1033">
        <v>0.22750000000000001</v>
      </c>
      <c r="AV125" s="1033">
        <v>0.22409999999999999</v>
      </c>
      <c r="AW125" s="1033">
        <v>0.22070000000000001</v>
      </c>
      <c r="AX125" s="1033">
        <v>0.21729999999999999</v>
      </c>
      <c r="AY125" s="1033">
        <v>0.21390000000000001</v>
      </c>
      <c r="AZ125" s="1033">
        <v>0.21049999999999999</v>
      </c>
      <c r="BA125" s="1033">
        <v>0.20710000000000001</v>
      </c>
      <c r="BB125" s="1033">
        <v>0.20369999999999999</v>
      </c>
      <c r="BC125" s="1033">
        <v>0.20030000000000001</v>
      </c>
      <c r="BD125" s="1033">
        <v>0.19689999999999999</v>
      </c>
      <c r="BE125" s="1033">
        <v>0.19350000000000001</v>
      </c>
      <c r="BF125" s="1033">
        <v>0.19009999999999999</v>
      </c>
      <c r="BH125" s="970">
        <f t="shared" si="42"/>
        <v>0.19350000000000001</v>
      </c>
      <c r="BI125" s="1034">
        <f t="shared" si="36"/>
        <v>128883</v>
      </c>
      <c r="BJ125" s="1034">
        <f t="shared" si="41"/>
        <v>80000</v>
      </c>
      <c r="BK125" s="998">
        <f t="shared" si="37"/>
        <v>16000</v>
      </c>
      <c r="BL125" s="998">
        <f t="shared" si="38"/>
        <v>16000</v>
      </c>
      <c r="BN125" s="1032">
        <v>53</v>
      </c>
      <c r="BQ125" s="998">
        <v>0</v>
      </c>
      <c r="BS125" s="1010">
        <v>0</v>
      </c>
      <c r="BT125" s="976">
        <f t="shared" si="48"/>
        <v>0.70370000000000021</v>
      </c>
      <c r="BU125" s="1">
        <f t="shared" si="39"/>
        <v>128883</v>
      </c>
      <c r="BV125" s="975">
        <f t="shared" si="49"/>
        <v>0.19350000000000001</v>
      </c>
      <c r="BW125" s="1">
        <f t="shared" si="50"/>
        <v>0</v>
      </c>
      <c r="BX125" s="973">
        <f t="shared" si="51"/>
        <v>128883</v>
      </c>
      <c r="BY125" s="973">
        <f t="shared" si="52"/>
        <v>128883</v>
      </c>
      <c r="BZ125" s="973">
        <f t="shared" si="53"/>
        <v>116000</v>
      </c>
      <c r="CC125" s="974">
        <f t="shared" si="54"/>
        <v>200000</v>
      </c>
      <c r="CE125" s="1">
        <f t="shared" si="57"/>
        <v>731400</v>
      </c>
      <c r="CF125" s="1">
        <f t="shared" si="40"/>
        <v>0</v>
      </c>
      <c r="CG125" s="973">
        <f t="shared" si="58"/>
        <v>931400</v>
      </c>
      <c r="CH125" s="972">
        <f t="shared" si="55"/>
        <v>931400</v>
      </c>
      <c r="CI125" s="972">
        <f t="shared" si="56"/>
        <v>54</v>
      </c>
      <c r="CJ125" s="972">
        <f t="shared" si="43"/>
        <v>0</v>
      </c>
      <c r="CK125" s="972">
        <f t="shared" si="44"/>
        <v>0</v>
      </c>
      <c r="CL125" s="972">
        <f t="shared" si="45"/>
        <v>0</v>
      </c>
      <c r="CN125" s="954">
        <f t="shared" si="46"/>
        <v>931400</v>
      </c>
      <c r="CO125" s="1">
        <f t="shared" si="47"/>
        <v>931400</v>
      </c>
    </row>
    <row r="126" spans="2:93" s="998" customFormat="1" hidden="1">
      <c r="B126" s="1032">
        <v>54</v>
      </c>
      <c r="C126" s="1032"/>
      <c r="D126" s="1032"/>
      <c r="E126" s="1032"/>
      <c r="F126" s="1032"/>
      <c r="G126" s="1032"/>
      <c r="H126" s="1032"/>
      <c r="I126" s="1032"/>
      <c r="J126" s="1032"/>
      <c r="K126" s="1032"/>
      <c r="L126" s="1033">
        <v>0.35</v>
      </c>
      <c r="M126" s="1033">
        <v>0.34660000000000002</v>
      </c>
      <c r="N126" s="1033">
        <v>0.34320000000000001</v>
      </c>
      <c r="O126" s="1033">
        <v>0.33979999999999999</v>
      </c>
      <c r="P126" s="1033">
        <v>0.33639999999999998</v>
      </c>
      <c r="Q126" s="1033">
        <v>0.33300000000000002</v>
      </c>
      <c r="R126" s="1033">
        <v>0.3296</v>
      </c>
      <c r="S126" s="1033">
        <v>0.32619999999999999</v>
      </c>
      <c r="T126" s="1033">
        <v>0.32279999999999998</v>
      </c>
      <c r="U126" s="1033">
        <v>0.31940000000000002</v>
      </c>
      <c r="V126" s="1033">
        <v>0.316</v>
      </c>
      <c r="W126" s="1033">
        <v>0.31259999999999999</v>
      </c>
      <c r="X126" s="1033">
        <v>0.30919999999999997</v>
      </c>
      <c r="Y126" s="1033">
        <v>0.30580000000000002</v>
      </c>
      <c r="Z126" s="1033">
        <v>0.3024</v>
      </c>
      <c r="AA126" s="1033">
        <v>0.29899999999999999</v>
      </c>
      <c r="AB126" s="1033">
        <v>0.29559999999999997</v>
      </c>
      <c r="AC126" s="1033">
        <v>0.29220000000000002</v>
      </c>
      <c r="AD126" s="1033">
        <v>0.2888</v>
      </c>
      <c r="AE126" s="1033">
        <v>0.28539999999999999</v>
      </c>
      <c r="AF126" s="1033">
        <v>0.28199999999999997</v>
      </c>
      <c r="AG126" s="1033">
        <v>0.27860000000000001</v>
      </c>
      <c r="AH126" s="1033">
        <v>0.2752</v>
      </c>
      <c r="AI126" s="1033">
        <v>0.27179999999999999</v>
      </c>
      <c r="AJ126" s="1033">
        <v>0.26840000000000003</v>
      </c>
      <c r="AK126" s="1033">
        <v>0.26490000000000002</v>
      </c>
      <c r="AL126" s="1033">
        <v>0.26150000000000001</v>
      </c>
      <c r="AM126" s="1033">
        <v>0.25609999999999999</v>
      </c>
      <c r="AN126" s="1033">
        <v>0.25469999999999998</v>
      </c>
      <c r="AO126" s="1033">
        <v>0.25130000000000002</v>
      </c>
      <c r="AP126" s="1033">
        <v>0.24790000000000001</v>
      </c>
      <c r="AQ126" s="1033">
        <v>0.2445</v>
      </c>
      <c r="AR126" s="1033">
        <v>0.24110000000000001</v>
      </c>
      <c r="AS126" s="1033">
        <v>0.23769999999999999</v>
      </c>
      <c r="AT126" s="1033">
        <v>0.23430000000000001</v>
      </c>
      <c r="AU126" s="1033">
        <v>0.23089999999999999</v>
      </c>
      <c r="AV126" s="1033">
        <v>0.22750000000000001</v>
      </c>
      <c r="AW126" s="1033">
        <v>0.22409999999999999</v>
      </c>
      <c r="AX126" s="1033">
        <v>0.22070000000000001</v>
      </c>
      <c r="AY126" s="1033">
        <v>0.21729999999999999</v>
      </c>
      <c r="AZ126" s="1033">
        <v>0.21390000000000001</v>
      </c>
      <c r="BA126" s="1033">
        <v>0.21049999999999999</v>
      </c>
      <c r="BB126" s="1033">
        <v>0.20710000000000001</v>
      </c>
      <c r="BC126" s="1033">
        <v>0.20369999999999999</v>
      </c>
      <c r="BD126" s="1033">
        <v>0.20030000000000001</v>
      </c>
      <c r="BE126" s="1033">
        <v>0.19689999999999999</v>
      </c>
      <c r="BF126" s="1033">
        <v>0.19350000000000001</v>
      </c>
      <c r="BH126" s="970">
        <f t="shared" si="42"/>
        <v>0.19689999999999999</v>
      </c>
      <c r="BI126" s="1034">
        <f t="shared" si="36"/>
        <v>129689</v>
      </c>
      <c r="BJ126" s="1034">
        <f t="shared" si="41"/>
        <v>80000</v>
      </c>
      <c r="BK126" s="998">
        <f t="shared" si="37"/>
        <v>16000</v>
      </c>
      <c r="BL126" s="998">
        <f t="shared" si="38"/>
        <v>16000</v>
      </c>
      <c r="BN126" s="1032">
        <v>54</v>
      </c>
      <c r="BQ126" s="998">
        <v>0</v>
      </c>
      <c r="BS126" s="1010">
        <v>0</v>
      </c>
      <c r="BT126" s="976">
        <f t="shared" si="48"/>
        <v>0.7081000000000004</v>
      </c>
      <c r="BU126" s="1">
        <f t="shared" si="39"/>
        <v>129689</v>
      </c>
      <c r="BV126" s="975">
        <f t="shared" si="49"/>
        <v>0.19689999999999999</v>
      </c>
      <c r="BW126" s="1">
        <f t="shared" si="50"/>
        <v>0</v>
      </c>
      <c r="BX126" s="973">
        <f t="shared" si="51"/>
        <v>129689</v>
      </c>
      <c r="BY126" s="973">
        <f t="shared" si="52"/>
        <v>129689</v>
      </c>
      <c r="BZ126" s="973">
        <f t="shared" si="53"/>
        <v>116700</v>
      </c>
      <c r="CC126" s="974">
        <f t="shared" si="54"/>
        <v>200000</v>
      </c>
      <c r="CE126" s="1">
        <f t="shared" si="57"/>
        <v>745200</v>
      </c>
      <c r="CF126" s="1">
        <f t="shared" si="40"/>
        <v>0</v>
      </c>
      <c r="CG126" s="973">
        <f t="shared" si="58"/>
        <v>945200</v>
      </c>
      <c r="CH126" s="972">
        <f t="shared" si="55"/>
        <v>945200</v>
      </c>
      <c r="CI126" s="972">
        <f t="shared" si="56"/>
        <v>55</v>
      </c>
      <c r="CJ126" s="972">
        <f t="shared" si="43"/>
        <v>0</v>
      </c>
      <c r="CK126" s="972">
        <f t="shared" si="44"/>
        <v>0</v>
      </c>
      <c r="CL126" s="972">
        <f t="shared" si="45"/>
        <v>0</v>
      </c>
      <c r="CN126" s="954">
        <f t="shared" si="46"/>
        <v>945200</v>
      </c>
      <c r="CO126" s="1">
        <f t="shared" si="47"/>
        <v>945200</v>
      </c>
    </row>
    <row r="127" spans="2:93" s="998" customFormat="1" hidden="1">
      <c r="B127" s="1032">
        <v>55</v>
      </c>
      <c r="C127" s="1032"/>
      <c r="D127" s="1032"/>
      <c r="E127" s="1032"/>
      <c r="F127" s="1032"/>
      <c r="G127" s="1032"/>
      <c r="H127" s="1032"/>
      <c r="I127" s="1032"/>
      <c r="J127" s="1032"/>
      <c r="K127" s="1032"/>
      <c r="L127" s="1032"/>
      <c r="M127" s="1033">
        <v>0.35</v>
      </c>
      <c r="N127" s="1033">
        <v>0.34660000000000002</v>
      </c>
      <c r="O127" s="1033">
        <v>0.34320000000000001</v>
      </c>
      <c r="P127" s="1033">
        <v>0.33979999999999999</v>
      </c>
      <c r="Q127" s="1033">
        <v>0.33639999999999998</v>
      </c>
      <c r="R127" s="1033">
        <v>0.33300000000000002</v>
      </c>
      <c r="S127" s="1033">
        <v>0.3296</v>
      </c>
      <c r="T127" s="1033">
        <v>0.32619999999999999</v>
      </c>
      <c r="U127" s="1033">
        <v>0.32279999999999998</v>
      </c>
      <c r="V127" s="1033">
        <v>0.31940000000000002</v>
      </c>
      <c r="W127" s="1033">
        <v>0.316</v>
      </c>
      <c r="X127" s="1033">
        <v>0.31259999999999999</v>
      </c>
      <c r="Y127" s="1033">
        <v>0.30919999999999997</v>
      </c>
      <c r="Z127" s="1033">
        <v>0.30580000000000002</v>
      </c>
      <c r="AA127" s="1033">
        <v>0.3024</v>
      </c>
      <c r="AB127" s="1033">
        <v>0.29899999999999999</v>
      </c>
      <c r="AC127" s="1033">
        <v>0.29559999999999997</v>
      </c>
      <c r="AD127" s="1033">
        <v>0.29220000000000002</v>
      </c>
      <c r="AE127" s="1033">
        <v>0.2888</v>
      </c>
      <c r="AF127" s="1033">
        <v>0.28539999999999999</v>
      </c>
      <c r="AG127" s="1033">
        <v>0.28199999999999997</v>
      </c>
      <c r="AH127" s="1033">
        <v>0.27860000000000001</v>
      </c>
      <c r="AI127" s="1033">
        <v>0.2752</v>
      </c>
      <c r="AJ127" s="1033">
        <v>0.27179999999999999</v>
      </c>
      <c r="AK127" s="1033">
        <v>0.26840000000000003</v>
      </c>
      <c r="AL127" s="1033">
        <v>0.26490000000000002</v>
      </c>
      <c r="AM127" s="1033">
        <v>0.26150000000000001</v>
      </c>
      <c r="AN127" s="1033">
        <v>0.25609999999999999</v>
      </c>
      <c r="AO127" s="1033">
        <v>0.25469999999999998</v>
      </c>
      <c r="AP127" s="1033">
        <v>0.25130000000000002</v>
      </c>
      <c r="AQ127" s="1033">
        <v>0.24790000000000001</v>
      </c>
      <c r="AR127" s="1033">
        <v>0.2445</v>
      </c>
      <c r="AS127" s="1033">
        <v>0.24110000000000001</v>
      </c>
      <c r="AT127" s="1033">
        <v>0.23769999999999999</v>
      </c>
      <c r="AU127" s="1033">
        <v>0.23430000000000001</v>
      </c>
      <c r="AV127" s="1033">
        <v>0.23089999999999999</v>
      </c>
      <c r="AW127" s="1033">
        <v>0.22750000000000001</v>
      </c>
      <c r="AX127" s="1033">
        <v>0.22409999999999999</v>
      </c>
      <c r="AY127" s="1033">
        <v>0.22070000000000001</v>
      </c>
      <c r="AZ127" s="1033">
        <v>0.21729999999999999</v>
      </c>
      <c r="BA127" s="1033">
        <v>0.21390000000000001</v>
      </c>
      <c r="BB127" s="1033">
        <v>0.21049999999999999</v>
      </c>
      <c r="BC127" s="1033">
        <v>0.20710000000000001</v>
      </c>
      <c r="BD127" s="1033">
        <v>0.20369999999999999</v>
      </c>
      <c r="BE127" s="1033">
        <v>0.20030000000000001</v>
      </c>
      <c r="BF127" s="1033">
        <v>0.19689999999999999</v>
      </c>
      <c r="BH127" s="970">
        <f t="shared" si="42"/>
        <v>0.20030000000000001</v>
      </c>
      <c r="BI127" s="1034">
        <f t="shared" si="36"/>
        <v>130513</v>
      </c>
      <c r="BJ127" s="1034">
        <f t="shared" si="41"/>
        <v>80000</v>
      </c>
      <c r="BK127" s="998">
        <f t="shared" si="37"/>
        <v>16000</v>
      </c>
      <c r="BL127" s="998">
        <f t="shared" si="38"/>
        <v>16000</v>
      </c>
      <c r="BN127" s="1032">
        <v>55</v>
      </c>
      <c r="BQ127" s="998">
        <v>0</v>
      </c>
      <c r="BS127" s="1010">
        <v>0</v>
      </c>
      <c r="BT127" s="976">
        <f t="shared" si="48"/>
        <v>0.71260000000000057</v>
      </c>
      <c r="BU127" s="1">
        <f t="shared" si="39"/>
        <v>130513</v>
      </c>
      <c r="BV127" s="975">
        <f t="shared" si="49"/>
        <v>0.20030000000000001</v>
      </c>
      <c r="BW127" s="1">
        <f t="shared" si="50"/>
        <v>0</v>
      </c>
      <c r="BX127" s="973">
        <f t="shared" si="51"/>
        <v>130513</v>
      </c>
      <c r="BY127" s="973">
        <f t="shared" si="52"/>
        <v>130513</v>
      </c>
      <c r="BZ127" s="973">
        <f t="shared" si="53"/>
        <v>117500</v>
      </c>
      <c r="CC127" s="974">
        <f t="shared" si="54"/>
        <v>200000</v>
      </c>
      <c r="CE127" s="1">
        <f t="shared" si="57"/>
        <v>759000</v>
      </c>
      <c r="CF127" s="1">
        <f t="shared" si="40"/>
        <v>0</v>
      </c>
      <c r="CG127" s="973">
        <f t="shared" si="58"/>
        <v>959000</v>
      </c>
      <c r="CH127" s="972">
        <f t="shared" si="55"/>
        <v>959000</v>
      </c>
      <c r="CI127" s="972">
        <f t="shared" si="56"/>
        <v>56</v>
      </c>
      <c r="CJ127" s="972">
        <f t="shared" si="43"/>
        <v>0</v>
      </c>
      <c r="CK127" s="972">
        <f t="shared" si="44"/>
        <v>0</v>
      </c>
      <c r="CL127" s="972">
        <f t="shared" si="45"/>
        <v>0</v>
      </c>
      <c r="CN127" s="954">
        <f t="shared" si="46"/>
        <v>959000</v>
      </c>
      <c r="CO127" s="1">
        <f t="shared" si="47"/>
        <v>959000</v>
      </c>
    </row>
    <row r="128" spans="2:93" s="998" customFormat="1" hidden="1">
      <c r="B128" s="1032">
        <v>56</v>
      </c>
      <c r="C128" s="1032"/>
      <c r="D128" s="1032"/>
      <c r="E128" s="1032"/>
      <c r="F128" s="1032"/>
      <c r="G128" s="1032"/>
      <c r="H128" s="1032"/>
      <c r="I128" s="1032"/>
      <c r="J128" s="1032"/>
      <c r="K128" s="1032"/>
      <c r="L128" s="1032"/>
      <c r="M128" s="1032"/>
      <c r="N128" s="1033">
        <v>0.35</v>
      </c>
      <c r="O128" s="1033">
        <v>0.34660000000000002</v>
      </c>
      <c r="P128" s="1033">
        <v>0.34320000000000001</v>
      </c>
      <c r="Q128" s="1033">
        <v>0.33979999999999999</v>
      </c>
      <c r="R128" s="1033">
        <v>0.33639999999999998</v>
      </c>
      <c r="S128" s="1033">
        <v>0.33300000000000002</v>
      </c>
      <c r="T128" s="1033">
        <v>0.3296</v>
      </c>
      <c r="U128" s="1033">
        <v>0.32619999999999999</v>
      </c>
      <c r="V128" s="1033">
        <v>0.32279999999999998</v>
      </c>
      <c r="W128" s="1033">
        <v>0.31940000000000002</v>
      </c>
      <c r="X128" s="1033">
        <v>0.316</v>
      </c>
      <c r="Y128" s="1033">
        <v>0.31259999999999999</v>
      </c>
      <c r="Z128" s="1033">
        <v>0.30919999999999997</v>
      </c>
      <c r="AA128" s="1033">
        <v>0.30580000000000002</v>
      </c>
      <c r="AB128" s="1033">
        <v>0.3024</v>
      </c>
      <c r="AC128" s="1033">
        <v>0.29899999999999999</v>
      </c>
      <c r="AD128" s="1033">
        <v>0.29559999999999997</v>
      </c>
      <c r="AE128" s="1033">
        <v>0.29220000000000002</v>
      </c>
      <c r="AF128" s="1033">
        <v>0.2888</v>
      </c>
      <c r="AG128" s="1033">
        <v>0.28539999999999999</v>
      </c>
      <c r="AH128" s="1033">
        <v>0.28199999999999997</v>
      </c>
      <c r="AI128" s="1033">
        <v>0.27860000000000001</v>
      </c>
      <c r="AJ128" s="1033">
        <v>0.2752</v>
      </c>
      <c r="AK128" s="1033">
        <v>0.27179999999999999</v>
      </c>
      <c r="AL128" s="1033">
        <v>0.26840000000000003</v>
      </c>
      <c r="AM128" s="1033">
        <v>0.26490000000000002</v>
      </c>
      <c r="AN128" s="1033">
        <v>0.26150000000000001</v>
      </c>
      <c r="AO128" s="1033">
        <v>0.25609999999999999</v>
      </c>
      <c r="AP128" s="1033">
        <v>0.25469999999999998</v>
      </c>
      <c r="AQ128" s="1033">
        <v>0.25130000000000002</v>
      </c>
      <c r="AR128" s="1033">
        <v>0.24790000000000001</v>
      </c>
      <c r="AS128" s="1033">
        <v>0.2445</v>
      </c>
      <c r="AT128" s="1033">
        <v>0.24110000000000001</v>
      </c>
      <c r="AU128" s="1033">
        <v>0.23769999999999999</v>
      </c>
      <c r="AV128" s="1033">
        <v>0.23430000000000001</v>
      </c>
      <c r="AW128" s="1033">
        <v>0.23089999999999999</v>
      </c>
      <c r="AX128" s="1033">
        <v>0.22750000000000001</v>
      </c>
      <c r="AY128" s="1033">
        <v>0.22409999999999999</v>
      </c>
      <c r="AZ128" s="1033">
        <v>0.22070000000000001</v>
      </c>
      <c r="BA128" s="1033">
        <v>0.21729999999999999</v>
      </c>
      <c r="BB128" s="1033">
        <v>0.21390000000000001</v>
      </c>
      <c r="BC128" s="1033">
        <v>0.21049999999999999</v>
      </c>
      <c r="BD128" s="1033">
        <v>0.20710000000000001</v>
      </c>
      <c r="BE128" s="1033">
        <v>0.20369999999999999</v>
      </c>
      <c r="BF128" s="1033">
        <v>0.20030000000000001</v>
      </c>
      <c r="BH128" s="970">
        <f t="shared" si="42"/>
        <v>0.20369999999999999</v>
      </c>
      <c r="BI128" s="1034">
        <f t="shared" si="36"/>
        <v>131630</v>
      </c>
      <c r="BJ128" s="1034">
        <f t="shared" si="41"/>
        <v>80000</v>
      </c>
      <c r="BK128" s="998">
        <f t="shared" si="37"/>
        <v>16000</v>
      </c>
      <c r="BL128" s="998">
        <f t="shared" si="38"/>
        <v>16000</v>
      </c>
      <c r="BN128" s="1032">
        <v>56</v>
      </c>
      <c r="BQ128" s="998">
        <v>0</v>
      </c>
      <c r="BS128" s="1010">
        <v>0</v>
      </c>
      <c r="BT128" s="976">
        <f t="shared" si="48"/>
        <v>0.71870000000000056</v>
      </c>
      <c r="BU128" s="1">
        <f t="shared" si="39"/>
        <v>131630</v>
      </c>
      <c r="BV128" s="975">
        <f t="shared" si="49"/>
        <v>0.20369999999999999</v>
      </c>
      <c r="BW128" s="1">
        <f t="shared" si="50"/>
        <v>0</v>
      </c>
      <c r="BX128" s="973">
        <f t="shared" si="51"/>
        <v>131630</v>
      </c>
      <c r="BY128" s="973">
        <f t="shared" si="52"/>
        <v>131630</v>
      </c>
      <c r="BZ128" s="973">
        <f t="shared" si="53"/>
        <v>118500</v>
      </c>
      <c r="CC128" s="974">
        <f t="shared" si="54"/>
        <v>200000</v>
      </c>
      <c r="CE128" s="1">
        <f t="shared" si="57"/>
        <v>772800</v>
      </c>
      <c r="CF128" s="1">
        <f t="shared" si="40"/>
        <v>0</v>
      </c>
      <c r="CG128" s="973">
        <f t="shared" si="58"/>
        <v>972800</v>
      </c>
      <c r="CH128" s="972">
        <f t="shared" si="55"/>
        <v>972800</v>
      </c>
      <c r="CI128" s="972">
        <f t="shared" si="56"/>
        <v>57</v>
      </c>
      <c r="CJ128" s="972">
        <f t="shared" si="43"/>
        <v>0</v>
      </c>
      <c r="CK128" s="972">
        <f t="shared" si="44"/>
        <v>0</v>
      </c>
      <c r="CL128" s="972">
        <f t="shared" si="45"/>
        <v>0</v>
      </c>
      <c r="CN128" s="954">
        <f t="shared" si="46"/>
        <v>972800</v>
      </c>
      <c r="CO128" s="1">
        <f t="shared" si="47"/>
        <v>972800</v>
      </c>
    </row>
    <row r="129" spans="2:93" s="998" customFormat="1" hidden="1">
      <c r="B129" s="1032">
        <v>57</v>
      </c>
      <c r="C129" s="1032"/>
      <c r="D129" s="1032"/>
      <c r="E129" s="1032"/>
      <c r="F129" s="1032"/>
      <c r="G129" s="1032"/>
      <c r="H129" s="1032"/>
      <c r="I129" s="1032"/>
      <c r="J129" s="1032"/>
      <c r="K129" s="1032"/>
      <c r="L129" s="1032"/>
      <c r="M129" s="1032"/>
      <c r="N129" s="1032"/>
      <c r="O129" s="1033">
        <v>0.35</v>
      </c>
      <c r="P129" s="1033">
        <v>0.34660000000000002</v>
      </c>
      <c r="Q129" s="1033">
        <v>0.34320000000000001</v>
      </c>
      <c r="R129" s="1033">
        <v>0.33979999999999999</v>
      </c>
      <c r="S129" s="1033">
        <v>0.33639999999999998</v>
      </c>
      <c r="T129" s="1033">
        <v>0.33300000000000002</v>
      </c>
      <c r="U129" s="1033">
        <v>0.3296</v>
      </c>
      <c r="V129" s="1033">
        <v>0.32619999999999999</v>
      </c>
      <c r="W129" s="1033">
        <v>0.32279999999999998</v>
      </c>
      <c r="X129" s="1033">
        <v>0.31940000000000002</v>
      </c>
      <c r="Y129" s="1033">
        <v>0.316</v>
      </c>
      <c r="Z129" s="1033">
        <v>0.31259999999999999</v>
      </c>
      <c r="AA129" s="1033">
        <v>0.30919999999999997</v>
      </c>
      <c r="AB129" s="1033">
        <v>0.30580000000000002</v>
      </c>
      <c r="AC129" s="1033">
        <v>0.3024</v>
      </c>
      <c r="AD129" s="1033">
        <v>0.29899999999999999</v>
      </c>
      <c r="AE129" s="1033">
        <v>0.29559999999999997</v>
      </c>
      <c r="AF129" s="1033">
        <v>0.29220000000000002</v>
      </c>
      <c r="AG129" s="1033">
        <v>0.2888</v>
      </c>
      <c r="AH129" s="1033">
        <v>0.28539999999999999</v>
      </c>
      <c r="AI129" s="1033">
        <v>0.28199999999999997</v>
      </c>
      <c r="AJ129" s="1033">
        <v>0.27860000000000001</v>
      </c>
      <c r="AK129" s="1033">
        <v>0.2752</v>
      </c>
      <c r="AL129" s="1033">
        <v>0.27179999999999999</v>
      </c>
      <c r="AM129" s="1033">
        <v>0.26840000000000003</v>
      </c>
      <c r="AN129" s="1033">
        <v>0.26490000000000002</v>
      </c>
      <c r="AO129" s="1033">
        <v>0.26150000000000001</v>
      </c>
      <c r="AP129" s="1033">
        <v>0.25609999999999999</v>
      </c>
      <c r="AQ129" s="1033">
        <v>0.25469999999999998</v>
      </c>
      <c r="AR129" s="1033">
        <v>0.25130000000000002</v>
      </c>
      <c r="AS129" s="1033">
        <v>0.24790000000000001</v>
      </c>
      <c r="AT129" s="1033">
        <v>0.2445</v>
      </c>
      <c r="AU129" s="1033">
        <v>0.24110000000000001</v>
      </c>
      <c r="AV129" s="1033">
        <v>0.23769999999999999</v>
      </c>
      <c r="AW129" s="1033">
        <v>0.23430000000000001</v>
      </c>
      <c r="AX129" s="1033">
        <v>0.23089999999999999</v>
      </c>
      <c r="AY129" s="1033">
        <v>0.22750000000000001</v>
      </c>
      <c r="AZ129" s="1033">
        <v>0.22409999999999999</v>
      </c>
      <c r="BA129" s="1033">
        <v>0.22070000000000001</v>
      </c>
      <c r="BB129" s="1033">
        <v>0.21729999999999999</v>
      </c>
      <c r="BC129" s="1033">
        <v>0.21390000000000001</v>
      </c>
      <c r="BD129" s="1033">
        <v>0.21049999999999999</v>
      </c>
      <c r="BE129" s="1033">
        <v>0.20710000000000001</v>
      </c>
      <c r="BF129" s="1033">
        <v>0.20369999999999999</v>
      </c>
      <c r="BH129" s="970">
        <f t="shared" si="42"/>
        <v>0.20710000000000001</v>
      </c>
      <c r="BI129" s="1034">
        <f t="shared" si="36"/>
        <v>132143</v>
      </c>
      <c r="BJ129" s="1034">
        <f t="shared" si="41"/>
        <v>80000</v>
      </c>
      <c r="BK129" s="998">
        <f t="shared" si="37"/>
        <v>16000</v>
      </c>
      <c r="BL129" s="998">
        <f t="shared" si="38"/>
        <v>16000</v>
      </c>
      <c r="BN129" s="1032">
        <v>57</v>
      </c>
      <c r="BQ129" s="998">
        <v>0</v>
      </c>
      <c r="BS129" s="1010">
        <v>0</v>
      </c>
      <c r="BT129" s="976">
        <f t="shared" si="48"/>
        <v>0.72149999999999914</v>
      </c>
      <c r="BU129" s="1">
        <f t="shared" si="39"/>
        <v>132143</v>
      </c>
      <c r="BV129" s="975">
        <f t="shared" si="49"/>
        <v>0.20710000000000001</v>
      </c>
      <c r="BW129" s="1">
        <f t="shared" si="50"/>
        <v>0</v>
      </c>
      <c r="BX129" s="973">
        <f t="shared" si="51"/>
        <v>132143</v>
      </c>
      <c r="BY129" s="973">
        <f t="shared" si="52"/>
        <v>132143</v>
      </c>
      <c r="BZ129" s="973">
        <f t="shared" si="53"/>
        <v>118900</v>
      </c>
      <c r="CC129" s="974">
        <f t="shared" si="54"/>
        <v>200000</v>
      </c>
      <c r="CE129" s="1">
        <f t="shared" si="57"/>
        <v>786600</v>
      </c>
      <c r="CF129" s="1">
        <f t="shared" si="40"/>
        <v>0</v>
      </c>
      <c r="CG129" s="973">
        <f t="shared" si="58"/>
        <v>986600</v>
      </c>
      <c r="CH129" s="972">
        <f t="shared" si="55"/>
        <v>986600</v>
      </c>
      <c r="CI129" s="972">
        <f t="shared" si="56"/>
        <v>58</v>
      </c>
      <c r="CJ129" s="972">
        <f t="shared" si="43"/>
        <v>0</v>
      </c>
      <c r="CK129" s="972">
        <f t="shared" si="44"/>
        <v>0</v>
      </c>
      <c r="CL129" s="972">
        <f t="shared" si="45"/>
        <v>0</v>
      </c>
      <c r="CN129" s="954">
        <f t="shared" si="46"/>
        <v>986600</v>
      </c>
      <c r="CO129" s="1">
        <f t="shared" si="47"/>
        <v>986600</v>
      </c>
    </row>
    <row r="130" spans="2:93" s="998" customFormat="1" hidden="1">
      <c r="B130" s="1032">
        <v>58</v>
      </c>
      <c r="C130" s="1032"/>
      <c r="D130" s="1032"/>
      <c r="E130" s="1032"/>
      <c r="F130" s="1032"/>
      <c r="G130" s="1032"/>
      <c r="H130" s="1032"/>
      <c r="I130" s="1032"/>
      <c r="J130" s="1032"/>
      <c r="K130" s="1032"/>
      <c r="L130" s="1032"/>
      <c r="M130" s="1032"/>
      <c r="N130" s="1032"/>
      <c r="O130" s="1032"/>
      <c r="P130" s="1033">
        <v>0.35</v>
      </c>
      <c r="Q130" s="1033">
        <v>0.34660000000000002</v>
      </c>
      <c r="R130" s="1033">
        <v>0.34320000000000001</v>
      </c>
      <c r="S130" s="1033">
        <v>0.33979999999999999</v>
      </c>
      <c r="T130" s="1033">
        <v>0.33639999999999998</v>
      </c>
      <c r="U130" s="1033">
        <v>0.33300000000000002</v>
      </c>
      <c r="V130" s="1033">
        <v>0.3296</v>
      </c>
      <c r="W130" s="1033">
        <v>0.32619999999999999</v>
      </c>
      <c r="X130" s="1033">
        <v>0.32279999999999998</v>
      </c>
      <c r="Y130" s="1033">
        <v>0.31940000000000002</v>
      </c>
      <c r="Z130" s="1033">
        <v>0.316</v>
      </c>
      <c r="AA130" s="1033">
        <v>0.31259999999999999</v>
      </c>
      <c r="AB130" s="1033">
        <v>0.30919999999999997</v>
      </c>
      <c r="AC130" s="1033">
        <v>0.30580000000000002</v>
      </c>
      <c r="AD130" s="1033">
        <v>0.3024</v>
      </c>
      <c r="AE130" s="1033">
        <v>0.29899999999999999</v>
      </c>
      <c r="AF130" s="1033">
        <v>0.29559999999999997</v>
      </c>
      <c r="AG130" s="1033">
        <v>0.29220000000000002</v>
      </c>
      <c r="AH130" s="1033">
        <v>0.2888</v>
      </c>
      <c r="AI130" s="1033">
        <v>0.28539999999999999</v>
      </c>
      <c r="AJ130" s="1033">
        <v>0.28199999999999997</v>
      </c>
      <c r="AK130" s="1033">
        <v>0.27860000000000001</v>
      </c>
      <c r="AL130" s="1033">
        <v>0.2752</v>
      </c>
      <c r="AM130" s="1033">
        <v>0.27179999999999999</v>
      </c>
      <c r="AN130" s="1033">
        <v>0.26840000000000003</v>
      </c>
      <c r="AO130" s="1033">
        <v>0.26490000000000002</v>
      </c>
      <c r="AP130" s="1033">
        <v>0.26150000000000001</v>
      </c>
      <c r="AQ130" s="1033">
        <v>0.25609999999999999</v>
      </c>
      <c r="AR130" s="1033">
        <v>0.25469999999999998</v>
      </c>
      <c r="AS130" s="1033">
        <v>0.25130000000000002</v>
      </c>
      <c r="AT130" s="1033">
        <v>0.24790000000000001</v>
      </c>
      <c r="AU130" s="1033">
        <v>0.2445</v>
      </c>
      <c r="AV130" s="1033">
        <v>0.24110000000000001</v>
      </c>
      <c r="AW130" s="1033">
        <v>0.23769999999999999</v>
      </c>
      <c r="AX130" s="1033">
        <v>0.23430000000000001</v>
      </c>
      <c r="AY130" s="1033">
        <v>0.23089999999999999</v>
      </c>
      <c r="AZ130" s="1033">
        <v>0.22750000000000001</v>
      </c>
      <c r="BA130" s="1033">
        <v>0.22409999999999999</v>
      </c>
      <c r="BB130" s="1033">
        <v>0.22070000000000001</v>
      </c>
      <c r="BC130" s="1033">
        <v>0.21729999999999999</v>
      </c>
      <c r="BD130" s="1033">
        <v>0.21390000000000001</v>
      </c>
      <c r="BE130" s="1033">
        <v>0.21049999999999999</v>
      </c>
      <c r="BF130" s="1033">
        <v>0.20710000000000001</v>
      </c>
      <c r="BH130" s="970">
        <f t="shared" si="42"/>
        <v>0.21049999999999999</v>
      </c>
      <c r="BI130" s="1034">
        <f t="shared" si="36"/>
        <v>132527</v>
      </c>
      <c r="BJ130" s="1034">
        <f t="shared" si="41"/>
        <v>80000</v>
      </c>
      <c r="BK130" s="998">
        <f t="shared" si="37"/>
        <v>16000</v>
      </c>
      <c r="BL130" s="998">
        <f t="shared" si="38"/>
        <v>16000</v>
      </c>
      <c r="BN130" s="1032">
        <v>58</v>
      </c>
      <c r="BQ130" s="998">
        <v>0</v>
      </c>
      <c r="BS130" s="1010">
        <v>0</v>
      </c>
      <c r="BT130" s="976">
        <f t="shared" si="48"/>
        <v>0.72359999999999913</v>
      </c>
      <c r="BU130" s="1">
        <f t="shared" si="39"/>
        <v>132527</v>
      </c>
      <c r="BV130" s="975">
        <f t="shared" si="49"/>
        <v>0.21049999999999999</v>
      </c>
      <c r="BW130" s="1">
        <f t="shared" si="50"/>
        <v>0</v>
      </c>
      <c r="BX130" s="973">
        <f t="shared" si="51"/>
        <v>132527</v>
      </c>
      <c r="BY130" s="973">
        <f t="shared" si="52"/>
        <v>132527</v>
      </c>
      <c r="BZ130" s="973">
        <f t="shared" si="53"/>
        <v>119300</v>
      </c>
      <c r="CC130" s="974">
        <f t="shared" si="54"/>
        <v>200000</v>
      </c>
      <c r="CE130" s="1">
        <f t="shared" si="57"/>
        <v>800400</v>
      </c>
      <c r="CF130" s="1">
        <f t="shared" si="40"/>
        <v>0</v>
      </c>
      <c r="CG130" s="973">
        <f t="shared" si="58"/>
        <v>1000400</v>
      </c>
      <c r="CH130" s="972">
        <f t="shared" si="55"/>
        <v>1000400</v>
      </c>
      <c r="CI130" s="972">
        <f t="shared" si="56"/>
        <v>59</v>
      </c>
      <c r="CJ130" s="972">
        <f t="shared" si="43"/>
        <v>0</v>
      </c>
      <c r="CK130" s="972">
        <f t="shared" si="44"/>
        <v>0</v>
      </c>
      <c r="CL130" s="972">
        <f t="shared" si="45"/>
        <v>0</v>
      </c>
      <c r="CN130" s="954">
        <f t="shared" si="46"/>
        <v>1000400</v>
      </c>
      <c r="CO130" s="1">
        <f t="shared" si="47"/>
        <v>1000400</v>
      </c>
    </row>
    <row r="131" spans="2:93" s="998" customFormat="1" hidden="1">
      <c r="B131" s="1032">
        <v>59</v>
      </c>
      <c r="C131" s="1032"/>
      <c r="D131" s="1032"/>
      <c r="E131" s="1032"/>
      <c r="F131" s="1032"/>
      <c r="G131" s="1032"/>
      <c r="H131" s="1032"/>
      <c r="I131" s="1032"/>
      <c r="J131" s="1032"/>
      <c r="K131" s="1032"/>
      <c r="L131" s="1032"/>
      <c r="M131" s="1032"/>
      <c r="N131" s="1032"/>
      <c r="O131" s="1032"/>
      <c r="P131" s="1032"/>
      <c r="Q131" s="1033">
        <v>0.35</v>
      </c>
      <c r="R131" s="1033">
        <v>0.34660000000000002</v>
      </c>
      <c r="S131" s="1033">
        <v>0.34320000000000001</v>
      </c>
      <c r="T131" s="1033">
        <v>0.33979999999999999</v>
      </c>
      <c r="U131" s="1033">
        <v>0.33639999999999998</v>
      </c>
      <c r="V131" s="1033">
        <v>0.33300000000000002</v>
      </c>
      <c r="W131" s="1033">
        <v>0.3296</v>
      </c>
      <c r="X131" s="1033">
        <v>0.32619999999999999</v>
      </c>
      <c r="Y131" s="1033">
        <v>0.32279999999999998</v>
      </c>
      <c r="Z131" s="1033">
        <v>0.31940000000000002</v>
      </c>
      <c r="AA131" s="1033">
        <v>0.316</v>
      </c>
      <c r="AB131" s="1033">
        <v>0.31259999999999999</v>
      </c>
      <c r="AC131" s="1033">
        <v>0.30919999999999997</v>
      </c>
      <c r="AD131" s="1033">
        <v>0.30580000000000002</v>
      </c>
      <c r="AE131" s="1033">
        <v>0.3024</v>
      </c>
      <c r="AF131" s="1033">
        <v>0.29899999999999999</v>
      </c>
      <c r="AG131" s="1033">
        <v>0.29559999999999997</v>
      </c>
      <c r="AH131" s="1033">
        <v>0.29220000000000002</v>
      </c>
      <c r="AI131" s="1033">
        <v>0.2888</v>
      </c>
      <c r="AJ131" s="1033">
        <v>0.28539999999999999</v>
      </c>
      <c r="AK131" s="1033">
        <v>0.28199999999999997</v>
      </c>
      <c r="AL131" s="1033">
        <v>0.27860000000000001</v>
      </c>
      <c r="AM131" s="1033">
        <v>0.2752</v>
      </c>
      <c r="AN131" s="1033">
        <v>0.27179999999999999</v>
      </c>
      <c r="AO131" s="1033">
        <v>0.26840000000000003</v>
      </c>
      <c r="AP131" s="1033">
        <v>0.26490000000000002</v>
      </c>
      <c r="AQ131" s="1033">
        <v>0.26150000000000001</v>
      </c>
      <c r="AR131" s="1033">
        <v>0.25609999999999999</v>
      </c>
      <c r="AS131" s="1033">
        <v>0.25469999999999998</v>
      </c>
      <c r="AT131" s="1033">
        <v>0.25130000000000002</v>
      </c>
      <c r="AU131" s="1033">
        <v>0.24790000000000001</v>
      </c>
      <c r="AV131" s="1033">
        <v>0.2445</v>
      </c>
      <c r="AW131" s="1033">
        <v>0.24110000000000001</v>
      </c>
      <c r="AX131" s="1033">
        <v>0.23769999999999999</v>
      </c>
      <c r="AY131" s="1033">
        <v>0.23430000000000001</v>
      </c>
      <c r="AZ131" s="1033">
        <v>0.23089999999999999</v>
      </c>
      <c r="BA131" s="1033">
        <v>0.22750000000000001</v>
      </c>
      <c r="BB131" s="1033">
        <v>0.22409999999999999</v>
      </c>
      <c r="BC131" s="1033">
        <v>0.22070000000000001</v>
      </c>
      <c r="BD131" s="1033">
        <v>0.21729999999999999</v>
      </c>
      <c r="BE131" s="1033">
        <v>0.21390000000000001</v>
      </c>
      <c r="BF131" s="1033">
        <v>0.21049999999999999</v>
      </c>
      <c r="BH131" s="970">
        <f t="shared" si="42"/>
        <v>0.21390000000000001</v>
      </c>
      <c r="BI131" s="1034">
        <f t="shared" si="36"/>
        <v>133333</v>
      </c>
      <c r="BJ131" s="1034">
        <f t="shared" si="41"/>
        <v>80000</v>
      </c>
      <c r="BK131" s="998">
        <f t="shared" si="37"/>
        <v>16000</v>
      </c>
      <c r="BL131" s="998">
        <f t="shared" si="38"/>
        <v>16000</v>
      </c>
      <c r="BN131" s="1032">
        <v>59</v>
      </c>
      <c r="BQ131" s="998">
        <v>0</v>
      </c>
      <c r="BS131" s="1010">
        <v>0</v>
      </c>
      <c r="BT131" s="976">
        <f t="shared" si="48"/>
        <v>0.72799999999999931</v>
      </c>
      <c r="BU131" s="1">
        <f t="shared" si="39"/>
        <v>133333</v>
      </c>
      <c r="BV131" s="975">
        <f t="shared" si="49"/>
        <v>0.21390000000000001</v>
      </c>
      <c r="BW131" s="1">
        <f t="shared" si="50"/>
        <v>0</v>
      </c>
      <c r="BX131" s="973">
        <f t="shared" si="51"/>
        <v>133333</v>
      </c>
      <c r="BY131" s="973">
        <f t="shared" si="52"/>
        <v>133333</v>
      </c>
      <c r="BZ131" s="973">
        <f t="shared" si="53"/>
        <v>120000</v>
      </c>
      <c r="CC131" s="974">
        <f t="shared" si="54"/>
        <v>200000</v>
      </c>
      <c r="CE131" s="1">
        <f t="shared" si="57"/>
        <v>814200</v>
      </c>
      <c r="CF131" s="1">
        <f t="shared" si="40"/>
        <v>0</v>
      </c>
      <c r="CG131" s="973">
        <f t="shared" si="58"/>
        <v>1014200</v>
      </c>
      <c r="CH131" s="972">
        <f t="shared" si="55"/>
        <v>1014200</v>
      </c>
      <c r="CI131" s="972">
        <f t="shared" si="56"/>
        <v>60</v>
      </c>
      <c r="CJ131" s="972">
        <f t="shared" si="43"/>
        <v>0</v>
      </c>
      <c r="CK131" s="972">
        <f t="shared" si="44"/>
        <v>0</v>
      </c>
      <c r="CL131" s="972">
        <f t="shared" si="45"/>
        <v>0</v>
      </c>
      <c r="CN131" s="954">
        <f t="shared" si="46"/>
        <v>1014200</v>
      </c>
      <c r="CO131" s="1">
        <f t="shared" si="47"/>
        <v>1014200</v>
      </c>
    </row>
    <row r="132" spans="2:93" s="998" customFormat="1" hidden="1">
      <c r="B132" s="1032">
        <v>60</v>
      </c>
      <c r="C132" s="1032"/>
      <c r="D132" s="1032"/>
      <c r="E132" s="1032"/>
      <c r="F132" s="1032"/>
      <c r="G132" s="1032"/>
      <c r="H132" s="1032"/>
      <c r="I132" s="1032"/>
      <c r="J132" s="1032"/>
      <c r="K132" s="1032"/>
      <c r="L132" s="1032"/>
      <c r="M132" s="1032"/>
      <c r="N132" s="1032"/>
      <c r="O132" s="1032"/>
      <c r="P132" s="1032"/>
      <c r="Q132" s="1032"/>
      <c r="R132" s="1033">
        <v>0.35</v>
      </c>
      <c r="S132" s="1033">
        <v>0.34660000000000002</v>
      </c>
      <c r="T132" s="1033">
        <v>0.34320000000000001</v>
      </c>
      <c r="U132" s="1033">
        <v>0.33979999999999999</v>
      </c>
      <c r="V132" s="1033">
        <v>0.33639999999999998</v>
      </c>
      <c r="W132" s="1033">
        <v>0.33300000000000002</v>
      </c>
      <c r="X132" s="1033">
        <v>0.3296</v>
      </c>
      <c r="Y132" s="1033">
        <v>0.32619999999999999</v>
      </c>
      <c r="Z132" s="1033">
        <v>0.32279999999999998</v>
      </c>
      <c r="AA132" s="1033">
        <v>0.31940000000000002</v>
      </c>
      <c r="AB132" s="1033">
        <v>0.316</v>
      </c>
      <c r="AC132" s="1033">
        <v>0.31259999999999999</v>
      </c>
      <c r="AD132" s="1033">
        <v>0.30919999999999997</v>
      </c>
      <c r="AE132" s="1033">
        <v>0.30580000000000002</v>
      </c>
      <c r="AF132" s="1033">
        <v>0.3024</v>
      </c>
      <c r="AG132" s="1033">
        <v>0.29899999999999999</v>
      </c>
      <c r="AH132" s="1033">
        <v>0.29559999999999997</v>
      </c>
      <c r="AI132" s="1033">
        <v>0.29220000000000002</v>
      </c>
      <c r="AJ132" s="1033">
        <v>0.2888</v>
      </c>
      <c r="AK132" s="1033">
        <v>0.28539999999999999</v>
      </c>
      <c r="AL132" s="1033">
        <v>0.28199999999999997</v>
      </c>
      <c r="AM132" s="1033">
        <v>0.27860000000000001</v>
      </c>
      <c r="AN132" s="1033">
        <v>0.2752</v>
      </c>
      <c r="AO132" s="1033">
        <v>0.27179999999999999</v>
      </c>
      <c r="AP132" s="1033">
        <v>0.26840000000000003</v>
      </c>
      <c r="AQ132" s="1033">
        <v>0.26490000000000002</v>
      </c>
      <c r="AR132" s="1033">
        <v>0.26150000000000001</v>
      </c>
      <c r="AS132" s="1033">
        <v>0.25609999999999999</v>
      </c>
      <c r="AT132" s="1033">
        <v>0.25469999999999998</v>
      </c>
      <c r="AU132" s="1033">
        <v>0.25130000000000002</v>
      </c>
      <c r="AV132" s="1033">
        <v>0.24790000000000001</v>
      </c>
      <c r="AW132" s="1033">
        <v>0.2445</v>
      </c>
      <c r="AX132" s="1033">
        <v>0.24110000000000001</v>
      </c>
      <c r="AY132" s="1033">
        <v>0.23769999999999999</v>
      </c>
      <c r="AZ132" s="1033">
        <v>0.23430000000000001</v>
      </c>
      <c r="BA132" s="1033">
        <v>0.23089999999999999</v>
      </c>
      <c r="BB132" s="1033">
        <v>0.22750000000000001</v>
      </c>
      <c r="BC132" s="1033">
        <v>0.22409999999999999</v>
      </c>
      <c r="BD132" s="1033">
        <v>0.22070000000000001</v>
      </c>
      <c r="BE132" s="1033">
        <v>0.21729999999999999</v>
      </c>
      <c r="BF132" s="1033">
        <v>0.21390000000000001</v>
      </c>
      <c r="BH132" s="970">
        <f t="shared" si="42"/>
        <v>0.21729999999999999</v>
      </c>
      <c r="BI132" s="1034">
        <f t="shared" si="36"/>
        <v>133809</v>
      </c>
      <c r="BJ132" s="1034">
        <f t="shared" si="41"/>
        <v>80000</v>
      </c>
      <c r="BK132" s="998">
        <f t="shared" si="37"/>
        <v>16000</v>
      </c>
      <c r="BL132" s="998">
        <f t="shared" si="38"/>
        <v>16000</v>
      </c>
      <c r="BN132" s="1032">
        <v>60</v>
      </c>
      <c r="BQ132" s="998">
        <v>0</v>
      </c>
      <c r="BS132" s="1010">
        <v>0</v>
      </c>
      <c r="BT132" s="976">
        <f t="shared" si="48"/>
        <v>0.73059999999999969</v>
      </c>
      <c r="BU132" s="1">
        <f t="shared" si="39"/>
        <v>133809</v>
      </c>
      <c r="BV132" s="975">
        <f t="shared" si="49"/>
        <v>0.21729999999999999</v>
      </c>
      <c r="BW132" s="1">
        <f t="shared" si="50"/>
        <v>0</v>
      </c>
      <c r="BX132" s="973">
        <f t="shared" si="51"/>
        <v>133809</v>
      </c>
      <c r="BY132" s="973">
        <f t="shared" si="52"/>
        <v>133809</v>
      </c>
      <c r="BZ132" s="973">
        <f t="shared" si="53"/>
        <v>120400</v>
      </c>
      <c r="CC132" s="974">
        <f t="shared" si="54"/>
        <v>200000</v>
      </c>
      <c r="CE132" s="1">
        <f t="shared" si="57"/>
        <v>828000</v>
      </c>
      <c r="CF132" s="1">
        <f t="shared" si="40"/>
        <v>0</v>
      </c>
      <c r="CG132" s="973">
        <f t="shared" si="58"/>
        <v>1028000</v>
      </c>
      <c r="CH132" s="972">
        <f t="shared" si="55"/>
        <v>1028000</v>
      </c>
      <c r="CI132" s="972">
        <f t="shared" si="56"/>
        <v>61</v>
      </c>
      <c r="CJ132" s="972">
        <f t="shared" si="43"/>
        <v>0</v>
      </c>
      <c r="CK132" s="972">
        <f t="shared" si="44"/>
        <v>0</v>
      </c>
      <c r="CL132" s="972">
        <f t="shared" si="45"/>
        <v>0</v>
      </c>
      <c r="CN132" s="954">
        <f t="shared" si="46"/>
        <v>1028000</v>
      </c>
      <c r="CO132" s="1">
        <f t="shared" si="47"/>
        <v>1028000</v>
      </c>
    </row>
    <row r="133" spans="2:93" s="998" customFormat="1" hidden="1">
      <c r="B133" s="1032">
        <v>61</v>
      </c>
      <c r="C133" s="1032"/>
      <c r="D133" s="1032"/>
      <c r="E133" s="1032"/>
      <c r="F133" s="1032"/>
      <c r="G133" s="1032"/>
      <c r="H133" s="1032"/>
      <c r="I133" s="1032"/>
      <c r="J133" s="1032"/>
      <c r="K133" s="1032"/>
      <c r="L133" s="1032"/>
      <c r="M133" s="1032"/>
      <c r="N133" s="1032"/>
      <c r="O133" s="1032"/>
      <c r="P133" s="1032"/>
      <c r="Q133" s="1032"/>
      <c r="R133" s="1032"/>
      <c r="S133" s="1033">
        <v>0.35</v>
      </c>
      <c r="T133" s="1033">
        <v>0.34660000000000002</v>
      </c>
      <c r="U133" s="1033">
        <v>0.34320000000000001</v>
      </c>
      <c r="V133" s="1033">
        <v>0.33979999999999999</v>
      </c>
      <c r="W133" s="1033">
        <v>0.33639999999999998</v>
      </c>
      <c r="X133" s="1033">
        <v>0.33300000000000002</v>
      </c>
      <c r="Y133" s="1033">
        <v>0.3296</v>
      </c>
      <c r="Z133" s="1033">
        <v>0.32619999999999999</v>
      </c>
      <c r="AA133" s="1033">
        <v>0.32279999999999998</v>
      </c>
      <c r="AB133" s="1033">
        <v>0.31940000000000002</v>
      </c>
      <c r="AC133" s="1033">
        <v>0.316</v>
      </c>
      <c r="AD133" s="1033">
        <v>0.31259999999999999</v>
      </c>
      <c r="AE133" s="1033">
        <v>0.30919999999999997</v>
      </c>
      <c r="AF133" s="1033">
        <v>0.30580000000000002</v>
      </c>
      <c r="AG133" s="1033">
        <v>0.3024</v>
      </c>
      <c r="AH133" s="1033">
        <v>0.29899999999999999</v>
      </c>
      <c r="AI133" s="1033">
        <v>0.29559999999999997</v>
      </c>
      <c r="AJ133" s="1033">
        <v>0.29220000000000002</v>
      </c>
      <c r="AK133" s="1033">
        <v>0.2888</v>
      </c>
      <c r="AL133" s="1033">
        <v>0.28539999999999999</v>
      </c>
      <c r="AM133" s="1033">
        <v>0.28199999999999997</v>
      </c>
      <c r="AN133" s="1033">
        <v>0.27860000000000001</v>
      </c>
      <c r="AO133" s="1033">
        <v>0.2752</v>
      </c>
      <c r="AP133" s="1033">
        <v>0.27179999999999999</v>
      </c>
      <c r="AQ133" s="1033">
        <v>0.26840000000000003</v>
      </c>
      <c r="AR133" s="1033">
        <v>0.26490000000000002</v>
      </c>
      <c r="AS133" s="1033">
        <v>0.26150000000000001</v>
      </c>
      <c r="AT133" s="1033">
        <v>0.25609999999999999</v>
      </c>
      <c r="AU133" s="1033">
        <v>0.25469999999999998</v>
      </c>
      <c r="AV133" s="1033">
        <v>0.25130000000000002</v>
      </c>
      <c r="AW133" s="1033">
        <v>0.24790000000000001</v>
      </c>
      <c r="AX133" s="1033">
        <v>0.2445</v>
      </c>
      <c r="AY133" s="1033">
        <v>0.24110000000000001</v>
      </c>
      <c r="AZ133" s="1033">
        <v>0.23769999999999999</v>
      </c>
      <c r="BA133" s="1033">
        <v>0.23430000000000001</v>
      </c>
      <c r="BB133" s="1033">
        <v>0.23089999999999999</v>
      </c>
      <c r="BC133" s="1033">
        <v>0.22750000000000001</v>
      </c>
      <c r="BD133" s="1033">
        <v>0.22409999999999999</v>
      </c>
      <c r="BE133" s="1033">
        <v>0.22070000000000001</v>
      </c>
      <c r="BF133" s="1033">
        <v>0.21729999999999999</v>
      </c>
      <c r="BH133" s="970">
        <f t="shared" si="42"/>
        <v>0.22070000000000001</v>
      </c>
      <c r="BI133" s="1034">
        <f t="shared" si="36"/>
        <v>134927</v>
      </c>
      <c r="BJ133" s="1034">
        <f t="shared" si="41"/>
        <v>80000</v>
      </c>
      <c r="BK133" s="998">
        <f t="shared" si="37"/>
        <v>16000</v>
      </c>
      <c r="BL133" s="998">
        <f t="shared" si="38"/>
        <v>16000</v>
      </c>
      <c r="BN133" s="1032">
        <v>61</v>
      </c>
      <c r="BQ133" s="998">
        <v>0</v>
      </c>
      <c r="BS133" s="1010">
        <v>0</v>
      </c>
      <c r="BT133" s="976">
        <f t="shared" si="48"/>
        <v>0.73669999999999969</v>
      </c>
      <c r="BU133" s="1">
        <f t="shared" si="39"/>
        <v>134927</v>
      </c>
      <c r="BV133" s="975">
        <f t="shared" si="49"/>
        <v>0.22070000000000001</v>
      </c>
      <c r="BW133" s="1">
        <f t="shared" si="50"/>
        <v>0</v>
      </c>
      <c r="BX133" s="973">
        <f t="shared" si="51"/>
        <v>134927</v>
      </c>
      <c r="BY133" s="973">
        <f t="shared" si="52"/>
        <v>134927</v>
      </c>
      <c r="BZ133" s="973">
        <f t="shared" si="53"/>
        <v>121400</v>
      </c>
      <c r="CC133" s="974">
        <f t="shared" si="54"/>
        <v>200000</v>
      </c>
      <c r="CE133" s="1">
        <f t="shared" si="57"/>
        <v>841800</v>
      </c>
      <c r="CF133" s="1">
        <f t="shared" si="40"/>
        <v>0</v>
      </c>
      <c r="CG133" s="973">
        <f t="shared" si="58"/>
        <v>1041800</v>
      </c>
      <c r="CH133" s="972">
        <f t="shared" si="55"/>
        <v>1041800</v>
      </c>
      <c r="CI133" s="972">
        <f t="shared" si="56"/>
        <v>62</v>
      </c>
      <c r="CJ133" s="972">
        <f t="shared" si="43"/>
        <v>0</v>
      </c>
      <c r="CK133" s="972">
        <f t="shared" si="44"/>
        <v>0</v>
      </c>
      <c r="CL133" s="972">
        <f t="shared" si="45"/>
        <v>0</v>
      </c>
      <c r="CN133" s="954">
        <f t="shared" si="46"/>
        <v>1041800</v>
      </c>
      <c r="CO133" s="1">
        <f t="shared" si="47"/>
        <v>1041800</v>
      </c>
    </row>
    <row r="134" spans="2:93" s="998" customFormat="1" hidden="1">
      <c r="B134" s="1032">
        <v>62</v>
      </c>
      <c r="C134" s="1032"/>
      <c r="D134" s="1032"/>
      <c r="E134" s="1032"/>
      <c r="F134" s="1032"/>
      <c r="G134" s="1032"/>
      <c r="H134" s="1032"/>
      <c r="I134" s="1032"/>
      <c r="J134" s="1032"/>
      <c r="K134" s="1032"/>
      <c r="L134" s="1032"/>
      <c r="M134" s="1032"/>
      <c r="N134" s="1032"/>
      <c r="O134" s="1032"/>
      <c r="P134" s="1032"/>
      <c r="Q134" s="1032"/>
      <c r="R134" s="1032"/>
      <c r="S134" s="1032"/>
      <c r="T134" s="1033">
        <v>0.35</v>
      </c>
      <c r="U134" s="1033">
        <v>0.34660000000000002</v>
      </c>
      <c r="V134" s="1033">
        <v>0.34320000000000001</v>
      </c>
      <c r="W134" s="1033">
        <v>0.33979999999999999</v>
      </c>
      <c r="X134" s="1033">
        <v>0.33639999999999998</v>
      </c>
      <c r="Y134" s="1033">
        <v>0.33300000000000002</v>
      </c>
      <c r="Z134" s="1033">
        <v>0.3296</v>
      </c>
      <c r="AA134" s="1033">
        <v>0.32619999999999999</v>
      </c>
      <c r="AB134" s="1033">
        <v>0.32279999999999998</v>
      </c>
      <c r="AC134" s="1033">
        <v>0.31940000000000002</v>
      </c>
      <c r="AD134" s="1033">
        <v>0.316</v>
      </c>
      <c r="AE134" s="1033">
        <v>0.31259999999999999</v>
      </c>
      <c r="AF134" s="1033">
        <v>0.30919999999999997</v>
      </c>
      <c r="AG134" s="1033">
        <v>0.30580000000000002</v>
      </c>
      <c r="AH134" s="1033">
        <v>0.3024</v>
      </c>
      <c r="AI134" s="1033">
        <v>0.29899999999999999</v>
      </c>
      <c r="AJ134" s="1033">
        <v>0.29559999999999997</v>
      </c>
      <c r="AK134" s="1033">
        <v>0.29220000000000002</v>
      </c>
      <c r="AL134" s="1033">
        <v>0.2888</v>
      </c>
      <c r="AM134" s="1033">
        <v>0.28539999999999999</v>
      </c>
      <c r="AN134" s="1033">
        <v>0.28199999999999997</v>
      </c>
      <c r="AO134" s="1033">
        <v>0.27860000000000001</v>
      </c>
      <c r="AP134" s="1033">
        <v>0.2752</v>
      </c>
      <c r="AQ134" s="1033">
        <v>0.27179999999999999</v>
      </c>
      <c r="AR134" s="1033">
        <v>0.26840000000000003</v>
      </c>
      <c r="AS134" s="1033">
        <v>0.26490000000000002</v>
      </c>
      <c r="AT134" s="1033">
        <v>0.26150000000000001</v>
      </c>
      <c r="AU134" s="1033">
        <v>0.25609999999999999</v>
      </c>
      <c r="AV134" s="1033">
        <v>0.25469999999999998</v>
      </c>
      <c r="AW134" s="1033">
        <v>0.25130000000000002</v>
      </c>
      <c r="AX134" s="1033">
        <v>0.24790000000000001</v>
      </c>
      <c r="AY134" s="1033">
        <v>0.2445</v>
      </c>
      <c r="AZ134" s="1033">
        <v>0.24110000000000001</v>
      </c>
      <c r="BA134" s="1033">
        <v>0.23769999999999999</v>
      </c>
      <c r="BB134" s="1033">
        <v>0.23430000000000001</v>
      </c>
      <c r="BC134" s="1033">
        <v>0.23089999999999999</v>
      </c>
      <c r="BD134" s="1033">
        <v>0.22750000000000001</v>
      </c>
      <c r="BE134" s="1033">
        <v>0.22409999999999999</v>
      </c>
      <c r="BF134" s="1033">
        <v>0.22070000000000001</v>
      </c>
      <c r="BH134" s="970">
        <f t="shared" si="42"/>
        <v>0.22409999999999999</v>
      </c>
      <c r="BI134" s="1034">
        <f t="shared" si="36"/>
        <v>136227</v>
      </c>
      <c r="BJ134" s="1034">
        <f t="shared" si="41"/>
        <v>80000</v>
      </c>
      <c r="BK134" s="998">
        <f t="shared" si="37"/>
        <v>16000</v>
      </c>
      <c r="BL134" s="998">
        <f t="shared" si="38"/>
        <v>16000</v>
      </c>
      <c r="BN134" s="1032">
        <v>62</v>
      </c>
      <c r="BQ134" s="998">
        <v>0</v>
      </c>
      <c r="BS134" s="1010">
        <v>0</v>
      </c>
      <c r="BT134" s="976">
        <f t="shared" si="48"/>
        <v>0.74380000000000002</v>
      </c>
      <c r="BU134" s="1">
        <f t="shared" si="39"/>
        <v>136227</v>
      </c>
      <c r="BV134" s="975">
        <f t="shared" si="49"/>
        <v>0.22409999999999999</v>
      </c>
      <c r="BW134" s="1">
        <f t="shared" si="50"/>
        <v>0</v>
      </c>
      <c r="BX134" s="973">
        <f t="shared" si="51"/>
        <v>136227</v>
      </c>
      <c r="BY134" s="973">
        <f t="shared" si="52"/>
        <v>136227</v>
      </c>
      <c r="BZ134" s="973">
        <f t="shared" si="53"/>
        <v>122600</v>
      </c>
      <c r="CC134" s="974">
        <f t="shared" si="54"/>
        <v>200000</v>
      </c>
      <c r="CE134" s="1">
        <f t="shared" si="57"/>
        <v>855600</v>
      </c>
      <c r="CF134" s="1">
        <f t="shared" si="40"/>
        <v>0</v>
      </c>
      <c r="CG134" s="973">
        <f t="shared" si="58"/>
        <v>1055600</v>
      </c>
      <c r="CH134" s="972">
        <f t="shared" si="55"/>
        <v>1055600</v>
      </c>
      <c r="CI134" s="972">
        <f t="shared" si="56"/>
        <v>63</v>
      </c>
      <c r="CJ134" s="972">
        <f t="shared" si="43"/>
        <v>0</v>
      </c>
      <c r="CK134" s="972">
        <f t="shared" si="44"/>
        <v>0</v>
      </c>
      <c r="CL134" s="972">
        <f t="shared" si="45"/>
        <v>0</v>
      </c>
      <c r="CN134" s="954">
        <f t="shared" si="46"/>
        <v>1055600</v>
      </c>
      <c r="CO134" s="1">
        <f t="shared" si="47"/>
        <v>1055600</v>
      </c>
    </row>
    <row r="135" spans="2:93" s="998" customFormat="1" hidden="1">
      <c r="B135" s="1032">
        <v>63</v>
      </c>
      <c r="C135" s="1032"/>
      <c r="D135" s="1032"/>
      <c r="E135" s="1032"/>
      <c r="F135" s="1032"/>
      <c r="G135" s="1032"/>
      <c r="H135" s="1032"/>
      <c r="I135" s="1032"/>
      <c r="J135" s="1032"/>
      <c r="K135" s="1032"/>
      <c r="L135" s="1032"/>
      <c r="M135" s="1032"/>
      <c r="N135" s="1032"/>
      <c r="O135" s="1032"/>
      <c r="P135" s="1032"/>
      <c r="Q135" s="1032"/>
      <c r="R135" s="1032"/>
      <c r="S135" s="1032"/>
      <c r="T135" s="1032"/>
      <c r="U135" s="1033">
        <v>0.35</v>
      </c>
      <c r="V135" s="1033">
        <v>0.34660000000000002</v>
      </c>
      <c r="W135" s="1033">
        <v>0.34320000000000001</v>
      </c>
      <c r="X135" s="1033">
        <v>0.33979999999999999</v>
      </c>
      <c r="Y135" s="1033">
        <v>0.33639999999999998</v>
      </c>
      <c r="Z135" s="1033">
        <v>0.33300000000000002</v>
      </c>
      <c r="AA135" s="1033">
        <v>0.3296</v>
      </c>
      <c r="AB135" s="1033">
        <v>0.32619999999999999</v>
      </c>
      <c r="AC135" s="1033">
        <v>0.32279999999999998</v>
      </c>
      <c r="AD135" s="1033">
        <v>0.31940000000000002</v>
      </c>
      <c r="AE135" s="1033">
        <v>0.316</v>
      </c>
      <c r="AF135" s="1033">
        <v>0.31259999999999999</v>
      </c>
      <c r="AG135" s="1033">
        <v>0.30919999999999997</v>
      </c>
      <c r="AH135" s="1033">
        <v>0.30580000000000002</v>
      </c>
      <c r="AI135" s="1033">
        <v>0.3024</v>
      </c>
      <c r="AJ135" s="1033">
        <v>0.29899999999999999</v>
      </c>
      <c r="AK135" s="1033">
        <v>0.29559999999999997</v>
      </c>
      <c r="AL135" s="1033">
        <v>0.29220000000000002</v>
      </c>
      <c r="AM135" s="1033">
        <v>0.2888</v>
      </c>
      <c r="AN135" s="1033">
        <v>0.28539999999999999</v>
      </c>
      <c r="AO135" s="1033">
        <v>0.28199999999999997</v>
      </c>
      <c r="AP135" s="1033">
        <v>0.27860000000000001</v>
      </c>
      <c r="AQ135" s="1033">
        <v>0.2752</v>
      </c>
      <c r="AR135" s="1033">
        <v>0.27179999999999999</v>
      </c>
      <c r="AS135" s="1033">
        <v>0.26840000000000003</v>
      </c>
      <c r="AT135" s="1033">
        <v>0.26490000000000002</v>
      </c>
      <c r="AU135" s="1033">
        <v>0.26150000000000001</v>
      </c>
      <c r="AV135" s="1033">
        <v>0.25609999999999999</v>
      </c>
      <c r="AW135" s="1033">
        <v>0.25469999999999998</v>
      </c>
      <c r="AX135" s="1033">
        <v>0.25130000000000002</v>
      </c>
      <c r="AY135" s="1033">
        <v>0.24790000000000001</v>
      </c>
      <c r="AZ135" s="1033">
        <v>0.2445</v>
      </c>
      <c r="BA135" s="1033">
        <v>0.24110000000000001</v>
      </c>
      <c r="BB135" s="1033">
        <v>0.23769999999999999</v>
      </c>
      <c r="BC135" s="1033">
        <v>0.23430000000000001</v>
      </c>
      <c r="BD135" s="1033">
        <v>0.23089999999999999</v>
      </c>
      <c r="BE135" s="1033">
        <v>0.22750000000000001</v>
      </c>
      <c r="BF135" s="1033">
        <v>0.22409999999999999</v>
      </c>
      <c r="BH135" s="970">
        <f t="shared" si="42"/>
        <v>0.22750000000000001</v>
      </c>
      <c r="BI135" s="1034">
        <f t="shared" si="36"/>
        <v>137344</v>
      </c>
      <c r="BJ135" s="1034">
        <f t="shared" si="41"/>
        <v>80000</v>
      </c>
      <c r="BK135" s="998">
        <f t="shared" ref="BK135:BK166" si="59">IF(CI135&lt;=100,BK$74," ")</f>
        <v>16000</v>
      </c>
      <c r="BL135" s="998">
        <f t="shared" ref="BL135:BL166" si="60">IF(CI135=101,CN$72,BK135)</f>
        <v>16000</v>
      </c>
      <c r="BN135" s="1032">
        <v>63</v>
      </c>
      <c r="BQ135" s="998">
        <v>0</v>
      </c>
      <c r="BS135" s="1010">
        <v>0</v>
      </c>
      <c r="BT135" s="976">
        <f t="shared" si="48"/>
        <v>0.74990000000000001</v>
      </c>
      <c r="BU135" s="1">
        <f t="shared" ref="BU135:BU166" si="61">ROUND(($AA$65*F$11)*BT135,0)</f>
        <v>137344</v>
      </c>
      <c r="BV135" s="975">
        <f t="shared" si="49"/>
        <v>0.22750000000000001</v>
      </c>
      <c r="BW135" s="1">
        <f t="shared" si="50"/>
        <v>0</v>
      </c>
      <c r="BX135" s="973">
        <f t="shared" si="51"/>
        <v>137344</v>
      </c>
      <c r="BY135" s="973">
        <f t="shared" si="52"/>
        <v>137344</v>
      </c>
      <c r="BZ135" s="973">
        <f t="shared" si="53"/>
        <v>123600</v>
      </c>
      <c r="CC135" s="974">
        <f t="shared" si="54"/>
        <v>200000</v>
      </c>
      <c r="CE135" s="1">
        <f t="shared" si="57"/>
        <v>869400</v>
      </c>
      <c r="CF135" s="1">
        <f t="shared" ref="CF135:CF166" si="62">IF(CI135=101,3550*$I$10/1000,0)</f>
        <v>0</v>
      </c>
      <c r="CG135" s="973">
        <f t="shared" si="58"/>
        <v>1069400</v>
      </c>
      <c r="CH135" s="972">
        <f t="shared" si="55"/>
        <v>1069400</v>
      </c>
      <c r="CI135" s="972">
        <f t="shared" si="56"/>
        <v>64</v>
      </c>
      <c r="CJ135" s="972">
        <f t="shared" si="43"/>
        <v>0</v>
      </c>
      <c r="CK135" s="972">
        <f t="shared" si="44"/>
        <v>0</v>
      </c>
      <c r="CL135" s="972">
        <f t="shared" si="45"/>
        <v>0</v>
      </c>
      <c r="CN135" s="954">
        <f t="shared" si="46"/>
        <v>1069400</v>
      </c>
      <c r="CO135" s="1">
        <f t="shared" si="47"/>
        <v>1069400</v>
      </c>
    </row>
    <row r="136" spans="2:93" s="998" customFormat="1" hidden="1">
      <c r="B136" s="1032">
        <v>64</v>
      </c>
      <c r="C136" s="1032"/>
      <c r="D136" s="1032"/>
      <c r="E136" s="1032"/>
      <c r="F136" s="1032"/>
      <c r="G136" s="1032"/>
      <c r="H136" s="1032"/>
      <c r="I136" s="1032"/>
      <c r="J136" s="1032"/>
      <c r="K136" s="1032"/>
      <c r="L136" s="1032"/>
      <c r="M136" s="1032"/>
      <c r="N136" s="1032"/>
      <c r="O136" s="1032"/>
      <c r="P136" s="1032"/>
      <c r="Q136" s="1032"/>
      <c r="R136" s="1032"/>
      <c r="S136" s="1032"/>
      <c r="T136" s="1032"/>
      <c r="U136" s="1032"/>
      <c r="V136" s="1033">
        <v>0.35</v>
      </c>
      <c r="W136" s="1033">
        <v>0.34660000000000002</v>
      </c>
      <c r="X136" s="1033">
        <v>0.34320000000000001</v>
      </c>
      <c r="Y136" s="1033">
        <v>0.33979999999999999</v>
      </c>
      <c r="Z136" s="1033">
        <v>0.33639999999999998</v>
      </c>
      <c r="AA136" s="1033">
        <v>0.33300000000000002</v>
      </c>
      <c r="AB136" s="1033">
        <v>0.3296</v>
      </c>
      <c r="AC136" s="1033">
        <v>0.32619999999999999</v>
      </c>
      <c r="AD136" s="1033">
        <v>0.32279999999999998</v>
      </c>
      <c r="AE136" s="1033">
        <v>0.31940000000000002</v>
      </c>
      <c r="AF136" s="1033">
        <v>0.316</v>
      </c>
      <c r="AG136" s="1033">
        <v>0.31259999999999999</v>
      </c>
      <c r="AH136" s="1033">
        <v>0.30919999999999997</v>
      </c>
      <c r="AI136" s="1033">
        <v>0.30580000000000002</v>
      </c>
      <c r="AJ136" s="1033">
        <v>0.3024</v>
      </c>
      <c r="AK136" s="1033">
        <v>0.29899999999999999</v>
      </c>
      <c r="AL136" s="1033">
        <v>0.29559999999999997</v>
      </c>
      <c r="AM136" s="1033">
        <v>0.29220000000000002</v>
      </c>
      <c r="AN136" s="1033">
        <v>0.2888</v>
      </c>
      <c r="AO136" s="1033">
        <v>0.28539999999999999</v>
      </c>
      <c r="AP136" s="1033">
        <v>0.28199999999999997</v>
      </c>
      <c r="AQ136" s="1033">
        <v>0.27860000000000001</v>
      </c>
      <c r="AR136" s="1033">
        <v>0.2752</v>
      </c>
      <c r="AS136" s="1033">
        <v>0.27179999999999999</v>
      </c>
      <c r="AT136" s="1033">
        <v>0.26840000000000003</v>
      </c>
      <c r="AU136" s="1033">
        <v>0.26490000000000002</v>
      </c>
      <c r="AV136" s="1033">
        <v>0.26150000000000001</v>
      </c>
      <c r="AW136" s="1033">
        <v>0.25609999999999999</v>
      </c>
      <c r="AX136" s="1033">
        <v>0.25469999999999998</v>
      </c>
      <c r="AY136" s="1033">
        <v>0.25130000000000002</v>
      </c>
      <c r="AZ136" s="1033">
        <v>0.24790000000000001</v>
      </c>
      <c r="BA136" s="1033">
        <v>0.2445</v>
      </c>
      <c r="BB136" s="1033">
        <v>0.24110000000000001</v>
      </c>
      <c r="BC136" s="1033">
        <v>0.23769999999999999</v>
      </c>
      <c r="BD136" s="1033">
        <v>0.23430000000000001</v>
      </c>
      <c r="BE136" s="1033">
        <v>0.23089999999999999</v>
      </c>
      <c r="BF136" s="1033">
        <v>0.22750000000000001</v>
      </c>
      <c r="BH136" s="970">
        <f t="shared" si="42"/>
        <v>0.23089999999999999</v>
      </c>
      <c r="BI136" s="1034">
        <f t="shared" si="36"/>
        <v>138168</v>
      </c>
      <c r="BJ136" s="1034">
        <f t="shared" si="41"/>
        <v>80000</v>
      </c>
      <c r="BK136" s="998">
        <f t="shared" si="59"/>
        <v>16000</v>
      </c>
      <c r="BL136" s="998">
        <f t="shared" si="60"/>
        <v>16000</v>
      </c>
      <c r="BN136" s="1032">
        <v>64</v>
      </c>
      <c r="BQ136" s="998">
        <v>0</v>
      </c>
      <c r="BS136" s="1010">
        <v>0</v>
      </c>
      <c r="BT136" s="976">
        <f t="shared" si="48"/>
        <v>0.75440000000000018</v>
      </c>
      <c r="BU136" s="1">
        <f t="shared" si="61"/>
        <v>138168</v>
      </c>
      <c r="BV136" s="975">
        <f t="shared" si="49"/>
        <v>0.23089999999999999</v>
      </c>
      <c r="BW136" s="1">
        <f t="shared" si="50"/>
        <v>0</v>
      </c>
      <c r="BX136" s="973">
        <f t="shared" si="51"/>
        <v>138168</v>
      </c>
      <c r="BY136" s="973">
        <f t="shared" si="52"/>
        <v>138168</v>
      </c>
      <c r="BZ136" s="973">
        <f t="shared" si="53"/>
        <v>124400</v>
      </c>
      <c r="CC136" s="974">
        <f t="shared" si="54"/>
        <v>200000</v>
      </c>
      <c r="CE136" s="1">
        <f t="shared" si="57"/>
        <v>883200</v>
      </c>
      <c r="CF136" s="1">
        <f t="shared" si="62"/>
        <v>0</v>
      </c>
      <c r="CG136" s="973">
        <f t="shared" si="58"/>
        <v>1083200</v>
      </c>
      <c r="CH136" s="972">
        <f t="shared" si="55"/>
        <v>1083200</v>
      </c>
      <c r="CI136" s="972">
        <f t="shared" si="56"/>
        <v>65</v>
      </c>
      <c r="CJ136" s="972">
        <f t="shared" si="43"/>
        <v>0</v>
      </c>
      <c r="CK136" s="972">
        <f t="shared" si="44"/>
        <v>0</v>
      </c>
      <c r="CL136" s="972">
        <f t="shared" si="45"/>
        <v>0</v>
      </c>
      <c r="CN136" s="954">
        <f t="shared" si="46"/>
        <v>1083200</v>
      </c>
      <c r="CO136" s="1">
        <f t="shared" si="47"/>
        <v>1083200</v>
      </c>
    </row>
    <row r="137" spans="2:93" s="998" customFormat="1" hidden="1">
      <c r="B137" s="1032">
        <v>65</v>
      </c>
      <c r="C137" s="1032"/>
      <c r="D137" s="1032"/>
      <c r="E137" s="1032"/>
      <c r="F137" s="1032"/>
      <c r="G137" s="1032"/>
      <c r="H137" s="1032"/>
      <c r="I137" s="1032"/>
      <c r="J137" s="1032"/>
      <c r="K137" s="1032"/>
      <c r="L137" s="1032"/>
      <c r="M137" s="1032"/>
      <c r="N137" s="1032"/>
      <c r="O137" s="1032"/>
      <c r="P137" s="1032"/>
      <c r="Q137" s="1032"/>
      <c r="R137" s="1032"/>
      <c r="S137" s="1032"/>
      <c r="T137" s="1032"/>
      <c r="U137" s="1032"/>
      <c r="V137" s="1032"/>
      <c r="W137" s="1033">
        <v>0.35</v>
      </c>
      <c r="X137" s="1033">
        <v>0.34660000000000002</v>
      </c>
      <c r="Y137" s="1033">
        <v>0.34320000000000001</v>
      </c>
      <c r="Z137" s="1033">
        <v>0.33979999999999999</v>
      </c>
      <c r="AA137" s="1033">
        <v>0.33639999999999998</v>
      </c>
      <c r="AB137" s="1033">
        <v>0.33300000000000002</v>
      </c>
      <c r="AC137" s="1033">
        <v>0.3296</v>
      </c>
      <c r="AD137" s="1033">
        <v>0.32619999999999999</v>
      </c>
      <c r="AE137" s="1033">
        <v>0.32279999999999998</v>
      </c>
      <c r="AF137" s="1033">
        <v>0.31940000000000002</v>
      </c>
      <c r="AG137" s="1033">
        <v>0.316</v>
      </c>
      <c r="AH137" s="1033">
        <v>0.31259999999999999</v>
      </c>
      <c r="AI137" s="1033">
        <v>0.30919999999999997</v>
      </c>
      <c r="AJ137" s="1033">
        <v>0.30580000000000002</v>
      </c>
      <c r="AK137" s="1033">
        <v>0.3024</v>
      </c>
      <c r="AL137" s="1033">
        <v>0.29899999999999999</v>
      </c>
      <c r="AM137" s="1033">
        <v>0.29559999999999997</v>
      </c>
      <c r="AN137" s="1033">
        <v>0.29220000000000002</v>
      </c>
      <c r="AO137" s="1033">
        <v>0.2888</v>
      </c>
      <c r="AP137" s="1033">
        <v>0.28539999999999999</v>
      </c>
      <c r="AQ137" s="1033">
        <v>0.28199999999999997</v>
      </c>
      <c r="AR137" s="1033">
        <v>0.27860000000000001</v>
      </c>
      <c r="AS137" s="1033">
        <v>0.2752</v>
      </c>
      <c r="AT137" s="1033">
        <v>0.27179999999999999</v>
      </c>
      <c r="AU137" s="1033">
        <v>0.26840000000000003</v>
      </c>
      <c r="AV137" s="1033">
        <v>0.26490000000000002</v>
      </c>
      <c r="AW137" s="1033">
        <v>0.26150000000000001</v>
      </c>
      <c r="AX137" s="1033">
        <v>0.25609999999999999</v>
      </c>
      <c r="AY137" s="1033">
        <v>0.25469999999999998</v>
      </c>
      <c r="AZ137" s="1033">
        <v>0.25130000000000002</v>
      </c>
      <c r="BA137" s="1033">
        <v>0.24790000000000001</v>
      </c>
      <c r="BB137" s="1033">
        <v>0.2445</v>
      </c>
      <c r="BC137" s="1033">
        <v>0.24110000000000001</v>
      </c>
      <c r="BD137" s="1033">
        <v>0.23769999999999999</v>
      </c>
      <c r="BE137" s="1033">
        <v>0.23430000000000001</v>
      </c>
      <c r="BF137" s="1033">
        <v>0.23089999999999999</v>
      </c>
      <c r="BH137" s="970">
        <f t="shared" ref="BH137:BH172" si="63">LOOKUP($K$15,$C$72:$BF$72,C137:BF137)</f>
        <v>0.23430000000000001</v>
      </c>
      <c r="BI137" s="1034">
        <f t="shared" si="36"/>
        <v>138974</v>
      </c>
      <c r="BJ137" s="1034">
        <f t="shared" si="41"/>
        <v>80000</v>
      </c>
      <c r="BK137" s="998">
        <f t="shared" si="59"/>
        <v>16000</v>
      </c>
      <c r="BL137" s="998">
        <f t="shared" si="60"/>
        <v>16000</v>
      </c>
      <c r="BN137" s="1032">
        <v>65</v>
      </c>
      <c r="BQ137" s="998">
        <v>0</v>
      </c>
      <c r="BS137" s="1010">
        <v>0</v>
      </c>
      <c r="BT137" s="976">
        <f t="shared" si="48"/>
        <v>0.75880000000000036</v>
      </c>
      <c r="BU137" s="1">
        <f t="shared" si="61"/>
        <v>138974</v>
      </c>
      <c r="BV137" s="975">
        <f t="shared" si="49"/>
        <v>0.23430000000000001</v>
      </c>
      <c r="BW137" s="1">
        <f t="shared" si="50"/>
        <v>0</v>
      </c>
      <c r="BX137" s="973">
        <f t="shared" si="51"/>
        <v>138974</v>
      </c>
      <c r="BY137" s="973">
        <f t="shared" si="52"/>
        <v>138974</v>
      </c>
      <c r="BZ137" s="973">
        <f t="shared" si="53"/>
        <v>125100</v>
      </c>
      <c r="CC137" s="974">
        <f t="shared" si="54"/>
        <v>200000</v>
      </c>
      <c r="CE137" s="1">
        <f t="shared" si="57"/>
        <v>897000</v>
      </c>
      <c r="CF137" s="1">
        <f t="shared" si="62"/>
        <v>0</v>
      </c>
      <c r="CG137" s="973">
        <f t="shared" si="58"/>
        <v>1097000</v>
      </c>
      <c r="CH137" s="972">
        <f t="shared" si="55"/>
        <v>1097000</v>
      </c>
      <c r="CI137" s="972">
        <f t="shared" si="56"/>
        <v>66</v>
      </c>
      <c r="CJ137" s="972">
        <f t="shared" ref="CJ137:CJ168" si="64">IF(CI137&lt;71,CE$73,0)</f>
        <v>0</v>
      </c>
      <c r="CK137" s="972">
        <f t="shared" ref="CK137:CK173" si="65">IF(BN137&lt;=F$11,CE$73,0)</f>
        <v>0</v>
      </c>
      <c r="CL137" s="972">
        <f t="shared" ref="CL137:CL168" si="66">IF(AC$53=2,CK137,CJ137)</f>
        <v>0</v>
      </c>
      <c r="CN137" s="954">
        <f t="shared" ref="CN137:CN173" si="67">IF($G$13="YES",$I$13+CH137,CH137)</f>
        <v>1097000</v>
      </c>
      <c r="CO137" s="1">
        <f t="shared" ref="CO137:CO168" si="68">IF(AND(($F$10&gt;=18),($G$12="YES")),CL137+CN137,CN137)</f>
        <v>1097000</v>
      </c>
    </row>
    <row r="138" spans="2:93" s="998" customFormat="1" ht="4.5" hidden="1" customHeight="1">
      <c r="B138" s="1032">
        <v>66</v>
      </c>
      <c r="C138" s="1032"/>
      <c r="D138" s="1032"/>
      <c r="E138" s="1032"/>
      <c r="F138" s="1032"/>
      <c r="G138" s="1032"/>
      <c r="H138" s="1032"/>
      <c r="I138" s="1032"/>
      <c r="J138" s="1032"/>
      <c r="K138" s="1032"/>
      <c r="L138" s="1032"/>
      <c r="M138" s="1032"/>
      <c r="N138" s="1032"/>
      <c r="O138" s="1032"/>
      <c r="P138" s="1032"/>
      <c r="Q138" s="1032"/>
      <c r="R138" s="1032"/>
      <c r="S138" s="1032"/>
      <c r="T138" s="1032"/>
      <c r="U138" s="1032"/>
      <c r="V138" s="1032"/>
      <c r="W138" s="1032"/>
      <c r="X138" s="1033">
        <v>0.35</v>
      </c>
      <c r="Y138" s="1033">
        <v>0.34660000000000002</v>
      </c>
      <c r="Z138" s="1033">
        <v>0.34320000000000001</v>
      </c>
      <c r="AA138" s="1033">
        <v>0.33979999999999999</v>
      </c>
      <c r="AB138" s="1033">
        <v>0.33639999999999998</v>
      </c>
      <c r="AC138" s="1033">
        <v>0.33300000000000002</v>
      </c>
      <c r="AD138" s="1033">
        <v>0.3296</v>
      </c>
      <c r="AE138" s="1033">
        <v>0.32619999999999999</v>
      </c>
      <c r="AF138" s="1033">
        <v>0.32279999999999998</v>
      </c>
      <c r="AG138" s="1033">
        <v>0.31940000000000002</v>
      </c>
      <c r="AH138" s="1033">
        <v>0.316</v>
      </c>
      <c r="AI138" s="1033">
        <v>0.31259999999999999</v>
      </c>
      <c r="AJ138" s="1033">
        <v>0.30919999999999997</v>
      </c>
      <c r="AK138" s="1033">
        <v>0.30580000000000002</v>
      </c>
      <c r="AL138" s="1033">
        <v>0.3024</v>
      </c>
      <c r="AM138" s="1033">
        <v>0.29899999999999999</v>
      </c>
      <c r="AN138" s="1033">
        <v>0.29559999999999997</v>
      </c>
      <c r="AO138" s="1033">
        <v>0.29220000000000002</v>
      </c>
      <c r="AP138" s="1033">
        <v>0.2888</v>
      </c>
      <c r="AQ138" s="1033">
        <v>0.28539999999999999</v>
      </c>
      <c r="AR138" s="1033">
        <v>0.28199999999999997</v>
      </c>
      <c r="AS138" s="1033">
        <v>0.27860000000000001</v>
      </c>
      <c r="AT138" s="1033">
        <v>0.2752</v>
      </c>
      <c r="AU138" s="1033">
        <v>0.27179999999999999</v>
      </c>
      <c r="AV138" s="1033">
        <v>0.26840000000000003</v>
      </c>
      <c r="AW138" s="1033">
        <v>0.26490000000000002</v>
      </c>
      <c r="AX138" s="1033">
        <v>0.26150000000000001</v>
      </c>
      <c r="AY138" s="1033">
        <v>0.25609999999999999</v>
      </c>
      <c r="AZ138" s="1033">
        <v>0.25469999999999998</v>
      </c>
      <c r="BA138" s="1033">
        <v>0.25130000000000002</v>
      </c>
      <c r="BB138" s="1033">
        <v>0.24790000000000001</v>
      </c>
      <c r="BC138" s="1033">
        <v>0.2445</v>
      </c>
      <c r="BD138" s="1033">
        <v>0.24110000000000001</v>
      </c>
      <c r="BE138" s="1033">
        <v>0.23769999999999999</v>
      </c>
      <c r="BF138" s="1033">
        <v>0.23430000000000001</v>
      </c>
      <c r="BH138" s="970">
        <f t="shared" si="63"/>
        <v>0.23769999999999999</v>
      </c>
      <c r="BI138" s="1034">
        <f t="shared" si="36"/>
        <v>139798</v>
      </c>
      <c r="BJ138" s="1034">
        <f t="shared" si="41"/>
        <v>80000</v>
      </c>
      <c r="BK138" s="998">
        <f t="shared" si="59"/>
        <v>16000</v>
      </c>
      <c r="BL138" s="998">
        <f t="shared" si="60"/>
        <v>16000</v>
      </c>
      <c r="BN138" s="1032">
        <v>66</v>
      </c>
      <c r="BQ138" s="998">
        <v>0</v>
      </c>
      <c r="BS138" s="1010">
        <v>0</v>
      </c>
      <c r="BT138" s="976">
        <f t="shared" ref="BT138:BT169" si="69">BH242</f>
        <v>0.76330000000000053</v>
      </c>
      <c r="BU138" s="1">
        <f t="shared" si="61"/>
        <v>139798</v>
      </c>
      <c r="BV138" s="975">
        <f t="shared" ref="BV138:BV172" si="70">BH138</f>
        <v>0.23769999999999999</v>
      </c>
      <c r="BW138" s="1">
        <f t="shared" ref="BW138:BW169" si="71">ROUND(BQ138*BV138,0)</f>
        <v>0</v>
      </c>
      <c r="BX138" s="973">
        <f t="shared" ref="BX138:BX169" si="72">BU138+BW138</f>
        <v>139798</v>
      </c>
      <c r="BY138" s="973">
        <f t="shared" ref="BY138:BY169" si="73">IF(BX138&gt;BS138,BX138,BS138)</f>
        <v>139798</v>
      </c>
      <c r="BZ138" s="973">
        <f t="shared" ref="BZ138:BZ169" si="74">ROUND((BY138*(90/100)),-2)</f>
        <v>125800</v>
      </c>
      <c r="CC138" s="974">
        <f t="shared" ref="CC138:CC173" si="75">$I$10</f>
        <v>200000</v>
      </c>
      <c r="CE138" s="1">
        <f t="shared" si="57"/>
        <v>910800</v>
      </c>
      <c r="CF138" s="1">
        <f t="shared" si="62"/>
        <v>0</v>
      </c>
      <c r="CG138" s="973">
        <f t="shared" si="58"/>
        <v>1110800</v>
      </c>
      <c r="CH138" s="972">
        <f t="shared" ref="CH138:CH169" si="76">IF((CB138&gt;CG138),CB138,CG138)</f>
        <v>1110800</v>
      </c>
      <c r="CI138" s="972">
        <f t="shared" ref="CI138:CI173" si="77">CI$70+BN138</f>
        <v>67</v>
      </c>
      <c r="CJ138" s="972">
        <f t="shared" si="64"/>
        <v>0</v>
      </c>
      <c r="CK138" s="972">
        <f t="shared" si="65"/>
        <v>0</v>
      </c>
      <c r="CL138" s="972">
        <f t="shared" si="66"/>
        <v>0</v>
      </c>
      <c r="CN138" s="954">
        <f t="shared" si="67"/>
        <v>1110800</v>
      </c>
      <c r="CO138" s="1">
        <f t="shared" si="68"/>
        <v>1110800</v>
      </c>
    </row>
    <row r="139" spans="2:93" s="998" customFormat="1" hidden="1">
      <c r="B139" s="1032">
        <v>67</v>
      </c>
      <c r="C139" s="1032"/>
      <c r="D139" s="1032"/>
      <c r="E139" s="1032"/>
      <c r="F139" s="1032"/>
      <c r="G139" s="1032"/>
      <c r="H139" s="1032"/>
      <c r="I139" s="1032"/>
      <c r="J139" s="1032"/>
      <c r="K139" s="1032"/>
      <c r="L139" s="1032"/>
      <c r="M139" s="1032"/>
      <c r="N139" s="1032"/>
      <c r="O139" s="1032"/>
      <c r="P139" s="1032"/>
      <c r="Q139" s="1032"/>
      <c r="R139" s="1032"/>
      <c r="S139" s="1032"/>
      <c r="T139" s="1032"/>
      <c r="U139" s="1032"/>
      <c r="V139" s="1032"/>
      <c r="W139" s="1032"/>
      <c r="X139" s="1032"/>
      <c r="Y139" s="1033">
        <v>0.35</v>
      </c>
      <c r="Z139" s="1033">
        <v>0.34660000000000002</v>
      </c>
      <c r="AA139" s="1033">
        <v>0.34320000000000001</v>
      </c>
      <c r="AB139" s="1033">
        <v>0.33979999999999999</v>
      </c>
      <c r="AC139" s="1033">
        <v>0.33639999999999998</v>
      </c>
      <c r="AD139" s="1033">
        <v>0.33300000000000002</v>
      </c>
      <c r="AE139" s="1033">
        <v>0.3296</v>
      </c>
      <c r="AF139" s="1033">
        <v>0.32619999999999999</v>
      </c>
      <c r="AG139" s="1033">
        <v>0.32279999999999998</v>
      </c>
      <c r="AH139" s="1033">
        <v>0.31940000000000002</v>
      </c>
      <c r="AI139" s="1033">
        <v>0.316</v>
      </c>
      <c r="AJ139" s="1033">
        <v>0.31259999999999999</v>
      </c>
      <c r="AK139" s="1033">
        <v>0.30919999999999997</v>
      </c>
      <c r="AL139" s="1033">
        <v>0.30580000000000002</v>
      </c>
      <c r="AM139" s="1033">
        <v>0.3024</v>
      </c>
      <c r="AN139" s="1033">
        <v>0.29899999999999999</v>
      </c>
      <c r="AO139" s="1033">
        <v>0.29559999999999997</v>
      </c>
      <c r="AP139" s="1033">
        <v>0.29220000000000002</v>
      </c>
      <c r="AQ139" s="1033">
        <v>0.2888</v>
      </c>
      <c r="AR139" s="1033">
        <v>0.28539999999999999</v>
      </c>
      <c r="AS139" s="1033">
        <v>0.28199999999999997</v>
      </c>
      <c r="AT139" s="1033">
        <v>0.27860000000000001</v>
      </c>
      <c r="AU139" s="1033">
        <v>0.2752</v>
      </c>
      <c r="AV139" s="1033">
        <v>0.27179999999999999</v>
      </c>
      <c r="AW139" s="1033">
        <v>0.26840000000000003</v>
      </c>
      <c r="AX139" s="1033">
        <v>0.26490000000000002</v>
      </c>
      <c r="AY139" s="1033">
        <v>0.26150000000000001</v>
      </c>
      <c r="AZ139" s="1033">
        <v>0.25609999999999999</v>
      </c>
      <c r="BA139" s="1033">
        <v>0.25469999999999998</v>
      </c>
      <c r="BB139" s="1033">
        <v>0.25130000000000002</v>
      </c>
      <c r="BC139" s="1033">
        <v>0.24790000000000001</v>
      </c>
      <c r="BD139" s="1033">
        <v>0.2445</v>
      </c>
      <c r="BE139" s="1033">
        <v>0.24110000000000001</v>
      </c>
      <c r="BF139" s="1033">
        <v>0.23769999999999999</v>
      </c>
      <c r="BH139" s="970">
        <f t="shared" si="63"/>
        <v>0.24110000000000001</v>
      </c>
      <c r="BI139" s="1034">
        <f t="shared" si="36"/>
        <v>140604</v>
      </c>
      <c r="BJ139" s="1034">
        <f t="shared" si="41"/>
        <v>80000</v>
      </c>
      <c r="BK139" s="998">
        <f t="shared" si="59"/>
        <v>16000</v>
      </c>
      <c r="BL139" s="998">
        <f t="shared" si="60"/>
        <v>16000</v>
      </c>
      <c r="BN139" s="1032">
        <v>67</v>
      </c>
      <c r="BQ139" s="998">
        <v>0</v>
      </c>
      <c r="BS139" s="1010">
        <v>0</v>
      </c>
      <c r="BT139" s="976">
        <f t="shared" si="69"/>
        <v>0.76769999999999894</v>
      </c>
      <c r="BU139" s="1">
        <f t="shared" si="61"/>
        <v>140604</v>
      </c>
      <c r="BV139" s="975">
        <f t="shared" si="70"/>
        <v>0.24110000000000001</v>
      </c>
      <c r="BW139" s="1">
        <f t="shared" si="71"/>
        <v>0</v>
      </c>
      <c r="BX139" s="973">
        <f t="shared" si="72"/>
        <v>140604</v>
      </c>
      <c r="BY139" s="973">
        <f t="shared" si="73"/>
        <v>140604</v>
      </c>
      <c r="BZ139" s="973">
        <f t="shared" si="74"/>
        <v>126500</v>
      </c>
      <c r="CC139" s="974">
        <f t="shared" si="75"/>
        <v>200000</v>
      </c>
      <c r="CE139" s="1">
        <f t="shared" ref="CE139:CE172" si="78">IF(BN139&lt;=F$11,BQ139,BN139*69*($I$10/1000))</f>
        <v>924600</v>
      </c>
      <c r="CF139" s="1">
        <f t="shared" si="62"/>
        <v>0</v>
      </c>
      <c r="CG139" s="973">
        <f t="shared" ref="CG139:CG170" si="79">CC139+CE139+CF139</f>
        <v>1124600</v>
      </c>
      <c r="CH139" s="972">
        <f t="shared" si="76"/>
        <v>1124600</v>
      </c>
      <c r="CI139" s="972">
        <f t="shared" si="77"/>
        <v>68</v>
      </c>
      <c r="CJ139" s="972">
        <f t="shared" si="64"/>
        <v>0</v>
      </c>
      <c r="CK139" s="972">
        <f t="shared" si="65"/>
        <v>0</v>
      </c>
      <c r="CL139" s="972">
        <f t="shared" si="66"/>
        <v>0</v>
      </c>
      <c r="CN139" s="954">
        <f t="shared" si="67"/>
        <v>1124600</v>
      </c>
      <c r="CO139" s="1">
        <f t="shared" si="68"/>
        <v>1124600</v>
      </c>
    </row>
    <row r="140" spans="2:93" s="998" customFormat="1" hidden="1">
      <c r="B140" s="1032">
        <v>68</v>
      </c>
      <c r="C140" s="1032"/>
      <c r="D140" s="1032"/>
      <c r="E140" s="1032"/>
      <c r="F140" s="1032"/>
      <c r="G140" s="1032"/>
      <c r="H140" s="1032"/>
      <c r="I140" s="1032"/>
      <c r="J140" s="1032"/>
      <c r="K140" s="1032"/>
      <c r="L140" s="1032"/>
      <c r="M140" s="1032"/>
      <c r="N140" s="1032"/>
      <c r="O140" s="1032"/>
      <c r="P140" s="1032"/>
      <c r="Q140" s="1032"/>
      <c r="R140" s="1032"/>
      <c r="S140" s="1032"/>
      <c r="T140" s="1032"/>
      <c r="U140" s="1032"/>
      <c r="V140" s="1032"/>
      <c r="W140" s="1032"/>
      <c r="X140" s="1032"/>
      <c r="Y140" s="1032"/>
      <c r="Z140" s="1033">
        <v>0.35</v>
      </c>
      <c r="AA140" s="1033">
        <v>0.34660000000000002</v>
      </c>
      <c r="AB140" s="1033">
        <v>0.34320000000000001</v>
      </c>
      <c r="AC140" s="1033">
        <v>0.33979999999999999</v>
      </c>
      <c r="AD140" s="1033">
        <v>0.33639999999999998</v>
      </c>
      <c r="AE140" s="1033">
        <v>0.33300000000000002</v>
      </c>
      <c r="AF140" s="1033">
        <v>0.3296</v>
      </c>
      <c r="AG140" s="1033">
        <v>0.32619999999999999</v>
      </c>
      <c r="AH140" s="1033">
        <v>0.32279999999999998</v>
      </c>
      <c r="AI140" s="1033">
        <v>0.31940000000000002</v>
      </c>
      <c r="AJ140" s="1033">
        <v>0.316</v>
      </c>
      <c r="AK140" s="1033">
        <v>0.31259999999999999</v>
      </c>
      <c r="AL140" s="1033">
        <v>0.30919999999999997</v>
      </c>
      <c r="AM140" s="1033">
        <v>0.30580000000000002</v>
      </c>
      <c r="AN140" s="1033">
        <v>0.3024</v>
      </c>
      <c r="AO140" s="1033">
        <v>0.29899999999999999</v>
      </c>
      <c r="AP140" s="1033">
        <v>0.29559999999999997</v>
      </c>
      <c r="AQ140" s="1033">
        <v>0.29220000000000002</v>
      </c>
      <c r="AR140" s="1033">
        <v>0.2888</v>
      </c>
      <c r="AS140" s="1033">
        <v>0.28539999999999999</v>
      </c>
      <c r="AT140" s="1033">
        <v>0.28199999999999997</v>
      </c>
      <c r="AU140" s="1033">
        <v>0.27860000000000001</v>
      </c>
      <c r="AV140" s="1033">
        <v>0.2752</v>
      </c>
      <c r="AW140" s="1033">
        <v>0.27179999999999999</v>
      </c>
      <c r="AX140" s="1033">
        <v>0.26840000000000003</v>
      </c>
      <c r="AY140" s="1033">
        <v>0.26490000000000002</v>
      </c>
      <c r="AZ140" s="1033">
        <v>0.26150000000000001</v>
      </c>
      <c r="BA140" s="1033">
        <v>0.25609999999999999</v>
      </c>
      <c r="BB140" s="1033">
        <v>0.25469999999999998</v>
      </c>
      <c r="BC140" s="1033">
        <v>0.25130000000000002</v>
      </c>
      <c r="BD140" s="1033">
        <v>0.24790000000000001</v>
      </c>
      <c r="BE140" s="1033">
        <v>0.2445</v>
      </c>
      <c r="BF140" s="1033">
        <v>0.24110000000000001</v>
      </c>
      <c r="BH140" s="970">
        <f t="shared" si="63"/>
        <v>0.2445</v>
      </c>
      <c r="BI140" s="1034">
        <f t="shared" si="36"/>
        <v>141428</v>
      </c>
      <c r="BJ140" s="1034">
        <f t="shared" si="41"/>
        <v>80000</v>
      </c>
      <c r="BK140" s="998">
        <f t="shared" si="59"/>
        <v>16000</v>
      </c>
      <c r="BL140" s="998">
        <f t="shared" si="60"/>
        <v>16000</v>
      </c>
      <c r="BN140" s="1032">
        <v>68</v>
      </c>
      <c r="BQ140" s="998">
        <v>0</v>
      </c>
      <c r="BS140" s="1010">
        <v>0</v>
      </c>
      <c r="BT140" s="976">
        <f t="shared" si="69"/>
        <v>0.77219999999999911</v>
      </c>
      <c r="BU140" s="1">
        <f t="shared" si="61"/>
        <v>141428</v>
      </c>
      <c r="BV140" s="975">
        <f t="shared" si="70"/>
        <v>0.2445</v>
      </c>
      <c r="BW140" s="1">
        <f t="shared" si="71"/>
        <v>0</v>
      </c>
      <c r="BX140" s="973">
        <f t="shared" si="72"/>
        <v>141428</v>
      </c>
      <c r="BY140" s="973">
        <f t="shared" si="73"/>
        <v>141428</v>
      </c>
      <c r="BZ140" s="973">
        <f t="shared" si="74"/>
        <v>127300</v>
      </c>
      <c r="CC140" s="974">
        <f t="shared" si="75"/>
        <v>200000</v>
      </c>
      <c r="CE140" s="1">
        <f t="shared" si="78"/>
        <v>938400</v>
      </c>
      <c r="CF140" s="1">
        <f t="shared" si="62"/>
        <v>0</v>
      </c>
      <c r="CG140" s="973">
        <f t="shared" si="79"/>
        <v>1138400</v>
      </c>
      <c r="CH140" s="972">
        <f t="shared" si="76"/>
        <v>1138400</v>
      </c>
      <c r="CI140" s="972">
        <f t="shared" si="77"/>
        <v>69</v>
      </c>
      <c r="CJ140" s="972">
        <f t="shared" si="64"/>
        <v>0</v>
      </c>
      <c r="CK140" s="972">
        <f t="shared" si="65"/>
        <v>0</v>
      </c>
      <c r="CL140" s="972">
        <f t="shared" si="66"/>
        <v>0</v>
      </c>
      <c r="CN140" s="954">
        <f t="shared" si="67"/>
        <v>1138400</v>
      </c>
      <c r="CO140" s="1">
        <f t="shared" si="68"/>
        <v>1138400</v>
      </c>
    </row>
    <row r="141" spans="2:93" s="998" customFormat="1" hidden="1">
      <c r="B141" s="1032">
        <v>69</v>
      </c>
      <c r="C141" s="1032"/>
      <c r="D141" s="1032"/>
      <c r="E141" s="1032"/>
      <c r="F141" s="1032"/>
      <c r="G141" s="1032"/>
      <c r="H141" s="1032"/>
      <c r="I141" s="1032"/>
      <c r="J141" s="1032"/>
      <c r="K141" s="1032"/>
      <c r="L141" s="1032"/>
      <c r="M141" s="1032"/>
      <c r="N141" s="1032"/>
      <c r="O141" s="1032"/>
      <c r="P141" s="1032"/>
      <c r="Q141" s="1032"/>
      <c r="R141" s="1032"/>
      <c r="S141" s="1032"/>
      <c r="T141" s="1032"/>
      <c r="U141" s="1032"/>
      <c r="V141" s="1032"/>
      <c r="W141" s="1032"/>
      <c r="X141" s="1032"/>
      <c r="Y141" s="1032"/>
      <c r="Z141" s="1032"/>
      <c r="AA141" s="1033">
        <v>0.35</v>
      </c>
      <c r="AB141" s="1033">
        <v>0.34660000000000002</v>
      </c>
      <c r="AC141" s="1033">
        <v>0.34320000000000001</v>
      </c>
      <c r="AD141" s="1033">
        <v>0.33979999999999999</v>
      </c>
      <c r="AE141" s="1033">
        <v>0.33639999999999998</v>
      </c>
      <c r="AF141" s="1033">
        <v>0.33300000000000002</v>
      </c>
      <c r="AG141" s="1033">
        <v>0.3296</v>
      </c>
      <c r="AH141" s="1033">
        <v>0.32619999999999999</v>
      </c>
      <c r="AI141" s="1033">
        <v>0.32279999999999998</v>
      </c>
      <c r="AJ141" s="1033">
        <v>0.31940000000000002</v>
      </c>
      <c r="AK141" s="1033">
        <v>0.316</v>
      </c>
      <c r="AL141" s="1033">
        <v>0.31259999999999999</v>
      </c>
      <c r="AM141" s="1033">
        <v>0.30919999999999997</v>
      </c>
      <c r="AN141" s="1033">
        <v>0.30580000000000002</v>
      </c>
      <c r="AO141" s="1033">
        <v>0.3024</v>
      </c>
      <c r="AP141" s="1033">
        <v>0.29899999999999999</v>
      </c>
      <c r="AQ141" s="1033">
        <v>0.29559999999999997</v>
      </c>
      <c r="AR141" s="1033">
        <v>0.29220000000000002</v>
      </c>
      <c r="AS141" s="1033">
        <v>0.2888</v>
      </c>
      <c r="AT141" s="1033">
        <v>0.28539999999999999</v>
      </c>
      <c r="AU141" s="1033">
        <v>0.28199999999999997</v>
      </c>
      <c r="AV141" s="1033">
        <v>0.27860000000000001</v>
      </c>
      <c r="AW141" s="1033">
        <v>0.2752</v>
      </c>
      <c r="AX141" s="1033">
        <v>0.27179999999999999</v>
      </c>
      <c r="AY141" s="1033">
        <v>0.26840000000000003</v>
      </c>
      <c r="AZ141" s="1033">
        <v>0.26490000000000002</v>
      </c>
      <c r="BA141" s="1033">
        <v>0.26150000000000001</v>
      </c>
      <c r="BB141" s="1033">
        <v>0.25609999999999999</v>
      </c>
      <c r="BC141" s="1033">
        <v>0.25469999999999998</v>
      </c>
      <c r="BD141" s="1033">
        <v>0.25130000000000002</v>
      </c>
      <c r="BE141" s="1033">
        <v>0.24790000000000001</v>
      </c>
      <c r="BF141" s="1033">
        <v>0.2445</v>
      </c>
      <c r="BH141" s="970">
        <f t="shared" si="63"/>
        <v>0.24790000000000001</v>
      </c>
      <c r="BI141" s="1034">
        <f t="shared" si="36"/>
        <v>142234</v>
      </c>
      <c r="BJ141" s="1034">
        <f t="shared" si="41"/>
        <v>80000</v>
      </c>
      <c r="BK141" s="998">
        <f t="shared" si="59"/>
        <v>16000</v>
      </c>
      <c r="BL141" s="998">
        <f t="shared" si="60"/>
        <v>16000</v>
      </c>
      <c r="BN141" s="1032">
        <v>69</v>
      </c>
      <c r="BQ141" s="998">
        <v>0</v>
      </c>
      <c r="BS141" s="1010">
        <v>0</v>
      </c>
      <c r="BT141" s="976">
        <f t="shared" si="69"/>
        <v>0.77659999999999929</v>
      </c>
      <c r="BU141" s="1">
        <f t="shared" si="61"/>
        <v>142234</v>
      </c>
      <c r="BV141" s="975">
        <f t="shared" si="70"/>
        <v>0.24790000000000001</v>
      </c>
      <c r="BW141" s="1">
        <f t="shared" si="71"/>
        <v>0</v>
      </c>
      <c r="BX141" s="973">
        <f t="shared" si="72"/>
        <v>142234</v>
      </c>
      <c r="BY141" s="973">
        <f t="shared" si="73"/>
        <v>142234</v>
      </c>
      <c r="BZ141" s="973">
        <f t="shared" si="74"/>
        <v>128000</v>
      </c>
      <c r="CC141" s="974">
        <f t="shared" si="75"/>
        <v>200000</v>
      </c>
      <c r="CE141" s="1">
        <f t="shared" si="78"/>
        <v>952200</v>
      </c>
      <c r="CF141" s="1">
        <f t="shared" si="62"/>
        <v>0</v>
      </c>
      <c r="CG141" s="973">
        <f t="shared" si="79"/>
        <v>1152200</v>
      </c>
      <c r="CH141" s="972">
        <f t="shared" si="76"/>
        <v>1152200</v>
      </c>
      <c r="CI141" s="972">
        <f t="shared" si="77"/>
        <v>70</v>
      </c>
      <c r="CJ141" s="972">
        <f t="shared" si="64"/>
        <v>0</v>
      </c>
      <c r="CK141" s="972">
        <f t="shared" si="65"/>
        <v>0</v>
      </c>
      <c r="CL141" s="972">
        <f t="shared" si="66"/>
        <v>0</v>
      </c>
      <c r="CN141" s="954">
        <f t="shared" si="67"/>
        <v>1152200</v>
      </c>
      <c r="CO141" s="1">
        <f t="shared" si="68"/>
        <v>1152200</v>
      </c>
    </row>
    <row r="142" spans="2:93" s="998" customFormat="1" hidden="1">
      <c r="B142" s="1032">
        <v>70</v>
      </c>
      <c r="C142" s="1032"/>
      <c r="D142" s="1032"/>
      <c r="E142" s="1032"/>
      <c r="F142" s="1032"/>
      <c r="G142" s="1032"/>
      <c r="H142" s="1032"/>
      <c r="I142" s="1032"/>
      <c r="J142" s="1032"/>
      <c r="K142" s="1032"/>
      <c r="L142" s="1032"/>
      <c r="M142" s="1032"/>
      <c r="N142" s="1032"/>
      <c r="O142" s="1032"/>
      <c r="P142" s="1032"/>
      <c r="Q142" s="1032"/>
      <c r="R142" s="1032"/>
      <c r="S142" s="1032"/>
      <c r="T142" s="1032"/>
      <c r="U142" s="1032"/>
      <c r="V142" s="1032"/>
      <c r="W142" s="1032"/>
      <c r="X142" s="1032"/>
      <c r="Y142" s="1032"/>
      <c r="Z142" s="1032"/>
      <c r="AA142" s="1032"/>
      <c r="AB142" s="1033">
        <v>0.35</v>
      </c>
      <c r="AC142" s="1033">
        <v>0.34660000000000002</v>
      </c>
      <c r="AD142" s="1033">
        <v>0.34320000000000001</v>
      </c>
      <c r="AE142" s="1033">
        <v>0.33979999999999999</v>
      </c>
      <c r="AF142" s="1033">
        <v>0.33639999999999998</v>
      </c>
      <c r="AG142" s="1033">
        <v>0.33300000000000002</v>
      </c>
      <c r="AH142" s="1033">
        <v>0.3296</v>
      </c>
      <c r="AI142" s="1033">
        <v>0.32619999999999999</v>
      </c>
      <c r="AJ142" s="1033">
        <v>0.32279999999999998</v>
      </c>
      <c r="AK142" s="1033">
        <v>0.31940000000000002</v>
      </c>
      <c r="AL142" s="1033">
        <v>0.316</v>
      </c>
      <c r="AM142" s="1033">
        <v>0.31259999999999999</v>
      </c>
      <c r="AN142" s="1033">
        <v>0.30919999999999997</v>
      </c>
      <c r="AO142" s="1033">
        <v>0.30580000000000002</v>
      </c>
      <c r="AP142" s="1033">
        <v>0.3024</v>
      </c>
      <c r="AQ142" s="1033">
        <v>0.29899999999999999</v>
      </c>
      <c r="AR142" s="1033">
        <v>0.29559999999999997</v>
      </c>
      <c r="AS142" s="1033">
        <v>0.29220000000000002</v>
      </c>
      <c r="AT142" s="1033">
        <v>0.2888</v>
      </c>
      <c r="AU142" s="1033">
        <v>0.28539999999999999</v>
      </c>
      <c r="AV142" s="1033">
        <v>0.28199999999999997</v>
      </c>
      <c r="AW142" s="1033">
        <v>0.27860000000000001</v>
      </c>
      <c r="AX142" s="1033">
        <v>0.2752</v>
      </c>
      <c r="AY142" s="1033">
        <v>0.27179999999999999</v>
      </c>
      <c r="AZ142" s="1033">
        <v>0.26840000000000003</v>
      </c>
      <c r="BA142" s="1033">
        <v>0.26490000000000002</v>
      </c>
      <c r="BB142" s="1033">
        <v>0.26150000000000001</v>
      </c>
      <c r="BC142" s="1033">
        <v>0.25609999999999999</v>
      </c>
      <c r="BD142" s="1033">
        <v>0.25469999999999998</v>
      </c>
      <c r="BE142" s="1033">
        <v>0.25130000000000002</v>
      </c>
      <c r="BF142" s="1033">
        <v>0.24790000000000001</v>
      </c>
      <c r="BH142" s="970">
        <f t="shared" si="63"/>
        <v>0.25130000000000002</v>
      </c>
      <c r="BI142" s="1034">
        <f t="shared" si="36"/>
        <v>143058</v>
      </c>
      <c r="BJ142" s="1034">
        <f t="shared" si="41"/>
        <v>80000</v>
      </c>
      <c r="BK142" s="998">
        <f t="shared" si="59"/>
        <v>16000</v>
      </c>
      <c r="BL142" s="998">
        <f t="shared" si="60"/>
        <v>16000</v>
      </c>
      <c r="BN142" s="1032">
        <v>70</v>
      </c>
      <c r="BQ142" s="998">
        <v>0</v>
      </c>
      <c r="BS142" s="1010">
        <v>0</v>
      </c>
      <c r="BT142" s="976">
        <f t="shared" si="69"/>
        <v>0.78109999999999946</v>
      </c>
      <c r="BU142" s="1">
        <f t="shared" si="61"/>
        <v>143058</v>
      </c>
      <c r="BV142" s="975">
        <f t="shared" si="70"/>
        <v>0.25130000000000002</v>
      </c>
      <c r="BW142" s="1">
        <f t="shared" si="71"/>
        <v>0</v>
      </c>
      <c r="BX142" s="973">
        <f t="shared" si="72"/>
        <v>143058</v>
      </c>
      <c r="BY142" s="973">
        <f t="shared" si="73"/>
        <v>143058</v>
      </c>
      <c r="BZ142" s="973">
        <f t="shared" si="74"/>
        <v>128800</v>
      </c>
      <c r="CC142" s="974">
        <f t="shared" si="75"/>
        <v>200000</v>
      </c>
      <c r="CE142" s="1">
        <f t="shared" si="78"/>
        <v>966000</v>
      </c>
      <c r="CF142" s="1">
        <f t="shared" si="62"/>
        <v>0</v>
      </c>
      <c r="CG142" s="973">
        <f t="shared" si="79"/>
        <v>1166000</v>
      </c>
      <c r="CH142" s="972">
        <f t="shared" si="76"/>
        <v>1166000</v>
      </c>
      <c r="CI142" s="972">
        <f t="shared" si="77"/>
        <v>71</v>
      </c>
      <c r="CJ142" s="972">
        <f t="shared" si="64"/>
        <v>0</v>
      </c>
      <c r="CK142" s="972">
        <f t="shared" si="65"/>
        <v>0</v>
      </c>
      <c r="CL142" s="972">
        <f t="shared" si="66"/>
        <v>0</v>
      </c>
      <c r="CN142" s="954">
        <f t="shared" si="67"/>
        <v>1166000</v>
      </c>
      <c r="CO142" s="1">
        <f t="shared" si="68"/>
        <v>1166000</v>
      </c>
    </row>
    <row r="143" spans="2:93" s="998" customFormat="1" hidden="1">
      <c r="B143" s="1032">
        <v>71</v>
      </c>
      <c r="T143" s="1010"/>
      <c r="U143" s="1010"/>
      <c r="V143" s="1010"/>
      <c r="W143" s="1010"/>
      <c r="X143" s="1010"/>
      <c r="Y143" s="1010"/>
      <c r="Z143" s="1010"/>
      <c r="AA143" s="1010"/>
      <c r="AB143" s="1010"/>
      <c r="AC143" s="1033">
        <v>0.35</v>
      </c>
      <c r="AD143" s="1033">
        <v>0.34660000000000002</v>
      </c>
      <c r="AE143" s="1033">
        <v>0.34320000000000001</v>
      </c>
      <c r="AF143" s="1033">
        <v>0.33979999999999999</v>
      </c>
      <c r="AG143" s="1033">
        <v>0.33639999999999998</v>
      </c>
      <c r="AH143" s="1033">
        <v>0.33300000000000002</v>
      </c>
      <c r="AI143" s="1033">
        <v>0.3296</v>
      </c>
      <c r="AJ143" s="1033">
        <v>0.32619999999999999</v>
      </c>
      <c r="AK143" s="1033">
        <v>0.32279999999999998</v>
      </c>
      <c r="AL143" s="1033">
        <v>0.31940000000000002</v>
      </c>
      <c r="AM143" s="1033">
        <v>0.316</v>
      </c>
      <c r="AN143" s="1033">
        <v>0.31259999999999999</v>
      </c>
      <c r="AO143" s="1033">
        <v>0.30919999999999997</v>
      </c>
      <c r="AP143" s="1033">
        <v>0.30580000000000002</v>
      </c>
      <c r="AQ143" s="1033">
        <v>0.3024</v>
      </c>
      <c r="AR143" s="1033">
        <v>0.29899999999999999</v>
      </c>
      <c r="AS143" s="1033">
        <v>0.29559999999999997</v>
      </c>
      <c r="AT143" s="1033">
        <v>0.29220000000000002</v>
      </c>
      <c r="AU143" s="1033">
        <v>0.2888</v>
      </c>
      <c r="AV143" s="1033">
        <v>0.28539999999999999</v>
      </c>
      <c r="AW143" s="1033">
        <v>0.28199999999999997</v>
      </c>
      <c r="AX143" s="1033">
        <v>0.27860000000000001</v>
      </c>
      <c r="AY143" s="1033">
        <v>0.2752</v>
      </c>
      <c r="AZ143" s="1033">
        <v>0.27179999999999999</v>
      </c>
      <c r="BA143" s="1033">
        <v>0.26840000000000003</v>
      </c>
      <c r="BB143" s="1033">
        <v>0.26490000000000002</v>
      </c>
      <c r="BC143" s="1033">
        <v>0.26150000000000001</v>
      </c>
      <c r="BD143" s="1033">
        <v>0.25609999999999999</v>
      </c>
      <c r="BE143" s="1033">
        <v>0.25469999999999998</v>
      </c>
      <c r="BF143" s="1033">
        <v>0.25130000000000002</v>
      </c>
      <c r="BH143" s="970">
        <f t="shared" si="63"/>
        <v>0.25469999999999998</v>
      </c>
      <c r="BI143" s="1034">
        <f t="shared" si="36"/>
        <v>144176</v>
      </c>
      <c r="BJ143" s="1034">
        <f t="shared" si="41"/>
        <v>80000</v>
      </c>
      <c r="BK143" s="998">
        <f t="shared" si="59"/>
        <v>16000</v>
      </c>
      <c r="BL143" s="998">
        <f t="shared" si="60"/>
        <v>16000</v>
      </c>
      <c r="BN143" s="1032">
        <v>71</v>
      </c>
      <c r="BQ143" s="998">
        <v>0</v>
      </c>
      <c r="BS143" s="1010">
        <v>0</v>
      </c>
      <c r="BT143" s="976">
        <f t="shared" si="69"/>
        <v>0.78719999999999946</v>
      </c>
      <c r="BU143" s="1">
        <f t="shared" si="61"/>
        <v>144176</v>
      </c>
      <c r="BV143" s="975">
        <f t="shared" si="70"/>
        <v>0.25469999999999998</v>
      </c>
      <c r="BW143" s="1">
        <f t="shared" si="71"/>
        <v>0</v>
      </c>
      <c r="BX143" s="973">
        <f t="shared" si="72"/>
        <v>144176</v>
      </c>
      <c r="BY143" s="973">
        <f t="shared" si="73"/>
        <v>144176</v>
      </c>
      <c r="BZ143" s="973">
        <f t="shared" si="74"/>
        <v>129800</v>
      </c>
      <c r="CC143" s="974">
        <f t="shared" si="75"/>
        <v>200000</v>
      </c>
      <c r="CE143" s="1">
        <f t="shared" si="78"/>
        <v>979800</v>
      </c>
      <c r="CF143" s="1">
        <f t="shared" si="62"/>
        <v>0</v>
      </c>
      <c r="CG143" s="973">
        <f t="shared" si="79"/>
        <v>1179800</v>
      </c>
      <c r="CH143" s="972">
        <f t="shared" si="76"/>
        <v>1179800</v>
      </c>
      <c r="CI143" s="972">
        <f t="shared" si="77"/>
        <v>72</v>
      </c>
      <c r="CJ143" s="972">
        <f t="shared" si="64"/>
        <v>0</v>
      </c>
      <c r="CK143" s="972">
        <f t="shared" si="65"/>
        <v>0</v>
      </c>
      <c r="CL143" s="972">
        <f t="shared" si="66"/>
        <v>0</v>
      </c>
      <c r="CN143" s="954">
        <f t="shared" si="67"/>
        <v>1179800</v>
      </c>
      <c r="CO143" s="1">
        <f t="shared" si="68"/>
        <v>1179800</v>
      </c>
    </row>
    <row r="144" spans="2:93" s="998" customFormat="1" hidden="1">
      <c r="B144" s="1032">
        <v>72</v>
      </c>
      <c r="T144" s="1010"/>
      <c r="U144" s="1010"/>
      <c r="V144" s="1010"/>
      <c r="W144" s="1010"/>
      <c r="X144" s="1010"/>
      <c r="Y144" s="1010"/>
      <c r="Z144" s="1010"/>
      <c r="AA144" s="1010"/>
      <c r="AB144" s="1010"/>
      <c r="AC144" s="1010"/>
      <c r="AD144" s="1033">
        <v>0.35</v>
      </c>
      <c r="AE144" s="1033">
        <v>0.34660000000000002</v>
      </c>
      <c r="AF144" s="1033">
        <v>0.34320000000000001</v>
      </c>
      <c r="AG144" s="1033">
        <v>0.33979999999999999</v>
      </c>
      <c r="AH144" s="1033">
        <v>0.33639999999999998</v>
      </c>
      <c r="AI144" s="1033">
        <v>0.33300000000000002</v>
      </c>
      <c r="AJ144" s="1033">
        <v>0.3296</v>
      </c>
      <c r="AK144" s="1033">
        <v>0.32619999999999999</v>
      </c>
      <c r="AL144" s="1033">
        <v>0.32279999999999998</v>
      </c>
      <c r="AM144" s="1033">
        <v>0.31940000000000002</v>
      </c>
      <c r="AN144" s="1033">
        <v>0.316</v>
      </c>
      <c r="AO144" s="1033">
        <v>0.31259999999999999</v>
      </c>
      <c r="AP144" s="1033">
        <v>0.30919999999999997</v>
      </c>
      <c r="AQ144" s="1033">
        <v>0.30580000000000002</v>
      </c>
      <c r="AR144" s="1033">
        <v>0.3024</v>
      </c>
      <c r="AS144" s="1033">
        <v>0.29899999999999999</v>
      </c>
      <c r="AT144" s="1033">
        <v>0.29559999999999997</v>
      </c>
      <c r="AU144" s="1033">
        <v>0.29220000000000002</v>
      </c>
      <c r="AV144" s="1033">
        <v>0.2888</v>
      </c>
      <c r="AW144" s="1033">
        <v>0.28539999999999999</v>
      </c>
      <c r="AX144" s="1033">
        <v>0.28199999999999997</v>
      </c>
      <c r="AY144" s="1033">
        <v>0.27860000000000001</v>
      </c>
      <c r="AZ144" s="1033">
        <v>0.2752</v>
      </c>
      <c r="BA144" s="1033">
        <v>0.27179999999999999</v>
      </c>
      <c r="BB144" s="1033">
        <v>0.26840000000000003</v>
      </c>
      <c r="BC144" s="1033">
        <v>0.26490000000000002</v>
      </c>
      <c r="BD144" s="1033">
        <v>0.26150000000000001</v>
      </c>
      <c r="BE144" s="1033">
        <v>0.25609999999999999</v>
      </c>
      <c r="BF144" s="1033">
        <v>0.25469999999999998</v>
      </c>
      <c r="BH144" s="970">
        <f t="shared" si="63"/>
        <v>0.25609999999999999</v>
      </c>
      <c r="BI144" s="1034">
        <f t="shared" si="36"/>
        <v>144634</v>
      </c>
      <c r="BJ144" s="1034">
        <f t="shared" si="41"/>
        <v>80000</v>
      </c>
      <c r="BK144" s="998">
        <f t="shared" si="59"/>
        <v>16000</v>
      </c>
      <c r="BL144" s="998">
        <f t="shared" si="60"/>
        <v>16000</v>
      </c>
      <c r="BN144" s="1032">
        <v>72</v>
      </c>
      <c r="BQ144" s="998">
        <v>0</v>
      </c>
      <c r="BS144" s="1010">
        <v>0</v>
      </c>
      <c r="BT144" s="976">
        <f t="shared" si="69"/>
        <v>0.78969999999999929</v>
      </c>
      <c r="BU144" s="1">
        <f t="shared" si="61"/>
        <v>144634</v>
      </c>
      <c r="BV144" s="975">
        <f t="shared" si="70"/>
        <v>0.25609999999999999</v>
      </c>
      <c r="BW144" s="1">
        <f t="shared" si="71"/>
        <v>0</v>
      </c>
      <c r="BX144" s="973">
        <f t="shared" si="72"/>
        <v>144634</v>
      </c>
      <c r="BY144" s="973">
        <f t="shared" si="73"/>
        <v>144634</v>
      </c>
      <c r="BZ144" s="973">
        <f t="shared" si="74"/>
        <v>130200</v>
      </c>
      <c r="CC144" s="974">
        <f t="shared" si="75"/>
        <v>200000</v>
      </c>
      <c r="CE144" s="1">
        <f t="shared" si="78"/>
        <v>993600</v>
      </c>
      <c r="CF144" s="1">
        <f t="shared" si="62"/>
        <v>0</v>
      </c>
      <c r="CG144" s="973">
        <f t="shared" si="79"/>
        <v>1193600</v>
      </c>
      <c r="CH144" s="972">
        <f t="shared" si="76"/>
        <v>1193600</v>
      </c>
      <c r="CI144" s="972">
        <f t="shared" si="77"/>
        <v>73</v>
      </c>
      <c r="CJ144" s="972">
        <f t="shared" si="64"/>
        <v>0</v>
      </c>
      <c r="CK144" s="972">
        <f t="shared" si="65"/>
        <v>0</v>
      </c>
      <c r="CL144" s="972">
        <f t="shared" si="66"/>
        <v>0</v>
      </c>
      <c r="CN144" s="954">
        <f t="shared" si="67"/>
        <v>1193600</v>
      </c>
      <c r="CO144" s="1">
        <f t="shared" si="68"/>
        <v>1193600</v>
      </c>
    </row>
    <row r="145" spans="2:93" s="998" customFormat="1" hidden="1">
      <c r="B145" s="1032">
        <v>73</v>
      </c>
      <c r="T145" s="1010"/>
      <c r="U145" s="1010"/>
      <c r="V145" s="1010"/>
      <c r="W145" s="1010"/>
      <c r="X145" s="1010"/>
      <c r="Y145" s="1010"/>
      <c r="Z145" s="1010"/>
      <c r="AA145" s="1010"/>
      <c r="AB145" s="1010"/>
      <c r="AC145" s="1010"/>
      <c r="AD145" s="1010"/>
      <c r="AE145" s="1033">
        <v>0.35</v>
      </c>
      <c r="AF145" s="1033">
        <v>0.34660000000000002</v>
      </c>
      <c r="AG145" s="1033">
        <v>0.34320000000000001</v>
      </c>
      <c r="AH145" s="1033">
        <v>0.33979999999999999</v>
      </c>
      <c r="AI145" s="1033">
        <v>0.33639999999999998</v>
      </c>
      <c r="AJ145" s="1033">
        <v>0.33300000000000002</v>
      </c>
      <c r="AK145" s="1033">
        <v>0.3296</v>
      </c>
      <c r="AL145" s="1033">
        <v>0.32619999999999999</v>
      </c>
      <c r="AM145" s="1033">
        <v>0.32279999999999998</v>
      </c>
      <c r="AN145" s="1033">
        <v>0.31940000000000002</v>
      </c>
      <c r="AO145" s="1033">
        <v>0.316</v>
      </c>
      <c r="AP145" s="1033">
        <v>0.31259999999999999</v>
      </c>
      <c r="AQ145" s="1033">
        <v>0.30919999999999997</v>
      </c>
      <c r="AR145" s="1033">
        <v>0.30580000000000002</v>
      </c>
      <c r="AS145" s="1033">
        <v>0.3024</v>
      </c>
      <c r="AT145" s="1033">
        <v>0.29899999999999999</v>
      </c>
      <c r="AU145" s="1033">
        <v>0.29559999999999997</v>
      </c>
      <c r="AV145" s="1033">
        <v>0.29220000000000002</v>
      </c>
      <c r="AW145" s="1033">
        <v>0.2888</v>
      </c>
      <c r="AX145" s="1033">
        <v>0.28539999999999999</v>
      </c>
      <c r="AY145" s="1033">
        <v>0.28199999999999997</v>
      </c>
      <c r="AZ145" s="1033">
        <v>0.27860000000000001</v>
      </c>
      <c r="BA145" s="1033">
        <v>0.2752</v>
      </c>
      <c r="BB145" s="1033">
        <v>0.27179999999999999</v>
      </c>
      <c r="BC145" s="1033">
        <v>0.26840000000000003</v>
      </c>
      <c r="BD145" s="1033">
        <v>0.26490000000000002</v>
      </c>
      <c r="BE145" s="1033">
        <v>0.26150000000000001</v>
      </c>
      <c r="BF145" s="1033">
        <v>0.25609999999999999</v>
      </c>
      <c r="BH145" s="970">
        <f t="shared" si="63"/>
        <v>0.26150000000000001</v>
      </c>
      <c r="BI145" s="1034">
        <f t="shared" si="36"/>
        <v>143956</v>
      </c>
      <c r="BJ145" s="1034">
        <f t="shared" si="41"/>
        <v>80000</v>
      </c>
      <c r="BK145" s="998">
        <f t="shared" si="59"/>
        <v>16000</v>
      </c>
      <c r="BL145" s="998">
        <f t="shared" si="60"/>
        <v>16000</v>
      </c>
      <c r="BN145" s="1032">
        <v>73</v>
      </c>
      <c r="BQ145" s="998">
        <v>0</v>
      </c>
      <c r="BS145" s="1010">
        <v>0</v>
      </c>
      <c r="BT145" s="976">
        <f t="shared" si="69"/>
        <v>0.78599999999999948</v>
      </c>
      <c r="BU145" s="1">
        <f t="shared" si="61"/>
        <v>143956</v>
      </c>
      <c r="BV145" s="975">
        <f t="shared" si="70"/>
        <v>0.26150000000000001</v>
      </c>
      <c r="BW145" s="1">
        <f t="shared" si="71"/>
        <v>0</v>
      </c>
      <c r="BX145" s="973">
        <f t="shared" si="72"/>
        <v>143956</v>
      </c>
      <c r="BY145" s="973">
        <f t="shared" si="73"/>
        <v>143956</v>
      </c>
      <c r="BZ145" s="973">
        <f t="shared" si="74"/>
        <v>129600</v>
      </c>
      <c r="CC145" s="974">
        <f t="shared" si="75"/>
        <v>200000</v>
      </c>
      <c r="CE145" s="1">
        <f t="shared" si="78"/>
        <v>1007400</v>
      </c>
      <c r="CF145" s="1">
        <f t="shared" si="62"/>
        <v>0</v>
      </c>
      <c r="CG145" s="973">
        <f t="shared" si="79"/>
        <v>1207400</v>
      </c>
      <c r="CH145" s="972">
        <f t="shared" si="76"/>
        <v>1207400</v>
      </c>
      <c r="CI145" s="972">
        <f t="shared" si="77"/>
        <v>74</v>
      </c>
      <c r="CJ145" s="972">
        <f t="shared" si="64"/>
        <v>0</v>
      </c>
      <c r="CK145" s="972">
        <f t="shared" si="65"/>
        <v>0</v>
      </c>
      <c r="CL145" s="972">
        <f t="shared" si="66"/>
        <v>0</v>
      </c>
      <c r="CN145" s="954">
        <f t="shared" si="67"/>
        <v>1207400</v>
      </c>
      <c r="CO145" s="1">
        <f t="shared" si="68"/>
        <v>1207400</v>
      </c>
    </row>
    <row r="146" spans="2:93" s="998" customFormat="1" hidden="1">
      <c r="B146" s="1032">
        <v>74</v>
      </c>
      <c r="T146" s="1010"/>
      <c r="U146" s="1010"/>
      <c r="V146" s="1010"/>
      <c r="W146" s="1010"/>
      <c r="X146" s="1010"/>
      <c r="Y146" s="1010"/>
      <c r="Z146" s="1010"/>
      <c r="AA146" s="1010"/>
      <c r="AB146" s="1010"/>
      <c r="AC146" s="1010"/>
      <c r="AD146" s="1010"/>
      <c r="AE146" s="1010"/>
      <c r="AF146" s="1033">
        <v>0.35</v>
      </c>
      <c r="AG146" s="1033">
        <v>0.34660000000000002</v>
      </c>
      <c r="AH146" s="1033">
        <v>0.34320000000000001</v>
      </c>
      <c r="AI146" s="1033">
        <v>0.33979999999999999</v>
      </c>
      <c r="AJ146" s="1033">
        <v>0.33639999999999998</v>
      </c>
      <c r="AK146" s="1033">
        <v>0.33300000000000002</v>
      </c>
      <c r="AL146" s="1033">
        <v>0.3296</v>
      </c>
      <c r="AM146" s="1033">
        <v>0.32619999999999999</v>
      </c>
      <c r="AN146" s="1033">
        <v>0.32279999999999998</v>
      </c>
      <c r="AO146" s="1033">
        <v>0.31940000000000002</v>
      </c>
      <c r="AP146" s="1033">
        <v>0.316</v>
      </c>
      <c r="AQ146" s="1033">
        <v>0.31259999999999999</v>
      </c>
      <c r="AR146" s="1033">
        <v>0.30919999999999997</v>
      </c>
      <c r="AS146" s="1033">
        <v>0.30580000000000002</v>
      </c>
      <c r="AT146" s="1033">
        <v>0.3024</v>
      </c>
      <c r="AU146" s="1033">
        <v>0.29899999999999999</v>
      </c>
      <c r="AV146" s="1033">
        <v>0.29559999999999997</v>
      </c>
      <c r="AW146" s="1033">
        <v>0.29220000000000002</v>
      </c>
      <c r="AX146" s="1033">
        <v>0.2888</v>
      </c>
      <c r="AY146" s="1033">
        <v>0.28539999999999999</v>
      </c>
      <c r="AZ146" s="1033">
        <v>0.28199999999999997</v>
      </c>
      <c r="BA146" s="1033">
        <v>0.27860000000000001</v>
      </c>
      <c r="BB146" s="1033">
        <v>0.2752</v>
      </c>
      <c r="BC146" s="1033">
        <v>0.27179999999999999</v>
      </c>
      <c r="BD146" s="1033">
        <v>0.26840000000000003</v>
      </c>
      <c r="BE146" s="1033">
        <v>0.26490000000000002</v>
      </c>
      <c r="BF146" s="1033">
        <v>0.26150000000000001</v>
      </c>
      <c r="BH146" s="970">
        <f t="shared" si="63"/>
        <v>0.26490000000000002</v>
      </c>
      <c r="BI146" s="1034">
        <f t="shared" si="36"/>
        <v>145036</v>
      </c>
      <c r="BJ146" s="1034">
        <f t="shared" si="41"/>
        <v>80000</v>
      </c>
      <c r="BK146" s="998">
        <f t="shared" si="59"/>
        <v>16000</v>
      </c>
      <c r="BL146" s="998">
        <f t="shared" si="60"/>
        <v>16000</v>
      </c>
      <c r="BN146" s="1032">
        <v>74</v>
      </c>
      <c r="BQ146" s="998">
        <v>0</v>
      </c>
      <c r="BS146" s="1010">
        <v>0</v>
      </c>
      <c r="BT146" s="976">
        <f t="shared" si="69"/>
        <v>0.79189999999999949</v>
      </c>
      <c r="BU146" s="1">
        <f t="shared" si="61"/>
        <v>145036</v>
      </c>
      <c r="BV146" s="975">
        <f t="shared" si="70"/>
        <v>0.26490000000000002</v>
      </c>
      <c r="BW146" s="1">
        <f t="shared" si="71"/>
        <v>0</v>
      </c>
      <c r="BX146" s="973">
        <f t="shared" si="72"/>
        <v>145036</v>
      </c>
      <c r="BY146" s="973">
        <f t="shared" si="73"/>
        <v>145036</v>
      </c>
      <c r="BZ146" s="973">
        <f t="shared" si="74"/>
        <v>130500</v>
      </c>
      <c r="CC146" s="974">
        <f t="shared" si="75"/>
        <v>200000</v>
      </c>
      <c r="CE146" s="1">
        <f t="shared" si="78"/>
        <v>1021200</v>
      </c>
      <c r="CF146" s="1">
        <f t="shared" si="62"/>
        <v>0</v>
      </c>
      <c r="CG146" s="973">
        <f t="shared" si="79"/>
        <v>1221200</v>
      </c>
      <c r="CH146" s="972">
        <f t="shared" si="76"/>
        <v>1221200</v>
      </c>
      <c r="CI146" s="972">
        <f t="shared" si="77"/>
        <v>75</v>
      </c>
      <c r="CJ146" s="972">
        <f t="shared" si="64"/>
        <v>0</v>
      </c>
      <c r="CK146" s="972">
        <f t="shared" si="65"/>
        <v>0</v>
      </c>
      <c r="CL146" s="972">
        <f t="shared" si="66"/>
        <v>0</v>
      </c>
      <c r="CN146" s="954">
        <f t="shared" si="67"/>
        <v>1221200</v>
      </c>
      <c r="CO146" s="1">
        <f t="shared" si="68"/>
        <v>1221200</v>
      </c>
    </row>
    <row r="147" spans="2:93" s="998" customFormat="1" hidden="1">
      <c r="B147" s="1032">
        <v>75</v>
      </c>
      <c r="T147" s="1010"/>
      <c r="U147" s="1010"/>
      <c r="V147" s="1010"/>
      <c r="W147" s="1010"/>
      <c r="X147" s="1010"/>
      <c r="Y147" s="1010"/>
      <c r="Z147" s="1010"/>
      <c r="AA147" s="1010"/>
      <c r="AB147" s="1010"/>
      <c r="AC147" s="1010"/>
      <c r="AD147" s="1010"/>
      <c r="AE147" s="1010"/>
      <c r="AF147" s="1010"/>
      <c r="AG147" s="1033">
        <v>0.35</v>
      </c>
      <c r="AH147" s="1033">
        <v>0.34660000000000002</v>
      </c>
      <c r="AI147" s="1033">
        <v>0.34320000000000001</v>
      </c>
      <c r="AJ147" s="1033">
        <v>0.33979999999999999</v>
      </c>
      <c r="AK147" s="1033">
        <v>0.33639999999999998</v>
      </c>
      <c r="AL147" s="1033">
        <v>0.33300000000000002</v>
      </c>
      <c r="AM147" s="1033">
        <v>0.3296</v>
      </c>
      <c r="AN147" s="1033">
        <v>0.32619999999999999</v>
      </c>
      <c r="AO147" s="1033">
        <v>0.32279999999999998</v>
      </c>
      <c r="AP147" s="1033">
        <v>0.31940000000000002</v>
      </c>
      <c r="AQ147" s="1033">
        <v>0.316</v>
      </c>
      <c r="AR147" s="1033">
        <v>0.31259999999999999</v>
      </c>
      <c r="AS147" s="1033">
        <v>0.30919999999999997</v>
      </c>
      <c r="AT147" s="1033">
        <v>0.30580000000000002</v>
      </c>
      <c r="AU147" s="1033">
        <v>0.3024</v>
      </c>
      <c r="AV147" s="1033">
        <v>0.29899999999999999</v>
      </c>
      <c r="AW147" s="1033">
        <v>0.29559999999999997</v>
      </c>
      <c r="AX147" s="1033">
        <v>0.29220000000000002</v>
      </c>
      <c r="AY147" s="1033">
        <v>0.2888</v>
      </c>
      <c r="AZ147" s="1033">
        <v>0.28539999999999999</v>
      </c>
      <c r="BA147" s="1033">
        <v>0.28199999999999997</v>
      </c>
      <c r="BB147" s="1033">
        <v>0.27860000000000001</v>
      </c>
      <c r="BC147" s="1033">
        <v>0.2752</v>
      </c>
      <c r="BD147" s="1033">
        <v>0.27179999999999999</v>
      </c>
      <c r="BE147" s="1033">
        <v>0.26840000000000003</v>
      </c>
      <c r="BF147" s="1033">
        <v>0.26490000000000002</v>
      </c>
      <c r="BH147" s="970">
        <f t="shared" si="63"/>
        <v>0.26840000000000003</v>
      </c>
      <c r="BI147" s="1034">
        <f t="shared" si="36"/>
        <v>146117</v>
      </c>
      <c r="BJ147" s="1034">
        <f t="shared" si="41"/>
        <v>80000</v>
      </c>
      <c r="BK147" s="998">
        <f t="shared" si="59"/>
        <v>16000</v>
      </c>
      <c r="BL147" s="998">
        <f t="shared" si="60"/>
        <v>16000</v>
      </c>
      <c r="BN147" s="1032">
        <v>75</v>
      </c>
      <c r="BQ147" s="998">
        <v>0</v>
      </c>
      <c r="BS147" s="1010">
        <v>0</v>
      </c>
      <c r="BT147" s="976">
        <f t="shared" si="69"/>
        <v>0.79779999999999951</v>
      </c>
      <c r="BU147" s="1">
        <f t="shared" si="61"/>
        <v>146117</v>
      </c>
      <c r="BV147" s="975">
        <f t="shared" si="70"/>
        <v>0.26840000000000003</v>
      </c>
      <c r="BW147" s="1">
        <f t="shared" si="71"/>
        <v>0</v>
      </c>
      <c r="BX147" s="973">
        <f t="shared" si="72"/>
        <v>146117</v>
      </c>
      <c r="BY147" s="973">
        <f t="shared" si="73"/>
        <v>146117</v>
      </c>
      <c r="BZ147" s="973">
        <f t="shared" si="74"/>
        <v>131500</v>
      </c>
      <c r="CC147" s="974">
        <f t="shared" si="75"/>
        <v>200000</v>
      </c>
      <c r="CE147" s="1">
        <f t="shared" si="78"/>
        <v>1035000</v>
      </c>
      <c r="CF147" s="1">
        <f t="shared" si="62"/>
        <v>0</v>
      </c>
      <c r="CG147" s="973">
        <f t="shared" si="79"/>
        <v>1235000</v>
      </c>
      <c r="CH147" s="972">
        <f t="shared" si="76"/>
        <v>1235000</v>
      </c>
      <c r="CI147" s="972">
        <f t="shared" si="77"/>
        <v>76</v>
      </c>
      <c r="CJ147" s="972">
        <f t="shared" si="64"/>
        <v>0</v>
      </c>
      <c r="CK147" s="972">
        <f t="shared" si="65"/>
        <v>0</v>
      </c>
      <c r="CL147" s="972">
        <f t="shared" si="66"/>
        <v>0</v>
      </c>
      <c r="CN147" s="954">
        <f t="shared" si="67"/>
        <v>1235000</v>
      </c>
      <c r="CO147" s="1">
        <f t="shared" si="68"/>
        <v>1235000</v>
      </c>
    </row>
    <row r="148" spans="2:93" s="998" customFormat="1" hidden="1">
      <c r="B148" s="1032">
        <v>76</v>
      </c>
      <c r="T148" s="1010"/>
      <c r="U148" s="1010"/>
      <c r="V148" s="1010"/>
      <c r="W148" s="1010"/>
      <c r="X148" s="1010"/>
      <c r="Y148" s="1010"/>
      <c r="Z148" s="1010"/>
      <c r="AA148" s="1010"/>
      <c r="AB148" s="1010"/>
      <c r="AC148" s="1010"/>
      <c r="AD148" s="1010"/>
      <c r="AE148" s="1010"/>
      <c r="AF148" s="1010"/>
      <c r="AG148" s="1010"/>
      <c r="AH148" s="1033">
        <v>0.35</v>
      </c>
      <c r="AI148" s="1033">
        <v>0.34660000000000002</v>
      </c>
      <c r="AJ148" s="1033">
        <v>0.34320000000000001</v>
      </c>
      <c r="AK148" s="1033">
        <v>0.33979999999999999</v>
      </c>
      <c r="AL148" s="1033">
        <v>0.33639999999999998</v>
      </c>
      <c r="AM148" s="1033">
        <v>0.33300000000000002</v>
      </c>
      <c r="AN148" s="1033">
        <v>0.3296</v>
      </c>
      <c r="AO148" s="1033">
        <v>0.32619999999999999</v>
      </c>
      <c r="AP148" s="1033">
        <v>0.32279999999999998</v>
      </c>
      <c r="AQ148" s="1033">
        <v>0.31940000000000002</v>
      </c>
      <c r="AR148" s="1033">
        <v>0.316</v>
      </c>
      <c r="AS148" s="1033">
        <v>0.31259999999999999</v>
      </c>
      <c r="AT148" s="1033">
        <v>0.30919999999999997</v>
      </c>
      <c r="AU148" s="1033">
        <v>0.30580000000000002</v>
      </c>
      <c r="AV148" s="1033">
        <v>0.3024</v>
      </c>
      <c r="AW148" s="1033">
        <v>0.29899999999999999</v>
      </c>
      <c r="AX148" s="1033">
        <v>0.29559999999999997</v>
      </c>
      <c r="AY148" s="1033">
        <v>0.29220000000000002</v>
      </c>
      <c r="AZ148" s="1033">
        <v>0.2888</v>
      </c>
      <c r="BA148" s="1033">
        <v>0.28539999999999999</v>
      </c>
      <c r="BB148" s="1033">
        <v>0.28199999999999997</v>
      </c>
      <c r="BC148" s="1033">
        <v>0.27860000000000001</v>
      </c>
      <c r="BD148" s="1033">
        <v>0.2752</v>
      </c>
      <c r="BE148" s="1033">
        <v>0.27179999999999999</v>
      </c>
      <c r="BF148" s="1033">
        <v>0.26840000000000003</v>
      </c>
      <c r="BH148" s="970">
        <f t="shared" si="63"/>
        <v>0.27179999999999999</v>
      </c>
      <c r="BI148" s="1034">
        <f t="shared" si="36"/>
        <v>147198</v>
      </c>
      <c r="BJ148" s="1034">
        <f t="shared" si="41"/>
        <v>80000</v>
      </c>
      <c r="BK148" s="998">
        <f t="shared" si="59"/>
        <v>16000</v>
      </c>
      <c r="BL148" s="998">
        <f t="shared" si="60"/>
        <v>16000</v>
      </c>
      <c r="BN148" s="1032">
        <v>76</v>
      </c>
      <c r="BQ148" s="998">
        <v>0</v>
      </c>
      <c r="BS148" s="1010">
        <v>0</v>
      </c>
      <c r="BT148" s="976">
        <f t="shared" si="69"/>
        <v>0.80369999999999953</v>
      </c>
      <c r="BU148" s="1">
        <f t="shared" si="61"/>
        <v>147198</v>
      </c>
      <c r="BV148" s="975">
        <f t="shared" si="70"/>
        <v>0.27179999999999999</v>
      </c>
      <c r="BW148" s="1">
        <f t="shared" si="71"/>
        <v>0</v>
      </c>
      <c r="BX148" s="973">
        <f t="shared" si="72"/>
        <v>147198</v>
      </c>
      <c r="BY148" s="973">
        <f t="shared" si="73"/>
        <v>147198</v>
      </c>
      <c r="BZ148" s="973">
        <f t="shared" si="74"/>
        <v>132500</v>
      </c>
      <c r="CC148" s="974">
        <f t="shared" si="75"/>
        <v>200000</v>
      </c>
      <c r="CE148" s="1">
        <f t="shared" si="78"/>
        <v>1048800</v>
      </c>
      <c r="CF148" s="1">
        <f t="shared" si="62"/>
        <v>0</v>
      </c>
      <c r="CG148" s="973">
        <f t="shared" si="79"/>
        <v>1248800</v>
      </c>
      <c r="CH148" s="972">
        <f t="shared" si="76"/>
        <v>1248800</v>
      </c>
      <c r="CI148" s="972">
        <f t="shared" si="77"/>
        <v>77</v>
      </c>
      <c r="CJ148" s="972">
        <f t="shared" si="64"/>
        <v>0</v>
      </c>
      <c r="CK148" s="972">
        <f t="shared" si="65"/>
        <v>0</v>
      </c>
      <c r="CL148" s="972">
        <f t="shared" si="66"/>
        <v>0</v>
      </c>
      <c r="CN148" s="954">
        <f t="shared" si="67"/>
        <v>1248800</v>
      </c>
      <c r="CO148" s="1">
        <f t="shared" si="68"/>
        <v>1248800</v>
      </c>
    </row>
    <row r="149" spans="2:93" s="998" customFormat="1" hidden="1">
      <c r="B149" s="1032">
        <v>77</v>
      </c>
      <c r="T149" s="1010"/>
      <c r="U149" s="1010"/>
      <c r="V149" s="1010"/>
      <c r="W149" s="1010"/>
      <c r="X149" s="1010"/>
      <c r="Y149" s="1010"/>
      <c r="Z149" s="1010"/>
      <c r="AA149" s="1010"/>
      <c r="AB149" s="1010"/>
      <c r="AC149" s="1010"/>
      <c r="AD149" s="1010"/>
      <c r="AE149" s="1010"/>
      <c r="AF149" s="1010"/>
      <c r="AG149" s="1010"/>
      <c r="AH149" s="1010"/>
      <c r="AI149" s="1033">
        <v>0.35</v>
      </c>
      <c r="AJ149" s="1033">
        <v>0.34660000000000002</v>
      </c>
      <c r="AK149" s="1033">
        <v>0.34320000000000001</v>
      </c>
      <c r="AL149" s="1033">
        <v>0.33979999999999999</v>
      </c>
      <c r="AM149" s="1033">
        <v>0.33639999999999998</v>
      </c>
      <c r="AN149" s="1033">
        <v>0.33300000000000002</v>
      </c>
      <c r="AO149" s="1033">
        <v>0.3296</v>
      </c>
      <c r="AP149" s="1033">
        <v>0.32619999999999999</v>
      </c>
      <c r="AQ149" s="1033">
        <v>0.32279999999999998</v>
      </c>
      <c r="AR149" s="1033">
        <v>0.31940000000000002</v>
      </c>
      <c r="AS149" s="1033">
        <v>0.316</v>
      </c>
      <c r="AT149" s="1033">
        <v>0.31259999999999999</v>
      </c>
      <c r="AU149" s="1033">
        <v>0.30919999999999997</v>
      </c>
      <c r="AV149" s="1033">
        <v>0.30580000000000002</v>
      </c>
      <c r="AW149" s="1033">
        <v>0.3024</v>
      </c>
      <c r="AX149" s="1033">
        <v>0.29899999999999999</v>
      </c>
      <c r="AY149" s="1033">
        <v>0.29559999999999997</v>
      </c>
      <c r="AZ149" s="1033">
        <v>0.29220000000000002</v>
      </c>
      <c r="BA149" s="1033">
        <v>0.2888</v>
      </c>
      <c r="BB149" s="1033">
        <v>0.28539999999999999</v>
      </c>
      <c r="BC149" s="1033">
        <v>0.28199999999999997</v>
      </c>
      <c r="BD149" s="1033">
        <v>0.27860000000000001</v>
      </c>
      <c r="BE149" s="1033">
        <v>0.2752</v>
      </c>
      <c r="BF149" s="1033">
        <v>0.27179999999999999</v>
      </c>
      <c r="BH149" s="970">
        <f t="shared" si="63"/>
        <v>0.2752</v>
      </c>
      <c r="BI149" s="1034">
        <f t="shared" si="36"/>
        <v>147344</v>
      </c>
      <c r="BJ149" s="1034">
        <f t="shared" si="41"/>
        <v>80000</v>
      </c>
      <c r="BK149" s="998">
        <f t="shared" si="59"/>
        <v>16000</v>
      </c>
      <c r="BL149" s="998">
        <f t="shared" si="60"/>
        <v>16000</v>
      </c>
      <c r="BN149" s="1032">
        <v>77</v>
      </c>
      <c r="BQ149" s="998">
        <v>0</v>
      </c>
      <c r="BS149" s="1010">
        <v>0</v>
      </c>
      <c r="BT149" s="976">
        <f t="shared" si="69"/>
        <v>0.80449999999999955</v>
      </c>
      <c r="BU149" s="1">
        <f t="shared" si="61"/>
        <v>147344</v>
      </c>
      <c r="BV149" s="975">
        <f t="shared" si="70"/>
        <v>0.2752</v>
      </c>
      <c r="BW149" s="1">
        <f t="shared" si="71"/>
        <v>0</v>
      </c>
      <c r="BX149" s="973">
        <f t="shared" si="72"/>
        <v>147344</v>
      </c>
      <c r="BY149" s="973">
        <f t="shared" si="73"/>
        <v>147344</v>
      </c>
      <c r="BZ149" s="973">
        <f t="shared" si="74"/>
        <v>132600</v>
      </c>
      <c r="CC149" s="974">
        <f t="shared" si="75"/>
        <v>200000</v>
      </c>
      <c r="CE149" s="1">
        <f t="shared" si="78"/>
        <v>1062600</v>
      </c>
      <c r="CF149" s="1">
        <f t="shared" si="62"/>
        <v>0</v>
      </c>
      <c r="CG149" s="973">
        <f t="shared" si="79"/>
        <v>1262600</v>
      </c>
      <c r="CH149" s="972">
        <f t="shared" si="76"/>
        <v>1262600</v>
      </c>
      <c r="CI149" s="972">
        <f t="shared" si="77"/>
        <v>78</v>
      </c>
      <c r="CJ149" s="972">
        <f t="shared" si="64"/>
        <v>0</v>
      </c>
      <c r="CK149" s="972">
        <f t="shared" si="65"/>
        <v>0</v>
      </c>
      <c r="CL149" s="972">
        <f t="shared" si="66"/>
        <v>0</v>
      </c>
      <c r="CN149" s="954">
        <f t="shared" si="67"/>
        <v>1262600</v>
      </c>
      <c r="CO149" s="1">
        <f t="shared" si="68"/>
        <v>1262600</v>
      </c>
    </row>
    <row r="150" spans="2:93" s="998" customFormat="1" hidden="1">
      <c r="B150" s="1032">
        <v>78</v>
      </c>
      <c r="T150" s="1010"/>
      <c r="U150" s="1010"/>
      <c r="V150" s="1010"/>
      <c r="W150" s="1010"/>
      <c r="X150" s="1010"/>
      <c r="Y150" s="1010"/>
      <c r="Z150" s="1010"/>
      <c r="AA150" s="1010"/>
      <c r="AB150" s="1010"/>
      <c r="AC150" s="1010"/>
      <c r="AD150" s="1010"/>
      <c r="AE150" s="1010"/>
      <c r="AF150" s="1010"/>
      <c r="AG150" s="1010"/>
      <c r="AH150" s="1010"/>
      <c r="AI150" s="1010"/>
      <c r="AJ150" s="1033">
        <v>0.35</v>
      </c>
      <c r="AK150" s="1033">
        <v>0.34660000000000002</v>
      </c>
      <c r="AL150" s="1033">
        <v>0.34320000000000001</v>
      </c>
      <c r="AM150" s="1033">
        <v>0.33979999999999999</v>
      </c>
      <c r="AN150" s="1033">
        <v>0.33639999999999998</v>
      </c>
      <c r="AO150" s="1033">
        <v>0.33300000000000002</v>
      </c>
      <c r="AP150" s="1033">
        <v>0.3296</v>
      </c>
      <c r="AQ150" s="1033">
        <v>0.32619999999999999</v>
      </c>
      <c r="AR150" s="1033">
        <v>0.32279999999999998</v>
      </c>
      <c r="AS150" s="1033">
        <v>0.31940000000000002</v>
      </c>
      <c r="AT150" s="1033">
        <v>0.316</v>
      </c>
      <c r="AU150" s="1033">
        <v>0.31259999999999999</v>
      </c>
      <c r="AV150" s="1033">
        <v>0.30919999999999997</v>
      </c>
      <c r="AW150" s="1033">
        <v>0.30580000000000002</v>
      </c>
      <c r="AX150" s="1033">
        <v>0.3024</v>
      </c>
      <c r="AY150" s="1033">
        <v>0.29899999999999999</v>
      </c>
      <c r="AZ150" s="1033">
        <v>0.29559999999999997</v>
      </c>
      <c r="BA150" s="1033">
        <v>0.29220000000000002</v>
      </c>
      <c r="BB150" s="1033">
        <v>0.2888</v>
      </c>
      <c r="BC150" s="1033">
        <v>0.28539999999999999</v>
      </c>
      <c r="BD150" s="1033">
        <v>0.28199999999999997</v>
      </c>
      <c r="BE150" s="1033">
        <v>0.27860000000000001</v>
      </c>
      <c r="BF150" s="1033">
        <v>0.2752</v>
      </c>
      <c r="BH150" s="970">
        <f t="shared" si="63"/>
        <v>0.27860000000000001</v>
      </c>
      <c r="BI150" s="1034">
        <f t="shared" si="36"/>
        <v>148406</v>
      </c>
      <c r="BJ150" s="1034">
        <f t="shared" si="41"/>
        <v>80000</v>
      </c>
      <c r="BK150" s="998">
        <f t="shared" si="59"/>
        <v>16000</v>
      </c>
      <c r="BL150" s="998">
        <f t="shared" si="60"/>
        <v>16000</v>
      </c>
      <c r="BN150" s="1032">
        <v>78</v>
      </c>
      <c r="BQ150" s="998">
        <v>0</v>
      </c>
      <c r="BS150" s="1010">
        <v>0</v>
      </c>
      <c r="BT150" s="976">
        <f t="shared" si="69"/>
        <v>0.81029999999999958</v>
      </c>
      <c r="BU150" s="1">
        <f t="shared" si="61"/>
        <v>148406</v>
      </c>
      <c r="BV150" s="975">
        <f t="shared" si="70"/>
        <v>0.27860000000000001</v>
      </c>
      <c r="BW150" s="1">
        <f t="shared" si="71"/>
        <v>0</v>
      </c>
      <c r="BX150" s="973">
        <f t="shared" si="72"/>
        <v>148406</v>
      </c>
      <c r="BY150" s="973">
        <f t="shared" si="73"/>
        <v>148406</v>
      </c>
      <c r="BZ150" s="973">
        <f t="shared" si="74"/>
        <v>133600</v>
      </c>
      <c r="CC150" s="974">
        <f t="shared" si="75"/>
        <v>200000</v>
      </c>
      <c r="CE150" s="1">
        <f t="shared" si="78"/>
        <v>1076400</v>
      </c>
      <c r="CF150" s="1">
        <f t="shared" si="62"/>
        <v>0</v>
      </c>
      <c r="CG150" s="973">
        <f t="shared" si="79"/>
        <v>1276400</v>
      </c>
      <c r="CH150" s="972">
        <f t="shared" si="76"/>
        <v>1276400</v>
      </c>
      <c r="CI150" s="972">
        <f t="shared" si="77"/>
        <v>79</v>
      </c>
      <c r="CJ150" s="972">
        <f t="shared" si="64"/>
        <v>0</v>
      </c>
      <c r="CK150" s="972">
        <f t="shared" si="65"/>
        <v>0</v>
      </c>
      <c r="CL150" s="972">
        <f t="shared" si="66"/>
        <v>0</v>
      </c>
      <c r="CN150" s="954">
        <f t="shared" si="67"/>
        <v>1276400</v>
      </c>
      <c r="CO150" s="1">
        <f t="shared" si="68"/>
        <v>1276400</v>
      </c>
    </row>
    <row r="151" spans="2:93" s="998" customFormat="1" hidden="1">
      <c r="B151" s="1032">
        <v>79</v>
      </c>
      <c r="T151" s="1010"/>
      <c r="U151" s="1010"/>
      <c r="V151" s="1010"/>
      <c r="W151" s="1010"/>
      <c r="X151" s="1010"/>
      <c r="Y151" s="1010"/>
      <c r="Z151" s="1010"/>
      <c r="AA151" s="1010"/>
      <c r="AB151" s="1010"/>
      <c r="AC151" s="1010"/>
      <c r="AD151" s="1010"/>
      <c r="AE151" s="1010"/>
      <c r="AF151" s="1010"/>
      <c r="AG151" s="1010"/>
      <c r="AH151" s="1010"/>
      <c r="AI151" s="1010"/>
      <c r="AJ151" s="1010"/>
      <c r="AK151" s="1033">
        <v>0.35</v>
      </c>
      <c r="AL151" s="1033">
        <v>0.34660000000000002</v>
      </c>
      <c r="AM151" s="1033">
        <v>0.34320000000000001</v>
      </c>
      <c r="AN151" s="1033">
        <v>0.33979999999999999</v>
      </c>
      <c r="AO151" s="1033">
        <v>0.33639999999999998</v>
      </c>
      <c r="AP151" s="1033">
        <v>0.33300000000000002</v>
      </c>
      <c r="AQ151" s="1033">
        <v>0.3296</v>
      </c>
      <c r="AR151" s="1033">
        <v>0.32619999999999999</v>
      </c>
      <c r="AS151" s="1033">
        <v>0.32279999999999998</v>
      </c>
      <c r="AT151" s="1033">
        <v>0.31940000000000002</v>
      </c>
      <c r="AU151" s="1033">
        <v>0.316</v>
      </c>
      <c r="AV151" s="1033">
        <v>0.31259999999999999</v>
      </c>
      <c r="AW151" s="1033">
        <v>0.30919999999999997</v>
      </c>
      <c r="AX151" s="1033">
        <v>0.30580000000000002</v>
      </c>
      <c r="AY151" s="1033">
        <v>0.3024</v>
      </c>
      <c r="AZ151" s="1033">
        <v>0.29899999999999999</v>
      </c>
      <c r="BA151" s="1033">
        <v>0.29559999999999997</v>
      </c>
      <c r="BB151" s="1033">
        <v>0.29220000000000002</v>
      </c>
      <c r="BC151" s="1033">
        <v>0.2888</v>
      </c>
      <c r="BD151" s="1033">
        <v>0.28539999999999999</v>
      </c>
      <c r="BE151" s="1033">
        <v>0.28199999999999997</v>
      </c>
      <c r="BF151" s="1033">
        <v>0.27860000000000001</v>
      </c>
      <c r="BH151" s="970">
        <f t="shared" si="63"/>
        <v>0.28199999999999997</v>
      </c>
      <c r="BI151" s="1034">
        <f t="shared" si="36"/>
        <v>149487</v>
      </c>
      <c r="BJ151" s="1034">
        <f t="shared" si="41"/>
        <v>80000</v>
      </c>
      <c r="BK151" s="998">
        <f t="shared" si="59"/>
        <v>16000</v>
      </c>
      <c r="BL151" s="998">
        <f t="shared" si="60"/>
        <v>16000</v>
      </c>
      <c r="BN151" s="1032">
        <v>79</v>
      </c>
      <c r="BQ151" s="998">
        <v>0</v>
      </c>
      <c r="BS151" s="1010">
        <v>0</v>
      </c>
      <c r="BT151" s="976">
        <f t="shared" si="69"/>
        <v>0.81619999999999959</v>
      </c>
      <c r="BU151" s="1">
        <f t="shared" si="61"/>
        <v>149487</v>
      </c>
      <c r="BV151" s="975">
        <f t="shared" si="70"/>
        <v>0.28199999999999997</v>
      </c>
      <c r="BW151" s="1">
        <f t="shared" si="71"/>
        <v>0</v>
      </c>
      <c r="BX151" s="973">
        <f t="shared" si="72"/>
        <v>149487</v>
      </c>
      <c r="BY151" s="973">
        <f t="shared" si="73"/>
        <v>149487</v>
      </c>
      <c r="BZ151" s="973">
        <f t="shared" si="74"/>
        <v>134500</v>
      </c>
      <c r="CC151" s="974">
        <f t="shared" si="75"/>
        <v>200000</v>
      </c>
      <c r="CE151" s="1">
        <f t="shared" si="78"/>
        <v>1090200</v>
      </c>
      <c r="CF151" s="1">
        <f t="shared" si="62"/>
        <v>0</v>
      </c>
      <c r="CG151" s="973">
        <f t="shared" si="79"/>
        <v>1290200</v>
      </c>
      <c r="CH151" s="972">
        <f t="shared" si="76"/>
        <v>1290200</v>
      </c>
      <c r="CI151" s="972">
        <f t="shared" si="77"/>
        <v>80</v>
      </c>
      <c r="CJ151" s="972">
        <f t="shared" si="64"/>
        <v>0</v>
      </c>
      <c r="CK151" s="972">
        <f t="shared" si="65"/>
        <v>0</v>
      </c>
      <c r="CL151" s="972">
        <f t="shared" si="66"/>
        <v>0</v>
      </c>
      <c r="CN151" s="954">
        <f t="shared" si="67"/>
        <v>1290200</v>
      </c>
      <c r="CO151" s="1">
        <f t="shared" si="68"/>
        <v>1290200</v>
      </c>
    </row>
    <row r="152" spans="2:93" s="998" customFormat="1" hidden="1">
      <c r="B152" s="1032">
        <v>80</v>
      </c>
      <c r="T152" s="1010"/>
      <c r="U152" s="1010"/>
      <c r="V152" s="1010"/>
      <c r="W152" s="1010"/>
      <c r="X152" s="1010"/>
      <c r="Y152" s="1010"/>
      <c r="Z152" s="1010"/>
      <c r="AA152" s="1010"/>
      <c r="AB152" s="1010"/>
      <c r="AC152" s="1010"/>
      <c r="AD152" s="1010"/>
      <c r="AE152" s="1010"/>
      <c r="AF152" s="1010"/>
      <c r="AG152" s="1010"/>
      <c r="AH152" s="1010"/>
      <c r="AI152" s="1010"/>
      <c r="AJ152" s="1010"/>
      <c r="AK152" s="1010"/>
      <c r="AL152" s="1033">
        <v>0.35</v>
      </c>
      <c r="AM152" s="1033">
        <v>0.34660000000000002</v>
      </c>
      <c r="AN152" s="1033">
        <v>0.34320000000000001</v>
      </c>
      <c r="AO152" s="1033">
        <v>0.33979999999999999</v>
      </c>
      <c r="AP152" s="1033">
        <v>0.33639999999999998</v>
      </c>
      <c r="AQ152" s="1033">
        <v>0.33300000000000002</v>
      </c>
      <c r="AR152" s="1033">
        <v>0.3296</v>
      </c>
      <c r="AS152" s="1033">
        <v>0.32619999999999999</v>
      </c>
      <c r="AT152" s="1033">
        <v>0.32279999999999998</v>
      </c>
      <c r="AU152" s="1033">
        <v>0.31940000000000002</v>
      </c>
      <c r="AV152" s="1033">
        <v>0.316</v>
      </c>
      <c r="AW152" s="1033">
        <v>0.31259999999999999</v>
      </c>
      <c r="AX152" s="1033">
        <v>0.30919999999999997</v>
      </c>
      <c r="AY152" s="1033">
        <v>0.30580000000000002</v>
      </c>
      <c r="AZ152" s="1033">
        <v>0.3024</v>
      </c>
      <c r="BA152" s="1033">
        <v>0.29899999999999999</v>
      </c>
      <c r="BB152" s="1033">
        <v>0.29559999999999997</v>
      </c>
      <c r="BC152" s="1033">
        <v>0.29220000000000002</v>
      </c>
      <c r="BD152" s="1033">
        <v>0.2888</v>
      </c>
      <c r="BE152" s="1033">
        <v>0.28539999999999999</v>
      </c>
      <c r="BF152" s="1033">
        <v>0.28199999999999997</v>
      </c>
      <c r="BH152" s="970">
        <f t="shared" si="63"/>
        <v>0.28539999999999999</v>
      </c>
      <c r="BI152" s="1034">
        <f t="shared" si="36"/>
        <v>150568</v>
      </c>
      <c r="BJ152" s="1034">
        <f t="shared" si="41"/>
        <v>80000</v>
      </c>
      <c r="BK152" s="998">
        <f t="shared" si="59"/>
        <v>16000</v>
      </c>
      <c r="BL152" s="998">
        <f t="shared" si="60"/>
        <v>16000</v>
      </c>
      <c r="BN152" s="1032">
        <v>80</v>
      </c>
      <c r="BQ152" s="998">
        <v>0</v>
      </c>
      <c r="BS152" s="1010">
        <v>0</v>
      </c>
      <c r="BT152" s="976">
        <f t="shared" si="69"/>
        <v>0.82209999999999961</v>
      </c>
      <c r="BU152" s="1">
        <f t="shared" si="61"/>
        <v>150568</v>
      </c>
      <c r="BV152" s="975">
        <f t="shared" si="70"/>
        <v>0.28539999999999999</v>
      </c>
      <c r="BW152" s="1">
        <f t="shared" si="71"/>
        <v>0</v>
      </c>
      <c r="BX152" s="973">
        <f t="shared" si="72"/>
        <v>150568</v>
      </c>
      <c r="BY152" s="973">
        <f t="shared" si="73"/>
        <v>150568</v>
      </c>
      <c r="BZ152" s="973">
        <f t="shared" si="74"/>
        <v>135500</v>
      </c>
      <c r="CC152" s="974">
        <f t="shared" si="75"/>
        <v>200000</v>
      </c>
      <c r="CE152" s="1">
        <f t="shared" si="78"/>
        <v>1104000</v>
      </c>
      <c r="CF152" s="1">
        <f t="shared" si="62"/>
        <v>0</v>
      </c>
      <c r="CG152" s="973">
        <f t="shared" si="79"/>
        <v>1304000</v>
      </c>
      <c r="CH152" s="972">
        <f t="shared" si="76"/>
        <v>1304000</v>
      </c>
      <c r="CI152" s="972">
        <f t="shared" si="77"/>
        <v>81</v>
      </c>
      <c r="CJ152" s="972">
        <f t="shared" si="64"/>
        <v>0</v>
      </c>
      <c r="CK152" s="972">
        <f t="shared" si="65"/>
        <v>0</v>
      </c>
      <c r="CL152" s="972">
        <f t="shared" si="66"/>
        <v>0</v>
      </c>
      <c r="CN152" s="954">
        <f t="shared" si="67"/>
        <v>1304000</v>
      </c>
      <c r="CO152" s="1">
        <f t="shared" si="68"/>
        <v>1304000</v>
      </c>
    </row>
    <row r="153" spans="2:93" s="998" customFormat="1" hidden="1">
      <c r="B153" s="1032">
        <v>81</v>
      </c>
      <c r="T153" s="1010"/>
      <c r="U153" s="1010"/>
      <c r="V153" s="1010"/>
      <c r="W153" s="1010"/>
      <c r="X153" s="1010"/>
      <c r="Y153" s="1010"/>
      <c r="Z153" s="1010"/>
      <c r="AA153" s="1010"/>
      <c r="AB153" s="1010"/>
      <c r="AC153" s="1010"/>
      <c r="AD153" s="1010"/>
      <c r="AE153" s="1010"/>
      <c r="AF153" s="1010"/>
      <c r="AG153" s="1010"/>
      <c r="AH153" s="1010"/>
      <c r="AI153" s="1010"/>
      <c r="AJ153" s="1010"/>
      <c r="AK153" s="1010"/>
      <c r="AL153" s="1010"/>
      <c r="AM153" s="1033">
        <v>0.35</v>
      </c>
      <c r="AN153" s="1033">
        <v>0.34660000000000002</v>
      </c>
      <c r="AO153" s="1033">
        <v>0.34320000000000001</v>
      </c>
      <c r="AP153" s="1033">
        <v>0.33979999999999999</v>
      </c>
      <c r="AQ153" s="1033">
        <v>0.33639999999999998</v>
      </c>
      <c r="AR153" s="1033">
        <v>0.33300000000000002</v>
      </c>
      <c r="AS153" s="1033">
        <v>0.3296</v>
      </c>
      <c r="AT153" s="1033">
        <v>0.32619999999999999</v>
      </c>
      <c r="AU153" s="1033">
        <v>0.32279999999999998</v>
      </c>
      <c r="AV153" s="1033">
        <v>0.31940000000000002</v>
      </c>
      <c r="AW153" s="1033">
        <v>0.316</v>
      </c>
      <c r="AX153" s="1033">
        <v>0.31259999999999999</v>
      </c>
      <c r="AY153" s="1033">
        <v>0.30919999999999997</v>
      </c>
      <c r="AZ153" s="1033">
        <v>0.30580000000000002</v>
      </c>
      <c r="BA153" s="1033">
        <v>0.3024</v>
      </c>
      <c r="BB153" s="1033">
        <v>0.29899999999999999</v>
      </c>
      <c r="BC153" s="1033">
        <v>0.29559999999999997</v>
      </c>
      <c r="BD153" s="1033">
        <v>0.29220000000000002</v>
      </c>
      <c r="BE153" s="1033">
        <v>0.2888</v>
      </c>
      <c r="BF153" s="1033">
        <v>0.28539999999999999</v>
      </c>
      <c r="BH153" s="970">
        <f t="shared" si="63"/>
        <v>0.2888</v>
      </c>
      <c r="BI153" s="1034">
        <f t="shared" si="36"/>
        <v>148846</v>
      </c>
      <c r="BJ153" s="1034">
        <f t="shared" si="41"/>
        <v>80000</v>
      </c>
      <c r="BK153" s="998">
        <f t="shared" si="59"/>
        <v>16000</v>
      </c>
      <c r="BL153" s="998">
        <f t="shared" si="60"/>
        <v>16000</v>
      </c>
      <c r="BN153" s="1032">
        <v>81</v>
      </c>
      <c r="BQ153" s="998">
        <v>0</v>
      </c>
      <c r="BS153" s="1010">
        <v>0</v>
      </c>
      <c r="BT153" s="976">
        <f t="shared" si="69"/>
        <v>0.81269999999999976</v>
      </c>
      <c r="BU153" s="1">
        <f t="shared" si="61"/>
        <v>148846</v>
      </c>
      <c r="BV153" s="975">
        <f t="shared" si="70"/>
        <v>0.2888</v>
      </c>
      <c r="BW153" s="1">
        <f t="shared" si="71"/>
        <v>0</v>
      </c>
      <c r="BX153" s="973">
        <f t="shared" si="72"/>
        <v>148846</v>
      </c>
      <c r="BY153" s="973">
        <f t="shared" si="73"/>
        <v>148846</v>
      </c>
      <c r="BZ153" s="973">
        <f t="shared" si="74"/>
        <v>134000</v>
      </c>
      <c r="CC153" s="974">
        <f t="shared" si="75"/>
        <v>200000</v>
      </c>
      <c r="CE153" s="1">
        <f t="shared" si="78"/>
        <v>1117800</v>
      </c>
      <c r="CF153" s="1">
        <f t="shared" si="62"/>
        <v>0</v>
      </c>
      <c r="CG153" s="973">
        <f t="shared" si="79"/>
        <v>1317800</v>
      </c>
      <c r="CH153" s="972">
        <f t="shared" si="76"/>
        <v>1317800</v>
      </c>
      <c r="CI153" s="972">
        <f t="shared" si="77"/>
        <v>82</v>
      </c>
      <c r="CJ153" s="972">
        <f t="shared" si="64"/>
        <v>0</v>
      </c>
      <c r="CK153" s="972">
        <f t="shared" si="65"/>
        <v>0</v>
      </c>
      <c r="CL153" s="972">
        <f t="shared" si="66"/>
        <v>0</v>
      </c>
      <c r="CN153" s="954">
        <f t="shared" si="67"/>
        <v>1317800</v>
      </c>
      <c r="CO153" s="1">
        <f t="shared" si="68"/>
        <v>1317800</v>
      </c>
    </row>
    <row r="154" spans="2:93" s="998" customFormat="1" hidden="1">
      <c r="B154" s="1032">
        <v>82</v>
      </c>
      <c r="T154" s="1010"/>
      <c r="U154" s="1010"/>
      <c r="V154" s="1010"/>
      <c r="W154" s="1010"/>
      <c r="X154" s="1010"/>
      <c r="Y154" s="1010"/>
      <c r="Z154" s="1010"/>
      <c r="AA154" s="1010"/>
      <c r="AB154" s="1010"/>
      <c r="AC154" s="1010"/>
      <c r="AD154" s="1010"/>
      <c r="AE154" s="1010"/>
      <c r="AF154" s="1010"/>
      <c r="AG154" s="1010"/>
      <c r="AH154" s="1010"/>
      <c r="AI154" s="1010"/>
      <c r="AJ154" s="1010"/>
      <c r="AK154" s="1010"/>
      <c r="AL154" s="1010"/>
      <c r="AM154" s="1010"/>
      <c r="AN154" s="1033">
        <v>0.35</v>
      </c>
      <c r="AO154" s="1033">
        <v>0.34660000000000002</v>
      </c>
      <c r="AP154" s="1033">
        <v>0.34320000000000001</v>
      </c>
      <c r="AQ154" s="1033">
        <v>0.33979999999999999</v>
      </c>
      <c r="AR154" s="1033">
        <v>0.33639999999999998</v>
      </c>
      <c r="AS154" s="1033">
        <v>0.33300000000000002</v>
      </c>
      <c r="AT154" s="1033">
        <v>0.3296</v>
      </c>
      <c r="AU154" s="1033">
        <v>0.32619999999999999</v>
      </c>
      <c r="AV154" s="1033">
        <v>0.32279999999999998</v>
      </c>
      <c r="AW154" s="1033">
        <v>0.31940000000000002</v>
      </c>
      <c r="AX154" s="1033">
        <v>0.316</v>
      </c>
      <c r="AY154" s="1033">
        <v>0.31259999999999999</v>
      </c>
      <c r="AZ154" s="1033">
        <v>0.30919999999999997</v>
      </c>
      <c r="BA154" s="1033">
        <v>0.30580000000000002</v>
      </c>
      <c r="BB154" s="1033">
        <v>0.3024</v>
      </c>
      <c r="BC154" s="1033">
        <v>0.29899999999999999</v>
      </c>
      <c r="BD154" s="1033">
        <v>0.29559999999999997</v>
      </c>
      <c r="BE154" s="1033">
        <v>0.29220000000000002</v>
      </c>
      <c r="BF154" s="1033">
        <v>0.2888</v>
      </c>
      <c r="BH154" s="970">
        <f t="shared" si="63"/>
        <v>0.29220000000000002</v>
      </c>
      <c r="BI154" s="1034">
        <f t="shared" si="36"/>
        <v>149908</v>
      </c>
      <c r="BJ154" s="1034">
        <f t="shared" si="41"/>
        <v>80000</v>
      </c>
      <c r="BK154" s="998">
        <f t="shared" si="59"/>
        <v>16000</v>
      </c>
      <c r="BL154" s="998">
        <f t="shared" si="60"/>
        <v>16000</v>
      </c>
      <c r="BN154" s="1032">
        <v>82</v>
      </c>
      <c r="BQ154" s="998">
        <v>0</v>
      </c>
      <c r="BS154" s="1010">
        <v>0</v>
      </c>
      <c r="BT154" s="976">
        <f t="shared" si="69"/>
        <v>0.81849999999999978</v>
      </c>
      <c r="BU154" s="1">
        <f t="shared" si="61"/>
        <v>149908</v>
      </c>
      <c r="BV154" s="975">
        <f t="shared" si="70"/>
        <v>0.29220000000000002</v>
      </c>
      <c r="BW154" s="1">
        <f t="shared" si="71"/>
        <v>0</v>
      </c>
      <c r="BX154" s="973">
        <f t="shared" si="72"/>
        <v>149908</v>
      </c>
      <c r="BY154" s="973">
        <f t="shared" si="73"/>
        <v>149908</v>
      </c>
      <c r="BZ154" s="973">
        <f t="shared" si="74"/>
        <v>134900</v>
      </c>
      <c r="CC154" s="974">
        <f t="shared" si="75"/>
        <v>200000</v>
      </c>
      <c r="CE154" s="1">
        <f t="shared" si="78"/>
        <v>1131600</v>
      </c>
      <c r="CF154" s="1">
        <f t="shared" si="62"/>
        <v>0</v>
      </c>
      <c r="CG154" s="973">
        <f t="shared" si="79"/>
        <v>1331600</v>
      </c>
      <c r="CH154" s="972">
        <f t="shared" si="76"/>
        <v>1331600</v>
      </c>
      <c r="CI154" s="972">
        <f t="shared" si="77"/>
        <v>83</v>
      </c>
      <c r="CJ154" s="972">
        <f t="shared" si="64"/>
        <v>0</v>
      </c>
      <c r="CK154" s="972">
        <f t="shared" si="65"/>
        <v>0</v>
      </c>
      <c r="CL154" s="972">
        <f t="shared" si="66"/>
        <v>0</v>
      </c>
      <c r="CN154" s="954">
        <f t="shared" si="67"/>
        <v>1331600</v>
      </c>
      <c r="CO154" s="1">
        <f t="shared" si="68"/>
        <v>1331600</v>
      </c>
    </row>
    <row r="155" spans="2:93" s="998" customFormat="1" hidden="1">
      <c r="B155" s="1032">
        <v>83</v>
      </c>
      <c r="T155" s="1010"/>
      <c r="U155" s="1010"/>
      <c r="V155" s="1010"/>
      <c r="W155" s="1010"/>
      <c r="X155" s="1010"/>
      <c r="Y155" s="1010"/>
      <c r="Z155" s="1010"/>
      <c r="AA155" s="1010"/>
      <c r="AB155" s="1010"/>
      <c r="AC155" s="1010"/>
      <c r="AD155" s="1010"/>
      <c r="AE155" s="1010"/>
      <c r="AF155" s="1010"/>
      <c r="AG155" s="1010"/>
      <c r="AH155" s="1010"/>
      <c r="AI155" s="1010"/>
      <c r="AJ155" s="1010"/>
      <c r="AK155" s="1010"/>
      <c r="AL155" s="1010"/>
      <c r="AM155" s="1010"/>
      <c r="AN155" s="1010"/>
      <c r="AO155" s="1033">
        <v>0.35</v>
      </c>
      <c r="AP155" s="1033">
        <v>0.34660000000000002</v>
      </c>
      <c r="AQ155" s="1033">
        <v>0.34320000000000001</v>
      </c>
      <c r="AR155" s="1033">
        <v>0.33979999999999999</v>
      </c>
      <c r="AS155" s="1033">
        <v>0.33639999999999998</v>
      </c>
      <c r="AT155" s="1033">
        <v>0.33300000000000002</v>
      </c>
      <c r="AU155" s="1033">
        <v>0.3296</v>
      </c>
      <c r="AV155" s="1033">
        <v>0.32619999999999999</v>
      </c>
      <c r="AW155" s="1033">
        <v>0.32279999999999998</v>
      </c>
      <c r="AX155" s="1033">
        <v>0.31940000000000002</v>
      </c>
      <c r="AY155" s="1033">
        <v>0.316</v>
      </c>
      <c r="AZ155" s="1033">
        <v>0.31259999999999999</v>
      </c>
      <c r="BA155" s="1033">
        <v>0.30919999999999997</v>
      </c>
      <c r="BB155" s="1033">
        <v>0.30580000000000002</v>
      </c>
      <c r="BC155" s="1033">
        <v>0.3024</v>
      </c>
      <c r="BD155" s="1033">
        <v>0.29899999999999999</v>
      </c>
      <c r="BE155" s="1033">
        <v>0.29559999999999997</v>
      </c>
      <c r="BF155" s="1033">
        <v>0.29220000000000002</v>
      </c>
      <c r="BH155" s="970">
        <f t="shared" si="63"/>
        <v>0.29559999999999997</v>
      </c>
      <c r="BI155" s="1034">
        <f t="shared" ref="BI155:BI172" si="80">BY155</f>
        <v>150989</v>
      </c>
      <c r="BJ155" s="1034">
        <f t="shared" si="41"/>
        <v>80000</v>
      </c>
      <c r="BK155" s="998">
        <f t="shared" si="59"/>
        <v>16000</v>
      </c>
      <c r="BL155" s="998">
        <f t="shared" si="60"/>
        <v>16000</v>
      </c>
      <c r="BN155" s="1032">
        <v>83</v>
      </c>
      <c r="BQ155" s="998">
        <v>0</v>
      </c>
      <c r="BS155" s="1010">
        <v>0</v>
      </c>
      <c r="BT155" s="976">
        <f t="shared" si="69"/>
        <v>0.8243999999999998</v>
      </c>
      <c r="BU155" s="1">
        <f t="shared" si="61"/>
        <v>150989</v>
      </c>
      <c r="BV155" s="975">
        <f t="shared" si="70"/>
        <v>0.29559999999999997</v>
      </c>
      <c r="BW155" s="1">
        <f t="shared" si="71"/>
        <v>0</v>
      </c>
      <c r="BX155" s="973">
        <f t="shared" si="72"/>
        <v>150989</v>
      </c>
      <c r="BY155" s="973">
        <f t="shared" si="73"/>
        <v>150989</v>
      </c>
      <c r="BZ155" s="973">
        <f t="shared" si="74"/>
        <v>135900</v>
      </c>
      <c r="CC155" s="974">
        <f t="shared" si="75"/>
        <v>200000</v>
      </c>
      <c r="CE155" s="1">
        <f t="shared" si="78"/>
        <v>1145400</v>
      </c>
      <c r="CF155" s="1">
        <f t="shared" si="62"/>
        <v>0</v>
      </c>
      <c r="CG155" s="973">
        <f t="shared" si="79"/>
        <v>1345400</v>
      </c>
      <c r="CH155" s="972">
        <f t="shared" si="76"/>
        <v>1345400</v>
      </c>
      <c r="CI155" s="972">
        <f t="shared" si="77"/>
        <v>84</v>
      </c>
      <c r="CJ155" s="972">
        <f t="shared" si="64"/>
        <v>0</v>
      </c>
      <c r="CK155" s="972">
        <f t="shared" si="65"/>
        <v>0</v>
      </c>
      <c r="CL155" s="972">
        <f t="shared" si="66"/>
        <v>0</v>
      </c>
      <c r="CN155" s="954">
        <f t="shared" si="67"/>
        <v>1345400</v>
      </c>
      <c r="CO155" s="1">
        <f t="shared" si="68"/>
        <v>1345400</v>
      </c>
    </row>
    <row r="156" spans="2:93" s="998" customFormat="1" hidden="1">
      <c r="B156" s="1032">
        <v>84</v>
      </c>
      <c r="T156" s="1010"/>
      <c r="U156" s="1010"/>
      <c r="V156" s="1010"/>
      <c r="W156" s="1010"/>
      <c r="X156" s="1010"/>
      <c r="Y156" s="1010"/>
      <c r="Z156" s="1010"/>
      <c r="AA156" s="1010"/>
      <c r="AB156" s="1010"/>
      <c r="AC156" s="1010"/>
      <c r="AD156" s="1010"/>
      <c r="AE156" s="1010"/>
      <c r="AF156" s="1010"/>
      <c r="AG156" s="1010"/>
      <c r="AH156" s="1010"/>
      <c r="AI156" s="1010"/>
      <c r="AJ156" s="1010"/>
      <c r="AK156" s="1010"/>
      <c r="AL156" s="1010"/>
      <c r="AM156" s="1010"/>
      <c r="AN156" s="1010"/>
      <c r="AO156" s="1010"/>
      <c r="AP156" s="1033">
        <v>0.35</v>
      </c>
      <c r="AQ156" s="1033">
        <v>0.34660000000000002</v>
      </c>
      <c r="AR156" s="1033">
        <v>0.34320000000000001</v>
      </c>
      <c r="AS156" s="1033">
        <v>0.33979999999999999</v>
      </c>
      <c r="AT156" s="1033">
        <v>0.33639999999999998</v>
      </c>
      <c r="AU156" s="1033">
        <v>0.33300000000000002</v>
      </c>
      <c r="AV156" s="1033">
        <v>0.3296</v>
      </c>
      <c r="AW156" s="1033">
        <v>0.32619999999999999</v>
      </c>
      <c r="AX156" s="1033">
        <v>0.32279999999999998</v>
      </c>
      <c r="AY156" s="1033">
        <v>0.31940000000000002</v>
      </c>
      <c r="AZ156" s="1033">
        <v>0.316</v>
      </c>
      <c r="BA156" s="1033">
        <v>0.31259999999999999</v>
      </c>
      <c r="BB156" s="1033">
        <v>0.30919999999999997</v>
      </c>
      <c r="BC156" s="1033">
        <v>0.30580000000000002</v>
      </c>
      <c r="BD156" s="1033">
        <v>0.3024</v>
      </c>
      <c r="BE156" s="1033">
        <v>0.29899999999999999</v>
      </c>
      <c r="BF156" s="1033">
        <v>0.29559999999999997</v>
      </c>
      <c r="BH156" s="970">
        <f t="shared" si="63"/>
        <v>0.29899999999999999</v>
      </c>
      <c r="BI156" s="1034">
        <f t="shared" si="80"/>
        <v>152069</v>
      </c>
      <c r="BJ156" s="1034">
        <f t="shared" si="41"/>
        <v>80000</v>
      </c>
      <c r="BK156" s="998">
        <f t="shared" si="59"/>
        <v>16000</v>
      </c>
      <c r="BL156" s="998">
        <f t="shared" si="60"/>
        <v>16000</v>
      </c>
      <c r="BN156" s="1032">
        <v>84</v>
      </c>
      <c r="BQ156" s="998">
        <v>0</v>
      </c>
      <c r="BS156" s="1010">
        <v>0</v>
      </c>
      <c r="BT156" s="976">
        <f t="shared" si="69"/>
        <v>0.83029999999999982</v>
      </c>
      <c r="BU156" s="1">
        <f t="shared" si="61"/>
        <v>152069</v>
      </c>
      <c r="BV156" s="975">
        <f t="shared" si="70"/>
        <v>0.29899999999999999</v>
      </c>
      <c r="BW156" s="1">
        <f t="shared" si="71"/>
        <v>0</v>
      </c>
      <c r="BX156" s="973">
        <f t="shared" si="72"/>
        <v>152069</v>
      </c>
      <c r="BY156" s="973">
        <f t="shared" si="73"/>
        <v>152069</v>
      </c>
      <c r="BZ156" s="973">
        <f t="shared" si="74"/>
        <v>136900</v>
      </c>
      <c r="CC156" s="974">
        <f t="shared" si="75"/>
        <v>200000</v>
      </c>
      <c r="CE156" s="1">
        <f t="shared" si="78"/>
        <v>1159200</v>
      </c>
      <c r="CF156" s="1">
        <f t="shared" si="62"/>
        <v>0</v>
      </c>
      <c r="CG156" s="973">
        <f t="shared" si="79"/>
        <v>1359200</v>
      </c>
      <c r="CH156" s="972">
        <f t="shared" si="76"/>
        <v>1359200</v>
      </c>
      <c r="CI156" s="972">
        <f t="shared" si="77"/>
        <v>85</v>
      </c>
      <c r="CJ156" s="972">
        <f t="shared" si="64"/>
        <v>0</v>
      </c>
      <c r="CK156" s="972">
        <f t="shared" si="65"/>
        <v>0</v>
      </c>
      <c r="CL156" s="972">
        <f t="shared" si="66"/>
        <v>0</v>
      </c>
      <c r="CN156" s="954">
        <f t="shared" si="67"/>
        <v>1359200</v>
      </c>
      <c r="CO156" s="1">
        <f t="shared" si="68"/>
        <v>1359200</v>
      </c>
    </row>
    <row r="157" spans="2:93" s="998" customFormat="1" hidden="1">
      <c r="B157" s="1032">
        <v>85</v>
      </c>
      <c r="T157" s="1010"/>
      <c r="U157" s="1010"/>
      <c r="V157" s="1010"/>
      <c r="W157" s="1010"/>
      <c r="X157" s="1010"/>
      <c r="Y157" s="1010"/>
      <c r="Z157" s="1010"/>
      <c r="AA157" s="1010"/>
      <c r="AB157" s="1010"/>
      <c r="AC157" s="1010"/>
      <c r="AD157" s="1010"/>
      <c r="AE157" s="1010"/>
      <c r="AF157" s="1010"/>
      <c r="AG157" s="1010"/>
      <c r="AH157" s="1010"/>
      <c r="AI157" s="1010"/>
      <c r="AJ157" s="1010"/>
      <c r="AK157" s="1010"/>
      <c r="AL157" s="1010"/>
      <c r="AM157" s="1010"/>
      <c r="AN157" s="1010"/>
      <c r="AO157" s="1010"/>
      <c r="AP157" s="1010"/>
      <c r="AQ157" s="1033">
        <v>0.35</v>
      </c>
      <c r="AR157" s="1033">
        <v>0.34660000000000002</v>
      </c>
      <c r="AS157" s="1033">
        <v>0.34320000000000001</v>
      </c>
      <c r="AT157" s="1033">
        <v>0.33979999999999999</v>
      </c>
      <c r="AU157" s="1033">
        <v>0.33639999999999998</v>
      </c>
      <c r="AV157" s="1033">
        <v>0.33300000000000002</v>
      </c>
      <c r="AW157" s="1033">
        <v>0.3296</v>
      </c>
      <c r="AX157" s="1033">
        <v>0.32619999999999999</v>
      </c>
      <c r="AY157" s="1033">
        <v>0.32279999999999998</v>
      </c>
      <c r="AZ157" s="1033">
        <v>0.31940000000000002</v>
      </c>
      <c r="BA157" s="1033">
        <v>0.316</v>
      </c>
      <c r="BB157" s="1033">
        <v>0.31259999999999999</v>
      </c>
      <c r="BC157" s="1033">
        <v>0.30919999999999997</v>
      </c>
      <c r="BD157" s="1033">
        <v>0.30580000000000002</v>
      </c>
      <c r="BE157" s="1033">
        <v>0.3024</v>
      </c>
      <c r="BF157" s="1033">
        <v>0.29899999999999999</v>
      </c>
      <c r="BH157" s="970">
        <f t="shared" si="63"/>
        <v>0.3024</v>
      </c>
      <c r="BI157" s="1034">
        <f t="shared" si="80"/>
        <v>153132</v>
      </c>
      <c r="BJ157" s="1034">
        <f t="shared" si="41"/>
        <v>80000</v>
      </c>
      <c r="BK157" s="998">
        <f t="shared" si="59"/>
        <v>16000</v>
      </c>
      <c r="BL157" s="998">
        <f t="shared" si="60"/>
        <v>16000</v>
      </c>
      <c r="BN157" s="1032">
        <v>85</v>
      </c>
      <c r="BQ157" s="998">
        <v>0</v>
      </c>
      <c r="BS157" s="1010">
        <v>0</v>
      </c>
      <c r="BT157" s="976">
        <f t="shared" si="69"/>
        <v>0.83609999999999984</v>
      </c>
      <c r="BU157" s="1">
        <f t="shared" si="61"/>
        <v>153132</v>
      </c>
      <c r="BV157" s="975">
        <f t="shared" si="70"/>
        <v>0.3024</v>
      </c>
      <c r="BW157" s="1">
        <f t="shared" si="71"/>
        <v>0</v>
      </c>
      <c r="BX157" s="973">
        <f t="shared" si="72"/>
        <v>153132</v>
      </c>
      <c r="BY157" s="973">
        <f t="shared" si="73"/>
        <v>153132</v>
      </c>
      <c r="BZ157" s="973">
        <f t="shared" si="74"/>
        <v>137800</v>
      </c>
      <c r="CC157" s="974">
        <f t="shared" si="75"/>
        <v>200000</v>
      </c>
      <c r="CE157" s="1">
        <f t="shared" si="78"/>
        <v>1173000</v>
      </c>
      <c r="CF157" s="1">
        <f t="shared" si="62"/>
        <v>0</v>
      </c>
      <c r="CG157" s="973">
        <f t="shared" si="79"/>
        <v>1373000</v>
      </c>
      <c r="CH157" s="972">
        <f t="shared" si="76"/>
        <v>1373000</v>
      </c>
      <c r="CI157" s="972">
        <f t="shared" si="77"/>
        <v>86</v>
      </c>
      <c r="CJ157" s="972">
        <f t="shared" si="64"/>
        <v>0</v>
      </c>
      <c r="CK157" s="972">
        <f t="shared" si="65"/>
        <v>0</v>
      </c>
      <c r="CL157" s="972">
        <f t="shared" si="66"/>
        <v>0</v>
      </c>
      <c r="CN157" s="954">
        <f t="shared" si="67"/>
        <v>1373000</v>
      </c>
      <c r="CO157" s="1">
        <f t="shared" si="68"/>
        <v>1373000</v>
      </c>
    </row>
    <row r="158" spans="2:93" s="998" customFormat="1" hidden="1">
      <c r="B158" s="1032">
        <v>86</v>
      </c>
      <c r="T158" s="1010"/>
      <c r="U158" s="1010"/>
      <c r="V158" s="1010"/>
      <c r="W158" s="1010"/>
      <c r="X158" s="1010"/>
      <c r="Y158" s="1010"/>
      <c r="Z158" s="1010"/>
      <c r="AA158" s="1010"/>
      <c r="AB158" s="1010"/>
      <c r="AC158" s="1010"/>
      <c r="AD158" s="1010"/>
      <c r="AE158" s="1010"/>
      <c r="AF158" s="1010"/>
      <c r="AG158" s="1010"/>
      <c r="AH158" s="1010"/>
      <c r="AI158" s="1010"/>
      <c r="AJ158" s="1010"/>
      <c r="AK158" s="1010"/>
      <c r="AL158" s="1010"/>
      <c r="AM158" s="1010"/>
      <c r="AN158" s="1010"/>
      <c r="AO158" s="1010"/>
      <c r="AP158" s="1010"/>
      <c r="AQ158" s="1010"/>
      <c r="AR158" s="1033">
        <v>0.35</v>
      </c>
      <c r="AS158" s="1033">
        <v>0.34660000000000002</v>
      </c>
      <c r="AT158" s="1033">
        <v>0.34320000000000001</v>
      </c>
      <c r="AU158" s="1033">
        <v>0.33979999999999999</v>
      </c>
      <c r="AV158" s="1033">
        <v>0.33639999999999998</v>
      </c>
      <c r="AW158" s="1033">
        <v>0.33300000000000002</v>
      </c>
      <c r="AX158" s="1033">
        <v>0.3296</v>
      </c>
      <c r="AY158" s="1033">
        <v>0.32619999999999999</v>
      </c>
      <c r="AZ158" s="1033">
        <v>0.32279999999999998</v>
      </c>
      <c r="BA158" s="1033">
        <v>0.31940000000000002</v>
      </c>
      <c r="BB158" s="1033">
        <v>0.316</v>
      </c>
      <c r="BC158" s="1033">
        <v>0.31259999999999999</v>
      </c>
      <c r="BD158" s="1033">
        <v>0.30919999999999997</v>
      </c>
      <c r="BE158" s="1033">
        <v>0.30580000000000002</v>
      </c>
      <c r="BF158" s="1033">
        <v>0.3024</v>
      </c>
      <c r="BH158" s="970">
        <f t="shared" si="63"/>
        <v>0.30580000000000002</v>
      </c>
      <c r="BI158" s="1034">
        <f t="shared" si="80"/>
        <v>154652</v>
      </c>
      <c r="BJ158" s="1034">
        <f t="shared" si="41"/>
        <v>80000</v>
      </c>
      <c r="BK158" s="998">
        <f t="shared" si="59"/>
        <v>16000</v>
      </c>
      <c r="BL158" s="998">
        <f t="shared" si="60"/>
        <v>16000</v>
      </c>
      <c r="BN158" s="1032">
        <v>86</v>
      </c>
      <c r="BQ158" s="998">
        <v>0</v>
      </c>
      <c r="BS158" s="1010">
        <v>0</v>
      </c>
      <c r="BT158" s="976">
        <f t="shared" si="69"/>
        <v>0.84440000000000048</v>
      </c>
      <c r="BU158" s="1">
        <f t="shared" si="61"/>
        <v>154652</v>
      </c>
      <c r="BV158" s="975">
        <f t="shared" si="70"/>
        <v>0.30580000000000002</v>
      </c>
      <c r="BW158" s="1">
        <f t="shared" si="71"/>
        <v>0</v>
      </c>
      <c r="BX158" s="973">
        <f t="shared" si="72"/>
        <v>154652</v>
      </c>
      <c r="BY158" s="973">
        <f t="shared" si="73"/>
        <v>154652</v>
      </c>
      <c r="BZ158" s="973">
        <f t="shared" si="74"/>
        <v>139200</v>
      </c>
      <c r="CC158" s="974">
        <f t="shared" si="75"/>
        <v>200000</v>
      </c>
      <c r="CE158" s="1">
        <f t="shared" si="78"/>
        <v>1186800</v>
      </c>
      <c r="CF158" s="1">
        <f t="shared" si="62"/>
        <v>0</v>
      </c>
      <c r="CG158" s="973">
        <f t="shared" si="79"/>
        <v>1386800</v>
      </c>
      <c r="CH158" s="972">
        <f t="shared" si="76"/>
        <v>1386800</v>
      </c>
      <c r="CI158" s="972">
        <f t="shared" si="77"/>
        <v>87</v>
      </c>
      <c r="CJ158" s="972">
        <f t="shared" si="64"/>
        <v>0</v>
      </c>
      <c r="CK158" s="972">
        <f t="shared" si="65"/>
        <v>0</v>
      </c>
      <c r="CL158" s="972">
        <f t="shared" si="66"/>
        <v>0</v>
      </c>
      <c r="CN158" s="954">
        <f t="shared" si="67"/>
        <v>1386800</v>
      </c>
      <c r="CO158" s="1">
        <f t="shared" si="68"/>
        <v>1386800</v>
      </c>
    </row>
    <row r="159" spans="2:93" s="998" customFormat="1" hidden="1">
      <c r="B159" s="1032">
        <v>87</v>
      </c>
      <c r="T159" s="1010"/>
      <c r="U159" s="1010"/>
      <c r="V159" s="1010"/>
      <c r="W159" s="1010"/>
      <c r="X159" s="1010"/>
      <c r="Y159" s="1010"/>
      <c r="Z159" s="1010"/>
      <c r="AA159" s="1010"/>
      <c r="AB159" s="1010"/>
      <c r="AC159" s="1010"/>
      <c r="AD159" s="1010"/>
      <c r="AE159" s="1010"/>
      <c r="AF159" s="1010"/>
      <c r="AG159" s="1010"/>
      <c r="AH159" s="1010"/>
      <c r="AI159" s="1010"/>
      <c r="AJ159" s="1010"/>
      <c r="AK159" s="1010"/>
      <c r="AL159" s="1010"/>
      <c r="AM159" s="1010"/>
      <c r="AN159" s="1010"/>
      <c r="AO159" s="1010"/>
      <c r="AP159" s="1010"/>
      <c r="AQ159" s="1010"/>
      <c r="AR159" s="1010"/>
      <c r="AS159" s="1033">
        <v>0.35</v>
      </c>
      <c r="AT159" s="1033">
        <v>0.34660000000000002</v>
      </c>
      <c r="AU159" s="1033">
        <v>0.34320000000000001</v>
      </c>
      <c r="AV159" s="1033">
        <v>0.33979999999999999</v>
      </c>
      <c r="AW159" s="1033">
        <v>0.33639999999999998</v>
      </c>
      <c r="AX159" s="1033">
        <v>0.33300000000000002</v>
      </c>
      <c r="AY159" s="1033">
        <v>0.3296</v>
      </c>
      <c r="AZ159" s="1033">
        <v>0.32619999999999999</v>
      </c>
      <c r="BA159" s="1033">
        <v>0.32279999999999998</v>
      </c>
      <c r="BB159" s="1033">
        <v>0.31940000000000002</v>
      </c>
      <c r="BC159" s="1033">
        <v>0.316</v>
      </c>
      <c r="BD159" s="1033">
        <v>0.31259999999999999</v>
      </c>
      <c r="BE159" s="1033">
        <v>0.30919999999999997</v>
      </c>
      <c r="BF159" s="1033">
        <v>0.30580000000000002</v>
      </c>
      <c r="BH159" s="970">
        <f t="shared" si="63"/>
        <v>0.30919999999999997</v>
      </c>
      <c r="BI159" s="1034">
        <f t="shared" si="80"/>
        <v>156209</v>
      </c>
      <c r="BJ159" s="1034">
        <f t="shared" si="41"/>
        <v>80000</v>
      </c>
      <c r="BK159" s="998">
        <f t="shared" si="59"/>
        <v>16000</v>
      </c>
      <c r="BL159" s="998">
        <f t="shared" si="60"/>
        <v>16000</v>
      </c>
      <c r="BN159" s="1032">
        <v>87</v>
      </c>
      <c r="BQ159" s="998">
        <v>0</v>
      </c>
      <c r="BS159" s="1010">
        <v>0</v>
      </c>
      <c r="BT159" s="976">
        <f t="shared" si="69"/>
        <v>0.85289999999999999</v>
      </c>
      <c r="BU159" s="1">
        <f t="shared" si="61"/>
        <v>156209</v>
      </c>
      <c r="BV159" s="975">
        <f t="shared" si="70"/>
        <v>0.30919999999999997</v>
      </c>
      <c r="BW159" s="1">
        <f t="shared" si="71"/>
        <v>0</v>
      </c>
      <c r="BX159" s="973">
        <f t="shared" si="72"/>
        <v>156209</v>
      </c>
      <c r="BY159" s="973">
        <f t="shared" si="73"/>
        <v>156209</v>
      </c>
      <c r="BZ159" s="973">
        <f t="shared" si="74"/>
        <v>140600</v>
      </c>
      <c r="CC159" s="974">
        <f t="shared" si="75"/>
        <v>200000</v>
      </c>
      <c r="CE159" s="1">
        <f t="shared" si="78"/>
        <v>1200600</v>
      </c>
      <c r="CF159" s="1">
        <f t="shared" si="62"/>
        <v>0</v>
      </c>
      <c r="CG159" s="973">
        <f t="shared" si="79"/>
        <v>1400600</v>
      </c>
      <c r="CH159" s="972">
        <f t="shared" si="76"/>
        <v>1400600</v>
      </c>
      <c r="CI159" s="972">
        <f t="shared" si="77"/>
        <v>88</v>
      </c>
      <c r="CJ159" s="972">
        <f t="shared" si="64"/>
        <v>0</v>
      </c>
      <c r="CK159" s="972">
        <f t="shared" si="65"/>
        <v>0</v>
      </c>
      <c r="CL159" s="972">
        <f t="shared" si="66"/>
        <v>0</v>
      </c>
      <c r="CN159" s="954">
        <f t="shared" si="67"/>
        <v>1400600</v>
      </c>
      <c r="CO159" s="1">
        <f t="shared" si="68"/>
        <v>1400600</v>
      </c>
    </row>
    <row r="160" spans="2:93" s="998" customFormat="1" hidden="1">
      <c r="B160" s="1032">
        <v>88</v>
      </c>
      <c r="T160" s="1010"/>
      <c r="U160" s="1010"/>
      <c r="V160" s="1010"/>
      <c r="W160" s="1010"/>
      <c r="X160" s="1010"/>
      <c r="Y160" s="1010"/>
      <c r="Z160" s="1010"/>
      <c r="AA160" s="1010"/>
      <c r="AB160" s="1010"/>
      <c r="AC160" s="1010"/>
      <c r="AD160" s="1010"/>
      <c r="AE160" s="1010"/>
      <c r="AF160" s="1010"/>
      <c r="AG160" s="1010"/>
      <c r="AH160" s="1010"/>
      <c r="AI160" s="1010"/>
      <c r="AJ160" s="1010"/>
      <c r="AK160" s="1010"/>
      <c r="AL160" s="1010"/>
      <c r="AM160" s="1010"/>
      <c r="AN160" s="1010"/>
      <c r="AO160" s="1010"/>
      <c r="AP160" s="1010"/>
      <c r="AQ160" s="1010"/>
      <c r="AR160" s="1010"/>
      <c r="AS160" s="1010"/>
      <c r="AT160" s="1033">
        <v>0.35</v>
      </c>
      <c r="AU160" s="1033">
        <v>0.34660000000000002</v>
      </c>
      <c r="AV160" s="1033">
        <v>0.34320000000000001</v>
      </c>
      <c r="AW160" s="1033">
        <v>0.33979999999999999</v>
      </c>
      <c r="AX160" s="1033">
        <v>0.33639999999999998</v>
      </c>
      <c r="AY160" s="1033">
        <v>0.33300000000000002</v>
      </c>
      <c r="AZ160" s="1033">
        <v>0.3296</v>
      </c>
      <c r="BA160" s="1033">
        <v>0.32619999999999999</v>
      </c>
      <c r="BB160" s="1033">
        <v>0.32279999999999998</v>
      </c>
      <c r="BC160" s="1033">
        <v>0.31940000000000002</v>
      </c>
      <c r="BD160" s="1033">
        <v>0.316</v>
      </c>
      <c r="BE160" s="1033">
        <v>0.31259999999999999</v>
      </c>
      <c r="BF160" s="1033">
        <v>0.30919999999999997</v>
      </c>
      <c r="BH160" s="970">
        <f t="shared" si="63"/>
        <v>0.31259999999999999</v>
      </c>
      <c r="BI160" s="1034">
        <f t="shared" si="80"/>
        <v>157143</v>
      </c>
      <c r="BJ160" s="1034">
        <f t="shared" si="41"/>
        <v>80000</v>
      </c>
      <c r="BK160" s="998">
        <f t="shared" si="59"/>
        <v>16000</v>
      </c>
      <c r="BL160" s="998">
        <f t="shared" si="60"/>
        <v>16000</v>
      </c>
      <c r="BN160" s="1032">
        <v>88</v>
      </c>
      <c r="BQ160" s="998">
        <v>0</v>
      </c>
      <c r="BS160" s="1010">
        <v>0</v>
      </c>
      <c r="BT160" s="976">
        <f t="shared" si="69"/>
        <v>0.85799999999999998</v>
      </c>
      <c r="BU160" s="1">
        <f t="shared" si="61"/>
        <v>157143</v>
      </c>
      <c r="BV160" s="975">
        <f t="shared" si="70"/>
        <v>0.31259999999999999</v>
      </c>
      <c r="BW160" s="1">
        <f t="shared" si="71"/>
        <v>0</v>
      </c>
      <c r="BX160" s="973">
        <f t="shared" si="72"/>
        <v>157143</v>
      </c>
      <c r="BY160" s="973">
        <f t="shared" si="73"/>
        <v>157143</v>
      </c>
      <c r="BZ160" s="973">
        <f t="shared" si="74"/>
        <v>141400</v>
      </c>
      <c r="CC160" s="974">
        <f t="shared" si="75"/>
        <v>200000</v>
      </c>
      <c r="CE160" s="1">
        <f t="shared" si="78"/>
        <v>1214400</v>
      </c>
      <c r="CF160" s="1">
        <f t="shared" si="62"/>
        <v>0</v>
      </c>
      <c r="CG160" s="973">
        <f t="shared" si="79"/>
        <v>1414400</v>
      </c>
      <c r="CH160" s="972">
        <f t="shared" si="76"/>
        <v>1414400</v>
      </c>
      <c r="CI160" s="972">
        <f t="shared" si="77"/>
        <v>89</v>
      </c>
      <c r="CJ160" s="972">
        <f t="shared" si="64"/>
        <v>0</v>
      </c>
      <c r="CK160" s="972">
        <f t="shared" si="65"/>
        <v>0</v>
      </c>
      <c r="CL160" s="972">
        <f t="shared" si="66"/>
        <v>0</v>
      </c>
      <c r="CN160" s="954">
        <f t="shared" si="67"/>
        <v>1414400</v>
      </c>
      <c r="CO160" s="1">
        <f t="shared" si="68"/>
        <v>1414400</v>
      </c>
    </row>
    <row r="161" spans="2:93" s="998" customFormat="1" hidden="1">
      <c r="B161" s="1032">
        <v>89</v>
      </c>
      <c r="T161" s="1010"/>
      <c r="U161" s="1010"/>
      <c r="V161" s="1010"/>
      <c r="W161" s="1010"/>
      <c r="X161" s="1010"/>
      <c r="Y161" s="1010"/>
      <c r="Z161" s="1010"/>
      <c r="AA161" s="1010"/>
      <c r="AB161" s="1010"/>
      <c r="AC161" s="1010"/>
      <c r="AD161" s="1010"/>
      <c r="AE161" s="1010"/>
      <c r="AF161" s="1010"/>
      <c r="AG161" s="1010"/>
      <c r="AH161" s="1010"/>
      <c r="AI161" s="1010"/>
      <c r="AJ161" s="1010"/>
      <c r="AK161" s="1010"/>
      <c r="AL161" s="1010"/>
      <c r="AM161" s="1010"/>
      <c r="AN161" s="1010"/>
      <c r="AO161" s="1010"/>
      <c r="AP161" s="1010"/>
      <c r="AQ161" s="1010"/>
      <c r="AR161" s="1010"/>
      <c r="AS161" s="1010"/>
      <c r="AT161" s="1010"/>
      <c r="AU161" s="1033">
        <v>0.35</v>
      </c>
      <c r="AV161" s="1033">
        <v>0.34660000000000002</v>
      </c>
      <c r="AW161" s="1033">
        <v>0.34320000000000001</v>
      </c>
      <c r="AX161" s="1033">
        <v>0.33979999999999999</v>
      </c>
      <c r="AY161" s="1033">
        <v>0.33639999999999998</v>
      </c>
      <c r="AZ161" s="1033">
        <v>0.33300000000000002</v>
      </c>
      <c r="BA161" s="1033">
        <v>0.3296</v>
      </c>
      <c r="BB161" s="1033">
        <v>0.32619999999999999</v>
      </c>
      <c r="BC161" s="1033">
        <v>0.32279999999999998</v>
      </c>
      <c r="BD161" s="1033">
        <v>0.31940000000000002</v>
      </c>
      <c r="BE161" s="1033">
        <v>0.316</v>
      </c>
      <c r="BF161" s="1033">
        <v>0.31259999999999999</v>
      </c>
      <c r="BH161" s="970">
        <f t="shared" si="63"/>
        <v>0.316</v>
      </c>
      <c r="BI161" s="1034">
        <f t="shared" si="80"/>
        <v>158095</v>
      </c>
      <c r="BJ161" s="1034">
        <f t="shared" si="41"/>
        <v>80000</v>
      </c>
      <c r="BK161" s="998">
        <f t="shared" si="59"/>
        <v>16000</v>
      </c>
      <c r="BL161" s="998">
        <f t="shared" si="60"/>
        <v>16000</v>
      </c>
      <c r="BN161" s="1032">
        <v>89</v>
      </c>
      <c r="BQ161" s="998">
        <v>0</v>
      </c>
      <c r="BS161" s="1010">
        <v>0</v>
      </c>
      <c r="BT161" s="976">
        <f t="shared" si="69"/>
        <v>0.86319999999999997</v>
      </c>
      <c r="BU161" s="1">
        <f t="shared" si="61"/>
        <v>158095</v>
      </c>
      <c r="BV161" s="975">
        <f t="shared" si="70"/>
        <v>0.316</v>
      </c>
      <c r="BW161" s="1">
        <f t="shared" si="71"/>
        <v>0</v>
      </c>
      <c r="BX161" s="973">
        <f t="shared" si="72"/>
        <v>158095</v>
      </c>
      <c r="BY161" s="973">
        <f t="shared" si="73"/>
        <v>158095</v>
      </c>
      <c r="BZ161" s="973">
        <f t="shared" si="74"/>
        <v>142300</v>
      </c>
      <c r="CC161" s="974">
        <f t="shared" si="75"/>
        <v>200000</v>
      </c>
      <c r="CE161" s="1">
        <f t="shared" si="78"/>
        <v>1228200</v>
      </c>
      <c r="CF161" s="1">
        <f t="shared" si="62"/>
        <v>0</v>
      </c>
      <c r="CG161" s="973">
        <f t="shared" si="79"/>
        <v>1428200</v>
      </c>
      <c r="CH161" s="972">
        <f t="shared" si="76"/>
        <v>1428200</v>
      </c>
      <c r="CI161" s="972">
        <f t="shared" si="77"/>
        <v>90</v>
      </c>
      <c r="CJ161" s="972">
        <f t="shared" si="64"/>
        <v>0</v>
      </c>
      <c r="CK161" s="972">
        <f t="shared" si="65"/>
        <v>0</v>
      </c>
      <c r="CL161" s="972">
        <f t="shared" si="66"/>
        <v>0</v>
      </c>
      <c r="CN161" s="954">
        <f t="shared" si="67"/>
        <v>1428200</v>
      </c>
      <c r="CO161" s="1">
        <f t="shared" si="68"/>
        <v>1428200</v>
      </c>
    </row>
    <row r="162" spans="2:93" s="998" customFormat="1" hidden="1">
      <c r="B162" s="1032">
        <v>90</v>
      </c>
      <c r="T162" s="1010"/>
      <c r="U162" s="1010"/>
      <c r="V162" s="1010"/>
      <c r="W162" s="1010"/>
      <c r="X162" s="1010"/>
      <c r="Y162" s="1010"/>
      <c r="Z162" s="1010"/>
      <c r="AA162" s="1010"/>
      <c r="AB162" s="1010"/>
      <c r="AC162" s="1010"/>
      <c r="AD162" s="1010"/>
      <c r="AE162" s="1010"/>
      <c r="AF162" s="1010"/>
      <c r="AG162" s="1010"/>
      <c r="AH162" s="1010"/>
      <c r="AI162" s="1010"/>
      <c r="AJ162" s="1010"/>
      <c r="AK162" s="1010"/>
      <c r="AL162" s="1010"/>
      <c r="AM162" s="1010"/>
      <c r="AN162" s="1010"/>
      <c r="AO162" s="1010"/>
      <c r="AP162" s="1010"/>
      <c r="AQ162" s="1010"/>
      <c r="AR162" s="1010"/>
      <c r="AS162" s="1010"/>
      <c r="AT162" s="1010"/>
      <c r="AU162" s="1010"/>
      <c r="AV162" s="1033">
        <v>0.35</v>
      </c>
      <c r="AW162" s="1033">
        <v>0.34660000000000002</v>
      </c>
      <c r="AX162" s="1033">
        <v>0.34320000000000001</v>
      </c>
      <c r="AY162" s="1033">
        <v>0.33979999999999999</v>
      </c>
      <c r="AZ162" s="1033">
        <v>0.33639999999999998</v>
      </c>
      <c r="BA162" s="1033">
        <v>0.33300000000000002</v>
      </c>
      <c r="BB162" s="1033">
        <v>0.3296</v>
      </c>
      <c r="BC162" s="1033">
        <v>0.32619999999999999</v>
      </c>
      <c r="BD162" s="1033">
        <v>0.32279999999999998</v>
      </c>
      <c r="BE162" s="1033">
        <v>0.31940000000000002</v>
      </c>
      <c r="BF162" s="1033">
        <v>0.316</v>
      </c>
      <c r="BH162" s="970">
        <f t="shared" si="63"/>
        <v>0.31940000000000002</v>
      </c>
      <c r="BI162" s="1034">
        <f t="shared" si="80"/>
        <v>159029</v>
      </c>
      <c r="BJ162" s="1034">
        <f t="shared" si="41"/>
        <v>80000</v>
      </c>
      <c r="BK162" s="998">
        <f t="shared" si="59"/>
        <v>16000</v>
      </c>
      <c r="BL162" s="998">
        <f t="shared" si="60"/>
        <v>16000</v>
      </c>
      <c r="BN162" s="1032">
        <v>90</v>
      </c>
      <c r="BQ162" s="998">
        <v>0</v>
      </c>
      <c r="BS162" s="1010">
        <v>0</v>
      </c>
      <c r="BT162" s="976">
        <f t="shared" si="69"/>
        <v>0.86829999999999996</v>
      </c>
      <c r="BU162" s="1">
        <f t="shared" si="61"/>
        <v>159029</v>
      </c>
      <c r="BV162" s="975">
        <f t="shared" si="70"/>
        <v>0.31940000000000002</v>
      </c>
      <c r="BW162" s="1">
        <f t="shared" si="71"/>
        <v>0</v>
      </c>
      <c r="BX162" s="973">
        <f t="shared" si="72"/>
        <v>159029</v>
      </c>
      <c r="BY162" s="973">
        <f t="shared" si="73"/>
        <v>159029</v>
      </c>
      <c r="BZ162" s="973">
        <f t="shared" si="74"/>
        <v>143100</v>
      </c>
      <c r="CC162" s="974">
        <f t="shared" si="75"/>
        <v>200000</v>
      </c>
      <c r="CE162" s="1">
        <f t="shared" si="78"/>
        <v>1242000</v>
      </c>
      <c r="CF162" s="1">
        <f t="shared" si="62"/>
        <v>0</v>
      </c>
      <c r="CG162" s="973">
        <f t="shared" si="79"/>
        <v>1442000</v>
      </c>
      <c r="CH162" s="972">
        <f t="shared" si="76"/>
        <v>1442000</v>
      </c>
      <c r="CI162" s="972">
        <f t="shared" si="77"/>
        <v>91</v>
      </c>
      <c r="CJ162" s="972">
        <f t="shared" si="64"/>
        <v>0</v>
      </c>
      <c r="CK162" s="972">
        <f t="shared" si="65"/>
        <v>0</v>
      </c>
      <c r="CL162" s="972">
        <f t="shared" si="66"/>
        <v>0</v>
      </c>
      <c r="CN162" s="954">
        <f t="shared" si="67"/>
        <v>1442000</v>
      </c>
      <c r="CO162" s="1">
        <f t="shared" si="68"/>
        <v>1442000</v>
      </c>
    </row>
    <row r="163" spans="2:93" s="998" customFormat="1" ht="9" hidden="1" customHeight="1">
      <c r="B163" s="1032">
        <v>91</v>
      </c>
      <c r="T163" s="1010"/>
      <c r="U163" s="1010"/>
      <c r="V163" s="1010"/>
      <c r="W163" s="1010"/>
      <c r="X163" s="1010"/>
      <c r="Y163" s="1010"/>
      <c r="Z163" s="1010"/>
      <c r="AA163" s="1010"/>
      <c r="AB163" s="1010"/>
      <c r="AC163" s="1010"/>
      <c r="AD163" s="1010"/>
      <c r="AE163" s="1010"/>
      <c r="AF163" s="1010"/>
      <c r="AG163" s="1010"/>
      <c r="AH163" s="1010"/>
      <c r="AI163" s="1010"/>
      <c r="AJ163" s="1010"/>
      <c r="AK163" s="1010"/>
      <c r="AL163" s="1010"/>
      <c r="AM163" s="1010"/>
      <c r="AN163" s="1010"/>
      <c r="AO163" s="1010"/>
      <c r="AP163" s="1010"/>
      <c r="AQ163" s="1010"/>
      <c r="AR163" s="1010"/>
      <c r="AS163" s="1010"/>
      <c r="AT163" s="1010"/>
      <c r="AU163" s="1010"/>
      <c r="AV163" s="1010"/>
      <c r="AW163" s="1033">
        <v>0.35</v>
      </c>
      <c r="AX163" s="1033">
        <v>0.34660000000000002</v>
      </c>
      <c r="AY163" s="1033">
        <v>0.34320000000000001</v>
      </c>
      <c r="AZ163" s="1033">
        <v>0.33979999999999999</v>
      </c>
      <c r="BA163" s="1033">
        <v>0.33639999999999998</v>
      </c>
      <c r="BB163" s="1033">
        <v>0.33300000000000002</v>
      </c>
      <c r="BC163" s="1033">
        <v>0.3296</v>
      </c>
      <c r="BD163" s="1033">
        <v>0.32619999999999999</v>
      </c>
      <c r="BE163" s="1033">
        <v>0.32279999999999998</v>
      </c>
      <c r="BF163" s="1033">
        <v>0.31940000000000002</v>
      </c>
      <c r="BH163" s="970">
        <f t="shared" si="63"/>
        <v>0.32279999999999998</v>
      </c>
      <c r="BI163" s="1034">
        <f t="shared" si="80"/>
        <v>159982</v>
      </c>
      <c r="BJ163" s="1034">
        <f t="shared" si="41"/>
        <v>80000</v>
      </c>
      <c r="BK163" s="998">
        <f t="shared" si="59"/>
        <v>16000</v>
      </c>
      <c r="BL163" s="998">
        <f t="shared" si="60"/>
        <v>16000</v>
      </c>
      <c r="BN163" s="1032">
        <v>91</v>
      </c>
      <c r="BQ163" s="998">
        <v>0</v>
      </c>
      <c r="BS163" s="1010">
        <v>0</v>
      </c>
      <c r="BT163" s="976">
        <f t="shared" si="69"/>
        <v>0.87349999999999994</v>
      </c>
      <c r="BU163" s="1">
        <f t="shared" si="61"/>
        <v>159982</v>
      </c>
      <c r="BV163" s="975">
        <f t="shared" si="70"/>
        <v>0.32279999999999998</v>
      </c>
      <c r="BW163" s="1">
        <f t="shared" si="71"/>
        <v>0</v>
      </c>
      <c r="BX163" s="973">
        <f t="shared" si="72"/>
        <v>159982</v>
      </c>
      <c r="BY163" s="973">
        <f t="shared" si="73"/>
        <v>159982</v>
      </c>
      <c r="BZ163" s="973">
        <f t="shared" si="74"/>
        <v>144000</v>
      </c>
      <c r="CC163" s="974">
        <f t="shared" si="75"/>
        <v>200000</v>
      </c>
      <c r="CE163" s="1">
        <f t="shared" si="78"/>
        <v>1255800</v>
      </c>
      <c r="CF163" s="1">
        <f t="shared" si="62"/>
        <v>0</v>
      </c>
      <c r="CG163" s="973">
        <f t="shared" si="79"/>
        <v>1455800</v>
      </c>
      <c r="CH163" s="972">
        <f t="shared" si="76"/>
        <v>1455800</v>
      </c>
      <c r="CI163" s="972">
        <f t="shared" si="77"/>
        <v>92</v>
      </c>
      <c r="CJ163" s="972">
        <f t="shared" si="64"/>
        <v>0</v>
      </c>
      <c r="CK163" s="972">
        <f t="shared" si="65"/>
        <v>0</v>
      </c>
      <c r="CL163" s="972">
        <f t="shared" si="66"/>
        <v>0</v>
      </c>
      <c r="CN163" s="954">
        <f t="shared" si="67"/>
        <v>1455800</v>
      </c>
      <c r="CO163" s="1">
        <f t="shared" si="68"/>
        <v>1455800</v>
      </c>
    </row>
    <row r="164" spans="2:93" s="998" customFormat="1" hidden="1">
      <c r="B164" s="1032">
        <v>92</v>
      </c>
      <c r="T164" s="1010"/>
      <c r="U164" s="1010"/>
      <c r="V164" s="1010"/>
      <c r="W164" s="1010"/>
      <c r="X164" s="1010"/>
      <c r="Y164" s="1010"/>
      <c r="Z164" s="1010"/>
      <c r="AA164" s="1010"/>
      <c r="AB164" s="1010"/>
      <c r="AC164" s="1010"/>
      <c r="AD164" s="1010"/>
      <c r="AE164" s="1010"/>
      <c r="AF164" s="1010"/>
      <c r="AG164" s="1010"/>
      <c r="AH164" s="1010"/>
      <c r="AI164" s="1010"/>
      <c r="AJ164" s="1010"/>
      <c r="AK164" s="1010"/>
      <c r="AL164" s="1010"/>
      <c r="AM164" s="1010"/>
      <c r="AN164" s="1010"/>
      <c r="AO164" s="1010"/>
      <c r="AP164" s="1010"/>
      <c r="AQ164" s="1010"/>
      <c r="AR164" s="1010"/>
      <c r="AS164" s="1010"/>
      <c r="AT164" s="1010"/>
      <c r="AU164" s="1010"/>
      <c r="AV164" s="1010"/>
      <c r="AW164" s="1010"/>
      <c r="AX164" s="1033">
        <v>0.35</v>
      </c>
      <c r="AY164" s="1033">
        <v>0.34660000000000002</v>
      </c>
      <c r="AZ164" s="1033">
        <v>0.34320000000000001</v>
      </c>
      <c r="BA164" s="1033">
        <v>0.33979999999999999</v>
      </c>
      <c r="BB164" s="1033">
        <v>0.33639999999999998</v>
      </c>
      <c r="BC164" s="1033">
        <v>0.33300000000000002</v>
      </c>
      <c r="BD164" s="1033">
        <v>0.3296</v>
      </c>
      <c r="BE164" s="1033">
        <v>0.32619999999999999</v>
      </c>
      <c r="BF164" s="1033">
        <v>0.32279999999999998</v>
      </c>
      <c r="BH164" s="970">
        <f t="shared" si="63"/>
        <v>0.32619999999999999</v>
      </c>
      <c r="BI164" s="1034">
        <f t="shared" si="80"/>
        <v>161007</v>
      </c>
      <c r="BJ164" s="1034">
        <f t="shared" si="41"/>
        <v>80000</v>
      </c>
      <c r="BK164" s="998">
        <f t="shared" si="59"/>
        <v>16000</v>
      </c>
      <c r="BL164" s="998">
        <f t="shared" si="60"/>
        <v>16000</v>
      </c>
      <c r="BN164" s="1032">
        <v>92</v>
      </c>
      <c r="BQ164" s="998">
        <v>0</v>
      </c>
      <c r="BS164" s="1010">
        <v>0</v>
      </c>
      <c r="BT164" s="976">
        <f t="shared" si="69"/>
        <v>0.87909999999999999</v>
      </c>
      <c r="BU164" s="1">
        <f t="shared" si="61"/>
        <v>161007</v>
      </c>
      <c r="BV164" s="975">
        <f t="shared" si="70"/>
        <v>0.32619999999999999</v>
      </c>
      <c r="BW164" s="1">
        <f t="shared" si="71"/>
        <v>0</v>
      </c>
      <c r="BX164" s="973">
        <f t="shared" si="72"/>
        <v>161007</v>
      </c>
      <c r="BY164" s="973">
        <f t="shared" si="73"/>
        <v>161007</v>
      </c>
      <c r="BZ164" s="973">
        <f t="shared" si="74"/>
        <v>144900</v>
      </c>
      <c r="CC164" s="974">
        <f t="shared" si="75"/>
        <v>200000</v>
      </c>
      <c r="CE164" s="1">
        <f t="shared" si="78"/>
        <v>1269600</v>
      </c>
      <c r="CF164" s="1">
        <f t="shared" si="62"/>
        <v>0</v>
      </c>
      <c r="CG164" s="973">
        <f t="shared" si="79"/>
        <v>1469600</v>
      </c>
      <c r="CH164" s="972">
        <f t="shared" si="76"/>
        <v>1469600</v>
      </c>
      <c r="CI164" s="972">
        <f t="shared" si="77"/>
        <v>93</v>
      </c>
      <c r="CJ164" s="972">
        <f t="shared" si="64"/>
        <v>0</v>
      </c>
      <c r="CK164" s="972">
        <f t="shared" si="65"/>
        <v>0</v>
      </c>
      <c r="CL164" s="972">
        <f t="shared" si="66"/>
        <v>0</v>
      </c>
      <c r="CN164" s="954">
        <f t="shared" si="67"/>
        <v>1469600</v>
      </c>
      <c r="CO164" s="1">
        <f t="shared" si="68"/>
        <v>1469600</v>
      </c>
    </row>
    <row r="165" spans="2:93" s="998" customFormat="1" hidden="1">
      <c r="B165" s="1032">
        <v>93</v>
      </c>
      <c r="T165" s="1010"/>
      <c r="U165" s="1010"/>
      <c r="V165" s="1010"/>
      <c r="W165" s="1010"/>
      <c r="X165" s="1010"/>
      <c r="Y165" s="1010"/>
      <c r="Z165" s="1010"/>
      <c r="AA165" s="1010"/>
      <c r="AB165" s="1010"/>
      <c r="AC165" s="1010"/>
      <c r="AD165" s="1010"/>
      <c r="AE165" s="1010"/>
      <c r="AF165" s="1010"/>
      <c r="AG165" s="1010"/>
      <c r="AH165" s="1010"/>
      <c r="AI165" s="1010"/>
      <c r="AJ165" s="1010"/>
      <c r="AK165" s="1010"/>
      <c r="AL165" s="1010"/>
      <c r="AM165" s="1010"/>
      <c r="AN165" s="1010"/>
      <c r="AO165" s="1010"/>
      <c r="AP165" s="1010"/>
      <c r="AQ165" s="1010"/>
      <c r="AR165" s="1010"/>
      <c r="AS165" s="1010"/>
      <c r="AT165" s="1010"/>
      <c r="AU165" s="1010"/>
      <c r="AV165" s="1010"/>
      <c r="AW165" s="1010"/>
      <c r="AX165" s="1010"/>
      <c r="AY165" s="1033">
        <v>0.35</v>
      </c>
      <c r="AZ165" s="1033">
        <v>0.34660000000000002</v>
      </c>
      <c r="BA165" s="1033">
        <v>0.34320000000000001</v>
      </c>
      <c r="BB165" s="1033">
        <v>0.33979999999999999</v>
      </c>
      <c r="BC165" s="1033">
        <v>0.33639999999999998</v>
      </c>
      <c r="BD165" s="1033">
        <v>0.33300000000000002</v>
      </c>
      <c r="BE165" s="1033">
        <v>0.3296</v>
      </c>
      <c r="BF165" s="1033">
        <v>0.32619999999999999</v>
      </c>
      <c r="BH165" s="970">
        <f t="shared" si="63"/>
        <v>0.3296</v>
      </c>
      <c r="BI165" s="1034">
        <f t="shared" si="80"/>
        <v>161960</v>
      </c>
      <c r="BJ165" s="1034">
        <f t="shared" si="41"/>
        <v>80000</v>
      </c>
      <c r="BK165" s="998">
        <f t="shared" si="59"/>
        <v>16000</v>
      </c>
      <c r="BL165" s="998">
        <f t="shared" si="60"/>
        <v>16000</v>
      </c>
      <c r="BN165" s="1032">
        <v>93</v>
      </c>
      <c r="BQ165" s="998">
        <v>0</v>
      </c>
      <c r="BS165" s="1010">
        <v>0</v>
      </c>
      <c r="BT165" s="976">
        <f t="shared" si="69"/>
        <v>0.88429999999999997</v>
      </c>
      <c r="BU165" s="1">
        <f t="shared" si="61"/>
        <v>161960</v>
      </c>
      <c r="BV165" s="975">
        <f t="shared" si="70"/>
        <v>0.3296</v>
      </c>
      <c r="BW165" s="1">
        <f t="shared" si="71"/>
        <v>0</v>
      </c>
      <c r="BX165" s="973">
        <f t="shared" si="72"/>
        <v>161960</v>
      </c>
      <c r="BY165" s="973">
        <f t="shared" si="73"/>
        <v>161960</v>
      </c>
      <c r="BZ165" s="973">
        <f t="shared" si="74"/>
        <v>145800</v>
      </c>
      <c r="CC165" s="974">
        <f t="shared" si="75"/>
        <v>200000</v>
      </c>
      <c r="CE165" s="1">
        <f t="shared" si="78"/>
        <v>1283400</v>
      </c>
      <c r="CF165" s="1">
        <f t="shared" si="62"/>
        <v>0</v>
      </c>
      <c r="CG165" s="973">
        <f t="shared" si="79"/>
        <v>1483400</v>
      </c>
      <c r="CH165" s="972">
        <f t="shared" si="76"/>
        <v>1483400</v>
      </c>
      <c r="CI165" s="972">
        <f t="shared" si="77"/>
        <v>94</v>
      </c>
      <c r="CJ165" s="972">
        <f t="shared" si="64"/>
        <v>0</v>
      </c>
      <c r="CK165" s="972">
        <f t="shared" si="65"/>
        <v>0</v>
      </c>
      <c r="CL165" s="972">
        <f t="shared" si="66"/>
        <v>0</v>
      </c>
      <c r="CN165" s="954">
        <f t="shared" si="67"/>
        <v>1483400</v>
      </c>
      <c r="CO165" s="1">
        <f t="shared" si="68"/>
        <v>1483400</v>
      </c>
    </row>
    <row r="166" spans="2:93" s="998" customFormat="1" hidden="1">
      <c r="B166" s="1032">
        <v>94</v>
      </c>
      <c r="T166" s="1010"/>
      <c r="U166" s="1010"/>
      <c r="V166" s="1010"/>
      <c r="W166" s="1010"/>
      <c r="X166" s="1010"/>
      <c r="Y166" s="1010"/>
      <c r="Z166" s="1010"/>
      <c r="AA166" s="1010"/>
      <c r="AB166" s="1010"/>
      <c r="AC166" s="1010"/>
      <c r="AD166" s="1010"/>
      <c r="AE166" s="1010"/>
      <c r="AF166" s="1010"/>
      <c r="AG166" s="1010"/>
      <c r="AH166" s="1010"/>
      <c r="AI166" s="1010"/>
      <c r="AJ166" s="1010"/>
      <c r="AK166" s="1010"/>
      <c r="AL166" s="1010"/>
      <c r="AM166" s="1010"/>
      <c r="AN166" s="1010"/>
      <c r="AO166" s="1010"/>
      <c r="AP166" s="1010"/>
      <c r="AQ166" s="1010"/>
      <c r="AR166" s="1010"/>
      <c r="AS166" s="1010"/>
      <c r="AT166" s="1010"/>
      <c r="AU166" s="1010"/>
      <c r="AV166" s="1010"/>
      <c r="AW166" s="1010"/>
      <c r="AX166" s="1010"/>
      <c r="AY166" s="1010"/>
      <c r="AZ166" s="1033">
        <v>0.35</v>
      </c>
      <c r="BA166" s="1033">
        <v>0.34660000000000002</v>
      </c>
      <c r="BB166" s="1033">
        <v>0.34320000000000001</v>
      </c>
      <c r="BC166" s="1033">
        <v>0.33979999999999999</v>
      </c>
      <c r="BD166" s="1033">
        <v>0.33639999999999998</v>
      </c>
      <c r="BE166" s="1033">
        <v>0.33300000000000002</v>
      </c>
      <c r="BF166" s="1033">
        <v>0.3296</v>
      </c>
      <c r="BH166" s="970">
        <f t="shared" si="63"/>
        <v>0.33300000000000002</v>
      </c>
      <c r="BI166" s="1034">
        <f t="shared" si="80"/>
        <v>163004</v>
      </c>
      <c r="BJ166" s="1034">
        <f t="shared" si="41"/>
        <v>80000</v>
      </c>
      <c r="BK166" s="998">
        <f t="shared" si="59"/>
        <v>16000</v>
      </c>
      <c r="BL166" s="998">
        <f t="shared" si="60"/>
        <v>16000</v>
      </c>
      <c r="BN166" s="1032">
        <v>94</v>
      </c>
      <c r="BQ166" s="998">
        <v>0</v>
      </c>
      <c r="BS166" s="1010">
        <v>0</v>
      </c>
      <c r="BT166" s="976">
        <f t="shared" si="69"/>
        <v>0.8899999999999999</v>
      </c>
      <c r="BU166" s="1">
        <f t="shared" si="61"/>
        <v>163004</v>
      </c>
      <c r="BV166" s="975">
        <f t="shared" si="70"/>
        <v>0.33300000000000002</v>
      </c>
      <c r="BW166" s="1">
        <f t="shared" si="71"/>
        <v>0</v>
      </c>
      <c r="BX166" s="973">
        <f t="shared" si="72"/>
        <v>163004</v>
      </c>
      <c r="BY166" s="973">
        <f t="shared" si="73"/>
        <v>163004</v>
      </c>
      <c r="BZ166" s="973">
        <f t="shared" si="74"/>
        <v>146700</v>
      </c>
      <c r="CC166" s="974">
        <f t="shared" si="75"/>
        <v>200000</v>
      </c>
      <c r="CE166" s="1">
        <f t="shared" si="78"/>
        <v>1297200</v>
      </c>
      <c r="CF166" s="1">
        <f t="shared" si="62"/>
        <v>0</v>
      </c>
      <c r="CG166" s="973">
        <f t="shared" si="79"/>
        <v>1497200</v>
      </c>
      <c r="CH166" s="972">
        <f t="shared" si="76"/>
        <v>1497200</v>
      </c>
      <c r="CI166" s="972">
        <f t="shared" si="77"/>
        <v>95</v>
      </c>
      <c r="CJ166" s="972">
        <f t="shared" si="64"/>
        <v>0</v>
      </c>
      <c r="CK166" s="972">
        <f t="shared" si="65"/>
        <v>0</v>
      </c>
      <c r="CL166" s="972">
        <f t="shared" si="66"/>
        <v>0</v>
      </c>
      <c r="CN166" s="954">
        <f t="shared" si="67"/>
        <v>1497200</v>
      </c>
      <c r="CO166" s="1">
        <f t="shared" si="68"/>
        <v>1497200</v>
      </c>
    </row>
    <row r="167" spans="2:93" s="998" customFormat="1" hidden="1">
      <c r="B167" s="1032">
        <v>95</v>
      </c>
      <c r="T167" s="1010"/>
      <c r="U167" s="1010"/>
      <c r="V167" s="1010"/>
      <c r="W167" s="1010"/>
      <c r="X167" s="1010"/>
      <c r="Y167" s="1010"/>
      <c r="Z167" s="1010"/>
      <c r="AA167" s="1010"/>
      <c r="AB167" s="1010"/>
      <c r="AC167" s="1010"/>
      <c r="AD167" s="1010"/>
      <c r="AE167" s="1010"/>
      <c r="AF167" s="1010"/>
      <c r="AG167" s="1010"/>
      <c r="AH167" s="1010"/>
      <c r="AI167" s="1010"/>
      <c r="AJ167" s="1010"/>
      <c r="AK167" s="1010"/>
      <c r="AL167" s="1010"/>
      <c r="AM167" s="1010"/>
      <c r="AN167" s="1010"/>
      <c r="AO167" s="1010"/>
      <c r="AP167" s="1010"/>
      <c r="AQ167" s="1010"/>
      <c r="AR167" s="1010"/>
      <c r="AS167" s="1010"/>
      <c r="AT167" s="1010"/>
      <c r="AU167" s="1010"/>
      <c r="AV167" s="1010"/>
      <c r="AW167" s="1010"/>
      <c r="AX167" s="1010"/>
      <c r="AY167" s="1010"/>
      <c r="BA167" s="1033">
        <v>0.35</v>
      </c>
      <c r="BB167" s="1033">
        <v>0.34660000000000002</v>
      </c>
      <c r="BC167" s="1033">
        <v>0.34320000000000001</v>
      </c>
      <c r="BD167" s="1033">
        <v>0.33979999999999999</v>
      </c>
      <c r="BE167" s="1033">
        <v>0.33639999999999998</v>
      </c>
      <c r="BF167" s="1033">
        <v>0.33300000000000002</v>
      </c>
      <c r="BH167" s="970">
        <f t="shared" si="63"/>
        <v>0.33639999999999998</v>
      </c>
      <c r="BI167" s="1034">
        <f t="shared" si="80"/>
        <v>161886</v>
      </c>
      <c r="BJ167" s="1034">
        <f t="shared" si="41"/>
        <v>80000</v>
      </c>
      <c r="BK167" s="998">
        <f t="shared" ref="BK167:BK173" si="81">IF(CI167&lt;=100,BK$74," ")</f>
        <v>16000</v>
      </c>
      <c r="BL167" s="998">
        <f t="shared" ref="BL167:BL172" si="82">IF(CI167=101,CN$72,BK167)</f>
        <v>16000</v>
      </c>
      <c r="BN167" s="1032">
        <v>95</v>
      </c>
      <c r="BQ167" s="998">
        <v>0</v>
      </c>
      <c r="BS167" s="1010">
        <v>0</v>
      </c>
      <c r="BT167" s="976">
        <f t="shared" si="69"/>
        <v>0.88390000000000002</v>
      </c>
      <c r="BU167" s="1">
        <f t="shared" ref="BU167:BU172" si="83">ROUND(($AA$65*F$11)*BT167,0)</f>
        <v>161886</v>
      </c>
      <c r="BV167" s="975">
        <f t="shared" si="70"/>
        <v>0.33639999999999998</v>
      </c>
      <c r="BW167" s="1">
        <f t="shared" si="71"/>
        <v>0</v>
      </c>
      <c r="BX167" s="973">
        <f t="shared" si="72"/>
        <v>161886</v>
      </c>
      <c r="BY167" s="973">
        <f t="shared" si="73"/>
        <v>161886</v>
      </c>
      <c r="BZ167" s="973">
        <f t="shared" si="74"/>
        <v>145700</v>
      </c>
      <c r="CC167" s="974">
        <f t="shared" si="75"/>
        <v>200000</v>
      </c>
      <c r="CE167" s="1">
        <f t="shared" si="78"/>
        <v>1311000</v>
      </c>
      <c r="CF167" s="1">
        <f t="shared" ref="CF167:CF173" si="84">IF(CI167=101,3550*$I$10/1000,0)</f>
        <v>0</v>
      </c>
      <c r="CG167" s="973">
        <f t="shared" si="79"/>
        <v>1511000</v>
      </c>
      <c r="CH167" s="972">
        <f t="shared" si="76"/>
        <v>1511000</v>
      </c>
      <c r="CI167" s="972">
        <f t="shared" si="77"/>
        <v>96</v>
      </c>
      <c r="CJ167" s="972">
        <f t="shared" si="64"/>
        <v>0</v>
      </c>
      <c r="CK167" s="972">
        <f t="shared" si="65"/>
        <v>0</v>
      </c>
      <c r="CL167" s="972">
        <f t="shared" si="66"/>
        <v>0</v>
      </c>
      <c r="CN167" s="954">
        <f t="shared" si="67"/>
        <v>1511000</v>
      </c>
      <c r="CO167" s="1">
        <f t="shared" si="68"/>
        <v>1511000</v>
      </c>
    </row>
    <row r="168" spans="2:93" s="998" customFormat="1" hidden="1">
      <c r="B168" s="1032">
        <v>96</v>
      </c>
      <c r="T168" s="1010"/>
      <c r="U168" s="1010"/>
      <c r="V168" s="1010"/>
      <c r="W168" s="1010"/>
      <c r="X168" s="1010"/>
      <c r="Y168" s="1010"/>
      <c r="Z168" s="1010"/>
      <c r="AA168" s="1010"/>
      <c r="AB168" s="1010"/>
      <c r="AC168" s="1010"/>
      <c r="AD168" s="1010"/>
      <c r="AE168" s="1010"/>
      <c r="AF168" s="1010"/>
      <c r="AG168" s="1010"/>
      <c r="AH168" s="1010"/>
      <c r="AI168" s="1010"/>
      <c r="AJ168" s="1010"/>
      <c r="AK168" s="1010"/>
      <c r="AL168" s="1010"/>
      <c r="AM168" s="1010"/>
      <c r="AN168" s="1010"/>
      <c r="AO168" s="1010"/>
      <c r="AP168" s="1010"/>
      <c r="AQ168" s="1010"/>
      <c r="AR168" s="1010"/>
      <c r="AS168" s="1010"/>
      <c r="AT168" s="1010"/>
      <c r="AU168" s="1010"/>
      <c r="AV168" s="1010"/>
      <c r="AW168" s="1010"/>
      <c r="AX168" s="1010"/>
      <c r="AY168" s="1010"/>
      <c r="BB168" s="1033">
        <v>0.35</v>
      </c>
      <c r="BC168" s="1033">
        <v>0.34660000000000002</v>
      </c>
      <c r="BD168" s="1033">
        <v>0.34320000000000001</v>
      </c>
      <c r="BE168" s="1033">
        <v>0.33979999999999999</v>
      </c>
      <c r="BF168" s="1033">
        <v>0.33639999999999998</v>
      </c>
      <c r="BH168" s="970">
        <f t="shared" si="63"/>
        <v>0.33979999999999999</v>
      </c>
      <c r="BI168" s="1034">
        <f t="shared" si="80"/>
        <v>162765</v>
      </c>
      <c r="BJ168" s="1034">
        <f t="shared" ref="BJ168:BJ172" si="85">BK$74*5</f>
        <v>80000</v>
      </c>
      <c r="BK168" s="998">
        <f t="shared" si="81"/>
        <v>16000</v>
      </c>
      <c r="BL168" s="998">
        <f t="shared" si="82"/>
        <v>16000</v>
      </c>
      <c r="BN168" s="1032">
        <v>96</v>
      </c>
      <c r="BQ168" s="998">
        <v>0</v>
      </c>
      <c r="BS168" s="1010">
        <v>0</v>
      </c>
      <c r="BT168" s="976">
        <f t="shared" si="69"/>
        <v>0.88870000000000005</v>
      </c>
      <c r="BU168" s="1">
        <f t="shared" si="83"/>
        <v>162765</v>
      </c>
      <c r="BV168" s="975">
        <f t="shared" si="70"/>
        <v>0.33979999999999999</v>
      </c>
      <c r="BW168" s="1">
        <f t="shared" si="71"/>
        <v>0</v>
      </c>
      <c r="BX168" s="973">
        <f t="shared" si="72"/>
        <v>162765</v>
      </c>
      <c r="BY168" s="973">
        <f t="shared" si="73"/>
        <v>162765</v>
      </c>
      <c r="BZ168" s="973">
        <f t="shared" si="74"/>
        <v>146500</v>
      </c>
      <c r="CC168" s="974">
        <f t="shared" si="75"/>
        <v>200000</v>
      </c>
      <c r="CE168" s="1">
        <f t="shared" si="78"/>
        <v>1324800</v>
      </c>
      <c r="CF168" s="1">
        <f t="shared" si="84"/>
        <v>0</v>
      </c>
      <c r="CG168" s="973">
        <f t="shared" si="79"/>
        <v>1524800</v>
      </c>
      <c r="CH168" s="972">
        <f t="shared" si="76"/>
        <v>1524800</v>
      </c>
      <c r="CI168" s="972">
        <f t="shared" si="77"/>
        <v>97</v>
      </c>
      <c r="CJ168" s="972">
        <f t="shared" si="64"/>
        <v>0</v>
      </c>
      <c r="CK168" s="972">
        <f t="shared" si="65"/>
        <v>0</v>
      </c>
      <c r="CL168" s="972">
        <f t="shared" si="66"/>
        <v>0</v>
      </c>
      <c r="CN168" s="954">
        <f t="shared" si="67"/>
        <v>1524800</v>
      </c>
      <c r="CO168" s="1">
        <f t="shared" si="68"/>
        <v>1524800</v>
      </c>
    </row>
    <row r="169" spans="2:93" s="998" customFormat="1" hidden="1">
      <c r="B169" s="1032">
        <v>97</v>
      </c>
      <c r="T169" s="1010"/>
      <c r="U169" s="1010"/>
      <c r="V169" s="1010"/>
      <c r="W169" s="1010"/>
      <c r="X169" s="1010"/>
      <c r="Y169" s="1010"/>
      <c r="Z169" s="1010"/>
      <c r="AA169" s="1010"/>
      <c r="AB169" s="1010"/>
      <c r="AC169" s="1010"/>
      <c r="AD169" s="1010"/>
      <c r="AE169" s="1010"/>
      <c r="AF169" s="1010"/>
      <c r="AG169" s="1010"/>
      <c r="AH169" s="1010"/>
      <c r="AI169" s="1010"/>
      <c r="AJ169" s="1010"/>
      <c r="AK169" s="1010"/>
      <c r="AL169" s="1010"/>
      <c r="AM169" s="1010"/>
      <c r="AN169" s="1010"/>
      <c r="AO169" s="1010"/>
      <c r="AP169" s="1010"/>
      <c r="AQ169" s="1010"/>
      <c r="AR169" s="1010"/>
      <c r="AS169" s="1010"/>
      <c r="AT169" s="1010"/>
      <c r="AU169" s="1010"/>
      <c r="AV169" s="1010"/>
      <c r="AW169" s="1010"/>
      <c r="AX169" s="1010"/>
      <c r="AY169" s="1010"/>
      <c r="BC169" s="1033">
        <v>0.35</v>
      </c>
      <c r="BD169" s="1033">
        <v>0.34660000000000002</v>
      </c>
      <c r="BE169" s="1033">
        <v>0.34320000000000001</v>
      </c>
      <c r="BF169" s="1033">
        <v>0.33979999999999999</v>
      </c>
      <c r="BH169" s="970">
        <f t="shared" si="63"/>
        <v>0.34320000000000001</v>
      </c>
      <c r="BI169" s="1034">
        <f t="shared" si="80"/>
        <v>164029</v>
      </c>
      <c r="BJ169" s="1034">
        <f t="shared" si="85"/>
        <v>80000</v>
      </c>
      <c r="BK169" s="998">
        <f t="shared" si="81"/>
        <v>16000</v>
      </c>
      <c r="BL169" s="998">
        <f t="shared" si="82"/>
        <v>16000</v>
      </c>
      <c r="BN169" s="1032">
        <v>97</v>
      </c>
      <c r="BQ169" s="998">
        <v>0</v>
      </c>
      <c r="BS169" s="1010">
        <v>0</v>
      </c>
      <c r="BT169" s="976">
        <f t="shared" si="69"/>
        <v>0.89559999999999995</v>
      </c>
      <c r="BU169" s="1">
        <f t="shared" si="83"/>
        <v>164029</v>
      </c>
      <c r="BV169" s="975">
        <f t="shared" si="70"/>
        <v>0.34320000000000001</v>
      </c>
      <c r="BW169" s="1">
        <f t="shared" si="71"/>
        <v>0</v>
      </c>
      <c r="BX169" s="973">
        <f t="shared" si="72"/>
        <v>164029</v>
      </c>
      <c r="BY169" s="973">
        <f t="shared" si="73"/>
        <v>164029</v>
      </c>
      <c r="BZ169" s="973">
        <f t="shared" si="74"/>
        <v>147600</v>
      </c>
      <c r="CC169" s="974">
        <f t="shared" si="75"/>
        <v>200000</v>
      </c>
      <c r="CE169" s="1">
        <f t="shared" si="78"/>
        <v>1338600</v>
      </c>
      <c r="CF169" s="1">
        <f t="shared" si="84"/>
        <v>0</v>
      </c>
      <c r="CG169" s="973">
        <f t="shared" si="79"/>
        <v>1538600</v>
      </c>
      <c r="CH169" s="972">
        <f t="shared" si="76"/>
        <v>1538600</v>
      </c>
      <c r="CI169" s="972">
        <f t="shared" si="77"/>
        <v>98</v>
      </c>
      <c r="CJ169" s="972">
        <f t="shared" ref="CJ169:CJ173" si="86">IF(CI169&lt;71,CE$73,0)</f>
        <v>0</v>
      </c>
      <c r="CK169" s="972">
        <f t="shared" si="65"/>
        <v>0</v>
      </c>
      <c r="CL169" s="972">
        <f t="shared" ref="CL169:CL173" si="87">IF(AC$53=2,CK169,CJ169)</f>
        <v>0</v>
      </c>
      <c r="CN169" s="954">
        <f t="shared" si="67"/>
        <v>1538600</v>
      </c>
      <c r="CO169" s="1">
        <f t="shared" ref="CO169:CO173" si="88">IF(AND(($F$10&gt;=18),($G$12="YES")),CL169+CN169,CN169)</f>
        <v>1538600</v>
      </c>
    </row>
    <row r="170" spans="2:93" s="998" customFormat="1" hidden="1">
      <c r="B170" s="1032">
        <v>98</v>
      </c>
      <c r="T170" s="1010"/>
      <c r="U170" s="1010"/>
      <c r="V170" s="1010"/>
      <c r="W170" s="1010"/>
      <c r="X170" s="1010"/>
      <c r="Y170" s="1010"/>
      <c r="Z170" s="1010"/>
      <c r="AA170" s="1010"/>
      <c r="AB170" s="1010"/>
      <c r="AC170" s="1010"/>
      <c r="AD170" s="1010"/>
      <c r="AE170" s="1010"/>
      <c r="AF170" s="1010"/>
      <c r="AG170" s="1010"/>
      <c r="AH170" s="1010"/>
      <c r="AI170" s="1010"/>
      <c r="AJ170" s="1010"/>
      <c r="AK170" s="1010"/>
      <c r="AL170" s="1010"/>
      <c r="AM170" s="1010"/>
      <c r="AN170" s="1010"/>
      <c r="AO170" s="1010"/>
      <c r="AP170" s="1010"/>
      <c r="AQ170" s="1010"/>
      <c r="AR170" s="1010"/>
      <c r="AS170" s="1010"/>
      <c r="AT170" s="1010"/>
      <c r="AU170" s="1010"/>
      <c r="AV170" s="1010"/>
      <c r="AW170" s="1010"/>
      <c r="AX170" s="1010"/>
      <c r="AY170" s="1010"/>
      <c r="BD170" s="1033">
        <v>0.35</v>
      </c>
      <c r="BE170" s="1033">
        <v>0.34660000000000002</v>
      </c>
      <c r="BF170" s="1033">
        <v>0.34320000000000001</v>
      </c>
      <c r="BH170" s="970">
        <f t="shared" si="63"/>
        <v>0.34660000000000002</v>
      </c>
      <c r="BI170" s="1034">
        <f t="shared" si="80"/>
        <v>164835</v>
      </c>
      <c r="BJ170" s="1034">
        <f t="shared" si="85"/>
        <v>80000</v>
      </c>
      <c r="BK170" s="998">
        <f t="shared" si="81"/>
        <v>16000</v>
      </c>
      <c r="BL170" s="998">
        <f t="shared" si="82"/>
        <v>16000</v>
      </c>
      <c r="BN170" s="1032">
        <v>98</v>
      </c>
      <c r="BQ170" s="998">
        <v>0</v>
      </c>
      <c r="BS170" s="1010">
        <v>0</v>
      </c>
      <c r="BT170" s="976">
        <f t="shared" ref="BT170:BT172" si="89">BH274</f>
        <v>0.9</v>
      </c>
      <c r="BU170" s="1">
        <f t="shared" si="83"/>
        <v>164835</v>
      </c>
      <c r="BV170" s="975">
        <f t="shared" si="70"/>
        <v>0.34660000000000002</v>
      </c>
      <c r="BW170" s="1">
        <f t="shared" ref="BW170:BW172" si="90">ROUND(BQ170*BV170,0)</f>
        <v>0</v>
      </c>
      <c r="BX170" s="973">
        <f t="shared" ref="BX170:BX172" si="91">BU170+BW170</f>
        <v>164835</v>
      </c>
      <c r="BY170" s="973">
        <f t="shared" ref="BY170:BY172" si="92">IF(BX170&gt;BS170,BX170,BS170)</f>
        <v>164835</v>
      </c>
      <c r="BZ170" s="973">
        <f t="shared" ref="BZ170:BZ172" si="93">ROUND((BY170*(90/100)),-2)</f>
        <v>148400</v>
      </c>
      <c r="CC170" s="974">
        <f t="shared" si="75"/>
        <v>200000</v>
      </c>
      <c r="CE170" s="1">
        <f t="shared" si="78"/>
        <v>1352400</v>
      </c>
      <c r="CF170" s="1">
        <f t="shared" si="84"/>
        <v>0</v>
      </c>
      <c r="CG170" s="973">
        <f t="shared" si="79"/>
        <v>1552400</v>
      </c>
      <c r="CH170" s="972">
        <f t="shared" ref="CH170:CH172" si="94">IF((CB170&gt;CG170),CB170,CG170)</f>
        <v>1552400</v>
      </c>
      <c r="CI170" s="972">
        <f t="shared" si="77"/>
        <v>99</v>
      </c>
      <c r="CJ170" s="972">
        <f t="shared" si="86"/>
        <v>0</v>
      </c>
      <c r="CK170" s="972">
        <f t="shared" si="65"/>
        <v>0</v>
      </c>
      <c r="CL170" s="972">
        <f t="shared" si="87"/>
        <v>0</v>
      </c>
      <c r="CN170" s="954">
        <f t="shared" si="67"/>
        <v>1552400</v>
      </c>
      <c r="CO170" s="1">
        <f t="shared" si="88"/>
        <v>1552400</v>
      </c>
    </row>
    <row r="171" spans="2:93" s="998" customFormat="1" hidden="1">
      <c r="B171" s="1032">
        <v>99</v>
      </c>
      <c r="T171" s="1010"/>
      <c r="U171" s="1010"/>
      <c r="V171" s="1010"/>
      <c r="W171" s="1010"/>
      <c r="X171" s="1010"/>
      <c r="Y171" s="1010"/>
      <c r="Z171" s="1010"/>
      <c r="AA171" s="1010"/>
      <c r="AB171" s="1010"/>
      <c r="AC171" s="1010"/>
      <c r="AD171" s="1010"/>
      <c r="AE171" s="1010"/>
      <c r="AF171" s="1010"/>
      <c r="AG171" s="1010"/>
      <c r="AH171" s="1010"/>
      <c r="AI171" s="1010"/>
      <c r="AJ171" s="1010"/>
      <c r="AK171" s="1010"/>
      <c r="AL171" s="1010"/>
      <c r="AM171" s="1010"/>
      <c r="AN171" s="1010"/>
      <c r="AO171" s="1010"/>
      <c r="AP171" s="1010"/>
      <c r="AQ171" s="1010"/>
      <c r="AR171" s="1010"/>
      <c r="AS171" s="1010"/>
      <c r="AT171" s="1010"/>
      <c r="AU171" s="1010"/>
      <c r="AV171" s="1010"/>
      <c r="AW171" s="1010"/>
      <c r="AX171" s="1010"/>
      <c r="AY171" s="1010"/>
      <c r="BE171" s="1033">
        <v>0.35</v>
      </c>
      <c r="BF171" s="1033">
        <v>0.34660000000000002</v>
      </c>
      <c r="BH171" s="970">
        <f t="shared" si="63"/>
        <v>0.35</v>
      </c>
      <c r="BI171" s="1034">
        <f t="shared" si="80"/>
        <v>164835</v>
      </c>
      <c r="BJ171" s="1034">
        <f t="shared" si="85"/>
        <v>80000</v>
      </c>
      <c r="BK171" s="998">
        <f t="shared" si="81"/>
        <v>16000</v>
      </c>
      <c r="BL171" s="998">
        <f t="shared" si="82"/>
        <v>16000</v>
      </c>
      <c r="BN171" s="1032">
        <v>99</v>
      </c>
      <c r="BQ171" s="998">
        <v>0</v>
      </c>
      <c r="BS171" s="1010">
        <v>0</v>
      </c>
      <c r="BT171" s="976">
        <f t="shared" si="89"/>
        <v>0.9</v>
      </c>
      <c r="BU171" s="1">
        <f t="shared" si="83"/>
        <v>164835</v>
      </c>
      <c r="BV171" s="975">
        <f t="shared" si="70"/>
        <v>0.35</v>
      </c>
      <c r="BW171" s="1">
        <f t="shared" si="90"/>
        <v>0</v>
      </c>
      <c r="BX171" s="973">
        <f t="shared" si="91"/>
        <v>164835</v>
      </c>
      <c r="BY171" s="973">
        <f t="shared" si="92"/>
        <v>164835</v>
      </c>
      <c r="BZ171" s="973">
        <f t="shared" si="93"/>
        <v>148400</v>
      </c>
      <c r="CC171" s="974">
        <f t="shared" si="75"/>
        <v>200000</v>
      </c>
      <c r="CE171" s="1">
        <f t="shared" si="78"/>
        <v>1366200</v>
      </c>
      <c r="CF171" s="1">
        <f t="shared" si="84"/>
        <v>0</v>
      </c>
      <c r="CG171" s="973">
        <f t="shared" ref="CG171:CG172" si="95">CC171+CE171+CF171</f>
        <v>1566200</v>
      </c>
      <c r="CH171" s="972">
        <f t="shared" si="94"/>
        <v>1566200</v>
      </c>
      <c r="CI171" s="972">
        <f t="shared" si="77"/>
        <v>100</v>
      </c>
      <c r="CJ171" s="972">
        <f t="shared" si="86"/>
        <v>0</v>
      </c>
      <c r="CK171" s="972">
        <f t="shared" si="65"/>
        <v>0</v>
      </c>
      <c r="CL171" s="972">
        <f t="shared" si="87"/>
        <v>0</v>
      </c>
      <c r="CN171" s="954">
        <f t="shared" si="67"/>
        <v>1566200</v>
      </c>
      <c r="CO171" s="1">
        <f t="shared" si="88"/>
        <v>1566200</v>
      </c>
    </row>
    <row r="172" spans="2:93" s="998" customFormat="1" hidden="1">
      <c r="B172" s="1032">
        <v>100</v>
      </c>
      <c r="T172" s="1010"/>
      <c r="U172" s="1010"/>
      <c r="V172" s="1010"/>
      <c r="W172" s="1010"/>
      <c r="X172" s="1010"/>
      <c r="Y172" s="1010"/>
      <c r="Z172" s="1010"/>
      <c r="AA172" s="1010"/>
      <c r="AB172" s="1010"/>
      <c r="AC172" s="1010"/>
      <c r="AD172" s="1010"/>
      <c r="AE172" s="1010"/>
      <c r="AF172" s="1010"/>
      <c r="AG172" s="1010"/>
      <c r="AH172" s="1010"/>
      <c r="AI172" s="1010"/>
      <c r="AJ172" s="1010"/>
      <c r="AK172" s="1010"/>
      <c r="AL172" s="1010"/>
      <c r="AM172" s="1010"/>
      <c r="AN172" s="1010"/>
      <c r="AO172" s="1010"/>
      <c r="AP172" s="1010"/>
      <c r="AQ172" s="1010"/>
      <c r="AR172" s="1010"/>
      <c r="AS172" s="1010"/>
      <c r="AT172" s="1010"/>
      <c r="AU172" s="1010"/>
      <c r="AV172" s="1010"/>
      <c r="AW172" s="1010"/>
      <c r="AX172" s="1010"/>
      <c r="AY172" s="1010"/>
      <c r="BF172" s="1033">
        <v>0.35</v>
      </c>
      <c r="BH172" s="970">
        <f t="shared" si="63"/>
        <v>0</v>
      </c>
      <c r="BI172" s="1034">
        <f t="shared" si="80"/>
        <v>0</v>
      </c>
      <c r="BJ172" s="1034">
        <f t="shared" si="85"/>
        <v>80000</v>
      </c>
      <c r="BK172" s="998" t="str">
        <f t="shared" si="81"/>
        <v/>
      </c>
      <c r="BL172" s="998">
        <f t="shared" si="82"/>
        <v>2290000</v>
      </c>
      <c r="BN172" s="1032">
        <v>100</v>
      </c>
      <c r="BQ172" s="998">
        <v>0</v>
      </c>
      <c r="BS172" s="1010">
        <v>0</v>
      </c>
      <c r="BT172" s="976">
        <f t="shared" si="89"/>
        <v>0</v>
      </c>
      <c r="BU172" s="1">
        <f t="shared" si="83"/>
        <v>0</v>
      </c>
      <c r="BV172" s="975">
        <f t="shared" si="70"/>
        <v>0</v>
      </c>
      <c r="BW172" s="1">
        <f t="shared" si="90"/>
        <v>0</v>
      </c>
      <c r="BX172" s="973">
        <f t="shared" si="91"/>
        <v>0</v>
      </c>
      <c r="BY172" s="973">
        <f t="shared" si="92"/>
        <v>0</v>
      </c>
      <c r="BZ172" s="973">
        <f t="shared" si="93"/>
        <v>0</v>
      </c>
      <c r="CC172" s="974">
        <f t="shared" si="75"/>
        <v>200000</v>
      </c>
      <c r="CE172" s="1">
        <f t="shared" si="78"/>
        <v>1380000</v>
      </c>
      <c r="CF172" s="1">
        <f t="shared" si="84"/>
        <v>710000</v>
      </c>
      <c r="CG172" s="973">
        <f t="shared" si="95"/>
        <v>2290000</v>
      </c>
      <c r="CH172" s="972">
        <f t="shared" si="94"/>
        <v>2290000</v>
      </c>
      <c r="CI172" s="972">
        <f t="shared" si="77"/>
        <v>101</v>
      </c>
      <c r="CJ172" s="972">
        <f t="shared" si="86"/>
        <v>0</v>
      </c>
      <c r="CK172" s="972">
        <f t="shared" si="65"/>
        <v>0</v>
      </c>
      <c r="CL172" s="972">
        <f t="shared" si="87"/>
        <v>0</v>
      </c>
      <c r="CN172" s="954">
        <f t="shared" si="67"/>
        <v>2290000</v>
      </c>
      <c r="CO172" s="1">
        <f t="shared" si="88"/>
        <v>2290000</v>
      </c>
    </row>
    <row r="173" spans="2:93" s="998" customFormat="1" hidden="1">
      <c r="T173" s="1010"/>
      <c r="U173" s="1010"/>
      <c r="V173" s="1010"/>
      <c r="W173" s="1010"/>
      <c r="X173" s="1010"/>
      <c r="Y173" s="1010"/>
      <c r="Z173" s="1010"/>
      <c r="AA173" s="1010"/>
      <c r="AB173" s="1010"/>
      <c r="AC173" s="1010"/>
      <c r="AD173" s="1010"/>
      <c r="AE173" s="1010"/>
      <c r="AF173" s="1010"/>
      <c r="AG173" s="1010"/>
      <c r="AH173" s="1010"/>
      <c r="AI173" s="1010"/>
      <c r="AJ173" s="1010"/>
      <c r="AK173" s="1010"/>
      <c r="AL173" s="1010"/>
      <c r="AM173" s="1010"/>
      <c r="AN173" s="1010"/>
      <c r="AO173" s="1010"/>
      <c r="AP173" s="1010"/>
      <c r="AQ173" s="1010"/>
      <c r="AR173" s="1010"/>
      <c r="AS173" s="1010"/>
      <c r="AT173" s="1010"/>
      <c r="AU173" s="1010"/>
      <c r="AV173" s="1010"/>
      <c r="AW173" s="1010"/>
      <c r="AX173" s="1010"/>
      <c r="AY173" s="1010"/>
      <c r="BK173" s="998" t="str">
        <f t="shared" si="81"/>
        <v/>
      </c>
      <c r="BL173" s="998" t="str">
        <f>IF(CI173=101,CN$72,BK172)</f>
        <v/>
      </c>
      <c r="BN173" s="1032">
        <v>101</v>
      </c>
      <c r="CC173" s="974">
        <f t="shared" si="75"/>
        <v>200000</v>
      </c>
      <c r="CF173" s="1">
        <f t="shared" si="84"/>
        <v>0</v>
      </c>
      <c r="CG173" s="973">
        <f>CG172</f>
        <v>2290000</v>
      </c>
      <c r="CH173" s="972">
        <f>CH172</f>
        <v>2290000</v>
      </c>
      <c r="CI173" s="972">
        <f t="shared" si="77"/>
        <v>102</v>
      </c>
      <c r="CJ173" s="972">
        <f t="shared" si="86"/>
        <v>0</v>
      </c>
      <c r="CK173" s="972">
        <f t="shared" si="65"/>
        <v>0</v>
      </c>
      <c r="CL173" s="972">
        <f t="shared" si="87"/>
        <v>0</v>
      </c>
      <c r="CN173" s="954">
        <f t="shared" si="67"/>
        <v>2290000</v>
      </c>
      <c r="CO173" s="1">
        <f t="shared" si="88"/>
        <v>2290000</v>
      </c>
    </row>
    <row r="174" spans="2:93" s="998" customFormat="1" hidden="1">
      <c r="T174" s="1010"/>
      <c r="U174" s="1010"/>
      <c r="V174" s="1010"/>
      <c r="W174" s="1010"/>
      <c r="X174" s="1010"/>
      <c r="Y174" s="1010"/>
      <c r="Z174" s="1010"/>
      <c r="AA174" s="1010"/>
      <c r="AB174" s="1010"/>
      <c r="AC174" s="1010"/>
      <c r="AD174" s="1010"/>
      <c r="AE174" s="1010"/>
      <c r="AF174" s="1010"/>
      <c r="AG174" s="1010"/>
      <c r="AH174" s="1010"/>
      <c r="AI174" s="1010"/>
      <c r="AJ174" s="1010"/>
      <c r="AK174" s="1010"/>
      <c r="AL174" s="1010"/>
      <c r="AM174" s="1010"/>
      <c r="AN174" s="1010"/>
      <c r="AO174" s="1010"/>
      <c r="AP174" s="1010"/>
      <c r="AQ174" s="1010"/>
      <c r="AR174" s="1010"/>
      <c r="AS174" s="1010"/>
      <c r="AT174" s="1010"/>
      <c r="AU174" s="1010"/>
      <c r="AV174" s="1010"/>
      <c r="AW174" s="1010"/>
      <c r="AX174" s="1010"/>
      <c r="AY174" s="1010"/>
    </row>
    <row r="175" spans="2:93" s="998" customFormat="1" ht="14.25" hidden="1" customHeight="1">
      <c r="T175" s="1010"/>
      <c r="U175" s="1010"/>
      <c r="V175" s="1010"/>
      <c r="W175" s="1010"/>
      <c r="X175" s="1010"/>
      <c r="Y175" s="1010"/>
      <c r="Z175" s="1010"/>
      <c r="AA175" s="1010"/>
      <c r="AB175" s="1010"/>
      <c r="AC175" s="1010"/>
      <c r="AD175" s="1010"/>
      <c r="AE175" s="1010"/>
      <c r="AF175" s="1010"/>
      <c r="AG175" s="1010"/>
      <c r="AH175" s="1010"/>
      <c r="AI175" s="1010"/>
      <c r="AJ175" s="1010"/>
      <c r="AK175" s="1010"/>
      <c r="AL175" s="1010"/>
      <c r="AM175" s="1010"/>
      <c r="AN175" s="1010"/>
      <c r="AO175" s="1010"/>
      <c r="AP175" s="1010"/>
      <c r="AQ175" s="1010"/>
      <c r="AR175" s="1010"/>
      <c r="AS175" s="1010"/>
      <c r="AT175" s="1010"/>
      <c r="AU175" s="1010"/>
      <c r="AV175" s="1010"/>
      <c r="AW175" s="1010"/>
      <c r="AX175" s="1010"/>
      <c r="AY175" s="1010"/>
      <c r="CD175" s="1034">
        <f>I10</f>
        <v>200000</v>
      </c>
      <c r="CE175" s="971">
        <f>LOOKUP($CJ$70,$CI$73:$CI$173,CE73:CE173)</f>
        <v>1380000</v>
      </c>
      <c r="CF175" s="971">
        <f>LOOKUP($CJ$70,$CI$73:$CI$173,CF73:CF173)</f>
        <v>710000</v>
      </c>
    </row>
    <row r="176" spans="2:93" s="998" customFormat="1" hidden="1">
      <c r="B176" s="1036"/>
      <c r="C176" s="1036">
        <v>45</v>
      </c>
      <c r="D176" s="1036">
        <v>46</v>
      </c>
      <c r="E176" s="1036">
        <v>47</v>
      </c>
      <c r="F176" s="1036">
        <v>48</v>
      </c>
      <c r="G176" s="1036">
        <v>49</v>
      </c>
      <c r="H176" s="1036">
        <v>50</v>
      </c>
      <c r="I176" s="1036">
        <v>51</v>
      </c>
      <c r="J176" s="1036">
        <v>52</v>
      </c>
      <c r="K176" s="1036">
        <v>53</v>
      </c>
      <c r="L176" s="1036">
        <v>54</v>
      </c>
      <c r="M176" s="1036">
        <v>55</v>
      </c>
      <c r="N176" s="1036">
        <v>56</v>
      </c>
      <c r="O176" s="1036">
        <v>57</v>
      </c>
      <c r="P176" s="1036">
        <v>58</v>
      </c>
      <c r="Q176" s="1036">
        <v>59</v>
      </c>
      <c r="R176" s="1036">
        <v>60</v>
      </c>
      <c r="S176" s="1036">
        <v>61</v>
      </c>
      <c r="T176" s="1036">
        <v>62</v>
      </c>
      <c r="U176" s="1036">
        <v>63</v>
      </c>
      <c r="V176" s="1036">
        <v>64</v>
      </c>
      <c r="W176" s="1036">
        <v>65</v>
      </c>
      <c r="X176" s="1036">
        <v>66</v>
      </c>
      <c r="Y176" s="1036">
        <v>67</v>
      </c>
      <c r="Z176" s="1036">
        <v>68</v>
      </c>
      <c r="AA176" s="1036">
        <v>69</v>
      </c>
      <c r="AB176" s="1036">
        <v>70</v>
      </c>
      <c r="AC176" s="1032">
        <v>71</v>
      </c>
      <c r="AD176" s="1032">
        <v>72</v>
      </c>
      <c r="AE176" s="1032">
        <v>73</v>
      </c>
      <c r="AF176" s="1032">
        <v>74</v>
      </c>
      <c r="AG176" s="1032">
        <v>75</v>
      </c>
      <c r="AH176" s="1032">
        <v>76</v>
      </c>
      <c r="AI176" s="1032">
        <v>77</v>
      </c>
      <c r="AJ176" s="1032">
        <v>78</v>
      </c>
      <c r="AK176" s="1032">
        <v>79</v>
      </c>
      <c r="AL176" s="1032">
        <v>80</v>
      </c>
      <c r="AM176" s="1032">
        <v>81</v>
      </c>
      <c r="AN176" s="1032">
        <v>82</v>
      </c>
      <c r="AO176" s="1032">
        <v>83</v>
      </c>
      <c r="AP176" s="1032">
        <v>84</v>
      </c>
      <c r="AQ176" s="1032">
        <v>85</v>
      </c>
      <c r="AR176" s="1032">
        <v>86</v>
      </c>
      <c r="AS176" s="1032">
        <v>87</v>
      </c>
      <c r="AT176" s="1032">
        <v>88</v>
      </c>
      <c r="AU176" s="1032">
        <v>89</v>
      </c>
      <c r="AV176" s="1032">
        <v>90</v>
      </c>
      <c r="AW176" s="1032">
        <v>91</v>
      </c>
      <c r="AX176" s="1032">
        <v>92</v>
      </c>
      <c r="AY176" s="1032">
        <v>93</v>
      </c>
      <c r="AZ176" s="1032">
        <v>94</v>
      </c>
      <c r="BA176" s="1032">
        <v>95</v>
      </c>
      <c r="BB176" s="1032">
        <v>96</v>
      </c>
      <c r="BC176" s="1032">
        <v>97</v>
      </c>
      <c r="BD176" s="1032">
        <v>98</v>
      </c>
      <c r="BE176" s="1032">
        <v>99</v>
      </c>
      <c r="BF176" s="1032">
        <v>100</v>
      </c>
      <c r="BH176" s="970"/>
      <c r="BI176" s="970"/>
    </row>
    <row r="177" spans="2:61" s="998" customFormat="1" hidden="1">
      <c r="B177" s="1036">
        <v>1</v>
      </c>
      <c r="C177" s="1037">
        <v>0</v>
      </c>
      <c r="D177" s="1037">
        <v>0</v>
      </c>
      <c r="E177" s="1037">
        <v>0</v>
      </c>
      <c r="F177" s="1037">
        <v>0</v>
      </c>
      <c r="G177" s="1037">
        <v>0</v>
      </c>
      <c r="H177" s="1037">
        <v>0</v>
      </c>
      <c r="I177" s="1037">
        <v>0</v>
      </c>
      <c r="J177" s="1037">
        <v>0</v>
      </c>
      <c r="K177" s="1037">
        <v>0</v>
      </c>
      <c r="L177" s="1037">
        <v>0</v>
      </c>
      <c r="M177" s="1037">
        <v>0</v>
      </c>
      <c r="N177" s="1037">
        <v>0</v>
      </c>
      <c r="O177" s="1037">
        <v>0</v>
      </c>
      <c r="P177" s="1037">
        <v>0</v>
      </c>
      <c r="Q177" s="1037">
        <v>0</v>
      </c>
      <c r="R177" s="1037">
        <v>0</v>
      </c>
      <c r="S177" s="1037">
        <v>0</v>
      </c>
      <c r="T177" s="1037">
        <v>0</v>
      </c>
      <c r="U177" s="1037">
        <v>0</v>
      </c>
      <c r="V177" s="1037">
        <v>0</v>
      </c>
      <c r="W177" s="1037">
        <v>0</v>
      </c>
      <c r="X177" s="1037">
        <v>0</v>
      </c>
      <c r="Y177" s="1037">
        <v>0</v>
      </c>
      <c r="Z177" s="1037">
        <v>0</v>
      </c>
      <c r="AA177" s="1037">
        <v>0</v>
      </c>
      <c r="AB177" s="1037">
        <v>0</v>
      </c>
      <c r="AC177" s="1037">
        <v>0</v>
      </c>
      <c r="AD177" s="1037">
        <v>0</v>
      </c>
      <c r="AE177" s="1037">
        <v>0</v>
      </c>
      <c r="AF177" s="1037">
        <v>0</v>
      </c>
      <c r="AG177" s="1037">
        <v>0</v>
      </c>
      <c r="AH177" s="1037">
        <v>0</v>
      </c>
      <c r="AI177" s="1037">
        <v>0</v>
      </c>
      <c r="AJ177" s="1037">
        <v>0</v>
      </c>
      <c r="AK177" s="1037">
        <v>0</v>
      </c>
      <c r="AL177" s="1037">
        <v>0</v>
      </c>
      <c r="AM177" s="1037">
        <v>0</v>
      </c>
      <c r="AN177" s="1037">
        <v>0</v>
      </c>
      <c r="AO177" s="1037">
        <v>0</v>
      </c>
      <c r="AP177" s="1037">
        <v>0</v>
      </c>
      <c r="AQ177" s="1037">
        <v>0</v>
      </c>
      <c r="AR177" s="1037">
        <v>0</v>
      </c>
      <c r="AS177" s="1037">
        <v>0</v>
      </c>
      <c r="AT177" s="1037">
        <v>0</v>
      </c>
      <c r="AU177" s="1037">
        <v>0</v>
      </c>
      <c r="AV177" s="1037">
        <v>0</v>
      </c>
      <c r="AW177" s="1037">
        <v>0</v>
      </c>
      <c r="AX177" s="1037">
        <v>0</v>
      </c>
      <c r="AY177" s="1037">
        <v>0</v>
      </c>
      <c r="AZ177" s="1037">
        <v>0</v>
      </c>
      <c r="BA177" s="1037">
        <v>0</v>
      </c>
      <c r="BB177" s="1037">
        <v>0</v>
      </c>
      <c r="BC177" s="1037">
        <v>0</v>
      </c>
      <c r="BD177" s="1037">
        <v>0</v>
      </c>
      <c r="BE177" s="1037">
        <v>0</v>
      </c>
      <c r="BF177" s="1037">
        <v>0</v>
      </c>
      <c r="BH177" s="970">
        <f t="shared" ref="BH177:BH208" si="96">LOOKUP($K$15,$C$176:$BF$176,C177:BF177)</f>
        <v>0</v>
      </c>
      <c r="BI177" s="970"/>
    </row>
    <row r="178" spans="2:61" s="998" customFormat="1" hidden="1">
      <c r="B178" s="1036">
        <v>2</v>
      </c>
      <c r="C178" s="1037">
        <v>0</v>
      </c>
      <c r="D178" s="1037">
        <v>0</v>
      </c>
      <c r="E178" s="1037">
        <v>0</v>
      </c>
      <c r="F178" s="1037">
        <v>0</v>
      </c>
      <c r="G178" s="1037">
        <v>0</v>
      </c>
      <c r="H178" s="1037">
        <v>0</v>
      </c>
      <c r="I178" s="1037">
        <v>0</v>
      </c>
      <c r="J178" s="1037">
        <v>0</v>
      </c>
      <c r="K178" s="1037">
        <v>0</v>
      </c>
      <c r="L178" s="1037">
        <v>0</v>
      </c>
      <c r="M178" s="1037">
        <v>0</v>
      </c>
      <c r="N178" s="1037">
        <v>0</v>
      </c>
      <c r="O178" s="1037">
        <v>0</v>
      </c>
      <c r="P178" s="1037">
        <v>0</v>
      </c>
      <c r="Q178" s="1037">
        <v>0</v>
      </c>
      <c r="R178" s="1037">
        <v>0</v>
      </c>
      <c r="S178" s="1037">
        <v>0</v>
      </c>
      <c r="T178" s="1037">
        <v>0</v>
      </c>
      <c r="U178" s="1037">
        <v>0</v>
      </c>
      <c r="V178" s="1037">
        <v>0</v>
      </c>
      <c r="W178" s="1037">
        <v>0</v>
      </c>
      <c r="X178" s="1037">
        <v>0</v>
      </c>
      <c r="Y178" s="1037">
        <v>0</v>
      </c>
      <c r="Z178" s="1037">
        <v>0</v>
      </c>
      <c r="AA178" s="1037">
        <v>0</v>
      </c>
      <c r="AB178" s="1037">
        <v>0</v>
      </c>
      <c r="AC178" s="1037">
        <v>0</v>
      </c>
      <c r="AD178" s="1037">
        <v>0</v>
      </c>
      <c r="AE178" s="1037">
        <v>0</v>
      </c>
      <c r="AF178" s="1037">
        <v>0</v>
      </c>
      <c r="AG178" s="1037">
        <v>0</v>
      </c>
      <c r="AH178" s="1037">
        <v>0</v>
      </c>
      <c r="AI178" s="1037">
        <v>0</v>
      </c>
      <c r="AJ178" s="1037">
        <v>0</v>
      </c>
      <c r="AK178" s="1037">
        <v>0</v>
      </c>
      <c r="AL178" s="1037">
        <v>0</v>
      </c>
      <c r="AM178" s="1037">
        <v>0</v>
      </c>
      <c r="AN178" s="1037">
        <v>0</v>
      </c>
      <c r="AO178" s="1037">
        <v>0</v>
      </c>
      <c r="AP178" s="1037">
        <v>0</v>
      </c>
      <c r="AQ178" s="1037">
        <v>0</v>
      </c>
      <c r="AR178" s="1037">
        <v>0</v>
      </c>
      <c r="AS178" s="1037">
        <v>0</v>
      </c>
      <c r="AT178" s="1037">
        <v>0</v>
      </c>
      <c r="AU178" s="1037">
        <v>0</v>
      </c>
      <c r="AV178" s="1037">
        <v>0</v>
      </c>
      <c r="AW178" s="1037">
        <v>0</v>
      </c>
      <c r="AX178" s="1037">
        <v>0</v>
      </c>
      <c r="AY178" s="1037">
        <v>0</v>
      </c>
      <c r="AZ178" s="1037">
        <v>0</v>
      </c>
      <c r="BA178" s="1037">
        <v>0</v>
      </c>
      <c r="BB178" s="1037">
        <v>0</v>
      </c>
      <c r="BC178" s="1037">
        <v>0</v>
      </c>
      <c r="BD178" s="1037">
        <v>0</v>
      </c>
      <c r="BE178" s="1037">
        <v>0</v>
      </c>
      <c r="BF178" s="1037">
        <v>0</v>
      </c>
      <c r="BH178" s="970">
        <f t="shared" si="96"/>
        <v>0</v>
      </c>
      <c r="BI178" s="970"/>
    </row>
    <row r="179" spans="2:61" s="998" customFormat="1" hidden="1">
      <c r="B179" s="1036">
        <v>3</v>
      </c>
      <c r="C179" s="1037">
        <v>0.3</v>
      </c>
      <c r="D179" s="1037">
        <v>0.3</v>
      </c>
      <c r="E179" s="1037">
        <v>0.3</v>
      </c>
      <c r="F179" s="1037">
        <v>0.3</v>
      </c>
      <c r="G179" s="1037">
        <v>0.3</v>
      </c>
      <c r="H179" s="1037">
        <v>0.3</v>
      </c>
      <c r="I179" s="1037">
        <v>0.3</v>
      </c>
      <c r="J179" s="1037">
        <v>0.3</v>
      </c>
      <c r="K179" s="1037">
        <v>0.3</v>
      </c>
      <c r="L179" s="1037">
        <v>0.3</v>
      </c>
      <c r="M179" s="1037">
        <v>0.3</v>
      </c>
      <c r="N179" s="1037">
        <v>0.3</v>
      </c>
      <c r="O179" s="1037">
        <v>0.3</v>
      </c>
      <c r="P179" s="1037">
        <v>0.3</v>
      </c>
      <c r="Q179" s="1037">
        <v>0.3</v>
      </c>
      <c r="R179" s="1037">
        <v>0.3</v>
      </c>
      <c r="S179" s="1037">
        <v>0.3</v>
      </c>
      <c r="T179" s="1037">
        <v>0.3</v>
      </c>
      <c r="U179" s="1037">
        <v>0.3</v>
      </c>
      <c r="V179" s="1037">
        <v>0.3</v>
      </c>
      <c r="W179" s="1037">
        <v>0.3</v>
      </c>
      <c r="X179" s="1037">
        <v>0.3</v>
      </c>
      <c r="Y179" s="1037">
        <v>0.3</v>
      </c>
      <c r="Z179" s="1037">
        <v>0.3</v>
      </c>
      <c r="AA179" s="1037">
        <v>0.3</v>
      </c>
      <c r="AB179" s="1037">
        <v>0.3</v>
      </c>
      <c r="AC179" s="1037">
        <v>0.3</v>
      </c>
      <c r="AD179" s="1037">
        <v>0.3</v>
      </c>
      <c r="AE179" s="1037">
        <v>0.3</v>
      </c>
      <c r="AF179" s="1037">
        <v>0.3</v>
      </c>
      <c r="AG179" s="1037">
        <v>0.3</v>
      </c>
      <c r="AH179" s="1037">
        <v>0.3</v>
      </c>
      <c r="AI179" s="1037">
        <v>0.3</v>
      </c>
      <c r="AJ179" s="1037">
        <v>0.3</v>
      </c>
      <c r="AK179" s="1037">
        <v>0.3</v>
      </c>
      <c r="AL179" s="1037">
        <v>0.3</v>
      </c>
      <c r="AM179" s="1037">
        <v>0.3</v>
      </c>
      <c r="AN179" s="1037">
        <v>0.3</v>
      </c>
      <c r="AO179" s="1037">
        <v>0.3</v>
      </c>
      <c r="AP179" s="1037">
        <v>0.3</v>
      </c>
      <c r="AQ179" s="1037">
        <v>0.3</v>
      </c>
      <c r="AR179" s="1037">
        <v>0.3</v>
      </c>
      <c r="AS179" s="1037">
        <v>0.3</v>
      </c>
      <c r="AT179" s="1037">
        <v>0.3</v>
      </c>
      <c r="AU179" s="1037">
        <v>0.3</v>
      </c>
      <c r="AV179" s="1037">
        <v>0.3</v>
      </c>
      <c r="AW179" s="1037">
        <v>0.3</v>
      </c>
      <c r="AX179" s="1037">
        <v>0.3</v>
      </c>
      <c r="AY179" s="1037">
        <v>0.3</v>
      </c>
      <c r="AZ179" s="1037">
        <v>0.3</v>
      </c>
      <c r="BA179" s="1037">
        <v>0.3</v>
      </c>
      <c r="BB179" s="1037">
        <v>0.3</v>
      </c>
      <c r="BC179" s="1037">
        <v>0.3</v>
      </c>
      <c r="BD179" s="1037">
        <v>0.3</v>
      </c>
      <c r="BE179" s="1037">
        <v>0.3</v>
      </c>
      <c r="BF179" s="1037">
        <v>0.3</v>
      </c>
      <c r="BH179" s="970">
        <f t="shared" si="96"/>
        <v>0.3</v>
      </c>
      <c r="BI179" s="970"/>
    </row>
    <row r="180" spans="2:61" s="998" customFormat="1" hidden="1">
      <c r="B180" s="1036">
        <v>4</v>
      </c>
      <c r="C180" s="1037">
        <v>0.5</v>
      </c>
      <c r="D180" s="1037">
        <v>0.5</v>
      </c>
      <c r="E180" s="1037">
        <v>0.5</v>
      </c>
      <c r="F180" s="1037">
        <v>0.5</v>
      </c>
      <c r="G180" s="1037">
        <v>0.5</v>
      </c>
      <c r="H180" s="1037">
        <v>0.5</v>
      </c>
      <c r="I180" s="1037">
        <v>0.5</v>
      </c>
      <c r="J180" s="1037">
        <v>0.5</v>
      </c>
      <c r="K180" s="1037">
        <v>0.5</v>
      </c>
      <c r="L180" s="1037">
        <v>0.5</v>
      </c>
      <c r="M180" s="1037">
        <v>0.5</v>
      </c>
      <c r="N180" s="1037">
        <v>0.5</v>
      </c>
      <c r="O180" s="1037">
        <v>0.5</v>
      </c>
      <c r="P180" s="1037">
        <v>0.5</v>
      </c>
      <c r="Q180" s="1037">
        <v>0.5</v>
      </c>
      <c r="R180" s="1037">
        <v>0.5</v>
      </c>
      <c r="S180" s="1037">
        <v>0.5</v>
      </c>
      <c r="T180" s="1037">
        <v>0.5</v>
      </c>
      <c r="U180" s="1037">
        <v>0.5</v>
      </c>
      <c r="V180" s="1037">
        <v>0.5</v>
      </c>
      <c r="W180" s="1037">
        <v>0.5</v>
      </c>
      <c r="X180" s="1037">
        <v>0.5</v>
      </c>
      <c r="Y180" s="1037">
        <v>0.5</v>
      </c>
      <c r="Z180" s="1037">
        <v>0.5</v>
      </c>
      <c r="AA180" s="1037">
        <v>0.5</v>
      </c>
      <c r="AB180" s="1037">
        <v>0.5</v>
      </c>
      <c r="AC180" s="1037">
        <v>0.5</v>
      </c>
      <c r="AD180" s="1037">
        <v>0.5</v>
      </c>
      <c r="AE180" s="1037">
        <v>0.5</v>
      </c>
      <c r="AF180" s="1037">
        <v>0.5</v>
      </c>
      <c r="AG180" s="1037">
        <v>0.5</v>
      </c>
      <c r="AH180" s="1037">
        <v>0.5</v>
      </c>
      <c r="AI180" s="1037">
        <v>0.5</v>
      </c>
      <c r="AJ180" s="1037">
        <v>0.5</v>
      </c>
      <c r="AK180" s="1037">
        <v>0.5</v>
      </c>
      <c r="AL180" s="1037">
        <v>0.5</v>
      </c>
      <c r="AM180" s="1037">
        <v>0.5</v>
      </c>
      <c r="AN180" s="1037">
        <v>0.5</v>
      </c>
      <c r="AO180" s="1037">
        <v>0.5</v>
      </c>
      <c r="AP180" s="1037">
        <v>0.5</v>
      </c>
      <c r="AQ180" s="1037">
        <v>0.5</v>
      </c>
      <c r="AR180" s="1037">
        <v>0.5</v>
      </c>
      <c r="AS180" s="1037">
        <v>0.5</v>
      </c>
      <c r="AT180" s="1037">
        <v>0.5</v>
      </c>
      <c r="AU180" s="1037">
        <v>0.5</v>
      </c>
      <c r="AV180" s="1037">
        <v>0.5</v>
      </c>
      <c r="AW180" s="1037">
        <v>0.5</v>
      </c>
      <c r="AX180" s="1037">
        <v>0.5</v>
      </c>
      <c r="AY180" s="1037">
        <v>0.5</v>
      </c>
      <c r="AZ180" s="1037">
        <v>0.5</v>
      </c>
      <c r="BA180" s="1037">
        <v>0.5</v>
      </c>
      <c r="BB180" s="1037">
        <v>0.5</v>
      </c>
      <c r="BC180" s="1037">
        <v>0.5</v>
      </c>
      <c r="BD180" s="1037">
        <v>0.5</v>
      </c>
      <c r="BE180" s="1037">
        <v>0.5</v>
      </c>
      <c r="BF180" s="1037">
        <v>0.5</v>
      </c>
      <c r="BH180" s="970">
        <f t="shared" si="96"/>
        <v>0.5</v>
      </c>
      <c r="BI180" s="970"/>
    </row>
    <row r="181" spans="2:61" s="998" customFormat="1" hidden="1">
      <c r="B181" s="1036">
        <v>5</v>
      </c>
      <c r="C181" s="1037">
        <v>0.5</v>
      </c>
      <c r="D181" s="1037">
        <v>0.5</v>
      </c>
      <c r="E181" s="1037">
        <v>0.5</v>
      </c>
      <c r="F181" s="1037">
        <v>0.5</v>
      </c>
      <c r="G181" s="1037">
        <v>0.5</v>
      </c>
      <c r="H181" s="1037">
        <v>0.5</v>
      </c>
      <c r="I181" s="1037">
        <v>0.5</v>
      </c>
      <c r="J181" s="1037">
        <v>0.5</v>
      </c>
      <c r="K181" s="1037">
        <v>0.5</v>
      </c>
      <c r="L181" s="1037">
        <v>0.5</v>
      </c>
      <c r="M181" s="1037">
        <v>0.5</v>
      </c>
      <c r="N181" s="1037">
        <v>0.5</v>
      </c>
      <c r="O181" s="1037">
        <v>0.5</v>
      </c>
      <c r="P181" s="1037">
        <v>0.5</v>
      </c>
      <c r="Q181" s="1037">
        <v>0.5</v>
      </c>
      <c r="R181" s="1037">
        <v>0.5</v>
      </c>
      <c r="S181" s="1037">
        <v>0.5</v>
      </c>
      <c r="T181" s="1037">
        <v>0.5</v>
      </c>
      <c r="U181" s="1037">
        <v>0.5</v>
      </c>
      <c r="V181" s="1037">
        <v>0.5</v>
      </c>
      <c r="W181" s="1037">
        <v>0.5</v>
      </c>
      <c r="X181" s="1037">
        <v>0.5</v>
      </c>
      <c r="Y181" s="1037">
        <v>0.5</v>
      </c>
      <c r="Z181" s="1037">
        <v>0.5</v>
      </c>
      <c r="AA181" s="1037">
        <v>0.5</v>
      </c>
      <c r="AB181" s="1037">
        <v>0.5</v>
      </c>
      <c r="AC181" s="1037">
        <v>0.5</v>
      </c>
      <c r="AD181" s="1037">
        <v>0.5</v>
      </c>
      <c r="AE181" s="1037">
        <v>0.5</v>
      </c>
      <c r="AF181" s="1037">
        <v>0.5</v>
      </c>
      <c r="AG181" s="1037">
        <v>0.5</v>
      </c>
      <c r="AH181" s="1037">
        <v>0.5</v>
      </c>
      <c r="AI181" s="1037">
        <v>0.5</v>
      </c>
      <c r="AJ181" s="1037">
        <v>0.5</v>
      </c>
      <c r="AK181" s="1037">
        <v>0.5</v>
      </c>
      <c r="AL181" s="1037">
        <v>0.5</v>
      </c>
      <c r="AM181" s="1037">
        <v>0.5</v>
      </c>
      <c r="AN181" s="1037">
        <v>0.5</v>
      </c>
      <c r="AO181" s="1037">
        <v>0.5</v>
      </c>
      <c r="AP181" s="1037">
        <v>0.5</v>
      </c>
      <c r="AQ181" s="1037">
        <v>0.5</v>
      </c>
      <c r="AR181" s="1037">
        <v>0.5</v>
      </c>
      <c r="AS181" s="1037">
        <v>0.5</v>
      </c>
      <c r="AT181" s="1037">
        <v>0.5</v>
      </c>
      <c r="AU181" s="1037">
        <v>0.5</v>
      </c>
      <c r="AV181" s="1037">
        <v>0.5</v>
      </c>
      <c r="AW181" s="1037">
        <v>0.5</v>
      </c>
      <c r="AX181" s="1037">
        <v>0.5</v>
      </c>
      <c r="AY181" s="1037">
        <v>0.5</v>
      </c>
      <c r="AZ181" s="1037">
        <v>0.5</v>
      </c>
      <c r="BA181" s="1037">
        <v>0.5</v>
      </c>
      <c r="BB181" s="1037">
        <v>0.5</v>
      </c>
      <c r="BC181" s="1037">
        <v>0.5</v>
      </c>
      <c r="BD181" s="1037">
        <v>0.5</v>
      </c>
      <c r="BE181" s="1037">
        <v>0.5</v>
      </c>
      <c r="BF181" s="1037">
        <v>0.5</v>
      </c>
      <c r="BH181" s="970">
        <f t="shared" si="96"/>
        <v>0.5</v>
      </c>
      <c r="BI181" s="970"/>
    </row>
    <row r="182" spans="2:61" s="998" customFormat="1" hidden="1">
      <c r="B182" s="1036">
        <v>6</v>
      </c>
      <c r="C182" s="1037">
        <v>0.5</v>
      </c>
      <c r="D182" s="1037">
        <v>0.5</v>
      </c>
      <c r="E182" s="1037">
        <v>0.5</v>
      </c>
      <c r="F182" s="1037">
        <v>0.5</v>
      </c>
      <c r="G182" s="1037">
        <v>0.5</v>
      </c>
      <c r="H182" s="1037">
        <v>0.5</v>
      </c>
      <c r="I182" s="1037">
        <v>0.5</v>
      </c>
      <c r="J182" s="1037">
        <v>0.5</v>
      </c>
      <c r="K182" s="1037">
        <v>0.5</v>
      </c>
      <c r="L182" s="1037">
        <v>0.5</v>
      </c>
      <c r="M182" s="1037">
        <v>0.5</v>
      </c>
      <c r="N182" s="1037">
        <v>0.5</v>
      </c>
      <c r="O182" s="1037">
        <v>0.5</v>
      </c>
      <c r="P182" s="1037">
        <v>0.5</v>
      </c>
      <c r="Q182" s="1037">
        <v>0.5</v>
      </c>
      <c r="R182" s="1037">
        <v>0.5</v>
      </c>
      <c r="S182" s="1037">
        <v>0.5</v>
      </c>
      <c r="T182" s="1037">
        <v>0.5</v>
      </c>
      <c r="U182" s="1037">
        <v>0.5</v>
      </c>
      <c r="V182" s="1037">
        <v>0.5</v>
      </c>
      <c r="W182" s="1037">
        <v>0.5</v>
      </c>
      <c r="X182" s="1037">
        <v>0.5</v>
      </c>
      <c r="Y182" s="1037">
        <v>0.5</v>
      </c>
      <c r="Z182" s="1037">
        <v>0.5</v>
      </c>
      <c r="AA182" s="1037">
        <v>0.5</v>
      </c>
      <c r="AB182" s="1037">
        <v>0.5</v>
      </c>
      <c r="AC182" s="1037">
        <v>0.5</v>
      </c>
      <c r="AD182" s="1037">
        <v>0.5</v>
      </c>
      <c r="AE182" s="1037">
        <v>0.5</v>
      </c>
      <c r="AF182" s="1037">
        <v>0.5</v>
      </c>
      <c r="AG182" s="1037">
        <v>0.5</v>
      </c>
      <c r="AH182" s="1037">
        <v>0.5</v>
      </c>
      <c r="AI182" s="1037">
        <v>0.5</v>
      </c>
      <c r="AJ182" s="1037">
        <v>0.5</v>
      </c>
      <c r="AK182" s="1037">
        <v>0.5</v>
      </c>
      <c r="AL182" s="1037">
        <v>0.5</v>
      </c>
      <c r="AM182" s="1037">
        <v>0.5</v>
      </c>
      <c r="AN182" s="1037">
        <v>0.5</v>
      </c>
      <c r="AO182" s="1037">
        <v>0.5</v>
      </c>
      <c r="AP182" s="1037">
        <v>0.5</v>
      </c>
      <c r="AQ182" s="1037">
        <v>0.5</v>
      </c>
      <c r="AR182" s="1037">
        <v>0.5</v>
      </c>
      <c r="AS182" s="1037">
        <v>0.5</v>
      </c>
      <c r="AT182" s="1037">
        <v>0.5</v>
      </c>
      <c r="AU182" s="1037">
        <v>0.5</v>
      </c>
      <c r="AV182" s="1037">
        <v>0.5</v>
      </c>
      <c r="AW182" s="1037">
        <v>0.5</v>
      </c>
      <c r="AX182" s="1037">
        <v>0.5</v>
      </c>
      <c r="AY182" s="1037">
        <v>0.5</v>
      </c>
      <c r="AZ182" s="1037">
        <v>0.5</v>
      </c>
      <c r="BA182" s="1037">
        <v>0.5</v>
      </c>
      <c r="BB182" s="1037">
        <v>0.5</v>
      </c>
      <c r="BC182" s="1037">
        <v>0.5</v>
      </c>
      <c r="BD182" s="1037">
        <v>0.5</v>
      </c>
      <c r="BE182" s="1037">
        <v>0.5</v>
      </c>
      <c r="BF182" s="1037">
        <v>0.5</v>
      </c>
      <c r="BH182" s="970">
        <f t="shared" si="96"/>
        <v>0.5</v>
      </c>
      <c r="BI182" s="970"/>
    </row>
    <row r="183" spans="2:61" s="998" customFormat="1" hidden="1">
      <c r="B183" s="1036">
        <v>7</v>
      </c>
      <c r="C183" s="1037">
        <v>0.5</v>
      </c>
      <c r="D183" s="1037">
        <v>0.5</v>
      </c>
      <c r="E183" s="1037">
        <v>0.5</v>
      </c>
      <c r="F183" s="1037">
        <v>0.5</v>
      </c>
      <c r="G183" s="1037">
        <v>0.5</v>
      </c>
      <c r="H183" s="1037">
        <v>0.5</v>
      </c>
      <c r="I183" s="1037">
        <v>0.5</v>
      </c>
      <c r="J183" s="1037">
        <v>0.5</v>
      </c>
      <c r="K183" s="1037">
        <v>0.5</v>
      </c>
      <c r="L183" s="1037">
        <v>0.5</v>
      </c>
      <c r="M183" s="1037">
        <v>0.5</v>
      </c>
      <c r="N183" s="1037">
        <v>0.5</v>
      </c>
      <c r="O183" s="1037">
        <v>0.5</v>
      </c>
      <c r="P183" s="1037">
        <v>0.5</v>
      </c>
      <c r="Q183" s="1037">
        <v>0.5</v>
      </c>
      <c r="R183" s="1037">
        <v>0.5</v>
      </c>
      <c r="S183" s="1037">
        <v>0.5</v>
      </c>
      <c r="T183" s="1037">
        <v>0.5</v>
      </c>
      <c r="U183" s="1037">
        <v>0.5</v>
      </c>
      <c r="V183" s="1037">
        <v>0.5</v>
      </c>
      <c r="W183" s="1037">
        <v>0.5</v>
      </c>
      <c r="X183" s="1037">
        <v>0.5</v>
      </c>
      <c r="Y183" s="1037">
        <v>0.5</v>
      </c>
      <c r="Z183" s="1037">
        <v>0.5</v>
      </c>
      <c r="AA183" s="1037">
        <v>0.5</v>
      </c>
      <c r="AB183" s="1037">
        <v>0.5</v>
      </c>
      <c r="AC183" s="1037">
        <v>0.5</v>
      </c>
      <c r="AD183" s="1037">
        <v>0.5</v>
      </c>
      <c r="AE183" s="1037">
        <v>0.5</v>
      </c>
      <c r="AF183" s="1037">
        <v>0.5</v>
      </c>
      <c r="AG183" s="1037">
        <v>0.5</v>
      </c>
      <c r="AH183" s="1037">
        <v>0.5</v>
      </c>
      <c r="AI183" s="1037">
        <v>0.5</v>
      </c>
      <c r="AJ183" s="1037">
        <v>0.5</v>
      </c>
      <c r="AK183" s="1037">
        <v>0.5</v>
      </c>
      <c r="AL183" s="1037">
        <v>0.5</v>
      </c>
      <c r="AM183" s="1037">
        <v>0.5</v>
      </c>
      <c r="AN183" s="1037">
        <v>0.5</v>
      </c>
      <c r="AO183" s="1037">
        <v>0.5</v>
      </c>
      <c r="AP183" s="1037">
        <v>0.5</v>
      </c>
      <c r="AQ183" s="1037">
        <v>0.5</v>
      </c>
      <c r="AR183" s="1037">
        <v>0.5</v>
      </c>
      <c r="AS183" s="1037">
        <v>0.5</v>
      </c>
      <c r="AT183" s="1037">
        <v>0.5</v>
      </c>
      <c r="AU183" s="1037">
        <v>0.5</v>
      </c>
      <c r="AV183" s="1037">
        <v>0.5</v>
      </c>
      <c r="AW183" s="1037">
        <v>0.5</v>
      </c>
      <c r="AX183" s="1037">
        <v>0.5</v>
      </c>
      <c r="AY183" s="1037">
        <v>0.5</v>
      </c>
      <c r="AZ183" s="1037">
        <v>0.5</v>
      </c>
      <c r="BA183" s="1037">
        <v>0.5</v>
      </c>
      <c r="BB183" s="1037">
        <v>0.5</v>
      </c>
      <c r="BC183" s="1037">
        <v>0.5</v>
      </c>
      <c r="BD183" s="1037">
        <v>0.5</v>
      </c>
      <c r="BE183" s="1037">
        <v>0.5</v>
      </c>
      <c r="BF183" s="1037">
        <v>0.5</v>
      </c>
      <c r="BH183" s="970">
        <f t="shared" si="96"/>
        <v>0.5</v>
      </c>
      <c r="BI183" s="970"/>
    </row>
    <row r="184" spans="2:61" s="998" customFormat="1" hidden="1">
      <c r="B184" s="1036">
        <v>8</v>
      </c>
      <c r="C184" s="1037" t="s">
        <v>1990</v>
      </c>
      <c r="D184" s="1037" t="s">
        <v>1989</v>
      </c>
      <c r="E184" s="1037" t="s">
        <v>1988</v>
      </c>
      <c r="F184" s="1037" t="s">
        <v>1987</v>
      </c>
      <c r="G184" s="1037" t="s">
        <v>1986</v>
      </c>
      <c r="H184" s="1037" t="s">
        <v>1985</v>
      </c>
      <c r="I184" s="1037" t="s">
        <v>1984</v>
      </c>
      <c r="J184" s="1037" t="s">
        <v>1983</v>
      </c>
      <c r="K184" s="1037" t="s">
        <v>1982</v>
      </c>
      <c r="L184" s="1037" t="s">
        <v>1981</v>
      </c>
      <c r="M184" s="1037" t="s">
        <v>1980</v>
      </c>
      <c r="N184" s="1037" t="s">
        <v>1979</v>
      </c>
      <c r="O184" s="1037" t="s">
        <v>1978</v>
      </c>
      <c r="P184" s="1037" t="s">
        <v>1977</v>
      </c>
      <c r="Q184" s="1037" t="s">
        <v>1976</v>
      </c>
      <c r="R184" s="1037" t="s">
        <v>1975</v>
      </c>
      <c r="S184" s="1037" t="s">
        <v>1974</v>
      </c>
      <c r="T184" s="1037" t="s">
        <v>1973</v>
      </c>
      <c r="U184" s="1037" t="s">
        <v>1972</v>
      </c>
      <c r="V184" s="1037" t="s">
        <v>1971</v>
      </c>
      <c r="W184" s="1037" t="s">
        <v>1970</v>
      </c>
      <c r="X184" s="1037" t="s">
        <v>1969</v>
      </c>
      <c r="Y184" s="1037" t="s">
        <v>1968</v>
      </c>
      <c r="Z184" s="1037" t="s">
        <v>1967</v>
      </c>
      <c r="AA184" s="1037" t="s">
        <v>1966</v>
      </c>
      <c r="AB184" s="1037">
        <v>0.50649999999999995</v>
      </c>
      <c r="AC184" s="1037">
        <v>0.50629999999999997</v>
      </c>
      <c r="AD184" s="1037">
        <v>0.50629999999999997</v>
      </c>
      <c r="AE184" s="1037">
        <v>0.50619999999999998</v>
      </c>
      <c r="AF184" s="1037">
        <v>0.50609999999999999</v>
      </c>
      <c r="AG184" s="1037">
        <v>0.50600000000000001</v>
      </c>
      <c r="AH184" s="1037">
        <v>0.50590000000000002</v>
      </c>
      <c r="AI184" s="1037">
        <v>0.50580000000000003</v>
      </c>
      <c r="AJ184" s="1037">
        <v>0.50570000000000004</v>
      </c>
      <c r="AK184" s="1037">
        <v>0.50560000000000005</v>
      </c>
      <c r="AL184" s="1037">
        <v>0.50560000000000005</v>
      </c>
      <c r="AM184" s="1037">
        <v>0.50549999999999995</v>
      </c>
      <c r="AN184" s="1037">
        <v>0.50539999999999996</v>
      </c>
      <c r="AO184" s="1037">
        <v>0.50529999999999997</v>
      </c>
      <c r="AP184" s="1037">
        <v>0.50529999999999997</v>
      </c>
      <c r="AQ184" s="1037">
        <v>0.50519999999999998</v>
      </c>
      <c r="AR184" s="1037">
        <v>0.50509999999999999</v>
      </c>
      <c r="AS184" s="1037">
        <v>0.50509999999999999</v>
      </c>
      <c r="AT184" s="1037">
        <v>0.505</v>
      </c>
      <c r="AU184" s="1037">
        <v>0.50490000000000002</v>
      </c>
      <c r="AV184" s="1037">
        <v>0.50490000000000002</v>
      </c>
      <c r="AW184" s="1037">
        <v>0.50480000000000003</v>
      </c>
      <c r="AX184" s="1037">
        <v>0.50480000000000003</v>
      </c>
      <c r="AY184" s="1037">
        <v>0.50470000000000004</v>
      </c>
      <c r="AZ184" s="1037">
        <v>0.50470000000000004</v>
      </c>
      <c r="BA184" s="1037">
        <v>0.50460000000000005</v>
      </c>
      <c r="BB184" s="1037">
        <v>0.50449999999999995</v>
      </c>
      <c r="BC184" s="1037">
        <v>0.50449999999999995</v>
      </c>
      <c r="BD184" s="1037">
        <v>0.50439999999999996</v>
      </c>
      <c r="BE184" s="1037">
        <v>0.50439999999999996</v>
      </c>
      <c r="BF184" s="1037">
        <v>0.50429999999999997</v>
      </c>
      <c r="BH184" s="970">
        <f t="shared" si="96"/>
        <v>0.50439999999999996</v>
      </c>
      <c r="BI184" s="970"/>
    </row>
    <row r="185" spans="2:61" s="998" customFormat="1" hidden="1">
      <c r="B185" s="1036">
        <v>9</v>
      </c>
      <c r="C185" s="1037" t="s">
        <v>1965</v>
      </c>
      <c r="D185" s="1037" t="s">
        <v>1926</v>
      </c>
      <c r="E185" s="1037" t="s">
        <v>1964</v>
      </c>
      <c r="F185" s="1037" t="s">
        <v>1923</v>
      </c>
      <c r="G185" s="1037" t="s">
        <v>1963</v>
      </c>
      <c r="H185" s="1037" t="s">
        <v>1962</v>
      </c>
      <c r="I185" s="1037" t="s">
        <v>1961</v>
      </c>
      <c r="J185" s="1037" t="s">
        <v>1960</v>
      </c>
      <c r="K185" s="1037" t="s">
        <v>1959</v>
      </c>
      <c r="L185" s="1037" t="s">
        <v>1958</v>
      </c>
      <c r="M185" s="1037" t="s">
        <v>1957</v>
      </c>
      <c r="N185" s="1037" t="s">
        <v>1956</v>
      </c>
      <c r="O185" s="1037" t="s">
        <v>1955</v>
      </c>
      <c r="P185" s="1037" t="s">
        <v>1954</v>
      </c>
      <c r="Q185" s="1037" t="s">
        <v>1953</v>
      </c>
      <c r="R185" s="1037" t="s">
        <v>1952</v>
      </c>
      <c r="S185" s="1037" t="s">
        <v>1951</v>
      </c>
      <c r="T185" s="1037" t="s">
        <v>1950</v>
      </c>
      <c r="U185" s="1037" t="s">
        <v>1949</v>
      </c>
      <c r="V185" s="1037" t="s">
        <v>1948</v>
      </c>
      <c r="W185" s="1037" t="s">
        <v>1947</v>
      </c>
      <c r="X185" s="1037" t="s">
        <v>1946</v>
      </c>
      <c r="Y185" s="1037" t="s">
        <v>1945</v>
      </c>
      <c r="Z185" s="1037" t="s">
        <v>1944</v>
      </c>
      <c r="AA185" s="1037" t="s">
        <v>169</v>
      </c>
      <c r="AB185" s="1037">
        <v>0.51290000000000002</v>
      </c>
      <c r="AC185" s="1038">
        <v>0.51270000000000004</v>
      </c>
      <c r="AD185" s="1038">
        <v>0.51249999999999996</v>
      </c>
      <c r="AE185" s="1038">
        <v>0.51229999999999998</v>
      </c>
      <c r="AF185" s="1038">
        <v>0.5121</v>
      </c>
      <c r="AG185" s="1038">
        <v>0.51190000000000002</v>
      </c>
      <c r="AH185" s="1038">
        <v>0.51180000000000003</v>
      </c>
      <c r="AI185" s="1038">
        <v>0.51160000000000005</v>
      </c>
      <c r="AJ185" s="1038">
        <v>0.51139999999999997</v>
      </c>
      <c r="AK185" s="1038">
        <v>0.51129999999999998</v>
      </c>
      <c r="AL185" s="1038">
        <v>0.5111</v>
      </c>
      <c r="AM185" s="1038">
        <v>0.51100000000000001</v>
      </c>
      <c r="AN185" s="1038">
        <v>0.51080000000000003</v>
      </c>
      <c r="AO185" s="1038">
        <v>0.51070000000000004</v>
      </c>
      <c r="AP185" s="1038">
        <v>0.51049999999999995</v>
      </c>
      <c r="AQ185" s="1038">
        <v>0.51039999999999996</v>
      </c>
      <c r="AR185" s="1038">
        <v>0.51029999999999998</v>
      </c>
      <c r="AS185" s="1038">
        <v>0.5101</v>
      </c>
      <c r="AT185" s="1038">
        <v>0.51</v>
      </c>
      <c r="AU185" s="1038">
        <v>0.50990000000000002</v>
      </c>
      <c r="AV185" s="1038">
        <v>0.50980000000000003</v>
      </c>
      <c r="AW185" s="1038">
        <v>0.50960000000000005</v>
      </c>
      <c r="AX185" s="1038">
        <v>0.50949999999999995</v>
      </c>
      <c r="AY185" s="1038">
        <v>0.50939999999999996</v>
      </c>
      <c r="AZ185" s="1038">
        <v>0.50929999999999997</v>
      </c>
      <c r="BA185" s="1038">
        <v>0.50919999999999999</v>
      </c>
      <c r="BB185" s="1038">
        <v>0.5091</v>
      </c>
      <c r="BC185" s="1038">
        <v>0.50900000000000001</v>
      </c>
      <c r="BD185" s="1038">
        <v>0.50890000000000002</v>
      </c>
      <c r="BE185" s="1038">
        <v>0.50880000000000003</v>
      </c>
      <c r="BF185" s="1038">
        <v>0.50870000000000004</v>
      </c>
      <c r="BH185" s="970">
        <f t="shared" si="96"/>
        <v>0.50880000000000003</v>
      </c>
      <c r="BI185" s="970"/>
    </row>
    <row r="186" spans="2:61" s="998" customFormat="1" hidden="1">
      <c r="B186" s="1036">
        <v>10</v>
      </c>
      <c r="C186" s="1037" t="s">
        <v>1943</v>
      </c>
      <c r="D186" s="1037" t="s">
        <v>1942</v>
      </c>
      <c r="E186" s="1037" t="s">
        <v>1909</v>
      </c>
      <c r="F186" s="1037" t="s">
        <v>1941</v>
      </c>
      <c r="G186" s="1037" t="s">
        <v>1940</v>
      </c>
      <c r="H186" s="1037" t="s">
        <v>1905</v>
      </c>
      <c r="I186" s="1037" t="s">
        <v>1939</v>
      </c>
      <c r="J186" s="1037" t="s">
        <v>1938</v>
      </c>
      <c r="K186" s="1037" t="s">
        <v>1901</v>
      </c>
      <c r="L186" s="1037" t="s">
        <v>1937</v>
      </c>
      <c r="M186" s="1037" t="s">
        <v>1936</v>
      </c>
      <c r="N186" s="1037" t="s">
        <v>1935</v>
      </c>
      <c r="O186" s="1037" t="s">
        <v>1934</v>
      </c>
      <c r="P186" s="1037" t="s">
        <v>1933</v>
      </c>
      <c r="Q186" s="1037" t="s">
        <v>1932</v>
      </c>
      <c r="R186" s="1037" t="s">
        <v>1931</v>
      </c>
      <c r="S186" s="1037" t="s">
        <v>1930</v>
      </c>
      <c r="T186" s="1037" t="s">
        <v>1929</v>
      </c>
      <c r="U186" s="1037" t="s">
        <v>1928</v>
      </c>
      <c r="V186" s="1037" t="s">
        <v>1927</v>
      </c>
      <c r="W186" s="1037" t="s">
        <v>1926</v>
      </c>
      <c r="X186" s="1037" t="s">
        <v>1925</v>
      </c>
      <c r="Y186" s="1037" t="s">
        <v>1924</v>
      </c>
      <c r="Z186" s="1037" t="s">
        <v>1923</v>
      </c>
      <c r="AA186" s="1037" t="s">
        <v>1922</v>
      </c>
      <c r="AB186" s="1037" t="s">
        <v>1921</v>
      </c>
      <c r="AC186" s="1038">
        <v>0.51900000000000002</v>
      </c>
      <c r="AD186" s="1038">
        <v>0.51880000000000004</v>
      </c>
      <c r="AE186" s="1038">
        <v>0.51849999999999996</v>
      </c>
      <c r="AF186" s="1038">
        <v>0.51819999999999999</v>
      </c>
      <c r="AG186" s="1038">
        <v>0.51790000000000003</v>
      </c>
      <c r="AH186" s="1038">
        <v>0.51759999999999995</v>
      </c>
      <c r="AI186" s="1038">
        <v>0.51739999999999997</v>
      </c>
      <c r="AJ186" s="1038">
        <v>0.5171</v>
      </c>
      <c r="AK186" s="1038">
        <v>0.51690000000000003</v>
      </c>
      <c r="AL186" s="1038">
        <v>0.51670000000000005</v>
      </c>
      <c r="AM186" s="1038">
        <v>0.51639999999999997</v>
      </c>
      <c r="AN186" s="1038">
        <v>0.51619999999999999</v>
      </c>
      <c r="AO186" s="1038">
        <v>0.51600000000000001</v>
      </c>
      <c r="AP186" s="1038">
        <v>0.51580000000000004</v>
      </c>
      <c r="AQ186" s="1038">
        <v>0.51559999999999995</v>
      </c>
      <c r="AR186" s="1038">
        <v>0.51539999999999997</v>
      </c>
      <c r="AS186" s="1038">
        <v>0.51519999999999999</v>
      </c>
      <c r="AT186" s="1038">
        <v>0.51500000000000001</v>
      </c>
      <c r="AU186" s="1038">
        <v>0.51480000000000004</v>
      </c>
      <c r="AV186" s="1038">
        <v>0.51459999999999995</v>
      </c>
      <c r="AW186" s="1038">
        <v>0.51449999999999996</v>
      </c>
      <c r="AX186" s="1038">
        <v>0.51429999999999998</v>
      </c>
      <c r="AY186" s="1038">
        <v>0.5141</v>
      </c>
      <c r="AZ186" s="1038">
        <v>0.51400000000000001</v>
      </c>
      <c r="BA186" s="1038">
        <v>0.51380000000000003</v>
      </c>
      <c r="BB186" s="1038">
        <v>0.51359999999999995</v>
      </c>
      <c r="BC186" s="1038">
        <v>0.51349999999999996</v>
      </c>
      <c r="BD186" s="1038">
        <v>0.51329999999999998</v>
      </c>
      <c r="BE186" s="1038">
        <v>0.51319999999999999</v>
      </c>
      <c r="BF186" s="1038">
        <v>0.51300000000000001</v>
      </c>
      <c r="BH186" s="970">
        <f t="shared" si="96"/>
        <v>0.51319999999999999</v>
      </c>
      <c r="BI186" s="970"/>
    </row>
    <row r="187" spans="2:61" s="998" customFormat="1" hidden="1">
      <c r="B187" s="1036">
        <v>11</v>
      </c>
      <c r="C187" s="1037" t="s">
        <v>1920</v>
      </c>
      <c r="D187" s="1037" t="s">
        <v>1861</v>
      </c>
      <c r="E187" s="1037" t="s">
        <v>1919</v>
      </c>
      <c r="F187" s="1037" t="s">
        <v>1858</v>
      </c>
      <c r="G187" s="1037" t="s">
        <v>1918</v>
      </c>
      <c r="H187" s="1037" t="s">
        <v>1917</v>
      </c>
      <c r="I187" s="1037" t="s">
        <v>1916</v>
      </c>
      <c r="J187" s="1037" t="s">
        <v>1883</v>
      </c>
      <c r="K187" s="1037" t="s">
        <v>1915</v>
      </c>
      <c r="L187" s="1037" t="s">
        <v>1914</v>
      </c>
      <c r="M187" s="1037" t="s">
        <v>1913</v>
      </c>
      <c r="N187" s="1037" t="s">
        <v>1878</v>
      </c>
      <c r="O187" s="1037" t="s">
        <v>1912</v>
      </c>
      <c r="P187" s="1037" t="s">
        <v>1911</v>
      </c>
      <c r="Q187" s="1037" t="s">
        <v>1910</v>
      </c>
      <c r="R187" s="1037" t="s">
        <v>1909</v>
      </c>
      <c r="S187" s="1037" t="s">
        <v>1908</v>
      </c>
      <c r="T187" s="1037" t="s">
        <v>1907</v>
      </c>
      <c r="U187" s="1037" t="s">
        <v>1906</v>
      </c>
      <c r="V187" s="1037" t="s">
        <v>1905</v>
      </c>
      <c r="W187" s="1037" t="s">
        <v>1904</v>
      </c>
      <c r="X187" s="1037" t="s">
        <v>1903</v>
      </c>
      <c r="Y187" s="1037" t="s">
        <v>1902</v>
      </c>
      <c r="Z187" s="1037" t="s">
        <v>1901</v>
      </c>
      <c r="AA187" s="1037" t="s">
        <v>1900</v>
      </c>
      <c r="AB187" s="1037" t="s">
        <v>1899</v>
      </c>
      <c r="AC187" s="1038">
        <v>0.52539999999999998</v>
      </c>
      <c r="AD187" s="1038">
        <v>0.52500000000000002</v>
      </c>
      <c r="AE187" s="1038">
        <v>0.52459999999999996</v>
      </c>
      <c r="AF187" s="1039">
        <v>0.5242</v>
      </c>
      <c r="AG187" s="1040">
        <v>0.52400000000000002</v>
      </c>
      <c r="AH187" s="1040">
        <v>0.52380000000000004</v>
      </c>
      <c r="AI187" s="1040">
        <v>0.52359999999999995</v>
      </c>
      <c r="AJ187" s="1040">
        <v>0.52339999999999998</v>
      </c>
      <c r="AK187" s="1040">
        <v>0.5232</v>
      </c>
      <c r="AL187" s="1040">
        <v>0.52300000000000002</v>
      </c>
      <c r="AM187" s="1040">
        <v>0.52270000000000005</v>
      </c>
      <c r="AN187" s="1040">
        <v>0.52239999999999998</v>
      </c>
      <c r="AO187" s="1040">
        <v>0.52200000000000002</v>
      </c>
      <c r="AP187" s="1040">
        <v>0.52180000000000004</v>
      </c>
      <c r="AQ187" s="1040">
        <v>0.52159999999999995</v>
      </c>
      <c r="AR187" s="1040">
        <v>0.52139999999999997</v>
      </c>
      <c r="AS187" s="1040">
        <v>0.5212</v>
      </c>
      <c r="AT187" s="1040">
        <v>0.52100000000000002</v>
      </c>
      <c r="AU187" s="1040">
        <v>0.52059999999999995</v>
      </c>
      <c r="AV187" s="1040">
        <v>0.51980000000000004</v>
      </c>
      <c r="AW187" s="1040">
        <v>0.51959999999999995</v>
      </c>
      <c r="AX187" s="1040">
        <v>0.51939999999999997</v>
      </c>
      <c r="AY187" s="1040">
        <v>0.51919999999999999</v>
      </c>
      <c r="AZ187" s="1040">
        <v>0.51900000000000002</v>
      </c>
      <c r="BA187" s="1040">
        <v>0.51880000000000004</v>
      </c>
      <c r="BB187" s="1040">
        <v>0.51859999999999995</v>
      </c>
      <c r="BC187" s="1040">
        <v>0.5181</v>
      </c>
      <c r="BD187" s="1040">
        <v>0.51780000000000004</v>
      </c>
      <c r="BE187" s="1039">
        <v>0.51759999999999995</v>
      </c>
      <c r="BF187" s="1038">
        <v>0.51739999999999997</v>
      </c>
      <c r="BH187" s="970">
        <f t="shared" si="96"/>
        <v>0.51759999999999995</v>
      </c>
      <c r="BI187" s="970"/>
    </row>
    <row r="188" spans="2:61" s="998" customFormat="1" ht="12" hidden="1" customHeight="1">
      <c r="B188" s="1036">
        <v>12</v>
      </c>
      <c r="C188" s="1037" t="s">
        <v>1898</v>
      </c>
      <c r="D188" s="1037" t="s">
        <v>1897</v>
      </c>
      <c r="E188" s="1037" t="s">
        <v>1896</v>
      </c>
      <c r="F188" s="1037" t="s">
        <v>1839</v>
      </c>
      <c r="G188" s="1037" t="s">
        <v>1895</v>
      </c>
      <c r="H188" s="1037" t="s">
        <v>1894</v>
      </c>
      <c r="I188" s="1037" t="s">
        <v>1893</v>
      </c>
      <c r="J188" s="1037" t="s">
        <v>1892</v>
      </c>
      <c r="K188" s="1037" t="s">
        <v>1864</v>
      </c>
      <c r="L188" s="1037" t="s">
        <v>1891</v>
      </c>
      <c r="M188" s="1037" t="s">
        <v>1890</v>
      </c>
      <c r="N188" s="1037" t="s">
        <v>1889</v>
      </c>
      <c r="O188" s="1037" t="s">
        <v>1888</v>
      </c>
      <c r="P188" s="1037" t="s">
        <v>1858</v>
      </c>
      <c r="Q188" s="1037" t="s">
        <v>1887</v>
      </c>
      <c r="R188" s="1037" t="s">
        <v>1886</v>
      </c>
      <c r="S188" s="1037" t="s">
        <v>1885</v>
      </c>
      <c r="T188" s="1037" t="s">
        <v>1884</v>
      </c>
      <c r="U188" s="1037" t="s">
        <v>1883</v>
      </c>
      <c r="V188" s="1037" t="s">
        <v>1882</v>
      </c>
      <c r="W188" s="1037" t="s">
        <v>1881</v>
      </c>
      <c r="X188" s="1037" t="s">
        <v>1880</v>
      </c>
      <c r="Y188" s="1037" t="s">
        <v>1879</v>
      </c>
      <c r="Z188" s="1037" t="s">
        <v>1878</v>
      </c>
      <c r="AA188" s="1037" t="s">
        <v>1877</v>
      </c>
      <c r="AB188" s="1037" t="s">
        <v>1876</v>
      </c>
      <c r="AC188" s="1038">
        <v>0.53169999999999995</v>
      </c>
      <c r="AD188" s="1038">
        <v>0.53129999999999999</v>
      </c>
      <c r="AE188" s="1038">
        <v>0.53080000000000005</v>
      </c>
      <c r="AF188" s="1039">
        <v>0.53029999999999999</v>
      </c>
      <c r="AG188" s="1039">
        <f t="shared" ref="AG188:AK189" si="97">AF188-0.05%</f>
        <v>0.52980000000000005</v>
      </c>
      <c r="AH188" s="1039">
        <f t="shared" si="97"/>
        <v>0.5293000000000001</v>
      </c>
      <c r="AI188" s="1039">
        <f t="shared" si="97"/>
        <v>0.52880000000000016</v>
      </c>
      <c r="AJ188" s="1039">
        <f t="shared" si="97"/>
        <v>0.52830000000000021</v>
      </c>
      <c r="AK188" s="1039">
        <f t="shared" si="97"/>
        <v>0.52780000000000027</v>
      </c>
      <c r="AL188" s="1039">
        <f t="shared" ref="AL188:AU188" si="98">AK188-0.04%</f>
        <v>0.52740000000000031</v>
      </c>
      <c r="AM188" s="1039">
        <f t="shared" si="98"/>
        <v>0.52700000000000036</v>
      </c>
      <c r="AN188" s="1039">
        <f t="shared" si="98"/>
        <v>0.5266000000000004</v>
      </c>
      <c r="AO188" s="1039">
        <f t="shared" si="98"/>
        <v>0.52620000000000045</v>
      </c>
      <c r="AP188" s="1039">
        <f t="shared" si="98"/>
        <v>0.52580000000000049</v>
      </c>
      <c r="AQ188" s="1039">
        <f t="shared" si="98"/>
        <v>0.52540000000000053</v>
      </c>
      <c r="AR188" s="1039">
        <f t="shared" si="98"/>
        <v>0.52500000000000058</v>
      </c>
      <c r="AS188" s="1039">
        <f t="shared" si="98"/>
        <v>0.52460000000000062</v>
      </c>
      <c r="AT188" s="1039">
        <f t="shared" si="98"/>
        <v>0.52420000000000067</v>
      </c>
      <c r="AU188" s="1039">
        <f t="shared" si="98"/>
        <v>0.52380000000000071</v>
      </c>
      <c r="AV188" s="1039">
        <f t="shared" ref="AV188:BD188" si="99">AU188-0.02%</f>
        <v>0.52360000000000073</v>
      </c>
      <c r="AW188" s="1039">
        <f t="shared" si="99"/>
        <v>0.52340000000000075</v>
      </c>
      <c r="AX188" s="1039">
        <f t="shared" si="99"/>
        <v>0.52320000000000078</v>
      </c>
      <c r="AY188" s="1039">
        <f t="shared" si="99"/>
        <v>0.5230000000000008</v>
      </c>
      <c r="AZ188" s="1039">
        <f t="shared" si="99"/>
        <v>0.52280000000000082</v>
      </c>
      <c r="BA188" s="1039">
        <f t="shared" si="99"/>
        <v>0.52260000000000084</v>
      </c>
      <c r="BB188" s="1039">
        <f t="shared" si="99"/>
        <v>0.52240000000000086</v>
      </c>
      <c r="BC188" s="1039">
        <f t="shared" si="99"/>
        <v>0.52220000000000089</v>
      </c>
      <c r="BD188" s="1039">
        <f t="shared" si="99"/>
        <v>0.52200000000000091</v>
      </c>
      <c r="BE188" s="1039">
        <v>0.52200000000000002</v>
      </c>
      <c r="BF188" s="1038">
        <v>0.52170000000000005</v>
      </c>
      <c r="BH188" s="970">
        <f t="shared" si="96"/>
        <v>0.52200000000000002</v>
      </c>
      <c r="BI188" s="970"/>
    </row>
    <row r="189" spans="2:61" s="998" customFormat="1" hidden="1">
      <c r="B189" s="1036">
        <v>13</v>
      </c>
      <c r="C189" s="1037" t="s">
        <v>1875</v>
      </c>
      <c r="D189" s="1037" t="s">
        <v>1795</v>
      </c>
      <c r="E189" s="1037" t="s">
        <v>1823</v>
      </c>
      <c r="F189" s="1037" t="s">
        <v>1792</v>
      </c>
      <c r="G189" s="1037" t="s">
        <v>1874</v>
      </c>
      <c r="H189" s="1037" t="s">
        <v>1819</v>
      </c>
      <c r="I189" s="1037" t="s">
        <v>1873</v>
      </c>
      <c r="J189" s="1037" t="s">
        <v>1872</v>
      </c>
      <c r="K189" s="1037" t="s">
        <v>1815</v>
      </c>
      <c r="L189" s="1037" t="s">
        <v>1871</v>
      </c>
      <c r="M189" s="1037" t="s">
        <v>1870</v>
      </c>
      <c r="N189" s="1037" t="s">
        <v>1839</v>
      </c>
      <c r="O189" s="1037" t="s">
        <v>1869</v>
      </c>
      <c r="P189" s="1037" t="s">
        <v>1868</v>
      </c>
      <c r="Q189" s="1037" t="s">
        <v>1867</v>
      </c>
      <c r="R189" s="1037" t="s">
        <v>1866</v>
      </c>
      <c r="S189" s="1037" t="s">
        <v>1865</v>
      </c>
      <c r="T189" s="1037" t="s">
        <v>1864</v>
      </c>
      <c r="U189" s="1037" t="s">
        <v>1863</v>
      </c>
      <c r="V189" s="1037" t="s">
        <v>1862</v>
      </c>
      <c r="W189" s="1037" t="s">
        <v>1861</v>
      </c>
      <c r="X189" s="1037" t="s">
        <v>1860</v>
      </c>
      <c r="Y189" s="1037" t="s">
        <v>1859</v>
      </c>
      <c r="Z189" s="1037" t="s">
        <v>1858</v>
      </c>
      <c r="AA189" s="1037" t="s">
        <v>1857</v>
      </c>
      <c r="AB189" s="1037" t="s">
        <v>1856</v>
      </c>
      <c r="AC189" s="1038">
        <v>0.53810000000000002</v>
      </c>
      <c r="AD189" s="1038">
        <v>0.53749999999999998</v>
      </c>
      <c r="AE189" s="1038">
        <v>0.53690000000000004</v>
      </c>
      <c r="AF189" s="1039">
        <v>0.53639999999999999</v>
      </c>
      <c r="AG189" s="1039">
        <f t="shared" si="97"/>
        <v>0.53590000000000004</v>
      </c>
      <c r="AH189" s="1039">
        <f t="shared" si="97"/>
        <v>0.5354000000000001</v>
      </c>
      <c r="AI189" s="1039">
        <f t="shared" si="97"/>
        <v>0.53490000000000015</v>
      </c>
      <c r="AJ189" s="1039">
        <f t="shared" si="97"/>
        <v>0.53440000000000021</v>
      </c>
      <c r="AK189" s="1039">
        <f t="shared" si="97"/>
        <v>0.53390000000000026</v>
      </c>
      <c r="AL189" s="1039">
        <f t="shared" ref="AL189:AV189" si="100">AK189-0.05%</f>
        <v>0.53340000000000032</v>
      </c>
      <c r="AM189" s="1039">
        <f t="shared" si="100"/>
        <v>0.53290000000000037</v>
      </c>
      <c r="AN189" s="1039">
        <f t="shared" si="100"/>
        <v>0.53240000000000043</v>
      </c>
      <c r="AO189" s="1039">
        <f t="shared" si="100"/>
        <v>0.53190000000000048</v>
      </c>
      <c r="AP189" s="1039">
        <f t="shared" si="100"/>
        <v>0.53140000000000054</v>
      </c>
      <c r="AQ189" s="1039">
        <f t="shared" si="100"/>
        <v>0.53090000000000059</v>
      </c>
      <c r="AR189" s="1039">
        <f t="shared" si="100"/>
        <v>0.53040000000000065</v>
      </c>
      <c r="AS189" s="1039">
        <f t="shared" si="100"/>
        <v>0.5299000000000007</v>
      </c>
      <c r="AT189" s="1039">
        <f t="shared" si="100"/>
        <v>0.52940000000000076</v>
      </c>
      <c r="AU189" s="1039">
        <f t="shared" si="100"/>
        <v>0.52890000000000081</v>
      </c>
      <c r="AV189" s="1039">
        <f t="shared" si="100"/>
        <v>0.52840000000000087</v>
      </c>
      <c r="AW189" s="1039">
        <f t="shared" ref="AW189:BD198" si="101">AV189-0.02%</f>
        <v>0.52820000000000089</v>
      </c>
      <c r="AX189" s="1039">
        <f t="shared" si="101"/>
        <v>0.52800000000000091</v>
      </c>
      <c r="AY189" s="1039">
        <f t="shared" si="101"/>
        <v>0.52780000000000094</v>
      </c>
      <c r="AZ189" s="1039">
        <f t="shared" si="101"/>
        <v>0.52760000000000096</v>
      </c>
      <c r="BA189" s="1039">
        <f t="shared" si="101"/>
        <v>0.52740000000000098</v>
      </c>
      <c r="BB189" s="1039">
        <f t="shared" si="101"/>
        <v>0.527200000000001</v>
      </c>
      <c r="BC189" s="1039">
        <f t="shared" si="101"/>
        <v>0.52700000000000102</v>
      </c>
      <c r="BD189" s="1039">
        <f t="shared" si="101"/>
        <v>0.52680000000000105</v>
      </c>
      <c r="BE189" s="1039">
        <v>0.52639999999999998</v>
      </c>
      <c r="BF189" s="1038">
        <v>0.52610000000000001</v>
      </c>
      <c r="BH189" s="970">
        <f t="shared" si="96"/>
        <v>0.52639999999999998</v>
      </c>
      <c r="BI189" s="970"/>
    </row>
    <row r="190" spans="2:61" s="998" customFormat="1" hidden="1">
      <c r="B190" s="1036">
        <v>14</v>
      </c>
      <c r="C190" s="1037" t="s">
        <v>1855</v>
      </c>
      <c r="D190" s="1037" t="s">
        <v>1854</v>
      </c>
      <c r="E190" s="1037" t="s">
        <v>1853</v>
      </c>
      <c r="F190" s="1037" t="s">
        <v>1852</v>
      </c>
      <c r="G190" s="1037" t="s">
        <v>1851</v>
      </c>
      <c r="H190" s="1037" t="s">
        <v>1770</v>
      </c>
      <c r="I190" s="1037" t="s">
        <v>1850</v>
      </c>
      <c r="J190" s="1037" t="s">
        <v>1849</v>
      </c>
      <c r="K190" s="1037" t="s">
        <v>1848</v>
      </c>
      <c r="L190" s="1037" t="s">
        <v>1847</v>
      </c>
      <c r="M190" s="1037" t="s">
        <v>1846</v>
      </c>
      <c r="N190" s="1037" t="s">
        <v>1845</v>
      </c>
      <c r="O190" s="1037" t="s">
        <v>1819</v>
      </c>
      <c r="P190" s="1037" t="s">
        <v>1844</v>
      </c>
      <c r="Q190" s="1037" t="s">
        <v>168</v>
      </c>
      <c r="R190" s="1037" t="s">
        <v>1843</v>
      </c>
      <c r="S190" s="1037" t="s">
        <v>1842</v>
      </c>
      <c r="T190" s="1037" t="s">
        <v>1841</v>
      </c>
      <c r="U190" s="1037" t="s">
        <v>1840</v>
      </c>
      <c r="V190" s="1037" t="s">
        <v>1839</v>
      </c>
      <c r="W190" s="1037" t="s">
        <v>1838</v>
      </c>
      <c r="X190" s="1037" t="s">
        <v>1837</v>
      </c>
      <c r="Y190" s="1037" t="s">
        <v>174</v>
      </c>
      <c r="Z190" s="1037" t="s">
        <v>176</v>
      </c>
      <c r="AA190" s="1037" t="s">
        <v>1836</v>
      </c>
      <c r="AB190" s="1037" t="s">
        <v>1835</v>
      </c>
      <c r="AC190" s="1038">
        <v>0.5444</v>
      </c>
      <c r="AD190" s="1038">
        <v>0.54379999999999995</v>
      </c>
      <c r="AE190" s="1038">
        <v>0.54310000000000003</v>
      </c>
      <c r="AF190" s="1039">
        <v>0.54239999999999999</v>
      </c>
      <c r="AG190" s="1039">
        <f t="shared" ref="AG190:AP190" si="102">AF190-0.07%</f>
        <v>0.54169999999999996</v>
      </c>
      <c r="AH190" s="1039">
        <f t="shared" si="102"/>
        <v>0.54099999999999993</v>
      </c>
      <c r="AI190" s="1039">
        <f t="shared" si="102"/>
        <v>0.54029999999999989</v>
      </c>
      <c r="AJ190" s="1039">
        <f t="shared" si="102"/>
        <v>0.53959999999999986</v>
      </c>
      <c r="AK190" s="1039">
        <f t="shared" si="102"/>
        <v>0.53889999999999982</v>
      </c>
      <c r="AL190" s="1039">
        <f t="shared" si="102"/>
        <v>0.53819999999999979</v>
      </c>
      <c r="AM190" s="1039">
        <f t="shared" si="102"/>
        <v>0.53749999999999976</v>
      </c>
      <c r="AN190" s="1039">
        <f t="shared" si="102"/>
        <v>0.53679999999999972</v>
      </c>
      <c r="AO190" s="1039">
        <f t="shared" si="102"/>
        <v>0.53609999999999969</v>
      </c>
      <c r="AP190" s="1039">
        <f t="shared" si="102"/>
        <v>0.53539999999999965</v>
      </c>
      <c r="AQ190" s="1039">
        <f t="shared" ref="AQ190:AU199" si="103">AP190-0.04%</f>
        <v>0.5349999999999997</v>
      </c>
      <c r="AR190" s="1039">
        <f t="shared" si="103"/>
        <v>0.53459999999999974</v>
      </c>
      <c r="AS190" s="1039">
        <f t="shared" si="103"/>
        <v>0.53419999999999979</v>
      </c>
      <c r="AT190" s="1039">
        <f t="shared" si="103"/>
        <v>0.53379999999999983</v>
      </c>
      <c r="AU190" s="1039">
        <f t="shared" si="103"/>
        <v>0.53339999999999987</v>
      </c>
      <c r="AV190" s="1039">
        <f t="shared" ref="AV190:AV198" si="104">AU190-0.02%</f>
        <v>0.5331999999999999</v>
      </c>
      <c r="AW190" s="1039">
        <f t="shared" si="101"/>
        <v>0.53299999999999992</v>
      </c>
      <c r="AX190" s="1039">
        <f t="shared" si="101"/>
        <v>0.53279999999999994</v>
      </c>
      <c r="AY190" s="1039">
        <f t="shared" si="101"/>
        <v>0.53259999999999996</v>
      </c>
      <c r="AZ190" s="1039">
        <f t="shared" si="101"/>
        <v>0.53239999999999998</v>
      </c>
      <c r="BA190" s="1039">
        <f t="shared" si="101"/>
        <v>0.53220000000000001</v>
      </c>
      <c r="BB190" s="1039">
        <f t="shared" si="101"/>
        <v>0.53200000000000003</v>
      </c>
      <c r="BC190" s="1039">
        <f t="shared" si="101"/>
        <v>0.53180000000000005</v>
      </c>
      <c r="BD190" s="1039">
        <f t="shared" si="101"/>
        <v>0.53160000000000007</v>
      </c>
      <c r="BE190" s="1039">
        <v>0.53080000000000005</v>
      </c>
      <c r="BF190" s="1038">
        <v>0.53039999999999998</v>
      </c>
      <c r="BH190" s="970">
        <f t="shared" si="96"/>
        <v>0.53080000000000005</v>
      </c>
      <c r="BI190" s="970"/>
    </row>
    <row r="191" spans="2:61" s="998" customFormat="1" hidden="1">
      <c r="B191" s="1036">
        <v>15</v>
      </c>
      <c r="C191" s="1037" t="s">
        <v>1834</v>
      </c>
      <c r="D191" s="1037" t="s">
        <v>1730</v>
      </c>
      <c r="E191" s="1037" t="s">
        <v>1833</v>
      </c>
      <c r="F191" s="1037" t="s">
        <v>1728</v>
      </c>
      <c r="G191" s="1037" t="s">
        <v>1832</v>
      </c>
      <c r="H191" s="1037" t="s">
        <v>1831</v>
      </c>
      <c r="I191" s="1037" t="s">
        <v>1830</v>
      </c>
      <c r="J191" s="1037" t="s">
        <v>1775</v>
      </c>
      <c r="K191" s="1037" t="s">
        <v>1829</v>
      </c>
      <c r="L191" s="1037" t="s">
        <v>1828</v>
      </c>
      <c r="M191" s="1037" t="s">
        <v>1827</v>
      </c>
      <c r="N191" s="1037" t="s">
        <v>1770</v>
      </c>
      <c r="O191" s="1037" t="s">
        <v>1826</v>
      </c>
      <c r="P191" s="1037" t="s">
        <v>1825</v>
      </c>
      <c r="Q191" s="1037" t="s">
        <v>1824</v>
      </c>
      <c r="R191" s="1037" t="s">
        <v>1823</v>
      </c>
      <c r="S191" s="1037" t="s">
        <v>1822</v>
      </c>
      <c r="T191" s="1037" t="s">
        <v>1821</v>
      </c>
      <c r="U191" s="1037" t="s">
        <v>1820</v>
      </c>
      <c r="V191" s="1037" t="s">
        <v>1819</v>
      </c>
      <c r="W191" s="1037" t="s">
        <v>1818</v>
      </c>
      <c r="X191" s="1037" t="s">
        <v>1817</v>
      </c>
      <c r="Y191" s="1037" t="s">
        <v>1816</v>
      </c>
      <c r="Z191" s="1037" t="s">
        <v>1815</v>
      </c>
      <c r="AA191" s="1037" t="s">
        <v>1814</v>
      </c>
      <c r="AB191" s="1037" t="s">
        <v>1813</v>
      </c>
      <c r="AC191" s="1038">
        <v>0.55079999999999996</v>
      </c>
      <c r="AD191" s="1038">
        <v>0.55000000000000004</v>
      </c>
      <c r="AE191" s="1038">
        <v>0.54920000000000002</v>
      </c>
      <c r="AF191" s="1039">
        <v>0.54849999999999999</v>
      </c>
      <c r="AG191" s="1039">
        <f t="shared" ref="AG191:AM191" si="105">AF191-0.07%</f>
        <v>0.54779999999999995</v>
      </c>
      <c r="AH191" s="1039">
        <f t="shared" si="105"/>
        <v>0.54709999999999992</v>
      </c>
      <c r="AI191" s="1039">
        <f t="shared" si="105"/>
        <v>0.54639999999999989</v>
      </c>
      <c r="AJ191" s="1039">
        <f t="shared" si="105"/>
        <v>0.54569999999999985</v>
      </c>
      <c r="AK191" s="1039">
        <f t="shared" si="105"/>
        <v>0.54499999999999982</v>
      </c>
      <c r="AL191" s="1039">
        <f t="shared" si="105"/>
        <v>0.54429999999999978</v>
      </c>
      <c r="AM191" s="1039">
        <f t="shared" si="105"/>
        <v>0.54359999999999975</v>
      </c>
      <c r="AN191" s="1039">
        <f t="shared" ref="AN191:AP207" si="106">AM191-0.04%</f>
        <v>0.54319999999999979</v>
      </c>
      <c r="AO191" s="1039">
        <f t="shared" si="106"/>
        <v>0.54279999999999984</v>
      </c>
      <c r="AP191" s="1039">
        <f t="shared" si="106"/>
        <v>0.54239999999999988</v>
      </c>
      <c r="AQ191" s="1039">
        <f t="shared" si="103"/>
        <v>0.54199999999999993</v>
      </c>
      <c r="AR191" s="1039">
        <f t="shared" si="103"/>
        <v>0.54159999999999997</v>
      </c>
      <c r="AS191" s="1039">
        <f t="shared" si="103"/>
        <v>0.54120000000000001</v>
      </c>
      <c r="AT191" s="1039">
        <f t="shared" si="103"/>
        <v>0.54080000000000006</v>
      </c>
      <c r="AU191" s="1039">
        <f t="shared" si="103"/>
        <v>0.5404000000000001</v>
      </c>
      <c r="AV191" s="1039">
        <f t="shared" si="104"/>
        <v>0.54020000000000012</v>
      </c>
      <c r="AW191" s="1039">
        <f t="shared" si="101"/>
        <v>0.54000000000000015</v>
      </c>
      <c r="AX191" s="1039">
        <f t="shared" si="101"/>
        <v>0.53980000000000017</v>
      </c>
      <c r="AY191" s="1039">
        <f t="shared" si="101"/>
        <v>0.53960000000000019</v>
      </c>
      <c r="AZ191" s="1039">
        <f t="shared" si="101"/>
        <v>0.53940000000000021</v>
      </c>
      <c r="BA191" s="1039">
        <f t="shared" si="101"/>
        <v>0.53920000000000023</v>
      </c>
      <c r="BB191" s="1039">
        <f t="shared" si="101"/>
        <v>0.53900000000000026</v>
      </c>
      <c r="BC191" s="1039">
        <f t="shared" si="101"/>
        <v>0.53880000000000028</v>
      </c>
      <c r="BD191" s="1039">
        <f t="shared" si="101"/>
        <v>0.5386000000000003</v>
      </c>
      <c r="BE191" s="1039">
        <v>0.53520000000000001</v>
      </c>
      <c r="BF191" s="1038">
        <v>0.53480000000000005</v>
      </c>
      <c r="BH191" s="970">
        <f t="shared" si="96"/>
        <v>0.53520000000000001</v>
      </c>
      <c r="BI191" s="970"/>
    </row>
    <row r="192" spans="2:61" s="998" customFormat="1" hidden="1">
      <c r="B192" s="1036">
        <v>16</v>
      </c>
      <c r="C192" s="1037" t="s">
        <v>1812</v>
      </c>
      <c r="D192" s="1037" t="s">
        <v>1811</v>
      </c>
      <c r="E192" s="1037" t="s">
        <v>1810</v>
      </c>
      <c r="F192" s="1037" t="s">
        <v>1809</v>
      </c>
      <c r="G192" s="1037" t="s">
        <v>1808</v>
      </c>
      <c r="H192" s="1037" t="s">
        <v>1731</v>
      </c>
      <c r="I192" s="1037" t="s">
        <v>1807</v>
      </c>
      <c r="J192" s="1037" t="s">
        <v>1806</v>
      </c>
      <c r="K192" s="1037" t="s">
        <v>1728</v>
      </c>
      <c r="L192" s="1037" t="s">
        <v>1805</v>
      </c>
      <c r="M192" s="1037" t="s">
        <v>1804</v>
      </c>
      <c r="N192" s="1037" t="s">
        <v>1803</v>
      </c>
      <c r="O192" s="1037" t="s">
        <v>1802</v>
      </c>
      <c r="P192" s="1037" t="s">
        <v>1801</v>
      </c>
      <c r="Q192" s="1037" t="s">
        <v>1800</v>
      </c>
      <c r="R192" s="1037" t="s">
        <v>1799</v>
      </c>
      <c r="S192" s="1037" t="s">
        <v>1798</v>
      </c>
      <c r="T192" s="1037" t="s">
        <v>1770</v>
      </c>
      <c r="U192" s="1037" t="s">
        <v>1797</v>
      </c>
      <c r="V192" s="1037" t="s">
        <v>1796</v>
      </c>
      <c r="W192" s="1037" t="s">
        <v>1795</v>
      </c>
      <c r="X192" s="1037" t="s">
        <v>1794</v>
      </c>
      <c r="Y192" s="1037" t="s">
        <v>1793</v>
      </c>
      <c r="Z192" s="1037" t="s">
        <v>1792</v>
      </c>
      <c r="AA192" s="1037" t="s">
        <v>1791</v>
      </c>
      <c r="AB192" s="1037" t="s">
        <v>1790</v>
      </c>
      <c r="AC192" s="1038">
        <v>0.55710000000000004</v>
      </c>
      <c r="AD192" s="1038">
        <v>0.55630000000000002</v>
      </c>
      <c r="AE192" s="1038">
        <v>0.5554</v>
      </c>
      <c r="AF192" s="1039">
        <v>0.55449999999999999</v>
      </c>
      <c r="AG192" s="1039">
        <f t="shared" ref="AG192:AM193" si="107">AF192-0.09%</f>
        <v>0.55359999999999998</v>
      </c>
      <c r="AH192" s="1039">
        <f t="shared" si="107"/>
        <v>0.55269999999999997</v>
      </c>
      <c r="AI192" s="1039">
        <f t="shared" si="107"/>
        <v>0.55179999999999996</v>
      </c>
      <c r="AJ192" s="1039">
        <f t="shared" si="107"/>
        <v>0.55089999999999995</v>
      </c>
      <c r="AK192" s="1039">
        <f t="shared" si="107"/>
        <v>0.54999999999999993</v>
      </c>
      <c r="AL192" s="1039">
        <f t="shared" si="107"/>
        <v>0.54909999999999992</v>
      </c>
      <c r="AM192" s="1039">
        <f t="shared" si="107"/>
        <v>0.54819999999999991</v>
      </c>
      <c r="AN192" s="1039">
        <f t="shared" si="106"/>
        <v>0.54779999999999995</v>
      </c>
      <c r="AO192" s="1039">
        <f t="shared" si="106"/>
        <v>0.5474</v>
      </c>
      <c r="AP192" s="1039">
        <f t="shared" si="106"/>
        <v>0.54700000000000004</v>
      </c>
      <c r="AQ192" s="1039">
        <f t="shared" si="103"/>
        <v>0.54660000000000009</v>
      </c>
      <c r="AR192" s="1039">
        <f t="shared" si="103"/>
        <v>0.54620000000000013</v>
      </c>
      <c r="AS192" s="1039">
        <f t="shared" si="103"/>
        <v>0.54580000000000017</v>
      </c>
      <c r="AT192" s="1039">
        <f t="shared" si="103"/>
        <v>0.54540000000000022</v>
      </c>
      <c r="AU192" s="1039">
        <f t="shared" si="103"/>
        <v>0.54500000000000026</v>
      </c>
      <c r="AV192" s="1039">
        <f t="shared" si="104"/>
        <v>0.54480000000000028</v>
      </c>
      <c r="AW192" s="1039">
        <f t="shared" si="101"/>
        <v>0.54460000000000031</v>
      </c>
      <c r="AX192" s="1039">
        <f t="shared" si="101"/>
        <v>0.54440000000000033</v>
      </c>
      <c r="AY192" s="1039">
        <f t="shared" si="101"/>
        <v>0.54420000000000035</v>
      </c>
      <c r="AZ192" s="1039">
        <f t="shared" si="101"/>
        <v>0.54400000000000037</v>
      </c>
      <c r="BA192" s="1039">
        <f t="shared" si="101"/>
        <v>0.54380000000000039</v>
      </c>
      <c r="BB192" s="1039">
        <f t="shared" si="101"/>
        <v>0.54360000000000042</v>
      </c>
      <c r="BC192" s="1039">
        <f t="shared" si="101"/>
        <v>0.54340000000000044</v>
      </c>
      <c r="BD192" s="1039">
        <f t="shared" si="101"/>
        <v>0.54320000000000046</v>
      </c>
      <c r="BE192" s="1039">
        <v>0.53959999999999997</v>
      </c>
      <c r="BF192" s="1038">
        <v>0.53910000000000002</v>
      </c>
      <c r="BH192" s="970">
        <f t="shared" si="96"/>
        <v>0.53959999999999997</v>
      </c>
      <c r="BI192" s="970"/>
    </row>
    <row r="193" spans="2:61" s="998" customFormat="1" hidden="1">
      <c r="B193" s="1036">
        <v>17</v>
      </c>
      <c r="C193" s="1037" t="s">
        <v>1789</v>
      </c>
      <c r="D193" s="1037" t="s">
        <v>1665</v>
      </c>
      <c r="E193" s="1037" t="s">
        <v>1788</v>
      </c>
      <c r="F193" s="1037" t="s">
        <v>1662</v>
      </c>
      <c r="G193" s="1037" t="s">
        <v>1787</v>
      </c>
      <c r="H193" s="1037" t="s">
        <v>1786</v>
      </c>
      <c r="I193" s="1037" t="s">
        <v>1785</v>
      </c>
      <c r="J193" s="1037" t="s">
        <v>1784</v>
      </c>
      <c r="K193" s="1037" t="s">
        <v>1733</v>
      </c>
      <c r="L193" s="1037" t="s">
        <v>1783</v>
      </c>
      <c r="M193" s="1037" t="s">
        <v>1782</v>
      </c>
      <c r="N193" s="1037" t="s">
        <v>1781</v>
      </c>
      <c r="O193" s="1037" t="s">
        <v>1780</v>
      </c>
      <c r="P193" s="1037" t="s">
        <v>1728</v>
      </c>
      <c r="Q193" s="1037" t="s">
        <v>1779</v>
      </c>
      <c r="R193" s="1037" t="s">
        <v>1778</v>
      </c>
      <c r="S193" s="1037" t="s">
        <v>1777</v>
      </c>
      <c r="T193" s="1037" t="s">
        <v>1776</v>
      </c>
      <c r="U193" s="1037" t="s">
        <v>1775</v>
      </c>
      <c r="V193" s="1037" t="s">
        <v>1774</v>
      </c>
      <c r="W193" s="1037" t="s">
        <v>1773</v>
      </c>
      <c r="X193" s="1037" t="s">
        <v>1772</v>
      </c>
      <c r="Y193" s="1037" t="s">
        <v>1771</v>
      </c>
      <c r="Z193" s="1037" t="s">
        <v>1770</v>
      </c>
      <c r="AA193" s="1037" t="s">
        <v>1769</v>
      </c>
      <c r="AB193" s="1037" t="s">
        <v>1768</v>
      </c>
      <c r="AC193" s="1038">
        <v>0.5635</v>
      </c>
      <c r="AD193" s="1038">
        <v>0.5625</v>
      </c>
      <c r="AE193" s="1038">
        <v>0.5615</v>
      </c>
      <c r="AF193" s="1039">
        <v>0.56059999999999999</v>
      </c>
      <c r="AG193" s="1039">
        <f t="shared" si="107"/>
        <v>0.55969999999999998</v>
      </c>
      <c r="AH193" s="1039">
        <f t="shared" si="107"/>
        <v>0.55879999999999996</v>
      </c>
      <c r="AI193" s="1039">
        <f t="shared" si="107"/>
        <v>0.55789999999999995</v>
      </c>
      <c r="AJ193" s="1039">
        <f t="shared" si="107"/>
        <v>0.55699999999999994</v>
      </c>
      <c r="AK193" s="1039">
        <f t="shared" si="107"/>
        <v>0.55609999999999993</v>
      </c>
      <c r="AL193" s="1039">
        <f t="shared" si="107"/>
        <v>0.55519999999999992</v>
      </c>
      <c r="AM193" s="1039">
        <f t="shared" si="107"/>
        <v>0.5542999999999999</v>
      </c>
      <c r="AN193" s="1039">
        <f t="shared" si="106"/>
        <v>0.55389999999999995</v>
      </c>
      <c r="AO193" s="1039">
        <f t="shared" si="106"/>
        <v>0.55349999999999999</v>
      </c>
      <c r="AP193" s="1039">
        <f t="shared" si="106"/>
        <v>0.55310000000000004</v>
      </c>
      <c r="AQ193" s="1039">
        <f t="shared" si="103"/>
        <v>0.55270000000000008</v>
      </c>
      <c r="AR193" s="1039">
        <f t="shared" si="103"/>
        <v>0.55230000000000012</v>
      </c>
      <c r="AS193" s="1039">
        <f t="shared" si="103"/>
        <v>0.55190000000000017</v>
      </c>
      <c r="AT193" s="1039">
        <f t="shared" si="103"/>
        <v>0.55150000000000021</v>
      </c>
      <c r="AU193" s="1039">
        <f t="shared" si="103"/>
        <v>0.55110000000000026</v>
      </c>
      <c r="AV193" s="1039">
        <f t="shared" si="104"/>
        <v>0.55090000000000028</v>
      </c>
      <c r="AW193" s="1039">
        <f t="shared" si="101"/>
        <v>0.5507000000000003</v>
      </c>
      <c r="AX193" s="1039">
        <f t="shared" si="101"/>
        <v>0.55050000000000032</v>
      </c>
      <c r="AY193" s="1039">
        <f t="shared" si="101"/>
        <v>0.55030000000000034</v>
      </c>
      <c r="AZ193" s="1039">
        <f t="shared" si="101"/>
        <v>0.55010000000000037</v>
      </c>
      <c r="BA193" s="1039">
        <f t="shared" si="101"/>
        <v>0.54990000000000039</v>
      </c>
      <c r="BB193" s="1039">
        <f t="shared" si="101"/>
        <v>0.54970000000000041</v>
      </c>
      <c r="BC193" s="1039">
        <f t="shared" si="101"/>
        <v>0.54950000000000043</v>
      </c>
      <c r="BD193" s="1039">
        <f t="shared" si="101"/>
        <v>0.54930000000000045</v>
      </c>
      <c r="BE193" s="1039">
        <v>0.54400000000000004</v>
      </c>
      <c r="BF193" s="1038">
        <v>0.54349999999999998</v>
      </c>
      <c r="BH193" s="970">
        <f t="shared" si="96"/>
        <v>0.54400000000000004</v>
      </c>
      <c r="BI193" s="970"/>
    </row>
    <row r="194" spans="2:61" s="998" customFormat="1" hidden="1">
      <c r="B194" s="1036">
        <v>18</v>
      </c>
      <c r="C194" s="1037" t="s">
        <v>1767</v>
      </c>
      <c r="D194" s="1037" t="s">
        <v>1766</v>
      </c>
      <c r="E194" s="1037" t="s">
        <v>1765</v>
      </c>
      <c r="F194" s="1037" t="s">
        <v>1764</v>
      </c>
      <c r="G194" s="1037" t="s">
        <v>1763</v>
      </c>
      <c r="H194" s="1037" t="s">
        <v>1762</v>
      </c>
      <c r="I194" s="1037" t="s">
        <v>1761</v>
      </c>
      <c r="J194" s="1037" t="s">
        <v>1662</v>
      </c>
      <c r="K194" s="1037" t="s">
        <v>1760</v>
      </c>
      <c r="L194" s="1037" t="s">
        <v>1759</v>
      </c>
      <c r="M194" s="1037" t="s">
        <v>1758</v>
      </c>
      <c r="N194" s="1037" t="s">
        <v>1757</v>
      </c>
      <c r="O194" s="1037" t="s">
        <v>1756</v>
      </c>
      <c r="P194" s="1037" t="s">
        <v>1755</v>
      </c>
      <c r="Q194" s="1037" t="s">
        <v>1754</v>
      </c>
      <c r="R194" s="1037" t="s">
        <v>1753</v>
      </c>
      <c r="S194" s="1037" t="s">
        <v>1752</v>
      </c>
      <c r="T194" s="1037" t="s">
        <v>1751</v>
      </c>
      <c r="U194" s="1037" t="s">
        <v>1728</v>
      </c>
      <c r="V194" s="1037" t="s">
        <v>1750</v>
      </c>
      <c r="W194" s="1037" t="s">
        <v>1749</v>
      </c>
      <c r="X194" s="1037" t="s">
        <v>1748</v>
      </c>
      <c r="Y194" s="1037" t="s">
        <v>1747</v>
      </c>
      <c r="Z194" s="1037" t="s">
        <v>1746</v>
      </c>
      <c r="AA194" s="1037" t="s">
        <v>1745</v>
      </c>
      <c r="AB194" s="1037" t="s">
        <v>1744</v>
      </c>
      <c r="AC194" s="1038">
        <v>0.56979999999999997</v>
      </c>
      <c r="AD194" s="1038">
        <v>0.56879999999999997</v>
      </c>
      <c r="AE194" s="1038">
        <v>0.56769999999999998</v>
      </c>
      <c r="AF194" s="1039">
        <v>0.56669999999999998</v>
      </c>
      <c r="AG194" s="1039">
        <f t="shared" ref="AG194:AM194" si="108">AF194-0.1%</f>
        <v>0.56569999999999998</v>
      </c>
      <c r="AH194" s="1039">
        <f t="shared" si="108"/>
        <v>0.56469999999999998</v>
      </c>
      <c r="AI194" s="1039">
        <f t="shared" si="108"/>
        <v>0.56369999999999998</v>
      </c>
      <c r="AJ194" s="1039">
        <f t="shared" si="108"/>
        <v>0.56269999999999998</v>
      </c>
      <c r="AK194" s="1039">
        <f t="shared" si="108"/>
        <v>0.56169999999999998</v>
      </c>
      <c r="AL194" s="1039">
        <f t="shared" si="108"/>
        <v>0.56069999999999998</v>
      </c>
      <c r="AM194" s="1039">
        <f t="shared" si="108"/>
        <v>0.55969999999999998</v>
      </c>
      <c r="AN194" s="1039">
        <f t="shared" si="106"/>
        <v>0.55930000000000002</v>
      </c>
      <c r="AO194" s="1039">
        <f t="shared" si="106"/>
        <v>0.55890000000000006</v>
      </c>
      <c r="AP194" s="1039">
        <f t="shared" si="106"/>
        <v>0.55850000000000011</v>
      </c>
      <c r="AQ194" s="1039">
        <f t="shared" si="103"/>
        <v>0.55810000000000015</v>
      </c>
      <c r="AR194" s="1039">
        <f t="shared" si="103"/>
        <v>0.5577000000000002</v>
      </c>
      <c r="AS194" s="1039">
        <f t="shared" si="103"/>
        <v>0.55730000000000024</v>
      </c>
      <c r="AT194" s="1039">
        <f t="shared" si="103"/>
        <v>0.55690000000000028</v>
      </c>
      <c r="AU194" s="1039">
        <f t="shared" si="103"/>
        <v>0.55650000000000033</v>
      </c>
      <c r="AV194" s="1039">
        <f t="shared" si="104"/>
        <v>0.55630000000000035</v>
      </c>
      <c r="AW194" s="1039">
        <f t="shared" si="101"/>
        <v>0.55610000000000037</v>
      </c>
      <c r="AX194" s="1039">
        <f t="shared" si="101"/>
        <v>0.55590000000000039</v>
      </c>
      <c r="AY194" s="1039">
        <f t="shared" si="101"/>
        <v>0.55570000000000042</v>
      </c>
      <c r="AZ194" s="1039">
        <f t="shared" si="101"/>
        <v>0.55550000000000044</v>
      </c>
      <c r="BA194" s="1039">
        <f t="shared" si="101"/>
        <v>0.55530000000000046</v>
      </c>
      <c r="BB194" s="1039">
        <f t="shared" si="101"/>
        <v>0.55510000000000048</v>
      </c>
      <c r="BC194" s="1039">
        <f t="shared" si="101"/>
        <v>0.5549000000000005</v>
      </c>
      <c r="BD194" s="1039">
        <f t="shared" si="101"/>
        <v>0.55470000000000053</v>
      </c>
      <c r="BE194" s="1039">
        <v>0.5484</v>
      </c>
      <c r="BF194" s="1038">
        <v>0.54779999999999995</v>
      </c>
      <c r="BH194" s="970">
        <f t="shared" si="96"/>
        <v>0.5484</v>
      </c>
      <c r="BI194" s="970"/>
    </row>
    <row r="195" spans="2:61" s="998" customFormat="1" hidden="1">
      <c r="B195" s="1036">
        <v>19</v>
      </c>
      <c r="C195" s="1037" t="s">
        <v>1743</v>
      </c>
      <c r="D195" s="1037" t="s">
        <v>1600</v>
      </c>
      <c r="E195" s="1037" t="s">
        <v>1648</v>
      </c>
      <c r="F195" s="1037" t="s">
        <v>156</v>
      </c>
      <c r="G195" s="1037" t="s">
        <v>1742</v>
      </c>
      <c r="H195" s="1037" t="s">
        <v>1644</v>
      </c>
      <c r="I195" s="1037" t="s">
        <v>1741</v>
      </c>
      <c r="J195" s="1037" t="s">
        <v>1667</v>
      </c>
      <c r="K195" s="1037" t="s">
        <v>1640</v>
      </c>
      <c r="L195" s="1037" t="s">
        <v>1740</v>
      </c>
      <c r="M195" s="1037" t="s">
        <v>1739</v>
      </c>
      <c r="N195" s="1037" t="s">
        <v>1662</v>
      </c>
      <c r="O195" s="1037" t="s">
        <v>1738</v>
      </c>
      <c r="P195" s="1037" t="s">
        <v>1737</v>
      </c>
      <c r="Q195" s="1037" t="s">
        <v>1736</v>
      </c>
      <c r="R195" s="1037" t="s">
        <v>1735</v>
      </c>
      <c r="S195" s="1037" t="s">
        <v>1734</v>
      </c>
      <c r="T195" s="1037" t="s">
        <v>1733</v>
      </c>
      <c r="U195" s="1037" t="s">
        <v>1732</v>
      </c>
      <c r="V195" s="1037" t="s">
        <v>1731</v>
      </c>
      <c r="W195" s="1037" t="s">
        <v>1730</v>
      </c>
      <c r="X195" s="1037" t="s">
        <v>1729</v>
      </c>
      <c r="Y195" s="1037" t="s">
        <v>160</v>
      </c>
      <c r="Z195" s="1037" t="s">
        <v>1728</v>
      </c>
      <c r="AA195" s="1037" t="s">
        <v>1727</v>
      </c>
      <c r="AB195" s="1037" t="s">
        <v>1726</v>
      </c>
      <c r="AC195" s="1038">
        <v>0.57620000000000005</v>
      </c>
      <c r="AD195" s="1038">
        <v>0.57499999999999996</v>
      </c>
      <c r="AE195" s="1038">
        <v>0.57379999999999998</v>
      </c>
      <c r="AF195" s="1039">
        <v>0.57269999999999999</v>
      </c>
      <c r="AG195" s="1039">
        <f t="shared" ref="AG195:AM195" si="109">AF195-0.11%</f>
        <v>0.5716</v>
      </c>
      <c r="AH195" s="1039">
        <f t="shared" si="109"/>
        <v>0.57050000000000001</v>
      </c>
      <c r="AI195" s="1039">
        <f t="shared" si="109"/>
        <v>0.56940000000000002</v>
      </c>
      <c r="AJ195" s="1039">
        <f t="shared" si="109"/>
        <v>0.56830000000000003</v>
      </c>
      <c r="AK195" s="1039">
        <f t="shared" si="109"/>
        <v>0.56720000000000004</v>
      </c>
      <c r="AL195" s="1039">
        <f t="shared" si="109"/>
        <v>0.56610000000000005</v>
      </c>
      <c r="AM195" s="1039">
        <f t="shared" si="109"/>
        <v>0.56500000000000006</v>
      </c>
      <c r="AN195" s="1039">
        <f t="shared" si="106"/>
        <v>0.5646000000000001</v>
      </c>
      <c r="AO195" s="1039">
        <f t="shared" si="106"/>
        <v>0.56420000000000015</v>
      </c>
      <c r="AP195" s="1039">
        <f t="shared" si="106"/>
        <v>0.56380000000000019</v>
      </c>
      <c r="AQ195" s="1039">
        <f t="shared" si="103"/>
        <v>0.56340000000000023</v>
      </c>
      <c r="AR195" s="1039">
        <f t="shared" si="103"/>
        <v>0.56300000000000028</v>
      </c>
      <c r="AS195" s="1039">
        <f t="shared" si="103"/>
        <v>0.56260000000000032</v>
      </c>
      <c r="AT195" s="1039">
        <f t="shared" si="103"/>
        <v>0.56220000000000037</v>
      </c>
      <c r="AU195" s="1039">
        <f t="shared" si="103"/>
        <v>0.56180000000000041</v>
      </c>
      <c r="AV195" s="1039">
        <f t="shared" si="104"/>
        <v>0.56160000000000043</v>
      </c>
      <c r="AW195" s="1039">
        <f t="shared" si="101"/>
        <v>0.56140000000000045</v>
      </c>
      <c r="AX195" s="1039">
        <f t="shared" si="101"/>
        <v>0.56120000000000048</v>
      </c>
      <c r="AY195" s="1039">
        <f t="shared" si="101"/>
        <v>0.5610000000000005</v>
      </c>
      <c r="AZ195" s="1039">
        <f t="shared" si="101"/>
        <v>0.56080000000000052</v>
      </c>
      <c r="BA195" s="1039">
        <f t="shared" si="101"/>
        <v>0.56060000000000054</v>
      </c>
      <c r="BB195" s="1039">
        <f t="shared" si="101"/>
        <v>0.56040000000000056</v>
      </c>
      <c r="BC195" s="1039">
        <f t="shared" si="101"/>
        <v>0.56020000000000059</v>
      </c>
      <c r="BD195" s="1039">
        <f t="shared" si="101"/>
        <v>0.56000000000000061</v>
      </c>
      <c r="BE195" s="1039">
        <v>0.55269999999999997</v>
      </c>
      <c r="BF195" s="1038">
        <v>0.55220000000000002</v>
      </c>
      <c r="BH195" s="970">
        <f t="shared" si="96"/>
        <v>0.55269999999999997</v>
      </c>
      <c r="BI195" s="970"/>
    </row>
    <row r="196" spans="2:61" s="998" customFormat="1" hidden="1">
      <c r="B196" s="1036">
        <v>20</v>
      </c>
      <c r="C196" s="1037" t="s">
        <v>1725</v>
      </c>
      <c r="D196" s="1037" t="s">
        <v>1724</v>
      </c>
      <c r="E196" s="1037" t="s">
        <v>1556</v>
      </c>
      <c r="F196" s="1037" t="s">
        <v>1723</v>
      </c>
      <c r="G196" s="1037" t="s">
        <v>1722</v>
      </c>
      <c r="H196" s="1037" t="s">
        <v>1721</v>
      </c>
      <c r="I196" s="1037" t="s">
        <v>1720</v>
      </c>
      <c r="J196" s="1037" t="s">
        <v>1719</v>
      </c>
      <c r="K196" s="1037" t="s">
        <v>1718</v>
      </c>
      <c r="L196" s="1037" t="s">
        <v>1717</v>
      </c>
      <c r="M196" s="1037" t="s">
        <v>1716</v>
      </c>
      <c r="N196" s="1037" t="s">
        <v>1715</v>
      </c>
      <c r="O196" s="1037" t="s">
        <v>1714</v>
      </c>
      <c r="P196" s="1037" t="s">
        <v>1713</v>
      </c>
      <c r="Q196" s="1037" t="s">
        <v>1712</v>
      </c>
      <c r="R196" s="1037" t="s">
        <v>1662</v>
      </c>
      <c r="S196" s="1037" t="s">
        <v>1711</v>
      </c>
      <c r="T196" s="1037" t="s">
        <v>1710</v>
      </c>
      <c r="U196" s="1037" t="s">
        <v>1709</v>
      </c>
      <c r="V196" s="1037" t="s">
        <v>1708</v>
      </c>
      <c r="W196" s="1037" t="s">
        <v>1707</v>
      </c>
      <c r="X196" s="1037" t="s">
        <v>1706</v>
      </c>
      <c r="Y196" s="1037" t="s">
        <v>1705</v>
      </c>
      <c r="Z196" s="1037" t="s">
        <v>1704</v>
      </c>
      <c r="AA196" s="1037" t="s">
        <v>1703</v>
      </c>
      <c r="AB196" s="1037" t="s">
        <v>1702</v>
      </c>
      <c r="AC196" s="1038">
        <v>0.58250000000000002</v>
      </c>
      <c r="AD196" s="1038">
        <v>0.58130000000000004</v>
      </c>
      <c r="AE196" s="1038">
        <v>0.57999999999999996</v>
      </c>
      <c r="AF196" s="1039">
        <v>0.57879999999999998</v>
      </c>
      <c r="AG196" s="1039">
        <f t="shared" ref="AG196:AM196" si="110">AF196-0.12%</f>
        <v>0.5776</v>
      </c>
      <c r="AH196" s="1039">
        <f t="shared" si="110"/>
        <v>0.57640000000000002</v>
      </c>
      <c r="AI196" s="1039">
        <f t="shared" si="110"/>
        <v>0.57520000000000004</v>
      </c>
      <c r="AJ196" s="1039">
        <f t="shared" si="110"/>
        <v>0.57400000000000007</v>
      </c>
      <c r="AK196" s="1039">
        <f t="shared" si="110"/>
        <v>0.57280000000000009</v>
      </c>
      <c r="AL196" s="1039">
        <f t="shared" si="110"/>
        <v>0.57160000000000011</v>
      </c>
      <c r="AM196" s="1039">
        <f t="shared" si="110"/>
        <v>0.57040000000000013</v>
      </c>
      <c r="AN196" s="1039">
        <f t="shared" si="106"/>
        <v>0.57000000000000017</v>
      </c>
      <c r="AO196" s="1039">
        <f t="shared" si="106"/>
        <v>0.56960000000000022</v>
      </c>
      <c r="AP196" s="1039">
        <f t="shared" si="106"/>
        <v>0.56920000000000026</v>
      </c>
      <c r="AQ196" s="1039">
        <f t="shared" si="103"/>
        <v>0.56880000000000031</v>
      </c>
      <c r="AR196" s="1039">
        <f t="shared" si="103"/>
        <v>0.56840000000000035</v>
      </c>
      <c r="AS196" s="1039">
        <f t="shared" si="103"/>
        <v>0.56800000000000039</v>
      </c>
      <c r="AT196" s="1039">
        <f t="shared" si="103"/>
        <v>0.56760000000000044</v>
      </c>
      <c r="AU196" s="1039">
        <f t="shared" si="103"/>
        <v>0.56720000000000048</v>
      </c>
      <c r="AV196" s="1039">
        <f t="shared" si="104"/>
        <v>0.5670000000000005</v>
      </c>
      <c r="AW196" s="1039">
        <f t="shared" si="101"/>
        <v>0.56680000000000053</v>
      </c>
      <c r="AX196" s="1039">
        <f t="shared" si="101"/>
        <v>0.56660000000000055</v>
      </c>
      <c r="AY196" s="1039">
        <f t="shared" si="101"/>
        <v>0.56640000000000057</v>
      </c>
      <c r="AZ196" s="1039">
        <f t="shared" si="101"/>
        <v>0.56620000000000059</v>
      </c>
      <c r="BA196" s="1039">
        <f t="shared" si="101"/>
        <v>0.56600000000000061</v>
      </c>
      <c r="BB196" s="1039">
        <f t="shared" si="101"/>
        <v>0.56580000000000064</v>
      </c>
      <c r="BC196" s="1039">
        <f t="shared" si="101"/>
        <v>0.56560000000000066</v>
      </c>
      <c r="BD196" s="1039">
        <f t="shared" si="101"/>
        <v>0.56540000000000068</v>
      </c>
      <c r="BE196" s="1039">
        <v>0.55710000000000004</v>
      </c>
      <c r="BF196" s="1038">
        <v>0.55649999999999999</v>
      </c>
      <c r="BH196" s="970">
        <f t="shared" si="96"/>
        <v>0.55710000000000004</v>
      </c>
      <c r="BI196" s="970"/>
    </row>
    <row r="197" spans="2:61" s="998" customFormat="1" hidden="1">
      <c r="B197" s="1036">
        <v>21</v>
      </c>
      <c r="C197" s="1037" t="s">
        <v>1701</v>
      </c>
      <c r="D197" s="1037" t="s">
        <v>1538</v>
      </c>
      <c r="E197" s="1037" t="s">
        <v>1700</v>
      </c>
      <c r="F197" s="1037" t="s">
        <v>1535</v>
      </c>
      <c r="G197" s="1037" t="s">
        <v>1699</v>
      </c>
      <c r="H197" s="1037" t="s">
        <v>1556</v>
      </c>
      <c r="I197" s="1037" t="s">
        <v>1698</v>
      </c>
      <c r="J197" s="1037" t="s">
        <v>1697</v>
      </c>
      <c r="K197" s="1037" t="s">
        <v>1696</v>
      </c>
      <c r="L197" s="1037" t="s">
        <v>1695</v>
      </c>
      <c r="M197" s="1037" t="s">
        <v>1694</v>
      </c>
      <c r="N197" s="1037" t="s">
        <v>1693</v>
      </c>
      <c r="O197" s="1037" t="s">
        <v>1644</v>
      </c>
      <c r="P197" s="1037" t="s">
        <v>1692</v>
      </c>
      <c r="Q197" s="1037" t="s">
        <v>1691</v>
      </c>
      <c r="R197" s="1037" t="s">
        <v>1690</v>
      </c>
      <c r="S197" s="1037" t="s">
        <v>1689</v>
      </c>
      <c r="T197" s="1037" t="s">
        <v>1688</v>
      </c>
      <c r="U197" s="1037" t="s">
        <v>1687</v>
      </c>
      <c r="V197" s="1037" t="s">
        <v>1662</v>
      </c>
      <c r="W197" s="1037" t="s">
        <v>1686</v>
      </c>
      <c r="X197" s="1037" t="s">
        <v>1685</v>
      </c>
      <c r="Y197" s="1037" t="s">
        <v>1684</v>
      </c>
      <c r="Z197" s="1037" t="s">
        <v>1683</v>
      </c>
      <c r="AA197" s="1037" t="s">
        <v>1682</v>
      </c>
      <c r="AB197" s="1037" t="s">
        <v>1681</v>
      </c>
      <c r="AC197" s="1038">
        <v>0.58889999999999998</v>
      </c>
      <c r="AD197" s="1038">
        <v>0.58750000000000002</v>
      </c>
      <c r="AE197" s="1038">
        <v>0.58620000000000005</v>
      </c>
      <c r="AF197" s="1039">
        <v>0.58479999999999999</v>
      </c>
      <c r="AG197" s="1039">
        <f t="shared" ref="AG197:AM198" si="111">AF197-0.14%</f>
        <v>0.58340000000000003</v>
      </c>
      <c r="AH197" s="1039">
        <f t="shared" si="111"/>
        <v>0.58200000000000007</v>
      </c>
      <c r="AI197" s="1039">
        <f t="shared" si="111"/>
        <v>0.58060000000000012</v>
      </c>
      <c r="AJ197" s="1039">
        <f t="shared" si="111"/>
        <v>0.57920000000000016</v>
      </c>
      <c r="AK197" s="1039">
        <f t="shared" si="111"/>
        <v>0.5778000000000002</v>
      </c>
      <c r="AL197" s="1039">
        <f t="shared" si="111"/>
        <v>0.57640000000000025</v>
      </c>
      <c r="AM197" s="1039">
        <f t="shared" si="111"/>
        <v>0.57500000000000029</v>
      </c>
      <c r="AN197" s="1039">
        <f t="shared" si="106"/>
        <v>0.57460000000000033</v>
      </c>
      <c r="AO197" s="1039">
        <f t="shared" si="106"/>
        <v>0.57420000000000038</v>
      </c>
      <c r="AP197" s="1039">
        <f t="shared" si="106"/>
        <v>0.57380000000000042</v>
      </c>
      <c r="AQ197" s="1039">
        <f t="shared" si="103"/>
        <v>0.57340000000000046</v>
      </c>
      <c r="AR197" s="1039">
        <f t="shared" si="103"/>
        <v>0.57300000000000051</v>
      </c>
      <c r="AS197" s="1039">
        <f t="shared" si="103"/>
        <v>0.57260000000000055</v>
      </c>
      <c r="AT197" s="1039">
        <f t="shared" si="103"/>
        <v>0.5722000000000006</v>
      </c>
      <c r="AU197" s="1039">
        <f t="shared" si="103"/>
        <v>0.57180000000000064</v>
      </c>
      <c r="AV197" s="1039">
        <f t="shared" si="104"/>
        <v>0.57160000000000066</v>
      </c>
      <c r="AW197" s="1039">
        <f t="shared" si="101"/>
        <v>0.57140000000000069</v>
      </c>
      <c r="AX197" s="1039">
        <f t="shared" si="101"/>
        <v>0.57120000000000071</v>
      </c>
      <c r="AY197" s="1039">
        <f t="shared" si="101"/>
        <v>0.57100000000000073</v>
      </c>
      <c r="AZ197" s="1039">
        <f t="shared" si="101"/>
        <v>0.57080000000000075</v>
      </c>
      <c r="BA197" s="1039">
        <f t="shared" si="101"/>
        <v>0.57060000000000077</v>
      </c>
      <c r="BB197" s="1039">
        <f t="shared" si="101"/>
        <v>0.5704000000000008</v>
      </c>
      <c r="BC197" s="1039">
        <f t="shared" si="101"/>
        <v>0.57020000000000082</v>
      </c>
      <c r="BD197" s="1039">
        <f t="shared" si="101"/>
        <v>0.57000000000000084</v>
      </c>
      <c r="BE197" s="1039">
        <v>0.5615</v>
      </c>
      <c r="BF197" s="1038">
        <v>0.56089999999999995</v>
      </c>
      <c r="BH197" s="970">
        <f t="shared" si="96"/>
        <v>0.5615</v>
      </c>
      <c r="BI197" s="970"/>
    </row>
    <row r="198" spans="2:61" s="998" customFormat="1" hidden="1">
      <c r="B198" s="1036">
        <v>22</v>
      </c>
      <c r="C198" s="1037" t="s">
        <v>1680</v>
      </c>
      <c r="D198" s="1037" t="s">
        <v>1679</v>
      </c>
      <c r="E198" s="1037" t="s">
        <v>1563</v>
      </c>
      <c r="F198" s="1037" t="s">
        <v>167</v>
      </c>
      <c r="G198" s="1037" t="s">
        <v>1678</v>
      </c>
      <c r="H198" s="1037" t="s">
        <v>1559</v>
      </c>
      <c r="I198" s="1037" t="s">
        <v>1677</v>
      </c>
      <c r="J198" s="1037" t="s">
        <v>1676</v>
      </c>
      <c r="K198" s="1037" t="s">
        <v>1556</v>
      </c>
      <c r="L198" s="1037" t="s">
        <v>1675</v>
      </c>
      <c r="M198" s="1037" t="s">
        <v>1674</v>
      </c>
      <c r="N198" s="1037" t="s">
        <v>1673</v>
      </c>
      <c r="O198" s="1037" t="s">
        <v>1672</v>
      </c>
      <c r="P198" s="1037" t="s">
        <v>156</v>
      </c>
      <c r="Q198" s="1037" t="s">
        <v>1671</v>
      </c>
      <c r="R198" s="1037" t="s">
        <v>1670</v>
      </c>
      <c r="S198" s="1037" t="s">
        <v>1669</v>
      </c>
      <c r="T198" s="1037" t="s">
        <v>1668</v>
      </c>
      <c r="U198" s="1037" t="s">
        <v>1667</v>
      </c>
      <c r="V198" s="1037" t="s">
        <v>1666</v>
      </c>
      <c r="W198" s="1037" t="s">
        <v>1665</v>
      </c>
      <c r="X198" s="1037" t="s">
        <v>1664</v>
      </c>
      <c r="Y198" s="1037" t="s">
        <v>1663</v>
      </c>
      <c r="Z198" s="1037" t="s">
        <v>1662</v>
      </c>
      <c r="AA198" s="1037" t="s">
        <v>1661</v>
      </c>
      <c r="AB198" s="1037" t="s">
        <v>1660</v>
      </c>
      <c r="AC198" s="1038">
        <v>0.59519999999999995</v>
      </c>
      <c r="AD198" s="1038">
        <v>0.59379999999999999</v>
      </c>
      <c r="AE198" s="1038">
        <v>0.59230000000000005</v>
      </c>
      <c r="AF198" s="1039">
        <v>0.59089999999999998</v>
      </c>
      <c r="AG198" s="1039">
        <f t="shared" si="111"/>
        <v>0.58950000000000002</v>
      </c>
      <c r="AH198" s="1039">
        <f t="shared" si="111"/>
        <v>0.58810000000000007</v>
      </c>
      <c r="AI198" s="1039">
        <f t="shared" si="111"/>
        <v>0.58670000000000011</v>
      </c>
      <c r="AJ198" s="1039">
        <f t="shared" si="111"/>
        <v>0.58530000000000015</v>
      </c>
      <c r="AK198" s="1039">
        <f t="shared" si="111"/>
        <v>0.5839000000000002</v>
      </c>
      <c r="AL198" s="1039">
        <f t="shared" si="111"/>
        <v>0.58250000000000024</v>
      </c>
      <c r="AM198" s="1039">
        <f t="shared" si="111"/>
        <v>0.58110000000000028</v>
      </c>
      <c r="AN198" s="1039">
        <f t="shared" si="106"/>
        <v>0.58070000000000033</v>
      </c>
      <c r="AO198" s="1039">
        <f t="shared" si="106"/>
        <v>0.58030000000000037</v>
      </c>
      <c r="AP198" s="1039">
        <f t="shared" si="106"/>
        <v>0.57990000000000042</v>
      </c>
      <c r="AQ198" s="1039">
        <f t="shared" si="103"/>
        <v>0.57950000000000046</v>
      </c>
      <c r="AR198" s="1039">
        <f t="shared" si="103"/>
        <v>0.5791000000000005</v>
      </c>
      <c r="AS198" s="1039">
        <f t="shared" si="103"/>
        <v>0.57870000000000055</v>
      </c>
      <c r="AT198" s="1039">
        <f t="shared" si="103"/>
        <v>0.57830000000000059</v>
      </c>
      <c r="AU198" s="1039">
        <f t="shared" si="103"/>
        <v>0.57790000000000064</v>
      </c>
      <c r="AV198" s="1039">
        <f t="shared" si="104"/>
        <v>0.57770000000000066</v>
      </c>
      <c r="AW198" s="1039">
        <f t="shared" si="101"/>
        <v>0.57750000000000068</v>
      </c>
      <c r="AX198" s="1039">
        <f t="shared" si="101"/>
        <v>0.5773000000000007</v>
      </c>
      <c r="AY198" s="1039">
        <f t="shared" si="101"/>
        <v>0.57710000000000072</v>
      </c>
      <c r="AZ198" s="1039">
        <f t="shared" si="101"/>
        <v>0.57690000000000075</v>
      </c>
      <c r="BA198" s="1039">
        <f t="shared" si="101"/>
        <v>0.57670000000000077</v>
      </c>
      <c r="BB198" s="1039">
        <f t="shared" si="101"/>
        <v>0.57650000000000079</v>
      </c>
      <c r="BC198" s="1039">
        <f t="shared" si="101"/>
        <v>0.57630000000000081</v>
      </c>
      <c r="BD198" s="1039">
        <f t="shared" si="101"/>
        <v>0.57610000000000083</v>
      </c>
      <c r="BE198" s="1039">
        <v>0.56589999999999996</v>
      </c>
      <c r="BF198" s="1038">
        <v>0.56520000000000004</v>
      </c>
      <c r="BH198" s="970">
        <f t="shared" si="96"/>
        <v>0.56589999999999996</v>
      </c>
      <c r="BI198" s="970"/>
    </row>
    <row r="199" spans="2:61" s="998" customFormat="1" hidden="1">
      <c r="B199" s="1036">
        <v>23</v>
      </c>
      <c r="C199" s="1037" t="s">
        <v>1659</v>
      </c>
      <c r="D199" s="1037" t="s">
        <v>1472</v>
      </c>
      <c r="E199" s="1037" t="s">
        <v>1658</v>
      </c>
      <c r="F199" s="1037" t="s">
        <v>1469</v>
      </c>
      <c r="G199" s="1037" t="s">
        <v>1657</v>
      </c>
      <c r="H199" s="1037" t="s">
        <v>1656</v>
      </c>
      <c r="I199" s="1037" t="s">
        <v>1655</v>
      </c>
      <c r="J199" s="1037" t="s">
        <v>1560</v>
      </c>
      <c r="K199" s="1037" t="s">
        <v>1654</v>
      </c>
      <c r="L199" s="1037" t="s">
        <v>1653</v>
      </c>
      <c r="M199" s="1037" t="s">
        <v>1652</v>
      </c>
      <c r="N199" s="1037" t="s">
        <v>1556</v>
      </c>
      <c r="O199" s="1037" t="s">
        <v>1651</v>
      </c>
      <c r="P199" s="1037" t="s">
        <v>1650</v>
      </c>
      <c r="Q199" s="1037" t="s">
        <v>1649</v>
      </c>
      <c r="R199" s="1037" t="s">
        <v>1648</v>
      </c>
      <c r="S199" s="1037" t="s">
        <v>1647</v>
      </c>
      <c r="T199" s="1037" t="s">
        <v>1646</v>
      </c>
      <c r="U199" s="1037" t="s">
        <v>1645</v>
      </c>
      <c r="V199" s="1037" t="s">
        <v>1644</v>
      </c>
      <c r="W199" s="1037" t="s">
        <v>1643</v>
      </c>
      <c r="X199" s="1037" t="s">
        <v>1642</v>
      </c>
      <c r="Y199" s="1037" t="s">
        <v>1641</v>
      </c>
      <c r="Z199" s="1037" t="s">
        <v>1640</v>
      </c>
      <c r="AA199" s="1037" t="s">
        <v>1639</v>
      </c>
      <c r="AB199" s="1037" t="s">
        <v>1638</v>
      </c>
      <c r="AC199" s="1038">
        <v>0.60160000000000002</v>
      </c>
      <c r="AD199" s="1038">
        <v>0.6</v>
      </c>
      <c r="AE199" s="1038">
        <v>0.59850000000000003</v>
      </c>
      <c r="AF199" s="1039">
        <v>0.59699999999999998</v>
      </c>
      <c r="AG199" s="1039">
        <f t="shared" ref="AG199:AM199" si="112">AF199-0.15%</f>
        <v>0.59550000000000003</v>
      </c>
      <c r="AH199" s="1039">
        <f t="shared" si="112"/>
        <v>0.59400000000000008</v>
      </c>
      <c r="AI199" s="1039">
        <f t="shared" si="112"/>
        <v>0.59250000000000014</v>
      </c>
      <c r="AJ199" s="1039">
        <f t="shared" si="112"/>
        <v>0.59100000000000019</v>
      </c>
      <c r="AK199" s="1039">
        <f t="shared" si="112"/>
        <v>0.58950000000000025</v>
      </c>
      <c r="AL199" s="1039">
        <f t="shared" si="112"/>
        <v>0.5880000000000003</v>
      </c>
      <c r="AM199" s="1039">
        <f t="shared" si="112"/>
        <v>0.58650000000000035</v>
      </c>
      <c r="AN199" s="1039">
        <f t="shared" si="106"/>
        <v>0.5861000000000004</v>
      </c>
      <c r="AO199" s="1039">
        <f t="shared" si="106"/>
        <v>0.58570000000000044</v>
      </c>
      <c r="AP199" s="1039">
        <f t="shared" si="106"/>
        <v>0.58530000000000049</v>
      </c>
      <c r="AQ199" s="1039">
        <f t="shared" si="103"/>
        <v>0.58490000000000053</v>
      </c>
      <c r="AR199" s="1039">
        <f t="shared" si="103"/>
        <v>0.58450000000000057</v>
      </c>
      <c r="AS199" s="1039">
        <f t="shared" si="103"/>
        <v>0.58410000000000062</v>
      </c>
      <c r="AT199" s="1039">
        <f t="shared" si="103"/>
        <v>0.58370000000000066</v>
      </c>
      <c r="AU199" s="1039">
        <f t="shared" si="103"/>
        <v>0.58330000000000071</v>
      </c>
      <c r="AV199" s="1039">
        <f t="shared" ref="AV199:BD199" si="113">AU199-0.04%</f>
        <v>0.58290000000000075</v>
      </c>
      <c r="AW199" s="1039">
        <f t="shared" si="113"/>
        <v>0.58250000000000079</v>
      </c>
      <c r="AX199" s="1039">
        <f t="shared" si="113"/>
        <v>0.58210000000000084</v>
      </c>
      <c r="AY199" s="1039">
        <f t="shared" si="113"/>
        <v>0.58170000000000088</v>
      </c>
      <c r="AZ199" s="1039">
        <f t="shared" si="113"/>
        <v>0.58130000000000093</v>
      </c>
      <c r="BA199" s="1039">
        <f t="shared" si="113"/>
        <v>0.58090000000000097</v>
      </c>
      <c r="BB199" s="1039">
        <f t="shared" si="113"/>
        <v>0.58050000000000102</v>
      </c>
      <c r="BC199" s="1039">
        <f t="shared" si="113"/>
        <v>0.58010000000000106</v>
      </c>
      <c r="BD199" s="1039">
        <f t="shared" si="113"/>
        <v>0.5797000000000011</v>
      </c>
      <c r="BE199" s="1039">
        <v>0.57030000000000003</v>
      </c>
      <c r="BF199" s="1038">
        <v>0.5696</v>
      </c>
      <c r="BH199" s="970">
        <f t="shared" si="96"/>
        <v>0.57030000000000003</v>
      </c>
      <c r="BI199" s="970"/>
    </row>
    <row r="200" spans="2:61" s="998" customFormat="1" hidden="1">
      <c r="B200" s="1036">
        <v>24</v>
      </c>
      <c r="C200" s="1037" t="s">
        <v>1637</v>
      </c>
      <c r="D200" s="1037" t="s">
        <v>1636</v>
      </c>
      <c r="E200" s="1037" t="s">
        <v>1635</v>
      </c>
      <c r="F200" s="1037" t="s">
        <v>159</v>
      </c>
      <c r="G200" s="1037" t="s">
        <v>1634</v>
      </c>
      <c r="H200" s="1037" t="s">
        <v>1633</v>
      </c>
      <c r="I200" s="1037" t="s">
        <v>1632</v>
      </c>
      <c r="J200" s="1037" t="s">
        <v>1631</v>
      </c>
      <c r="K200" s="1037" t="s">
        <v>1630</v>
      </c>
      <c r="L200" s="1037" t="s">
        <v>1629</v>
      </c>
      <c r="M200" s="1037" t="s">
        <v>1628</v>
      </c>
      <c r="N200" s="1037" t="s">
        <v>1627</v>
      </c>
      <c r="O200" s="1037" t="s">
        <v>1626</v>
      </c>
      <c r="P200" s="1037" t="s">
        <v>1625</v>
      </c>
      <c r="Q200" s="1037" t="s">
        <v>1556</v>
      </c>
      <c r="R200" s="1037" t="s">
        <v>1624</v>
      </c>
      <c r="S200" s="1037" t="s">
        <v>1623</v>
      </c>
      <c r="T200" s="1037" t="s">
        <v>1622</v>
      </c>
      <c r="U200" s="1037" t="s">
        <v>1621</v>
      </c>
      <c r="V200" s="1037" t="s">
        <v>1620</v>
      </c>
      <c r="W200" s="1037" t="s">
        <v>1619</v>
      </c>
      <c r="X200" s="1037" t="s">
        <v>1618</v>
      </c>
      <c r="Y200" s="1037" t="s">
        <v>1617</v>
      </c>
      <c r="Z200" s="1037" t="s">
        <v>1616</v>
      </c>
      <c r="AA200" s="1037" t="s">
        <v>1615</v>
      </c>
      <c r="AB200" s="1037" t="s">
        <v>1614</v>
      </c>
      <c r="AC200" s="1038">
        <v>0.6079</v>
      </c>
      <c r="AD200" s="1038">
        <v>0.60629999999999995</v>
      </c>
      <c r="AE200" s="1038">
        <v>0.60460000000000003</v>
      </c>
      <c r="AF200" s="1039">
        <v>0.60299999999999998</v>
      </c>
      <c r="AG200" s="1039">
        <f t="shared" ref="AG200:AM200" si="114">AF200-0.16%</f>
        <v>0.60139999999999993</v>
      </c>
      <c r="AH200" s="1039">
        <f t="shared" si="114"/>
        <v>0.59979999999999989</v>
      </c>
      <c r="AI200" s="1039">
        <f t="shared" si="114"/>
        <v>0.59819999999999984</v>
      </c>
      <c r="AJ200" s="1039">
        <f t="shared" si="114"/>
        <v>0.5965999999999998</v>
      </c>
      <c r="AK200" s="1039">
        <f t="shared" si="114"/>
        <v>0.59499999999999975</v>
      </c>
      <c r="AL200" s="1039">
        <f t="shared" si="114"/>
        <v>0.59339999999999971</v>
      </c>
      <c r="AM200" s="1039">
        <f t="shared" si="114"/>
        <v>0.59179999999999966</v>
      </c>
      <c r="AN200" s="1039">
        <f t="shared" si="106"/>
        <v>0.5913999999999997</v>
      </c>
      <c r="AO200" s="1039">
        <f t="shared" si="106"/>
        <v>0.59099999999999975</v>
      </c>
      <c r="AP200" s="1039">
        <f t="shared" si="106"/>
        <v>0.59059999999999979</v>
      </c>
      <c r="AQ200" s="1039">
        <f t="shared" ref="AQ200:AU207" si="115">AP200-0.04%</f>
        <v>0.59019999999999984</v>
      </c>
      <c r="AR200" s="1039">
        <f t="shared" si="115"/>
        <v>0.58979999999999988</v>
      </c>
      <c r="AS200" s="1039">
        <f t="shared" si="115"/>
        <v>0.58939999999999992</v>
      </c>
      <c r="AT200" s="1039">
        <f t="shared" si="115"/>
        <v>0.58899999999999997</v>
      </c>
      <c r="AU200" s="1039">
        <f t="shared" si="115"/>
        <v>0.58860000000000001</v>
      </c>
      <c r="AV200" s="1039">
        <f t="shared" ref="AV200:BD200" si="116">AU200-0.04%</f>
        <v>0.58820000000000006</v>
      </c>
      <c r="AW200" s="1039">
        <f t="shared" si="116"/>
        <v>0.5878000000000001</v>
      </c>
      <c r="AX200" s="1039">
        <f t="shared" si="116"/>
        <v>0.58740000000000014</v>
      </c>
      <c r="AY200" s="1039">
        <f t="shared" si="116"/>
        <v>0.58700000000000019</v>
      </c>
      <c r="AZ200" s="1039">
        <f t="shared" si="116"/>
        <v>0.58660000000000023</v>
      </c>
      <c r="BA200" s="1039">
        <f t="shared" si="116"/>
        <v>0.58620000000000028</v>
      </c>
      <c r="BB200" s="1039">
        <f t="shared" si="116"/>
        <v>0.58580000000000032</v>
      </c>
      <c r="BC200" s="1039">
        <f t="shared" si="116"/>
        <v>0.58540000000000036</v>
      </c>
      <c r="BD200" s="1039">
        <f t="shared" si="116"/>
        <v>0.58500000000000041</v>
      </c>
      <c r="BE200" s="1039">
        <v>0.57469999999999999</v>
      </c>
      <c r="BF200" s="1038">
        <v>0.57389999999999997</v>
      </c>
      <c r="BH200" s="970">
        <f t="shared" si="96"/>
        <v>0.57469999999999999</v>
      </c>
      <c r="BI200" s="970"/>
    </row>
    <row r="201" spans="2:61" s="998" customFormat="1" hidden="1">
      <c r="B201" s="1036">
        <v>25</v>
      </c>
      <c r="C201" s="1037" t="s">
        <v>1613</v>
      </c>
      <c r="D201" s="1037" t="s">
        <v>1405</v>
      </c>
      <c r="E201" s="1037" t="s">
        <v>1477</v>
      </c>
      <c r="F201" s="1037" t="s">
        <v>155</v>
      </c>
      <c r="G201" s="1037" t="s">
        <v>1612</v>
      </c>
      <c r="H201" s="1037" t="s">
        <v>1473</v>
      </c>
      <c r="I201" s="1037" t="s">
        <v>1611</v>
      </c>
      <c r="J201" s="1037" t="s">
        <v>1610</v>
      </c>
      <c r="K201" s="1037" t="s">
        <v>1469</v>
      </c>
      <c r="L201" s="1037" t="s">
        <v>1609</v>
      </c>
      <c r="M201" s="1037" t="s">
        <v>1608</v>
      </c>
      <c r="N201" s="1037" t="s">
        <v>167</v>
      </c>
      <c r="O201" s="1037" t="s">
        <v>1607</v>
      </c>
      <c r="P201" s="1037" t="s">
        <v>1606</v>
      </c>
      <c r="Q201" s="1037" t="s">
        <v>1605</v>
      </c>
      <c r="R201" s="1037" t="s">
        <v>1604</v>
      </c>
      <c r="S201" s="1037" t="s">
        <v>1603</v>
      </c>
      <c r="T201" s="1037" t="s">
        <v>1556</v>
      </c>
      <c r="U201" s="1037" t="s">
        <v>1602</v>
      </c>
      <c r="V201" s="1037" t="s">
        <v>1601</v>
      </c>
      <c r="W201" s="1037" t="s">
        <v>1600</v>
      </c>
      <c r="X201" s="1037" t="s">
        <v>1599</v>
      </c>
      <c r="Y201" s="1037" t="s">
        <v>1598</v>
      </c>
      <c r="Z201" s="1037" t="s">
        <v>156</v>
      </c>
      <c r="AA201" s="1037" t="s">
        <v>1597</v>
      </c>
      <c r="AB201" s="1037" t="s">
        <v>1596</v>
      </c>
      <c r="AC201" s="1038">
        <v>0.61429999999999996</v>
      </c>
      <c r="AD201" s="1038">
        <v>0.61350000000000005</v>
      </c>
      <c r="AE201" s="1038">
        <v>0.61080000000000001</v>
      </c>
      <c r="AF201" s="1039">
        <v>0.60909999999999997</v>
      </c>
      <c r="AG201" s="1039">
        <f t="shared" ref="AG201:AM202" si="117">AF201-0.17%</f>
        <v>0.60739999999999994</v>
      </c>
      <c r="AH201" s="1039">
        <f t="shared" si="117"/>
        <v>0.60569999999999991</v>
      </c>
      <c r="AI201" s="1039">
        <f t="shared" si="117"/>
        <v>0.60399999999999987</v>
      </c>
      <c r="AJ201" s="1039">
        <f t="shared" si="117"/>
        <v>0.60229999999999984</v>
      </c>
      <c r="AK201" s="1039">
        <f t="shared" si="117"/>
        <v>0.6005999999999998</v>
      </c>
      <c r="AL201" s="1039">
        <f t="shared" si="117"/>
        <v>0.59889999999999977</v>
      </c>
      <c r="AM201" s="1039">
        <f t="shared" si="117"/>
        <v>0.59719999999999973</v>
      </c>
      <c r="AN201" s="1039">
        <f t="shared" si="106"/>
        <v>0.59679999999999978</v>
      </c>
      <c r="AO201" s="1039">
        <f t="shared" si="106"/>
        <v>0.59639999999999982</v>
      </c>
      <c r="AP201" s="1039">
        <f t="shared" si="106"/>
        <v>0.59599999999999986</v>
      </c>
      <c r="AQ201" s="1039">
        <f t="shared" si="115"/>
        <v>0.59559999999999991</v>
      </c>
      <c r="AR201" s="1039">
        <f t="shared" si="115"/>
        <v>0.59519999999999995</v>
      </c>
      <c r="AS201" s="1039">
        <f t="shared" si="115"/>
        <v>0.5948</v>
      </c>
      <c r="AT201" s="1039">
        <f t="shared" si="115"/>
        <v>0.59440000000000004</v>
      </c>
      <c r="AU201" s="1039">
        <f t="shared" si="115"/>
        <v>0.59400000000000008</v>
      </c>
      <c r="AV201" s="1039">
        <f t="shared" ref="AV201:BD201" si="118">AU201-0.04%</f>
        <v>0.59360000000000013</v>
      </c>
      <c r="AW201" s="1039">
        <f t="shared" si="118"/>
        <v>0.59320000000000017</v>
      </c>
      <c r="AX201" s="1039">
        <f t="shared" si="118"/>
        <v>0.59280000000000022</v>
      </c>
      <c r="AY201" s="1039">
        <f t="shared" si="118"/>
        <v>0.59240000000000026</v>
      </c>
      <c r="AZ201" s="1039">
        <f t="shared" si="118"/>
        <v>0.5920000000000003</v>
      </c>
      <c r="BA201" s="1039">
        <f t="shared" si="118"/>
        <v>0.59160000000000035</v>
      </c>
      <c r="BB201" s="1039">
        <f t="shared" si="118"/>
        <v>0.59120000000000039</v>
      </c>
      <c r="BC201" s="1039">
        <f t="shared" si="118"/>
        <v>0.59080000000000044</v>
      </c>
      <c r="BD201" s="1039">
        <f t="shared" si="118"/>
        <v>0.59040000000000048</v>
      </c>
      <c r="BE201" s="1039">
        <v>0.57909999999999995</v>
      </c>
      <c r="BF201" s="1038">
        <v>0.57830000000000004</v>
      </c>
      <c r="BH201" s="970">
        <f t="shared" si="96"/>
        <v>0.57909999999999995</v>
      </c>
      <c r="BI201" s="970"/>
    </row>
    <row r="202" spans="2:61" s="998" customFormat="1" hidden="1">
      <c r="B202" s="1036">
        <v>26</v>
      </c>
      <c r="C202" s="1037" t="s">
        <v>1595</v>
      </c>
      <c r="D202" s="1037" t="s">
        <v>1315</v>
      </c>
      <c r="E202" s="1037" t="s">
        <v>1594</v>
      </c>
      <c r="F202" s="1037">
        <v>0.69</v>
      </c>
      <c r="G202" s="1037" t="s">
        <v>1593</v>
      </c>
      <c r="H202" s="1037" t="s">
        <v>1592</v>
      </c>
      <c r="I202" s="1037" t="s">
        <v>1591</v>
      </c>
      <c r="J202" s="1037" t="s">
        <v>1590</v>
      </c>
      <c r="K202" s="1037" t="s">
        <v>1589</v>
      </c>
      <c r="L202" s="1037" t="s">
        <v>1588</v>
      </c>
      <c r="M202" s="1037" t="s">
        <v>1587</v>
      </c>
      <c r="N202" s="1037" t="s">
        <v>1586</v>
      </c>
      <c r="O202" s="1037" t="s">
        <v>1585</v>
      </c>
      <c r="P202" s="1037" t="s">
        <v>1584</v>
      </c>
      <c r="Q202" s="1037" t="s">
        <v>1583</v>
      </c>
      <c r="R202" s="1037" t="s">
        <v>1582</v>
      </c>
      <c r="S202" s="1037" t="s">
        <v>1581</v>
      </c>
      <c r="T202" s="1037" t="s">
        <v>1580</v>
      </c>
      <c r="U202" s="1037" t="s">
        <v>1579</v>
      </c>
      <c r="V202" s="1037" t="s">
        <v>1578</v>
      </c>
      <c r="W202" s="1037" t="s">
        <v>1556</v>
      </c>
      <c r="X202" s="1037" t="s">
        <v>1577</v>
      </c>
      <c r="Y202" s="1037" t="s">
        <v>1576</v>
      </c>
      <c r="Z202" s="1037" t="s">
        <v>1575</v>
      </c>
      <c r="AA202" s="1037" t="s">
        <v>1574</v>
      </c>
      <c r="AB202" s="1037" t="s">
        <v>1573</v>
      </c>
      <c r="AC202" s="1038">
        <v>0.62060000000000004</v>
      </c>
      <c r="AD202" s="1038">
        <v>0.61880000000000002</v>
      </c>
      <c r="AE202" s="1038">
        <v>0.6169</v>
      </c>
      <c r="AF202" s="1039">
        <v>0.61519999999999997</v>
      </c>
      <c r="AG202" s="1039">
        <f t="shared" si="117"/>
        <v>0.61349999999999993</v>
      </c>
      <c r="AH202" s="1039">
        <f t="shared" si="117"/>
        <v>0.6117999999999999</v>
      </c>
      <c r="AI202" s="1039">
        <f t="shared" si="117"/>
        <v>0.61009999999999986</v>
      </c>
      <c r="AJ202" s="1039">
        <f t="shared" si="117"/>
        <v>0.60839999999999983</v>
      </c>
      <c r="AK202" s="1039">
        <f t="shared" si="117"/>
        <v>0.6066999999999998</v>
      </c>
      <c r="AL202" s="1039">
        <f t="shared" si="117"/>
        <v>0.60499999999999976</v>
      </c>
      <c r="AM202" s="1039">
        <f t="shared" si="117"/>
        <v>0.60329999999999973</v>
      </c>
      <c r="AN202" s="1039">
        <f t="shared" si="106"/>
        <v>0.60289999999999977</v>
      </c>
      <c r="AO202" s="1039">
        <f t="shared" si="106"/>
        <v>0.60249999999999981</v>
      </c>
      <c r="AP202" s="1039">
        <f t="shared" si="106"/>
        <v>0.60209999999999986</v>
      </c>
      <c r="AQ202" s="1039">
        <f t="shared" si="115"/>
        <v>0.6016999999999999</v>
      </c>
      <c r="AR202" s="1039">
        <f t="shared" si="115"/>
        <v>0.60129999999999995</v>
      </c>
      <c r="AS202" s="1039">
        <f t="shared" si="115"/>
        <v>0.60089999999999999</v>
      </c>
      <c r="AT202" s="1039">
        <f t="shared" si="115"/>
        <v>0.60050000000000003</v>
      </c>
      <c r="AU202" s="1039">
        <f t="shared" si="115"/>
        <v>0.60010000000000008</v>
      </c>
      <c r="AV202" s="1039">
        <f t="shared" ref="AV202:BD202" si="119">AU202-0.04%</f>
        <v>0.59970000000000012</v>
      </c>
      <c r="AW202" s="1039">
        <f t="shared" si="119"/>
        <v>0.59930000000000017</v>
      </c>
      <c r="AX202" s="1039">
        <f t="shared" si="119"/>
        <v>0.59890000000000021</v>
      </c>
      <c r="AY202" s="1039">
        <f t="shared" si="119"/>
        <v>0.59850000000000025</v>
      </c>
      <c r="AZ202" s="1039">
        <f t="shared" si="119"/>
        <v>0.5981000000000003</v>
      </c>
      <c r="BA202" s="1039">
        <f t="shared" si="119"/>
        <v>0.59770000000000034</v>
      </c>
      <c r="BB202" s="1039">
        <f t="shared" si="119"/>
        <v>0.59730000000000039</v>
      </c>
      <c r="BC202" s="1039">
        <f t="shared" si="119"/>
        <v>0.59690000000000043</v>
      </c>
      <c r="BD202" s="1039">
        <f t="shared" si="119"/>
        <v>0.59650000000000047</v>
      </c>
      <c r="BE202" s="1039">
        <v>0.58350000000000002</v>
      </c>
      <c r="BF202" s="1038">
        <v>0.58260000000000001</v>
      </c>
      <c r="BH202" s="970">
        <f t="shared" si="96"/>
        <v>0.58350000000000002</v>
      </c>
      <c r="BI202" s="970"/>
    </row>
    <row r="203" spans="2:61" s="998" customFormat="1" hidden="1">
      <c r="B203" s="1036">
        <v>27</v>
      </c>
      <c r="C203" s="1037" t="s">
        <v>1572</v>
      </c>
      <c r="D203" s="1037" t="s">
        <v>1345</v>
      </c>
      <c r="E203" s="1037" t="s">
        <v>1571</v>
      </c>
      <c r="F203" s="1037" t="s">
        <v>1315</v>
      </c>
      <c r="G203" s="1037" t="s">
        <v>1570</v>
      </c>
      <c r="H203" s="1037" t="s">
        <v>1569</v>
      </c>
      <c r="I203" s="1037" t="s">
        <v>1568</v>
      </c>
      <c r="J203" s="1037" t="s">
        <v>1451</v>
      </c>
      <c r="K203" s="1037" t="s">
        <v>1475</v>
      </c>
      <c r="L203" s="1037" t="s">
        <v>1567</v>
      </c>
      <c r="M203" s="1037" t="s">
        <v>1566</v>
      </c>
      <c r="N203" s="1037" t="s">
        <v>1446</v>
      </c>
      <c r="O203" s="1037" t="s">
        <v>1565</v>
      </c>
      <c r="P203" s="1037" t="s">
        <v>1469</v>
      </c>
      <c r="Q203" s="1037" t="s">
        <v>1564</v>
      </c>
      <c r="R203" s="1037" t="s">
        <v>1563</v>
      </c>
      <c r="S203" s="1037" t="s">
        <v>1562</v>
      </c>
      <c r="T203" s="1037" t="s">
        <v>1561</v>
      </c>
      <c r="U203" s="1037" t="s">
        <v>1560</v>
      </c>
      <c r="V203" s="1037" t="s">
        <v>1559</v>
      </c>
      <c r="W203" s="1037" t="s">
        <v>1558</v>
      </c>
      <c r="X203" s="1037" t="s">
        <v>1557</v>
      </c>
      <c r="Y203" s="1037" t="s">
        <v>173</v>
      </c>
      <c r="Z203" s="1037" t="s">
        <v>1556</v>
      </c>
      <c r="AA203" s="1037" t="s">
        <v>1555</v>
      </c>
      <c r="AB203" s="1037" t="s">
        <v>1554</v>
      </c>
      <c r="AC203" s="1038">
        <v>0.627</v>
      </c>
      <c r="AD203" s="1038">
        <v>0.625</v>
      </c>
      <c r="AE203" s="1038">
        <v>0.62309999999999999</v>
      </c>
      <c r="AF203" s="1039">
        <v>0.62119999999999997</v>
      </c>
      <c r="AG203" s="1039">
        <f t="shared" ref="AG203:AM204" si="120">AF203-0.19%</f>
        <v>0.61929999999999996</v>
      </c>
      <c r="AH203" s="1039">
        <f t="shared" si="120"/>
        <v>0.61739999999999995</v>
      </c>
      <c r="AI203" s="1039">
        <f t="shared" si="120"/>
        <v>0.61549999999999994</v>
      </c>
      <c r="AJ203" s="1039">
        <f t="shared" si="120"/>
        <v>0.61359999999999992</v>
      </c>
      <c r="AK203" s="1039">
        <f t="shared" si="120"/>
        <v>0.61169999999999991</v>
      </c>
      <c r="AL203" s="1039">
        <f t="shared" si="120"/>
        <v>0.6097999999999999</v>
      </c>
      <c r="AM203" s="1039">
        <f t="shared" si="120"/>
        <v>0.60789999999999988</v>
      </c>
      <c r="AN203" s="1039">
        <f t="shared" si="106"/>
        <v>0.60749999999999993</v>
      </c>
      <c r="AO203" s="1039">
        <f t="shared" si="106"/>
        <v>0.60709999999999997</v>
      </c>
      <c r="AP203" s="1039">
        <f t="shared" si="106"/>
        <v>0.60670000000000002</v>
      </c>
      <c r="AQ203" s="1039">
        <f t="shared" si="115"/>
        <v>0.60630000000000006</v>
      </c>
      <c r="AR203" s="1039">
        <f t="shared" si="115"/>
        <v>0.60590000000000011</v>
      </c>
      <c r="AS203" s="1039">
        <f t="shared" si="115"/>
        <v>0.60550000000000015</v>
      </c>
      <c r="AT203" s="1039">
        <f t="shared" si="115"/>
        <v>0.60510000000000019</v>
      </c>
      <c r="AU203" s="1039">
        <f t="shared" si="115"/>
        <v>0.60470000000000024</v>
      </c>
      <c r="AV203" s="1039">
        <f t="shared" ref="AV203:BD203" si="121">AU203-0.05%</f>
        <v>0.60420000000000029</v>
      </c>
      <c r="AW203" s="1039">
        <f t="shared" si="121"/>
        <v>0.60370000000000035</v>
      </c>
      <c r="AX203" s="1039">
        <f t="shared" si="121"/>
        <v>0.6032000000000004</v>
      </c>
      <c r="AY203" s="1039">
        <f t="shared" si="121"/>
        <v>0.60270000000000046</v>
      </c>
      <c r="AZ203" s="1039">
        <f t="shared" si="121"/>
        <v>0.60220000000000051</v>
      </c>
      <c r="BA203" s="1039">
        <f t="shared" si="121"/>
        <v>0.60170000000000057</v>
      </c>
      <c r="BB203" s="1039">
        <f t="shared" si="121"/>
        <v>0.60120000000000062</v>
      </c>
      <c r="BC203" s="1039">
        <f t="shared" si="121"/>
        <v>0.60070000000000068</v>
      </c>
      <c r="BD203" s="1039">
        <f t="shared" si="121"/>
        <v>0.60020000000000073</v>
      </c>
      <c r="BE203" s="1039">
        <v>0.58789999999999998</v>
      </c>
      <c r="BF203" s="1038">
        <v>0.58699999999999997</v>
      </c>
      <c r="BH203" s="970">
        <f t="shared" si="96"/>
        <v>0.58789999999999998</v>
      </c>
      <c r="BI203" s="970"/>
    </row>
    <row r="204" spans="2:61" s="998" customFormat="1" hidden="1">
      <c r="B204" s="1036">
        <v>28</v>
      </c>
      <c r="C204" s="1037" t="s">
        <v>1553</v>
      </c>
      <c r="D204" s="1037" t="s">
        <v>1552</v>
      </c>
      <c r="E204" s="1037" t="s">
        <v>1391</v>
      </c>
      <c r="F204" s="1037" t="s">
        <v>1551</v>
      </c>
      <c r="G204" s="1037" t="s">
        <v>1550</v>
      </c>
      <c r="H204" s="1037" t="s">
        <v>1315</v>
      </c>
      <c r="I204" s="1037" t="s">
        <v>1549</v>
      </c>
      <c r="J204" s="1037" t="s">
        <v>1548</v>
      </c>
      <c r="K204" s="1037" t="s">
        <v>1385</v>
      </c>
      <c r="L204" s="1037" t="s">
        <v>1547</v>
      </c>
      <c r="M204" s="1037" t="s">
        <v>1546</v>
      </c>
      <c r="N204" s="1037" t="s">
        <v>1545</v>
      </c>
      <c r="O204" s="1037" t="s">
        <v>1473</v>
      </c>
      <c r="P204" s="1037" t="s">
        <v>1544</v>
      </c>
      <c r="Q204" s="1037" t="s">
        <v>1543</v>
      </c>
      <c r="R204" s="1037" t="s">
        <v>1542</v>
      </c>
      <c r="S204" s="1037" t="s">
        <v>1541</v>
      </c>
      <c r="T204" s="1037" t="s">
        <v>1540</v>
      </c>
      <c r="U204" s="1037" t="s">
        <v>1539</v>
      </c>
      <c r="V204" s="1037" t="s">
        <v>167</v>
      </c>
      <c r="W204" s="1037" t="s">
        <v>1538</v>
      </c>
      <c r="X204" s="1037" t="s">
        <v>1537</v>
      </c>
      <c r="Y204" s="1037" t="s">
        <v>1536</v>
      </c>
      <c r="Z204" s="1037" t="s">
        <v>1535</v>
      </c>
      <c r="AA204" s="1037" t="s">
        <v>1534</v>
      </c>
      <c r="AB204" s="1037" t="s">
        <v>1533</v>
      </c>
      <c r="AC204" s="1038">
        <v>0.63329999999999997</v>
      </c>
      <c r="AD204" s="1038">
        <v>0.63129999999999997</v>
      </c>
      <c r="AE204" s="1038">
        <v>0.62919999999999998</v>
      </c>
      <c r="AF204" s="1039">
        <v>0.62729999999999997</v>
      </c>
      <c r="AG204" s="1039">
        <f t="shared" si="120"/>
        <v>0.62539999999999996</v>
      </c>
      <c r="AH204" s="1039">
        <f t="shared" si="120"/>
        <v>0.62349999999999994</v>
      </c>
      <c r="AI204" s="1039">
        <f t="shared" si="120"/>
        <v>0.62159999999999993</v>
      </c>
      <c r="AJ204" s="1039">
        <f t="shared" si="120"/>
        <v>0.61969999999999992</v>
      </c>
      <c r="AK204" s="1039">
        <f t="shared" si="120"/>
        <v>0.6177999999999999</v>
      </c>
      <c r="AL204" s="1039">
        <f t="shared" si="120"/>
        <v>0.61589999999999989</v>
      </c>
      <c r="AM204" s="1039">
        <f t="shared" si="120"/>
        <v>0.61399999999999988</v>
      </c>
      <c r="AN204" s="1039">
        <f t="shared" si="106"/>
        <v>0.61359999999999992</v>
      </c>
      <c r="AO204" s="1039">
        <f t="shared" si="106"/>
        <v>0.61319999999999997</v>
      </c>
      <c r="AP204" s="1039">
        <f t="shared" si="106"/>
        <v>0.61280000000000001</v>
      </c>
      <c r="AQ204" s="1039">
        <f t="shared" si="115"/>
        <v>0.61240000000000006</v>
      </c>
      <c r="AR204" s="1039">
        <f t="shared" si="115"/>
        <v>0.6120000000000001</v>
      </c>
      <c r="AS204" s="1039">
        <f t="shared" si="115"/>
        <v>0.61160000000000014</v>
      </c>
      <c r="AT204" s="1039">
        <f t="shared" si="115"/>
        <v>0.61120000000000019</v>
      </c>
      <c r="AU204" s="1039">
        <f t="shared" si="115"/>
        <v>0.61080000000000023</v>
      </c>
      <c r="AV204" s="1039">
        <f t="shared" ref="AV204:BD204" si="122">AU204-0.06%</f>
        <v>0.61020000000000019</v>
      </c>
      <c r="AW204" s="1039">
        <f t="shared" si="122"/>
        <v>0.60960000000000014</v>
      </c>
      <c r="AX204" s="1039">
        <f t="shared" si="122"/>
        <v>0.6090000000000001</v>
      </c>
      <c r="AY204" s="1039">
        <f t="shared" si="122"/>
        <v>0.60840000000000005</v>
      </c>
      <c r="AZ204" s="1039">
        <f t="shared" si="122"/>
        <v>0.60780000000000001</v>
      </c>
      <c r="BA204" s="1039">
        <f t="shared" si="122"/>
        <v>0.60719999999999996</v>
      </c>
      <c r="BB204" s="1039">
        <f t="shared" si="122"/>
        <v>0.60659999999999992</v>
      </c>
      <c r="BC204" s="1039">
        <f t="shared" si="122"/>
        <v>0.60599999999999987</v>
      </c>
      <c r="BD204" s="1039">
        <f t="shared" si="122"/>
        <v>0.60539999999999983</v>
      </c>
      <c r="BE204" s="1039">
        <v>0.59230000000000005</v>
      </c>
      <c r="BF204" s="1038">
        <v>0.59130000000000005</v>
      </c>
      <c r="BH204" s="970">
        <f t="shared" si="96"/>
        <v>0.59230000000000005</v>
      </c>
      <c r="BI204" s="970"/>
    </row>
    <row r="205" spans="2:61" s="998" customFormat="1" hidden="1">
      <c r="B205" s="1036">
        <v>29</v>
      </c>
      <c r="C205" s="1037" t="s">
        <v>1532</v>
      </c>
      <c r="D205" s="1037" t="s">
        <v>1279</v>
      </c>
      <c r="E205" s="1037" t="s">
        <v>1531</v>
      </c>
      <c r="F205" s="1037" t="s">
        <v>1276</v>
      </c>
      <c r="G205" s="1037" t="s">
        <v>1530</v>
      </c>
      <c r="H205" s="1037" t="s">
        <v>1529</v>
      </c>
      <c r="I205" s="1037" t="s">
        <v>1528</v>
      </c>
      <c r="J205" s="1037" t="s">
        <v>1315</v>
      </c>
      <c r="K205" s="1037" t="s">
        <v>1527</v>
      </c>
      <c r="L205" s="1037" t="s">
        <v>1526</v>
      </c>
      <c r="M205" s="1037" t="s">
        <v>1525</v>
      </c>
      <c r="N205" s="1037" t="s">
        <v>1524</v>
      </c>
      <c r="O205" s="1037" t="s">
        <v>1523</v>
      </c>
      <c r="P205" s="1037" t="s">
        <v>1522</v>
      </c>
      <c r="Q205" s="1037" t="s">
        <v>1521</v>
      </c>
      <c r="R205" s="1037" t="s">
        <v>1520</v>
      </c>
      <c r="S205" s="1037" t="s">
        <v>1519</v>
      </c>
      <c r="T205" s="1037" t="s">
        <v>1518</v>
      </c>
      <c r="U205" s="1037" t="s">
        <v>1469</v>
      </c>
      <c r="V205" s="1037" t="s">
        <v>1517</v>
      </c>
      <c r="W205" s="1037" t="s">
        <v>1516</v>
      </c>
      <c r="X205" s="1037" t="s">
        <v>1515</v>
      </c>
      <c r="Y205" s="1037" t="s">
        <v>1514</v>
      </c>
      <c r="Z205" s="1037" t="s">
        <v>1513</v>
      </c>
      <c r="AA205" s="1037" t="s">
        <v>1512</v>
      </c>
      <c r="AB205" s="1037" t="s">
        <v>1511</v>
      </c>
      <c r="AC205" s="1038">
        <v>0.63970000000000005</v>
      </c>
      <c r="AD205" s="1038">
        <v>0.63749999999999996</v>
      </c>
      <c r="AE205" s="1038">
        <v>0.63539999999999996</v>
      </c>
      <c r="AF205" s="1039">
        <v>0.63329999999999997</v>
      </c>
      <c r="AG205" s="1039">
        <f t="shared" ref="AG205:AM206" si="123">AF205-0.21%</f>
        <v>0.63119999999999998</v>
      </c>
      <c r="AH205" s="1039">
        <f t="shared" si="123"/>
        <v>0.62909999999999999</v>
      </c>
      <c r="AI205" s="1039">
        <f t="shared" si="123"/>
        <v>0.627</v>
      </c>
      <c r="AJ205" s="1039">
        <f t="shared" si="123"/>
        <v>0.62490000000000001</v>
      </c>
      <c r="AK205" s="1039">
        <f t="shared" si="123"/>
        <v>0.62280000000000002</v>
      </c>
      <c r="AL205" s="1039">
        <f t="shared" si="123"/>
        <v>0.62070000000000003</v>
      </c>
      <c r="AM205" s="1039">
        <f t="shared" si="123"/>
        <v>0.61860000000000004</v>
      </c>
      <c r="AN205" s="1039">
        <f t="shared" si="106"/>
        <v>0.61820000000000008</v>
      </c>
      <c r="AO205" s="1039">
        <f t="shared" si="106"/>
        <v>0.61780000000000013</v>
      </c>
      <c r="AP205" s="1039">
        <f t="shared" si="106"/>
        <v>0.61740000000000017</v>
      </c>
      <c r="AQ205" s="1039">
        <f t="shared" si="115"/>
        <v>0.61700000000000021</v>
      </c>
      <c r="AR205" s="1039">
        <f t="shared" si="115"/>
        <v>0.61660000000000026</v>
      </c>
      <c r="AS205" s="1039">
        <f t="shared" si="115"/>
        <v>0.6162000000000003</v>
      </c>
      <c r="AT205" s="1039">
        <f t="shared" si="115"/>
        <v>0.61580000000000035</v>
      </c>
      <c r="AU205" s="1039">
        <f t="shared" si="115"/>
        <v>0.61540000000000039</v>
      </c>
      <c r="AV205" s="1039">
        <f t="shared" ref="AV205:BD205" si="124">AU205-0.07%</f>
        <v>0.61470000000000036</v>
      </c>
      <c r="AW205" s="1039">
        <f t="shared" si="124"/>
        <v>0.61400000000000032</v>
      </c>
      <c r="AX205" s="1039">
        <f t="shared" si="124"/>
        <v>0.61330000000000029</v>
      </c>
      <c r="AY205" s="1039">
        <f t="shared" si="124"/>
        <v>0.61260000000000026</v>
      </c>
      <c r="AZ205" s="1039">
        <f t="shared" si="124"/>
        <v>0.61190000000000022</v>
      </c>
      <c r="BA205" s="1039">
        <f t="shared" si="124"/>
        <v>0.61120000000000019</v>
      </c>
      <c r="BB205" s="1039">
        <f t="shared" si="124"/>
        <v>0.61050000000000015</v>
      </c>
      <c r="BC205" s="1039">
        <f t="shared" si="124"/>
        <v>0.60980000000000012</v>
      </c>
      <c r="BD205" s="1039">
        <f t="shared" si="124"/>
        <v>0.60910000000000009</v>
      </c>
      <c r="BE205" s="1039">
        <v>0.59670000000000001</v>
      </c>
      <c r="BF205" s="1038">
        <v>0.59570000000000001</v>
      </c>
      <c r="BH205" s="970">
        <f t="shared" si="96"/>
        <v>0.59670000000000001</v>
      </c>
      <c r="BI205" s="970"/>
    </row>
    <row r="206" spans="2:61" s="998" customFormat="1" hidden="1">
      <c r="B206" s="1036">
        <v>30</v>
      </c>
      <c r="C206" s="1037" t="s">
        <v>1510</v>
      </c>
      <c r="D206" s="1037" t="s">
        <v>1509</v>
      </c>
      <c r="E206" s="1037" t="s">
        <v>1508</v>
      </c>
      <c r="F206" s="1037" t="s">
        <v>1507</v>
      </c>
      <c r="G206" s="1037" t="s">
        <v>1506</v>
      </c>
      <c r="H206" s="1037" t="s">
        <v>1505</v>
      </c>
      <c r="I206" s="1037" t="s">
        <v>1504</v>
      </c>
      <c r="J206" s="1037" t="s">
        <v>1503</v>
      </c>
      <c r="K206" s="1037" t="s">
        <v>1502</v>
      </c>
      <c r="L206" s="1037" t="s">
        <v>1315</v>
      </c>
      <c r="M206" s="1037" t="s">
        <v>1501</v>
      </c>
      <c r="N206" s="1037" t="s">
        <v>1500</v>
      </c>
      <c r="O206" s="1037" t="s">
        <v>1499</v>
      </c>
      <c r="P206" s="1037" t="s">
        <v>1498</v>
      </c>
      <c r="Q206" s="1037" t="s">
        <v>1497</v>
      </c>
      <c r="R206" s="1037" t="s">
        <v>1496</v>
      </c>
      <c r="S206" s="1037" t="s">
        <v>1495</v>
      </c>
      <c r="T206" s="1037" t="s">
        <v>1494</v>
      </c>
      <c r="U206" s="1037" t="s">
        <v>1493</v>
      </c>
      <c r="V206" s="1037" t="s">
        <v>1492</v>
      </c>
      <c r="W206" s="1037" t="s">
        <v>1491</v>
      </c>
      <c r="X206" s="1037" t="s">
        <v>1490</v>
      </c>
      <c r="Y206" s="1037" t="s">
        <v>1489</v>
      </c>
      <c r="Z206" s="1037" t="s">
        <v>1488</v>
      </c>
      <c r="AA206" s="1037" t="s">
        <v>1487</v>
      </c>
      <c r="AB206" s="1037" t="s">
        <v>1486</v>
      </c>
      <c r="AC206" s="1038">
        <v>0.64600000000000002</v>
      </c>
      <c r="AD206" s="1038">
        <v>0.64370000000000005</v>
      </c>
      <c r="AE206" s="1038">
        <v>0.64149999999999996</v>
      </c>
      <c r="AF206" s="1039">
        <v>0.63939999999999997</v>
      </c>
      <c r="AG206" s="1039">
        <f t="shared" si="123"/>
        <v>0.63729999999999998</v>
      </c>
      <c r="AH206" s="1039">
        <f t="shared" si="123"/>
        <v>0.63519999999999999</v>
      </c>
      <c r="AI206" s="1039">
        <f t="shared" si="123"/>
        <v>0.6331</v>
      </c>
      <c r="AJ206" s="1039">
        <f t="shared" si="123"/>
        <v>0.63100000000000001</v>
      </c>
      <c r="AK206" s="1039">
        <f t="shared" si="123"/>
        <v>0.62890000000000001</v>
      </c>
      <c r="AL206" s="1039">
        <f t="shared" si="123"/>
        <v>0.62680000000000002</v>
      </c>
      <c r="AM206" s="1039">
        <f t="shared" si="123"/>
        <v>0.62470000000000003</v>
      </c>
      <c r="AN206" s="1039">
        <f t="shared" si="106"/>
        <v>0.62430000000000008</v>
      </c>
      <c r="AO206" s="1039">
        <f t="shared" si="106"/>
        <v>0.62390000000000012</v>
      </c>
      <c r="AP206" s="1039">
        <f t="shared" si="106"/>
        <v>0.62350000000000017</v>
      </c>
      <c r="AQ206" s="1039">
        <f t="shared" si="115"/>
        <v>0.62310000000000021</v>
      </c>
      <c r="AR206" s="1039">
        <f t="shared" si="115"/>
        <v>0.62270000000000025</v>
      </c>
      <c r="AS206" s="1039">
        <f t="shared" si="115"/>
        <v>0.6223000000000003</v>
      </c>
      <c r="AT206" s="1039">
        <f t="shared" si="115"/>
        <v>0.62190000000000034</v>
      </c>
      <c r="AU206" s="1039">
        <f t="shared" si="115"/>
        <v>0.62150000000000039</v>
      </c>
      <c r="AV206" s="1039">
        <f t="shared" ref="AV206:BD206" si="125">AU206-0.07%</f>
        <v>0.62080000000000035</v>
      </c>
      <c r="AW206" s="1039">
        <f t="shared" si="125"/>
        <v>0.62010000000000032</v>
      </c>
      <c r="AX206" s="1039">
        <f t="shared" si="125"/>
        <v>0.61940000000000028</v>
      </c>
      <c r="AY206" s="1039">
        <f t="shared" si="125"/>
        <v>0.61870000000000025</v>
      </c>
      <c r="AZ206" s="1039">
        <f t="shared" si="125"/>
        <v>0.61800000000000022</v>
      </c>
      <c r="BA206" s="1039">
        <f t="shared" si="125"/>
        <v>0.61730000000000018</v>
      </c>
      <c r="BB206" s="1039">
        <f t="shared" si="125"/>
        <v>0.61660000000000015</v>
      </c>
      <c r="BC206" s="1039">
        <f t="shared" si="125"/>
        <v>0.61590000000000011</v>
      </c>
      <c r="BD206" s="1039">
        <f t="shared" si="125"/>
        <v>0.61520000000000008</v>
      </c>
      <c r="BE206" s="1039">
        <v>0.60109999999999997</v>
      </c>
      <c r="BF206" s="1038">
        <v>0.6</v>
      </c>
      <c r="BH206" s="970">
        <f t="shared" si="96"/>
        <v>0.60109999999999997</v>
      </c>
      <c r="BI206" s="970"/>
    </row>
    <row r="207" spans="2:61" s="998" customFormat="1" hidden="1">
      <c r="B207" s="1036">
        <v>31</v>
      </c>
      <c r="C207" s="1037" t="s">
        <v>1485</v>
      </c>
      <c r="D207" s="1037" t="s">
        <v>1219</v>
      </c>
      <c r="E207" s="1037" t="s">
        <v>1303</v>
      </c>
      <c r="F207" s="1037" t="s">
        <v>1216</v>
      </c>
      <c r="G207" s="1037" t="s">
        <v>1484</v>
      </c>
      <c r="H207" s="1037" t="s">
        <v>1299</v>
      </c>
      <c r="I207" s="1037" t="s">
        <v>1483</v>
      </c>
      <c r="J207" s="1037" t="s">
        <v>1347</v>
      </c>
      <c r="K207" s="1037" t="s">
        <v>1295</v>
      </c>
      <c r="L207" s="1037" t="s">
        <v>1482</v>
      </c>
      <c r="M207" s="1037" t="s">
        <v>1481</v>
      </c>
      <c r="N207" s="1037" t="s">
        <v>1315</v>
      </c>
      <c r="O207" s="1037" t="s">
        <v>1480</v>
      </c>
      <c r="P207" s="1037" t="s">
        <v>1479</v>
      </c>
      <c r="Q207" s="1037" t="s">
        <v>1478</v>
      </c>
      <c r="R207" s="1037" t="s">
        <v>1477</v>
      </c>
      <c r="S207" s="1037" t="s">
        <v>1476</v>
      </c>
      <c r="T207" s="1037" t="s">
        <v>1475</v>
      </c>
      <c r="U207" s="1037" t="s">
        <v>1474</v>
      </c>
      <c r="V207" s="1037" t="s">
        <v>1473</v>
      </c>
      <c r="W207" s="1037" t="s">
        <v>1472</v>
      </c>
      <c r="X207" s="1037" t="s">
        <v>1471</v>
      </c>
      <c r="Y207" s="1037" t="s">
        <v>1470</v>
      </c>
      <c r="Z207" s="1037" t="s">
        <v>1469</v>
      </c>
      <c r="AA207" s="1037" t="s">
        <v>1468</v>
      </c>
      <c r="AB207" s="1037" t="s">
        <v>1467</v>
      </c>
      <c r="AC207" s="1038">
        <v>0.65239999999999998</v>
      </c>
      <c r="AD207" s="1038">
        <v>0.65</v>
      </c>
      <c r="AE207" s="1038">
        <v>0.64770000000000005</v>
      </c>
      <c r="AF207" s="1039">
        <v>0.64549999999999996</v>
      </c>
      <c r="AG207" s="1039">
        <f t="shared" ref="AG207:AM207" si="126">AF207-0.22%</f>
        <v>0.64329999999999998</v>
      </c>
      <c r="AH207" s="1039">
        <f t="shared" si="126"/>
        <v>0.6411</v>
      </c>
      <c r="AI207" s="1039">
        <f t="shared" si="126"/>
        <v>0.63890000000000002</v>
      </c>
      <c r="AJ207" s="1039">
        <f t="shared" si="126"/>
        <v>0.63670000000000004</v>
      </c>
      <c r="AK207" s="1039">
        <f t="shared" si="126"/>
        <v>0.63450000000000006</v>
      </c>
      <c r="AL207" s="1039">
        <f t="shared" si="126"/>
        <v>0.63230000000000008</v>
      </c>
      <c r="AM207" s="1039">
        <f t="shared" si="126"/>
        <v>0.6301000000000001</v>
      </c>
      <c r="AN207" s="1039">
        <f t="shared" si="106"/>
        <v>0.62970000000000015</v>
      </c>
      <c r="AO207" s="1039">
        <f t="shared" si="106"/>
        <v>0.62930000000000019</v>
      </c>
      <c r="AP207" s="1039">
        <f t="shared" si="106"/>
        <v>0.62890000000000024</v>
      </c>
      <c r="AQ207" s="1039">
        <f t="shared" si="115"/>
        <v>0.62850000000000028</v>
      </c>
      <c r="AR207" s="1039">
        <f t="shared" si="115"/>
        <v>0.62810000000000032</v>
      </c>
      <c r="AS207" s="1039">
        <f t="shared" si="115"/>
        <v>0.62770000000000037</v>
      </c>
      <c r="AT207" s="1039">
        <f t="shared" si="115"/>
        <v>0.62730000000000041</v>
      </c>
      <c r="AU207" s="1039">
        <f t="shared" si="115"/>
        <v>0.62690000000000046</v>
      </c>
      <c r="AV207" s="1039">
        <f t="shared" ref="AV207:BD207" si="127">AU207-0.07%</f>
        <v>0.62620000000000042</v>
      </c>
      <c r="AW207" s="1039">
        <f t="shared" si="127"/>
        <v>0.62550000000000039</v>
      </c>
      <c r="AX207" s="1039">
        <f t="shared" si="127"/>
        <v>0.62480000000000036</v>
      </c>
      <c r="AY207" s="1039">
        <f t="shared" si="127"/>
        <v>0.62410000000000032</v>
      </c>
      <c r="AZ207" s="1039">
        <f t="shared" si="127"/>
        <v>0.62340000000000029</v>
      </c>
      <c r="BA207" s="1039">
        <f t="shared" si="127"/>
        <v>0.62270000000000025</v>
      </c>
      <c r="BB207" s="1039">
        <f t="shared" si="127"/>
        <v>0.62200000000000022</v>
      </c>
      <c r="BC207" s="1039">
        <f t="shared" si="127"/>
        <v>0.62130000000000019</v>
      </c>
      <c r="BD207" s="1039">
        <f t="shared" si="127"/>
        <v>0.62060000000000015</v>
      </c>
      <c r="BE207" s="1039">
        <v>0.60550000000000004</v>
      </c>
      <c r="BF207" s="1038">
        <v>0.60429999999999995</v>
      </c>
      <c r="BH207" s="970">
        <f t="shared" si="96"/>
        <v>0.60550000000000004</v>
      </c>
      <c r="BI207" s="970"/>
    </row>
    <row r="208" spans="2:61" s="998" customFormat="1" hidden="1">
      <c r="B208" s="1036">
        <v>32</v>
      </c>
      <c r="C208" s="1037" t="s">
        <v>1466</v>
      </c>
      <c r="D208" s="1037" t="s">
        <v>1465</v>
      </c>
      <c r="E208" s="1037" t="s">
        <v>1464</v>
      </c>
      <c r="F208" s="1037" t="s">
        <v>154</v>
      </c>
      <c r="G208" s="1037" t="s">
        <v>1463</v>
      </c>
      <c r="H208" s="1037" t="s">
        <v>1462</v>
      </c>
      <c r="I208" s="1037" t="s">
        <v>1461</v>
      </c>
      <c r="J208" s="1037" t="s">
        <v>1460</v>
      </c>
      <c r="K208" s="1037" t="s">
        <v>1348</v>
      </c>
      <c r="L208" s="1037" t="s">
        <v>1459</v>
      </c>
      <c r="M208" s="1037" t="s">
        <v>1458</v>
      </c>
      <c r="N208" s="1037" t="s">
        <v>1457</v>
      </c>
      <c r="O208" s="1037" t="s">
        <v>1456</v>
      </c>
      <c r="P208" s="1037" t="s">
        <v>1315</v>
      </c>
      <c r="Q208" s="1037" t="s">
        <v>1455</v>
      </c>
      <c r="R208" s="1037" t="s">
        <v>1454</v>
      </c>
      <c r="S208" s="1037" t="s">
        <v>1453</v>
      </c>
      <c r="T208" s="1037" t="s">
        <v>1452</v>
      </c>
      <c r="U208" s="1037" t="s">
        <v>1451</v>
      </c>
      <c r="V208" s="1037" t="s">
        <v>1450</v>
      </c>
      <c r="W208" s="1037" t="s">
        <v>1449</v>
      </c>
      <c r="X208" s="1037" t="s">
        <v>1448</v>
      </c>
      <c r="Y208" s="1037" t="s">
        <v>1447</v>
      </c>
      <c r="Z208" s="1037" t="s">
        <v>1446</v>
      </c>
      <c r="AA208" s="1037" t="s">
        <v>1445</v>
      </c>
      <c r="AB208" s="1037" t="s">
        <v>1444</v>
      </c>
      <c r="AC208" s="1038">
        <v>0.65869999999999995</v>
      </c>
      <c r="AD208" s="1038">
        <v>0.65620000000000001</v>
      </c>
      <c r="AE208" s="1038">
        <v>0.65380000000000005</v>
      </c>
      <c r="AF208" s="1039">
        <v>0.65149999999999997</v>
      </c>
      <c r="AG208" s="1039">
        <f t="shared" ref="AG208:AT208" si="128">AF208-0.23%</f>
        <v>0.6492</v>
      </c>
      <c r="AH208" s="1039">
        <f t="shared" si="128"/>
        <v>0.64690000000000003</v>
      </c>
      <c r="AI208" s="1039">
        <f t="shared" si="128"/>
        <v>0.64460000000000006</v>
      </c>
      <c r="AJ208" s="1039">
        <f t="shared" si="128"/>
        <v>0.64230000000000009</v>
      </c>
      <c r="AK208" s="1039">
        <f t="shared" si="128"/>
        <v>0.64000000000000012</v>
      </c>
      <c r="AL208" s="1039">
        <f t="shared" si="128"/>
        <v>0.63770000000000016</v>
      </c>
      <c r="AM208" s="1039">
        <f t="shared" si="128"/>
        <v>0.63540000000000019</v>
      </c>
      <c r="AN208" s="1039">
        <f t="shared" si="128"/>
        <v>0.63310000000000022</v>
      </c>
      <c r="AO208" s="1039">
        <f t="shared" si="128"/>
        <v>0.63080000000000025</v>
      </c>
      <c r="AP208" s="1039">
        <f t="shared" si="128"/>
        <v>0.62850000000000028</v>
      </c>
      <c r="AQ208" s="1039">
        <f t="shared" si="128"/>
        <v>0.62620000000000031</v>
      </c>
      <c r="AR208" s="1039">
        <f t="shared" si="128"/>
        <v>0.62390000000000034</v>
      </c>
      <c r="AS208" s="1039">
        <f t="shared" si="128"/>
        <v>0.62160000000000037</v>
      </c>
      <c r="AT208" s="1039">
        <f t="shared" si="128"/>
        <v>0.61930000000000041</v>
      </c>
      <c r="AU208" s="1039">
        <f t="shared" ref="AU208:AU217" si="129">AT208-0.04%</f>
        <v>0.61890000000000045</v>
      </c>
      <c r="AV208" s="1039">
        <f t="shared" ref="AV208:BD208" si="130">AU208-0.07%</f>
        <v>0.61820000000000042</v>
      </c>
      <c r="AW208" s="1039">
        <f t="shared" si="130"/>
        <v>0.61750000000000038</v>
      </c>
      <c r="AX208" s="1039">
        <f t="shared" si="130"/>
        <v>0.61680000000000035</v>
      </c>
      <c r="AY208" s="1039">
        <f t="shared" si="130"/>
        <v>0.61610000000000031</v>
      </c>
      <c r="AZ208" s="1039">
        <f t="shared" si="130"/>
        <v>0.61540000000000028</v>
      </c>
      <c r="BA208" s="1039">
        <f t="shared" si="130"/>
        <v>0.61470000000000025</v>
      </c>
      <c r="BB208" s="1039">
        <f t="shared" si="130"/>
        <v>0.61400000000000021</v>
      </c>
      <c r="BC208" s="1039">
        <f t="shared" si="130"/>
        <v>0.61330000000000018</v>
      </c>
      <c r="BD208" s="1039">
        <f t="shared" si="130"/>
        <v>0.61260000000000014</v>
      </c>
      <c r="BE208" s="1039">
        <f t="shared" ref="BE208:BE239" si="131">BD208-0.07%</f>
        <v>0.61190000000000011</v>
      </c>
      <c r="BF208" s="1038">
        <v>0.60870000000000002</v>
      </c>
      <c r="BH208" s="970">
        <f t="shared" si="96"/>
        <v>0.61190000000000011</v>
      </c>
      <c r="BI208" s="970"/>
    </row>
    <row r="209" spans="2:61" s="998" customFormat="1" hidden="1">
      <c r="B209" s="1036">
        <v>33</v>
      </c>
      <c r="C209" s="1037" t="s">
        <v>1443</v>
      </c>
      <c r="D209" s="1037" t="s">
        <v>1154</v>
      </c>
      <c r="E209" s="1037" t="s">
        <v>1133</v>
      </c>
      <c r="F209" s="1037" t="s">
        <v>1151</v>
      </c>
      <c r="G209" s="1037" t="s">
        <v>1442</v>
      </c>
      <c r="H209" s="1037" t="s">
        <v>1441</v>
      </c>
      <c r="I209" s="1037" t="s">
        <v>1440</v>
      </c>
      <c r="J209" s="1037" t="s">
        <v>1439</v>
      </c>
      <c r="K209" s="1037" t="s">
        <v>1438</v>
      </c>
      <c r="L209" s="1037" t="s">
        <v>1437</v>
      </c>
      <c r="M209" s="1037" t="s">
        <v>1436</v>
      </c>
      <c r="N209" s="1037" t="s">
        <v>1435</v>
      </c>
      <c r="O209" s="1037" t="s">
        <v>1434</v>
      </c>
      <c r="P209" s="1037" t="s">
        <v>1433</v>
      </c>
      <c r="Q209" s="1037" t="s">
        <v>1432</v>
      </c>
      <c r="R209" s="1037" t="s">
        <v>1315</v>
      </c>
      <c r="S209" s="1037" t="s">
        <v>1431</v>
      </c>
      <c r="T209" s="1037" t="s">
        <v>1430</v>
      </c>
      <c r="U209" s="1037" t="s">
        <v>1429</v>
      </c>
      <c r="V209" s="1037" t="s">
        <v>1428</v>
      </c>
      <c r="W209" s="1037" t="s">
        <v>1427</v>
      </c>
      <c r="X209" s="1037" t="s">
        <v>1426</v>
      </c>
      <c r="Y209" s="1037" t="s">
        <v>1425</v>
      </c>
      <c r="Z209" s="1037" t="s">
        <v>1424</v>
      </c>
      <c r="AA209" s="1037" t="s">
        <v>1423</v>
      </c>
      <c r="AB209" s="1037" t="s">
        <v>1422</v>
      </c>
      <c r="AC209" s="1038">
        <v>0.66510000000000002</v>
      </c>
      <c r="AD209" s="1038">
        <v>0.66249999999999998</v>
      </c>
      <c r="AE209" s="1038">
        <v>0.66</v>
      </c>
      <c r="AF209" s="1039">
        <v>0.65759999999999996</v>
      </c>
      <c r="AG209" s="1039">
        <f t="shared" ref="AG209:AT209" si="132">AF209-0.24%</f>
        <v>0.6552</v>
      </c>
      <c r="AH209" s="1039">
        <f t="shared" si="132"/>
        <v>0.65280000000000005</v>
      </c>
      <c r="AI209" s="1039">
        <f t="shared" si="132"/>
        <v>0.65040000000000009</v>
      </c>
      <c r="AJ209" s="1039">
        <f t="shared" si="132"/>
        <v>0.64800000000000013</v>
      </c>
      <c r="AK209" s="1039">
        <f t="shared" si="132"/>
        <v>0.64560000000000017</v>
      </c>
      <c r="AL209" s="1039">
        <f t="shared" si="132"/>
        <v>0.64320000000000022</v>
      </c>
      <c r="AM209" s="1039">
        <f t="shared" si="132"/>
        <v>0.64080000000000026</v>
      </c>
      <c r="AN209" s="1039">
        <f t="shared" si="132"/>
        <v>0.6384000000000003</v>
      </c>
      <c r="AO209" s="1039">
        <f t="shared" si="132"/>
        <v>0.63600000000000034</v>
      </c>
      <c r="AP209" s="1039">
        <f t="shared" si="132"/>
        <v>0.63360000000000039</v>
      </c>
      <c r="AQ209" s="1039">
        <f t="shared" si="132"/>
        <v>0.63120000000000043</v>
      </c>
      <c r="AR209" s="1039">
        <f t="shared" si="132"/>
        <v>0.62880000000000047</v>
      </c>
      <c r="AS209" s="1039">
        <f t="shared" si="132"/>
        <v>0.62640000000000051</v>
      </c>
      <c r="AT209" s="1039">
        <f t="shared" si="132"/>
        <v>0.62400000000000055</v>
      </c>
      <c r="AU209" s="1039">
        <f t="shared" si="129"/>
        <v>0.6236000000000006</v>
      </c>
      <c r="AV209" s="1039">
        <f t="shared" ref="AV209:BD209" si="133">AU209-0.07%</f>
        <v>0.62290000000000056</v>
      </c>
      <c r="AW209" s="1039">
        <f t="shared" si="133"/>
        <v>0.62220000000000053</v>
      </c>
      <c r="AX209" s="1039">
        <f t="shared" si="133"/>
        <v>0.6215000000000005</v>
      </c>
      <c r="AY209" s="1039">
        <f t="shared" si="133"/>
        <v>0.62080000000000046</v>
      </c>
      <c r="AZ209" s="1039">
        <f t="shared" si="133"/>
        <v>0.62010000000000043</v>
      </c>
      <c r="BA209" s="1039">
        <f t="shared" si="133"/>
        <v>0.61940000000000039</v>
      </c>
      <c r="BB209" s="1039">
        <f t="shared" si="133"/>
        <v>0.61870000000000036</v>
      </c>
      <c r="BC209" s="1039">
        <f t="shared" si="133"/>
        <v>0.61800000000000033</v>
      </c>
      <c r="BD209" s="1039">
        <f t="shared" si="133"/>
        <v>0.61730000000000029</v>
      </c>
      <c r="BE209" s="1039">
        <f t="shared" si="131"/>
        <v>0.61660000000000026</v>
      </c>
      <c r="BF209" s="1038">
        <v>0.61299999999999999</v>
      </c>
      <c r="BH209" s="970">
        <f t="shared" ref="BH209:BH240" si="134">LOOKUP($K$15,$C$176:$BF$176,C209:BF209)</f>
        <v>0.61660000000000026</v>
      </c>
      <c r="BI209" s="970"/>
    </row>
    <row r="210" spans="2:61" s="998" customFormat="1" hidden="1">
      <c r="B210" s="1036">
        <v>34</v>
      </c>
      <c r="C210" s="1037" t="s">
        <v>1421</v>
      </c>
      <c r="D210" s="1037" t="s">
        <v>1420</v>
      </c>
      <c r="E210" s="1037" t="s">
        <v>1223</v>
      </c>
      <c r="F210" s="1037" t="s">
        <v>1419</v>
      </c>
      <c r="G210" s="1037" t="s">
        <v>1418</v>
      </c>
      <c r="H210" s="1037" t="s">
        <v>1220</v>
      </c>
      <c r="I210" s="1037" t="s">
        <v>1417</v>
      </c>
      <c r="J210" s="1037" t="s">
        <v>1416</v>
      </c>
      <c r="K210" s="1037" t="s">
        <v>1216</v>
      </c>
      <c r="L210" s="1037" t="s">
        <v>1415</v>
      </c>
      <c r="M210" s="1037" t="s">
        <v>1414</v>
      </c>
      <c r="N210" s="1037" t="s">
        <v>1413</v>
      </c>
      <c r="O210" s="1037" t="s">
        <v>1412</v>
      </c>
      <c r="P210" s="1037" t="s">
        <v>1411</v>
      </c>
      <c r="Q210" s="1037" t="s">
        <v>1410</v>
      </c>
      <c r="R210" s="1037" t="s">
        <v>1409</v>
      </c>
      <c r="S210" s="1037" t="s">
        <v>1408</v>
      </c>
      <c r="T210" s="1037" t="s">
        <v>1315</v>
      </c>
      <c r="U210" s="1037" t="s">
        <v>1407</v>
      </c>
      <c r="V210" s="1037" t="s">
        <v>1406</v>
      </c>
      <c r="W210" s="1037" t="s">
        <v>1405</v>
      </c>
      <c r="X210" s="1037" t="s">
        <v>1404</v>
      </c>
      <c r="Y210" s="1037" t="s">
        <v>1403</v>
      </c>
      <c r="Z210" s="1037" t="s">
        <v>155</v>
      </c>
      <c r="AA210" s="1037" t="s">
        <v>1402</v>
      </c>
      <c r="AB210" s="1037" t="s">
        <v>1401</v>
      </c>
      <c r="AC210" s="1038">
        <v>0.6714</v>
      </c>
      <c r="AD210" s="1038">
        <v>0.66869999999999996</v>
      </c>
      <c r="AE210" s="1038">
        <v>0.66620000000000001</v>
      </c>
      <c r="AF210" s="1039">
        <v>0.66359999999999997</v>
      </c>
      <c r="AG210" s="1039">
        <f t="shared" ref="AG210:AT210" si="135">AF210-0.24%</f>
        <v>0.66120000000000001</v>
      </c>
      <c r="AH210" s="1039">
        <f t="shared" si="135"/>
        <v>0.65880000000000005</v>
      </c>
      <c r="AI210" s="1039">
        <f t="shared" si="135"/>
        <v>0.65640000000000009</v>
      </c>
      <c r="AJ210" s="1039">
        <f t="shared" si="135"/>
        <v>0.65400000000000014</v>
      </c>
      <c r="AK210" s="1039">
        <f t="shared" si="135"/>
        <v>0.65160000000000018</v>
      </c>
      <c r="AL210" s="1039">
        <f t="shared" si="135"/>
        <v>0.64920000000000022</v>
      </c>
      <c r="AM210" s="1039">
        <f t="shared" si="135"/>
        <v>0.64680000000000026</v>
      </c>
      <c r="AN210" s="1039">
        <f t="shared" si="135"/>
        <v>0.64440000000000031</v>
      </c>
      <c r="AO210" s="1039">
        <f t="shared" si="135"/>
        <v>0.64200000000000035</v>
      </c>
      <c r="AP210" s="1039">
        <f t="shared" si="135"/>
        <v>0.63960000000000039</v>
      </c>
      <c r="AQ210" s="1039">
        <f t="shared" si="135"/>
        <v>0.63720000000000043</v>
      </c>
      <c r="AR210" s="1039">
        <f t="shared" si="135"/>
        <v>0.63480000000000047</v>
      </c>
      <c r="AS210" s="1039">
        <f t="shared" si="135"/>
        <v>0.63240000000000052</v>
      </c>
      <c r="AT210" s="1039">
        <f t="shared" si="135"/>
        <v>0.63000000000000056</v>
      </c>
      <c r="AU210" s="1039">
        <f t="shared" si="129"/>
        <v>0.6296000000000006</v>
      </c>
      <c r="AV210" s="1039">
        <f t="shared" ref="AV210:BD210" si="136">AU210-0.07%</f>
        <v>0.62890000000000057</v>
      </c>
      <c r="AW210" s="1039">
        <f t="shared" si="136"/>
        <v>0.62820000000000054</v>
      </c>
      <c r="AX210" s="1039">
        <f t="shared" si="136"/>
        <v>0.6275000000000005</v>
      </c>
      <c r="AY210" s="1039">
        <f t="shared" si="136"/>
        <v>0.62680000000000047</v>
      </c>
      <c r="AZ210" s="1039">
        <f t="shared" si="136"/>
        <v>0.62610000000000043</v>
      </c>
      <c r="BA210" s="1039">
        <f t="shared" si="136"/>
        <v>0.6254000000000004</v>
      </c>
      <c r="BB210" s="1039">
        <f t="shared" si="136"/>
        <v>0.62470000000000037</v>
      </c>
      <c r="BC210" s="1039">
        <f t="shared" si="136"/>
        <v>0.62400000000000033</v>
      </c>
      <c r="BD210" s="1039">
        <f t="shared" si="136"/>
        <v>0.6233000000000003</v>
      </c>
      <c r="BE210" s="1039">
        <f t="shared" si="131"/>
        <v>0.62260000000000026</v>
      </c>
      <c r="BF210" s="1038">
        <v>0.61739999999999995</v>
      </c>
      <c r="BH210" s="970">
        <f t="shared" si="134"/>
        <v>0.62260000000000026</v>
      </c>
      <c r="BI210" s="970"/>
    </row>
    <row r="211" spans="2:61" s="998" customFormat="1" ht="6" hidden="1" customHeight="1">
      <c r="B211" s="1036">
        <v>35</v>
      </c>
      <c r="C211" s="1037" t="s">
        <v>1400</v>
      </c>
      <c r="D211" s="1037" t="s">
        <v>1100</v>
      </c>
      <c r="E211" s="1037" t="s">
        <v>1399</v>
      </c>
      <c r="F211" s="1037" t="s">
        <v>172</v>
      </c>
      <c r="G211" s="1037" t="s">
        <v>1398</v>
      </c>
      <c r="H211" s="1037" t="s">
        <v>1133</v>
      </c>
      <c r="I211" s="1037" t="s">
        <v>1397</v>
      </c>
      <c r="J211" s="1037" t="s">
        <v>1238</v>
      </c>
      <c r="K211" s="1037" t="s">
        <v>1396</v>
      </c>
      <c r="L211" s="1037" t="s">
        <v>1395</v>
      </c>
      <c r="M211" s="1037" t="s">
        <v>1394</v>
      </c>
      <c r="N211" s="1037" t="s">
        <v>1234</v>
      </c>
      <c r="O211" s="1037" t="s">
        <v>1299</v>
      </c>
      <c r="P211" s="1037" t="s">
        <v>1393</v>
      </c>
      <c r="Q211" s="1037" t="s">
        <v>1392</v>
      </c>
      <c r="R211" s="1037" t="s">
        <v>1391</v>
      </c>
      <c r="S211" s="1037" t="s">
        <v>166</v>
      </c>
      <c r="T211" s="1037" t="s">
        <v>1390</v>
      </c>
      <c r="U211" s="1037" t="s">
        <v>1389</v>
      </c>
      <c r="V211" s="1037" t="s">
        <v>1315</v>
      </c>
      <c r="W211" s="1037" t="s">
        <v>1388</v>
      </c>
      <c r="X211" s="1037" t="s">
        <v>1387</v>
      </c>
      <c r="Y211" s="1037" t="s">
        <v>1386</v>
      </c>
      <c r="Z211" s="1037" t="s">
        <v>1385</v>
      </c>
      <c r="AA211" s="1037" t="s">
        <v>1384</v>
      </c>
      <c r="AB211" s="1037" t="s">
        <v>1383</v>
      </c>
      <c r="AC211" s="1038">
        <v>0.67779999999999996</v>
      </c>
      <c r="AD211" s="1038">
        <v>0.67500000000000004</v>
      </c>
      <c r="AE211" s="1038">
        <v>0.67230000000000001</v>
      </c>
      <c r="AF211" s="1039">
        <v>0.66969999999999996</v>
      </c>
      <c r="AG211" s="1039">
        <f t="shared" ref="AG211:AT211" si="137">AF211-0.26%</f>
        <v>0.66709999999999992</v>
      </c>
      <c r="AH211" s="1039">
        <f t="shared" si="137"/>
        <v>0.66449999999999987</v>
      </c>
      <c r="AI211" s="1039">
        <f t="shared" si="137"/>
        <v>0.66189999999999982</v>
      </c>
      <c r="AJ211" s="1039">
        <f t="shared" si="137"/>
        <v>0.65929999999999978</v>
      </c>
      <c r="AK211" s="1039">
        <f t="shared" si="137"/>
        <v>0.65669999999999973</v>
      </c>
      <c r="AL211" s="1039">
        <f t="shared" si="137"/>
        <v>0.65409999999999968</v>
      </c>
      <c r="AM211" s="1039">
        <f t="shared" si="137"/>
        <v>0.65149999999999963</v>
      </c>
      <c r="AN211" s="1039">
        <f t="shared" si="137"/>
        <v>0.64889999999999959</v>
      </c>
      <c r="AO211" s="1039">
        <f t="shared" si="137"/>
        <v>0.64629999999999954</v>
      </c>
      <c r="AP211" s="1039">
        <f t="shared" si="137"/>
        <v>0.64369999999999949</v>
      </c>
      <c r="AQ211" s="1039">
        <f t="shared" si="137"/>
        <v>0.64109999999999945</v>
      </c>
      <c r="AR211" s="1039">
        <f t="shared" si="137"/>
        <v>0.6384999999999994</v>
      </c>
      <c r="AS211" s="1039">
        <f t="shared" si="137"/>
        <v>0.63589999999999935</v>
      </c>
      <c r="AT211" s="1039">
        <f t="shared" si="137"/>
        <v>0.63329999999999931</v>
      </c>
      <c r="AU211" s="1039">
        <f t="shared" si="129"/>
        <v>0.63289999999999935</v>
      </c>
      <c r="AV211" s="1039">
        <f t="shared" ref="AV211:BD211" si="138">AU211-0.07%</f>
        <v>0.63219999999999932</v>
      </c>
      <c r="AW211" s="1039">
        <f t="shared" si="138"/>
        <v>0.63149999999999928</v>
      </c>
      <c r="AX211" s="1039">
        <f t="shared" si="138"/>
        <v>0.63079999999999925</v>
      </c>
      <c r="AY211" s="1039">
        <f t="shared" si="138"/>
        <v>0.63009999999999922</v>
      </c>
      <c r="AZ211" s="1039">
        <f t="shared" si="138"/>
        <v>0.62939999999999918</v>
      </c>
      <c r="BA211" s="1039">
        <f t="shared" si="138"/>
        <v>0.62869999999999915</v>
      </c>
      <c r="BB211" s="1039">
        <f t="shared" si="138"/>
        <v>0.62799999999999911</v>
      </c>
      <c r="BC211" s="1039">
        <f t="shared" si="138"/>
        <v>0.62729999999999908</v>
      </c>
      <c r="BD211" s="1039">
        <f t="shared" si="138"/>
        <v>0.62659999999999905</v>
      </c>
      <c r="BE211" s="1039">
        <f t="shared" si="131"/>
        <v>0.62589999999999901</v>
      </c>
      <c r="BF211" s="1038">
        <v>0.62170000000000003</v>
      </c>
      <c r="BH211" s="970">
        <f t="shared" si="134"/>
        <v>0.62589999999999901</v>
      </c>
      <c r="BI211" s="970"/>
    </row>
    <row r="212" spans="2:61" s="998" customFormat="1" hidden="1">
      <c r="B212" s="1036">
        <v>36</v>
      </c>
      <c r="C212" s="1037" t="s">
        <v>1382</v>
      </c>
      <c r="D212" s="1037" t="s">
        <v>175</v>
      </c>
      <c r="E212" s="1037" t="s">
        <v>1381</v>
      </c>
      <c r="F212" s="1037" t="s">
        <v>1380</v>
      </c>
      <c r="G212" s="1037" t="s">
        <v>1379</v>
      </c>
      <c r="H212" s="1037" t="s">
        <v>1378</v>
      </c>
      <c r="I212" s="1037" t="s">
        <v>1377</v>
      </c>
      <c r="J212" s="1037" t="s">
        <v>1376</v>
      </c>
      <c r="K212" s="1037" t="s">
        <v>1375</v>
      </c>
      <c r="L212" s="1037" t="s">
        <v>1374</v>
      </c>
      <c r="M212" s="1037" t="s">
        <v>1373</v>
      </c>
      <c r="N212" s="1037" t="s">
        <v>1372</v>
      </c>
      <c r="O212" s="1037" t="s">
        <v>1371</v>
      </c>
      <c r="P212" s="1037" t="s">
        <v>1370</v>
      </c>
      <c r="Q212" s="1037" t="s">
        <v>1369</v>
      </c>
      <c r="R212" s="1037" t="s">
        <v>1368</v>
      </c>
      <c r="S212" s="1037" t="s">
        <v>1367</v>
      </c>
      <c r="T212" s="1037" t="s">
        <v>1366</v>
      </c>
      <c r="U212" s="1037" t="s">
        <v>1365</v>
      </c>
      <c r="V212" s="1037" t="s">
        <v>1364</v>
      </c>
      <c r="W212" s="1037" t="s">
        <v>1363</v>
      </c>
      <c r="X212" s="1037" t="s">
        <v>1315</v>
      </c>
      <c r="Y212" s="1037" t="s">
        <v>1362</v>
      </c>
      <c r="Z212" s="1037" t="s">
        <v>1361</v>
      </c>
      <c r="AA212" s="1037" t="s">
        <v>1360</v>
      </c>
      <c r="AB212" s="1037" t="s">
        <v>1359</v>
      </c>
      <c r="AC212" s="1038">
        <v>0.68410000000000004</v>
      </c>
      <c r="AD212" s="1038">
        <v>0.68120000000000003</v>
      </c>
      <c r="AE212" s="1038">
        <v>0.67849999999999999</v>
      </c>
      <c r="AF212" s="1039">
        <v>0.67579999999999996</v>
      </c>
      <c r="AG212" s="1039">
        <f t="shared" ref="AG212:AT212" si="139">AF212-0.27%</f>
        <v>0.67309999999999992</v>
      </c>
      <c r="AH212" s="1039">
        <f t="shared" si="139"/>
        <v>0.67039999999999988</v>
      </c>
      <c r="AI212" s="1039">
        <f t="shared" si="139"/>
        <v>0.66769999999999985</v>
      </c>
      <c r="AJ212" s="1039">
        <f t="shared" si="139"/>
        <v>0.66499999999999981</v>
      </c>
      <c r="AK212" s="1039">
        <f t="shared" si="139"/>
        <v>0.66229999999999978</v>
      </c>
      <c r="AL212" s="1039">
        <f t="shared" si="139"/>
        <v>0.65959999999999974</v>
      </c>
      <c r="AM212" s="1039">
        <f t="shared" si="139"/>
        <v>0.65689999999999971</v>
      </c>
      <c r="AN212" s="1039">
        <f t="shared" si="139"/>
        <v>0.65419999999999967</v>
      </c>
      <c r="AO212" s="1039">
        <f t="shared" si="139"/>
        <v>0.65149999999999963</v>
      </c>
      <c r="AP212" s="1039">
        <f t="shared" si="139"/>
        <v>0.6487999999999996</v>
      </c>
      <c r="AQ212" s="1039">
        <f t="shared" si="139"/>
        <v>0.64609999999999956</v>
      </c>
      <c r="AR212" s="1039">
        <f t="shared" si="139"/>
        <v>0.64339999999999953</v>
      </c>
      <c r="AS212" s="1039">
        <f t="shared" si="139"/>
        <v>0.64069999999999949</v>
      </c>
      <c r="AT212" s="1039">
        <f t="shared" si="139"/>
        <v>0.63799999999999946</v>
      </c>
      <c r="AU212" s="1039">
        <f t="shared" si="129"/>
        <v>0.6375999999999995</v>
      </c>
      <c r="AV212" s="1039">
        <f t="shared" ref="AV212:BD212" si="140">AU212-0.07%</f>
        <v>0.63689999999999947</v>
      </c>
      <c r="AW212" s="1039">
        <f t="shared" si="140"/>
        <v>0.63619999999999943</v>
      </c>
      <c r="AX212" s="1039">
        <f t="shared" si="140"/>
        <v>0.6354999999999994</v>
      </c>
      <c r="AY212" s="1039">
        <f t="shared" si="140"/>
        <v>0.63479999999999936</v>
      </c>
      <c r="AZ212" s="1039">
        <f t="shared" si="140"/>
        <v>0.63409999999999933</v>
      </c>
      <c r="BA212" s="1039">
        <f t="shared" si="140"/>
        <v>0.6333999999999993</v>
      </c>
      <c r="BB212" s="1039">
        <f t="shared" si="140"/>
        <v>0.63269999999999926</v>
      </c>
      <c r="BC212" s="1039">
        <f t="shared" si="140"/>
        <v>0.63199999999999923</v>
      </c>
      <c r="BD212" s="1039">
        <f t="shared" si="140"/>
        <v>0.6312999999999992</v>
      </c>
      <c r="BE212" s="1039">
        <f t="shared" si="131"/>
        <v>0.63059999999999916</v>
      </c>
      <c r="BF212" s="1038">
        <v>0.62609999999999999</v>
      </c>
      <c r="BH212" s="970">
        <f t="shared" si="134"/>
        <v>0.63059999999999916</v>
      </c>
      <c r="BI212" s="970"/>
    </row>
    <row r="213" spans="2:61" s="998" customFormat="1" hidden="1">
      <c r="B213" s="1036">
        <v>37</v>
      </c>
      <c r="C213" s="1037" t="s">
        <v>1358</v>
      </c>
      <c r="D213" s="1037" t="s">
        <v>1053</v>
      </c>
      <c r="E213" s="1037" t="s">
        <v>1141</v>
      </c>
      <c r="F213" s="1037" t="s">
        <v>1050</v>
      </c>
      <c r="G213" s="1037" t="s">
        <v>1357</v>
      </c>
      <c r="H213" s="1037" t="s">
        <v>1137</v>
      </c>
      <c r="I213" s="1037" t="s">
        <v>1356</v>
      </c>
      <c r="J213" s="1037" t="s">
        <v>1355</v>
      </c>
      <c r="K213" s="1037" t="s">
        <v>1133</v>
      </c>
      <c r="L213" s="1037" t="s">
        <v>1354</v>
      </c>
      <c r="M213" s="1037" t="s">
        <v>1353</v>
      </c>
      <c r="N213" s="1037" t="s">
        <v>154</v>
      </c>
      <c r="O213" s="1037" t="s">
        <v>1352</v>
      </c>
      <c r="P213" s="1037" t="s">
        <v>1216</v>
      </c>
      <c r="Q213" s="1037" t="s">
        <v>1351</v>
      </c>
      <c r="R213" s="1037" t="s">
        <v>1350</v>
      </c>
      <c r="S213" s="1037" t="s">
        <v>1349</v>
      </c>
      <c r="T213" s="1037" t="s">
        <v>1348</v>
      </c>
      <c r="U213" s="1037" t="s">
        <v>1347</v>
      </c>
      <c r="V213" s="1037" t="s">
        <v>1346</v>
      </c>
      <c r="W213" s="1037" t="s">
        <v>1345</v>
      </c>
      <c r="X213" s="1037" t="s">
        <v>1344</v>
      </c>
      <c r="Y213" s="1037" t="s">
        <v>1343</v>
      </c>
      <c r="Z213" s="1037" t="s">
        <v>1315</v>
      </c>
      <c r="AA213" s="1037" t="s">
        <v>1342</v>
      </c>
      <c r="AB213" s="1037" t="s">
        <v>1341</v>
      </c>
      <c r="AC213" s="1038">
        <v>0.6905</v>
      </c>
      <c r="AD213" s="1038">
        <v>0.6875</v>
      </c>
      <c r="AE213" s="1038">
        <v>0.68459999999999999</v>
      </c>
      <c r="AF213" s="1039">
        <v>0.68179999999999996</v>
      </c>
      <c r="AG213" s="1039">
        <f t="shared" ref="AG213:AT213" si="141">AF213-0.28%</f>
        <v>0.67899999999999994</v>
      </c>
      <c r="AH213" s="1039">
        <f t="shared" si="141"/>
        <v>0.67619999999999991</v>
      </c>
      <c r="AI213" s="1039">
        <f t="shared" si="141"/>
        <v>0.67339999999999989</v>
      </c>
      <c r="AJ213" s="1039">
        <f t="shared" si="141"/>
        <v>0.67059999999999986</v>
      </c>
      <c r="AK213" s="1039">
        <f t="shared" si="141"/>
        <v>0.66779999999999984</v>
      </c>
      <c r="AL213" s="1039">
        <f t="shared" si="141"/>
        <v>0.66499999999999981</v>
      </c>
      <c r="AM213" s="1039">
        <f t="shared" si="141"/>
        <v>0.66219999999999979</v>
      </c>
      <c r="AN213" s="1039">
        <f t="shared" si="141"/>
        <v>0.65939999999999976</v>
      </c>
      <c r="AO213" s="1039">
        <f t="shared" si="141"/>
        <v>0.65659999999999974</v>
      </c>
      <c r="AP213" s="1039">
        <f t="shared" si="141"/>
        <v>0.65379999999999971</v>
      </c>
      <c r="AQ213" s="1039">
        <f t="shared" si="141"/>
        <v>0.65099999999999969</v>
      </c>
      <c r="AR213" s="1039">
        <f t="shared" si="141"/>
        <v>0.64819999999999967</v>
      </c>
      <c r="AS213" s="1039">
        <f t="shared" si="141"/>
        <v>0.64539999999999964</v>
      </c>
      <c r="AT213" s="1039">
        <f t="shared" si="141"/>
        <v>0.64259999999999962</v>
      </c>
      <c r="AU213" s="1039">
        <f t="shared" si="129"/>
        <v>0.64219999999999966</v>
      </c>
      <c r="AV213" s="1039">
        <f t="shared" ref="AV213:BD213" si="142">AU213-0.07%</f>
        <v>0.64149999999999963</v>
      </c>
      <c r="AW213" s="1039">
        <f t="shared" si="142"/>
        <v>0.64079999999999959</v>
      </c>
      <c r="AX213" s="1039">
        <f t="shared" si="142"/>
        <v>0.64009999999999956</v>
      </c>
      <c r="AY213" s="1039">
        <f t="shared" si="142"/>
        <v>0.63939999999999952</v>
      </c>
      <c r="AZ213" s="1039">
        <f t="shared" si="142"/>
        <v>0.63869999999999949</v>
      </c>
      <c r="BA213" s="1039">
        <f t="shared" si="142"/>
        <v>0.63799999999999946</v>
      </c>
      <c r="BB213" s="1039">
        <f t="shared" si="142"/>
        <v>0.63729999999999942</v>
      </c>
      <c r="BC213" s="1039">
        <f t="shared" si="142"/>
        <v>0.63659999999999939</v>
      </c>
      <c r="BD213" s="1039">
        <f t="shared" si="142"/>
        <v>0.63589999999999935</v>
      </c>
      <c r="BE213" s="1039">
        <f t="shared" si="131"/>
        <v>0.63519999999999932</v>
      </c>
      <c r="BF213" s="1038">
        <v>0.63039999999999996</v>
      </c>
      <c r="BH213" s="970">
        <f t="shared" si="134"/>
        <v>0.63519999999999932</v>
      </c>
      <c r="BI213" s="970"/>
    </row>
    <row r="214" spans="2:61" s="998" customFormat="1" hidden="1">
      <c r="B214" s="1036">
        <v>38</v>
      </c>
      <c r="C214" s="1037" t="s">
        <v>1340</v>
      </c>
      <c r="D214" s="1037" t="s">
        <v>1339</v>
      </c>
      <c r="E214" s="1037" t="s">
        <v>1338</v>
      </c>
      <c r="F214" s="1037" t="s">
        <v>1337</v>
      </c>
      <c r="G214" s="1037" t="s">
        <v>1336</v>
      </c>
      <c r="H214" s="1037" t="s">
        <v>1335</v>
      </c>
      <c r="I214" s="1037" t="s">
        <v>1334</v>
      </c>
      <c r="J214" s="1037" t="s">
        <v>1333</v>
      </c>
      <c r="K214" s="1037" t="s">
        <v>1332</v>
      </c>
      <c r="L214" s="1037" t="s">
        <v>1331</v>
      </c>
      <c r="M214" s="1037" t="s">
        <v>1330</v>
      </c>
      <c r="N214" s="1037" t="s">
        <v>1329</v>
      </c>
      <c r="O214" s="1037" t="s">
        <v>1328</v>
      </c>
      <c r="P214" s="1037" t="s">
        <v>1327</v>
      </c>
      <c r="Q214" s="1037" t="s">
        <v>1326</v>
      </c>
      <c r="R214" s="1037" t="s">
        <v>1325</v>
      </c>
      <c r="S214" s="1037" t="s">
        <v>1324</v>
      </c>
      <c r="T214" s="1037" t="s">
        <v>1323</v>
      </c>
      <c r="U214" s="1037" t="s">
        <v>1322</v>
      </c>
      <c r="V214" s="1037" t="s">
        <v>1321</v>
      </c>
      <c r="W214" s="1037" t="s">
        <v>1320</v>
      </c>
      <c r="X214" s="1037" t="s">
        <v>1319</v>
      </c>
      <c r="Y214" s="1037" t="s">
        <v>1318</v>
      </c>
      <c r="Z214" s="1037" t="s">
        <v>1317</v>
      </c>
      <c r="AA214" s="1037" t="s">
        <v>1316</v>
      </c>
      <c r="AB214" s="1037" t="s">
        <v>1315</v>
      </c>
      <c r="AC214" s="1038">
        <v>0.69679999999999997</v>
      </c>
      <c r="AD214" s="1038">
        <v>0.69369999999999998</v>
      </c>
      <c r="AE214" s="1038">
        <v>0.69079999999999997</v>
      </c>
      <c r="AF214" s="1039">
        <v>0.68789999999999996</v>
      </c>
      <c r="AG214" s="1039">
        <f t="shared" ref="AG214:AT214" si="143">AF214-0.29%</f>
        <v>0.68499999999999994</v>
      </c>
      <c r="AH214" s="1039">
        <f t="shared" si="143"/>
        <v>0.68209999999999993</v>
      </c>
      <c r="AI214" s="1039">
        <f t="shared" si="143"/>
        <v>0.67919999999999991</v>
      </c>
      <c r="AJ214" s="1039">
        <f t="shared" si="143"/>
        <v>0.6762999999999999</v>
      </c>
      <c r="AK214" s="1039">
        <f t="shared" si="143"/>
        <v>0.67339999999999989</v>
      </c>
      <c r="AL214" s="1039">
        <f t="shared" si="143"/>
        <v>0.67049999999999987</v>
      </c>
      <c r="AM214" s="1039">
        <f t="shared" si="143"/>
        <v>0.66759999999999986</v>
      </c>
      <c r="AN214" s="1039">
        <f t="shared" si="143"/>
        <v>0.66469999999999985</v>
      </c>
      <c r="AO214" s="1039">
        <f t="shared" si="143"/>
        <v>0.66179999999999983</v>
      </c>
      <c r="AP214" s="1039">
        <f t="shared" si="143"/>
        <v>0.65889999999999982</v>
      </c>
      <c r="AQ214" s="1039">
        <f t="shared" si="143"/>
        <v>0.65599999999999981</v>
      </c>
      <c r="AR214" s="1039">
        <f t="shared" si="143"/>
        <v>0.65309999999999979</v>
      </c>
      <c r="AS214" s="1039">
        <f t="shared" si="143"/>
        <v>0.65019999999999978</v>
      </c>
      <c r="AT214" s="1039">
        <f t="shared" si="143"/>
        <v>0.64729999999999976</v>
      </c>
      <c r="AU214" s="1039">
        <f t="shared" si="129"/>
        <v>0.64689999999999981</v>
      </c>
      <c r="AV214" s="1039">
        <f t="shared" ref="AV214:BD214" si="144">AU214-0.07%</f>
        <v>0.64619999999999977</v>
      </c>
      <c r="AW214" s="1039">
        <f t="shared" si="144"/>
        <v>0.64549999999999974</v>
      </c>
      <c r="AX214" s="1039">
        <f t="shared" si="144"/>
        <v>0.64479999999999971</v>
      </c>
      <c r="AY214" s="1039">
        <f t="shared" si="144"/>
        <v>0.64409999999999967</v>
      </c>
      <c r="AZ214" s="1039">
        <f t="shared" si="144"/>
        <v>0.64339999999999964</v>
      </c>
      <c r="BA214" s="1039">
        <f t="shared" si="144"/>
        <v>0.6426999999999996</v>
      </c>
      <c r="BB214" s="1039">
        <f t="shared" si="144"/>
        <v>0.64199999999999957</v>
      </c>
      <c r="BC214" s="1039">
        <f t="shared" si="144"/>
        <v>0.64129999999999954</v>
      </c>
      <c r="BD214" s="1039">
        <f t="shared" si="144"/>
        <v>0.6405999999999995</v>
      </c>
      <c r="BE214" s="1039">
        <f t="shared" si="131"/>
        <v>0.63989999999999947</v>
      </c>
      <c r="BF214" s="1038">
        <v>0.63480000000000003</v>
      </c>
      <c r="BH214" s="970">
        <f t="shared" si="134"/>
        <v>0.63989999999999947</v>
      </c>
      <c r="BI214" s="970"/>
    </row>
    <row r="215" spans="2:61" s="998" customFormat="1" hidden="1">
      <c r="B215" s="1036">
        <v>39</v>
      </c>
      <c r="C215" s="1037" t="s">
        <v>1314</v>
      </c>
      <c r="D215" s="1037" t="s">
        <v>1009</v>
      </c>
      <c r="E215" s="1037" t="s">
        <v>1313</v>
      </c>
      <c r="F215" s="1037" t="s">
        <v>1006</v>
      </c>
      <c r="G215" s="1037" t="s">
        <v>1312</v>
      </c>
      <c r="H215" s="1037" t="s">
        <v>1311</v>
      </c>
      <c r="I215" s="1037" t="s">
        <v>1310</v>
      </c>
      <c r="J215" s="1037" t="s">
        <v>1138</v>
      </c>
      <c r="K215" s="1037" t="s">
        <v>1309</v>
      </c>
      <c r="L215" s="1037" t="s">
        <v>1308</v>
      </c>
      <c r="M215" s="1037" t="s">
        <v>1307</v>
      </c>
      <c r="N215" s="1037" t="s">
        <v>1133</v>
      </c>
      <c r="O215" s="1037" t="s">
        <v>1306</v>
      </c>
      <c r="P215" s="1037" t="s">
        <v>1305</v>
      </c>
      <c r="Q215" s="1037" t="s">
        <v>1304</v>
      </c>
      <c r="R215" s="1037" t="s">
        <v>1303</v>
      </c>
      <c r="S215" s="1037" t="s">
        <v>1302</v>
      </c>
      <c r="T215" s="1037" t="s">
        <v>1301</v>
      </c>
      <c r="U215" s="1037" t="s">
        <v>1300</v>
      </c>
      <c r="V215" s="1037" t="s">
        <v>1299</v>
      </c>
      <c r="W215" s="1037" t="s">
        <v>1298</v>
      </c>
      <c r="X215" s="1037" t="s">
        <v>1297</v>
      </c>
      <c r="Y215" s="1037" t="s">
        <v>1296</v>
      </c>
      <c r="Z215" s="1037" t="s">
        <v>1295</v>
      </c>
      <c r="AA215" s="1037" t="s">
        <v>1294</v>
      </c>
      <c r="AB215" s="1037" t="s">
        <v>1293</v>
      </c>
      <c r="AC215" s="1038">
        <v>0.70320000000000005</v>
      </c>
      <c r="AD215" s="1038">
        <v>0.7</v>
      </c>
      <c r="AE215" s="1038">
        <v>0.69689999999999996</v>
      </c>
      <c r="AF215" s="1039">
        <v>0.69389999999999996</v>
      </c>
      <c r="AG215" s="1039">
        <f t="shared" ref="AG215:AT215" si="145">AF215-0.3%</f>
        <v>0.69089999999999996</v>
      </c>
      <c r="AH215" s="1039">
        <f t="shared" si="145"/>
        <v>0.68789999999999996</v>
      </c>
      <c r="AI215" s="1039">
        <f t="shared" si="145"/>
        <v>0.68489999999999995</v>
      </c>
      <c r="AJ215" s="1039">
        <f t="shared" si="145"/>
        <v>0.68189999999999995</v>
      </c>
      <c r="AK215" s="1039">
        <f t="shared" si="145"/>
        <v>0.67889999999999995</v>
      </c>
      <c r="AL215" s="1039">
        <f t="shared" si="145"/>
        <v>0.67589999999999995</v>
      </c>
      <c r="AM215" s="1039">
        <f t="shared" si="145"/>
        <v>0.67289999999999994</v>
      </c>
      <c r="AN215" s="1039">
        <f t="shared" si="145"/>
        <v>0.66989999999999994</v>
      </c>
      <c r="AO215" s="1039">
        <f t="shared" si="145"/>
        <v>0.66689999999999994</v>
      </c>
      <c r="AP215" s="1039">
        <f t="shared" si="145"/>
        <v>0.66389999999999993</v>
      </c>
      <c r="AQ215" s="1039">
        <f t="shared" si="145"/>
        <v>0.66089999999999993</v>
      </c>
      <c r="AR215" s="1039">
        <f t="shared" si="145"/>
        <v>0.65789999999999993</v>
      </c>
      <c r="AS215" s="1039">
        <f t="shared" si="145"/>
        <v>0.65489999999999993</v>
      </c>
      <c r="AT215" s="1039">
        <f t="shared" si="145"/>
        <v>0.65189999999999992</v>
      </c>
      <c r="AU215" s="1039">
        <f t="shared" si="129"/>
        <v>0.65149999999999997</v>
      </c>
      <c r="AV215" s="1039">
        <f t="shared" ref="AV215:BD215" si="146">AU215-0.07%</f>
        <v>0.65079999999999993</v>
      </c>
      <c r="AW215" s="1039">
        <f t="shared" si="146"/>
        <v>0.6500999999999999</v>
      </c>
      <c r="AX215" s="1039">
        <f t="shared" si="146"/>
        <v>0.64939999999999987</v>
      </c>
      <c r="AY215" s="1039">
        <f t="shared" si="146"/>
        <v>0.64869999999999983</v>
      </c>
      <c r="AZ215" s="1039">
        <f t="shared" si="146"/>
        <v>0.6479999999999998</v>
      </c>
      <c r="BA215" s="1039">
        <f t="shared" si="146"/>
        <v>0.64729999999999976</v>
      </c>
      <c r="BB215" s="1039">
        <f t="shared" si="146"/>
        <v>0.64659999999999973</v>
      </c>
      <c r="BC215" s="1039">
        <f t="shared" si="146"/>
        <v>0.6458999999999997</v>
      </c>
      <c r="BD215" s="1039">
        <f t="shared" si="146"/>
        <v>0.64519999999999966</v>
      </c>
      <c r="BE215" s="1039">
        <f t="shared" si="131"/>
        <v>0.64449999999999963</v>
      </c>
      <c r="BF215" s="1038">
        <v>0.6391</v>
      </c>
      <c r="BH215" s="970">
        <f t="shared" si="134"/>
        <v>0.64449999999999963</v>
      </c>
      <c r="BI215" s="970"/>
    </row>
    <row r="216" spans="2:61" s="998" customFormat="1" hidden="1">
      <c r="B216" s="1036">
        <v>40</v>
      </c>
      <c r="C216" s="1037" t="s">
        <v>1292</v>
      </c>
      <c r="D216" s="1037" t="s">
        <v>1291</v>
      </c>
      <c r="E216" s="1037" t="s">
        <v>1072</v>
      </c>
      <c r="F216" s="1037" t="s">
        <v>1290</v>
      </c>
      <c r="G216" s="1037" t="s">
        <v>158</v>
      </c>
      <c r="H216" s="1037" t="s">
        <v>1069</v>
      </c>
      <c r="I216" s="1037" t="s">
        <v>1289</v>
      </c>
      <c r="J216" s="1037" t="s">
        <v>1050</v>
      </c>
      <c r="K216" s="1037" t="s">
        <v>1065</v>
      </c>
      <c r="L216" s="1037" t="s">
        <v>1288</v>
      </c>
      <c r="M216" s="1037" t="s">
        <v>1287</v>
      </c>
      <c r="N216" s="1037" t="s">
        <v>1286</v>
      </c>
      <c r="O216" s="1037" t="s">
        <v>1285</v>
      </c>
      <c r="P216" s="1037" t="s">
        <v>1284</v>
      </c>
      <c r="Q216" s="1037" t="s">
        <v>1283</v>
      </c>
      <c r="R216" s="1037" t="s">
        <v>164</v>
      </c>
      <c r="S216" s="1037" t="s">
        <v>1282</v>
      </c>
      <c r="T216" s="1037" t="s">
        <v>1281</v>
      </c>
      <c r="U216" s="1037" t="s">
        <v>1216</v>
      </c>
      <c r="V216" s="1037" t="s">
        <v>1280</v>
      </c>
      <c r="W216" s="1037" t="s">
        <v>1279</v>
      </c>
      <c r="X216" s="1037" t="s">
        <v>1278</v>
      </c>
      <c r="Y216" s="1037" t="s">
        <v>1277</v>
      </c>
      <c r="Z216" s="1037" t="s">
        <v>1276</v>
      </c>
      <c r="AA216" s="1037" t="s">
        <v>1275</v>
      </c>
      <c r="AB216" s="1037" t="s">
        <v>1274</v>
      </c>
      <c r="AC216" s="1038">
        <v>0.70950000000000002</v>
      </c>
      <c r="AD216" s="1038">
        <v>0.70620000000000005</v>
      </c>
      <c r="AE216" s="1038">
        <v>0.70309999999999995</v>
      </c>
      <c r="AF216" s="1039">
        <v>0.7</v>
      </c>
      <c r="AG216" s="1039">
        <f t="shared" ref="AG216:AT216" si="147">AF216-0.31%</f>
        <v>0.69689999999999996</v>
      </c>
      <c r="AH216" s="1039">
        <f t="shared" si="147"/>
        <v>0.69379999999999997</v>
      </c>
      <c r="AI216" s="1039">
        <f t="shared" si="147"/>
        <v>0.69069999999999998</v>
      </c>
      <c r="AJ216" s="1039">
        <f t="shared" si="147"/>
        <v>0.68759999999999999</v>
      </c>
      <c r="AK216" s="1039">
        <f t="shared" si="147"/>
        <v>0.6845</v>
      </c>
      <c r="AL216" s="1039">
        <f t="shared" si="147"/>
        <v>0.68140000000000001</v>
      </c>
      <c r="AM216" s="1039">
        <f t="shared" si="147"/>
        <v>0.67830000000000001</v>
      </c>
      <c r="AN216" s="1039">
        <f t="shared" si="147"/>
        <v>0.67520000000000002</v>
      </c>
      <c r="AO216" s="1039">
        <f t="shared" si="147"/>
        <v>0.67210000000000003</v>
      </c>
      <c r="AP216" s="1039">
        <f t="shared" si="147"/>
        <v>0.66900000000000004</v>
      </c>
      <c r="AQ216" s="1039">
        <f t="shared" si="147"/>
        <v>0.66590000000000005</v>
      </c>
      <c r="AR216" s="1039">
        <f t="shared" si="147"/>
        <v>0.66280000000000006</v>
      </c>
      <c r="AS216" s="1039">
        <f t="shared" si="147"/>
        <v>0.65970000000000006</v>
      </c>
      <c r="AT216" s="1039">
        <f t="shared" si="147"/>
        <v>0.65660000000000007</v>
      </c>
      <c r="AU216" s="1039">
        <f t="shared" si="129"/>
        <v>0.65620000000000012</v>
      </c>
      <c r="AV216" s="1039">
        <f t="shared" ref="AV216:BD216" si="148">AU216-0.07%</f>
        <v>0.65550000000000008</v>
      </c>
      <c r="AW216" s="1039">
        <f t="shared" si="148"/>
        <v>0.65480000000000005</v>
      </c>
      <c r="AX216" s="1039">
        <f t="shared" si="148"/>
        <v>0.65410000000000001</v>
      </c>
      <c r="AY216" s="1039">
        <f t="shared" si="148"/>
        <v>0.65339999999999998</v>
      </c>
      <c r="AZ216" s="1039">
        <f t="shared" si="148"/>
        <v>0.65269999999999995</v>
      </c>
      <c r="BA216" s="1039">
        <f t="shared" si="148"/>
        <v>0.65199999999999991</v>
      </c>
      <c r="BB216" s="1039">
        <f t="shared" si="148"/>
        <v>0.65129999999999988</v>
      </c>
      <c r="BC216" s="1039">
        <f t="shared" si="148"/>
        <v>0.65059999999999985</v>
      </c>
      <c r="BD216" s="1039">
        <f t="shared" si="148"/>
        <v>0.64989999999999981</v>
      </c>
      <c r="BE216" s="1039">
        <f t="shared" si="131"/>
        <v>0.64919999999999978</v>
      </c>
      <c r="BF216" s="1038">
        <v>0.64349999999999996</v>
      </c>
      <c r="BH216" s="970">
        <f t="shared" si="134"/>
        <v>0.64919999999999978</v>
      </c>
      <c r="BI216" s="970"/>
    </row>
    <row r="217" spans="2:61" s="998" customFormat="1" hidden="1">
      <c r="B217" s="1036">
        <v>41</v>
      </c>
      <c r="C217" s="1037" t="s">
        <v>1273</v>
      </c>
      <c r="D217" s="1037" t="s">
        <v>975</v>
      </c>
      <c r="E217" s="1037" t="s">
        <v>1272</v>
      </c>
      <c r="F217" s="1037" t="s">
        <v>972</v>
      </c>
      <c r="G217" s="1037" t="s">
        <v>1271</v>
      </c>
      <c r="H217" s="1037" t="s">
        <v>1270</v>
      </c>
      <c r="I217" s="1037" t="s">
        <v>1269</v>
      </c>
      <c r="J217" s="1037" t="s">
        <v>1268</v>
      </c>
      <c r="K217" s="1037" t="s">
        <v>1267</v>
      </c>
      <c r="L217" s="1037" t="s">
        <v>1266</v>
      </c>
      <c r="M217" s="1037" t="s">
        <v>1265</v>
      </c>
      <c r="N217" s="1037" t="s">
        <v>1264</v>
      </c>
      <c r="O217" s="1037" t="s">
        <v>1263</v>
      </c>
      <c r="P217" s="1037" t="s">
        <v>1262</v>
      </c>
      <c r="Q217" s="1037" t="s">
        <v>1133</v>
      </c>
      <c r="R217" s="1037" t="s">
        <v>1261</v>
      </c>
      <c r="S217" s="1037" t="s">
        <v>1260</v>
      </c>
      <c r="T217" s="1037" t="s">
        <v>1259</v>
      </c>
      <c r="U217" s="1037" t="s">
        <v>1258</v>
      </c>
      <c r="V217" s="1037" t="s">
        <v>1257</v>
      </c>
      <c r="W217" s="1037" t="s">
        <v>1256</v>
      </c>
      <c r="X217" s="1037" t="s">
        <v>1255</v>
      </c>
      <c r="Y217" s="1037" t="s">
        <v>1254</v>
      </c>
      <c r="Z217" s="1037" t="s">
        <v>1253</v>
      </c>
      <c r="AA217" s="1037" t="s">
        <v>1252</v>
      </c>
      <c r="AB217" s="1037" t="s">
        <v>1251</v>
      </c>
      <c r="AC217" s="1038">
        <v>0.71589999999999998</v>
      </c>
      <c r="AD217" s="1038">
        <v>0.71250000000000002</v>
      </c>
      <c r="AE217" s="1038">
        <v>0.70920000000000005</v>
      </c>
      <c r="AF217" s="1039">
        <v>0.70609999999999995</v>
      </c>
      <c r="AG217" s="1039">
        <f t="shared" ref="AG217:AT217" si="149">AF217-0.31%</f>
        <v>0.70299999999999996</v>
      </c>
      <c r="AH217" s="1039">
        <f t="shared" si="149"/>
        <v>0.69989999999999997</v>
      </c>
      <c r="AI217" s="1039">
        <f t="shared" si="149"/>
        <v>0.69679999999999997</v>
      </c>
      <c r="AJ217" s="1039">
        <f t="shared" si="149"/>
        <v>0.69369999999999998</v>
      </c>
      <c r="AK217" s="1039">
        <f t="shared" si="149"/>
        <v>0.69059999999999999</v>
      </c>
      <c r="AL217" s="1039">
        <f t="shared" si="149"/>
        <v>0.6875</v>
      </c>
      <c r="AM217" s="1039">
        <f t="shared" si="149"/>
        <v>0.68440000000000001</v>
      </c>
      <c r="AN217" s="1039">
        <f t="shared" si="149"/>
        <v>0.68130000000000002</v>
      </c>
      <c r="AO217" s="1039">
        <f t="shared" si="149"/>
        <v>0.67820000000000003</v>
      </c>
      <c r="AP217" s="1039">
        <f t="shared" si="149"/>
        <v>0.67510000000000003</v>
      </c>
      <c r="AQ217" s="1039">
        <f t="shared" si="149"/>
        <v>0.67200000000000004</v>
      </c>
      <c r="AR217" s="1039">
        <f t="shared" si="149"/>
        <v>0.66890000000000005</v>
      </c>
      <c r="AS217" s="1039">
        <f t="shared" si="149"/>
        <v>0.66580000000000006</v>
      </c>
      <c r="AT217" s="1039">
        <f t="shared" si="149"/>
        <v>0.66270000000000007</v>
      </c>
      <c r="AU217" s="1039">
        <f t="shared" si="129"/>
        <v>0.66230000000000011</v>
      </c>
      <c r="AV217" s="1039">
        <f t="shared" ref="AV217:BD217" si="150">AU217-0.07%</f>
        <v>0.66160000000000008</v>
      </c>
      <c r="AW217" s="1039">
        <f t="shared" si="150"/>
        <v>0.66090000000000004</v>
      </c>
      <c r="AX217" s="1039">
        <f t="shared" si="150"/>
        <v>0.66020000000000001</v>
      </c>
      <c r="AY217" s="1039">
        <f t="shared" si="150"/>
        <v>0.65949999999999998</v>
      </c>
      <c r="AZ217" s="1039">
        <f t="shared" si="150"/>
        <v>0.65879999999999994</v>
      </c>
      <c r="BA217" s="1039">
        <f t="shared" si="150"/>
        <v>0.65809999999999991</v>
      </c>
      <c r="BB217" s="1039">
        <f t="shared" si="150"/>
        <v>0.65739999999999987</v>
      </c>
      <c r="BC217" s="1039">
        <f t="shared" si="150"/>
        <v>0.65669999999999984</v>
      </c>
      <c r="BD217" s="1039">
        <f t="shared" si="150"/>
        <v>0.65599999999999981</v>
      </c>
      <c r="BE217" s="1039">
        <f t="shared" si="131"/>
        <v>0.65529999999999977</v>
      </c>
      <c r="BF217" s="1038">
        <v>0.64780000000000004</v>
      </c>
      <c r="BH217" s="970">
        <f t="shared" si="134"/>
        <v>0.65529999999999977</v>
      </c>
      <c r="BI217" s="970"/>
    </row>
    <row r="218" spans="2:61" s="998" customFormat="1" hidden="1">
      <c r="B218" s="1036">
        <v>42</v>
      </c>
      <c r="C218" s="1037" t="s">
        <v>1250</v>
      </c>
      <c r="D218" s="1037" t="s">
        <v>1249</v>
      </c>
      <c r="E218" s="1037" t="s">
        <v>1248</v>
      </c>
      <c r="F218" s="1037" t="s">
        <v>157</v>
      </c>
      <c r="G218" s="1037" t="s">
        <v>1247</v>
      </c>
      <c r="H218" s="1037" t="s">
        <v>983</v>
      </c>
      <c r="I218" s="1037" t="s">
        <v>1246</v>
      </c>
      <c r="J218" s="1037" t="s">
        <v>1245</v>
      </c>
      <c r="K218" s="1037" t="s">
        <v>1102</v>
      </c>
      <c r="L218" s="1037" t="s">
        <v>1244</v>
      </c>
      <c r="M218" s="1037" t="s">
        <v>1243</v>
      </c>
      <c r="N218" s="1037" t="s">
        <v>1242</v>
      </c>
      <c r="O218" s="1037" t="s">
        <v>1137</v>
      </c>
      <c r="P218" s="1037" t="s">
        <v>172</v>
      </c>
      <c r="Q218" s="1037" t="s">
        <v>1241</v>
      </c>
      <c r="R218" s="1037" t="s">
        <v>1240</v>
      </c>
      <c r="S218" s="1037" t="s">
        <v>163</v>
      </c>
      <c r="T218" s="1037" t="s">
        <v>1239</v>
      </c>
      <c r="U218" s="1037" t="s">
        <v>1238</v>
      </c>
      <c r="V218" s="1037" t="s">
        <v>154</v>
      </c>
      <c r="W218" s="1037" t="s">
        <v>1237</v>
      </c>
      <c r="X218" s="1037" t="s">
        <v>1236</v>
      </c>
      <c r="Y218" s="1037" t="s">
        <v>1235</v>
      </c>
      <c r="Z218" s="1037" t="s">
        <v>1234</v>
      </c>
      <c r="AA218" s="1037" t="s">
        <v>1233</v>
      </c>
      <c r="AB218" s="1037" t="s">
        <v>1232</v>
      </c>
      <c r="AC218" s="1038">
        <v>0.72219999999999995</v>
      </c>
      <c r="AD218" s="1038">
        <v>0.71870000000000001</v>
      </c>
      <c r="AE218" s="1038">
        <v>0.71540000000000004</v>
      </c>
      <c r="AF218" s="1039">
        <v>0.71209999999999996</v>
      </c>
      <c r="AG218" s="1039">
        <f t="shared" ref="AG218:AV218" si="151">AF218-0.33%</f>
        <v>0.70879999999999999</v>
      </c>
      <c r="AH218" s="1039">
        <f t="shared" si="151"/>
        <v>0.70550000000000002</v>
      </c>
      <c r="AI218" s="1039">
        <f t="shared" si="151"/>
        <v>0.70220000000000005</v>
      </c>
      <c r="AJ218" s="1039">
        <f t="shared" si="151"/>
        <v>0.69890000000000008</v>
      </c>
      <c r="AK218" s="1039">
        <f t="shared" si="151"/>
        <v>0.69560000000000011</v>
      </c>
      <c r="AL218" s="1039">
        <f t="shared" si="151"/>
        <v>0.69230000000000014</v>
      </c>
      <c r="AM218" s="1039">
        <f t="shared" si="151"/>
        <v>0.68900000000000017</v>
      </c>
      <c r="AN218" s="1039">
        <f t="shared" si="151"/>
        <v>0.6857000000000002</v>
      </c>
      <c r="AO218" s="1039">
        <f t="shared" si="151"/>
        <v>0.68240000000000023</v>
      </c>
      <c r="AP218" s="1039">
        <f t="shared" si="151"/>
        <v>0.67910000000000026</v>
      </c>
      <c r="AQ218" s="1039">
        <f t="shared" si="151"/>
        <v>0.67580000000000029</v>
      </c>
      <c r="AR218" s="1039">
        <f t="shared" si="151"/>
        <v>0.67250000000000032</v>
      </c>
      <c r="AS218" s="1039">
        <f t="shared" si="151"/>
        <v>0.66920000000000035</v>
      </c>
      <c r="AT218" s="1039">
        <f t="shared" si="151"/>
        <v>0.66590000000000038</v>
      </c>
      <c r="AU218" s="1039">
        <f t="shared" si="151"/>
        <v>0.66260000000000041</v>
      </c>
      <c r="AV218" s="1039">
        <f t="shared" si="151"/>
        <v>0.65930000000000044</v>
      </c>
      <c r="AW218" s="1039">
        <f t="shared" ref="AW218:BD227" si="152">AV218-0.07%</f>
        <v>0.65860000000000041</v>
      </c>
      <c r="AX218" s="1039">
        <f t="shared" si="152"/>
        <v>0.65790000000000037</v>
      </c>
      <c r="AY218" s="1039">
        <f t="shared" si="152"/>
        <v>0.65720000000000034</v>
      </c>
      <c r="AZ218" s="1039">
        <f t="shared" si="152"/>
        <v>0.65650000000000031</v>
      </c>
      <c r="BA218" s="1039">
        <f t="shared" si="152"/>
        <v>0.65580000000000027</v>
      </c>
      <c r="BB218" s="1039">
        <f t="shared" si="152"/>
        <v>0.65510000000000024</v>
      </c>
      <c r="BC218" s="1039">
        <f t="shared" si="152"/>
        <v>0.6544000000000002</v>
      </c>
      <c r="BD218" s="1039">
        <f t="shared" si="152"/>
        <v>0.65370000000000017</v>
      </c>
      <c r="BE218" s="1039">
        <f t="shared" si="131"/>
        <v>0.65300000000000014</v>
      </c>
      <c r="BF218" s="1038">
        <v>0.6522</v>
      </c>
      <c r="BH218" s="970">
        <f t="shared" si="134"/>
        <v>0.65300000000000014</v>
      </c>
      <c r="BI218" s="970"/>
    </row>
    <row r="219" spans="2:61" s="998" customFormat="1" hidden="1">
      <c r="B219" s="1036">
        <v>43</v>
      </c>
      <c r="C219" s="1037" t="s">
        <v>1231</v>
      </c>
      <c r="D219" s="1037" t="s">
        <v>948</v>
      </c>
      <c r="E219" s="1037" t="s">
        <v>1014</v>
      </c>
      <c r="F219" s="1037" t="s">
        <v>945</v>
      </c>
      <c r="G219" s="1037" t="s">
        <v>1230</v>
      </c>
      <c r="H219" s="1037" t="s">
        <v>1010</v>
      </c>
      <c r="I219" s="1037" t="s">
        <v>1229</v>
      </c>
      <c r="J219" s="1037" t="s">
        <v>1055</v>
      </c>
      <c r="K219" s="1037" t="s">
        <v>1006</v>
      </c>
      <c r="L219" s="1037" t="s">
        <v>1228</v>
      </c>
      <c r="M219" s="1037" t="s">
        <v>1227</v>
      </c>
      <c r="N219" s="1037" t="s">
        <v>1050</v>
      </c>
      <c r="O219" s="1037" t="s">
        <v>1226</v>
      </c>
      <c r="P219" s="1037" t="s">
        <v>1225</v>
      </c>
      <c r="Q219" s="1037" t="s">
        <v>1224</v>
      </c>
      <c r="R219" s="1037" t="s">
        <v>1223</v>
      </c>
      <c r="S219" s="1037" t="s">
        <v>1222</v>
      </c>
      <c r="T219" s="1037" t="s">
        <v>1133</v>
      </c>
      <c r="U219" s="1037" t="s">
        <v>1221</v>
      </c>
      <c r="V219" s="1037" t="s">
        <v>1220</v>
      </c>
      <c r="W219" s="1037" t="s">
        <v>1219</v>
      </c>
      <c r="X219" s="1037" t="s">
        <v>1218</v>
      </c>
      <c r="Y219" s="1037" t="s">
        <v>1217</v>
      </c>
      <c r="Z219" s="1037" t="s">
        <v>1216</v>
      </c>
      <c r="AA219" s="1037" t="s">
        <v>1215</v>
      </c>
      <c r="AB219" s="1037" t="s">
        <v>1214</v>
      </c>
      <c r="AC219" s="1038">
        <v>0.72860000000000003</v>
      </c>
      <c r="AD219" s="1038">
        <v>0.72499999999999998</v>
      </c>
      <c r="AE219" s="1038">
        <v>0.72150000000000003</v>
      </c>
      <c r="AF219" s="1039">
        <v>0.71819999999999995</v>
      </c>
      <c r="AG219" s="1039">
        <f t="shared" ref="AG219:AV219" si="153">AF219-0.33%</f>
        <v>0.71489999999999998</v>
      </c>
      <c r="AH219" s="1039">
        <f t="shared" si="153"/>
        <v>0.71160000000000001</v>
      </c>
      <c r="AI219" s="1039">
        <f t="shared" si="153"/>
        <v>0.70830000000000004</v>
      </c>
      <c r="AJ219" s="1039">
        <f t="shared" si="153"/>
        <v>0.70500000000000007</v>
      </c>
      <c r="AK219" s="1039">
        <f t="shared" si="153"/>
        <v>0.7017000000000001</v>
      </c>
      <c r="AL219" s="1039">
        <f t="shared" si="153"/>
        <v>0.69840000000000013</v>
      </c>
      <c r="AM219" s="1039">
        <f t="shared" si="153"/>
        <v>0.69510000000000016</v>
      </c>
      <c r="AN219" s="1039">
        <f t="shared" si="153"/>
        <v>0.69180000000000019</v>
      </c>
      <c r="AO219" s="1039">
        <f t="shared" si="153"/>
        <v>0.68850000000000022</v>
      </c>
      <c r="AP219" s="1039">
        <f t="shared" si="153"/>
        <v>0.68520000000000025</v>
      </c>
      <c r="AQ219" s="1039">
        <f t="shared" si="153"/>
        <v>0.68190000000000028</v>
      </c>
      <c r="AR219" s="1039">
        <f t="shared" si="153"/>
        <v>0.67860000000000031</v>
      </c>
      <c r="AS219" s="1039">
        <f t="shared" si="153"/>
        <v>0.67530000000000034</v>
      </c>
      <c r="AT219" s="1039">
        <f t="shared" si="153"/>
        <v>0.67200000000000037</v>
      </c>
      <c r="AU219" s="1039">
        <f t="shared" si="153"/>
        <v>0.66870000000000041</v>
      </c>
      <c r="AV219" s="1039">
        <f t="shared" si="153"/>
        <v>0.66540000000000044</v>
      </c>
      <c r="AW219" s="1039">
        <f t="shared" si="152"/>
        <v>0.6647000000000004</v>
      </c>
      <c r="AX219" s="1039">
        <f t="shared" si="152"/>
        <v>0.66400000000000037</v>
      </c>
      <c r="AY219" s="1039">
        <f t="shared" si="152"/>
        <v>0.66330000000000033</v>
      </c>
      <c r="AZ219" s="1039">
        <f t="shared" si="152"/>
        <v>0.6626000000000003</v>
      </c>
      <c r="BA219" s="1039">
        <f t="shared" si="152"/>
        <v>0.66190000000000027</v>
      </c>
      <c r="BB219" s="1039">
        <f t="shared" si="152"/>
        <v>0.66120000000000023</v>
      </c>
      <c r="BC219" s="1039">
        <f t="shared" si="152"/>
        <v>0.6605000000000002</v>
      </c>
      <c r="BD219" s="1039">
        <f t="shared" si="152"/>
        <v>0.65980000000000016</v>
      </c>
      <c r="BE219" s="1039">
        <f t="shared" si="131"/>
        <v>0.65910000000000013</v>
      </c>
      <c r="BF219" s="1038">
        <v>0.65649999999999997</v>
      </c>
      <c r="BH219" s="970">
        <f t="shared" si="134"/>
        <v>0.65910000000000013</v>
      </c>
      <c r="BI219" s="970"/>
    </row>
    <row r="220" spans="2:61" s="998" customFormat="1" hidden="1">
      <c r="B220" s="1036">
        <v>44</v>
      </c>
      <c r="C220" s="1037" t="s">
        <v>914</v>
      </c>
      <c r="D220" s="1037" t="s">
        <v>1213</v>
      </c>
      <c r="E220" s="1037" t="s">
        <v>1212</v>
      </c>
      <c r="F220" s="1037" t="s">
        <v>161</v>
      </c>
      <c r="G220" s="1037" t="s">
        <v>1211</v>
      </c>
      <c r="H220" s="1037" t="s">
        <v>1210</v>
      </c>
      <c r="I220" s="1037" t="s">
        <v>1209</v>
      </c>
      <c r="J220" s="1037" t="s">
        <v>1208</v>
      </c>
      <c r="K220" s="1037" t="s">
        <v>1207</v>
      </c>
      <c r="L220" s="1037" t="s">
        <v>1206</v>
      </c>
      <c r="M220" s="1037" t="s">
        <v>1205</v>
      </c>
      <c r="N220" s="1037" t="s">
        <v>1204</v>
      </c>
      <c r="O220" s="1037" t="s">
        <v>1203</v>
      </c>
      <c r="P220" s="1037" t="s">
        <v>1202</v>
      </c>
      <c r="Q220" s="1037" t="s">
        <v>1201</v>
      </c>
      <c r="R220" s="1037" t="s">
        <v>153</v>
      </c>
      <c r="S220" s="1037" t="s">
        <v>1200</v>
      </c>
      <c r="T220" s="1037" t="s">
        <v>1199</v>
      </c>
      <c r="U220" s="1037" t="s">
        <v>1198</v>
      </c>
      <c r="V220" s="1037" t="s">
        <v>1197</v>
      </c>
      <c r="W220" s="1037" t="s">
        <v>1196</v>
      </c>
      <c r="X220" s="1037" t="s">
        <v>1195</v>
      </c>
      <c r="Y220" s="1037" t="s">
        <v>1194</v>
      </c>
      <c r="Z220" s="1037" t="s">
        <v>1193</v>
      </c>
      <c r="AA220" s="1037" t="s">
        <v>1192</v>
      </c>
      <c r="AB220" s="1037" t="s">
        <v>1191</v>
      </c>
      <c r="AC220" s="1038">
        <v>0.7349</v>
      </c>
      <c r="AD220" s="1038">
        <v>0.73119999999999996</v>
      </c>
      <c r="AE220" s="1038">
        <v>0.72770000000000001</v>
      </c>
      <c r="AF220" s="1039">
        <v>0.72419999999999995</v>
      </c>
      <c r="AG220" s="1039">
        <f t="shared" ref="AG220:AV220" si="154">AF220-0.35%</f>
        <v>0.72070000000000001</v>
      </c>
      <c r="AH220" s="1039">
        <f t="shared" si="154"/>
        <v>0.71720000000000006</v>
      </c>
      <c r="AI220" s="1039">
        <f t="shared" si="154"/>
        <v>0.71370000000000011</v>
      </c>
      <c r="AJ220" s="1039">
        <f t="shared" si="154"/>
        <v>0.71020000000000016</v>
      </c>
      <c r="AK220" s="1039">
        <f t="shared" si="154"/>
        <v>0.70670000000000022</v>
      </c>
      <c r="AL220" s="1039">
        <f t="shared" si="154"/>
        <v>0.70320000000000027</v>
      </c>
      <c r="AM220" s="1039">
        <f t="shared" si="154"/>
        <v>0.69970000000000032</v>
      </c>
      <c r="AN220" s="1039">
        <f t="shared" si="154"/>
        <v>0.69620000000000037</v>
      </c>
      <c r="AO220" s="1039">
        <f t="shared" si="154"/>
        <v>0.69270000000000043</v>
      </c>
      <c r="AP220" s="1039">
        <f t="shared" si="154"/>
        <v>0.68920000000000048</v>
      </c>
      <c r="AQ220" s="1039">
        <f t="shared" si="154"/>
        <v>0.68570000000000053</v>
      </c>
      <c r="AR220" s="1039">
        <f t="shared" si="154"/>
        <v>0.68220000000000058</v>
      </c>
      <c r="AS220" s="1039">
        <f t="shared" si="154"/>
        <v>0.67870000000000064</v>
      </c>
      <c r="AT220" s="1039">
        <f t="shared" si="154"/>
        <v>0.67520000000000069</v>
      </c>
      <c r="AU220" s="1039">
        <f t="shared" si="154"/>
        <v>0.67170000000000074</v>
      </c>
      <c r="AV220" s="1039">
        <f t="shared" si="154"/>
        <v>0.66820000000000079</v>
      </c>
      <c r="AW220" s="1039">
        <f t="shared" si="152"/>
        <v>0.66750000000000076</v>
      </c>
      <c r="AX220" s="1039">
        <f t="shared" si="152"/>
        <v>0.66680000000000073</v>
      </c>
      <c r="AY220" s="1039">
        <f t="shared" si="152"/>
        <v>0.66610000000000069</v>
      </c>
      <c r="AZ220" s="1039">
        <f t="shared" si="152"/>
        <v>0.66540000000000066</v>
      </c>
      <c r="BA220" s="1039">
        <f t="shared" si="152"/>
        <v>0.66470000000000062</v>
      </c>
      <c r="BB220" s="1039">
        <f t="shared" si="152"/>
        <v>0.66400000000000059</v>
      </c>
      <c r="BC220" s="1039">
        <f t="shared" si="152"/>
        <v>0.66330000000000056</v>
      </c>
      <c r="BD220" s="1039">
        <f t="shared" si="152"/>
        <v>0.66260000000000052</v>
      </c>
      <c r="BE220" s="1039">
        <f t="shared" si="131"/>
        <v>0.66190000000000049</v>
      </c>
      <c r="BF220" s="1038">
        <v>0.66090000000000004</v>
      </c>
      <c r="BH220" s="970">
        <f t="shared" si="134"/>
        <v>0.66190000000000049</v>
      </c>
      <c r="BI220" s="970"/>
    </row>
    <row r="221" spans="2:61" s="998" customFormat="1" hidden="1">
      <c r="B221" s="1036">
        <v>45</v>
      </c>
      <c r="C221" s="1037" t="s">
        <v>914</v>
      </c>
      <c r="D221" s="1037" t="s">
        <v>914</v>
      </c>
      <c r="E221" s="1037" t="s">
        <v>1190</v>
      </c>
      <c r="F221" s="1037" t="s">
        <v>927</v>
      </c>
      <c r="G221" s="1037" t="s">
        <v>1189</v>
      </c>
      <c r="H221" s="1037" t="s">
        <v>1188</v>
      </c>
      <c r="I221" s="1037" t="s">
        <v>1187</v>
      </c>
      <c r="J221" s="1037" t="s">
        <v>1186</v>
      </c>
      <c r="K221" s="1037" t="s">
        <v>1185</v>
      </c>
      <c r="L221" s="1037" t="s">
        <v>1184</v>
      </c>
      <c r="M221" s="1037" t="s">
        <v>1183</v>
      </c>
      <c r="N221" s="1037" t="s">
        <v>1182</v>
      </c>
      <c r="O221" s="1037" t="s">
        <v>1181</v>
      </c>
      <c r="P221" s="1037" t="s">
        <v>1180</v>
      </c>
      <c r="Q221" s="1037" t="s">
        <v>1179</v>
      </c>
      <c r="R221" s="1037" t="s">
        <v>1178</v>
      </c>
      <c r="S221" s="1037" t="s">
        <v>1177</v>
      </c>
      <c r="T221" s="1037" t="s">
        <v>1176</v>
      </c>
      <c r="U221" s="1037" t="s">
        <v>1175</v>
      </c>
      <c r="V221" s="1037" t="s">
        <v>1174</v>
      </c>
      <c r="W221" s="1037" t="s">
        <v>1133</v>
      </c>
      <c r="X221" s="1037" t="s">
        <v>1173</v>
      </c>
      <c r="Y221" s="1037" t="s">
        <v>1172</v>
      </c>
      <c r="Z221" s="1037" t="s">
        <v>1171</v>
      </c>
      <c r="AA221" s="1037" t="s">
        <v>1170</v>
      </c>
      <c r="AB221" s="1037" t="s">
        <v>1169</v>
      </c>
      <c r="AC221" s="1038">
        <v>0.74129999999999996</v>
      </c>
      <c r="AD221" s="1038">
        <v>0.73750000000000004</v>
      </c>
      <c r="AE221" s="1038">
        <v>0.73380000000000001</v>
      </c>
      <c r="AF221" s="1039">
        <v>0.73029999999999995</v>
      </c>
      <c r="AG221" s="1039">
        <f t="shared" ref="AG221:AV221" si="155">AF221-0.35%</f>
        <v>0.7268</v>
      </c>
      <c r="AH221" s="1039">
        <f t="shared" si="155"/>
        <v>0.72330000000000005</v>
      </c>
      <c r="AI221" s="1039">
        <f t="shared" si="155"/>
        <v>0.71980000000000011</v>
      </c>
      <c r="AJ221" s="1039">
        <f t="shared" si="155"/>
        <v>0.71630000000000016</v>
      </c>
      <c r="AK221" s="1039">
        <f t="shared" si="155"/>
        <v>0.71280000000000021</v>
      </c>
      <c r="AL221" s="1039">
        <f t="shared" si="155"/>
        <v>0.70930000000000026</v>
      </c>
      <c r="AM221" s="1039">
        <f t="shared" si="155"/>
        <v>0.70580000000000032</v>
      </c>
      <c r="AN221" s="1039">
        <f t="shared" si="155"/>
        <v>0.70230000000000037</v>
      </c>
      <c r="AO221" s="1039">
        <f t="shared" si="155"/>
        <v>0.69880000000000042</v>
      </c>
      <c r="AP221" s="1039">
        <f t="shared" si="155"/>
        <v>0.69530000000000047</v>
      </c>
      <c r="AQ221" s="1039">
        <f t="shared" si="155"/>
        <v>0.69180000000000053</v>
      </c>
      <c r="AR221" s="1039">
        <f t="shared" si="155"/>
        <v>0.68830000000000058</v>
      </c>
      <c r="AS221" s="1039">
        <f t="shared" si="155"/>
        <v>0.68480000000000063</v>
      </c>
      <c r="AT221" s="1039">
        <f t="shared" si="155"/>
        <v>0.68130000000000068</v>
      </c>
      <c r="AU221" s="1039">
        <f t="shared" si="155"/>
        <v>0.67780000000000074</v>
      </c>
      <c r="AV221" s="1039">
        <f t="shared" si="155"/>
        <v>0.67430000000000079</v>
      </c>
      <c r="AW221" s="1039">
        <f t="shared" si="152"/>
        <v>0.67360000000000075</v>
      </c>
      <c r="AX221" s="1039">
        <f t="shared" si="152"/>
        <v>0.67290000000000072</v>
      </c>
      <c r="AY221" s="1039">
        <f t="shared" si="152"/>
        <v>0.67220000000000069</v>
      </c>
      <c r="AZ221" s="1039">
        <f t="shared" si="152"/>
        <v>0.67150000000000065</v>
      </c>
      <c r="BA221" s="1039">
        <f t="shared" si="152"/>
        <v>0.67080000000000062</v>
      </c>
      <c r="BB221" s="1039">
        <f t="shared" si="152"/>
        <v>0.67010000000000058</v>
      </c>
      <c r="BC221" s="1039">
        <f t="shared" si="152"/>
        <v>0.66940000000000055</v>
      </c>
      <c r="BD221" s="1039">
        <f t="shared" si="152"/>
        <v>0.66870000000000052</v>
      </c>
      <c r="BE221" s="1039">
        <f t="shared" si="131"/>
        <v>0.66800000000000048</v>
      </c>
      <c r="BF221" s="1038">
        <v>0.66520000000000001</v>
      </c>
      <c r="BH221" s="970">
        <f t="shared" si="134"/>
        <v>0.66800000000000048</v>
      </c>
      <c r="BI221" s="970"/>
    </row>
    <row r="222" spans="2:61" s="998" customFormat="1" hidden="1">
      <c r="B222" s="1036">
        <v>46</v>
      </c>
      <c r="C222" s="1037"/>
      <c r="D222" s="1037" t="s">
        <v>914</v>
      </c>
      <c r="E222" s="1037" t="s">
        <v>914</v>
      </c>
      <c r="F222" s="1037" t="s">
        <v>1168</v>
      </c>
      <c r="G222" s="1037" t="s">
        <v>1167</v>
      </c>
      <c r="H222" s="1037" t="s">
        <v>966</v>
      </c>
      <c r="I222" s="1037" t="s">
        <v>1166</v>
      </c>
      <c r="J222" s="1037" t="s">
        <v>1165</v>
      </c>
      <c r="K222" s="1037" t="s">
        <v>962</v>
      </c>
      <c r="L222" s="1037" t="s">
        <v>1164</v>
      </c>
      <c r="M222" s="1037" t="s">
        <v>1163</v>
      </c>
      <c r="N222" s="1037" t="s">
        <v>1162</v>
      </c>
      <c r="O222" s="1037" t="s">
        <v>1161</v>
      </c>
      <c r="P222" s="1037" t="s">
        <v>1160</v>
      </c>
      <c r="Q222" s="1037" t="s">
        <v>1159</v>
      </c>
      <c r="R222" s="1037" t="s">
        <v>1050</v>
      </c>
      <c r="S222" s="1037" t="s">
        <v>1158</v>
      </c>
      <c r="T222" s="1037" t="s">
        <v>1157</v>
      </c>
      <c r="U222" s="1037" t="s">
        <v>1156</v>
      </c>
      <c r="V222" s="1037" t="s">
        <v>1155</v>
      </c>
      <c r="W222" s="1037" t="s">
        <v>1154</v>
      </c>
      <c r="X222" s="1037" t="s">
        <v>1153</v>
      </c>
      <c r="Y222" s="1037" t="s">
        <v>1152</v>
      </c>
      <c r="Z222" s="1037" t="s">
        <v>1151</v>
      </c>
      <c r="AA222" s="1037" t="s">
        <v>1150</v>
      </c>
      <c r="AB222" s="1037" t="s">
        <v>1149</v>
      </c>
      <c r="AC222" s="1038">
        <v>0.74760000000000004</v>
      </c>
      <c r="AD222" s="1038">
        <v>0.74370000000000003</v>
      </c>
      <c r="AE222" s="1038">
        <v>0.74</v>
      </c>
      <c r="AF222" s="1039">
        <v>0.73640000000000005</v>
      </c>
      <c r="AG222" s="1039">
        <f t="shared" ref="AG222:AV222" si="156">AF222-0.36%</f>
        <v>0.73280000000000001</v>
      </c>
      <c r="AH222" s="1039">
        <f t="shared" si="156"/>
        <v>0.72919999999999996</v>
      </c>
      <c r="AI222" s="1039">
        <f t="shared" si="156"/>
        <v>0.72559999999999991</v>
      </c>
      <c r="AJ222" s="1039">
        <f t="shared" si="156"/>
        <v>0.72199999999999986</v>
      </c>
      <c r="AK222" s="1039">
        <f t="shared" si="156"/>
        <v>0.71839999999999982</v>
      </c>
      <c r="AL222" s="1039">
        <f t="shared" si="156"/>
        <v>0.71479999999999977</v>
      </c>
      <c r="AM222" s="1039">
        <f t="shared" si="156"/>
        <v>0.71119999999999972</v>
      </c>
      <c r="AN222" s="1039">
        <f t="shared" si="156"/>
        <v>0.70759999999999967</v>
      </c>
      <c r="AO222" s="1039">
        <f t="shared" si="156"/>
        <v>0.70399999999999963</v>
      </c>
      <c r="AP222" s="1039">
        <f t="shared" si="156"/>
        <v>0.70039999999999958</v>
      </c>
      <c r="AQ222" s="1039">
        <f t="shared" si="156"/>
        <v>0.69679999999999953</v>
      </c>
      <c r="AR222" s="1039">
        <f t="shared" si="156"/>
        <v>0.69319999999999948</v>
      </c>
      <c r="AS222" s="1039">
        <f t="shared" si="156"/>
        <v>0.68959999999999944</v>
      </c>
      <c r="AT222" s="1039">
        <f t="shared" si="156"/>
        <v>0.68599999999999939</v>
      </c>
      <c r="AU222" s="1039">
        <f t="shared" si="156"/>
        <v>0.68239999999999934</v>
      </c>
      <c r="AV222" s="1039">
        <f t="shared" si="156"/>
        <v>0.67879999999999929</v>
      </c>
      <c r="AW222" s="1039">
        <f t="shared" si="152"/>
        <v>0.67809999999999926</v>
      </c>
      <c r="AX222" s="1039">
        <f t="shared" si="152"/>
        <v>0.67739999999999922</v>
      </c>
      <c r="AY222" s="1039">
        <f t="shared" si="152"/>
        <v>0.67669999999999919</v>
      </c>
      <c r="AZ222" s="1039">
        <f t="shared" si="152"/>
        <v>0.67599999999999916</v>
      </c>
      <c r="BA222" s="1039">
        <f t="shared" si="152"/>
        <v>0.67529999999999912</v>
      </c>
      <c r="BB222" s="1039">
        <f t="shared" si="152"/>
        <v>0.67459999999999909</v>
      </c>
      <c r="BC222" s="1039">
        <f t="shared" si="152"/>
        <v>0.67389999999999906</v>
      </c>
      <c r="BD222" s="1039">
        <f t="shared" si="152"/>
        <v>0.67319999999999902</v>
      </c>
      <c r="BE222" s="1039">
        <f t="shared" si="131"/>
        <v>0.67249999999999899</v>
      </c>
      <c r="BF222" s="1038">
        <v>0.66959999999999997</v>
      </c>
      <c r="BH222" s="970">
        <f t="shared" si="134"/>
        <v>0.67249999999999899</v>
      </c>
      <c r="BI222" s="970"/>
    </row>
    <row r="223" spans="2:61" s="998" customFormat="1" ht="1.5" hidden="1" customHeight="1">
      <c r="B223" s="1036">
        <v>47</v>
      </c>
      <c r="C223" s="1037"/>
      <c r="D223" s="1037"/>
      <c r="E223" s="1037" t="s">
        <v>914</v>
      </c>
      <c r="F223" s="1037" t="s">
        <v>914</v>
      </c>
      <c r="G223" s="1037" t="s">
        <v>1148</v>
      </c>
      <c r="H223" s="1037" t="s">
        <v>1147</v>
      </c>
      <c r="I223" s="1037" t="s">
        <v>1146</v>
      </c>
      <c r="J223" s="1037" t="s">
        <v>988</v>
      </c>
      <c r="K223" s="1037" t="s">
        <v>1012</v>
      </c>
      <c r="L223" s="1037" t="s">
        <v>1145</v>
      </c>
      <c r="M223" s="1037" t="s">
        <v>1144</v>
      </c>
      <c r="N223" s="1037" t="s">
        <v>983</v>
      </c>
      <c r="O223" s="1037" t="s">
        <v>1143</v>
      </c>
      <c r="P223" s="1037" t="s">
        <v>1006</v>
      </c>
      <c r="Q223" s="1037" t="s">
        <v>1142</v>
      </c>
      <c r="R223" s="1037" t="s">
        <v>1141</v>
      </c>
      <c r="S223" s="1037" t="s">
        <v>1140</v>
      </c>
      <c r="T223" s="1037" t="s">
        <v>1139</v>
      </c>
      <c r="U223" s="1037" t="s">
        <v>1138</v>
      </c>
      <c r="V223" s="1037" t="s">
        <v>1137</v>
      </c>
      <c r="W223" s="1037" t="s">
        <v>1136</v>
      </c>
      <c r="X223" s="1037" t="s">
        <v>1135</v>
      </c>
      <c r="Y223" s="1037" t="s">
        <v>1134</v>
      </c>
      <c r="Z223" s="1037" t="s">
        <v>1133</v>
      </c>
      <c r="AA223" s="1037" t="s">
        <v>1132</v>
      </c>
      <c r="AB223" s="1037" t="s">
        <v>1131</v>
      </c>
      <c r="AC223" s="1038">
        <v>0.754</v>
      </c>
      <c r="AD223" s="1038">
        <v>0.75</v>
      </c>
      <c r="AE223" s="1038">
        <v>0.74619999999999997</v>
      </c>
      <c r="AF223" s="1039">
        <v>0.74239999999999995</v>
      </c>
      <c r="AG223" s="1039">
        <f t="shared" ref="AG223:AV223" si="157">AF223-0.38%</f>
        <v>0.73859999999999992</v>
      </c>
      <c r="AH223" s="1039">
        <f t="shared" si="157"/>
        <v>0.7347999999999999</v>
      </c>
      <c r="AI223" s="1039">
        <f t="shared" si="157"/>
        <v>0.73099999999999987</v>
      </c>
      <c r="AJ223" s="1039">
        <f t="shared" si="157"/>
        <v>0.72719999999999985</v>
      </c>
      <c r="AK223" s="1039">
        <f t="shared" si="157"/>
        <v>0.72339999999999982</v>
      </c>
      <c r="AL223" s="1039">
        <f t="shared" si="157"/>
        <v>0.7195999999999998</v>
      </c>
      <c r="AM223" s="1039">
        <f t="shared" si="157"/>
        <v>0.71579999999999977</v>
      </c>
      <c r="AN223" s="1039">
        <f t="shared" si="157"/>
        <v>0.71199999999999974</v>
      </c>
      <c r="AO223" s="1039">
        <f t="shared" si="157"/>
        <v>0.70819999999999972</v>
      </c>
      <c r="AP223" s="1039">
        <f t="shared" si="157"/>
        <v>0.70439999999999969</v>
      </c>
      <c r="AQ223" s="1039">
        <f t="shared" si="157"/>
        <v>0.70059999999999967</v>
      </c>
      <c r="AR223" s="1039">
        <f t="shared" si="157"/>
        <v>0.69679999999999964</v>
      </c>
      <c r="AS223" s="1039">
        <f t="shared" si="157"/>
        <v>0.69299999999999962</v>
      </c>
      <c r="AT223" s="1039">
        <f t="shared" si="157"/>
        <v>0.68919999999999959</v>
      </c>
      <c r="AU223" s="1039">
        <f t="shared" si="157"/>
        <v>0.68539999999999957</v>
      </c>
      <c r="AV223" s="1039">
        <f t="shared" si="157"/>
        <v>0.68159999999999954</v>
      </c>
      <c r="AW223" s="1039">
        <f t="shared" si="152"/>
        <v>0.68089999999999951</v>
      </c>
      <c r="AX223" s="1039">
        <f t="shared" si="152"/>
        <v>0.68019999999999947</v>
      </c>
      <c r="AY223" s="1039">
        <f t="shared" si="152"/>
        <v>0.67949999999999944</v>
      </c>
      <c r="AZ223" s="1039">
        <f t="shared" si="152"/>
        <v>0.6787999999999994</v>
      </c>
      <c r="BA223" s="1039">
        <f t="shared" si="152"/>
        <v>0.67809999999999937</v>
      </c>
      <c r="BB223" s="1039">
        <f t="shared" si="152"/>
        <v>0.67739999999999934</v>
      </c>
      <c r="BC223" s="1039">
        <f t="shared" si="152"/>
        <v>0.6766999999999993</v>
      </c>
      <c r="BD223" s="1039">
        <f t="shared" si="152"/>
        <v>0.67599999999999927</v>
      </c>
      <c r="BE223" s="1039">
        <f t="shared" si="131"/>
        <v>0.67529999999999923</v>
      </c>
      <c r="BF223" s="1038">
        <v>0.67390000000000005</v>
      </c>
      <c r="BH223" s="970">
        <f t="shared" si="134"/>
        <v>0.67529999999999923</v>
      </c>
      <c r="BI223" s="970"/>
    </row>
    <row r="224" spans="2:61" s="998" customFormat="1" hidden="1">
      <c r="B224" s="1036">
        <v>48</v>
      </c>
      <c r="C224" s="1037"/>
      <c r="D224" s="1037"/>
      <c r="E224" s="1037"/>
      <c r="F224" s="1037" t="s">
        <v>914</v>
      </c>
      <c r="G224" s="1037" t="s">
        <v>914</v>
      </c>
      <c r="H224" s="1037" t="s">
        <v>1130</v>
      </c>
      <c r="I224" s="1037" t="s">
        <v>1129</v>
      </c>
      <c r="J224" s="1037" t="s">
        <v>1128</v>
      </c>
      <c r="K224" s="1037" t="s">
        <v>1127</v>
      </c>
      <c r="L224" s="1037" t="s">
        <v>1126</v>
      </c>
      <c r="M224" s="1037" t="s">
        <v>1125</v>
      </c>
      <c r="N224" s="1037" t="s">
        <v>1124</v>
      </c>
      <c r="O224" s="1037" t="s">
        <v>1123</v>
      </c>
      <c r="P224" s="1037" t="s">
        <v>1122</v>
      </c>
      <c r="Q224" s="1037" t="s">
        <v>1121</v>
      </c>
      <c r="R224" s="1037" t="s">
        <v>1120</v>
      </c>
      <c r="S224" s="1037" t="s">
        <v>1119</v>
      </c>
      <c r="T224" s="1037" t="s">
        <v>1118</v>
      </c>
      <c r="U224" s="1037" t="s">
        <v>1117</v>
      </c>
      <c r="V224" s="1037" t="s">
        <v>1116</v>
      </c>
      <c r="W224" s="1037" t="s">
        <v>1115</v>
      </c>
      <c r="X224" s="1037" t="s">
        <v>1114</v>
      </c>
      <c r="Y224" s="1037" t="s">
        <v>1113</v>
      </c>
      <c r="Z224" s="1037" t="s">
        <v>1112</v>
      </c>
      <c r="AA224" s="1037" t="s">
        <v>1111</v>
      </c>
      <c r="AB224" s="1037" t="s">
        <v>1110</v>
      </c>
      <c r="AC224" s="1038">
        <v>0.76029999999999998</v>
      </c>
      <c r="AD224" s="1038">
        <v>0.75619999999999998</v>
      </c>
      <c r="AE224" s="1038">
        <v>0.75229999999999997</v>
      </c>
      <c r="AF224" s="1039">
        <v>0.74850000000000005</v>
      </c>
      <c r="AG224" s="1039">
        <f t="shared" ref="AG224:AV224" si="158">AF224-0.38%</f>
        <v>0.74470000000000003</v>
      </c>
      <c r="AH224" s="1039">
        <f t="shared" si="158"/>
        <v>0.7409</v>
      </c>
      <c r="AI224" s="1039">
        <f t="shared" si="158"/>
        <v>0.73709999999999998</v>
      </c>
      <c r="AJ224" s="1039">
        <f t="shared" si="158"/>
        <v>0.73329999999999995</v>
      </c>
      <c r="AK224" s="1039">
        <f t="shared" si="158"/>
        <v>0.72949999999999993</v>
      </c>
      <c r="AL224" s="1039">
        <f t="shared" si="158"/>
        <v>0.7256999999999999</v>
      </c>
      <c r="AM224" s="1039">
        <f t="shared" si="158"/>
        <v>0.72189999999999988</v>
      </c>
      <c r="AN224" s="1039">
        <f t="shared" si="158"/>
        <v>0.71809999999999985</v>
      </c>
      <c r="AO224" s="1039">
        <f t="shared" si="158"/>
        <v>0.71429999999999982</v>
      </c>
      <c r="AP224" s="1039">
        <f t="shared" si="158"/>
        <v>0.7104999999999998</v>
      </c>
      <c r="AQ224" s="1039">
        <f t="shared" si="158"/>
        <v>0.70669999999999977</v>
      </c>
      <c r="AR224" s="1039">
        <f t="shared" si="158"/>
        <v>0.70289999999999975</v>
      </c>
      <c r="AS224" s="1039">
        <f t="shared" si="158"/>
        <v>0.69909999999999972</v>
      </c>
      <c r="AT224" s="1039">
        <f t="shared" si="158"/>
        <v>0.6952999999999997</v>
      </c>
      <c r="AU224" s="1039">
        <f t="shared" si="158"/>
        <v>0.69149999999999967</v>
      </c>
      <c r="AV224" s="1039">
        <f t="shared" si="158"/>
        <v>0.68769999999999964</v>
      </c>
      <c r="AW224" s="1039">
        <f t="shared" si="152"/>
        <v>0.68699999999999961</v>
      </c>
      <c r="AX224" s="1039">
        <f t="shared" si="152"/>
        <v>0.68629999999999958</v>
      </c>
      <c r="AY224" s="1039">
        <f t="shared" si="152"/>
        <v>0.68559999999999954</v>
      </c>
      <c r="AZ224" s="1039">
        <f t="shared" si="152"/>
        <v>0.68489999999999951</v>
      </c>
      <c r="BA224" s="1039">
        <f t="shared" si="152"/>
        <v>0.68419999999999948</v>
      </c>
      <c r="BB224" s="1039">
        <f t="shared" si="152"/>
        <v>0.68349999999999944</v>
      </c>
      <c r="BC224" s="1039">
        <f t="shared" si="152"/>
        <v>0.68279999999999941</v>
      </c>
      <c r="BD224" s="1039">
        <f t="shared" si="152"/>
        <v>0.68209999999999937</v>
      </c>
      <c r="BE224" s="1039">
        <f t="shared" si="131"/>
        <v>0.68139999999999934</v>
      </c>
      <c r="BF224" s="1038">
        <v>0.67830000000000001</v>
      </c>
      <c r="BH224" s="970">
        <f t="shared" si="134"/>
        <v>0.68139999999999934</v>
      </c>
      <c r="BI224" s="970"/>
    </row>
    <row r="225" spans="2:61" s="998" customFormat="1" hidden="1">
      <c r="B225" s="1036">
        <v>49</v>
      </c>
      <c r="C225" s="1037"/>
      <c r="D225" s="1037"/>
      <c r="E225" s="1037"/>
      <c r="F225" s="1037"/>
      <c r="G225" s="1037" t="s">
        <v>914</v>
      </c>
      <c r="H225" s="1037" t="s">
        <v>914</v>
      </c>
      <c r="I225" s="1037" t="s">
        <v>1109</v>
      </c>
      <c r="J225" s="1037" t="s">
        <v>1108</v>
      </c>
      <c r="K225" s="1037" t="s">
        <v>932</v>
      </c>
      <c r="L225" s="1037" t="s">
        <v>1107</v>
      </c>
      <c r="M225" s="1037" t="s">
        <v>1106</v>
      </c>
      <c r="N225" s="1037" t="s">
        <v>157</v>
      </c>
      <c r="O225" s="1037" t="s">
        <v>1010</v>
      </c>
      <c r="P225" s="1037" t="s">
        <v>171</v>
      </c>
      <c r="Q225" s="1037" t="s">
        <v>1105</v>
      </c>
      <c r="R225" s="1037" t="s">
        <v>1104</v>
      </c>
      <c r="S225" s="1037" t="s">
        <v>1103</v>
      </c>
      <c r="T225" s="1037" t="s">
        <v>1102</v>
      </c>
      <c r="U225" s="1037" t="s">
        <v>1101</v>
      </c>
      <c r="V225" s="1037" t="s">
        <v>1050</v>
      </c>
      <c r="W225" s="1037" t="s">
        <v>1100</v>
      </c>
      <c r="X225" s="1037" t="s">
        <v>1099</v>
      </c>
      <c r="Y225" s="1037" t="s">
        <v>1098</v>
      </c>
      <c r="Z225" s="1037" t="s">
        <v>172</v>
      </c>
      <c r="AA225" s="1037" t="s">
        <v>1097</v>
      </c>
      <c r="AB225" s="1037" t="s">
        <v>1096</v>
      </c>
      <c r="AC225" s="1038">
        <v>0.76670000000000005</v>
      </c>
      <c r="AD225" s="1038">
        <v>0.76249999999999996</v>
      </c>
      <c r="AE225" s="1038">
        <v>0.75849999999999995</v>
      </c>
      <c r="AF225" s="1039">
        <v>0.75449999999999995</v>
      </c>
      <c r="AG225" s="1039">
        <f t="shared" ref="AG225:AV225" si="159">AF225-0.4%</f>
        <v>0.75049999999999994</v>
      </c>
      <c r="AH225" s="1039">
        <f t="shared" si="159"/>
        <v>0.74649999999999994</v>
      </c>
      <c r="AI225" s="1039">
        <f t="shared" si="159"/>
        <v>0.74249999999999994</v>
      </c>
      <c r="AJ225" s="1039">
        <f t="shared" si="159"/>
        <v>0.73849999999999993</v>
      </c>
      <c r="AK225" s="1039">
        <f t="shared" si="159"/>
        <v>0.73449999999999993</v>
      </c>
      <c r="AL225" s="1039">
        <f t="shared" si="159"/>
        <v>0.73049999999999993</v>
      </c>
      <c r="AM225" s="1039">
        <f t="shared" si="159"/>
        <v>0.72649999999999992</v>
      </c>
      <c r="AN225" s="1039">
        <f t="shared" si="159"/>
        <v>0.72249999999999992</v>
      </c>
      <c r="AO225" s="1039">
        <f t="shared" si="159"/>
        <v>0.71849999999999992</v>
      </c>
      <c r="AP225" s="1039">
        <f t="shared" si="159"/>
        <v>0.71449999999999991</v>
      </c>
      <c r="AQ225" s="1039">
        <f t="shared" si="159"/>
        <v>0.71049999999999991</v>
      </c>
      <c r="AR225" s="1039">
        <f t="shared" si="159"/>
        <v>0.70649999999999991</v>
      </c>
      <c r="AS225" s="1039">
        <f t="shared" si="159"/>
        <v>0.7024999999999999</v>
      </c>
      <c r="AT225" s="1039">
        <f t="shared" si="159"/>
        <v>0.6984999999999999</v>
      </c>
      <c r="AU225" s="1039">
        <f t="shared" si="159"/>
        <v>0.6944999999999999</v>
      </c>
      <c r="AV225" s="1039">
        <f t="shared" si="159"/>
        <v>0.69049999999999989</v>
      </c>
      <c r="AW225" s="1039">
        <f t="shared" si="152"/>
        <v>0.68979999999999986</v>
      </c>
      <c r="AX225" s="1039">
        <f t="shared" si="152"/>
        <v>0.68909999999999982</v>
      </c>
      <c r="AY225" s="1039">
        <f t="shared" si="152"/>
        <v>0.68839999999999979</v>
      </c>
      <c r="AZ225" s="1039">
        <f t="shared" si="152"/>
        <v>0.68769999999999976</v>
      </c>
      <c r="BA225" s="1039">
        <f t="shared" si="152"/>
        <v>0.68699999999999972</v>
      </c>
      <c r="BB225" s="1039">
        <f t="shared" si="152"/>
        <v>0.68629999999999969</v>
      </c>
      <c r="BC225" s="1039">
        <f t="shared" si="152"/>
        <v>0.68559999999999965</v>
      </c>
      <c r="BD225" s="1039">
        <f t="shared" si="152"/>
        <v>0.68489999999999962</v>
      </c>
      <c r="BE225" s="1039">
        <f t="shared" si="131"/>
        <v>0.68419999999999959</v>
      </c>
      <c r="BF225" s="1038">
        <v>0.68259999999999998</v>
      </c>
      <c r="BH225" s="970">
        <f t="shared" si="134"/>
        <v>0.68419999999999959</v>
      </c>
      <c r="BI225" s="970"/>
    </row>
    <row r="226" spans="2:61" s="998" customFormat="1" hidden="1">
      <c r="B226" s="1036">
        <v>50</v>
      </c>
      <c r="C226" s="1037"/>
      <c r="D226" s="1037"/>
      <c r="E226" s="1037"/>
      <c r="F226" s="1037"/>
      <c r="G226" s="1037"/>
      <c r="H226" s="1037" t="s">
        <v>914</v>
      </c>
      <c r="I226" s="1037" t="s">
        <v>914</v>
      </c>
      <c r="J226" s="1037" t="s">
        <v>1095</v>
      </c>
      <c r="K226" s="1037" t="s">
        <v>152</v>
      </c>
      <c r="L226" s="1037" t="s">
        <v>1094</v>
      </c>
      <c r="M226" s="1037">
        <v>0.86599999999999999</v>
      </c>
      <c r="N226" s="1037" t="s">
        <v>1093</v>
      </c>
      <c r="O226" s="1037" t="s">
        <v>1092</v>
      </c>
      <c r="P226" s="1037" t="s">
        <v>1091</v>
      </c>
      <c r="Q226" s="1037" t="s">
        <v>1090</v>
      </c>
      <c r="R226" s="1037" t="s">
        <v>1089</v>
      </c>
      <c r="S226" s="1037" t="s">
        <v>1088</v>
      </c>
      <c r="T226" s="1037" t="s">
        <v>1087</v>
      </c>
      <c r="U226" s="1037" t="s">
        <v>1086</v>
      </c>
      <c r="V226" s="1037" t="s">
        <v>1085</v>
      </c>
      <c r="W226" s="1037" t="s">
        <v>1084</v>
      </c>
      <c r="X226" s="1037" t="s">
        <v>1083</v>
      </c>
      <c r="Y226" s="1037" t="s">
        <v>1082</v>
      </c>
      <c r="Z226" s="1037" t="s">
        <v>1081</v>
      </c>
      <c r="AA226" s="1037" t="s">
        <v>1080</v>
      </c>
      <c r="AB226" s="1037" t="s">
        <v>1079</v>
      </c>
      <c r="AC226" s="1038">
        <v>0.77300000000000002</v>
      </c>
      <c r="AD226" s="1038">
        <v>0.76870000000000005</v>
      </c>
      <c r="AE226" s="1038">
        <v>0.76459999999999995</v>
      </c>
      <c r="AF226" s="1039">
        <v>0.76060000000000005</v>
      </c>
      <c r="AG226" s="1039">
        <f t="shared" ref="AG226:AV226" si="160">AF226-0.4%</f>
        <v>0.75660000000000005</v>
      </c>
      <c r="AH226" s="1039">
        <f t="shared" si="160"/>
        <v>0.75260000000000005</v>
      </c>
      <c r="AI226" s="1039">
        <f t="shared" si="160"/>
        <v>0.74860000000000004</v>
      </c>
      <c r="AJ226" s="1039">
        <f t="shared" si="160"/>
        <v>0.74460000000000004</v>
      </c>
      <c r="AK226" s="1039">
        <f t="shared" si="160"/>
        <v>0.74060000000000004</v>
      </c>
      <c r="AL226" s="1039">
        <f t="shared" si="160"/>
        <v>0.73660000000000003</v>
      </c>
      <c r="AM226" s="1039">
        <f t="shared" si="160"/>
        <v>0.73260000000000003</v>
      </c>
      <c r="AN226" s="1039">
        <f t="shared" si="160"/>
        <v>0.72860000000000003</v>
      </c>
      <c r="AO226" s="1039">
        <f t="shared" si="160"/>
        <v>0.72460000000000002</v>
      </c>
      <c r="AP226" s="1039">
        <f t="shared" si="160"/>
        <v>0.72060000000000002</v>
      </c>
      <c r="AQ226" s="1039">
        <f t="shared" si="160"/>
        <v>0.71660000000000001</v>
      </c>
      <c r="AR226" s="1039">
        <f t="shared" si="160"/>
        <v>0.71260000000000001</v>
      </c>
      <c r="AS226" s="1039">
        <f t="shared" si="160"/>
        <v>0.70860000000000001</v>
      </c>
      <c r="AT226" s="1039">
        <f t="shared" si="160"/>
        <v>0.7046</v>
      </c>
      <c r="AU226" s="1039">
        <f t="shared" si="160"/>
        <v>0.7006</v>
      </c>
      <c r="AV226" s="1039">
        <f t="shared" si="160"/>
        <v>0.6966</v>
      </c>
      <c r="AW226" s="1039">
        <f t="shared" si="152"/>
        <v>0.69589999999999996</v>
      </c>
      <c r="AX226" s="1039">
        <f t="shared" si="152"/>
        <v>0.69519999999999993</v>
      </c>
      <c r="AY226" s="1039">
        <f t="shared" si="152"/>
        <v>0.6944999999999999</v>
      </c>
      <c r="AZ226" s="1039">
        <f t="shared" si="152"/>
        <v>0.69379999999999986</v>
      </c>
      <c r="BA226" s="1039">
        <f t="shared" si="152"/>
        <v>0.69309999999999983</v>
      </c>
      <c r="BB226" s="1039">
        <f t="shared" si="152"/>
        <v>0.69239999999999979</v>
      </c>
      <c r="BC226" s="1039">
        <f t="shared" si="152"/>
        <v>0.69169999999999976</v>
      </c>
      <c r="BD226" s="1039">
        <f t="shared" si="152"/>
        <v>0.69099999999999973</v>
      </c>
      <c r="BE226" s="1039">
        <f t="shared" si="131"/>
        <v>0.69029999999999969</v>
      </c>
      <c r="BF226" s="1038">
        <v>0.68700000000000006</v>
      </c>
      <c r="BH226" s="970">
        <f t="shared" si="134"/>
        <v>0.69029999999999969</v>
      </c>
      <c r="BI226" s="970"/>
    </row>
    <row r="227" spans="2:61" s="998" customFormat="1" hidden="1">
      <c r="B227" s="1036">
        <v>51</v>
      </c>
      <c r="C227" s="1037"/>
      <c r="D227" s="1037"/>
      <c r="E227" s="1037"/>
      <c r="F227" s="1037"/>
      <c r="G227" s="1037"/>
      <c r="H227" s="1037"/>
      <c r="I227" s="1037" t="s">
        <v>914</v>
      </c>
      <c r="J227" s="1037" t="s">
        <v>914</v>
      </c>
      <c r="K227" s="1037" t="s">
        <v>1078</v>
      </c>
      <c r="L227" s="1037" t="s">
        <v>1077</v>
      </c>
      <c r="M227" s="1037" t="s">
        <v>1076</v>
      </c>
      <c r="N227" s="1037" t="s">
        <v>938</v>
      </c>
      <c r="O227" s="1037" t="s">
        <v>1075</v>
      </c>
      <c r="P227" s="1037" t="s">
        <v>1074</v>
      </c>
      <c r="Q227" s="1037" t="s">
        <v>1073</v>
      </c>
      <c r="R227" s="1037" t="s">
        <v>1072</v>
      </c>
      <c r="S227" s="1037" t="s">
        <v>1071</v>
      </c>
      <c r="T227" s="1037" t="s">
        <v>1070</v>
      </c>
      <c r="U227" s="1037" t="s">
        <v>1006</v>
      </c>
      <c r="V227" s="1037" t="s">
        <v>1069</v>
      </c>
      <c r="W227" s="1037" t="s">
        <v>1068</v>
      </c>
      <c r="X227" s="1037" t="s">
        <v>1067</v>
      </c>
      <c r="Y227" s="1037" t="s">
        <v>1066</v>
      </c>
      <c r="Z227" s="1037" t="s">
        <v>1065</v>
      </c>
      <c r="AA227" s="1037" t="s">
        <v>1064</v>
      </c>
      <c r="AB227" s="1037" t="s">
        <v>1063</v>
      </c>
      <c r="AC227" s="1038">
        <v>0.77939999999999998</v>
      </c>
      <c r="AD227" s="1038">
        <v>0.77500000000000002</v>
      </c>
      <c r="AE227" s="1038">
        <v>0.77080000000000004</v>
      </c>
      <c r="AF227" s="1039">
        <v>0.76670000000000005</v>
      </c>
      <c r="AG227" s="1039">
        <f t="shared" ref="AG227:AV227" si="161">AF227-0.41%</f>
        <v>0.76260000000000006</v>
      </c>
      <c r="AH227" s="1039">
        <f t="shared" si="161"/>
        <v>0.75850000000000006</v>
      </c>
      <c r="AI227" s="1039">
        <f t="shared" si="161"/>
        <v>0.75440000000000007</v>
      </c>
      <c r="AJ227" s="1039">
        <f t="shared" si="161"/>
        <v>0.75030000000000008</v>
      </c>
      <c r="AK227" s="1039">
        <f t="shared" si="161"/>
        <v>0.74620000000000009</v>
      </c>
      <c r="AL227" s="1039">
        <f t="shared" si="161"/>
        <v>0.74210000000000009</v>
      </c>
      <c r="AM227" s="1039">
        <f t="shared" si="161"/>
        <v>0.7380000000000001</v>
      </c>
      <c r="AN227" s="1039">
        <f t="shared" si="161"/>
        <v>0.73390000000000011</v>
      </c>
      <c r="AO227" s="1039">
        <f t="shared" si="161"/>
        <v>0.72980000000000012</v>
      </c>
      <c r="AP227" s="1039">
        <f t="shared" si="161"/>
        <v>0.72570000000000012</v>
      </c>
      <c r="AQ227" s="1039">
        <f t="shared" si="161"/>
        <v>0.72160000000000013</v>
      </c>
      <c r="AR227" s="1039">
        <f t="shared" si="161"/>
        <v>0.71750000000000014</v>
      </c>
      <c r="AS227" s="1039">
        <f t="shared" si="161"/>
        <v>0.71340000000000015</v>
      </c>
      <c r="AT227" s="1039">
        <f t="shared" si="161"/>
        <v>0.70930000000000015</v>
      </c>
      <c r="AU227" s="1039">
        <f t="shared" si="161"/>
        <v>0.70520000000000016</v>
      </c>
      <c r="AV227" s="1039">
        <f t="shared" si="161"/>
        <v>0.70110000000000017</v>
      </c>
      <c r="AW227" s="1039">
        <f t="shared" si="152"/>
        <v>0.70040000000000013</v>
      </c>
      <c r="AX227" s="1039">
        <f t="shared" si="152"/>
        <v>0.6997000000000001</v>
      </c>
      <c r="AY227" s="1039">
        <f t="shared" si="152"/>
        <v>0.69900000000000007</v>
      </c>
      <c r="AZ227" s="1039">
        <f t="shared" si="152"/>
        <v>0.69830000000000003</v>
      </c>
      <c r="BA227" s="1039">
        <f t="shared" si="152"/>
        <v>0.6976</v>
      </c>
      <c r="BB227" s="1039">
        <f t="shared" si="152"/>
        <v>0.69689999999999996</v>
      </c>
      <c r="BC227" s="1039">
        <f t="shared" si="152"/>
        <v>0.69619999999999993</v>
      </c>
      <c r="BD227" s="1039">
        <f t="shared" si="152"/>
        <v>0.6954999999999999</v>
      </c>
      <c r="BE227" s="1039">
        <f t="shared" si="131"/>
        <v>0.69479999999999986</v>
      </c>
      <c r="BF227" s="1038">
        <v>0.69130000000000003</v>
      </c>
      <c r="BH227" s="970">
        <f t="shared" si="134"/>
        <v>0.69479999999999986</v>
      </c>
      <c r="BI227" s="970"/>
    </row>
    <row r="228" spans="2:61" s="998" customFormat="1" hidden="1">
      <c r="B228" s="1036">
        <v>52</v>
      </c>
      <c r="C228" s="1037"/>
      <c r="D228" s="1037"/>
      <c r="E228" s="1037"/>
      <c r="F228" s="1037"/>
      <c r="G228" s="1037"/>
      <c r="H228" s="1037"/>
      <c r="I228" s="1037"/>
      <c r="J228" s="1037" t="s">
        <v>914</v>
      </c>
      <c r="K228" s="1037" t="s">
        <v>914</v>
      </c>
      <c r="L228" s="1037" t="s">
        <v>1062</v>
      </c>
      <c r="M228" s="1037" t="s">
        <v>1061</v>
      </c>
      <c r="N228" s="1037" t="s">
        <v>1060</v>
      </c>
      <c r="O228" s="1037" t="s">
        <v>1059</v>
      </c>
      <c r="P228" s="1037" t="s">
        <v>945</v>
      </c>
      <c r="Q228" s="1037" t="s">
        <v>1058</v>
      </c>
      <c r="R228" s="1037" t="s">
        <v>1057</v>
      </c>
      <c r="S228" s="1037" t="s">
        <v>1056</v>
      </c>
      <c r="T228" s="1037" t="s">
        <v>983</v>
      </c>
      <c r="U228" s="1037" t="s">
        <v>1055</v>
      </c>
      <c r="V228" s="1037" t="s">
        <v>1054</v>
      </c>
      <c r="W228" s="1037" t="s">
        <v>1053</v>
      </c>
      <c r="X228" s="1037" t="s">
        <v>1052</v>
      </c>
      <c r="Y228" s="1037" t="s">
        <v>1051</v>
      </c>
      <c r="Z228" s="1037" t="s">
        <v>1050</v>
      </c>
      <c r="AA228" s="1037" t="s">
        <v>1049</v>
      </c>
      <c r="AB228" s="1037" t="s">
        <v>1048</v>
      </c>
      <c r="AC228" s="1038">
        <v>0.78569999999999995</v>
      </c>
      <c r="AD228" s="1038">
        <v>0.78120000000000001</v>
      </c>
      <c r="AE228" s="1038">
        <v>0.77690000000000003</v>
      </c>
      <c r="AF228" s="1039">
        <v>0.77270000000000005</v>
      </c>
      <c r="AG228" s="1039">
        <f t="shared" ref="AG228:AV228" si="162">AF228-0.42%</f>
        <v>0.76850000000000007</v>
      </c>
      <c r="AH228" s="1039">
        <f t="shared" si="162"/>
        <v>0.76430000000000009</v>
      </c>
      <c r="AI228" s="1039">
        <f t="shared" si="162"/>
        <v>0.76010000000000011</v>
      </c>
      <c r="AJ228" s="1039">
        <f t="shared" si="162"/>
        <v>0.75590000000000013</v>
      </c>
      <c r="AK228" s="1039">
        <f t="shared" si="162"/>
        <v>0.75170000000000015</v>
      </c>
      <c r="AL228" s="1039">
        <f t="shared" si="162"/>
        <v>0.74750000000000016</v>
      </c>
      <c r="AM228" s="1039">
        <f t="shared" si="162"/>
        <v>0.74330000000000018</v>
      </c>
      <c r="AN228" s="1039">
        <f t="shared" si="162"/>
        <v>0.7391000000000002</v>
      </c>
      <c r="AO228" s="1039">
        <f t="shared" si="162"/>
        <v>0.73490000000000022</v>
      </c>
      <c r="AP228" s="1039">
        <f t="shared" si="162"/>
        <v>0.73070000000000024</v>
      </c>
      <c r="AQ228" s="1039">
        <f t="shared" si="162"/>
        <v>0.72650000000000026</v>
      </c>
      <c r="AR228" s="1039">
        <f t="shared" si="162"/>
        <v>0.72230000000000028</v>
      </c>
      <c r="AS228" s="1039">
        <f t="shared" si="162"/>
        <v>0.71810000000000029</v>
      </c>
      <c r="AT228" s="1039">
        <f t="shared" si="162"/>
        <v>0.71390000000000031</v>
      </c>
      <c r="AU228" s="1039">
        <f t="shared" si="162"/>
        <v>0.70970000000000033</v>
      </c>
      <c r="AV228" s="1039">
        <f t="shared" si="162"/>
        <v>0.70550000000000035</v>
      </c>
      <c r="AW228" s="1039">
        <f t="shared" ref="AW228:BD233" si="163">AV228-0.07%</f>
        <v>0.70480000000000032</v>
      </c>
      <c r="AX228" s="1039">
        <f t="shared" si="163"/>
        <v>0.70410000000000028</v>
      </c>
      <c r="AY228" s="1039">
        <f t="shared" si="163"/>
        <v>0.70340000000000025</v>
      </c>
      <c r="AZ228" s="1039">
        <f t="shared" si="163"/>
        <v>0.70270000000000021</v>
      </c>
      <c r="BA228" s="1039">
        <f t="shared" si="163"/>
        <v>0.70200000000000018</v>
      </c>
      <c r="BB228" s="1039">
        <f t="shared" si="163"/>
        <v>0.70130000000000015</v>
      </c>
      <c r="BC228" s="1039">
        <f t="shared" si="163"/>
        <v>0.70060000000000011</v>
      </c>
      <c r="BD228" s="1039">
        <f t="shared" si="163"/>
        <v>0.69990000000000008</v>
      </c>
      <c r="BE228" s="1039">
        <f t="shared" si="131"/>
        <v>0.69920000000000004</v>
      </c>
      <c r="BF228" s="1038">
        <v>0.69569999999999999</v>
      </c>
      <c r="BH228" s="970">
        <f t="shared" si="134"/>
        <v>0.69920000000000004</v>
      </c>
      <c r="BI228" s="970"/>
    </row>
    <row r="229" spans="2:61" s="998" customFormat="1" hidden="1">
      <c r="B229" s="1036">
        <v>53</v>
      </c>
      <c r="C229" s="1037"/>
      <c r="D229" s="1037"/>
      <c r="E229" s="1037"/>
      <c r="F229" s="1037"/>
      <c r="G229" s="1037"/>
      <c r="H229" s="1037"/>
      <c r="I229" s="1037"/>
      <c r="J229" s="1037"/>
      <c r="K229" s="1037" t="s">
        <v>914</v>
      </c>
      <c r="L229" s="1037" t="s">
        <v>914</v>
      </c>
      <c r="M229" s="1037" t="s">
        <v>1047</v>
      </c>
      <c r="N229" s="1037" t="s">
        <v>1046</v>
      </c>
      <c r="O229" s="1037" t="s">
        <v>1045</v>
      </c>
      <c r="P229" s="1037" t="s">
        <v>1044</v>
      </c>
      <c r="Q229" s="1037" t="s">
        <v>1043</v>
      </c>
      <c r="R229" s="1037" t="s">
        <v>1042</v>
      </c>
      <c r="S229" s="1037" t="s">
        <v>1041</v>
      </c>
      <c r="T229" s="1037" t="s">
        <v>1040</v>
      </c>
      <c r="U229" s="1037" t="s">
        <v>1039</v>
      </c>
      <c r="V229" s="1037" t="s">
        <v>1038</v>
      </c>
      <c r="W229" s="1037" t="s">
        <v>1037</v>
      </c>
      <c r="X229" s="1037" t="s">
        <v>1036</v>
      </c>
      <c r="Y229" s="1037" t="s">
        <v>1035</v>
      </c>
      <c r="Z229" s="1037" t="s">
        <v>1034</v>
      </c>
      <c r="AA229" s="1037" t="s">
        <v>1033</v>
      </c>
      <c r="AB229" s="1037" t="s">
        <v>162</v>
      </c>
      <c r="AC229" s="1038">
        <v>0.79210000000000003</v>
      </c>
      <c r="AD229" s="1038">
        <v>0.78749999999999998</v>
      </c>
      <c r="AE229" s="1038">
        <v>0.78310000000000002</v>
      </c>
      <c r="AF229" s="1039">
        <v>0.77880000000000005</v>
      </c>
      <c r="AG229" s="1039">
        <f t="shared" ref="AG229:AV229" si="164">AF229-0.43%</f>
        <v>0.77450000000000008</v>
      </c>
      <c r="AH229" s="1039">
        <f t="shared" si="164"/>
        <v>0.77020000000000011</v>
      </c>
      <c r="AI229" s="1039">
        <f t="shared" si="164"/>
        <v>0.76590000000000014</v>
      </c>
      <c r="AJ229" s="1039">
        <f t="shared" si="164"/>
        <v>0.76160000000000017</v>
      </c>
      <c r="AK229" s="1039">
        <f t="shared" si="164"/>
        <v>0.7573000000000002</v>
      </c>
      <c r="AL229" s="1039">
        <f t="shared" si="164"/>
        <v>0.75300000000000022</v>
      </c>
      <c r="AM229" s="1039">
        <f t="shared" si="164"/>
        <v>0.74870000000000025</v>
      </c>
      <c r="AN229" s="1039">
        <f t="shared" si="164"/>
        <v>0.74440000000000028</v>
      </c>
      <c r="AO229" s="1039">
        <f t="shared" si="164"/>
        <v>0.74010000000000031</v>
      </c>
      <c r="AP229" s="1039">
        <f t="shared" si="164"/>
        <v>0.73580000000000034</v>
      </c>
      <c r="AQ229" s="1039">
        <f t="shared" si="164"/>
        <v>0.73150000000000037</v>
      </c>
      <c r="AR229" s="1039">
        <f t="shared" si="164"/>
        <v>0.7272000000000004</v>
      </c>
      <c r="AS229" s="1039">
        <f t="shared" si="164"/>
        <v>0.72290000000000043</v>
      </c>
      <c r="AT229" s="1039">
        <f t="shared" si="164"/>
        <v>0.71860000000000046</v>
      </c>
      <c r="AU229" s="1039">
        <f t="shared" si="164"/>
        <v>0.71430000000000049</v>
      </c>
      <c r="AV229" s="1039">
        <f t="shared" si="164"/>
        <v>0.71000000000000052</v>
      </c>
      <c r="AW229" s="1039">
        <f t="shared" si="163"/>
        <v>0.70930000000000049</v>
      </c>
      <c r="AX229" s="1039">
        <f t="shared" si="163"/>
        <v>0.70860000000000045</v>
      </c>
      <c r="AY229" s="1039">
        <f t="shared" si="163"/>
        <v>0.70790000000000042</v>
      </c>
      <c r="AZ229" s="1039">
        <f t="shared" si="163"/>
        <v>0.70720000000000038</v>
      </c>
      <c r="BA229" s="1039">
        <f t="shared" si="163"/>
        <v>0.70650000000000035</v>
      </c>
      <c r="BB229" s="1039">
        <f t="shared" si="163"/>
        <v>0.70580000000000032</v>
      </c>
      <c r="BC229" s="1039">
        <f t="shared" si="163"/>
        <v>0.70510000000000028</v>
      </c>
      <c r="BD229" s="1039">
        <f t="shared" si="163"/>
        <v>0.70440000000000025</v>
      </c>
      <c r="BE229" s="1039">
        <f t="shared" si="131"/>
        <v>0.70370000000000021</v>
      </c>
      <c r="BF229" s="1038">
        <v>0.7</v>
      </c>
      <c r="BH229" s="970">
        <f t="shared" si="134"/>
        <v>0.70370000000000021</v>
      </c>
      <c r="BI229" s="970"/>
    </row>
    <row r="230" spans="2:61" s="998" customFormat="1" hidden="1">
      <c r="B230" s="1036">
        <v>54</v>
      </c>
      <c r="C230" s="1037"/>
      <c r="D230" s="1037"/>
      <c r="E230" s="1037"/>
      <c r="F230" s="1037"/>
      <c r="G230" s="1037"/>
      <c r="H230" s="1037"/>
      <c r="I230" s="1037"/>
      <c r="J230" s="1037"/>
      <c r="K230" s="1037"/>
      <c r="L230" s="1037" t="s">
        <v>914</v>
      </c>
      <c r="M230" s="1037" t="s">
        <v>914</v>
      </c>
      <c r="N230" s="1037" t="s">
        <v>1032</v>
      </c>
      <c r="O230" s="1037" t="s">
        <v>1031</v>
      </c>
      <c r="P230" s="1037" t="s">
        <v>1030</v>
      </c>
      <c r="Q230" s="1037" t="s">
        <v>1029</v>
      </c>
      <c r="R230" s="1037" t="s">
        <v>1028</v>
      </c>
      <c r="S230" s="1037" t="s">
        <v>1027</v>
      </c>
      <c r="T230" s="1037" t="s">
        <v>1026</v>
      </c>
      <c r="U230" s="1037" t="s">
        <v>1025</v>
      </c>
      <c r="V230" s="1037" t="s">
        <v>1024</v>
      </c>
      <c r="W230" s="1037" t="s">
        <v>1023</v>
      </c>
      <c r="X230" s="1037" t="s">
        <v>1022</v>
      </c>
      <c r="Y230" s="1037" t="s">
        <v>1021</v>
      </c>
      <c r="Z230" s="1037" t="s">
        <v>1020</v>
      </c>
      <c r="AA230" s="1037" t="s">
        <v>1019</v>
      </c>
      <c r="AB230" s="1037" t="s">
        <v>1018</v>
      </c>
      <c r="AC230" s="1038">
        <v>0.7984</v>
      </c>
      <c r="AD230" s="1038">
        <v>0.79369999999999996</v>
      </c>
      <c r="AE230" s="1038">
        <v>0.78920000000000001</v>
      </c>
      <c r="AF230" s="1039">
        <v>0.78480000000000005</v>
      </c>
      <c r="AG230" s="1039">
        <f t="shared" ref="AG230:AV230" si="165">AF230-0.44%</f>
        <v>0.78040000000000009</v>
      </c>
      <c r="AH230" s="1039">
        <f t="shared" si="165"/>
        <v>0.77600000000000013</v>
      </c>
      <c r="AI230" s="1039">
        <f t="shared" si="165"/>
        <v>0.77160000000000017</v>
      </c>
      <c r="AJ230" s="1039">
        <f t="shared" si="165"/>
        <v>0.76720000000000022</v>
      </c>
      <c r="AK230" s="1039">
        <f t="shared" si="165"/>
        <v>0.76280000000000026</v>
      </c>
      <c r="AL230" s="1039">
        <f t="shared" si="165"/>
        <v>0.7584000000000003</v>
      </c>
      <c r="AM230" s="1039">
        <f t="shared" si="165"/>
        <v>0.75400000000000034</v>
      </c>
      <c r="AN230" s="1039">
        <f t="shared" si="165"/>
        <v>0.74960000000000038</v>
      </c>
      <c r="AO230" s="1039">
        <f t="shared" si="165"/>
        <v>0.74520000000000042</v>
      </c>
      <c r="AP230" s="1039">
        <f t="shared" si="165"/>
        <v>0.74080000000000046</v>
      </c>
      <c r="AQ230" s="1039">
        <f t="shared" si="165"/>
        <v>0.7364000000000005</v>
      </c>
      <c r="AR230" s="1039">
        <f t="shared" si="165"/>
        <v>0.73200000000000054</v>
      </c>
      <c r="AS230" s="1039">
        <f t="shared" si="165"/>
        <v>0.72760000000000058</v>
      </c>
      <c r="AT230" s="1039">
        <f t="shared" si="165"/>
        <v>0.72320000000000062</v>
      </c>
      <c r="AU230" s="1039">
        <f t="shared" si="165"/>
        <v>0.71880000000000066</v>
      </c>
      <c r="AV230" s="1039">
        <f t="shared" si="165"/>
        <v>0.7144000000000007</v>
      </c>
      <c r="AW230" s="1039">
        <f t="shared" si="163"/>
        <v>0.71370000000000067</v>
      </c>
      <c r="AX230" s="1039">
        <f t="shared" si="163"/>
        <v>0.71300000000000063</v>
      </c>
      <c r="AY230" s="1039">
        <f t="shared" si="163"/>
        <v>0.7123000000000006</v>
      </c>
      <c r="AZ230" s="1039">
        <f t="shared" si="163"/>
        <v>0.71160000000000057</v>
      </c>
      <c r="BA230" s="1039">
        <f t="shared" si="163"/>
        <v>0.71090000000000053</v>
      </c>
      <c r="BB230" s="1039">
        <f t="shared" si="163"/>
        <v>0.7102000000000005</v>
      </c>
      <c r="BC230" s="1039">
        <f t="shared" si="163"/>
        <v>0.70950000000000046</v>
      </c>
      <c r="BD230" s="1039">
        <f t="shared" si="163"/>
        <v>0.70880000000000043</v>
      </c>
      <c r="BE230" s="1039">
        <f t="shared" si="131"/>
        <v>0.7081000000000004</v>
      </c>
      <c r="BF230" s="1038">
        <v>0.70430000000000004</v>
      </c>
      <c r="BH230" s="970">
        <f t="shared" si="134"/>
        <v>0.7081000000000004</v>
      </c>
      <c r="BI230" s="970"/>
    </row>
    <row r="231" spans="2:61" s="998" customFormat="1" hidden="1">
      <c r="B231" s="1036">
        <v>55</v>
      </c>
      <c r="C231" s="1037"/>
      <c r="D231" s="1037"/>
      <c r="E231" s="1037"/>
      <c r="F231" s="1037"/>
      <c r="G231" s="1037"/>
      <c r="H231" s="1037"/>
      <c r="I231" s="1037"/>
      <c r="J231" s="1037"/>
      <c r="K231" s="1037"/>
      <c r="L231" s="1037"/>
      <c r="M231" s="1037" t="s">
        <v>914</v>
      </c>
      <c r="N231" s="1037" t="s">
        <v>914</v>
      </c>
      <c r="O231" s="1037" t="s">
        <v>1017</v>
      </c>
      <c r="P231" s="1037" t="s">
        <v>1016</v>
      </c>
      <c r="Q231" s="1037" t="s">
        <v>1015</v>
      </c>
      <c r="R231" s="1037" t="s">
        <v>1014</v>
      </c>
      <c r="S231" s="1037" t="s">
        <v>1013</v>
      </c>
      <c r="T231" s="1037" t="s">
        <v>1012</v>
      </c>
      <c r="U231" s="1037" t="s">
        <v>1011</v>
      </c>
      <c r="V231" s="1037" t="s">
        <v>1010</v>
      </c>
      <c r="W231" s="1037" t="s">
        <v>1009</v>
      </c>
      <c r="X231" s="1037" t="s">
        <v>1008</v>
      </c>
      <c r="Y231" s="1037" t="s">
        <v>1007</v>
      </c>
      <c r="Z231" s="1037" t="s">
        <v>1006</v>
      </c>
      <c r="AA231" s="1037" t="s">
        <v>1005</v>
      </c>
      <c r="AB231" s="1037" t="s">
        <v>1004</v>
      </c>
      <c r="AC231" s="1038">
        <v>0.80479999999999996</v>
      </c>
      <c r="AD231" s="1038">
        <v>0.8</v>
      </c>
      <c r="AE231" s="1038">
        <v>0.7954</v>
      </c>
      <c r="AF231" s="1039">
        <v>0.79090000000000005</v>
      </c>
      <c r="AG231" s="1039">
        <f t="shared" ref="AG231:AV231" si="166">AF231-0.45%</f>
        <v>0.7864000000000001</v>
      </c>
      <c r="AH231" s="1039">
        <f t="shared" si="166"/>
        <v>0.78190000000000015</v>
      </c>
      <c r="AI231" s="1039">
        <f t="shared" si="166"/>
        <v>0.7774000000000002</v>
      </c>
      <c r="AJ231" s="1039">
        <f t="shared" si="166"/>
        <v>0.77290000000000025</v>
      </c>
      <c r="AK231" s="1039">
        <f t="shared" si="166"/>
        <v>0.76840000000000031</v>
      </c>
      <c r="AL231" s="1039">
        <f t="shared" si="166"/>
        <v>0.76390000000000036</v>
      </c>
      <c r="AM231" s="1039">
        <f t="shared" si="166"/>
        <v>0.75940000000000041</v>
      </c>
      <c r="AN231" s="1039">
        <f t="shared" si="166"/>
        <v>0.75490000000000046</v>
      </c>
      <c r="AO231" s="1039">
        <f t="shared" si="166"/>
        <v>0.75040000000000051</v>
      </c>
      <c r="AP231" s="1039">
        <f t="shared" si="166"/>
        <v>0.74590000000000056</v>
      </c>
      <c r="AQ231" s="1039">
        <f t="shared" si="166"/>
        <v>0.74140000000000061</v>
      </c>
      <c r="AR231" s="1039">
        <f t="shared" si="166"/>
        <v>0.73690000000000067</v>
      </c>
      <c r="AS231" s="1039">
        <f t="shared" si="166"/>
        <v>0.73240000000000072</v>
      </c>
      <c r="AT231" s="1039">
        <f t="shared" si="166"/>
        <v>0.72790000000000077</v>
      </c>
      <c r="AU231" s="1039">
        <f t="shared" si="166"/>
        <v>0.72340000000000082</v>
      </c>
      <c r="AV231" s="1039">
        <f t="shared" si="166"/>
        <v>0.71890000000000087</v>
      </c>
      <c r="AW231" s="1039">
        <f t="shared" si="163"/>
        <v>0.71820000000000084</v>
      </c>
      <c r="AX231" s="1039">
        <f t="shared" si="163"/>
        <v>0.7175000000000008</v>
      </c>
      <c r="AY231" s="1039">
        <f t="shared" si="163"/>
        <v>0.71680000000000077</v>
      </c>
      <c r="AZ231" s="1039">
        <f t="shared" si="163"/>
        <v>0.71610000000000074</v>
      </c>
      <c r="BA231" s="1039">
        <f t="shared" si="163"/>
        <v>0.7154000000000007</v>
      </c>
      <c r="BB231" s="1039">
        <f t="shared" si="163"/>
        <v>0.71470000000000067</v>
      </c>
      <c r="BC231" s="1039">
        <f t="shared" si="163"/>
        <v>0.71400000000000063</v>
      </c>
      <c r="BD231" s="1039">
        <f t="shared" si="163"/>
        <v>0.7133000000000006</v>
      </c>
      <c r="BE231" s="1039">
        <f t="shared" si="131"/>
        <v>0.71260000000000057</v>
      </c>
      <c r="BF231" s="1038">
        <v>0.7087</v>
      </c>
      <c r="BH231" s="970">
        <f t="shared" si="134"/>
        <v>0.71260000000000057</v>
      </c>
      <c r="BI231" s="970"/>
    </row>
    <row r="232" spans="2:61" s="998" customFormat="1" hidden="1">
      <c r="B232" s="1036">
        <v>56</v>
      </c>
      <c r="C232" s="1037"/>
      <c r="D232" s="1037"/>
      <c r="E232" s="1037"/>
      <c r="F232" s="1037"/>
      <c r="G232" s="1037"/>
      <c r="H232" s="1037"/>
      <c r="I232" s="1037"/>
      <c r="J232" s="1037"/>
      <c r="K232" s="1037"/>
      <c r="L232" s="1037"/>
      <c r="M232" s="1037"/>
      <c r="N232" s="1037" t="s">
        <v>914</v>
      </c>
      <c r="O232" s="1037" t="s">
        <v>914</v>
      </c>
      <c r="P232" s="1037" t="s">
        <v>170</v>
      </c>
      <c r="Q232" s="1037" t="s">
        <v>1003</v>
      </c>
      <c r="R232" s="1037" t="s">
        <v>1002</v>
      </c>
      <c r="S232" s="1037" t="s">
        <v>1001</v>
      </c>
      <c r="T232" s="1037" t="s">
        <v>1000</v>
      </c>
      <c r="U232" s="1037" t="s">
        <v>999</v>
      </c>
      <c r="V232" s="1037" t="s">
        <v>157</v>
      </c>
      <c r="W232" s="1037" t="s">
        <v>998</v>
      </c>
      <c r="X232" s="1037" t="s">
        <v>997</v>
      </c>
      <c r="Y232" s="1037" t="s">
        <v>996</v>
      </c>
      <c r="Z232" s="1037" t="s">
        <v>995</v>
      </c>
      <c r="AA232" s="1037" t="s">
        <v>994</v>
      </c>
      <c r="AB232" s="1037" t="s">
        <v>993</v>
      </c>
      <c r="AC232" s="1038">
        <v>0.81110000000000004</v>
      </c>
      <c r="AD232" s="1038">
        <v>0.80620000000000003</v>
      </c>
      <c r="AE232" s="1038">
        <v>0.80149999999999999</v>
      </c>
      <c r="AF232" s="1039">
        <v>0.79700000000000004</v>
      </c>
      <c r="AG232" s="1039">
        <f t="shared" ref="AG232:AV232" si="167">AF232-0.45%</f>
        <v>0.79250000000000009</v>
      </c>
      <c r="AH232" s="1039">
        <f t="shared" si="167"/>
        <v>0.78800000000000014</v>
      </c>
      <c r="AI232" s="1039">
        <f t="shared" si="167"/>
        <v>0.7835000000000002</v>
      </c>
      <c r="AJ232" s="1039">
        <f t="shared" si="167"/>
        <v>0.77900000000000025</v>
      </c>
      <c r="AK232" s="1039">
        <f t="shared" si="167"/>
        <v>0.7745000000000003</v>
      </c>
      <c r="AL232" s="1039">
        <f t="shared" si="167"/>
        <v>0.77000000000000035</v>
      </c>
      <c r="AM232" s="1039">
        <f t="shared" si="167"/>
        <v>0.7655000000000004</v>
      </c>
      <c r="AN232" s="1039">
        <f t="shared" si="167"/>
        <v>0.76100000000000045</v>
      </c>
      <c r="AO232" s="1039">
        <f t="shared" si="167"/>
        <v>0.75650000000000051</v>
      </c>
      <c r="AP232" s="1039">
        <f t="shared" si="167"/>
        <v>0.75200000000000056</v>
      </c>
      <c r="AQ232" s="1039">
        <f t="shared" si="167"/>
        <v>0.74750000000000061</v>
      </c>
      <c r="AR232" s="1039">
        <f t="shared" si="167"/>
        <v>0.74300000000000066</v>
      </c>
      <c r="AS232" s="1039">
        <f t="shared" si="167"/>
        <v>0.73850000000000071</v>
      </c>
      <c r="AT232" s="1039">
        <f t="shared" si="167"/>
        <v>0.73400000000000076</v>
      </c>
      <c r="AU232" s="1039">
        <f t="shared" si="167"/>
        <v>0.72950000000000081</v>
      </c>
      <c r="AV232" s="1039">
        <f t="shared" si="167"/>
        <v>0.72500000000000087</v>
      </c>
      <c r="AW232" s="1039">
        <f t="shared" si="163"/>
        <v>0.72430000000000083</v>
      </c>
      <c r="AX232" s="1039">
        <f t="shared" si="163"/>
        <v>0.7236000000000008</v>
      </c>
      <c r="AY232" s="1039">
        <f t="shared" si="163"/>
        <v>0.72290000000000076</v>
      </c>
      <c r="AZ232" s="1039">
        <f t="shared" si="163"/>
        <v>0.72220000000000073</v>
      </c>
      <c r="BA232" s="1039">
        <f t="shared" si="163"/>
        <v>0.7215000000000007</v>
      </c>
      <c r="BB232" s="1039">
        <f t="shared" si="163"/>
        <v>0.72080000000000066</v>
      </c>
      <c r="BC232" s="1039">
        <f t="shared" si="163"/>
        <v>0.72010000000000063</v>
      </c>
      <c r="BD232" s="1039">
        <f t="shared" si="163"/>
        <v>0.71940000000000059</v>
      </c>
      <c r="BE232" s="1039">
        <f t="shared" si="131"/>
        <v>0.71870000000000056</v>
      </c>
      <c r="BF232" s="1038">
        <v>0.71299999999999997</v>
      </c>
      <c r="BH232" s="970">
        <f t="shared" si="134"/>
        <v>0.71870000000000056</v>
      </c>
      <c r="BI232" s="970"/>
    </row>
    <row r="233" spans="2:61" s="998" customFormat="1" hidden="1">
      <c r="B233" s="1036">
        <v>57</v>
      </c>
      <c r="C233" s="1037"/>
      <c r="D233" s="1037"/>
      <c r="E233" s="1037"/>
      <c r="F233" s="1037"/>
      <c r="G233" s="1037"/>
      <c r="H233" s="1037"/>
      <c r="I233" s="1037"/>
      <c r="J233" s="1037"/>
      <c r="K233" s="1037"/>
      <c r="L233" s="1037"/>
      <c r="M233" s="1037"/>
      <c r="N233" s="1037"/>
      <c r="O233" s="1037" t="s">
        <v>914</v>
      </c>
      <c r="P233" s="1037" t="s">
        <v>914</v>
      </c>
      <c r="Q233" s="1037" t="s">
        <v>992</v>
      </c>
      <c r="R233" s="1037" t="s">
        <v>991</v>
      </c>
      <c r="S233" s="1037" t="s">
        <v>990</v>
      </c>
      <c r="T233" s="1037" t="s">
        <v>989</v>
      </c>
      <c r="U233" s="1037" t="s">
        <v>988</v>
      </c>
      <c r="V233" s="1037" t="s">
        <v>987</v>
      </c>
      <c r="W233" s="1037" t="s">
        <v>986</v>
      </c>
      <c r="X233" s="1037" t="s">
        <v>985</v>
      </c>
      <c r="Y233" s="1037" t="s">
        <v>984</v>
      </c>
      <c r="Z233" s="1037" t="s">
        <v>983</v>
      </c>
      <c r="AA233" s="1037" t="s">
        <v>982</v>
      </c>
      <c r="AB233" s="1037" t="s">
        <v>981</v>
      </c>
      <c r="AC233" s="1038">
        <v>0.8175</v>
      </c>
      <c r="AD233" s="1038">
        <v>0.8125</v>
      </c>
      <c r="AE233" s="1038">
        <v>0.80769999999999997</v>
      </c>
      <c r="AF233" s="1039">
        <v>0.80300000000000005</v>
      </c>
      <c r="AG233" s="1039">
        <f t="shared" ref="AG233:AV233" si="168">AF233-0.47%</f>
        <v>0.79830000000000001</v>
      </c>
      <c r="AH233" s="1039">
        <f t="shared" si="168"/>
        <v>0.79359999999999997</v>
      </c>
      <c r="AI233" s="1039">
        <f t="shared" si="168"/>
        <v>0.78889999999999993</v>
      </c>
      <c r="AJ233" s="1039">
        <f t="shared" si="168"/>
        <v>0.7841999999999999</v>
      </c>
      <c r="AK233" s="1039">
        <f t="shared" si="168"/>
        <v>0.77949999999999986</v>
      </c>
      <c r="AL233" s="1039">
        <f t="shared" si="168"/>
        <v>0.77479999999999982</v>
      </c>
      <c r="AM233" s="1039">
        <f t="shared" si="168"/>
        <v>0.77009999999999978</v>
      </c>
      <c r="AN233" s="1039">
        <f t="shared" si="168"/>
        <v>0.76539999999999975</v>
      </c>
      <c r="AO233" s="1039">
        <f t="shared" si="168"/>
        <v>0.76069999999999971</v>
      </c>
      <c r="AP233" s="1039">
        <f t="shared" si="168"/>
        <v>0.75599999999999967</v>
      </c>
      <c r="AQ233" s="1039">
        <f t="shared" si="168"/>
        <v>0.75129999999999963</v>
      </c>
      <c r="AR233" s="1039">
        <f t="shared" si="168"/>
        <v>0.7465999999999996</v>
      </c>
      <c r="AS233" s="1039">
        <f t="shared" si="168"/>
        <v>0.74189999999999956</v>
      </c>
      <c r="AT233" s="1039">
        <f t="shared" si="168"/>
        <v>0.73719999999999952</v>
      </c>
      <c r="AU233" s="1039">
        <f t="shared" si="168"/>
        <v>0.73249999999999948</v>
      </c>
      <c r="AV233" s="1039">
        <f t="shared" si="168"/>
        <v>0.72779999999999945</v>
      </c>
      <c r="AW233" s="1039">
        <f t="shared" si="163"/>
        <v>0.72709999999999941</v>
      </c>
      <c r="AX233" s="1039">
        <f t="shared" si="163"/>
        <v>0.72639999999999938</v>
      </c>
      <c r="AY233" s="1039">
        <f t="shared" si="163"/>
        <v>0.72569999999999935</v>
      </c>
      <c r="AZ233" s="1039">
        <f t="shared" si="163"/>
        <v>0.72499999999999931</v>
      </c>
      <c r="BA233" s="1039">
        <f t="shared" si="163"/>
        <v>0.72429999999999928</v>
      </c>
      <c r="BB233" s="1039">
        <f t="shared" si="163"/>
        <v>0.72359999999999924</v>
      </c>
      <c r="BC233" s="1039">
        <f t="shared" si="163"/>
        <v>0.72289999999999921</v>
      </c>
      <c r="BD233" s="1039">
        <f t="shared" si="163"/>
        <v>0.72219999999999918</v>
      </c>
      <c r="BE233" s="1039">
        <f t="shared" si="131"/>
        <v>0.72149999999999914</v>
      </c>
      <c r="BF233" s="1038">
        <v>0.71740000000000004</v>
      </c>
      <c r="BH233" s="970">
        <f t="shared" si="134"/>
        <v>0.72149999999999914</v>
      </c>
      <c r="BI233" s="970"/>
    </row>
    <row r="234" spans="2:61" s="998" customFormat="1" hidden="1">
      <c r="B234" s="1036">
        <v>58</v>
      </c>
      <c r="C234" s="1037"/>
      <c r="D234" s="1037"/>
      <c r="E234" s="1037"/>
      <c r="F234" s="1037"/>
      <c r="G234" s="1037"/>
      <c r="H234" s="1037"/>
      <c r="I234" s="1037"/>
      <c r="J234" s="1037"/>
      <c r="K234" s="1037"/>
      <c r="L234" s="1037"/>
      <c r="M234" s="1037"/>
      <c r="N234" s="1037"/>
      <c r="O234" s="1037"/>
      <c r="P234" s="1037" t="s">
        <v>914</v>
      </c>
      <c r="Q234" s="1037" t="s">
        <v>914</v>
      </c>
      <c r="R234" s="1037" t="s">
        <v>980</v>
      </c>
      <c r="S234" s="1037" t="s">
        <v>979</v>
      </c>
      <c r="T234" s="1037" t="s">
        <v>978</v>
      </c>
      <c r="U234" s="1037" t="s">
        <v>977</v>
      </c>
      <c r="V234" s="1037" t="s">
        <v>976</v>
      </c>
      <c r="W234" s="1037" t="s">
        <v>975</v>
      </c>
      <c r="X234" s="1037" t="s">
        <v>974</v>
      </c>
      <c r="Y234" s="1037" t="s">
        <v>973</v>
      </c>
      <c r="Z234" s="1037" t="s">
        <v>972</v>
      </c>
      <c r="AA234" s="1037" t="s">
        <v>971</v>
      </c>
      <c r="AB234" s="1037" t="s">
        <v>970</v>
      </c>
      <c r="AC234" s="1038">
        <v>0.82379999999999998</v>
      </c>
      <c r="AD234" s="1038">
        <v>0.81869999999999998</v>
      </c>
      <c r="AE234" s="1038">
        <v>0.81379999999999997</v>
      </c>
      <c r="AF234" s="1039">
        <v>0.80910000000000004</v>
      </c>
      <c r="AG234" s="1039">
        <f t="shared" ref="AG234:AV234" si="169">AF234-0.47%</f>
        <v>0.8044</v>
      </c>
      <c r="AH234" s="1039">
        <f t="shared" si="169"/>
        <v>0.79969999999999997</v>
      </c>
      <c r="AI234" s="1039">
        <f t="shared" si="169"/>
        <v>0.79499999999999993</v>
      </c>
      <c r="AJ234" s="1039">
        <f t="shared" si="169"/>
        <v>0.79029999999999989</v>
      </c>
      <c r="AK234" s="1039">
        <f t="shared" si="169"/>
        <v>0.78559999999999985</v>
      </c>
      <c r="AL234" s="1039">
        <f t="shared" si="169"/>
        <v>0.78089999999999982</v>
      </c>
      <c r="AM234" s="1039">
        <f t="shared" si="169"/>
        <v>0.77619999999999978</v>
      </c>
      <c r="AN234" s="1039">
        <f t="shared" si="169"/>
        <v>0.77149999999999974</v>
      </c>
      <c r="AO234" s="1039">
        <f t="shared" si="169"/>
        <v>0.7667999999999997</v>
      </c>
      <c r="AP234" s="1039">
        <f t="shared" si="169"/>
        <v>0.76209999999999967</v>
      </c>
      <c r="AQ234" s="1039">
        <f t="shared" si="169"/>
        <v>0.75739999999999963</v>
      </c>
      <c r="AR234" s="1039">
        <f t="shared" si="169"/>
        <v>0.75269999999999959</v>
      </c>
      <c r="AS234" s="1039">
        <f t="shared" si="169"/>
        <v>0.74799999999999955</v>
      </c>
      <c r="AT234" s="1039">
        <f t="shared" si="169"/>
        <v>0.74329999999999952</v>
      </c>
      <c r="AU234" s="1039">
        <f t="shared" si="169"/>
        <v>0.73859999999999948</v>
      </c>
      <c r="AV234" s="1039">
        <f t="shared" si="169"/>
        <v>0.73389999999999944</v>
      </c>
      <c r="AW234" s="1039">
        <f>AV234-0.47%</f>
        <v>0.7291999999999994</v>
      </c>
      <c r="AX234" s="1039">
        <f t="shared" ref="AX234:BD248" si="170">AW234-0.07%</f>
        <v>0.72849999999999937</v>
      </c>
      <c r="AY234" s="1039">
        <f t="shared" si="170"/>
        <v>0.72779999999999934</v>
      </c>
      <c r="AZ234" s="1039">
        <f t="shared" si="170"/>
        <v>0.7270999999999993</v>
      </c>
      <c r="BA234" s="1039">
        <f t="shared" si="170"/>
        <v>0.72639999999999927</v>
      </c>
      <c r="BB234" s="1039">
        <f t="shared" si="170"/>
        <v>0.72569999999999923</v>
      </c>
      <c r="BC234" s="1039">
        <f t="shared" si="170"/>
        <v>0.7249999999999992</v>
      </c>
      <c r="BD234" s="1039">
        <f t="shared" si="170"/>
        <v>0.72429999999999917</v>
      </c>
      <c r="BE234" s="1039">
        <f t="shared" si="131"/>
        <v>0.72359999999999913</v>
      </c>
      <c r="BF234" s="1038">
        <v>0.72170000000000001</v>
      </c>
      <c r="BH234" s="970">
        <f t="shared" si="134"/>
        <v>0.72359999999999913</v>
      </c>
      <c r="BI234" s="970"/>
    </row>
    <row r="235" spans="2:61" s="998" customFormat="1" ht="2.25" hidden="1" customHeight="1">
      <c r="B235" s="1036">
        <v>59</v>
      </c>
      <c r="C235" s="1037"/>
      <c r="D235" s="1037"/>
      <c r="E235" s="1037"/>
      <c r="F235" s="1037"/>
      <c r="G235" s="1037"/>
      <c r="H235" s="1037"/>
      <c r="I235" s="1037"/>
      <c r="J235" s="1037"/>
      <c r="K235" s="1037"/>
      <c r="L235" s="1037"/>
      <c r="M235" s="1037"/>
      <c r="N235" s="1037"/>
      <c r="O235" s="1037"/>
      <c r="P235" s="1037"/>
      <c r="Q235" s="1037" t="s">
        <v>914</v>
      </c>
      <c r="R235" s="1037" t="s">
        <v>914</v>
      </c>
      <c r="S235" s="1037" t="s">
        <v>969</v>
      </c>
      <c r="T235" s="1037" t="s">
        <v>968</v>
      </c>
      <c r="U235" s="1037" t="s">
        <v>967</v>
      </c>
      <c r="V235" s="1037" t="s">
        <v>966</v>
      </c>
      <c r="W235" s="1037" t="s">
        <v>965</v>
      </c>
      <c r="X235" s="1037" t="s">
        <v>964</v>
      </c>
      <c r="Y235" s="1037" t="s">
        <v>963</v>
      </c>
      <c r="Z235" s="1037" t="s">
        <v>962</v>
      </c>
      <c r="AA235" s="1037" t="s">
        <v>961</v>
      </c>
      <c r="AB235" s="1037" t="s">
        <v>960</v>
      </c>
      <c r="AC235" s="1038">
        <v>0.83020000000000005</v>
      </c>
      <c r="AD235" s="1038">
        <v>0.82499999999999996</v>
      </c>
      <c r="AE235" s="1038">
        <v>0.82</v>
      </c>
      <c r="AF235" s="1039">
        <v>0.81520000000000004</v>
      </c>
      <c r="AG235" s="1039">
        <f t="shared" ref="AG235:AW235" si="171">AF235-0.48%</f>
        <v>0.81040000000000001</v>
      </c>
      <c r="AH235" s="1039">
        <f t="shared" si="171"/>
        <v>0.80559999999999998</v>
      </c>
      <c r="AI235" s="1039">
        <f t="shared" si="171"/>
        <v>0.80079999999999996</v>
      </c>
      <c r="AJ235" s="1039">
        <f t="shared" si="171"/>
        <v>0.79599999999999993</v>
      </c>
      <c r="AK235" s="1039">
        <f t="shared" si="171"/>
        <v>0.7911999999999999</v>
      </c>
      <c r="AL235" s="1039">
        <f t="shared" si="171"/>
        <v>0.78639999999999988</v>
      </c>
      <c r="AM235" s="1039">
        <f t="shared" si="171"/>
        <v>0.78159999999999985</v>
      </c>
      <c r="AN235" s="1039">
        <f t="shared" si="171"/>
        <v>0.77679999999999982</v>
      </c>
      <c r="AO235" s="1039">
        <f t="shared" si="171"/>
        <v>0.7719999999999998</v>
      </c>
      <c r="AP235" s="1039">
        <f t="shared" si="171"/>
        <v>0.76719999999999977</v>
      </c>
      <c r="AQ235" s="1039">
        <f t="shared" si="171"/>
        <v>0.76239999999999974</v>
      </c>
      <c r="AR235" s="1039">
        <f t="shared" si="171"/>
        <v>0.75759999999999972</v>
      </c>
      <c r="AS235" s="1039">
        <f t="shared" si="171"/>
        <v>0.75279999999999969</v>
      </c>
      <c r="AT235" s="1039">
        <f t="shared" si="171"/>
        <v>0.74799999999999967</v>
      </c>
      <c r="AU235" s="1039">
        <f t="shared" si="171"/>
        <v>0.74319999999999964</v>
      </c>
      <c r="AV235" s="1039">
        <f t="shared" si="171"/>
        <v>0.73839999999999961</v>
      </c>
      <c r="AW235" s="1039">
        <f t="shared" si="171"/>
        <v>0.73359999999999959</v>
      </c>
      <c r="AX235" s="1039">
        <f t="shared" si="170"/>
        <v>0.73289999999999955</v>
      </c>
      <c r="AY235" s="1039">
        <f t="shared" si="170"/>
        <v>0.73219999999999952</v>
      </c>
      <c r="AZ235" s="1039">
        <f t="shared" si="170"/>
        <v>0.73149999999999948</v>
      </c>
      <c r="BA235" s="1039">
        <f t="shared" si="170"/>
        <v>0.73079999999999945</v>
      </c>
      <c r="BB235" s="1039">
        <f t="shared" si="170"/>
        <v>0.73009999999999942</v>
      </c>
      <c r="BC235" s="1039">
        <f t="shared" si="170"/>
        <v>0.72939999999999938</v>
      </c>
      <c r="BD235" s="1039">
        <f t="shared" si="170"/>
        <v>0.72869999999999935</v>
      </c>
      <c r="BE235" s="1039">
        <f t="shared" si="131"/>
        <v>0.72799999999999931</v>
      </c>
      <c r="BF235" s="1038">
        <v>0.72609999999999997</v>
      </c>
      <c r="BH235" s="970">
        <f t="shared" si="134"/>
        <v>0.72799999999999931</v>
      </c>
      <c r="BI235" s="970"/>
    </row>
    <row r="236" spans="2:61" s="998" customFormat="1" hidden="1">
      <c r="B236" s="1036">
        <v>60</v>
      </c>
      <c r="C236" s="1037"/>
      <c r="D236" s="1037"/>
      <c r="E236" s="1037"/>
      <c r="F236" s="1037"/>
      <c r="G236" s="1037"/>
      <c r="H236" s="1037"/>
      <c r="I236" s="1037"/>
      <c r="J236" s="1037"/>
      <c r="K236" s="1037"/>
      <c r="L236" s="1037"/>
      <c r="M236" s="1037"/>
      <c r="N236" s="1037"/>
      <c r="O236" s="1037"/>
      <c r="P236" s="1037"/>
      <c r="Q236" s="1037"/>
      <c r="R236" s="1037" t="s">
        <v>914</v>
      </c>
      <c r="S236" s="1037" t="s">
        <v>914</v>
      </c>
      <c r="T236" s="1037" t="s">
        <v>959</v>
      </c>
      <c r="U236" s="1037" t="s">
        <v>958</v>
      </c>
      <c r="V236" s="1037" t="s">
        <v>957</v>
      </c>
      <c r="W236" s="1037" t="s">
        <v>956</v>
      </c>
      <c r="X236" s="1037" t="s">
        <v>955</v>
      </c>
      <c r="Y236" s="1037" t="s">
        <v>954</v>
      </c>
      <c r="Z236" s="1037" t="s">
        <v>953</v>
      </c>
      <c r="AA236" s="1037" t="s">
        <v>952</v>
      </c>
      <c r="AB236" s="1037" t="s">
        <v>951</v>
      </c>
      <c r="AC236" s="1038">
        <v>0.83650000000000002</v>
      </c>
      <c r="AD236" s="1038">
        <v>0.83120000000000005</v>
      </c>
      <c r="AE236" s="1038">
        <v>0.82620000000000005</v>
      </c>
      <c r="AF236" s="1039">
        <v>0.82120000000000004</v>
      </c>
      <c r="AG236" s="1039">
        <f t="shared" ref="AG236:AW236" si="172">AF236-0.5%</f>
        <v>0.81620000000000004</v>
      </c>
      <c r="AH236" s="1039">
        <f t="shared" si="172"/>
        <v>0.81120000000000003</v>
      </c>
      <c r="AI236" s="1039">
        <f t="shared" si="172"/>
        <v>0.80620000000000003</v>
      </c>
      <c r="AJ236" s="1039">
        <f t="shared" si="172"/>
        <v>0.80120000000000002</v>
      </c>
      <c r="AK236" s="1039">
        <f t="shared" si="172"/>
        <v>0.79620000000000002</v>
      </c>
      <c r="AL236" s="1039">
        <f t="shared" si="172"/>
        <v>0.79120000000000001</v>
      </c>
      <c r="AM236" s="1039">
        <f t="shared" si="172"/>
        <v>0.78620000000000001</v>
      </c>
      <c r="AN236" s="1039">
        <f t="shared" si="172"/>
        <v>0.78120000000000001</v>
      </c>
      <c r="AO236" s="1039">
        <f t="shared" si="172"/>
        <v>0.7762</v>
      </c>
      <c r="AP236" s="1039">
        <f t="shared" si="172"/>
        <v>0.7712</v>
      </c>
      <c r="AQ236" s="1039">
        <f t="shared" si="172"/>
        <v>0.76619999999999999</v>
      </c>
      <c r="AR236" s="1039">
        <f t="shared" si="172"/>
        <v>0.76119999999999999</v>
      </c>
      <c r="AS236" s="1039">
        <f t="shared" si="172"/>
        <v>0.75619999999999998</v>
      </c>
      <c r="AT236" s="1039">
        <f t="shared" si="172"/>
        <v>0.75119999999999998</v>
      </c>
      <c r="AU236" s="1039">
        <f t="shared" si="172"/>
        <v>0.74619999999999997</v>
      </c>
      <c r="AV236" s="1039">
        <f t="shared" si="172"/>
        <v>0.74119999999999997</v>
      </c>
      <c r="AW236" s="1039">
        <f t="shared" si="172"/>
        <v>0.73619999999999997</v>
      </c>
      <c r="AX236" s="1039">
        <f t="shared" si="170"/>
        <v>0.73549999999999993</v>
      </c>
      <c r="AY236" s="1039">
        <f t="shared" si="170"/>
        <v>0.7347999999999999</v>
      </c>
      <c r="AZ236" s="1039">
        <f t="shared" si="170"/>
        <v>0.73409999999999986</v>
      </c>
      <c r="BA236" s="1039">
        <f t="shared" si="170"/>
        <v>0.73339999999999983</v>
      </c>
      <c r="BB236" s="1039">
        <f t="shared" si="170"/>
        <v>0.7326999999999998</v>
      </c>
      <c r="BC236" s="1039">
        <f t="shared" si="170"/>
        <v>0.73199999999999976</v>
      </c>
      <c r="BD236" s="1039">
        <f t="shared" si="170"/>
        <v>0.73129999999999973</v>
      </c>
      <c r="BE236" s="1039">
        <f t="shared" si="131"/>
        <v>0.73059999999999969</v>
      </c>
      <c r="BF236" s="1038">
        <v>0.73040000000000005</v>
      </c>
      <c r="BH236" s="970">
        <f t="shared" si="134"/>
        <v>0.73059999999999969</v>
      </c>
      <c r="BI236" s="970"/>
    </row>
    <row r="237" spans="2:61" s="998" customFormat="1" hidden="1">
      <c r="B237" s="1036">
        <v>61</v>
      </c>
      <c r="C237" s="1037"/>
      <c r="D237" s="1037"/>
      <c r="E237" s="1037"/>
      <c r="F237" s="1037"/>
      <c r="G237" s="1037"/>
      <c r="H237" s="1037"/>
      <c r="I237" s="1037"/>
      <c r="J237" s="1037"/>
      <c r="K237" s="1037"/>
      <c r="L237" s="1037"/>
      <c r="M237" s="1037"/>
      <c r="N237" s="1037"/>
      <c r="O237" s="1037"/>
      <c r="P237" s="1037"/>
      <c r="Q237" s="1037"/>
      <c r="R237" s="1037"/>
      <c r="S237" s="1037" t="s">
        <v>914</v>
      </c>
      <c r="T237" s="1037" t="s">
        <v>914</v>
      </c>
      <c r="U237" s="1037" t="s">
        <v>950</v>
      </c>
      <c r="V237" s="1037" t="s">
        <v>949</v>
      </c>
      <c r="W237" s="1037" t="s">
        <v>948</v>
      </c>
      <c r="X237" s="1037" t="s">
        <v>947</v>
      </c>
      <c r="Y237" s="1037" t="s">
        <v>946</v>
      </c>
      <c r="Z237" s="1037" t="s">
        <v>945</v>
      </c>
      <c r="AA237" s="1037" t="s">
        <v>944</v>
      </c>
      <c r="AB237" s="1037" t="s">
        <v>943</v>
      </c>
      <c r="AC237" s="1038">
        <v>0.84289999999999998</v>
      </c>
      <c r="AD237" s="1038">
        <v>0.83750000000000002</v>
      </c>
      <c r="AE237" s="1038">
        <v>0.83230000000000004</v>
      </c>
      <c r="AF237" s="1039">
        <v>0.82730000000000004</v>
      </c>
      <c r="AG237" s="1039">
        <f t="shared" ref="AG237:AW237" si="173">AF237-0.5%</f>
        <v>0.82230000000000003</v>
      </c>
      <c r="AH237" s="1039">
        <f t="shared" si="173"/>
        <v>0.81730000000000003</v>
      </c>
      <c r="AI237" s="1039">
        <f t="shared" si="173"/>
        <v>0.81230000000000002</v>
      </c>
      <c r="AJ237" s="1039">
        <f t="shared" si="173"/>
        <v>0.80730000000000002</v>
      </c>
      <c r="AK237" s="1039">
        <f t="shared" si="173"/>
        <v>0.80230000000000001</v>
      </c>
      <c r="AL237" s="1039">
        <f t="shared" si="173"/>
        <v>0.79730000000000001</v>
      </c>
      <c r="AM237" s="1039">
        <f t="shared" si="173"/>
        <v>0.7923</v>
      </c>
      <c r="AN237" s="1039">
        <f t="shared" si="173"/>
        <v>0.7873</v>
      </c>
      <c r="AO237" s="1039">
        <f t="shared" si="173"/>
        <v>0.7823</v>
      </c>
      <c r="AP237" s="1039">
        <f t="shared" si="173"/>
        <v>0.77729999999999999</v>
      </c>
      <c r="AQ237" s="1039">
        <f t="shared" si="173"/>
        <v>0.77229999999999999</v>
      </c>
      <c r="AR237" s="1039">
        <f t="shared" si="173"/>
        <v>0.76729999999999998</v>
      </c>
      <c r="AS237" s="1039">
        <f t="shared" si="173"/>
        <v>0.76229999999999998</v>
      </c>
      <c r="AT237" s="1039">
        <f t="shared" si="173"/>
        <v>0.75729999999999997</v>
      </c>
      <c r="AU237" s="1039">
        <f t="shared" si="173"/>
        <v>0.75229999999999997</v>
      </c>
      <c r="AV237" s="1039">
        <f t="shared" si="173"/>
        <v>0.74729999999999996</v>
      </c>
      <c r="AW237" s="1039">
        <f t="shared" si="173"/>
        <v>0.74229999999999996</v>
      </c>
      <c r="AX237" s="1039">
        <f t="shared" si="170"/>
        <v>0.74159999999999993</v>
      </c>
      <c r="AY237" s="1039">
        <f t="shared" si="170"/>
        <v>0.74089999999999989</v>
      </c>
      <c r="AZ237" s="1039">
        <f t="shared" si="170"/>
        <v>0.74019999999999986</v>
      </c>
      <c r="BA237" s="1039">
        <f t="shared" si="170"/>
        <v>0.73949999999999982</v>
      </c>
      <c r="BB237" s="1039">
        <f t="shared" si="170"/>
        <v>0.73879999999999979</v>
      </c>
      <c r="BC237" s="1039">
        <f t="shared" si="170"/>
        <v>0.73809999999999976</v>
      </c>
      <c r="BD237" s="1039">
        <f t="shared" si="170"/>
        <v>0.73739999999999972</v>
      </c>
      <c r="BE237" s="1039">
        <f t="shared" si="131"/>
        <v>0.73669999999999969</v>
      </c>
      <c r="BF237" s="1038">
        <v>0.73480000000000001</v>
      </c>
      <c r="BH237" s="970">
        <f t="shared" si="134"/>
        <v>0.73669999999999969</v>
      </c>
      <c r="BI237" s="970"/>
    </row>
    <row r="238" spans="2:61" s="998" customFormat="1" hidden="1">
      <c r="B238" s="1036">
        <v>62</v>
      </c>
      <c r="C238" s="1037"/>
      <c r="D238" s="1037"/>
      <c r="E238" s="1037"/>
      <c r="F238" s="1037"/>
      <c r="G238" s="1037"/>
      <c r="H238" s="1037"/>
      <c r="I238" s="1037"/>
      <c r="J238" s="1037"/>
      <c r="K238" s="1037"/>
      <c r="L238" s="1037"/>
      <c r="M238" s="1037"/>
      <c r="N238" s="1037"/>
      <c r="O238" s="1037"/>
      <c r="P238" s="1037"/>
      <c r="Q238" s="1037"/>
      <c r="R238" s="1037"/>
      <c r="S238" s="1037"/>
      <c r="T238" s="1037" t="s">
        <v>914</v>
      </c>
      <c r="U238" s="1037" t="s">
        <v>914</v>
      </c>
      <c r="V238" s="1037" t="s">
        <v>942</v>
      </c>
      <c r="W238" s="1037" t="s">
        <v>941</v>
      </c>
      <c r="X238" s="1037" t="s">
        <v>940</v>
      </c>
      <c r="Y238" s="1037" t="s">
        <v>939</v>
      </c>
      <c r="Z238" s="1037" t="s">
        <v>938</v>
      </c>
      <c r="AA238" s="1037" t="s">
        <v>937</v>
      </c>
      <c r="AB238" s="1037" t="s">
        <v>936</v>
      </c>
      <c r="AC238" s="1038">
        <v>0.84919999999999995</v>
      </c>
      <c r="AD238" s="1038">
        <v>0.84370000000000001</v>
      </c>
      <c r="AE238" s="1038">
        <v>0.83850000000000002</v>
      </c>
      <c r="AF238" s="1039">
        <v>0.83330000000000004</v>
      </c>
      <c r="AG238" s="1039">
        <f t="shared" ref="AG238:AV238" si="174">AF238-0.52%</f>
        <v>0.82810000000000006</v>
      </c>
      <c r="AH238" s="1039">
        <f t="shared" si="174"/>
        <v>0.82290000000000008</v>
      </c>
      <c r="AI238" s="1039">
        <f t="shared" si="174"/>
        <v>0.81770000000000009</v>
      </c>
      <c r="AJ238" s="1039">
        <f t="shared" si="174"/>
        <v>0.81250000000000011</v>
      </c>
      <c r="AK238" s="1039">
        <f t="shared" si="174"/>
        <v>0.80730000000000013</v>
      </c>
      <c r="AL238" s="1039">
        <f t="shared" si="174"/>
        <v>0.80210000000000015</v>
      </c>
      <c r="AM238" s="1039">
        <f t="shared" si="174"/>
        <v>0.79690000000000016</v>
      </c>
      <c r="AN238" s="1039">
        <f t="shared" si="174"/>
        <v>0.79170000000000018</v>
      </c>
      <c r="AO238" s="1039">
        <f t="shared" si="174"/>
        <v>0.7865000000000002</v>
      </c>
      <c r="AP238" s="1039">
        <f t="shared" si="174"/>
        <v>0.78130000000000022</v>
      </c>
      <c r="AQ238" s="1039">
        <f t="shared" si="174"/>
        <v>0.77610000000000023</v>
      </c>
      <c r="AR238" s="1039">
        <f t="shared" si="174"/>
        <v>0.77090000000000025</v>
      </c>
      <c r="AS238" s="1039">
        <f t="shared" si="174"/>
        <v>0.76570000000000027</v>
      </c>
      <c r="AT238" s="1039">
        <f t="shared" si="174"/>
        <v>0.76050000000000029</v>
      </c>
      <c r="AU238" s="1039">
        <f t="shared" si="174"/>
        <v>0.7553000000000003</v>
      </c>
      <c r="AV238" s="1039">
        <f t="shared" si="174"/>
        <v>0.75010000000000032</v>
      </c>
      <c r="AW238" s="1039">
        <f t="shared" ref="AW238:AW247" si="175">AV238-0.07%</f>
        <v>0.74940000000000029</v>
      </c>
      <c r="AX238" s="1039">
        <f t="shared" si="170"/>
        <v>0.74870000000000025</v>
      </c>
      <c r="AY238" s="1039">
        <f t="shared" si="170"/>
        <v>0.74800000000000022</v>
      </c>
      <c r="AZ238" s="1039">
        <f t="shared" si="170"/>
        <v>0.74730000000000019</v>
      </c>
      <c r="BA238" s="1039">
        <f t="shared" si="170"/>
        <v>0.74660000000000015</v>
      </c>
      <c r="BB238" s="1039">
        <f t="shared" si="170"/>
        <v>0.74590000000000012</v>
      </c>
      <c r="BC238" s="1039">
        <f t="shared" si="170"/>
        <v>0.74520000000000008</v>
      </c>
      <c r="BD238" s="1039">
        <f t="shared" si="170"/>
        <v>0.74450000000000005</v>
      </c>
      <c r="BE238" s="1039">
        <f t="shared" si="131"/>
        <v>0.74380000000000002</v>
      </c>
      <c r="BF238" s="1038">
        <v>0.73909999999999998</v>
      </c>
      <c r="BH238" s="970">
        <f t="shared" si="134"/>
        <v>0.74380000000000002</v>
      </c>
      <c r="BI238" s="970"/>
    </row>
    <row r="239" spans="2:61" s="998" customFormat="1" hidden="1">
      <c r="B239" s="1036">
        <v>63</v>
      </c>
      <c r="C239" s="1037"/>
      <c r="D239" s="1037"/>
      <c r="E239" s="1037"/>
      <c r="F239" s="1037"/>
      <c r="G239" s="1037"/>
      <c r="H239" s="1037"/>
      <c r="I239" s="1037"/>
      <c r="J239" s="1037"/>
      <c r="K239" s="1037"/>
      <c r="L239" s="1037"/>
      <c r="M239" s="1037"/>
      <c r="N239" s="1037"/>
      <c r="O239" s="1037"/>
      <c r="P239" s="1037"/>
      <c r="Q239" s="1037"/>
      <c r="R239" s="1037"/>
      <c r="S239" s="1037"/>
      <c r="T239" s="1037"/>
      <c r="U239" s="1037" t="s">
        <v>914</v>
      </c>
      <c r="V239" s="1037" t="s">
        <v>914</v>
      </c>
      <c r="W239" s="1037" t="s">
        <v>935</v>
      </c>
      <c r="X239" s="1037" t="s">
        <v>934</v>
      </c>
      <c r="Y239" s="1037" t="s">
        <v>933</v>
      </c>
      <c r="Z239" s="1037" t="s">
        <v>932</v>
      </c>
      <c r="AA239" s="1037" t="s">
        <v>931</v>
      </c>
      <c r="AB239" s="1037" t="s">
        <v>930</v>
      </c>
      <c r="AC239" s="1038">
        <v>0.85560000000000003</v>
      </c>
      <c r="AD239" s="1038">
        <v>0.85</v>
      </c>
      <c r="AE239" s="1038">
        <v>0.84460000000000002</v>
      </c>
      <c r="AF239" s="1039">
        <v>0.83940000000000003</v>
      </c>
      <c r="AG239" s="1039">
        <f t="shared" ref="AG239:AV239" si="176">AF239-0.52%</f>
        <v>0.83420000000000005</v>
      </c>
      <c r="AH239" s="1039">
        <f t="shared" si="176"/>
        <v>0.82900000000000007</v>
      </c>
      <c r="AI239" s="1039">
        <f t="shared" si="176"/>
        <v>0.82380000000000009</v>
      </c>
      <c r="AJ239" s="1039">
        <f t="shared" si="176"/>
        <v>0.81860000000000011</v>
      </c>
      <c r="AK239" s="1039">
        <f t="shared" si="176"/>
        <v>0.81340000000000012</v>
      </c>
      <c r="AL239" s="1039">
        <f t="shared" si="176"/>
        <v>0.80820000000000014</v>
      </c>
      <c r="AM239" s="1039">
        <f t="shared" si="176"/>
        <v>0.80300000000000016</v>
      </c>
      <c r="AN239" s="1039">
        <f t="shared" si="176"/>
        <v>0.79780000000000018</v>
      </c>
      <c r="AO239" s="1039">
        <f t="shared" si="176"/>
        <v>0.79260000000000019</v>
      </c>
      <c r="AP239" s="1039">
        <f t="shared" si="176"/>
        <v>0.78740000000000021</v>
      </c>
      <c r="AQ239" s="1039">
        <f t="shared" si="176"/>
        <v>0.78220000000000023</v>
      </c>
      <c r="AR239" s="1039">
        <f t="shared" si="176"/>
        <v>0.77700000000000025</v>
      </c>
      <c r="AS239" s="1039">
        <f t="shared" si="176"/>
        <v>0.77180000000000026</v>
      </c>
      <c r="AT239" s="1039">
        <f t="shared" si="176"/>
        <v>0.76660000000000028</v>
      </c>
      <c r="AU239" s="1039">
        <f t="shared" si="176"/>
        <v>0.7614000000000003</v>
      </c>
      <c r="AV239" s="1039">
        <f t="shared" si="176"/>
        <v>0.75620000000000032</v>
      </c>
      <c r="AW239" s="1039">
        <f t="shared" si="175"/>
        <v>0.75550000000000028</v>
      </c>
      <c r="AX239" s="1039">
        <f t="shared" si="170"/>
        <v>0.75480000000000025</v>
      </c>
      <c r="AY239" s="1039">
        <f t="shared" si="170"/>
        <v>0.75410000000000021</v>
      </c>
      <c r="AZ239" s="1039">
        <f t="shared" si="170"/>
        <v>0.75340000000000018</v>
      </c>
      <c r="BA239" s="1039">
        <f t="shared" si="170"/>
        <v>0.75270000000000015</v>
      </c>
      <c r="BB239" s="1039">
        <f t="shared" si="170"/>
        <v>0.75200000000000011</v>
      </c>
      <c r="BC239" s="1039">
        <f t="shared" si="170"/>
        <v>0.75130000000000008</v>
      </c>
      <c r="BD239" s="1039">
        <f t="shared" si="170"/>
        <v>0.75060000000000004</v>
      </c>
      <c r="BE239" s="1039">
        <f t="shared" si="131"/>
        <v>0.74990000000000001</v>
      </c>
      <c r="BF239" s="1038">
        <v>0.74350000000000005</v>
      </c>
      <c r="BH239" s="970">
        <f t="shared" si="134"/>
        <v>0.74990000000000001</v>
      </c>
      <c r="BI239" s="970"/>
    </row>
    <row r="240" spans="2:61" s="998" customFormat="1" hidden="1">
      <c r="B240" s="1036">
        <v>64</v>
      </c>
      <c r="C240" s="1037"/>
      <c r="D240" s="1037"/>
      <c r="E240" s="1037"/>
      <c r="F240" s="1037"/>
      <c r="G240" s="1037"/>
      <c r="H240" s="1037"/>
      <c r="I240" s="1037"/>
      <c r="J240" s="1037"/>
      <c r="K240" s="1037"/>
      <c r="L240" s="1037"/>
      <c r="M240" s="1037"/>
      <c r="N240" s="1037"/>
      <c r="O240" s="1037"/>
      <c r="P240" s="1037"/>
      <c r="Q240" s="1037"/>
      <c r="R240" s="1037"/>
      <c r="S240" s="1037"/>
      <c r="T240" s="1037"/>
      <c r="U240" s="1037"/>
      <c r="V240" s="1037" t="s">
        <v>914</v>
      </c>
      <c r="W240" s="1037" t="s">
        <v>914</v>
      </c>
      <c r="X240" s="1037" t="s">
        <v>929</v>
      </c>
      <c r="Y240" s="1037" t="s">
        <v>928</v>
      </c>
      <c r="Z240" s="1037" t="s">
        <v>927</v>
      </c>
      <c r="AA240" s="1037" t="s">
        <v>926</v>
      </c>
      <c r="AB240" s="1037" t="s">
        <v>925</v>
      </c>
      <c r="AC240" s="1038">
        <v>0.8619</v>
      </c>
      <c r="AD240" s="1038">
        <v>0.85619999999999996</v>
      </c>
      <c r="AE240" s="1038">
        <v>0.8508</v>
      </c>
      <c r="AF240" s="1039">
        <v>0.84550000000000003</v>
      </c>
      <c r="AG240" s="1039">
        <f t="shared" ref="AG240:AV240" si="177">AF240-0.53%</f>
        <v>0.84020000000000006</v>
      </c>
      <c r="AH240" s="1039">
        <f t="shared" si="177"/>
        <v>0.83490000000000009</v>
      </c>
      <c r="AI240" s="1039">
        <f t="shared" si="177"/>
        <v>0.82960000000000012</v>
      </c>
      <c r="AJ240" s="1039">
        <f t="shared" si="177"/>
        <v>0.82430000000000014</v>
      </c>
      <c r="AK240" s="1039">
        <f t="shared" si="177"/>
        <v>0.81900000000000017</v>
      </c>
      <c r="AL240" s="1039">
        <f t="shared" si="177"/>
        <v>0.8137000000000002</v>
      </c>
      <c r="AM240" s="1039">
        <f t="shared" si="177"/>
        <v>0.80840000000000023</v>
      </c>
      <c r="AN240" s="1039">
        <f t="shared" si="177"/>
        <v>0.80310000000000026</v>
      </c>
      <c r="AO240" s="1039">
        <f t="shared" si="177"/>
        <v>0.79780000000000029</v>
      </c>
      <c r="AP240" s="1039">
        <f t="shared" si="177"/>
        <v>0.79250000000000032</v>
      </c>
      <c r="AQ240" s="1039">
        <f t="shared" si="177"/>
        <v>0.78720000000000034</v>
      </c>
      <c r="AR240" s="1039">
        <f t="shared" si="177"/>
        <v>0.78190000000000037</v>
      </c>
      <c r="AS240" s="1039">
        <f t="shared" si="177"/>
        <v>0.7766000000000004</v>
      </c>
      <c r="AT240" s="1039">
        <f t="shared" si="177"/>
        <v>0.77130000000000043</v>
      </c>
      <c r="AU240" s="1039">
        <f t="shared" si="177"/>
        <v>0.76600000000000046</v>
      </c>
      <c r="AV240" s="1039">
        <f t="shared" si="177"/>
        <v>0.76070000000000049</v>
      </c>
      <c r="AW240" s="1039">
        <f t="shared" si="175"/>
        <v>0.76000000000000045</v>
      </c>
      <c r="AX240" s="1039">
        <f t="shared" si="170"/>
        <v>0.75930000000000042</v>
      </c>
      <c r="AY240" s="1039">
        <f t="shared" si="170"/>
        <v>0.75860000000000039</v>
      </c>
      <c r="AZ240" s="1039">
        <f t="shared" si="170"/>
        <v>0.75790000000000035</v>
      </c>
      <c r="BA240" s="1039">
        <f t="shared" si="170"/>
        <v>0.75720000000000032</v>
      </c>
      <c r="BB240" s="1039">
        <f t="shared" si="170"/>
        <v>0.75650000000000028</v>
      </c>
      <c r="BC240" s="1039">
        <f t="shared" si="170"/>
        <v>0.75580000000000025</v>
      </c>
      <c r="BD240" s="1039">
        <f t="shared" si="170"/>
        <v>0.75510000000000022</v>
      </c>
      <c r="BE240" s="1039">
        <f t="shared" ref="BE240:BE256" si="178">BD240-0.07%</f>
        <v>0.75440000000000018</v>
      </c>
      <c r="BF240" s="1038">
        <v>0.74780000000000002</v>
      </c>
      <c r="BH240" s="970">
        <f t="shared" si="134"/>
        <v>0.75440000000000018</v>
      </c>
      <c r="BI240" s="970"/>
    </row>
    <row r="241" spans="2:61" s="998" customFormat="1" hidden="1">
      <c r="B241" s="1036">
        <v>65</v>
      </c>
      <c r="C241" s="1037"/>
      <c r="D241" s="1037"/>
      <c r="E241" s="1037"/>
      <c r="F241" s="1037"/>
      <c r="G241" s="1037"/>
      <c r="H241" s="1037"/>
      <c r="I241" s="1037"/>
      <c r="J241" s="1037"/>
      <c r="K241" s="1037"/>
      <c r="L241" s="1037"/>
      <c r="M241" s="1037"/>
      <c r="N241" s="1037"/>
      <c r="O241" s="1037"/>
      <c r="P241" s="1037"/>
      <c r="Q241" s="1037"/>
      <c r="R241" s="1037"/>
      <c r="S241" s="1037"/>
      <c r="T241" s="1037"/>
      <c r="U241" s="1037"/>
      <c r="V241" s="1037"/>
      <c r="W241" s="1037" t="s">
        <v>914</v>
      </c>
      <c r="X241" s="1037" t="s">
        <v>914</v>
      </c>
      <c r="Y241" s="1037" t="s">
        <v>924</v>
      </c>
      <c r="Z241" s="1037" t="s">
        <v>923</v>
      </c>
      <c r="AA241" s="1037" t="s">
        <v>922</v>
      </c>
      <c r="AB241" s="1037" t="s">
        <v>921</v>
      </c>
      <c r="AC241" s="1038">
        <v>0.86829999999999996</v>
      </c>
      <c r="AD241" s="1038">
        <v>0.86250000000000004</v>
      </c>
      <c r="AE241" s="1038">
        <v>0.8569</v>
      </c>
      <c r="AF241" s="1039">
        <v>0.85150000000000003</v>
      </c>
      <c r="AG241" s="1039">
        <f t="shared" ref="AG241:AV241" si="179">AF241-0.54%</f>
        <v>0.84610000000000007</v>
      </c>
      <c r="AH241" s="1039">
        <f t="shared" si="179"/>
        <v>0.84070000000000011</v>
      </c>
      <c r="AI241" s="1039">
        <f t="shared" si="179"/>
        <v>0.83530000000000015</v>
      </c>
      <c r="AJ241" s="1039">
        <f t="shared" si="179"/>
        <v>0.82990000000000019</v>
      </c>
      <c r="AK241" s="1039">
        <f t="shared" si="179"/>
        <v>0.82450000000000023</v>
      </c>
      <c r="AL241" s="1039">
        <f t="shared" si="179"/>
        <v>0.81910000000000027</v>
      </c>
      <c r="AM241" s="1039">
        <f t="shared" si="179"/>
        <v>0.81370000000000031</v>
      </c>
      <c r="AN241" s="1039">
        <f t="shared" si="179"/>
        <v>0.80830000000000035</v>
      </c>
      <c r="AO241" s="1039">
        <f t="shared" si="179"/>
        <v>0.80290000000000039</v>
      </c>
      <c r="AP241" s="1039">
        <f t="shared" si="179"/>
        <v>0.79750000000000043</v>
      </c>
      <c r="AQ241" s="1039">
        <f t="shared" si="179"/>
        <v>0.79210000000000047</v>
      </c>
      <c r="AR241" s="1039">
        <f t="shared" si="179"/>
        <v>0.78670000000000051</v>
      </c>
      <c r="AS241" s="1039">
        <f t="shared" si="179"/>
        <v>0.78130000000000055</v>
      </c>
      <c r="AT241" s="1039">
        <f t="shared" si="179"/>
        <v>0.77590000000000059</v>
      </c>
      <c r="AU241" s="1039">
        <f t="shared" si="179"/>
        <v>0.77050000000000063</v>
      </c>
      <c r="AV241" s="1039">
        <f t="shared" si="179"/>
        <v>0.76510000000000067</v>
      </c>
      <c r="AW241" s="1039">
        <f t="shared" si="175"/>
        <v>0.76440000000000063</v>
      </c>
      <c r="AX241" s="1039">
        <f t="shared" si="170"/>
        <v>0.7637000000000006</v>
      </c>
      <c r="AY241" s="1039">
        <f t="shared" si="170"/>
        <v>0.76300000000000057</v>
      </c>
      <c r="AZ241" s="1039">
        <f t="shared" si="170"/>
        <v>0.76230000000000053</v>
      </c>
      <c r="BA241" s="1039">
        <f t="shared" si="170"/>
        <v>0.7616000000000005</v>
      </c>
      <c r="BB241" s="1039">
        <f t="shared" si="170"/>
        <v>0.76090000000000046</v>
      </c>
      <c r="BC241" s="1039">
        <f t="shared" si="170"/>
        <v>0.76020000000000043</v>
      </c>
      <c r="BD241" s="1039">
        <f t="shared" si="170"/>
        <v>0.7595000000000004</v>
      </c>
      <c r="BE241" s="1039">
        <f t="shared" si="178"/>
        <v>0.75880000000000036</v>
      </c>
      <c r="BF241" s="1038">
        <v>0.75219999999999998</v>
      </c>
      <c r="BH241" s="970">
        <f t="shared" ref="BH241:BH276" si="180">LOOKUP($K$15,$C$176:$BF$176,C241:BF241)</f>
        <v>0.75880000000000036</v>
      </c>
      <c r="BI241" s="970"/>
    </row>
    <row r="242" spans="2:61" s="998" customFormat="1" hidden="1">
      <c r="B242" s="1036">
        <v>66</v>
      </c>
      <c r="C242" s="1037"/>
      <c r="D242" s="1037"/>
      <c r="E242" s="1037"/>
      <c r="F242" s="1037"/>
      <c r="G242" s="1037"/>
      <c r="H242" s="1037"/>
      <c r="I242" s="1037"/>
      <c r="J242" s="1037"/>
      <c r="K242" s="1037"/>
      <c r="L242" s="1037"/>
      <c r="M242" s="1037"/>
      <c r="N242" s="1037"/>
      <c r="O242" s="1037"/>
      <c r="P242" s="1037"/>
      <c r="Q242" s="1037"/>
      <c r="R242" s="1037"/>
      <c r="S242" s="1037"/>
      <c r="T242" s="1037"/>
      <c r="U242" s="1037"/>
      <c r="V242" s="1037"/>
      <c r="W242" s="1037"/>
      <c r="X242" s="1037" t="s">
        <v>914</v>
      </c>
      <c r="Y242" s="1037" t="s">
        <v>914</v>
      </c>
      <c r="Z242" s="1037" t="s">
        <v>920</v>
      </c>
      <c r="AA242" s="1037" t="s">
        <v>919</v>
      </c>
      <c r="AB242" s="1037" t="s">
        <v>918</v>
      </c>
      <c r="AC242" s="1038">
        <v>0.87460000000000004</v>
      </c>
      <c r="AD242" s="1038">
        <v>0.86870000000000003</v>
      </c>
      <c r="AE242" s="1038">
        <v>0.86309999999999998</v>
      </c>
      <c r="AF242" s="1039">
        <v>0.85760000000000003</v>
      </c>
      <c r="AG242" s="1039">
        <f t="shared" ref="AG242:AV242" si="181">AF242-0.55%</f>
        <v>0.85210000000000008</v>
      </c>
      <c r="AH242" s="1039">
        <f t="shared" si="181"/>
        <v>0.84660000000000013</v>
      </c>
      <c r="AI242" s="1039">
        <f t="shared" si="181"/>
        <v>0.84110000000000018</v>
      </c>
      <c r="AJ242" s="1039">
        <f t="shared" si="181"/>
        <v>0.83560000000000023</v>
      </c>
      <c r="AK242" s="1039">
        <f t="shared" si="181"/>
        <v>0.83010000000000028</v>
      </c>
      <c r="AL242" s="1039">
        <f t="shared" si="181"/>
        <v>0.82460000000000033</v>
      </c>
      <c r="AM242" s="1039">
        <f t="shared" si="181"/>
        <v>0.81910000000000038</v>
      </c>
      <c r="AN242" s="1039">
        <f t="shared" si="181"/>
        <v>0.81360000000000043</v>
      </c>
      <c r="AO242" s="1039">
        <f t="shared" si="181"/>
        <v>0.80810000000000048</v>
      </c>
      <c r="AP242" s="1039">
        <f t="shared" si="181"/>
        <v>0.80260000000000054</v>
      </c>
      <c r="AQ242" s="1039">
        <f t="shared" si="181"/>
        <v>0.79710000000000059</v>
      </c>
      <c r="AR242" s="1039">
        <f t="shared" si="181"/>
        <v>0.79160000000000064</v>
      </c>
      <c r="AS242" s="1039">
        <f t="shared" si="181"/>
        <v>0.78610000000000069</v>
      </c>
      <c r="AT242" s="1039">
        <f t="shared" si="181"/>
        <v>0.78060000000000074</v>
      </c>
      <c r="AU242" s="1039">
        <f t="shared" si="181"/>
        <v>0.77510000000000079</v>
      </c>
      <c r="AV242" s="1039">
        <f t="shared" si="181"/>
        <v>0.76960000000000084</v>
      </c>
      <c r="AW242" s="1039">
        <f t="shared" si="175"/>
        <v>0.76890000000000081</v>
      </c>
      <c r="AX242" s="1039">
        <f t="shared" si="170"/>
        <v>0.76820000000000077</v>
      </c>
      <c r="AY242" s="1039">
        <f t="shared" si="170"/>
        <v>0.76750000000000074</v>
      </c>
      <c r="AZ242" s="1039">
        <f t="shared" si="170"/>
        <v>0.7668000000000007</v>
      </c>
      <c r="BA242" s="1039">
        <f t="shared" si="170"/>
        <v>0.76610000000000067</v>
      </c>
      <c r="BB242" s="1039">
        <f t="shared" si="170"/>
        <v>0.76540000000000064</v>
      </c>
      <c r="BC242" s="1039">
        <f t="shared" si="170"/>
        <v>0.7647000000000006</v>
      </c>
      <c r="BD242" s="1039">
        <f t="shared" si="170"/>
        <v>0.76400000000000057</v>
      </c>
      <c r="BE242" s="1039">
        <f t="shared" si="178"/>
        <v>0.76330000000000053</v>
      </c>
      <c r="BF242" s="1038">
        <v>0.75649999999999995</v>
      </c>
      <c r="BH242" s="970">
        <f t="shared" si="180"/>
        <v>0.76330000000000053</v>
      </c>
      <c r="BI242" s="970"/>
    </row>
    <row r="243" spans="2:61" s="998" customFormat="1" hidden="1">
      <c r="B243" s="1036">
        <v>67</v>
      </c>
      <c r="C243" s="1037"/>
      <c r="D243" s="1037"/>
      <c r="E243" s="1037"/>
      <c r="F243" s="1037"/>
      <c r="G243" s="1037"/>
      <c r="H243" s="1037"/>
      <c r="I243" s="1037"/>
      <c r="J243" s="1037"/>
      <c r="K243" s="1037"/>
      <c r="L243" s="1037"/>
      <c r="M243" s="1037"/>
      <c r="N243" s="1037"/>
      <c r="O243" s="1037"/>
      <c r="P243" s="1037"/>
      <c r="Q243" s="1037"/>
      <c r="R243" s="1037"/>
      <c r="S243" s="1037"/>
      <c r="T243" s="1037"/>
      <c r="U243" s="1037"/>
      <c r="V243" s="1037"/>
      <c r="W243" s="1037"/>
      <c r="X243" s="1037"/>
      <c r="Y243" s="1037" t="s">
        <v>914</v>
      </c>
      <c r="Z243" s="1037" t="s">
        <v>914</v>
      </c>
      <c r="AA243" s="1037" t="s">
        <v>917</v>
      </c>
      <c r="AB243" s="1037" t="s">
        <v>916</v>
      </c>
      <c r="AC243" s="1038">
        <v>0.88100000000000001</v>
      </c>
      <c r="AD243" s="1038">
        <v>0.875</v>
      </c>
      <c r="AE243" s="1038">
        <v>0.86919999999999997</v>
      </c>
      <c r="AF243" s="1039">
        <v>0.86360000000000003</v>
      </c>
      <c r="AG243" s="1039">
        <f t="shared" ref="AG243:AV243" si="182">AF243-0.56%</f>
        <v>0.85799999999999998</v>
      </c>
      <c r="AH243" s="1039">
        <f t="shared" si="182"/>
        <v>0.85239999999999994</v>
      </c>
      <c r="AI243" s="1039">
        <f t="shared" si="182"/>
        <v>0.84679999999999989</v>
      </c>
      <c r="AJ243" s="1039">
        <f t="shared" si="182"/>
        <v>0.84119999999999984</v>
      </c>
      <c r="AK243" s="1039">
        <f t="shared" si="182"/>
        <v>0.83559999999999979</v>
      </c>
      <c r="AL243" s="1039">
        <f t="shared" si="182"/>
        <v>0.82999999999999974</v>
      </c>
      <c r="AM243" s="1039">
        <f t="shared" si="182"/>
        <v>0.82439999999999969</v>
      </c>
      <c r="AN243" s="1039">
        <f t="shared" si="182"/>
        <v>0.81879999999999964</v>
      </c>
      <c r="AO243" s="1039">
        <f t="shared" si="182"/>
        <v>0.81319999999999959</v>
      </c>
      <c r="AP243" s="1039">
        <f t="shared" si="182"/>
        <v>0.80759999999999954</v>
      </c>
      <c r="AQ243" s="1039">
        <f t="shared" si="182"/>
        <v>0.80199999999999949</v>
      </c>
      <c r="AR243" s="1039">
        <f t="shared" si="182"/>
        <v>0.79639999999999944</v>
      </c>
      <c r="AS243" s="1039">
        <f t="shared" si="182"/>
        <v>0.79079999999999939</v>
      </c>
      <c r="AT243" s="1039">
        <f t="shared" si="182"/>
        <v>0.78519999999999934</v>
      </c>
      <c r="AU243" s="1039">
        <f t="shared" si="182"/>
        <v>0.77959999999999929</v>
      </c>
      <c r="AV243" s="1039">
        <f t="shared" si="182"/>
        <v>0.77399999999999924</v>
      </c>
      <c r="AW243" s="1039">
        <f t="shared" si="175"/>
        <v>0.77329999999999921</v>
      </c>
      <c r="AX243" s="1039">
        <f t="shared" si="170"/>
        <v>0.77259999999999918</v>
      </c>
      <c r="AY243" s="1039">
        <f t="shared" si="170"/>
        <v>0.77189999999999914</v>
      </c>
      <c r="AZ243" s="1039">
        <f t="shared" si="170"/>
        <v>0.77119999999999911</v>
      </c>
      <c r="BA243" s="1039">
        <f t="shared" si="170"/>
        <v>0.77049999999999907</v>
      </c>
      <c r="BB243" s="1039">
        <f t="shared" si="170"/>
        <v>0.76979999999999904</v>
      </c>
      <c r="BC243" s="1039">
        <f t="shared" si="170"/>
        <v>0.76909999999999901</v>
      </c>
      <c r="BD243" s="1039">
        <f t="shared" si="170"/>
        <v>0.76839999999999897</v>
      </c>
      <c r="BE243" s="1039">
        <f t="shared" si="178"/>
        <v>0.76769999999999894</v>
      </c>
      <c r="BF243" s="1038">
        <v>0.76090000000000002</v>
      </c>
      <c r="BH243" s="970">
        <f t="shared" si="180"/>
        <v>0.76769999999999894</v>
      </c>
      <c r="BI243" s="970"/>
    </row>
    <row r="244" spans="2:61" s="998" customFormat="1" hidden="1">
      <c r="B244" s="1036">
        <v>68</v>
      </c>
      <c r="C244" s="1037"/>
      <c r="D244" s="1037"/>
      <c r="E244" s="1037"/>
      <c r="F244" s="1037"/>
      <c r="G244" s="1037"/>
      <c r="H244" s="1037"/>
      <c r="I244" s="1037"/>
      <c r="J244" s="1037"/>
      <c r="K244" s="1037"/>
      <c r="L244" s="1037"/>
      <c r="M244" s="1037"/>
      <c r="N244" s="1037"/>
      <c r="O244" s="1037"/>
      <c r="P244" s="1037"/>
      <c r="Q244" s="1037"/>
      <c r="R244" s="1037"/>
      <c r="S244" s="1037"/>
      <c r="T244" s="1037"/>
      <c r="U244" s="1037"/>
      <c r="V244" s="1037"/>
      <c r="W244" s="1037"/>
      <c r="X244" s="1037"/>
      <c r="Y244" s="1037"/>
      <c r="Z244" s="1037" t="s">
        <v>914</v>
      </c>
      <c r="AA244" s="1037" t="s">
        <v>914</v>
      </c>
      <c r="AB244" s="1037" t="s">
        <v>915</v>
      </c>
      <c r="AC244" s="1038">
        <v>0.88729999999999998</v>
      </c>
      <c r="AD244" s="1038">
        <v>0.88100000000000001</v>
      </c>
      <c r="AE244" s="1038">
        <v>0.87539999999999996</v>
      </c>
      <c r="AF244" s="1039">
        <v>0.86970000000000003</v>
      </c>
      <c r="AG244" s="1039">
        <f t="shared" ref="AG244:AV244" si="183">AF244-0.57%</f>
        <v>0.86399999999999999</v>
      </c>
      <c r="AH244" s="1039">
        <f t="shared" si="183"/>
        <v>0.85829999999999995</v>
      </c>
      <c r="AI244" s="1039">
        <f t="shared" si="183"/>
        <v>0.85259999999999991</v>
      </c>
      <c r="AJ244" s="1039">
        <f t="shared" si="183"/>
        <v>0.84689999999999988</v>
      </c>
      <c r="AK244" s="1039">
        <f t="shared" si="183"/>
        <v>0.84119999999999984</v>
      </c>
      <c r="AL244" s="1039">
        <f t="shared" si="183"/>
        <v>0.8354999999999998</v>
      </c>
      <c r="AM244" s="1039">
        <f t="shared" si="183"/>
        <v>0.82979999999999976</v>
      </c>
      <c r="AN244" s="1039">
        <f t="shared" si="183"/>
        <v>0.82409999999999972</v>
      </c>
      <c r="AO244" s="1039">
        <f t="shared" si="183"/>
        <v>0.81839999999999968</v>
      </c>
      <c r="AP244" s="1039">
        <f t="shared" si="183"/>
        <v>0.81269999999999964</v>
      </c>
      <c r="AQ244" s="1039">
        <f t="shared" si="183"/>
        <v>0.80699999999999961</v>
      </c>
      <c r="AR244" s="1039">
        <f t="shared" si="183"/>
        <v>0.80129999999999957</v>
      </c>
      <c r="AS244" s="1039">
        <f t="shared" si="183"/>
        <v>0.79559999999999953</v>
      </c>
      <c r="AT244" s="1039">
        <f t="shared" si="183"/>
        <v>0.78989999999999949</v>
      </c>
      <c r="AU244" s="1039">
        <f t="shared" si="183"/>
        <v>0.78419999999999945</v>
      </c>
      <c r="AV244" s="1039">
        <f t="shared" si="183"/>
        <v>0.77849999999999941</v>
      </c>
      <c r="AW244" s="1039">
        <f t="shared" si="175"/>
        <v>0.77779999999999938</v>
      </c>
      <c r="AX244" s="1039">
        <f t="shared" si="170"/>
        <v>0.77709999999999935</v>
      </c>
      <c r="AY244" s="1039">
        <f t="shared" si="170"/>
        <v>0.77639999999999931</v>
      </c>
      <c r="AZ244" s="1039">
        <f t="shared" si="170"/>
        <v>0.77569999999999928</v>
      </c>
      <c r="BA244" s="1039">
        <f t="shared" si="170"/>
        <v>0.77499999999999925</v>
      </c>
      <c r="BB244" s="1039">
        <f t="shared" si="170"/>
        <v>0.77429999999999921</v>
      </c>
      <c r="BC244" s="1039">
        <f t="shared" si="170"/>
        <v>0.77359999999999918</v>
      </c>
      <c r="BD244" s="1039">
        <f t="shared" si="170"/>
        <v>0.77289999999999914</v>
      </c>
      <c r="BE244" s="1039">
        <f t="shared" si="178"/>
        <v>0.77219999999999911</v>
      </c>
      <c r="BF244" s="1038">
        <v>0.76519999999999999</v>
      </c>
      <c r="BH244" s="970">
        <f t="shared" si="180"/>
        <v>0.77219999999999911</v>
      </c>
      <c r="BI244" s="970"/>
    </row>
    <row r="245" spans="2:61" s="998" customFormat="1" hidden="1">
      <c r="B245" s="1036">
        <v>69</v>
      </c>
      <c r="C245" s="1037"/>
      <c r="D245" s="1037"/>
      <c r="E245" s="1037"/>
      <c r="F245" s="1037"/>
      <c r="G245" s="1037"/>
      <c r="H245" s="1037"/>
      <c r="I245" s="1037"/>
      <c r="J245" s="1037"/>
      <c r="K245" s="1037"/>
      <c r="L245" s="1037"/>
      <c r="M245" s="1037"/>
      <c r="N245" s="1037"/>
      <c r="O245" s="1037"/>
      <c r="P245" s="1037"/>
      <c r="Q245" s="1037"/>
      <c r="R245" s="1037"/>
      <c r="S245" s="1037"/>
      <c r="T245" s="1037"/>
      <c r="U245" s="1037"/>
      <c r="V245" s="1037"/>
      <c r="W245" s="1037"/>
      <c r="X245" s="1037"/>
      <c r="Y245" s="1037"/>
      <c r="Z245" s="1037"/>
      <c r="AA245" s="1037" t="s">
        <v>914</v>
      </c>
      <c r="AB245" s="1037" t="s">
        <v>914</v>
      </c>
      <c r="AC245" s="1038">
        <v>0.89370000000000005</v>
      </c>
      <c r="AD245" s="1038">
        <v>0.88749999999999996</v>
      </c>
      <c r="AE245" s="1038">
        <v>0.88149999999999995</v>
      </c>
      <c r="AF245" s="1039">
        <v>0.87570000000000003</v>
      </c>
      <c r="AG245" s="1039">
        <f t="shared" ref="AG245:AV245" si="184">AF245-0.58%</f>
        <v>0.86990000000000001</v>
      </c>
      <c r="AH245" s="1039">
        <f t="shared" si="184"/>
        <v>0.86409999999999998</v>
      </c>
      <c r="AI245" s="1039">
        <f t="shared" si="184"/>
        <v>0.85829999999999995</v>
      </c>
      <c r="AJ245" s="1039">
        <f t="shared" si="184"/>
        <v>0.85249999999999992</v>
      </c>
      <c r="AK245" s="1039">
        <f t="shared" si="184"/>
        <v>0.8466999999999999</v>
      </c>
      <c r="AL245" s="1039">
        <f t="shared" si="184"/>
        <v>0.84089999999999987</v>
      </c>
      <c r="AM245" s="1039">
        <f t="shared" si="184"/>
        <v>0.83509999999999984</v>
      </c>
      <c r="AN245" s="1039">
        <f t="shared" si="184"/>
        <v>0.82929999999999982</v>
      </c>
      <c r="AO245" s="1039">
        <f t="shared" si="184"/>
        <v>0.82349999999999979</v>
      </c>
      <c r="AP245" s="1039">
        <f t="shared" si="184"/>
        <v>0.81769999999999976</v>
      </c>
      <c r="AQ245" s="1039">
        <f t="shared" si="184"/>
        <v>0.81189999999999973</v>
      </c>
      <c r="AR245" s="1039">
        <f t="shared" si="184"/>
        <v>0.80609999999999971</v>
      </c>
      <c r="AS245" s="1039">
        <f t="shared" si="184"/>
        <v>0.80029999999999968</v>
      </c>
      <c r="AT245" s="1039">
        <f t="shared" si="184"/>
        <v>0.79449999999999965</v>
      </c>
      <c r="AU245" s="1039">
        <f t="shared" si="184"/>
        <v>0.78869999999999962</v>
      </c>
      <c r="AV245" s="1039">
        <f t="shared" si="184"/>
        <v>0.7828999999999996</v>
      </c>
      <c r="AW245" s="1039">
        <f t="shared" si="175"/>
        <v>0.78219999999999956</v>
      </c>
      <c r="AX245" s="1039">
        <f t="shared" si="170"/>
        <v>0.78149999999999953</v>
      </c>
      <c r="AY245" s="1039">
        <f t="shared" si="170"/>
        <v>0.78079999999999949</v>
      </c>
      <c r="AZ245" s="1039">
        <f t="shared" si="170"/>
        <v>0.78009999999999946</v>
      </c>
      <c r="BA245" s="1039">
        <f t="shared" si="170"/>
        <v>0.77939999999999943</v>
      </c>
      <c r="BB245" s="1039">
        <f t="shared" si="170"/>
        <v>0.77869999999999939</v>
      </c>
      <c r="BC245" s="1039">
        <f t="shared" si="170"/>
        <v>0.77799999999999936</v>
      </c>
      <c r="BD245" s="1039">
        <f t="shared" si="170"/>
        <v>0.77729999999999932</v>
      </c>
      <c r="BE245" s="1039">
        <f t="shared" si="178"/>
        <v>0.77659999999999929</v>
      </c>
      <c r="BF245" s="1038">
        <v>0.76959999999999995</v>
      </c>
      <c r="BH245" s="970">
        <f t="shared" si="180"/>
        <v>0.77659999999999929</v>
      </c>
      <c r="BI245" s="970"/>
    </row>
    <row r="246" spans="2:61" s="998" customFormat="1" hidden="1">
      <c r="B246" s="1036">
        <v>70</v>
      </c>
      <c r="C246" s="1037"/>
      <c r="D246" s="1037"/>
      <c r="E246" s="1037"/>
      <c r="F246" s="1037"/>
      <c r="G246" s="1037"/>
      <c r="H246" s="1037"/>
      <c r="I246" s="1037"/>
      <c r="J246" s="1037"/>
      <c r="K246" s="1037"/>
      <c r="L246" s="1037"/>
      <c r="M246" s="1037"/>
      <c r="N246" s="1037"/>
      <c r="O246" s="1037"/>
      <c r="P246" s="1037"/>
      <c r="Q246" s="1037"/>
      <c r="R246" s="1037"/>
      <c r="S246" s="1037"/>
      <c r="T246" s="1037"/>
      <c r="U246" s="1037"/>
      <c r="V246" s="1037"/>
      <c r="W246" s="1037"/>
      <c r="X246" s="1037"/>
      <c r="Y246" s="1037"/>
      <c r="Z246" s="1037"/>
      <c r="AA246" s="1037"/>
      <c r="AB246" s="1037" t="s">
        <v>914</v>
      </c>
      <c r="AC246" s="1038">
        <v>0.9</v>
      </c>
      <c r="AD246" s="1038">
        <v>0.89370000000000005</v>
      </c>
      <c r="AE246" s="1038">
        <v>0.88770000000000004</v>
      </c>
      <c r="AF246" s="1039">
        <v>0.88180000000000003</v>
      </c>
      <c r="AG246" s="1039">
        <f t="shared" ref="AG246:AV246" si="185">AF246-0.59%</f>
        <v>0.87590000000000001</v>
      </c>
      <c r="AH246" s="1039">
        <f t="shared" si="185"/>
        <v>0.87</v>
      </c>
      <c r="AI246" s="1039">
        <f t="shared" si="185"/>
        <v>0.86409999999999998</v>
      </c>
      <c r="AJ246" s="1039">
        <f t="shared" si="185"/>
        <v>0.85819999999999996</v>
      </c>
      <c r="AK246" s="1039">
        <f t="shared" si="185"/>
        <v>0.85229999999999995</v>
      </c>
      <c r="AL246" s="1039">
        <f t="shared" si="185"/>
        <v>0.84639999999999993</v>
      </c>
      <c r="AM246" s="1039">
        <f t="shared" si="185"/>
        <v>0.84049999999999991</v>
      </c>
      <c r="AN246" s="1039">
        <f t="shared" si="185"/>
        <v>0.8345999999999999</v>
      </c>
      <c r="AO246" s="1039">
        <f t="shared" si="185"/>
        <v>0.82869999999999988</v>
      </c>
      <c r="AP246" s="1039">
        <f t="shared" si="185"/>
        <v>0.82279999999999986</v>
      </c>
      <c r="AQ246" s="1039">
        <f t="shared" si="185"/>
        <v>0.81689999999999985</v>
      </c>
      <c r="AR246" s="1039">
        <f t="shared" si="185"/>
        <v>0.81099999999999983</v>
      </c>
      <c r="AS246" s="1039">
        <f t="shared" si="185"/>
        <v>0.80509999999999982</v>
      </c>
      <c r="AT246" s="1039">
        <f t="shared" si="185"/>
        <v>0.7991999999999998</v>
      </c>
      <c r="AU246" s="1039">
        <f t="shared" si="185"/>
        <v>0.79329999999999978</v>
      </c>
      <c r="AV246" s="1039">
        <f t="shared" si="185"/>
        <v>0.78739999999999977</v>
      </c>
      <c r="AW246" s="1039">
        <f t="shared" si="175"/>
        <v>0.78669999999999973</v>
      </c>
      <c r="AX246" s="1039">
        <f t="shared" si="170"/>
        <v>0.7859999999999997</v>
      </c>
      <c r="AY246" s="1039">
        <f t="shared" si="170"/>
        <v>0.78529999999999966</v>
      </c>
      <c r="AZ246" s="1039">
        <f t="shared" si="170"/>
        <v>0.78459999999999963</v>
      </c>
      <c r="BA246" s="1039">
        <f t="shared" si="170"/>
        <v>0.7838999999999996</v>
      </c>
      <c r="BB246" s="1039">
        <f t="shared" si="170"/>
        <v>0.78319999999999956</v>
      </c>
      <c r="BC246" s="1039">
        <f t="shared" si="170"/>
        <v>0.78249999999999953</v>
      </c>
      <c r="BD246" s="1039">
        <f t="shared" si="170"/>
        <v>0.7817999999999995</v>
      </c>
      <c r="BE246" s="1039">
        <f t="shared" si="178"/>
        <v>0.78109999999999946</v>
      </c>
      <c r="BF246" s="1038">
        <v>0.77390000000000003</v>
      </c>
      <c r="BH246" s="970">
        <f t="shared" si="180"/>
        <v>0.78109999999999946</v>
      </c>
      <c r="BI246" s="970"/>
    </row>
    <row r="247" spans="2:61" s="998" customFormat="1" hidden="1">
      <c r="B247" s="1032">
        <v>71</v>
      </c>
      <c r="T247" s="1010"/>
      <c r="U247" s="1010"/>
      <c r="V247" s="1010"/>
      <c r="W247" s="1010"/>
      <c r="X247" s="1010"/>
      <c r="Y247" s="1010"/>
      <c r="Z247" s="1010"/>
      <c r="AA247" s="1010"/>
      <c r="AB247" s="1010"/>
      <c r="AC247" s="1038">
        <v>0.9</v>
      </c>
      <c r="AD247" s="1038">
        <v>0.9</v>
      </c>
      <c r="AE247" s="1038">
        <v>0.89380000000000004</v>
      </c>
      <c r="AF247" s="1039">
        <v>0.88790000000000002</v>
      </c>
      <c r="AG247" s="1039">
        <f t="shared" ref="AG247:AV247" si="186">AF247-0.59%</f>
        <v>0.88200000000000001</v>
      </c>
      <c r="AH247" s="1039">
        <f t="shared" si="186"/>
        <v>0.87609999999999999</v>
      </c>
      <c r="AI247" s="1039">
        <f t="shared" si="186"/>
        <v>0.87019999999999997</v>
      </c>
      <c r="AJ247" s="1039">
        <f t="shared" si="186"/>
        <v>0.86429999999999996</v>
      </c>
      <c r="AK247" s="1039">
        <f t="shared" si="186"/>
        <v>0.85839999999999994</v>
      </c>
      <c r="AL247" s="1039">
        <f t="shared" si="186"/>
        <v>0.85249999999999992</v>
      </c>
      <c r="AM247" s="1039">
        <f t="shared" si="186"/>
        <v>0.84659999999999991</v>
      </c>
      <c r="AN247" s="1039">
        <f t="shared" si="186"/>
        <v>0.84069999999999989</v>
      </c>
      <c r="AO247" s="1039">
        <f t="shared" si="186"/>
        <v>0.83479999999999988</v>
      </c>
      <c r="AP247" s="1039">
        <f t="shared" si="186"/>
        <v>0.82889999999999986</v>
      </c>
      <c r="AQ247" s="1039">
        <f t="shared" si="186"/>
        <v>0.82299999999999984</v>
      </c>
      <c r="AR247" s="1039">
        <f t="shared" si="186"/>
        <v>0.81709999999999983</v>
      </c>
      <c r="AS247" s="1039">
        <f t="shared" si="186"/>
        <v>0.81119999999999981</v>
      </c>
      <c r="AT247" s="1039">
        <f t="shared" si="186"/>
        <v>0.80529999999999979</v>
      </c>
      <c r="AU247" s="1039">
        <f t="shared" si="186"/>
        <v>0.79939999999999978</v>
      </c>
      <c r="AV247" s="1039">
        <f t="shared" si="186"/>
        <v>0.79349999999999976</v>
      </c>
      <c r="AW247" s="1039">
        <f t="shared" si="175"/>
        <v>0.79279999999999973</v>
      </c>
      <c r="AX247" s="1039">
        <f t="shared" si="170"/>
        <v>0.79209999999999969</v>
      </c>
      <c r="AY247" s="1039">
        <f t="shared" si="170"/>
        <v>0.79139999999999966</v>
      </c>
      <c r="AZ247" s="1039">
        <f t="shared" si="170"/>
        <v>0.79069999999999963</v>
      </c>
      <c r="BA247" s="1039">
        <f t="shared" si="170"/>
        <v>0.78999999999999959</v>
      </c>
      <c r="BB247" s="1039">
        <f t="shared" si="170"/>
        <v>0.78929999999999956</v>
      </c>
      <c r="BC247" s="1039">
        <f t="shared" si="170"/>
        <v>0.78859999999999952</v>
      </c>
      <c r="BD247" s="1039">
        <f t="shared" si="170"/>
        <v>0.78789999999999949</v>
      </c>
      <c r="BE247" s="1039">
        <f t="shared" si="178"/>
        <v>0.78719999999999946</v>
      </c>
      <c r="BF247" s="1038">
        <v>0.77829999999999999</v>
      </c>
      <c r="BH247" s="970">
        <f t="shared" si="180"/>
        <v>0.78719999999999946</v>
      </c>
      <c r="BI247" s="970"/>
    </row>
    <row r="248" spans="2:61" s="998" customFormat="1" hidden="1">
      <c r="B248" s="1032">
        <v>72</v>
      </c>
      <c r="T248" s="1010"/>
      <c r="U248" s="1010"/>
      <c r="V248" s="1010"/>
      <c r="W248" s="1010"/>
      <c r="X248" s="1010"/>
      <c r="Y248" s="1010"/>
      <c r="Z248" s="1010"/>
      <c r="AA248" s="1010"/>
      <c r="AB248" s="1010"/>
      <c r="AC248" s="1041"/>
      <c r="AD248" s="1038">
        <v>0.9</v>
      </c>
      <c r="AE248" s="1038">
        <v>0.9</v>
      </c>
      <c r="AF248" s="1039">
        <v>0.89390000000000003</v>
      </c>
      <c r="AG248" s="1039">
        <f t="shared" ref="AG248:AW248" si="187">AF248-0.58%</f>
        <v>0.8881</v>
      </c>
      <c r="AH248" s="1039">
        <f t="shared" si="187"/>
        <v>0.88229999999999997</v>
      </c>
      <c r="AI248" s="1039">
        <f t="shared" si="187"/>
        <v>0.87649999999999995</v>
      </c>
      <c r="AJ248" s="1039">
        <f t="shared" si="187"/>
        <v>0.87069999999999992</v>
      </c>
      <c r="AK248" s="1039">
        <f t="shared" si="187"/>
        <v>0.86489999999999989</v>
      </c>
      <c r="AL248" s="1039">
        <f t="shared" si="187"/>
        <v>0.85909999999999986</v>
      </c>
      <c r="AM248" s="1039">
        <f t="shared" si="187"/>
        <v>0.85329999999999984</v>
      </c>
      <c r="AN248" s="1039">
        <f t="shared" si="187"/>
        <v>0.84749999999999981</v>
      </c>
      <c r="AO248" s="1039">
        <f t="shared" si="187"/>
        <v>0.84169999999999978</v>
      </c>
      <c r="AP248" s="1039">
        <f t="shared" si="187"/>
        <v>0.83589999999999975</v>
      </c>
      <c r="AQ248" s="1039">
        <f t="shared" si="187"/>
        <v>0.83009999999999973</v>
      </c>
      <c r="AR248" s="1039">
        <f t="shared" si="187"/>
        <v>0.8242999999999997</v>
      </c>
      <c r="AS248" s="1039">
        <f t="shared" si="187"/>
        <v>0.81849999999999967</v>
      </c>
      <c r="AT248" s="1039">
        <f t="shared" si="187"/>
        <v>0.81269999999999964</v>
      </c>
      <c r="AU248" s="1039">
        <f t="shared" si="187"/>
        <v>0.80689999999999962</v>
      </c>
      <c r="AV248" s="1039">
        <f t="shared" si="187"/>
        <v>0.80109999999999959</v>
      </c>
      <c r="AW248" s="1039">
        <f t="shared" si="187"/>
        <v>0.79529999999999956</v>
      </c>
      <c r="AX248" s="1039">
        <f t="shared" si="170"/>
        <v>0.79459999999999953</v>
      </c>
      <c r="AY248" s="1039">
        <f t="shared" si="170"/>
        <v>0.79389999999999949</v>
      </c>
      <c r="AZ248" s="1039">
        <f t="shared" si="170"/>
        <v>0.79319999999999946</v>
      </c>
      <c r="BA248" s="1039">
        <f t="shared" si="170"/>
        <v>0.79249999999999943</v>
      </c>
      <c r="BB248" s="1039">
        <f t="shared" si="170"/>
        <v>0.79179999999999939</v>
      </c>
      <c r="BC248" s="1039">
        <f t="shared" si="170"/>
        <v>0.79109999999999936</v>
      </c>
      <c r="BD248" s="1039">
        <f t="shared" si="170"/>
        <v>0.79039999999999933</v>
      </c>
      <c r="BE248" s="1039">
        <f t="shared" si="178"/>
        <v>0.78969999999999929</v>
      </c>
      <c r="BF248" s="1038">
        <v>0.78259999999999996</v>
      </c>
      <c r="BH248" s="970">
        <f t="shared" si="180"/>
        <v>0.78969999999999929</v>
      </c>
      <c r="BI248" s="970"/>
    </row>
    <row r="249" spans="2:61" s="998" customFormat="1" hidden="1">
      <c r="B249" s="1032">
        <v>73</v>
      </c>
      <c r="T249" s="1010"/>
      <c r="U249" s="1010"/>
      <c r="V249" s="1010"/>
      <c r="W249" s="1010"/>
      <c r="X249" s="1010"/>
      <c r="Y249" s="1010"/>
      <c r="Z249" s="1010"/>
      <c r="AA249" s="1010"/>
      <c r="AB249" s="1010"/>
      <c r="AC249" s="1041"/>
      <c r="AD249" s="1041"/>
      <c r="AE249" s="1038">
        <v>0.9</v>
      </c>
      <c r="AF249" s="1039">
        <v>0.9</v>
      </c>
      <c r="AG249" s="1039">
        <v>0.89400000000000002</v>
      </c>
      <c r="AH249" s="1039">
        <f>AG249-0.04%</f>
        <v>0.89360000000000006</v>
      </c>
      <c r="AI249" s="1039">
        <f>AH249-0.04%</f>
        <v>0.8932000000000001</v>
      </c>
      <c r="AJ249" s="1039">
        <f t="shared" ref="AJ249:BA249" si="188">AI249-0.58%</f>
        <v>0.88740000000000008</v>
      </c>
      <c r="AK249" s="1039">
        <f t="shared" si="188"/>
        <v>0.88160000000000005</v>
      </c>
      <c r="AL249" s="1039">
        <f t="shared" si="188"/>
        <v>0.87580000000000002</v>
      </c>
      <c r="AM249" s="1039">
        <f t="shared" si="188"/>
        <v>0.87</v>
      </c>
      <c r="AN249" s="1039">
        <f t="shared" si="188"/>
        <v>0.86419999999999997</v>
      </c>
      <c r="AO249" s="1039">
        <f t="shared" si="188"/>
        <v>0.85839999999999994</v>
      </c>
      <c r="AP249" s="1039">
        <f t="shared" si="188"/>
        <v>0.85259999999999991</v>
      </c>
      <c r="AQ249" s="1039">
        <f t="shared" si="188"/>
        <v>0.84679999999999989</v>
      </c>
      <c r="AR249" s="1039">
        <f t="shared" si="188"/>
        <v>0.84099999999999986</v>
      </c>
      <c r="AS249" s="1039">
        <f t="shared" si="188"/>
        <v>0.83519999999999983</v>
      </c>
      <c r="AT249" s="1039">
        <f t="shared" si="188"/>
        <v>0.8293999999999998</v>
      </c>
      <c r="AU249" s="1039">
        <f t="shared" si="188"/>
        <v>0.82359999999999978</v>
      </c>
      <c r="AV249" s="1039">
        <f t="shared" si="188"/>
        <v>0.81779999999999975</v>
      </c>
      <c r="AW249" s="1039">
        <f t="shared" si="188"/>
        <v>0.81199999999999972</v>
      </c>
      <c r="AX249" s="1039">
        <f t="shared" si="188"/>
        <v>0.80619999999999969</v>
      </c>
      <c r="AY249" s="1039">
        <f t="shared" si="188"/>
        <v>0.80039999999999967</v>
      </c>
      <c r="AZ249" s="1039">
        <f t="shared" si="188"/>
        <v>0.79459999999999964</v>
      </c>
      <c r="BA249" s="1039">
        <f t="shared" si="188"/>
        <v>0.78879999999999961</v>
      </c>
      <c r="BB249" s="1039">
        <f t="shared" ref="BB249:BD252" si="189">BA249-0.07%</f>
        <v>0.78809999999999958</v>
      </c>
      <c r="BC249" s="1039">
        <f t="shared" si="189"/>
        <v>0.78739999999999954</v>
      </c>
      <c r="BD249" s="1039">
        <f t="shared" si="189"/>
        <v>0.78669999999999951</v>
      </c>
      <c r="BE249" s="1039">
        <f t="shared" si="178"/>
        <v>0.78599999999999948</v>
      </c>
      <c r="BF249" s="1038">
        <v>0.78700000000000003</v>
      </c>
      <c r="BH249" s="970">
        <f t="shared" si="180"/>
        <v>0.78599999999999948</v>
      </c>
      <c r="BI249" s="970"/>
    </row>
    <row r="250" spans="2:61" s="998" customFormat="1" hidden="1">
      <c r="B250" s="1032">
        <v>74</v>
      </c>
      <c r="T250" s="1010"/>
      <c r="U250" s="1010"/>
      <c r="V250" s="1010"/>
      <c r="W250" s="1010"/>
      <c r="X250" s="1010"/>
      <c r="Y250" s="1010"/>
      <c r="Z250" s="1010"/>
      <c r="AA250" s="1010"/>
      <c r="AB250" s="1010"/>
      <c r="AC250" s="1041"/>
      <c r="AD250" s="1041"/>
      <c r="AE250" s="1041"/>
      <c r="AF250" s="1039">
        <v>0.9</v>
      </c>
      <c r="AG250" s="1039">
        <v>0.9</v>
      </c>
      <c r="AH250" s="1039">
        <v>0.89410000000000001</v>
      </c>
      <c r="AI250" s="1039">
        <f>AH250-0.04%</f>
        <v>0.89370000000000005</v>
      </c>
      <c r="AJ250" s="1039">
        <f>AI250-0.04%</f>
        <v>0.89330000000000009</v>
      </c>
      <c r="AK250" s="1039">
        <f t="shared" ref="AK250:BA250" si="190">AJ250-0.58%</f>
        <v>0.88750000000000007</v>
      </c>
      <c r="AL250" s="1039">
        <f t="shared" si="190"/>
        <v>0.88170000000000004</v>
      </c>
      <c r="AM250" s="1039">
        <f t="shared" si="190"/>
        <v>0.87590000000000001</v>
      </c>
      <c r="AN250" s="1039">
        <f t="shared" si="190"/>
        <v>0.87009999999999998</v>
      </c>
      <c r="AO250" s="1039">
        <f t="shared" si="190"/>
        <v>0.86429999999999996</v>
      </c>
      <c r="AP250" s="1039">
        <f t="shared" si="190"/>
        <v>0.85849999999999993</v>
      </c>
      <c r="AQ250" s="1039">
        <f t="shared" si="190"/>
        <v>0.8526999999999999</v>
      </c>
      <c r="AR250" s="1039">
        <f t="shared" si="190"/>
        <v>0.84689999999999988</v>
      </c>
      <c r="AS250" s="1039">
        <f t="shared" si="190"/>
        <v>0.84109999999999985</v>
      </c>
      <c r="AT250" s="1039">
        <f t="shared" si="190"/>
        <v>0.83529999999999982</v>
      </c>
      <c r="AU250" s="1039">
        <f t="shared" si="190"/>
        <v>0.82949999999999979</v>
      </c>
      <c r="AV250" s="1039">
        <f t="shared" si="190"/>
        <v>0.82369999999999977</v>
      </c>
      <c r="AW250" s="1039">
        <f t="shared" si="190"/>
        <v>0.81789999999999974</v>
      </c>
      <c r="AX250" s="1039">
        <f t="shared" si="190"/>
        <v>0.81209999999999971</v>
      </c>
      <c r="AY250" s="1039">
        <f t="shared" si="190"/>
        <v>0.80629999999999968</v>
      </c>
      <c r="AZ250" s="1039">
        <f t="shared" si="190"/>
        <v>0.80049999999999966</v>
      </c>
      <c r="BA250" s="1039">
        <f t="shared" si="190"/>
        <v>0.79469999999999963</v>
      </c>
      <c r="BB250" s="1039">
        <f t="shared" si="189"/>
        <v>0.79399999999999959</v>
      </c>
      <c r="BC250" s="1039">
        <f t="shared" si="189"/>
        <v>0.79329999999999956</v>
      </c>
      <c r="BD250" s="1039">
        <f t="shared" si="189"/>
        <v>0.79259999999999953</v>
      </c>
      <c r="BE250" s="1039">
        <f t="shared" si="178"/>
        <v>0.79189999999999949</v>
      </c>
      <c r="BF250" s="1038">
        <v>0.7913</v>
      </c>
      <c r="BH250" s="970">
        <f t="shared" si="180"/>
        <v>0.79189999999999949</v>
      </c>
      <c r="BI250" s="970"/>
    </row>
    <row r="251" spans="2:61" s="998" customFormat="1" hidden="1">
      <c r="B251" s="1032">
        <v>75</v>
      </c>
      <c r="T251" s="1010"/>
      <c r="U251" s="1010"/>
      <c r="V251" s="1010"/>
      <c r="W251" s="1010"/>
      <c r="X251" s="1010"/>
      <c r="Y251" s="1010"/>
      <c r="Z251" s="1010"/>
      <c r="AA251" s="1010"/>
      <c r="AB251" s="1010"/>
      <c r="AC251" s="1041"/>
      <c r="AD251" s="1041"/>
      <c r="AE251" s="1041"/>
      <c r="AF251" s="922"/>
      <c r="AG251" s="1039">
        <v>0.9</v>
      </c>
      <c r="AH251" s="1039">
        <v>0.9</v>
      </c>
      <c r="AI251" s="1039">
        <v>0.89419999999999999</v>
      </c>
      <c r="AJ251" s="1039">
        <f>AI251-0.04%</f>
        <v>0.89380000000000004</v>
      </c>
      <c r="AK251" s="1039">
        <f>AJ251-0.04%</f>
        <v>0.89340000000000008</v>
      </c>
      <c r="AL251" s="1039">
        <f t="shared" ref="AL251:BA251" si="191">AK251-0.58%</f>
        <v>0.88760000000000006</v>
      </c>
      <c r="AM251" s="1039">
        <f t="shared" si="191"/>
        <v>0.88180000000000003</v>
      </c>
      <c r="AN251" s="1039">
        <f t="shared" si="191"/>
        <v>0.876</v>
      </c>
      <c r="AO251" s="1039">
        <f t="shared" si="191"/>
        <v>0.87019999999999997</v>
      </c>
      <c r="AP251" s="1039">
        <f t="shared" si="191"/>
        <v>0.86439999999999995</v>
      </c>
      <c r="AQ251" s="1039">
        <f t="shared" si="191"/>
        <v>0.85859999999999992</v>
      </c>
      <c r="AR251" s="1039">
        <f t="shared" si="191"/>
        <v>0.85279999999999989</v>
      </c>
      <c r="AS251" s="1039">
        <f t="shared" si="191"/>
        <v>0.84699999999999986</v>
      </c>
      <c r="AT251" s="1039">
        <f t="shared" si="191"/>
        <v>0.84119999999999984</v>
      </c>
      <c r="AU251" s="1039">
        <f t="shared" si="191"/>
        <v>0.83539999999999981</v>
      </c>
      <c r="AV251" s="1039">
        <f t="shared" si="191"/>
        <v>0.82959999999999978</v>
      </c>
      <c r="AW251" s="1039">
        <f t="shared" si="191"/>
        <v>0.82379999999999975</v>
      </c>
      <c r="AX251" s="1039">
        <f t="shared" si="191"/>
        <v>0.81799999999999973</v>
      </c>
      <c r="AY251" s="1039">
        <f t="shared" si="191"/>
        <v>0.8121999999999997</v>
      </c>
      <c r="AZ251" s="1039">
        <f t="shared" si="191"/>
        <v>0.80639999999999967</v>
      </c>
      <c r="BA251" s="1039">
        <f t="shared" si="191"/>
        <v>0.80059999999999965</v>
      </c>
      <c r="BB251" s="1039">
        <f t="shared" si="189"/>
        <v>0.79989999999999961</v>
      </c>
      <c r="BC251" s="1039">
        <f t="shared" si="189"/>
        <v>0.79919999999999958</v>
      </c>
      <c r="BD251" s="1039">
        <f t="shared" si="189"/>
        <v>0.79849999999999954</v>
      </c>
      <c r="BE251" s="1039">
        <f t="shared" si="178"/>
        <v>0.79779999999999951</v>
      </c>
      <c r="BF251" s="1038">
        <v>0.79569999999999996</v>
      </c>
      <c r="BH251" s="970">
        <f t="shared" si="180"/>
        <v>0.79779999999999951</v>
      </c>
      <c r="BI251" s="970"/>
    </row>
    <row r="252" spans="2:61" s="998" customFormat="1" hidden="1">
      <c r="B252" s="1032">
        <v>76</v>
      </c>
      <c r="T252" s="1010"/>
      <c r="U252" s="1010"/>
      <c r="V252" s="1010"/>
      <c r="W252" s="1010"/>
      <c r="X252" s="1010"/>
      <c r="Y252" s="1010"/>
      <c r="Z252" s="1010"/>
      <c r="AA252" s="1010"/>
      <c r="AB252" s="1010"/>
      <c r="AC252" s="1041"/>
      <c r="AD252" s="1041"/>
      <c r="AE252" s="1041"/>
      <c r="AF252" s="922"/>
      <c r="AG252" s="922"/>
      <c r="AH252" s="1039">
        <v>0.9</v>
      </c>
      <c r="AI252" s="1039">
        <v>0.9</v>
      </c>
      <c r="AJ252" s="1039">
        <v>0.89429999999999998</v>
      </c>
      <c r="AK252" s="1039">
        <f>AJ252-0.04%</f>
        <v>0.89390000000000003</v>
      </c>
      <c r="AL252" s="1039">
        <f>AK252-0.04%</f>
        <v>0.89350000000000007</v>
      </c>
      <c r="AM252" s="1039">
        <f t="shared" ref="AM252:BA252" si="192">AL252-0.58%</f>
        <v>0.88770000000000004</v>
      </c>
      <c r="AN252" s="1039">
        <f t="shared" si="192"/>
        <v>0.88190000000000002</v>
      </c>
      <c r="AO252" s="1039">
        <f t="shared" si="192"/>
        <v>0.87609999999999999</v>
      </c>
      <c r="AP252" s="1039">
        <f t="shared" si="192"/>
        <v>0.87029999999999996</v>
      </c>
      <c r="AQ252" s="1039">
        <f t="shared" si="192"/>
        <v>0.86449999999999994</v>
      </c>
      <c r="AR252" s="1039">
        <f t="shared" si="192"/>
        <v>0.85869999999999991</v>
      </c>
      <c r="AS252" s="1039">
        <f t="shared" si="192"/>
        <v>0.85289999999999988</v>
      </c>
      <c r="AT252" s="1039">
        <f t="shared" si="192"/>
        <v>0.84709999999999985</v>
      </c>
      <c r="AU252" s="1039">
        <f t="shared" si="192"/>
        <v>0.84129999999999983</v>
      </c>
      <c r="AV252" s="1039">
        <f t="shared" si="192"/>
        <v>0.8354999999999998</v>
      </c>
      <c r="AW252" s="1039">
        <f t="shared" si="192"/>
        <v>0.82969999999999977</v>
      </c>
      <c r="AX252" s="1039">
        <f t="shared" si="192"/>
        <v>0.82389999999999974</v>
      </c>
      <c r="AY252" s="1039">
        <f t="shared" si="192"/>
        <v>0.81809999999999972</v>
      </c>
      <c r="AZ252" s="1039">
        <f t="shared" si="192"/>
        <v>0.81229999999999969</v>
      </c>
      <c r="BA252" s="1039">
        <f t="shared" si="192"/>
        <v>0.80649999999999966</v>
      </c>
      <c r="BB252" s="1039">
        <f t="shared" si="189"/>
        <v>0.80579999999999963</v>
      </c>
      <c r="BC252" s="1039">
        <f t="shared" si="189"/>
        <v>0.80509999999999959</v>
      </c>
      <c r="BD252" s="1039">
        <f t="shared" si="189"/>
        <v>0.80439999999999956</v>
      </c>
      <c r="BE252" s="1039">
        <f t="shared" si="178"/>
        <v>0.80369999999999953</v>
      </c>
      <c r="BF252" s="1038">
        <v>0.8</v>
      </c>
      <c r="BH252" s="970">
        <f t="shared" si="180"/>
        <v>0.80369999999999953</v>
      </c>
      <c r="BI252" s="970"/>
    </row>
    <row r="253" spans="2:61" s="998" customFormat="1" ht="12" hidden="1" customHeight="1">
      <c r="B253" s="1032">
        <v>77</v>
      </c>
      <c r="T253" s="1010"/>
      <c r="U253" s="1010"/>
      <c r="V253" s="1010"/>
      <c r="W253" s="1010"/>
      <c r="X253" s="1010"/>
      <c r="Y253" s="1010"/>
      <c r="Z253" s="1010"/>
      <c r="AA253" s="1010"/>
      <c r="AB253" s="1010"/>
      <c r="AC253" s="1041"/>
      <c r="AD253" s="1041"/>
      <c r="AE253" s="1041"/>
      <c r="AF253" s="922"/>
      <c r="AG253" s="922"/>
      <c r="AH253" s="922"/>
      <c r="AI253" s="1039">
        <v>0.9</v>
      </c>
      <c r="AJ253" s="1039">
        <v>0.9</v>
      </c>
      <c r="AK253" s="1039">
        <v>0.89439999999999997</v>
      </c>
      <c r="AL253" s="1039">
        <f>AK253-0.04%</f>
        <v>0.89400000000000002</v>
      </c>
      <c r="AM253" s="1039">
        <f>AL253-0.04%</f>
        <v>0.89360000000000006</v>
      </c>
      <c r="AN253" s="1039">
        <f t="shared" ref="AN253:BB253" si="193">AM253-0.58%</f>
        <v>0.88780000000000003</v>
      </c>
      <c r="AO253" s="1039">
        <f t="shared" si="193"/>
        <v>0.88200000000000001</v>
      </c>
      <c r="AP253" s="1039">
        <f t="shared" si="193"/>
        <v>0.87619999999999998</v>
      </c>
      <c r="AQ253" s="1039">
        <f t="shared" si="193"/>
        <v>0.87039999999999995</v>
      </c>
      <c r="AR253" s="1039">
        <f t="shared" si="193"/>
        <v>0.86459999999999992</v>
      </c>
      <c r="AS253" s="1039">
        <f t="shared" si="193"/>
        <v>0.8587999999999999</v>
      </c>
      <c r="AT253" s="1039">
        <f t="shared" si="193"/>
        <v>0.85299999999999987</v>
      </c>
      <c r="AU253" s="1039">
        <f t="shared" si="193"/>
        <v>0.84719999999999984</v>
      </c>
      <c r="AV253" s="1039">
        <f t="shared" si="193"/>
        <v>0.84139999999999981</v>
      </c>
      <c r="AW253" s="1039">
        <f t="shared" si="193"/>
        <v>0.83559999999999979</v>
      </c>
      <c r="AX253" s="1039">
        <f t="shared" si="193"/>
        <v>0.82979999999999976</v>
      </c>
      <c r="AY253" s="1039">
        <f t="shared" si="193"/>
        <v>0.82399999999999973</v>
      </c>
      <c r="AZ253" s="1039">
        <f t="shared" si="193"/>
        <v>0.81819999999999971</v>
      </c>
      <c r="BA253" s="1039">
        <f t="shared" si="193"/>
        <v>0.81239999999999968</v>
      </c>
      <c r="BB253" s="1039">
        <f t="shared" si="193"/>
        <v>0.80659999999999965</v>
      </c>
      <c r="BC253" s="1039">
        <f t="shared" ref="BC253:BD256" si="194">BB253-0.07%</f>
        <v>0.80589999999999962</v>
      </c>
      <c r="BD253" s="1039">
        <f t="shared" si="194"/>
        <v>0.80519999999999958</v>
      </c>
      <c r="BE253" s="1039">
        <f t="shared" si="178"/>
        <v>0.80449999999999955</v>
      </c>
      <c r="BF253" s="1038">
        <v>0.80430000000000001</v>
      </c>
      <c r="BH253" s="970">
        <f t="shared" si="180"/>
        <v>0.80449999999999955</v>
      </c>
      <c r="BI253" s="970"/>
    </row>
    <row r="254" spans="2:61" s="998" customFormat="1" hidden="1">
      <c r="B254" s="1032">
        <v>78</v>
      </c>
      <c r="T254" s="1010"/>
      <c r="U254" s="1010"/>
      <c r="V254" s="1010"/>
      <c r="W254" s="1010"/>
      <c r="X254" s="1010"/>
      <c r="Y254" s="1010"/>
      <c r="Z254" s="1010"/>
      <c r="AA254" s="1010"/>
      <c r="AB254" s="1010"/>
      <c r="AC254" s="1041"/>
      <c r="AD254" s="1041"/>
      <c r="AE254" s="1041"/>
      <c r="AF254" s="922"/>
      <c r="AG254" s="922"/>
      <c r="AH254" s="922"/>
      <c r="AI254" s="922"/>
      <c r="AJ254" s="1039">
        <v>0.9</v>
      </c>
      <c r="AK254" s="1039">
        <v>0.9</v>
      </c>
      <c r="AL254" s="1039">
        <v>0.89439999999999997</v>
      </c>
      <c r="AM254" s="1039">
        <f>AL254-0.04%</f>
        <v>0.89400000000000002</v>
      </c>
      <c r="AN254" s="1039">
        <f>AM254-0.04%</f>
        <v>0.89360000000000006</v>
      </c>
      <c r="AO254" s="1039">
        <f t="shared" ref="AO254:BB254" si="195">AN254-0.58%</f>
        <v>0.88780000000000003</v>
      </c>
      <c r="AP254" s="1039">
        <f t="shared" si="195"/>
        <v>0.88200000000000001</v>
      </c>
      <c r="AQ254" s="1039">
        <f t="shared" si="195"/>
        <v>0.87619999999999998</v>
      </c>
      <c r="AR254" s="1039">
        <f t="shared" si="195"/>
        <v>0.87039999999999995</v>
      </c>
      <c r="AS254" s="1039">
        <f t="shared" si="195"/>
        <v>0.86459999999999992</v>
      </c>
      <c r="AT254" s="1039">
        <f t="shared" si="195"/>
        <v>0.8587999999999999</v>
      </c>
      <c r="AU254" s="1039">
        <f t="shared" si="195"/>
        <v>0.85299999999999987</v>
      </c>
      <c r="AV254" s="1039">
        <f t="shared" si="195"/>
        <v>0.84719999999999984</v>
      </c>
      <c r="AW254" s="1039">
        <f t="shared" si="195"/>
        <v>0.84139999999999981</v>
      </c>
      <c r="AX254" s="1039">
        <f t="shared" si="195"/>
        <v>0.83559999999999979</v>
      </c>
      <c r="AY254" s="1039">
        <f t="shared" si="195"/>
        <v>0.82979999999999976</v>
      </c>
      <c r="AZ254" s="1039">
        <f t="shared" si="195"/>
        <v>0.82399999999999973</v>
      </c>
      <c r="BA254" s="1039">
        <f t="shared" si="195"/>
        <v>0.81819999999999971</v>
      </c>
      <c r="BB254" s="1039">
        <f t="shared" si="195"/>
        <v>0.81239999999999968</v>
      </c>
      <c r="BC254" s="1039">
        <f t="shared" si="194"/>
        <v>0.81169999999999964</v>
      </c>
      <c r="BD254" s="1039">
        <f t="shared" si="194"/>
        <v>0.81099999999999961</v>
      </c>
      <c r="BE254" s="1039">
        <f t="shared" si="178"/>
        <v>0.81029999999999958</v>
      </c>
      <c r="BF254" s="1038">
        <v>0.80869999999999997</v>
      </c>
      <c r="BH254" s="970">
        <f t="shared" si="180"/>
        <v>0.81029999999999958</v>
      </c>
      <c r="BI254" s="970"/>
    </row>
    <row r="255" spans="2:61" s="998" customFormat="1" hidden="1">
      <c r="B255" s="1032">
        <v>79</v>
      </c>
      <c r="T255" s="1010"/>
      <c r="U255" s="1010"/>
      <c r="V255" s="1010"/>
      <c r="W255" s="1010"/>
      <c r="X255" s="1010"/>
      <c r="Y255" s="1010"/>
      <c r="Z255" s="1010"/>
      <c r="AA255" s="1010"/>
      <c r="AB255" s="1010"/>
      <c r="AC255" s="1041"/>
      <c r="AD255" s="1041"/>
      <c r="AE255" s="1041"/>
      <c r="AF255" s="922"/>
      <c r="AG255" s="922"/>
      <c r="AH255" s="922"/>
      <c r="AI255" s="922"/>
      <c r="AJ255" s="922"/>
      <c r="AK255" s="1039">
        <v>0.9</v>
      </c>
      <c r="AL255" s="1039">
        <v>0.9</v>
      </c>
      <c r="AM255" s="1039">
        <v>0.89449999999999996</v>
      </c>
      <c r="AN255" s="1039">
        <f>AM255-0.04%</f>
        <v>0.89410000000000001</v>
      </c>
      <c r="AO255" s="1039">
        <f>AN255-0.04%</f>
        <v>0.89370000000000005</v>
      </c>
      <c r="AP255" s="1039">
        <f t="shared" ref="AP255:BB255" si="196">AO255-0.58%</f>
        <v>0.88790000000000002</v>
      </c>
      <c r="AQ255" s="1039">
        <f t="shared" si="196"/>
        <v>0.8821</v>
      </c>
      <c r="AR255" s="1039">
        <f t="shared" si="196"/>
        <v>0.87629999999999997</v>
      </c>
      <c r="AS255" s="1039">
        <f t="shared" si="196"/>
        <v>0.87049999999999994</v>
      </c>
      <c r="AT255" s="1039">
        <f t="shared" si="196"/>
        <v>0.86469999999999991</v>
      </c>
      <c r="AU255" s="1039">
        <f t="shared" si="196"/>
        <v>0.85889999999999989</v>
      </c>
      <c r="AV255" s="1039">
        <f t="shared" si="196"/>
        <v>0.85309999999999986</v>
      </c>
      <c r="AW255" s="1039">
        <f t="shared" si="196"/>
        <v>0.84729999999999983</v>
      </c>
      <c r="AX255" s="1039">
        <f t="shared" si="196"/>
        <v>0.8414999999999998</v>
      </c>
      <c r="AY255" s="1039">
        <f t="shared" si="196"/>
        <v>0.83569999999999978</v>
      </c>
      <c r="AZ255" s="1039">
        <f t="shared" si="196"/>
        <v>0.82989999999999975</v>
      </c>
      <c r="BA255" s="1039">
        <f t="shared" si="196"/>
        <v>0.82409999999999972</v>
      </c>
      <c r="BB255" s="1039">
        <f t="shared" si="196"/>
        <v>0.81829999999999969</v>
      </c>
      <c r="BC255" s="1039">
        <f t="shared" si="194"/>
        <v>0.81759999999999966</v>
      </c>
      <c r="BD255" s="1039">
        <f t="shared" si="194"/>
        <v>0.81689999999999963</v>
      </c>
      <c r="BE255" s="1039">
        <f t="shared" si="178"/>
        <v>0.81619999999999959</v>
      </c>
      <c r="BF255" s="1038">
        <v>0.81299999999999994</v>
      </c>
      <c r="BH255" s="970">
        <f t="shared" si="180"/>
        <v>0.81619999999999959</v>
      </c>
      <c r="BI255" s="970"/>
    </row>
    <row r="256" spans="2:61" s="998" customFormat="1" hidden="1">
      <c r="B256" s="1032">
        <v>80</v>
      </c>
      <c r="T256" s="1010"/>
      <c r="U256" s="1010"/>
      <c r="V256" s="1010"/>
      <c r="W256" s="1010"/>
      <c r="X256" s="1010"/>
      <c r="Y256" s="1010"/>
      <c r="Z256" s="1010"/>
      <c r="AA256" s="1010"/>
      <c r="AB256" s="1010"/>
      <c r="AC256" s="1041"/>
      <c r="AD256" s="1041"/>
      <c r="AE256" s="1041"/>
      <c r="AF256" s="922"/>
      <c r="AG256" s="922"/>
      <c r="AH256" s="922"/>
      <c r="AI256" s="922"/>
      <c r="AJ256" s="922"/>
      <c r="AK256" s="922"/>
      <c r="AL256" s="1039">
        <v>0.9</v>
      </c>
      <c r="AM256" s="1039">
        <v>0.9</v>
      </c>
      <c r="AN256" s="1039">
        <v>0.89459999999999995</v>
      </c>
      <c r="AO256" s="1039">
        <f>AN256-0.04%</f>
        <v>0.89419999999999999</v>
      </c>
      <c r="AP256" s="1039">
        <f>AO256-0.04%</f>
        <v>0.89380000000000004</v>
      </c>
      <c r="AQ256" s="1039">
        <f t="shared" ref="AQ256:BB256" si="197">AP256-0.58%</f>
        <v>0.88800000000000001</v>
      </c>
      <c r="AR256" s="1039">
        <f t="shared" si="197"/>
        <v>0.88219999999999998</v>
      </c>
      <c r="AS256" s="1039">
        <f t="shared" si="197"/>
        <v>0.87639999999999996</v>
      </c>
      <c r="AT256" s="1039">
        <f t="shared" si="197"/>
        <v>0.87059999999999993</v>
      </c>
      <c r="AU256" s="1039">
        <f t="shared" si="197"/>
        <v>0.8647999999999999</v>
      </c>
      <c r="AV256" s="1039">
        <f t="shared" si="197"/>
        <v>0.85899999999999987</v>
      </c>
      <c r="AW256" s="1039">
        <f t="shared" si="197"/>
        <v>0.85319999999999985</v>
      </c>
      <c r="AX256" s="1039">
        <f t="shared" si="197"/>
        <v>0.84739999999999982</v>
      </c>
      <c r="AY256" s="1039">
        <f t="shared" si="197"/>
        <v>0.84159999999999979</v>
      </c>
      <c r="AZ256" s="1039">
        <f t="shared" si="197"/>
        <v>0.83579999999999977</v>
      </c>
      <c r="BA256" s="1039">
        <f t="shared" si="197"/>
        <v>0.82999999999999974</v>
      </c>
      <c r="BB256" s="1039">
        <f t="shared" si="197"/>
        <v>0.82419999999999971</v>
      </c>
      <c r="BC256" s="1039">
        <f t="shared" si="194"/>
        <v>0.82349999999999968</v>
      </c>
      <c r="BD256" s="1039">
        <f t="shared" si="194"/>
        <v>0.82279999999999964</v>
      </c>
      <c r="BE256" s="1039">
        <f t="shared" si="178"/>
        <v>0.82209999999999961</v>
      </c>
      <c r="BF256" s="1038">
        <v>0.81740000000000002</v>
      </c>
      <c r="BH256" s="970">
        <f t="shared" si="180"/>
        <v>0.82209999999999961</v>
      </c>
      <c r="BI256" s="970"/>
    </row>
    <row r="257" spans="2:61" s="998" customFormat="1" hidden="1">
      <c r="B257" s="1032">
        <v>81</v>
      </c>
      <c r="T257" s="1010"/>
      <c r="U257" s="1010"/>
      <c r="V257" s="1010"/>
      <c r="W257" s="1010"/>
      <c r="X257" s="1010"/>
      <c r="Y257" s="1010"/>
      <c r="Z257" s="1010"/>
      <c r="AA257" s="1010"/>
      <c r="AB257" s="1010"/>
      <c r="AC257" s="1041"/>
      <c r="AD257" s="1041"/>
      <c r="AE257" s="1041"/>
      <c r="AF257" s="922"/>
      <c r="AG257" s="922"/>
      <c r="AH257" s="922"/>
      <c r="AI257" s="922"/>
      <c r="AJ257" s="922"/>
      <c r="AK257" s="922"/>
      <c r="AL257" s="922"/>
      <c r="AM257" s="1039">
        <v>0.9</v>
      </c>
      <c r="AN257" s="1039">
        <v>0.9</v>
      </c>
      <c r="AO257" s="1039">
        <v>0.89470000000000005</v>
      </c>
      <c r="AP257" s="1039">
        <f>AO257-0.04%</f>
        <v>0.89430000000000009</v>
      </c>
      <c r="AQ257" s="1039">
        <f>AP257-0.04%</f>
        <v>0.89390000000000014</v>
      </c>
      <c r="AR257" s="1039">
        <f t="shared" ref="AR257:BE257" si="198">AQ257-0.58%</f>
        <v>0.88810000000000011</v>
      </c>
      <c r="AS257" s="1039">
        <f t="shared" si="198"/>
        <v>0.88230000000000008</v>
      </c>
      <c r="AT257" s="1039">
        <f t="shared" si="198"/>
        <v>0.87650000000000006</v>
      </c>
      <c r="AU257" s="1039">
        <f t="shared" si="198"/>
        <v>0.87070000000000003</v>
      </c>
      <c r="AV257" s="1039">
        <f t="shared" si="198"/>
        <v>0.8649</v>
      </c>
      <c r="AW257" s="1039">
        <f t="shared" si="198"/>
        <v>0.85909999999999997</v>
      </c>
      <c r="AX257" s="1039">
        <f t="shared" si="198"/>
        <v>0.85329999999999995</v>
      </c>
      <c r="AY257" s="1039">
        <f t="shared" si="198"/>
        <v>0.84749999999999992</v>
      </c>
      <c r="AZ257" s="1039">
        <f t="shared" si="198"/>
        <v>0.84169999999999989</v>
      </c>
      <c r="BA257" s="1039">
        <f t="shared" si="198"/>
        <v>0.83589999999999987</v>
      </c>
      <c r="BB257" s="1039">
        <f t="shared" si="198"/>
        <v>0.83009999999999984</v>
      </c>
      <c r="BC257" s="1039">
        <f t="shared" si="198"/>
        <v>0.82429999999999981</v>
      </c>
      <c r="BD257" s="1039">
        <f t="shared" si="198"/>
        <v>0.81849999999999978</v>
      </c>
      <c r="BE257" s="1039">
        <f t="shared" si="198"/>
        <v>0.81269999999999976</v>
      </c>
      <c r="BF257" s="1038">
        <v>0.82169999999999999</v>
      </c>
      <c r="BH257" s="970">
        <f t="shared" si="180"/>
        <v>0.81269999999999976</v>
      </c>
      <c r="BI257" s="970"/>
    </row>
    <row r="258" spans="2:61" s="998" customFormat="1" hidden="1">
      <c r="B258" s="1032">
        <v>82</v>
      </c>
      <c r="T258" s="1010"/>
      <c r="U258" s="1010"/>
      <c r="V258" s="1010"/>
      <c r="W258" s="1010"/>
      <c r="X258" s="1010"/>
      <c r="Y258" s="1010"/>
      <c r="Z258" s="1010"/>
      <c r="AA258" s="1010"/>
      <c r="AB258" s="1010"/>
      <c r="AC258" s="1041"/>
      <c r="AD258" s="1041"/>
      <c r="AE258" s="1041"/>
      <c r="AF258" s="922"/>
      <c r="AG258" s="922"/>
      <c r="AH258" s="922"/>
      <c r="AI258" s="922"/>
      <c r="AJ258" s="922"/>
      <c r="AK258" s="922"/>
      <c r="AL258" s="922"/>
      <c r="AM258" s="922"/>
      <c r="AN258" s="1039">
        <v>0.9</v>
      </c>
      <c r="AO258" s="1039">
        <v>0.9</v>
      </c>
      <c r="AP258" s="1039">
        <v>0.89470000000000005</v>
      </c>
      <c r="AQ258" s="1039">
        <f>AP258-0.04%</f>
        <v>0.89430000000000009</v>
      </c>
      <c r="AR258" s="1039">
        <f>AQ258-0.04%</f>
        <v>0.89390000000000014</v>
      </c>
      <c r="AS258" s="1039">
        <f t="shared" ref="AS258:BE258" si="199">AR258-0.58%</f>
        <v>0.88810000000000011</v>
      </c>
      <c r="AT258" s="1039">
        <f t="shared" si="199"/>
        <v>0.88230000000000008</v>
      </c>
      <c r="AU258" s="1039">
        <f t="shared" si="199"/>
        <v>0.87650000000000006</v>
      </c>
      <c r="AV258" s="1039">
        <f t="shared" si="199"/>
        <v>0.87070000000000003</v>
      </c>
      <c r="AW258" s="1039">
        <f t="shared" si="199"/>
        <v>0.8649</v>
      </c>
      <c r="AX258" s="1039">
        <f t="shared" si="199"/>
        <v>0.85909999999999997</v>
      </c>
      <c r="AY258" s="1039">
        <f t="shared" si="199"/>
        <v>0.85329999999999995</v>
      </c>
      <c r="AZ258" s="1039">
        <f t="shared" si="199"/>
        <v>0.84749999999999992</v>
      </c>
      <c r="BA258" s="1039">
        <f t="shared" si="199"/>
        <v>0.84169999999999989</v>
      </c>
      <c r="BB258" s="1039">
        <f t="shared" si="199"/>
        <v>0.83589999999999987</v>
      </c>
      <c r="BC258" s="1039">
        <f t="shared" si="199"/>
        <v>0.83009999999999984</v>
      </c>
      <c r="BD258" s="1039">
        <f t="shared" si="199"/>
        <v>0.82429999999999981</v>
      </c>
      <c r="BE258" s="1039">
        <f t="shared" si="199"/>
        <v>0.81849999999999978</v>
      </c>
      <c r="BF258" s="1038">
        <v>0.82609999999999995</v>
      </c>
      <c r="BH258" s="970">
        <f t="shared" si="180"/>
        <v>0.81849999999999978</v>
      </c>
      <c r="BI258" s="970"/>
    </row>
    <row r="259" spans="2:61" s="998" customFormat="1" hidden="1">
      <c r="B259" s="1032">
        <v>83</v>
      </c>
      <c r="T259" s="1010"/>
      <c r="U259" s="1010"/>
      <c r="V259" s="1010"/>
      <c r="W259" s="1010"/>
      <c r="X259" s="1010"/>
      <c r="Y259" s="1010"/>
      <c r="Z259" s="1010"/>
      <c r="AA259" s="1010"/>
      <c r="AB259" s="1010"/>
      <c r="AC259" s="1041"/>
      <c r="AD259" s="1041"/>
      <c r="AE259" s="1041"/>
      <c r="AF259" s="922"/>
      <c r="AG259" s="922"/>
      <c r="AH259" s="922"/>
      <c r="AI259" s="922"/>
      <c r="AJ259" s="922"/>
      <c r="AK259" s="922"/>
      <c r="AL259" s="922"/>
      <c r="AM259" s="922"/>
      <c r="AN259" s="922"/>
      <c r="AO259" s="1039">
        <v>0.9</v>
      </c>
      <c r="AP259" s="1039">
        <v>0.9</v>
      </c>
      <c r="AQ259" s="1039">
        <v>0.89480000000000004</v>
      </c>
      <c r="AR259" s="1039">
        <f>AQ259-0.04%</f>
        <v>0.89440000000000008</v>
      </c>
      <c r="AS259" s="1039">
        <f>AR259-0.04%</f>
        <v>0.89400000000000013</v>
      </c>
      <c r="AT259" s="1039">
        <f t="shared" ref="AT259:BE259" si="200">AS259-0.58%</f>
        <v>0.8882000000000001</v>
      </c>
      <c r="AU259" s="1039">
        <f t="shared" si="200"/>
        <v>0.88240000000000007</v>
      </c>
      <c r="AV259" s="1039">
        <f t="shared" si="200"/>
        <v>0.87660000000000005</v>
      </c>
      <c r="AW259" s="1039">
        <f t="shared" si="200"/>
        <v>0.87080000000000002</v>
      </c>
      <c r="AX259" s="1039">
        <f t="shared" si="200"/>
        <v>0.86499999999999999</v>
      </c>
      <c r="AY259" s="1039">
        <f t="shared" si="200"/>
        <v>0.85919999999999996</v>
      </c>
      <c r="AZ259" s="1039">
        <f t="shared" si="200"/>
        <v>0.85339999999999994</v>
      </c>
      <c r="BA259" s="1039">
        <f t="shared" si="200"/>
        <v>0.84759999999999991</v>
      </c>
      <c r="BB259" s="1039">
        <f t="shared" si="200"/>
        <v>0.84179999999999988</v>
      </c>
      <c r="BC259" s="1039">
        <f t="shared" si="200"/>
        <v>0.83599999999999985</v>
      </c>
      <c r="BD259" s="1039">
        <f t="shared" si="200"/>
        <v>0.83019999999999983</v>
      </c>
      <c r="BE259" s="1039">
        <f t="shared" si="200"/>
        <v>0.8243999999999998</v>
      </c>
      <c r="BF259" s="1038">
        <v>0.83040000000000003</v>
      </c>
      <c r="BH259" s="970">
        <f t="shared" si="180"/>
        <v>0.8243999999999998</v>
      </c>
      <c r="BI259" s="970"/>
    </row>
    <row r="260" spans="2:61" s="998" customFormat="1" hidden="1">
      <c r="B260" s="1032">
        <v>84</v>
      </c>
      <c r="T260" s="1010"/>
      <c r="U260" s="1010"/>
      <c r="V260" s="1010"/>
      <c r="W260" s="1010"/>
      <c r="X260" s="1010"/>
      <c r="Y260" s="1010"/>
      <c r="Z260" s="1010"/>
      <c r="AA260" s="1010"/>
      <c r="AB260" s="1010"/>
      <c r="AC260" s="1041"/>
      <c r="AD260" s="1041"/>
      <c r="AE260" s="1041"/>
      <c r="AF260" s="922"/>
      <c r="AG260" s="922"/>
      <c r="AH260" s="922"/>
      <c r="AI260" s="922"/>
      <c r="AJ260" s="922"/>
      <c r="AK260" s="922"/>
      <c r="AL260" s="922"/>
      <c r="AM260" s="922"/>
      <c r="AN260" s="922"/>
      <c r="AO260" s="922"/>
      <c r="AP260" s="1039">
        <v>0.9</v>
      </c>
      <c r="AQ260" s="1039">
        <v>0.9</v>
      </c>
      <c r="AR260" s="1039">
        <v>0.89490000000000003</v>
      </c>
      <c r="AS260" s="1039">
        <f>AR260-0.04%</f>
        <v>0.89450000000000007</v>
      </c>
      <c r="AT260" s="1039">
        <f>AS260-0.04%</f>
        <v>0.89410000000000012</v>
      </c>
      <c r="AU260" s="1039">
        <f t="shared" ref="AU260:BE260" si="201">AT260-0.58%</f>
        <v>0.88830000000000009</v>
      </c>
      <c r="AV260" s="1039">
        <f t="shared" si="201"/>
        <v>0.88250000000000006</v>
      </c>
      <c r="AW260" s="1039">
        <f t="shared" si="201"/>
        <v>0.87670000000000003</v>
      </c>
      <c r="AX260" s="1039">
        <f t="shared" si="201"/>
        <v>0.87090000000000001</v>
      </c>
      <c r="AY260" s="1039">
        <f t="shared" si="201"/>
        <v>0.86509999999999998</v>
      </c>
      <c r="AZ260" s="1039">
        <f t="shared" si="201"/>
        <v>0.85929999999999995</v>
      </c>
      <c r="BA260" s="1039">
        <f t="shared" si="201"/>
        <v>0.85349999999999993</v>
      </c>
      <c r="BB260" s="1039">
        <f t="shared" si="201"/>
        <v>0.8476999999999999</v>
      </c>
      <c r="BC260" s="1039">
        <f t="shared" si="201"/>
        <v>0.84189999999999987</v>
      </c>
      <c r="BD260" s="1039">
        <f t="shared" si="201"/>
        <v>0.83609999999999984</v>
      </c>
      <c r="BE260" s="1039">
        <f t="shared" si="201"/>
        <v>0.83029999999999982</v>
      </c>
      <c r="BF260" s="1038">
        <v>0.83479999999999999</v>
      </c>
      <c r="BH260" s="970">
        <f t="shared" si="180"/>
        <v>0.83029999999999982</v>
      </c>
      <c r="BI260" s="970"/>
    </row>
    <row r="261" spans="2:61" s="998" customFormat="1" hidden="1">
      <c r="B261" s="1032">
        <v>85</v>
      </c>
      <c r="T261" s="1010"/>
      <c r="U261" s="1010"/>
      <c r="V261" s="1010"/>
      <c r="W261" s="1010"/>
      <c r="X261" s="1010"/>
      <c r="Y261" s="1010"/>
      <c r="Z261" s="1010"/>
      <c r="AA261" s="1010"/>
      <c r="AB261" s="1010"/>
      <c r="AC261" s="1010"/>
      <c r="AD261" s="1010"/>
      <c r="AE261" s="1010"/>
      <c r="AF261" s="954"/>
      <c r="AG261" s="922"/>
      <c r="AH261" s="922"/>
      <c r="AI261" s="922"/>
      <c r="AJ261" s="922"/>
      <c r="AK261" s="922"/>
      <c r="AL261" s="922"/>
      <c r="AM261" s="922"/>
      <c r="AN261" s="922"/>
      <c r="AO261" s="922"/>
      <c r="AP261" s="922"/>
      <c r="AQ261" s="1039">
        <v>0.9</v>
      </c>
      <c r="AR261" s="1039">
        <v>0.9</v>
      </c>
      <c r="AS261" s="1039">
        <v>0.89490000000000003</v>
      </c>
      <c r="AT261" s="1039">
        <f>AS261-0.04%</f>
        <v>0.89450000000000007</v>
      </c>
      <c r="AU261" s="1039">
        <f>AT261-0.04%</f>
        <v>0.89410000000000012</v>
      </c>
      <c r="AV261" s="1039">
        <f t="shared" ref="AV261:BE261" si="202">AU261-0.58%</f>
        <v>0.88830000000000009</v>
      </c>
      <c r="AW261" s="1039">
        <f t="shared" si="202"/>
        <v>0.88250000000000006</v>
      </c>
      <c r="AX261" s="1039">
        <f t="shared" si="202"/>
        <v>0.87670000000000003</v>
      </c>
      <c r="AY261" s="1039">
        <f t="shared" si="202"/>
        <v>0.87090000000000001</v>
      </c>
      <c r="AZ261" s="1039">
        <f t="shared" si="202"/>
        <v>0.86509999999999998</v>
      </c>
      <c r="BA261" s="1039">
        <f t="shared" si="202"/>
        <v>0.85929999999999995</v>
      </c>
      <c r="BB261" s="1039">
        <f t="shared" si="202"/>
        <v>0.85349999999999993</v>
      </c>
      <c r="BC261" s="1039">
        <f t="shared" si="202"/>
        <v>0.8476999999999999</v>
      </c>
      <c r="BD261" s="1039">
        <f t="shared" si="202"/>
        <v>0.84189999999999987</v>
      </c>
      <c r="BE261" s="1039">
        <f t="shared" si="202"/>
        <v>0.83609999999999984</v>
      </c>
      <c r="BF261" s="1038">
        <v>0.83909999999999996</v>
      </c>
      <c r="BH261" s="970">
        <f t="shared" si="180"/>
        <v>0.83609999999999984</v>
      </c>
      <c r="BI261" s="970"/>
    </row>
    <row r="262" spans="2:61" s="998" customFormat="1" hidden="1">
      <c r="B262" s="1032">
        <v>86</v>
      </c>
      <c r="T262" s="1010"/>
      <c r="U262" s="1010"/>
      <c r="V262" s="1010"/>
      <c r="W262" s="1010"/>
      <c r="X262" s="1010"/>
      <c r="Y262" s="1010"/>
      <c r="Z262" s="1010"/>
      <c r="AA262" s="1010"/>
      <c r="AB262" s="1010"/>
      <c r="AC262" s="1010"/>
      <c r="AD262" s="1010"/>
      <c r="AE262" s="1010"/>
      <c r="AF262" s="954"/>
      <c r="AG262" s="922"/>
      <c r="AH262" s="922"/>
      <c r="AI262" s="922"/>
      <c r="AJ262" s="922"/>
      <c r="AK262" s="922"/>
      <c r="AL262" s="922"/>
      <c r="AM262" s="922"/>
      <c r="AN262" s="922"/>
      <c r="AO262" s="922"/>
      <c r="AP262" s="922"/>
      <c r="AQ262" s="922"/>
      <c r="AR262" s="1039">
        <v>0.9</v>
      </c>
      <c r="AS262" s="1039">
        <v>0.9</v>
      </c>
      <c r="AT262" s="1039">
        <v>0.89500000000000002</v>
      </c>
      <c r="AU262" s="1039">
        <f>AT262-0.04%</f>
        <v>0.89460000000000006</v>
      </c>
      <c r="AV262" s="1039">
        <f>AU262-0.07%</f>
        <v>0.89390000000000003</v>
      </c>
      <c r="AW262" s="1039">
        <f t="shared" ref="AW262:BE262" si="203">AV262-0.55%</f>
        <v>0.88840000000000008</v>
      </c>
      <c r="AX262" s="1039">
        <f t="shared" si="203"/>
        <v>0.88290000000000013</v>
      </c>
      <c r="AY262" s="1039">
        <f t="shared" si="203"/>
        <v>0.87740000000000018</v>
      </c>
      <c r="AZ262" s="1039">
        <f t="shared" si="203"/>
        <v>0.87190000000000023</v>
      </c>
      <c r="BA262" s="1039">
        <f t="shared" si="203"/>
        <v>0.86640000000000028</v>
      </c>
      <c r="BB262" s="1039">
        <f t="shared" si="203"/>
        <v>0.86090000000000033</v>
      </c>
      <c r="BC262" s="1039">
        <f t="shared" si="203"/>
        <v>0.85540000000000038</v>
      </c>
      <c r="BD262" s="1039">
        <f t="shared" si="203"/>
        <v>0.84990000000000043</v>
      </c>
      <c r="BE262" s="1039">
        <f t="shared" si="203"/>
        <v>0.84440000000000048</v>
      </c>
      <c r="BF262" s="1038">
        <v>0.84350000000000003</v>
      </c>
      <c r="BH262" s="970">
        <f t="shared" si="180"/>
        <v>0.84440000000000048</v>
      </c>
      <c r="BI262" s="970"/>
    </row>
    <row r="263" spans="2:61" s="998" customFormat="1" hidden="1">
      <c r="B263" s="1032">
        <v>87</v>
      </c>
      <c r="T263" s="1010"/>
      <c r="U263" s="1010"/>
      <c r="V263" s="1010"/>
      <c r="W263" s="1010"/>
      <c r="X263" s="1010"/>
      <c r="Y263" s="1010"/>
      <c r="Z263" s="1010"/>
      <c r="AA263" s="1010"/>
      <c r="AB263" s="1010"/>
      <c r="AC263" s="1010"/>
      <c r="AD263" s="1010"/>
      <c r="AE263" s="1010"/>
      <c r="AF263" s="954"/>
      <c r="AG263" s="922"/>
      <c r="AH263" s="922"/>
      <c r="AI263" s="922"/>
      <c r="AJ263" s="922"/>
      <c r="AK263" s="922"/>
      <c r="AL263" s="922"/>
      <c r="AM263" s="922"/>
      <c r="AN263" s="922"/>
      <c r="AO263" s="922"/>
      <c r="AP263" s="922"/>
      <c r="AQ263" s="922"/>
      <c r="AR263" s="922"/>
      <c r="AS263" s="1039">
        <v>0.9</v>
      </c>
      <c r="AT263" s="1039">
        <v>0.9</v>
      </c>
      <c r="AU263" s="1039">
        <v>0.89510000000000001</v>
      </c>
      <c r="AV263" s="1039">
        <f>AU263-0.07%</f>
        <v>0.89439999999999997</v>
      </c>
      <c r="AW263" s="1039">
        <f>AV263-0.07%</f>
        <v>0.89369999999999994</v>
      </c>
      <c r="AX263" s="1039">
        <f t="shared" ref="AX263:BE263" si="204">AW263-0.51%</f>
        <v>0.88859999999999995</v>
      </c>
      <c r="AY263" s="1039">
        <f t="shared" si="204"/>
        <v>0.88349999999999995</v>
      </c>
      <c r="AZ263" s="1039">
        <f t="shared" si="204"/>
        <v>0.87839999999999996</v>
      </c>
      <c r="BA263" s="1039">
        <f t="shared" si="204"/>
        <v>0.87329999999999997</v>
      </c>
      <c r="BB263" s="1039">
        <f t="shared" si="204"/>
        <v>0.86819999999999997</v>
      </c>
      <c r="BC263" s="1039">
        <f t="shared" si="204"/>
        <v>0.86309999999999998</v>
      </c>
      <c r="BD263" s="1039">
        <f t="shared" si="204"/>
        <v>0.85799999999999998</v>
      </c>
      <c r="BE263" s="1039">
        <f t="shared" si="204"/>
        <v>0.85289999999999999</v>
      </c>
      <c r="BF263" s="1038">
        <v>0.8478</v>
      </c>
      <c r="BH263" s="970">
        <f t="shared" si="180"/>
        <v>0.85289999999999999</v>
      </c>
      <c r="BI263" s="970"/>
    </row>
    <row r="264" spans="2:61" s="998" customFormat="1" hidden="1">
      <c r="B264" s="1032">
        <v>88</v>
      </c>
      <c r="T264" s="1010"/>
      <c r="U264" s="1010"/>
      <c r="V264" s="1010"/>
      <c r="W264" s="1010"/>
      <c r="X264" s="1010"/>
      <c r="Y264" s="1010"/>
      <c r="Z264" s="1010"/>
      <c r="AA264" s="1010"/>
      <c r="AB264" s="1010"/>
      <c r="AC264" s="1010"/>
      <c r="AD264" s="1010"/>
      <c r="AE264" s="1010"/>
      <c r="AF264" s="954"/>
      <c r="AG264" s="922"/>
      <c r="AH264" s="922"/>
      <c r="AI264" s="922"/>
      <c r="AJ264" s="922"/>
      <c r="AK264" s="922"/>
      <c r="AL264" s="922"/>
      <c r="AM264" s="922"/>
      <c r="AN264" s="922"/>
      <c r="AO264" s="922"/>
      <c r="AP264" s="922"/>
      <c r="AQ264" s="922"/>
      <c r="AR264" s="922"/>
      <c r="AS264" s="922"/>
      <c r="AT264" s="1039">
        <v>0.9</v>
      </c>
      <c r="AU264" s="1039">
        <v>0.9</v>
      </c>
      <c r="AV264" s="1039">
        <v>0.89510000000000001</v>
      </c>
      <c r="AW264" s="1039">
        <f>AV264-0.07%</f>
        <v>0.89439999999999997</v>
      </c>
      <c r="AX264" s="1039">
        <f>AW264-0.07%</f>
        <v>0.89369999999999994</v>
      </c>
      <c r="AY264" s="1039">
        <f t="shared" ref="AY264:BE264" si="205">AX264-0.51%</f>
        <v>0.88859999999999995</v>
      </c>
      <c r="AZ264" s="1039">
        <f t="shared" si="205"/>
        <v>0.88349999999999995</v>
      </c>
      <c r="BA264" s="1039">
        <f t="shared" si="205"/>
        <v>0.87839999999999996</v>
      </c>
      <c r="BB264" s="1039">
        <f t="shared" si="205"/>
        <v>0.87329999999999997</v>
      </c>
      <c r="BC264" s="1039">
        <f t="shared" si="205"/>
        <v>0.86819999999999997</v>
      </c>
      <c r="BD264" s="1039">
        <f t="shared" si="205"/>
        <v>0.86309999999999998</v>
      </c>
      <c r="BE264" s="1039">
        <f t="shared" si="205"/>
        <v>0.85799999999999998</v>
      </c>
      <c r="BF264" s="1038">
        <v>0.85219999999999996</v>
      </c>
      <c r="BH264" s="970">
        <f t="shared" si="180"/>
        <v>0.85799999999999998</v>
      </c>
      <c r="BI264" s="970"/>
    </row>
    <row r="265" spans="2:61" s="998" customFormat="1" ht="1.5" hidden="1" customHeight="1">
      <c r="B265" s="1032">
        <v>89</v>
      </c>
      <c r="T265" s="1010"/>
      <c r="U265" s="1010"/>
      <c r="V265" s="1010"/>
      <c r="W265" s="1010"/>
      <c r="X265" s="1010"/>
      <c r="Y265" s="1010"/>
      <c r="Z265" s="1010"/>
      <c r="AA265" s="1010"/>
      <c r="AB265" s="1010"/>
      <c r="AC265" s="1010"/>
      <c r="AD265" s="1010"/>
      <c r="AE265" s="1010"/>
      <c r="AF265" s="954"/>
      <c r="AG265" s="922"/>
      <c r="AH265" s="922"/>
      <c r="AI265" s="922"/>
      <c r="AJ265" s="922"/>
      <c r="AK265" s="922"/>
      <c r="AL265" s="922"/>
      <c r="AM265" s="922"/>
      <c r="AN265" s="922"/>
      <c r="AO265" s="922"/>
      <c r="AP265" s="922"/>
      <c r="AQ265" s="922"/>
      <c r="AR265" s="922"/>
      <c r="AS265" s="922"/>
      <c r="AT265" s="922"/>
      <c r="AU265" s="1039">
        <v>0.9</v>
      </c>
      <c r="AV265" s="1039">
        <v>0.9</v>
      </c>
      <c r="AW265" s="1039">
        <v>0.8952</v>
      </c>
      <c r="AX265" s="1039">
        <f>AW265-0.07%</f>
        <v>0.89449999999999996</v>
      </c>
      <c r="AY265" s="1039">
        <f>AX265-0.07%</f>
        <v>0.89379999999999993</v>
      </c>
      <c r="AZ265" s="1039">
        <f t="shared" ref="AZ265:BE265" si="206">AY265-0.51%</f>
        <v>0.88869999999999993</v>
      </c>
      <c r="BA265" s="1039">
        <f t="shared" si="206"/>
        <v>0.88359999999999994</v>
      </c>
      <c r="BB265" s="1039">
        <f t="shared" si="206"/>
        <v>0.87849999999999995</v>
      </c>
      <c r="BC265" s="1039">
        <f t="shared" si="206"/>
        <v>0.87339999999999995</v>
      </c>
      <c r="BD265" s="1039">
        <f t="shared" si="206"/>
        <v>0.86829999999999996</v>
      </c>
      <c r="BE265" s="1039">
        <f t="shared" si="206"/>
        <v>0.86319999999999997</v>
      </c>
      <c r="BF265" s="1038">
        <v>0.85650000000000004</v>
      </c>
      <c r="BH265" s="970">
        <f t="shared" si="180"/>
        <v>0.86319999999999997</v>
      </c>
      <c r="BI265" s="970"/>
    </row>
    <row r="266" spans="2:61" s="998" customFormat="1" hidden="1">
      <c r="B266" s="1032">
        <v>90</v>
      </c>
      <c r="T266" s="1010"/>
      <c r="U266" s="1010"/>
      <c r="V266" s="1010"/>
      <c r="W266" s="1010"/>
      <c r="X266" s="1010"/>
      <c r="Y266" s="1010"/>
      <c r="Z266" s="1010"/>
      <c r="AA266" s="1010"/>
      <c r="AB266" s="1010"/>
      <c r="AC266" s="1010"/>
      <c r="AD266" s="1010"/>
      <c r="AE266" s="1010"/>
      <c r="AF266" s="954"/>
      <c r="AG266" s="922"/>
      <c r="AH266" s="922"/>
      <c r="AI266" s="922"/>
      <c r="AJ266" s="922"/>
      <c r="AK266" s="922"/>
      <c r="AL266" s="922"/>
      <c r="AM266" s="922"/>
      <c r="AN266" s="922"/>
      <c r="AO266" s="922"/>
      <c r="AP266" s="922"/>
      <c r="AQ266" s="922"/>
      <c r="AR266" s="922"/>
      <c r="AS266" s="922"/>
      <c r="AT266" s="922"/>
      <c r="AU266" s="922"/>
      <c r="AV266" s="1039">
        <v>0.9</v>
      </c>
      <c r="AW266" s="1039">
        <v>0.9</v>
      </c>
      <c r="AX266" s="1039">
        <v>0.8952</v>
      </c>
      <c r="AY266" s="1039">
        <f>AX266-0.07%</f>
        <v>0.89449999999999996</v>
      </c>
      <c r="AZ266" s="1039">
        <f>AY266-0.07%</f>
        <v>0.89379999999999993</v>
      </c>
      <c r="BA266" s="1039">
        <f>AZ266-0.51%</f>
        <v>0.88869999999999993</v>
      </c>
      <c r="BB266" s="1039">
        <f>BA266-0.51%</f>
        <v>0.88359999999999994</v>
      </c>
      <c r="BC266" s="1039">
        <f>BB266-0.51%</f>
        <v>0.87849999999999995</v>
      </c>
      <c r="BD266" s="1039">
        <f>BC266-0.51%</f>
        <v>0.87339999999999995</v>
      </c>
      <c r="BE266" s="1039">
        <f>BD266-0.51%</f>
        <v>0.86829999999999996</v>
      </c>
      <c r="BF266" s="1038">
        <v>0.8609</v>
      </c>
      <c r="BH266" s="970">
        <f t="shared" si="180"/>
        <v>0.86829999999999996</v>
      </c>
      <c r="BI266" s="970"/>
    </row>
    <row r="267" spans="2:61" s="998" customFormat="1" hidden="1">
      <c r="B267" s="1032">
        <v>91</v>
      </c>
      <c r="T267" s="1010"/>
      <c r="U267" s="1010"/>
      <c r="V267" s="1010"/>
      <c r="W267" s="1010"/>
      <c r="X267" s="1010"/>
      <c r="Y267" s="1010"/>
      <c r="Z267" s="1010"/>
      <c r="AA267" s="1010"/>
      <c r="AB267" s="1010"/>
      <c r="AC267" s="1010"/>
      <c r="AD267" s="1010"/>
      <c r="AE267" s="1010"/>
      <c r="AF267" s="954"/>
      <c r="AG267" s="922"/>
      <c r="AH267" s="922"/>
      <c r="AI267" s="922"/>
      <c r="AJ267" s="922"/>
      <c r="AK267" s="922"/>
      <c r="AL267" s="922"/>
      <c r="AM267" s="922"/>
      <c r="AN267" s="922"/>
      <c r="AO267" s="922"/>
      <c r="AP267" s="922" t="s">
        <v>913</v>
      </c>
      <c r="AQ267" s="922"/>
      <c r="AR267" s="922"/>
      <c r="AS267" s="922"/>
      <c r="AT267" s="922"/>
      <c r="AU267" s="922"/>
      <c r="AV267" s="922"/>
      <c r="AW267" s="1039">
        <v>0.9</v>
      </c>
      <c r="AX267" s="1039">
        <v>0.9</v>
      </c>
      <c r="AY267" s="1039">
        <v>0.89529999999999998</v>
      </c>
      <c r="AZ267" s="1039">
        <f>AY267-0.07%</f>
        <v>0.89459999999999995</v>
      </c>
      <c r="BA267" s="1039">
        <f>AZ267-0.07%</f>
        <v>0.89389999999999992</v>
      </c>
      <c r="BB267" s="1039">
        <f>BA267-0.51%</f>
        <v>0.88879999999999992</v>
      </c>
      <c r="BC267" s="1039">
        <f>BB267-0.51%</f>
        <v>0.88369999999999993</v>
      </c>
      <c r="BD267" s="1039">
        <f>BC267-0.51%</f>
        <v>0.87859999999999994</v>
      </c>
      <c r="BE267" s="1039">
        <f>BD267-0.51%</f>
        <v>0.87349999999999994</v>
      </c>
      <c r="BF267" s="1038">
        <v>0.86519999999999997</v>
      </c>
      <c r="BH267" s="970">
        <f t="shared" si="180"/>
        <v>0.87349999999999994</v>
      </c>
      <c r="BI267" s="970"/>
    </row>
    <row r="268" spans="2:61" s="998" customFormat="1" hidden="1">
      <c r="B268" s="1032">
        <v>92</v>
      </c>
      <c r="T268" s="1010"/>
      <c r="U268" s="1010"/>
      <c r="V268" s="1010"/>
      <c r="W268" s="1010"/>
      <c r="X268" s="1010"/>
      <c r="Y268" s="1010"/>
      <c r="Z268" s="1010"/>
      <c r="AA268" s="1010"/>
      <c r="AB268" s="1010"/>
      <c r="AC268" s="1010"/>
      <c r="AD268" s="1010"/>
      <c r="AE268" s="1010"/>
      <c r="AF268" s="954"/>
      <c r="AG268" s="922"/>
      <c r="AH268" s="922"/>
      <c r="AI268" s="922"/>
      <c r="AJ268" s="922"/>
      <c r="AK268" s="922"/>
      <c r="AL268" s="922"/>
      <c r="AM268" s="922"/>
      <c r="AN268" s="922"/>
      <c r="AO268" s="922"/>
      <c r="AP268" s="922"/>
      <c r="AQ268" s="922"/>
      <c r="AR268" s="922"/>
      <c r="AS268" s="922"/>
      <c r="AT268" s="922"/>
      <c r="AU268" s="922"/>
      <c r="AV268" s="922"/>
      <c r="AW268" s="922"/>
      <c r="AX268" s="1039">
        <v>0.9</v>
      </c>
      <c r="AY268" s="1039">
        <v>0.9</v>
      </c>
      <c r="AZ268" s="1039">
        <v>0.89529999999999998</v>
      </c>
      <c r="BA268" s="1039">
        <f>AZ268-0.02%</f>
        <v>0.89510000000000001</v>
      </c>
      <c r="BB268" s="1039">
        <f>BA268-0.07%</f>
        <v>0.89439999999999997</v>
      </c>
      <c r="BC268" s="1039">
        <f>BB268-0.51%</f>
        <v>0.88929999999999998</v>
      </c>
      <c r="BD268" s="1039">
        <f>BC268-0.51%</f>
        <v>0.88419999999999999</v>
      </c>
      <c r="BE268" s="1039">
        <f>BD268-0.51%</f>
        <v>0.87909999999999999</v>
      </c>
      <c r="BF268" s="1038">
        <v>0.86960000000000004</v>
      </c>
      <c r="BH268" s="970">
        <f t="shared" si="180"/>
        <v>0.87909999999999999</v>
      </c>
      <c r="BI268" s="970"/>
    </row>
    <row r="269" spans="2:61" s="998" customFormat="1" hidden="1">
      <c r="B269" s="1032">
        <v>93</v>
      </c>
      <c r="T269" s="1010"/>
      <c r="U269" s="1010"/>
      <c r="V269" s="1010"/>
      <c r="W269" s="1010"/>
      <c r="X269" s="1010"/>
      <c r="Y269" s="1010"/>
      <c r="Z269" s="1010"/>
      <c r="AA269" s="1010"/>
      <c r="AB269" s="1010"/>
      <c r="AC269" s="1010"/>
      <c r="AD269" s="1010"/>
      <c r="AE269" s="1010"/>
      <c r="AF269" s="954"/>
      <c r="AG269" s="922"/>
      <c r="AH269" s="922"/>
      <c r="AI269" s="922"/>
      <c r="AJ269" s="922"/>
      <c r="AK269" s="922"/>
      <c r="AL269" s="922"/>
      <c r="AM269" s="922"/>
      <c r="AN269" s="922"/>
      <c r="AO269" s="922"/>
      <c r="AP269" s="922"/>
      <c r="AQ269" s="922"/>
      <c r="AR269" s="922"/>
      <c r="AS269" s="922"/>
      <c r="AT269" s="922"/>
      <c r="AU269" s="922"/>
      <c r="AV269" s="922"/>
      <c r="AW269" s="922"/>
      <c r="AX269" s="922"/>
      <c r="AY269" s="1039">
        <v>0.9</v>
      </c>
      <c r="AZ269" s="1039">
        <v>0.9</v>
      </c>
      <c r="BA269" s="1039">
        <v>0.89539999999999997</v>
      </c>
      <c r="BB269" s="1039">
        <f>BA269-0.02%</f>
        <v>0.8952</v>
      </c>
      <c r="BC269" s="1039">
        <f>BB269-0.07%</f>
        <v>0.89449999999999996</v>
      </c>
      <c r="BD269" s="1039">
        <f>BC269-0.51%</f>
        <v>0.88939999999999997</v>
      </c>
      <c r="BE269" s="1039">
        <f>BD269-0.51%</f>
        <v>0.88429999999999997</v>
      </c>
      <c r="BF269" s="1038">
        <v>0.87390000000000001</v>
      </c>
      <c r="BH269" s="970">
        <f t="shared" si="180"/>
        <v>0.88429999999999997</v>
      </c>
      <c r="BI269" s="970"/>
    </row>
    <row r="270" spans="2:61" s="998" customFormat="1" hidden="1">
      <c r="B270" s="1032">
        <v>94</v>
      </c>
      <c r="T270" s="1010"/>
      <c r="U270" s="1010"/>
      <c r="V270" s="1010"/>
      <c r="W270" s="1010"/>
      <c r="X270" s="1010"/>
      <c r="Y270" s="1010"/>
      <c r="Z270" s="1010"/>
      <c r="AA270" s="1010"/>
      <c r="AB270" s="1010"/>
      <c r="AC270" s="1010"/>
      <c r="AD270" s="1010"/>
      <c r="AE270" s="1010"/>
      <c r="AF270" s="1010"/>
      <c r="AG270" s="922"/>
      <c r="AH270" s="922"/>
      <c r="AI270" s="922"/>
      <c r="AJ270" s="922"/>
      <c r="AK270" s="922"/>
      <c r="AL270" s="922"/>
      <c r="AM270" s="922"/>
      <c r="AN270" s="922"/>
      <c r="AO270" s="922"/>
      <c r="AP270" s="922"/>
      <c r="AQ270" s="922"/>
      <c r="AR270" s="922"/>
      <c r="AS270" s="922"/>
      <c r="AT270" s="922"/>
      <c r="AU270" s="922"/>
      <c r="AV270" s="922"/>
      <c r="AW270" s="922"/>
      <c r="AX270" s="922"/>
      <c r="AY270" s="922"/>
      <c r="AZ270" s="1039">
        <v>0.9</v>
      </c>
      <c r="BA270" s="1039">
        <v>0.9</v>
      </c>
      <c r="BB270" s="1039">
        <v>0.89549999999999996</v>
      </c>
      <c r="BC270" s="1039">
        <f>BB270-0.07%</f>
        <v>0.89479999999999993</v>
      </c>
      <c r="BD270" s="1039">
        <f>BC270-0.07%</f>
        <v>0.89409999999999989</v>
      </c>
      <c r="BE270" s="1039">
        <f>BD270-0.41%</f>
        <v>0.8899999999999999</v>
      </c>
      <c r="BF270" s="1038">
        <v>0.87829999999999997</v>
      </c>
      <c r="BH270" s="970">
        <f t="shared" si="180"/>
        <v>0.8899999999999999</v>
      </c>
      <c r="BI270" s="970"/>
    </row>
    <row r="271" spans="2:61" s="998" customFormat="1" hidden="1">
      <c r="B271" s="1032">
        <v>95</v>
      </c>
      <c r="T271" s="1010"/>
      <c r="U271" s="1010"/>
      <c r="V271" s="1010"/>
      <c r="W271" s="1010"/>
      <c r="X271" s="1010"/>
      <c r="Y271" s="1010"/>
      <c r="Z271" s="1010"/>
      <c r="AA271" s="1010"/>
      <c r="AB271" s="1010"/>
      <c r="AC271" s="1010"/>
      <c r="AD271" s="1010"/>
      <c r="AE271" s="1010"/>
      <c r="AF271" s="1010"/>
      <c r="AG271" s="922"/>
      <c r="AH271" s="922"/>
      <c r="AI271" s="922"/>
      <c r="AJ271" s="922"/>
      <c r="AK271" s="922"/>
      <c r="AL271" s="922"/>
      <c r="AM271" s="922"/>
      <c r="AN271" s="922"/>
      <c r="AO271" s="922"/>
      <c r="AP271" s="922"/>
      <c r="AQ271" s="922"/>
      <c r="AR271" s="922"/>
      <c r="AS271" s="922"/>
      <c r="AT271" s="922"/>
      <c r="AU271" s="922"/>
      <c r="AV271" s="922"/>
      <c r="AW271" s="922"/>
      <c r="AX271" s="922"/>
      <c r="AY271" s="922"/>
      <c r="AZ271" s="710"/>
      <c r="BA271" s="1039">
        <v>0.9</v>
      </c>
      <c r="BB271" s="1039">
        <v>0.9</v>
      </c>
      <c r="BC271" s="1039">
        <v>0.89549999999999996</v>
      </c>
      <c r="BD271" s="1039">
        <f>BC271-0.07%</f>
        <v>0.89479999999999993</v>
      </c>
      <c r="BE271" s="1039">
        <v>0.88390000000000002</v>
      </c>
      <c r="BF271" s="1038">
        <v>0.88260000000000005</v>
      </c>
      <c r="BH271" s="970">
        <f t="shared" si="180"/>
        <v>0.88390000000000002</v>
      </c>
      <c r="BI271" s="970"/>
    </row>
    <row r="272" spans="2:61" s="998" customFormat="1" hidden="1">
      <c r="B272" s="1032">
        <v>96</v>
      </c>
      <c r="T272" s="1010"/>
      <c r="U272" s="1010"/>
      <c r="V272" s="1010"/>
      <c r="W272" s="1010"/>
      <c r="X272" s="1010"/>
      <c r="Y272" s="1010"/>
      <c r="Z272" s="1010"/>
      <c r="AA272" s="1010"/>
      <c r="AB272" s="1010"/>
      <c r="AC272" s="1010"/>
      <c r="AD272" s="1010"/>
      <c r="AE272" s="1010"/>
      <c r="AF272" s="1010"/>
      <c r="AG272" s="922"/>
      <c r="AH272" s="922"/>
      <c r="AI272" s="922"/>
      <c r="AJ272" s="922"/>
      <c r="AK272" s="922"/>
      <c r="AL272" s="922"/>
      <c r="AM272" s="922"/>
      <c r="AN272" s="922"/>
      <c r="AO272" s="922"/>
      <c r="AP272" s="922"/>
      <c r="AQ272" s="922"/>
      <c r="AR272" s="922"/>
      <c r="AS272" s="922"/>
      <c r="AT272" s="922"/>
      <c r="AU272" s="922"/>
      <c r="AV272" s="922"/>
      <c r="AW272" s="922"/>
      <c r="AX272" s="922"/>
      <c r="AY272" s="922"/>
      <c r="AZ272" s="710"/>
      <c r="BA272" s="710"/>
      <c r="BB272" s="1039">
        <v>0.9</v>
      </c>
      <c r="BC272" s="1039">
        <v>0.9</v>
      </c>
      <c r="BD272" s="1039">
        <v>0.89559999999999995</v>
      </c>
      <c r="BE272" s="1039">
        <v>0.88870000000000005</v>
      </c>
      <c r="BF272" s="1038">
        <v>0.88700000000000001</v>
      </c>
      <c r="BH272" s="970">
        <f t="shared" si="180"/>
        <v>0.88870000000000005</v>
      </c>
      <c r="BI272" s="970"/>
    </row>
    <row r="273" spans="2:61" s="998" customFormat="1" hidden="1">
      <c r="B273" s="1032">
        <v>97</v>
      </c>
      <c r="T273" s="1010"/>
      <c r="U273" s="1010"/>
      <c r="V273" s="1010"/>
      <c r="W273" s="1010"/>
      <c r="X273" s="1010"/>
      <c r="Y273" s="1010"/>
      <c r="Z273" s="1010"/>
      <c r="AA273" s="1010"/>
      <c r="AB273" s="1010"/>
      <c r="AC273" s="1010"/>
      <c r="AD273" s="1010"/>
      <c r="AE273" s="1010"/>
      <c r="AF273" s="1010"/>
      <c r="AG273" s="922"/>
      <c r="AH273" s="922"/>
      <c r="AI273" s="922"/>
      <c r="AJ273" s="922"/>
      <c r="AK273" s="922"/>
      <c r="AL273" s="922"/>
      <c r="AM273" s="922"/>
      <c r="AN273" s="922"/>
      <c r="AO273" s="922"/>
      <c r="AP273" s="922"/>
      <c r="AQ273" s="922"/>
      <c r="AR273" s="922"/>
      <c r="AS273" s="922"/>
      <c r="AT273" s="922"/>
      <c r="AU273" s="922"/>
      <c r="AV273" s="922"/>
      <c r="AW273" s="922"/>
      <c r="AX273" s="922"/>
      <c r="AY273" s="922"/>
      <c r="AZ273" s="710"/>
      <c r="BA273" s="710"/>
      <c r="BB273" s="710"/>
      <c r="BC273" s="1039">
        <v>0.9</v>
      </c>
      <c r="BD273" s="1039">
        <v>0.9</v>
      </c>
      <c r="BE273" s="1039">
        <v>0.89559999999999995</v>
      </c>
      <c r="BF273" s="1038">
        <v>0.89129999999999998</v>
      </c>
      <c r="BH273" s="970">
        <f t="shared" si="180"/>
        <v>0.89559999999999995</v>
      </c>
      <c r="BI273" s="970"/>
    </row>
    <row r="274" spans="2:61" s="998" customFormat="1" hidden="1">
      <c r="B274" s="1032">
        <v>98</v>
      </c>
      <c r="T274" s="1010"/>
      <c r="U274" s="1010"/>
      <c r="V274" s="1010"/>
      <c r="W274" s="1010"/>
      <c r="X274" s="1010"/>
      <c r="Y274" s="1010"/>
      <c r="Z274" s="1010"/>
      <c r="AA274" s="1010"/>
      <c r="AB274" s="1010"/>
      <c r="AC274" s="1010"/>
      <c r="AD274" s="1010"/>
      <c r="AE274" s="1010"/>
      <c r="AF274" s="1010"/>
      <c r="AG274" s="922"/>
      <c r="AH274" s="922"/>
      <c r="AI274" s="922"/>
      <c r="AJ274" s="922"/>
      <c r="AK274" s="922"/>
      <c r="AL274" s="922"/>
      <c r="AM274" s="922"/>
      <c r="AN274" s="922"/>
      <c r="AO274" s="922"/>
      <c r="AP274" s="922"/>
      <c r="AQ274" s="922"/>
      <c r="AR274" s="922"/>
      <c r="AS274" s="922"/>
      <c r="AT274" s="922"/>
      <c r="AU274" s="922"/>
      <c r="AV274" s="922"/>
      <c r="AW274" s="922"/>
      <c r="AX274" s="922"/>
      <c r="AY274" s="922"/>
      <c r="AZ274" s="710"/>
      <c r="BA274" s="710"/>
      <c r="BB274" s="710"/>
      <c r="BC274" s="710"/>
      <c r="BD274" s="1039">
        <v>0.9</v>
      </c>
      <c r="BE274" s="1039">
        <v>0.9</v>
      </c>
      <c r="BF274" s="1038">
        <v>0.89570000000000005</v>
      </c>
      <c r="BH274" s="970">
        <f t="shared" si="180"/>
        <v>0.9</v>
      </c>
      <c r="BI274" s="970"/>
    </row>
    <row r="275" spans="2:61" s="998" customFormat="1" hidden="1">
      <c r="B275" s="1032">
        <v>99</v>
      </c>
      <c r="T275" s="1010"/>
      <c r="U275" s="1010"/>
      <c r="V275" s="1010"/>
      <c r="W275" s="1010"/>
      <c r="X275" s="1010"/>
      <c r="Y275" s="1010"/>
      <c r="Z275" s="1010"/>
      <c r="AA275" s="1010"/>
      <c r="AB275" s="1010"/>
      <c r="AC275" s="1010"/>
      <c r="AD275" s="1010"/>
      <c r="AE275" s="1010"/>
      <c r="AF275" s="1010"/>
      <c r="AG275" s="922"/>
      <c r="AH275" s="922"/>
      <c r="AI275" s="922"/>
      <c r="AJ275" s="922"/>
      <c r="AK275" s="922"/>
      <c r="AL275" s="922"/>
      <c r="AM275" s="922"/>
      <c r="AN275" s="922"/>
      <c r="AO275" s="922"/>
      <c r="AP275" s="922"/>
      <c r="AQ275" s="922"/>
      <c r="AR275" s="922"/>
      <c r="AS275" s="922"/>
      <c r="AT275" s="922"/>
      <c r="AU275" s="922"/>
      <c r="AV275" s="922"/>
      <c r="AW275" s="922"/>
      <c r="AX275" s="922"/>
      <c r="AY275" s="922"/>
      <c r="AZ275" s="710"/>
      <c r="BA275" s="710"/>
      <c r="BB275" s="710"/>
      <c r="BC275" s="710"/>
      <c r="BD275" s="710"/>
      <c r="BE275" s="1039">
        <v>0.9</v>
      </c>
      <c r="BF275" s="1038">
        <v>0.9</v>
      </c>
      <c r="BH275" s="970">
        <f t="shared" si="180"/>
        <v>0.9</v>
      </c>
      <c r="BI275" s="970"/>
    </row>
    <row r="276" spans="2:61" s="998" customFormat="1" hidden="1">
      <c r="B276" s="1032">
        <v>100</v>
      </c>
      <c r="T276" s="1010"/>
      <c r="U276" s="1010"/>
      <c r="V276" s="1010"/>
      <c r="W276" s="1010"/>
      <c r="X276" s="1010"/>
      <c r="Y276" s="1010"/>
      <c r="Z276" s="1010"/>
      <c r="AA276" s="1010"/>
      <c r="AB276" s="1010"/>
      <c r="AC276" s="1010"/>
      <c r="AD276" s="1010"/>
      <c r="AE276" s="1010"/>
      <c r="AF276" s="1010"/>
      <c r="AG276" s="922"/>
      <c r="AH276" s="922"/>
      <c r="AI276" s="922"/>
      <c r="AJ276" s="922"/>
      <c r="AK276" s="922"/>
      <c r="AL276" s="922"/>
      <c r="AM276" s="922"/>
      <c r="AN276" s="922"/>
      <c r="AO276" s="922"/>
      <c r="AP276" s="922"/>
      <c r="AQ276" s="922"/>
      <c r="AR276" s="922"/>
      <c r="AS276" s="922"/>
      <c r="AT276" s="922"/>
      <c r="AU276" s="922"/>
      <c r="AV276" s="922"/>
      <c r="AW276" s="922"/>
      <c r="AX276" s="922"/>
      <c r="AY276" s="922"/>
      <c r="AZ276" s="710"/>
      <c r="BA276" s="710"/>
      <c r="BB276" s="710"/>
      <c r="BC276" s="710"/>
      <c r="BD276" s="710"/>
      <c r="BE276" s="710"/>
      <c r="BF276" s="1038">
        <v>0.9</v>
      </c>
      <c r="BH276" s="970">
        <f t="shared" si="180"/>
        <v>0</v>
      </c>
      <c r="BI276" s="970"/>
    </row>
    <row r="277" spans="2:61" s="998" customFormat="1" hidden="1">
      <c r="T277" s="1010"/>
      <c r="U277" s="1010"/>
      <c r="V277" s="1010"/>
      <c r="W277" s="1010"/>
      <c r="X277" s="1010"/>
      <c r="Y277" s="1010"/>
      <c r="Z277" s="1010"/>
      <c r="AA277" s="1010"/>
      <c r="AB277" s="1010"/>
      <c r="AC277" s="1010"/>
      <c r="AD277" s="1010"/>
      <c r="AE277" s="1010"/>
      <c r="AF277" s="1010"/>
      <c r="AG277" s="1010"/>
      <c r="AH277" s="1010"/>
      <c r="AI277" s="1010"/>
      <c r="AJ277" s="1010"/>
      <c r="AK277" s="1010"/>
      <c r="AL277" s="1010"/>
      <c r="AM277" s="1010"/>
      <c r="AN277" s="1010"/>
      <c r="AO277" s="1010"/>
      <c r="AP277" s="1010"/>
      <c r="AQ277" s="1010"/>
      <c r="AR277" s="1010"/>
      <c r="AS277" s="1010"/>
      <c r="AT277" s="1010"/>
      <c r="AU277" s="1010"/>
      <c r="AV277" s="1010"/>
      <c r="AW277" s="1010"/>
      <c r="AX277" s="1010"/>
      <c r="AY277" s="1010"/>
    </row>
    <row r="278" spans="2:61" s="998" customFormat="1">
      <c r="T278" s="1010"/>
      <c r="U278" s="1010"/>
      <c r="V278" s="1010"/>
      <c r="W278" s="1010"/>
      <c r="X278" s="1010"/>
      <c r="Y278" s="1010"/>
      <c r="Z278" s="1010"/>
      <c r="AA278" s="1010"/>
      <c r="AB278" s="1010"/>
      <c r="AC278" s="1010"/>
      <c r="AD278" s="1010"/>
      <c r="AE278" s="1010"/>
      <c r="AF278" s="1010"/>
      <c r="AG278" s="1010"/>
      <c r="AH278" s="1010"/>
      <c r="AI278" s="1010"/>
      <c r="AJ278" s="1010"/>
      <c r="AK278" s="1010"/>
      <c r="AL278" s="1010"/>
      <c r="AM278" s="1010"/>
      <c r="AN278" s="1010"/>
      <c r="AO278" s="1010"/>
      <c r="AP278" s="1010"/>
      <c r="AQ278" s="1010"/>
      <c r="AR278" s="1010"/>
      <c r="AS278" s="1010"/>
      <c r="AT278" s="1010"/>
      <c r="AU278" s="1010"/>
      <c r="AV278" s="1010"/>
      <c r="AW278" s="1010"/>
      <c r="AX278" s="1010"/>
      <c r="AY278" s="1010"/>
    </row>
    <row r="279" spans="2:61" s="998" customFormat="1">
      <c r="T279" s="1010"/>
      <c r="U279" s="1010"/>
      <c r="V279" s="1010"/>
      <c r="W279" s="1010"/>
      <c r="X279" s="1010"/>
      <c r="Y279" s="1010"/>
      <c r="Z279" s="1010"/>
      <c r="AA279" s="1010"/>
      <c r="AB279" s="1010"/>
      <c r="AC279" s="1010"/>
      <c r="AD279" s="1010"/>
      <c r="AE279" s="1010"/>
      <c r="AF279" s="1010"/>
      <c r="AG279" s="1010"/>
      <c r="AH279" s="1010"/>
      <c r="AI279" s="1010"/>
      <c r="AJ279" s="1010"/>
      <c r="AK279" s="1010"/>
      <c r="AL279" s="1010"/>
      <c r="AM279" s="1010"/>
      <c r="AN279" s="1010"/>
      <c r="AO279" s="1010"/>
      <c r="AP279" s="1010"/>
      <c r="AQ279" s="1010"/>
      <c r="AR279" s="1010"/>
      <c r="AS279" s="1010"/>
      <c r="AT279" s="1010"/>
      <c r="AU279" s="1010"/>
      <c r="AV279" s="1010"/>
      <c r="AW279" s="1010"/>
      <c r="AX279" s="1010"/>
      <c r="AY279" s="1010"/>
    </row>
    <row r="280" spans="2:61" s="998" customFormat="1">
      <c r="T280" s="1010"/>
      <c r="U280" s="1010"/>
      <c r="V280" s="1010"/>
      <c r="W280" s="1010"/>
      <c r="X280" s="1010"/>
      <c r="Y280" s="1010"/>
      <c r="Z280" s="1010"/>
      <c r="AA280" s="1010"/>
      <c r="AB280" s="1010"/>
      <c r="AC280" s="1010"/>
      <c r="AD280" s="1010"/>
      <c r="AE280" s="1010"/>
      <c r="AF280" s="1010"/>
      <c r="AG280" s="1010"/>
      <c r="AH280" s="1010"/>
      <c r="AI280" s="1010"/>
      <c r="AJ280" s="1010"/>
      <c r="AK280" s="1010"/>
      <c r="AL280" s="1010"/>
      <c r="AM280" s="1010"/>
      <c r="AN280" s="1010"/>
      <c r="AO280" s="1010"/>
      <c r="AP280" s="1010"/>
      <c r="AQ280" s="1010"/>
      <c r="AR280" s="1010"/>
      <c r="AS280" s="1010"/>
      <c r="AT280" s="1010"/>
      <c r="AU280" s="1010"/>
      <c r="AV280" s="1010"/>
      <c r="AW280" s="1010"/>
      <c r="AX280" s="1010"/>
      <c r="AY280" s="1010"/>
    </row>
    <row r="281" spans="2:61" s="998" customFormat="1">
      <c r="T281" s="1010"/>
      <c r="U281" s="1010"/>
      <c r="V281" s="1010"/>
      <c r="W281" s="1010"/>
      <c r="X281" s="1010"/>
      <c r="Y281" s="1010"/>
      <c r="Z281" s="1010"/>
      <c r="AA281" s="1010"/>
      <c r="AB281" s="1010"/>
      <c r="AC281" s="1010"/>
      <c r="AD281" s="1010"/>
      <c r="AE281" s="1010"/>
      <c r="AF281" s="1010"/>
      <c r="AG281" s="1010"/>
      <c r="AH281" s="1010"/>
      <c r="AI281" s="1010"/>
      <c r="AJ281" s="1010"/>
      <c r="AK281" s="1010"/>
      <c r="AL281" s="1010"/>
      <c r="AM281" s="1010"/>
      <c r="AN281" s="1010"/>
      <c r="AO281" s="1010"/>
      <c r="AP281" s="1010"/>
      <c r="AQ281" s="1010"/>
      <c r="AR281" s="1010"/>
      <c r="AS281" s="1010"/>
      <c r="AT281" s="1010"/>
      <c r="AU281" s="1010"/>
      <c r="AV281" s="1010"/>
      <c r="AW281" s="1010"/>
      <c r="AX281" s="1010"/>
      <c r="AY281" s="1010"/>
    </row>
    <row r="282" spans="2:61" s="998" customFormat="1">
      <c r="T282" s="1010"/>
      <c r="U282" s="1010"/>
      <c r="V282" s="1010"/>
      <c r="W282" s="1010"/>
      <c r="X282" s="1010"/>
      <c r="Y282" s="1010"/>
      <c r="Z282" s="1010"/>
      <c r="AA282" s="1010"/>
      <c r="AB282" s="1010"/>
      <c r="AC282" s="1010"/>
      <c r="AD282" s="1010"/>
      <c r="AE282" s="1010"/>
      <c r="AF282" s="1010"/>
      <c r="AG282" s="1010"/>
      <c r="AH282" s="1010"/>
      <c r="AI282" s="1010"/>
      <c r="AJ282" s="1010"/>
      <c r="AK282" s="1010"/>
      <c r="AL282" s="1010"/>
      <c r="AM282" s="1010"/>
      <c r="AN282" s="1010"/>
      <c r="AO282" s="1010"/>
      <c r="AP282" s="1010"/>
      <c r="AQ282" s="1010"/>
      <c r="AR282" s="1010"/>
      <c r="AS282" s="1010"/>
      <c r="AT282" s="1010"/>
      <c r="AU282" s="1010"/>
      <c r="AV282" s="1010"/>
      <c r="AW282" s="1010"/>
      <c r="AX282" s="1010"/>
      <c r="AY282" s="1010"/>
    </row>
    <row r="283" spans="2:61" s="998" customFormat="1">
      <c r="T283" s="1010"/>
      <c r="U283" s="1010"/>
      <c r="V283" s="1010"/>
      <c r="W283" s="1010"/>
      <c r="X283" s="1010"/>
      <c r="Y283" s="1010"/>
      <c r="Z283" s="1010"/>
      <c r="AA283" s="1010"/>
      <c r="AB283" s="1010"/>
      <c r="AC283" s="1010"/>
      <c r="AD283" s="1010"/>
      <c r="AE283" s="1010"/>
      <c r="AF283" s="1010"/>
      <c r="AG283" s="1010"/>
      <c r="AH283" s="1010"/>
      <c r="AI283" s="1010"/>
      <c r="AJ283" s="1010"/>
      <c r="AK283" s="1010"/>
      <c r="AL283" s="1010"/>
      <c r="AM283" s="1010"/>
      <c r="AN283" s="1010"/>
      <c r="AO283" s="1010"/>
      <c r="AP283" s="1010"/>
      <c r="AQ283" s="1010"/>
      <c r="AR283" s="1010"/>
      <c r="AS283" s="1010"/>
      <c r="AT283" s="1010"/>
      <c r="AU283" s="1010"/>
      <c r="AV283" s="1010"/>
      <c r="AW283" s="1010"/>
      <c r="AX283" s="1010"/>
      <c r="AY283" s="1010"/>
    </row>
    <row r="284" spans="2:61" s="998" customFormat="1">
      <c r="T284" s="1010"/>
      <c r="U284" s="1010"/>
      <c r="V284" s="1010"/>
      <c r="W284" s="1010"/>
      <c r="X284" s="1010"/>
      <c r="Y284" s="1010"/>
      <c r="Z284" s="1010"/>
      <c r="AA284" s="1010"/>
      <c r="AB284" s="1010"/>
      <c r="AC284" s="1010"/>
      <c r="AD284" s="1010"/>
      <c r="AE284" s="1010"/>
      <c r="AF284" s="1010"/>
      <c r="AG284" s="1010"/>
      <c r="AH284" s="1010"/>
      <c r="AI284" s="1010"/>
      <c r="AJ284" s="1010"/>
      <c r="AK284" s="1010"/>
      <c r="AL284" s="1010"/>
      <c r="AM284" s="1010"/>
      <c r="AN284" s="1010"/>
      <c r="AO284" s="1010"/>
      <c r="AP284" s="1010"/>
      <c r="AQ284" s="1010"/>
      <c r="AR284" s="1010"/>
      <c r="AS284" s="1010"/>
      <c r="AT284" s="1010"/>
      <c r="AU284" s="1010"/>
      <c r="AV284" s="1010"/>
      <c r="AW284" s="1010"/>
      <c r="AX284" s="1010"/>
      <c r="AY284" s="1010"/>
    </row>
    <row r="285" spans="2:61" s="998" customFormat="1">
      <c r="T285" s="1010"/>
      <c r="U285" s="1010"/>
      <c r="V285" s="1010"/>
      <c r="W285" s="1010"/>
      <c r="X285" s="1010"/>
      <c r="Y285" s="1010"/>
      <c r="Z285" s="1010"/>
      <c r="AA285" s="1010"/>
      <c r="AB285" s="1010"/>
      <c r="AC285" s="1010"/>
      <c r="AD285" s="1010"/>
      <c r="AE285" s="1010"/>
      <c r="AF285" s="1010"/>
      <c r="AG285" s="1010"/>
      <c r="AH285" s="1010"/>
      <c r="AI285" s="1010"/>
      <c r="AJ285" s="1010"/>
      <c r="AK285" s="1010"/>
      <c r="AL285" s="1010"/>
      <c r="AM285" s="1010"/>
      <c r="AN285" s="1010"/>
      <c r="AO285" s="1010"/>
      <c r="AP285" s="1010"/>
      <c r="AQ285" s="1010"/>
      <c r="AR285" s="1010"/>
      <c r="AS285" s="1010"/>
      <c r="AT285" s="1010"/>
      <c r="AU285" s="1010"/>
      <c r="AV285" s="1010"/>
      <c r="AW285" s="1010"/>
      <c r="AX285" s="1010"/>
      <c r="AY285" s="1010"/>
    </row>
    <row r="286" spans="2:61" s="998" customFormat="1">
      <c r="T286" s="1010"/>
      <c r="U286" s="1010"/>
      <c r="V286" s="1010"/>
      <c r="W286" s="1010"/>
      <c r="X286" s="1010"/>
      <c r="Y286" s="1010"/>
      <c r="Z286" s="1010"/>
      <c r="AA286" s="1010"/>
      <c r="AB286" s="1010"/>
      <c r="AC286" s="1010"/>
      <c r="AD286" s="1010"/>
      <c r="AE286" s="1010"/>
      <c r="AF286" s="1010"/>
      <c r="AG286" s="1010"/>
      <c r="AH286" s="1010"/>
      <c r="AI286" s="1010"/>
      <c r="AJ286" s="1010"/>
      <c r="AK286" s="1010"/>
      <c r="AL286" s="1010"/>
      <c r="AM286" s="1010"/>
      <c r="AN286" s="1010"/>
      <c r="AO286" s="1010"/>
      <c r="AP286" s="1010"/>
      <c r="AQ286" s="1010"/>
      <c r="AR286" s="1010"/>
      <c r="AS286" s="1010"/>
      <c r="AT286" s="1010"/>
      <c r="AU286" s="1010"/>
      <c r="AV286" s="1010"/>
      <c r="AW286" s="1010"/>
      <c r="AX286" s="1010"/>
      <c r="AY286" s="1010"/>
    </row>
    <row r="287" spans="2:61" s="998" customFormat="1">
      <c r="T287" s="1010"/>
      <c r="U287" s="1010"/>
      <c r="V287" s="1010"/>
      <c r="W287" s="1010"/>
      <c r="X287" s="1010"/>
      <c r="Y287" s="1010"/>
      <c r="Z287" s="1010"/>
      <c r="AA287" s="1010"/>
      <c r="AB287" s="1010"/>
      <c r="AC287" s="1010"/>
      <c r="AD287" s="1010"/>
      <c r="AE287" s="1010"/>
      <c r="AF287" s="1010"/>
      <c r="AG287" s="1010"/>
      <c r="AH287" s="1010"/>
      <c r="AI287" s="1010"/>
      <c r="AJ287" s="1010"/>
      <c r="AK287" s="1010"/>
      <c r="AL287" s="1010"/>
      <c r="AM287" s="1010"/>
      <c r="AN287" s="1010"/>
      <c r="AO287" s="1010"/>
      <c r="AP287" s="1010"/>
      <c r="AQ287" s="1010"/>
      <c r="AR287" s="1010"/>
      <c r="AS287" s="1010"/>
      <c r="AT287" s="1010"/>
      <c r="AU287" s="1010"/>
      <c r="AV287" s="1010"/>
      <c r="AW287" s="1010"/>
      <c r="AX287" s="1010"/>
      <c r="AY287" s="1010"/>
    </row>
    <row r="288" spans="2:61" s="998" customFormat="1">
      <c r="T288" s="1010"/>
      <c r="U288" s="1010"/>
      <c r="V288" s="1010"/>
      <c r="W288" s="1010"/>
      <c r="X288" s="1010"/>
      <c r="Y288" s="1010"/>
      <c r="Z288" s="1010"/>
      <c r="AA288" s="1010"/>
      <c r="AB288" s="1010"/>
      <c r="AC288" s="1010"/>
      <c r="AD288" s="1010"/>
      <c r="AE288" s="1010"/>
      <c r="AF288" s="1010"/>
      <c r="AG288" s="1010"/>
      <c r="AH288" s="1010"/>
      <c r="AI288" s="1010"/>
      <c r="AJ288" s="1010"/>
      <c r="AK288" s="1010"/>
      <c r="AL288" s="1010"/>
      <c r="AM288" s="1010"/>
      <c r="AN288" s="1010"/>
      <c r="AO288" s="1010"/>
      <c r="AP288" s="1010"/>
      <c r="AQ288" s="1010"/>
      <c r="AR288" s="1010"/>
      <c r="AS288" s="1010"/>
      <c r="AT288" s="1010"/>
      <c r="AU288" s="1010"/>
      <c r="AV288" s="1010"/>
      <c r="AW288" s="1010"/>
      <c r="AX288" s="1010"/>
      <c r="AY288" s="1010"/>
    </row>
    <row r="289"/>
  </sheetData>
  <protectedRanges>
    <protectedRange sqref="G15:H15" name="Range5_1_1"/>
    <protectedRange sqref="K12 G12:G14" name="Range9_1_1"/>
    <protectedRange sqref="I11:K11" name="Range5_2"/>
    <protectedRange sqref="G9:K9" name="Range3_1"/>
    <protectedRange sqref="F9:F11" name="Range2_1"/>
    <protectedRange sqref="I10:K10 I13:K14" name="Range4_1"/>
  </protectedRanges>
  <mergeCells count="82">
    <mergeCell ref="D25:I25"/>
    <mergeCell ref="D26:I26"/>
    <mergeCell ref="D27:I27"/>
    <mergeCell ref="D28:I28"/>
    <mergeCell ref="D29:I29"/>
    <mergeCell ref="D30:I30"/>
    <mergeCell ref="M14:O15"/>
    <mergeCell ref="M17:O18"/>
    <mergeCell ref="BJ17:BL17"/>
    <mergeCell ref="BM17:BO17"/>
    <mergeCell ref="BJ14:BL14"/>
    <mergeCell ref="BM14:BO14"/>
    <mergeCell ref="BJ15:BL15"/>
    <mergeCell ref="BM15:BO15"/>
    <mergeCell ref="BJ16:BL16"/>
    <mergeCell ref="BM16:BO16"/>
    <mergeCell ref="D19:E19"/>
    <mergeCell ref="H21:I21"/>
    <mergeCell ref="D16:K16"/>
    <mergeCell ref="J17:K17"/>
    <mergeCell ref="J18:K18"/>
    <mergeCell ref="BJ8:BO8"/>
    <mergeCell ref="BJ9:BO9"/>
    <mergeCell ref="BJ10:BO10"/>
    <mergeCell ref="BJ11:BL11"/>
    <mergeCell ref="BM11:BO11"/>
    <mergeCell ref="M12:O13"/>
    <mergeCell ref="BJ12:BL12"/>
    <mergeCell ref="BM12:BO12"/>
    <mergeCell ref="BJ13:BL13"/>
    <mergeCell ref="BM13:BO13"/>
    <mergeCell ref="D9:E9"/>
    <mergeCell ref="G9:K9"/>
    <mergeCell ref="D10:E10"/>
    <mergeCell ref="G10:H10"/>
    <mergeCell ref="I10:K10"/>
    <mergeCell ref="M9:N11"/>
    <mergeCell ref="J21:K21"/>
    <mergeCell ref="D20:E20"/>
    <mergeCell ref="D21:E21"/>
    <mergeCell ref="F17:G17"/>
    <mergeCell ref="H17:I17"/>
    <mergeCell ref="F18:G18"/>
    <mergeCell ref="F19:G19"/>
    <mergeCell ref="F20:G20"/>
    <mergeCell ref="F21:G21"/>
    <mergeCell ref="H12:J12"/>
    <mergeCell ref="D13:F13"/>
    <mergeCell ref="D14:F14"/>
    <mergeCell ref="I13:K13"/>
    <mergeCell ref="D17:E17"/>
    <mergeCell ref="D18:E18"/>
    <mergeCell ref="D11:E11"/>
    <mergeCell ref="G11:H11"/>
    <mergeCell ref="I11:K11"/>
    <mergeCell ref="D15:F15"/>
    <mergeCell ref="G15:H15"/>
    <mergeCell ref="D12:F12"/>
    <mergeCell ref="I14:K14"/>
    <mergeCell ref="M19:O20"/>
    <mergeCell ref="J20:K20"/>
    <mergeCell ref="I15:J15"/>
    <mergeCell ref="H19:I19"/>
    <mergeCell ref="H20:I20"/>
    <mergeCell ref="H18:I18"/>
    <mergeCell ref="J19:K19"/>
    <mergeCell ref="D8:G8"/>
    <mergeCell ref="H8:K8"/>
    <mergeCell ref="BJ25:BL25"/>
    <mergeCell ref="BM25:BO25"/>
    <mergeCell ref="BJ22:BL23"/>
    <mergeCell ref="BM22:BO23"/>
    <mergeCell ref="BJ18:BL18"/>
    <mergeCell ref="BM18:BO18"/>
    <mergeCell ref="BJ19:BL19"/>
    <mergeCell ref="BM19:BO19"/>
    <mergeCell ref="BM24:BO24"/>
    <mergeCell ref="BJ20:BL20"/>
    <mergeCell ref="BM20:BO20"/>
    <mergeCell ref="BJ21:BL21"/>
    <mergeCell ref="BM21:BO21"/>
    <mergeCell ref="BJ24:BL24"/>
  </mergeCells>
  <conditionalFormatting sqref="M9:N11">
    <cfRule type="expression" dxfId="14" priority="1">
      <formula>Z54=1</formula>
    </cfRule>
    <cfRule type="expression" dxfId="13" priority="6">
      <formula>Z53=1</formula>
    </cfRule>
    <cfRule type="expression" dxfId="12" priority="8">
      <formula>Z52=1</formula>
    </cfRule>
    <cfRule type="expression" dxfId="11" priority="10">
      <formula>C69=0</formula>
    </cfRule>
  </conditionalFormatting>
  <conditionalFormatting sqref="F11">
    <cfRule type="expression" dxfId="10" priority="9">
      <formula>C69=0</formula>
    </cfRule>
  </conditionalFormatting>
  <conditionalFormatting sqref="G12">
    <cfRule type="expression" dxfId="9" priority="7">
      <formula>Z52=1</formula>
    </cfRule>
  </conditionalFormatting>
  <conditionalFormatting sqref="G13">
    <cfRule type="expression" dxfId="8" priority="5">
      <formula>Z53=1</formula>
    </cfRule>
  </conditionalFormatting>
  <conditionalFormatting sqref="G14">
    <cfRule type="expression" dxfId="7" priority="4">
      <formula>Z54=1</formula>
    </cfRule>
  </conditionalFormatting>
  <conditionalFormatting sqref="I13:K13">
    <cfRule type="expression" dxfId="6" priority="3">
      <formula>Z57=1</formula>
    </cfRule>
  </conditionalFormatting>
  <conditionalFormatting sqref="I14:K14">
    <cfRule type="expression" dxfId="5" priority="2">
      <formula>"Z58=1"</formula>
    </cfRule>
  </conditionalFormatting>
  <dataValidations count="8">
    <dataValidation type="whole" allowBlank="1" showInputMessage="1" showErrorMessage="1" sqref="I13:K14">
      <formula1>100000</formula1>
      <formula2>2500000</formula2>
    </dataValidation>
    <dataValidation type="whole" operator="greaterThan" allowBlank="1" showInputMessage="1" showErrorMessage="1" sqref="I10:K10">
      <formula1>199999</formula1>
    </dataValidation>
    <dataValidation type="list" allowBlank="1" showInputMessage="1" showErrorMessage="1" sqref="F11">
      <formula1>U8:X8</formula1>
    </dataValidation>
    <dataValidation type="list" allowBlank="1" showInputMessage="1" showErrorMessage="1" sqref="F10">
      <formula1>T9:T64</formula1>
    </dataValidation>
    <dataValidation type="list" allowBlank="1" showInputMessage="1" showErrorMessage="1" sqref="F9">
      <formula1>"SRI.,SMT.,MR.,MRS.,SELVAN.,SELVI.,MISS."</formula1>
    </dataValidation>
    <dataValidation type="list" allowBlank="1" showInputMessage="1" showErrorMessage="1" sqref="I11:K11">
      <formula1>"ADDB RIDER,ADB RIDER"</formula1>
    </dataValidation>
    <dataValidation type="list" allowBlank="1" showInputMessage="1" showErrorMessage="1" sqref="G12:G14 K12">
      <formula1>"YES,NO"</formula1>
    </dataValidation>
    <dataValidation operator="greaterThan" showErrorMessage="1" sqref="G15:H15"/>
  </dataValidations>
  <hyperlinks>
    <hyperlink ref="M14:O15" location="PrintU!A1" display="CLICK HERE"/>
    <hyperlink ref="M19:O20" location="'VASANTHAM HOME'!A1" display="CLICK HERE"/>
  </hyperlinks>
  <pageMargins left="0.7" right="0.7" top="0.75" bottom="0.75" header="0.3" footer="0.3"/>
  <pageSetup paperSize="9" orientation="portrait" horizontalDpi="4294967293" verticalDpi="4294967293" r:id="rId1"/>
  <drawing r:id="rId2"/>
</worksheet>
</file>

<file path=xl/worksheets/sheet33.xml><?xml version="1.0" encoding="utf-8"?>
<worksheet xmlns="http://schemas.openxmlformats.org/spreadsheetml/2006/main" xmlns:r="http://schemas.openxmlformats.org/officeDocument/2006/relationships">
  <sheetPr codeName="Sheet78"/>
  <dimension ref="A1:T228"/>
  <sheetViews>
    <sheetView showGridLines="0" showRowColHeaders="0" workbookViewId="0">
      <selection activeCell="O27" sqref="O27"/>
    </sheetView>
  </sheetViews>
  <sheetFormatPr defaultColWidth="0" defaultRowHeight="0" customHeight="1" zeroHeight="1"/>
  <cols>
    <col min="1" max="1" width="4.5" style="988" customWidth="1"/>
    <col min="2" max="2" width="5.5" style="689" customWidth="1"/>
    <col min="3" max="3" width="6.375" style="689" customWidth="1"/>
    <col min="4" max="4" width="11.625" style="689" customWidth="1"/>
    <col min="5" max="5" width="12" style="689" customWidth="1"/>
    <col min="6" max="9" width="8.375" style="689" customWidth="1"/>
    <col min="10" max="10" width="12.875" style="689" customWidth="1"/>
    <col min="11" max="11" width="12.375" style="689" customWidth="1"/>
    <col min="12" max="12" width="10.5" style="689" customWidth="1"/>
    <col min="13" max="13" width="9.875" style="689" customWidth="1"/>
    <col min="14" max="14" width="8.125" style="689" customWidth="1"/>
    <col min="15" max="17" width="9.125" style="689" customWidth="1"/>
    <col min="18" max="20" width="0" style="689" hidden="1" customWidth="1"/>
    <col min="21" max="16384" width="9.125" style="689" hidden="1"/>
  </cols>
  <sheetData>
    <row r="1" spans="1:17" ht="15">
      <c r="A1" s="691"/>
      <c r="B1" s="690"/>
      <c r="C1" s="690"/>
      <c r="D1" s="690"/>
      <c r="E1" s="690"/>
      <c r="F1" s="690"/>
      <c r="G1" s="690"/>
      <c r="H1" s="690"/>
      <c r="I1" s="690"/>
      <c r="J1" s="690"/>
      <c r="K1" s="690"/>
      <c r="L1" s="690"/>
      <c r="M1" s="690"/>
      <c r="N1" s="690"/>
      <c r="O1" s="690"/>
      <c r="P1" s="690"/>
      <c r="Q1" s="690"/>
    </row>
    <row r="2" spans="1:17" ht="15">
      <c r="A2" s="691"/>
      <c r="B2" s="690"/>
      <c r="C2" s="690"/>
      <c r="D2" s="690"/>
      <c r="E2" s="690"/>
      <c r="F2" s="690"/>
      <c r="G2" s="690"/>
      <c r="H2" s="690"/>
      <c r="I2" s="690"/>
      <c r="J2" s="690"/>
      <c r="K2" s="690"/>
      <c r="L2" s="690"/>
      <c r="M2" s="690"/>
      <c r="N2" s="690"/>
      <c r="O2" s="690"/>
      <c r="P2" s="690"/>
      <c r="Q2" s="690"/>
    </row>
    <row r="3" spans="1:17" ht="15.75">
      <c r="A3" s="691"/>
      <c r="B3" s="690"/>
      <c r="C3" s="690"/>
      <c r="D3" s="690"/>
      <c r="E3" s="690"/>
      <c r="F3" s="690"/>
      <c r="G3" s="690"/>
      <c r="H3" s="690"/>
      <c r="I3" s="690"/>
      <c r="J3" s="690"/>
      <c r="K3" s="2567">
        <f ca="1">TODAY()</f>
        <v>43229</v>
      </c>
      <c r="L3" s="2567"/>
      <c r="M3" s="690"/>
      <c r="N3" s="690"/>
      <c r="O3" s="690"/>
      <c r="P3" s="690"/>
      <c r="Q3" s="690"/>
    </row>
    <row r="4" spans="1:17" ht="15">
      <c r="A4" s="691"/>
      <c r="B4" s="690"/>
      <c r="C4" s="690"/>
      <c r="D4" s="690"/>
      <c r="E4" s="690"/>
      <c r="F4" s="690"/>
      <c r="G4" s="690"/>
      <c r="H4" s="690"/>
      <c r="I4" s="690"/>
      <c r="J4" s="690"/>
      <c r="K4" s="690"/>
      <c r="L4" s="690"/>
      <c r="M4" s="690"/>
      <c r="N4" s="690"/>
      <c r="O4" s="2568" t="s">
        <v>770</v>
      </c>
      <c r="P4" s="2568"/>
      <c r="Q4" s="2568"/>
    </row>
    <row r="5" spans="1:17" ht="15">
      <c r="A5" s="691"/>
      <c r="B5" s="690"/>
      <c r="C5" s="690"/>
      <c r="D5" s="690"/>
      <c r="E5" s="690"/>
      <c r="F5" s="690"/>
      <c r="G5" s="690"/>
      <c r="H5" s="690"/>
      <c r="I5" s="690"/>
      <c r="J5" s="690"/>
      <c r="K5" s="690"/>
      <c r="L5" s="690"/>
      <c r="M5" s="690"/>
      <c r="N5" s="690"/>
      <c r="O5" s="704"/>
      <c r="P5" s="704"/>
      <c r="Q5" s="704"/>
    </row>
    <row r="6" spans="1:17" ht="15">
      <c r="A6" s="691"/>
      <c r="B6" s="690"/>
      <c r="C6" s="690"/>
      <c r="D6" s="690"/>
      <c r="E6" s="690"/>
      <c r="F6" s="690"/>
      <c r="G6" s="690"/>
      <c r="H6" s="690"/>
      <c r="I6" s="690"/>
      <c r="J6" s="690"/>
      <c r="K6" s="690"/>
      <c r="L6" s="690"/>
      <c r="M6" s="690"/>
      <c r="N6" s="690"/>
      <c r="O6" s="2569" t="s">
        <v>226</v>
      </c>
      <c r="P6" s="2569"/>
      <c r="Q6" s="2569"/>
    </row>
    <row r="7" spans="1:17" ht="15" customHeight="1">
      <c r="A7" s="691"/>
      <c r="B7" s="690"/>
      <c r="C7" s="2570" t="s">
        <v>901</v>
      </c>
      <c r="D7" s="2570"/>
      <c r="E7" s="2570"/>
      <c r="F7" s="2570"/>
      <c r="G7" s="2570"/>
      <c r="H7" s="2570"/>
      <c r="I7" s="703"/>
      <c r="J7" s="690"/>
      <c r="K7" s="690"/>
      <c r="L7" s="2571" t="str">
        <f>CONCATENATE("  SAVINGS   PER   DAY", " ", " "," ", "Rs.  ",(ROUND(L24/365,0)),"*"," ","ONLY")</f>
        <v xml:space="preserve">  SAVINGS   PER   DAY   Rs.  17* ONLY</v>
      </c>
      <c r="M7" s="702"/>
      <c r="N7" s="690"/>
      <c r="O7" s="2569"/>
      <c r="P7" s="2569"/>
      <c r="Q7" s="2569"/>
    </row>
    <row r="8" spans="1:17" ht="15" customHeight="1">
      <c r="A8" s="691"/>
      <c r="B8" s="690"/>
      <c r="C8" s="2570"/>
      <c r="D8" s="2570"/>
      <c r="E8" s="2570"/>
      <c r="F8" s="2570"/>
      <c r="G8" s="2570"/>
      <c r="H8" s="2570"/>
      <c r="I8" s="703"/>
      <c r="J8" s="690"/>
      <c r="K8" s="690"/>
      <c r="L8" s="2571"/>
      <c r="M8" s="702"/>
      <c r="N8" s="690"/>
      <c r="O8" s="690"/>
      <c r="P8" s="690"/>
      <c r="Q8" s="690"/>
    </row>
    <row r="9" spans="1:17" ht="15" customHeight="1">
      <c r="A9" s="691"/>
      <c r="B9" s="690"/>
      <c r="C9" s="2570"/>
      <c r="D9" s="2570"/>
      <c r="E9" s="2570"/>
      <c r="F9" s="2570"/>
      <c r="G9" s="2570"/>
      <c r="H9" s="2570"/>
      <c r="I9" s="703"/>
      <c r="J9" s="690"/>
      <c r="K9" s="690"/>
      <c r="L9" s="2571"/>
      <c r="M9" s="702"/>
      <c r="N9" s="690"/>
      <c r="O9" s="690"/>
      <c r="P9" s="690"/>
      <c r="Q9" s="690"/>
    </row>
    <row r="10" spans="1:17" ht="6" customHeight="1">
      <c r="A10" s="691"/>
      <c r="B10" s="690"/>
      <c r="C10" s="690"/>
      <c r="D10" s="690"/>
      <c r="E10" s="690"/>
      <c r="F10" s="690"/>
      <c r="G10" s="690"/>
      <c r="H10" s="690"/>
      <c r="I10" s="690"/>
      <c r="J10" s="690"/>
      <c r="K10" s="690"/>
      <c r="L10" s="2571"/>
      <c r="M10" s="702"/>
      <c r="N10" s="690"/>
      <c r="O10" s="690"/>
      <c r="P10" s="690"/>
      <c r="Q10" s="690"/>
    </row>
    <row r="11" spans="1:17" ht="13.5" customHeight="1" thickBot="1">
      <c r="A11" s="691"/>
      <c r="B11" s="690"/>
      <c r="C11" s="690"/>
      <c r="D11" s="690"/>
      <c r="E11" s="690"/>
      <c r="F11" s="690"/>
      <c r="G11" s="690"/>
      <c r="H11" s="690"/>
      <c r="I11" s="690"/>
      <c r="J11" s="690"/>
      <c r="K11" s="690"/>
      <c r="L11" s="2571"/>
      <c r="M11" s="690"/>
      <c r="N11" s="690"/>
      <c r="O11" s="2568" t="s">
        <v>769</v>
      </c>
      <c r="P11" s="2568"/>
      <c r="Q11" s="2568"/>
    </row>
    <row r="12" spans="1:17" ht="15.75" customHeight="1" thickTop="1">
      <c r="A12" s="691"/>
      <c r="B12" s="690"/>
      <c r="C12" s="1045"/>
      <c r="D12" s="2577" t="s">
        <v>231</v>
      </c>
      <c r="E12" s="2577"/>
      <c r="F12" s="2577"/>
      <c r="G12" s="2577"/>
      <c r="H12" s="1045"/>
      <c r="I12" s="959"/>
      <c r="J12" s="959"/>
      <c r="K12" s="959"/>
      <c r="L12" s="959"/>
      <c r="M12" s="690"/>
      <c r="N12" s="690"/>
      <c r="O12" s="2572" t="s">
        <v>226</v>
      </c>
      <c r="P12" s="2572"/>
      <c r="Q12" s="2572"/>
    </row>
    <row r="13" spans="1:17" ht="17.25" customHeight="1" thickBot="1">
      <c r="A13" s="691"/>
      <c r="B13" s="690"/>
      <c r="C13" s="1046"/>
      <c r="D13" s="2576" t="str">
        <f>CONCATENATE((UMANG!F9),(UMANG!G9))</f>
        <v>SRI.M.RAJAYOGAM</v>
      </c>
      <c r="E13" s="2576"/>
      <c r="F13" s="2576"/>
      <c r="G13" s="2576"/>
      <c r="H13" s="1046"/>
      <c r="I13" s="959"/>
      <c r="J13" s="2165" t="s">
        <v>2104</v>
      </c>
      <c r="K13" s="2165"/>
      <c r="L13" s="2165"/>
      <c r="M13" s="2165"/>
      <c r="N13" s="690"/>
      <c r="O13" s="2572"/>
      <c r="P13" s="2572"/>
      <c r="Q13" s="2572"/>
    </row>
    <row r="14" spans="1:17" ht="11.25" customHeight="1" thickTop="1">
      <c r="A14" s="691"/>
      <c r="B14" s="690"/>
      <c r="C14" s="690"/>
      <c r="D14" s="690"/>
      <c r="E14" s="690"/>
      <c r="F14" s="690"/>
      <c r="G14" s="690"/>
      <c r="H14" s="959"/>
      <c r="I14" s="959"/>
      <c r="J14" s="2573" t="s">
        <v>2103</v>
      </c>
      <c r="K14" s="2573"/>
      <c r="L14" s="2573"/>
      <c r="M14" s="2573"/>
      <c r="N14" s="690"/>
      <c r="O14" s="690"/>
      <c r="P14" s="690"/>
      <c r="Q14" s="690"/>
    </row>
    <row r="15" spans="1:17" ht="12" customHeight="1">
      <c r="A15" s="691"/>
      <c r="B15" s="701"/>
      <c r="C15" s="701"/>
      <c r="D15" s="701"/>
      <c r="E15" s="690"/>
      <c r="F15" s="690"/>
      <c r="G15" s="690"/>
      <c r="H15" s="690"/>
      <c r="I15" s="690"/>
      <c r="J15" s="2171" t="str">
        <f>CONCATENATE("AGE  :  ",(UMANG!F10),  " ", " "," ",       "YEARS")</f>
        <v>AGE  :  1   YEARS</v>
      </c>
      <c r="K15" s="2171"/>
      <c r="L15" s="2171"/>
      <c r="M15" s="2171"/>
      <c r="N15" s="690"/>
      <c r="O15" s="690"/>
      <c r="P15" s="690"/>
      <c r="Q15" s="690"/>
    </row>
    <row r="16" spans="1:17" ht="15.75" customHeight="1">
      <c r="A16" s="691"/>
      <c r="B16" s="690"/>
      <c r="C16" s="960"/>
      <c r="D16" s="2574" t="s">
        <v>227</v>
      </c>
      <c r="E16" s="2574"/>
      <c r="F16" s="2574"/>
      <c r="G16" s="2575"/>
      <c r="H16" s="2575"/>
      <c r="I16" s="2575"/>
      <c r="J16" s="2172" t="str">
        <f>CONCATENATE("TERM  :  ",(100),  " ", " "," ",       "YEARS")</f>
        <v>TERM  :  100   YEARS</v>
      </c>
      <c r="K16" s="2172"/>
      <c r="L16" s="2172"/>
      <c r="M16" s="2172"/>
      <c r="N16" s="690"/>
      <c r="O16" s="690"/>
      <c r="P16" s="690"/>
      <c r="Q16" s="690"/>
    </row>
    <row r="17" spans="1:17" ht="12.75" customHeight="1">
      <c r="A17" s="691"/>
      <c r="B17" s="690"/>
      <c r="C17" s="700"/>
      <c r="D17" s="700"/>
      <c r="E17" s="700"/>
      <c r="F17" s="690"/>
      <c r="G17" s="690"/>
      <c r="H17" s="690"/>
      <c r="I17" s="690"/>
      <c r="J17" s="2106" t="str">
        <f>CONCATENATE("P.P.TERM  :  ",(UMANG!F11),  " ", " "," ",       "YEARS")</f>
        <v>P.P.TERM  :  30   YEARS</v>
      </c>
      <c r="K17" s="2106"/>
      <c r="L17" s="2106"/>
      <c r="M17" s="2106"/>
      <c r="N17" s="690"/>
      <c r="O17" s="690"/>
      <c r="P17" s="690"/>
      <c r="Q17" s="690"/>
    </row>
    <row r="18" spans="1:17" ht="15.75" customHeight="1">
      <c r="A18" s="691"/>
      <c r="B18" s="690"/>
      <c r="C18" s="706" t="s">
        <v>243</v>
      </c>
      <c r="D18" s="1369" t="s">
        <v>2102</v>
      </c>
      <c r="E18" s="1369"/>
      <c r="F18" s="1369"/>
      <c r="G18" s="1369"/>
      <c r="H18" s="961"/>
      <c r="I18" s="961"/>
      <c r="J18" s="2174" t="str">
        <f>CONCATENATE("SUM ASSURED", " ",  "Rs.  ",(UMANG!I10))</f>
        <v>SUM ASSURED Rs.  200000</v>
      </c>
      <c r="K18" s="2174"/>
      <c r="L18" s="2174"/>
      <c r="M18" s="2174"/>
      <c r="N18" s="962"/>
      <c r="O18" s="690"/>
      <c r="P18" s="690"/>
      <c r="Q18" s="690"/>
    </row>
    <row r="19" spans="1:17" ht="13.5" customHeight="1">
      <c r="A19" s="691"/>
      <c r="B19" s="690"/>
      <c r="C19" s="706" t="s">
        <v>243</v>
      </c>
      <c r="D19" s="1369" t="s">
        <v>2101</v>
      </c>
      <c r="E19" s="1369"/>
      <c r="F19" s="1369"/>
      <c r="G19" s="1369"/>
      <c r="H19" s="1369"/>
      <c r="I19" s="1369"/>
      <c r="J19" s="2566" t="str">
        <f>IF(UMANG!G13="YES","TERM RIDER  Rs."," ")</f>
        <v/>
      </c>
      <c r="K19" s="2566"/>
      <c r="L19" s="2175" t="str">
        <f>IF(UMANG!G13="YES",(UMANG!I13)," ")</f>
        <v/>
      </c>
      <c r="M19" s="2175"/>
      <c r="N19" s="962"/>
      <c r="O19" s="690"/>
      <c r="P19" s="690"/>
      <c r="Q19" s="690"/>
    </row>
    <row r="20" spans="1:17" ht="15" customHeight="1">
      <c r="A20" s="691"/>
      <c r="B20" s="690"/>
      <c r="C20" s="706" t="s">
        <v>243</v>
      </c>
      <c r="D20" s="2578" t="str">
        <f>CONCATENATE("Provides for Guaranteed Annual Survival Benefits ", " ", " ","Rs.  ",(UMANG!I10*8/100))</f>
        <v>Provides for Guaranteed Annual Survival Benefits   Rs.  16000</v>
      </c>
      <c r="E20" s="2578"/>
      <c r="F20" s="2578"/>
      <c r="G20" s="2578"/>
      <c r="H20" s="2578"/>
      <c r="I20" s="2578"/>
      <c r="J20" s="2578"/>
      <c r="K20" s="963"/>
      <c r="L20" s="963"/>
      <c r="M20" s="963"/>
      <c r="N20" s="962"/>
      <c r="O20" s="690"/>
      <c r="P20" s="690"/>
      <c r="Q20" s="690"/>
    </row>
    <row r="21" spans="1:17" ht="15" customHeight="1">
      <c r="A21" s="691"/>
      <c r="B21" s="690"/>
      <c r="C21" s="706"/>
      <c r="D21" s="2578" t="str">
        <f ca="1">CONCATENATE("Every Year  from "," "," "," "," "," ",(P21)," "," "," ","TO"," "," "," ",(P22),".")</f>
        <v>Every Year  from      2048   TO   2116.</v>
      </c>
      <c r="E21" s="2578"/>
      <c r="F21" s="2578"/>
      <c r="G21" s="2578"/>
      <c r="H21" s="2578"/>
      <c r="I21" s="2578"/>
      <c r="J21" s="963"/>
      <c r="K21" s="2579" t="s">
        <v>2111</v>
      </c>
      <c r="L21" s="2579"/>
      <c r="M21" s="2579"/>
      <c r="N21" s="962"/>
      <c r="O21" s="690"/>
      <c r="P21" s="994">
        <f ca="1">((YEAR(NOW())))+UMANG!F11</f>
        <v>2048</v>
      </c>
      <c r="Q21" s="690"/>
    </row>
    <row r="22" spans="1:17" ht="15" customHeight="1">
      <c r="A22" s="691"/>
      <c r="B22" s="690"/>
      <c r="C22" s="706" t="s">
        <v>243</v>
      </c>
      <c r="D22" s="2581" t="str">
        <f ca="1">CONCATENATE("A Lumpsum Amount Payable  ", " ", "on "," ",(P22+1)," "," "," ","OR"," "," On death of                     the Policyholder during the term of policy.")</f>
        <v>A Lumpsum Amount Payable   on  2117   OR  On death of                     the Policyholder during the term of policy.</v>
      </c>
      <c r="E22" s="2581"/>
      <c r="F22" s="2581"/>
      <c r="G22" s="2581"/>
      <c r="H22" s="2581"/>
      <c r="I22" s="2581"/>
      <c r="J22" s="2581"/>
      <c r="K22" s="2579"/>
      <c r="L22" s="2579"/>
      <c r="M22" s="2579"/>
      <c r="N22" s="961"/>
      <c r="O22" s="690"/>
      <c r="P22" s="994">
        <f ca="1">((YEAR(NOW())))+UMANG!K15-1</f>
        <v>2116</v>
      </c>
      <c r="Q22" s="690"/>
    </row>
    <row r="23" spans="1:17" ht="15" customHeight="1">
      <c r="A23" s="691"/>
      <c r="B23" s="690"/>
      <c r="C23" s="706"/>
      <c r="D23" s="2581"/>
      <c r="E23" s="2581"/>
      <c r="F23" s="2581"/>
      <c r="G23" s="2581"/>
      <c r="H23" s="2581"/>
      <c r="I23" s="2581"/>
      <c r="J23" s="2581"/>
      <c r="K23" s="2580"/>
      <c r="L23" s="2580"/>
      <c r="M23" s="2580"/>
      <c r="N23" s="690"/>
      <c r="O23" s="690"/>
      <c r="P23" s="690"/>
      <c r="Q23" s="690"/>
    </row>
    <row r="24" spans="1:17" ht="15" customHeight="1">
      <c r="A24" s="691"/>
      <c r="B24" s="690"/>
      <c r="C24" s="706" t="s">
        <v>243</v>
      </c>
      <c r="D24" s="2578" t="s">
        <v>2100</v>
      </c>
      <c r="E24" s="2578"/>
      <c r="F24" s="2578"/>
      <c r="G24" s="2578"/>
      <c r="H24" s="2578"/>
      <c r="I24" s="2578"/>
      <c r="J24" s="2578"/>
      <c r="K24" s="1001" t="s">
        <v>196</v>
      </c>
      <c r="L24" s="2582">
        <f>UMANG!BB69</f>
        <v>6380</v>
      </c>
      <c r="M24" s="2583"/>
      <c r="N24" s="690"/>
      <c r="O24" s="690"/>
      <c r="P24" s="690"/>
      <c r="Q24" s="690"/>
    </row>
    <row r="25" spans="1:17" ht="18" customHeight="1">
      <c r="A25" s="691"/>
      <c r="B25" s="690"/>
      <c r="C25" s="706"/>
      <c r="D25" s="2578"/>
      <c r="E25" s="2578"/>
      <c r="F25" s="2578"/>
      <c r="G25" s="2578"/>
      <c r="H25" s="2578"/>
      <c r="I25" s="2578"/>
      <c r="J25" s="2578"/>
      <c r="K25" s="2584" t="s">
        <v>720</v>
      </c>
      <c r="L25" s="2582">
        <f>UMANG!BC69</f>
        <v>3223</v>
      </c>
      <c r="M25" s="2583"/>
      <c r="N25" s="690"/>
      <c r="O25" s="690"/>
      <c r="P25" s="690"/>
      <c r="Q25" s="690"/>
    </row>
    <row r="26" spans="1:17" ht="18" customHeight="1">
      <c r="A26" s="691"/>
      <c r="B26" s="690"/>
      <c r="C26" s="706" t="s">
        <v>243</v>
      </c>
      <c r="D26" s="1369" t="s">
        <v>905</v>
      </c>
      <c r="E26" s="1369"/>
      <c r="F26" s="1369"/>
      <c r="G26" s="1369"/>
      <c r="H26" s="1369"/>
      <c r="I26" s="1369"/>
      <c r="J26" s="1369"/>
      <c r="K26" s="2584"/>
      <c r="L26" s="2582"/>
      <c r="M26" s="2583"/>
      <c r="N26" s="690"/>
      <c r="O26" s="690"/>
      <c r="P26" s="690"/>
      <c r="Q26" s="690"/>
    </row>
    <row r="27" spans="1:17" ht="18" customHeight="1">
      <c r="A27" s="691"/>
      <c r="B27" s="690"/>
      <c r="C27" s="706" t="s">
        <v>243</v>
      </c>
      <c r="D27" s="1369" t="s">
        <v>2099</v>
      </c>
      <c r="E27" s="1369"/>
      <c r="F27" s="1369"/>
      <c r="G27" s="1369"/>
      <c r="H27" s="1369"/>
      <c r="I27" s="1369"/>
      <c r="J27" s="1369"/>
      <c r="K27" s="1001" t="s">
        <v>198</v>
      </c>
      <c r="L27" s="2582">
        <f>UMANG!BD69</f>
        <v>1628</v>
      </c>
      <c r="M27" s="2583"/>
      <c r="N27" s="690"/>
      <c r="O27" s="690"/>
      <c r="P27" s="690"/>
      <c r="Q27" s="690"/>
    </row>
    <row r="28" spans="1:17" ht="18" customHeight="1">
      <c r="A28" s="699"/>
      <c r="B28" s="690"/>
      <c r="C28" s="706" t="s">
        <v>243</v>
      </c>
      <c r="D28" s="1369" t="s">
        <v>2098</v>
      </c>
      <c r="E28" s="1369"/>
      <c r="F28" s="1369"/>
      <c r="G28" s="1369"/>
      <c r="H28" s="1369"/>
      <c r="I28" s="1369"/>
      <c r="J28" s="1369"/>
      <c r="K28" s="2584" t="s">
        <v>2097</v>
      </c>
      <c r="L28" s="2582">
        <f>UMANG!BE69</f>
        <v>542</v>
      </c>
      <c r="M28" s="2583"/>
      <c r="N28" s="690"/>
      <c r="O28" s="690"/>
      <c r="P28" s="690"/>
      <c r="Q28" s="690"/>
    </row>
    <row r="29" spans="1:17" ht="18.75" customHeight="1">
      <c r="A29" s="691"/>
      <c r="B29" s="690"/>
      <c r="C29" s="706" t="s">
        <v>243</v>
      </c>
      <c r="D29" s="1369" t="s">
        <v>2096</v>
      </c>
      <c r="E29" s="1369"/>
      <c r="F29" s="1369"/>
      <c r="G29" s="1369"/>
      <c r="H29" s="1369"/>
      <c r="I29" s="1369"/>
      <c r="J29" s="1369"/>
      <c r="K29" s="2584"/>
      <c r="L29" s="2582"/>
      <c r="M29" s="2583"/>
      <c r="N29" s="690"/>
      <c r="O29" s="690"/>
      <c r="P29" s="690"/>
      <c r="Q29" s="690"/>
    </row>
    <row r="30" spans="1:17" ht="15.75" customHeight="1">
      <c r="A30" s="698"/>
      <c r="B30" s="690"/>
      <c r="C30" s="706" t="s">
        <v>243</v>
      </c>
      <c r="D30" s="1369" t="s">
        <v>2095</v>
      </c>
      <c r="E30" s="1369"/>
      <c r="F30" s="1369"/>
      <c r="G30" s="1369"/>
      <c r="H30" s="1369"/>
      <c r="I30" s="1369"/>
      <c r="J30" s="1369"/>
      <c r="K30" s="993"/>
      <c r="L30" s="993"/>
      <c r="M30" s="690"/>
      <c r="N30" s="690"/>
      <c r="O30" s="690"/>
      <c r="P30" s="690"/>
      <c r="Q30" s="690"/>
    </row>
    <row r="31" spans="1:17" ht="15.75" customHeight="1">
      <c r="A31" s="691"/>
      <c r="B31" s="690"/>
      <c r="C31" s="964"/>
      <c r="D31" s="993"/>
      <c r="E31" s="993"/>
      <c r="F31" s="993"/>
      <c r="G31" s="993"/>
      <c r="H31" s="993"/>
      <c r="I31" s="993"/>
      <c r="J31" s="993"/>
      <c r="K31" s="993"/>
      <c r="L31" s="993"/>
      <c r="M31" s="690"/>
      <c r="N31" s="690"/>
      <c r="O31" s="690"/>
      <c r="P31" s="690"/>
      <c r="Q31" s="690"/>
    </row>
    <row r="32" spans="1:17" ht="18">
      <c r="A32" s="691"/>
      <c r="B32" s="690"/>
      <c r="C32" s="690"/>
      <c r="D32" s="993"/>
      <c r="E32" s="993"/>
      <c r="F32" s="993"/>
      <c r="G32" s="993"/>
      <c r="H32" s="2587" t="str">
        <f>IF(UMANG!G14="YES","NEW CRITICAL ILLNESS BENEFIT RIDER"," GUARANTEED SURVIVAL BENEFITS")</f>
        <v xml:space="preserve"> GUARANTEED SURVIVAL BENEFITS</v>
      </c>
      <c r="I32" s="2587"/>
      <c r="J32" s="2587"/>
      <c r="K32" s="2587"/>
      <c r="L32" s="2587"/>
      <c r="M32" s="690"/>
      <c r="N32" s="690"/>
      <c r="O32" s="690"/>
      <c r="P32" s="690"/>
      <c r="Q32" s="690"/>
    </row>
    <row r="33" spans="1:17" ht="15" customHeight="1">
      <c r="A33" s="691"/>
      <c r="B33" s="690"/>
      <c r="C33" s="690"/>
      <c r="D33" s="993"/>
      <c r="E33" s="993"/>
      <c r="F33" s="993"/>
      <c r="G33" s="993"/>
      <c r="H33" s="2587"/>
      <c r="I33" s="2587"/>
      <c r="J33" s="2587"/>
      <c r="K33" s="2587"/>
      <c r="L33" s="2587"/>
      <c r="M33" s="690"/>
      <c r="N33" s="690"/>
      <c r="O33" s="690"/>
      <c r="P33" s="690"/>
      <c r="Q33" s="690"/>
    </row>
    <row r="34" spans="1:17" ht="15.75" customHeight="1">
      <c r="A34" s="691"/>
      <c r="B34" s="690"/>
      <c r="C34" s="690"/>
      <c r="D34" s="993"/>
      <c r="E34" s="993"/>
      <c r="F34" s="993"/>
      <c r="G34" s="993"/>
      <c r="H34" s="2588" t="str">
        <f>IF(UMANG!G14="YES","♣   An Optional Rider Benefit Scheme."," ♣  Every year Guaranteed survival Benefits")</f>
        <v xml:space="preserve"> ♣  Every year Guaranteed survival Benefits</v>
      </c>
      <c r="I34" s="2588"/>
      <c r="J34" s="2588"/>
      <c r="K34" s="2588"/>
      <c r="L34" s="2588"/>
      <c r="M34" s="2588"/>
      <c r="N34" s="690"/>
      <c r="O34" s="691" t="str">
        <f>CONCATENATE("♣    An Additional Benefit of Rs."," ",(UMANG!I14)," ","for Critical Illness purpose along with  this policy for"," ",(UMANG!F11)," ","Years.")</f>
        <v>♣    An Additional Benefit of Rs.  for Critical Illness purpose along with  this policy for 30 Years.</v>
      </c>
      <c r="P34" s="690"/>
      <c r="Q34" s="690"/>
    </row>
    <row r="35" spans="1:17" ht="15.75" customHeight="1">
      <c r="A35" s="691"/>
      <c r="B35" s="690"/>
      <c r="C35" s="690"/>
      <c r="D35" s="993"/>
      <c r="E35" s="993"/>
      <c r="F35" s="993"/>
      <c r="G35" s="993"/>
      <c r="H35" s="2589" t="str">
        <f>IF(UMANG!G14="YES",O34,"starts at the end of Premium Paying Term.")</f>
        <v>starts at the end of Premium Paying Term.</v>
      </c>
      <c r="I35" s="2589"/>
      <c r="J35" s="2589"/>
      <c r="K35" s="2589"/>
      <c r="L35" s="2589"/>
      <c r="M35" s="2589"/>
      <c r="N35" s="690"/>
      <c r="O35" s="691" t="str">
        <f>CONCATENATE("♣   On first diagnosis of any one of the specified 15  Critical Illnesses , Critical Illness Benefit Rs."," ",(UMANG!I14)," ", "is paid only once during the policy term.")</f>
        <v>♣   On first diagnosis of any one of the specified 15  Critical Illnesses , Critical Illness Benefit Rs.  is paid only once during the policy term.</v>
      </c>
      <c r="P35" s="690"/>
      <c r="Q35" s="690"/>
    </row>
    <row r="36" spans="1:17" ht="15.75" customHeight="1">
      <c r="A36" s="691"/>
      <c r="B36" s="690"/>
      <c r="C36" s="690"/>
      <c r="D36" s="993"/>
      <c r="E36" s="993"/>
      <c r="F36" s="993"/>
      <c r="G36" s="993"/>
      <c r="H36" s="2589"/>
      <c r="I36" s="2589"/>
      <c r="J36" s="2589"/>
      <c r="K36" s="2589"/>
      <c r="L36" s="2589"/>
      <c r="M36" s="2589"/>
      <c r="N36" s="690"/>
      <c r="O36" s="690"/>
      <c r="P36" s="690"/>
      <c r="Q36" s="690"/>
    </row>
    <row r="37" spans="1:17" ht="15.75" customHeight="1">
      <c r="A37" s="691"/>
      <c r="B37" s="690"/>
      <c r="C37" s="690"/>
      <c r="D37" s="993"/>
      <c r="E37" s="993"/>
      <c r="F37" s="993"/>
      <c r="G37" s="993"/>
      <c r="H37" s="2589" t="str">
        <f>IF(UMANG!G14="YES",O35,"♣  Survival Benefit is Fixed and Guaranteed throughout Life Time.")</f>
        <v>♣  Survival Benefit is Fixed and Guaranteed throughout Life Time.</v>
      </c>
      <c r="I37" s="2589"/>
      <c r="J37" s="2589"/>
      <c r="K37" s="2589"/>
      <c r="L37" s="2589"/>
      <c r="M37" s="2589"/>
      <c r="N37" s="690"/>
      <c r="O37" s="690"/>
      <c r="P37" s="697"/>
      <c r="Q37" s="696"/>
    </row>
    <row r="38" spans="1:17" ht="15.75" customHeight="1">
      <c r="A38" s="691"/>
      <c r="B38" s="690"/>
      <c r="C38" s="690"/>
      <c r="D38" s="993"/>
      <c r="E38" s="993"/>
      <c r="F38" s="993"/>
      <c r="G38" s="993"/>
      <c r="H38" s="2589"/>
      <c r="I38" s="2589"/>
      <c r="J38" s="2589"/>
      <c r="K38" s="2589"/>
      <c r="L38" s="2589"/>
      <c r="M38" s="2589"/>
      <c r="N38" s="690"/>
      <c r="O38" s="690"/>
      <c r="P38" s="690"/>
      <c r="Q38" s="690"/>
    </row>
    <row r="39" spans="1:17" ht="15.75" customHeight="1">
      <c r="A39" s="691"/>
      <c r="B39" s="690"/>
      <c r="C39" s="690"/>
      <c r="D39" s="993"/>
      <c r="E39" s="993"/>
      <c r="F39" s="993"/>
      <c r="G39" s="993"/>
      <c r="H39" s="2589"/>
      <c r="I39" s="2589"/>
      <c r="J39" s="2589"/>
      <c r="K39" s="2589"/>
      <c r="L39" s="2589"/>
      <c r="M39" s="2589"/>
      <c r="N39" s="690"/>
      <c r="O39" s="690"/>
      <c r="P39" s="690"/>
      <c r="Q39" s="690"/>
    </row>
    <row r="40" spans="1:17" ht="15.75" customHeight="1">
      <c r="A40" s="691"/>
      <c r="B40" s="690"/>
      <c r="C40" s="690"/>
      <c r="D40" s="993"/>
      <c r="E40" s="993"/>
      <c r="F40" s="993"/>
      <c r="G40" s="993"/>
      <c r="H40" s="2588" t="str">
        <f>IF(UMANG!G14="YES","♣   This is an Additional policy  for Critical Illness purpose. Hence You have to pay an additional premium.","♣   100 %  TAX FREE  SURVIVAL BENEFIT.")</f>
        <v>♣   100 %  TAX FREE  SURVIVAL BENEFIT.</v>
      </c>
      <c r="I40" s="2588"/>
      <c r="J40" s="2588"/>
      <c r="K40" s="2588"/>
      <c r="L40" s="2588"/>
      <c r="M40" s="2588"/>
      <c r="N40" s="690"/>
      <c r="O40" s="690"/>
      <c r="P40" s="690"/>
      <c r="Q40" s="690"/>
    </row>
    <row r="41" spans="1:17" ht="15.75" customHeight="1">
      <c r="A41" s="691"/>
      <c r="B41" s="690"/>
      <c r="C41" s="690"/>
      <c r="D41" s="993"/>
      <c r="E41" s="993"/>
      <c r="F41" s="993"/>
      <c r="G41" s="993"/>
      <c r="H41" s="2588"/>
      <c r="I41" s="2588"/>
      <c r="J41" s="2588"/>
      <c r="K41" s="2588"/>
      <c r="L41" s="2588"/>
      <c r="M41" s="2588"/>
      <c r="N41" s="690"/>
      <c r="O41" s="690"/>
      <c r="P41" s="690"/>
      <c r="Q41" s="690"/>
    </row>
    <row r="42" spans="1:17" ht="15.75" customHeight="1">
      <c r="A42" s="691"/>
      <c r="B42" s="690"/>
      <c r="C42" s="690"/>
      <c r="D42" s="993"/>
      <c r="E42" s="993"/>
      <c r="F42" s="993"/>
      <c r="G42" s="993"/>
      <c r="H42" s="2590" t="str">
        <f>IF(UMANG!G14="YES","♣  Additional premium rates can be revised every 5 years."," ")</f>
        <v/>
      </c>
      <c r="I42" s="2590"/>
      <c r="J42" s="2590"/>
      <c r="K42" s="2590"/>
      <c r="L42" s="2590"/>
      <c r="M42" s="2590"/>
      <c r="N42" s="690"/>
      <c r="O42" s="690"/>
      <c r="P42" s="690"/>
      <c r="Q42" s="690"/>
    </row>
    <row r="43" spans="1:17" ht="15.75" customHeight="1">
      <c r="A43" s="691"/>
      <c r="B43" s="690"/>
      <c r="C43" s="690"/>
      <c r="D43" s="993"/>
      <c r="E43" s="993"/>
      <c r="F43" s="993"/>
      <c r="G43" s="993"/>
      <c r="H43" s="690"/>
      <c r="I43" s="690"/>
      <c r="J43" s="690"/>
      <c r="K43" s="690"/>
      <c r="L43" s="690"/>
      <c r="M43" s="690"/>
      <c r="N43" s="690"/>
      <c r="O43" s="690"/>
      <c r="P43" s="690"/>
      <c r="Q43" s="690"/>
    </row>
    <row r="44" spans="1:17" ht="15.75" customHeight="1">
      <c r="A44" s="691"/>
      <c r="B44" s="690"/>
      <c r="C44" s="690"/>
      <c r="D44" s="993"/>
      <c r="E44" s="993"/>
      <c r="F44" s="993"/>
      <c r="G44" s="993"/>
      <c r="H44" s="690"/>
      <c r="I44" s="690"/>
      <c r="J44" s="2118" t="s">
        <v>264</v>
      </c>
      <c r="K44" s="2118"/>
      <c r="L44" s="2118"/>
      <c r="M44" s="2118"/>
      <c r="N44" s="690"/>
      <c r="O44" s="690"/>
      <c r="P44" s="690"/>
      <c r="Q44" s="690"/>
    </row>
    <row r="45" spans="1:17" ht="15.75" customHeight="1">
      <c r="A45" s="691"/>
      <c r="B45" s="690"/>
      <c r="C45" s="690"/>
      <c r="D45" s="690"/>
      <c r="E45" s="695"/>
      <c r="F45" s="695"/>
      <c r="G45" s="992"/>
      <c r="H45" s="992"/>
      <c r="I45" s="992"/>
      <c r="J45" s="180"/>
      <c r="K45" s="108" t="s">
        <v>210</v>
      </c>
      <c r="L45" s="2591">
        <f>SUM(E72:E176)</f>
        <v>187398</v>
      </c>
      <c r="M45" s="2592"/>
      <c r="N45" s="690"/>
      <c r="O45" s="690"/>
      <c r="P45" s="690"/>
      <c r="Q45" s="690"/>
    </row>
    <row r="46" spans="1:17" ht="18.75" customHeight="1">
      <c r="A46" s="691"/>
      <c r="B46" s="690"/>
      <c r="C46" s="2593" t="s">
        <v>764</v>
      </c>
      <c r="D46" s="2593"/>
      <c r="E46" s="2593"/>
      <c r="F46" s="2593"/>
      <c r="G46" s="992"/>
      <c r="H46" s="992"/>
      <c r="I46" s="992"/>
      <c r="J46" s="2118" t="s">
        <v>263</v>
      </c>
      <c r="K46" s="2118"/>
      <c r="L46" s="2118"/>
      <c r="M46" s="2118"/>
      <c r="N46" s="690"/>
      <c r="O46" s="690"/>
      <c r="P46" s="690"/>
      <c r="Q46" s="690"/>
    </row>
    <row r="47" spans="1:17" ht="18">
      <c r="A47" s="691"/>
      <c r="B47" s="690"/>
      <c r="C47" s="690"/>
      <c r="D47" s="690"/>
      <c r="E47" s="695"/>
      <c r="F47" s="695"/>
      <c r="G47" s="690"/>
      <c r="H47" s="1002"/>
      <c r="I47" s="965"/>
      <c r="J47" s="180"/>
      <c r="K47" s="179" t="s">
        <v>210</v>
      </c>
      <c r="L47" s="2591">
        <f>SUM(L72:L176)</f>
        <v>3410000</v>
      </c>
      <c r="M47" s="2591"/>
      <c r="N47" s="690"/>
      <c r="O47" s="690"/>
      <c r="P47" s="690"/>
      <c r="Q47" s="690"/>
    </row>
    <row r="48" spans="1:17" ht="17.25" customHeight="1">
      <c r="A48" s="691"/>
      <c r="B48" s="690"/>
      <c r="C48" s="2585" t="str">
        <f>'VASANTHAM HOME'!E9</f>
        <v>ENTER YOUR NAME</v>
      </c>
      <c r="D48" s="2585"/>
      <c r="E48" s="2585"/>
      <c r="F48" s="2585"/>
      <c r="G48" s="690"/>
      <c r="H48" s="1002"/>
      <c r="I48" s="965"/>
      <c r="J48" s="1685" t="s">
        <v>262</v>
      </c>
      <c r="K48" s="1685"/>
      <c r="L48" s="1685"/>
      <c r="M48" s="1685"/>
      <c r="N48" s="690"/>
      <c r="O48" s="690"/>
      <c r="P48" s="690"/>
      <c r="Q48" s="690"/>
    </row>
    <row r="49" spans="1:17" ht="18">
      <c r="A49" s="691"/>
      <c r="B49" s="690"/>
      <c r="C49" s="2585" t="str">
        <f>'VASANTHAM HOME'!E10</f>
        <v>DESIGNATION</v>
      </c>
      <c r="D49" s="2585"/>
      <c r="E49" s="2585"/>
      <c r="F49" s="2585"/>
      <c r="G49" s="690"/>
      <c r="H49" s="1002"/>
      <c r="I49" s="965"/>
      <c r="J49" s="106"/>
      <c r="K49" s="178" t="s">
        <v>210</v>
      </c>
      <c r="L49" s="1687">
        <f>L47-L45</f>
        <v>3222602</v>
      </c>
      <c r="M49" s="2093"/>
      <c r="N49" s="690"/>
      <c r="O49" s="690"/>
      <c r="P49" s="690"/>
      <c r="Q49" s="690"/>
    </row>
    <row r="50" spans="1:17" ht="17.25" customHeight="1">
      <c r="A50" s="691"/>
      <c r="B50" s="690"/>
      <c r="C50" s="2585" t="str">
        <f>'VASANTHAM HOME'!E11</f>
        <v>ADDRESS 1</v>
      </c>
      <c r="D50" s="2585"/>
      <c r="E50" s="2585"/>
      <c r="F50" s="2585"/>
      <c r="G50" s="690"/>
      <c r="H50" s="1002"/>
      <c r="I50" s="965"/>
      <c r="J50" s="965"/>
      <c r="K50" s="965"/>
      <c r="L50" s="965"/>
      <c r="M50" s="690"/>
      <c r="N50" s="690"/>
      <c r="O50" s="690"/>
      <c r="P50" s="690"/>
      <c r="Q50" s="690"/>
    </row>
    <row r="51" spans="1:17" ht="17.25" customHeight="1">
      <c r="A51" s="691"/>
      <c r="B51" s="690"/>
      <c r="C51" s="2585" t="str">
        <f>'VASANTHAM HOME'!E12</f>
        <v>ADDRESS 2</v>
      </c>
      <c r="D51" s="2585"/>
      <c r="E51" s="2585"/>
      <c r="F51" s="2585"/>
      <c r="G51" s="690"/>
      <c r="H51" s="1002"/>
      <c r="I51" s="965"/>
      <c r="J51" s="2586" t="s">
        <v>2094</v>
      </c>
      <c r="K51" s="2586"/>
      <c r="L51" s="2586"/>
      <c r="M51" s="2586"/>
      <c r="N51" s="690"/>
      <c r="O51" s="690"/>
      <c r="P51" s="690"/>
      <c r="Q51" s="690"/>
    </row>
    <row r="52" spans="1:17" ht="15.75" customHeight="1">
      <c r="A52" s="691"/>
      <c r="B52" s="690"/>
      <c r="C52" s="2585" t="str">
        <f>'VASANTHAM HOME'!E13</f>
        <v>ADDRESS 3</v>
      </c>
      <c r="D52" s="2585"/>
      <c r="E52" s="2585"/>
      <c r="F52" s="2585"/>
      <c r="G52" s="690"/>
      <c r="H52" s="1002"/>
      <c r="I52" s="965"/>
      <c r="J52" s="965"/>
      <c r="K52" s="2595" t="str">
        <f ca="1">(((DAY(NOW())&amp;"/")&amp;MONTH(NOW()))&amp;"/")&amp;((YEAR(NOW())))+UMANG!K15</f>
        <v>9/5/2117</v>
      </c>
      <c r="L52" s="2595"/>
      <c r="M52" s="991"/>
      <c r="N52" s="690"/>
      <c r="O52" s="690"/>
      <c r="P52" s="690"/>
      <c r="Q52" s="690"/>
    </row>
    <row r="53" spans="1:17" ht="15.75" customHeight="1">
      <c r="A53" s="691"/>
      <c r="B53" s="690"/>
      <c r="C53" s="2585" t="str">
        <f>'VASANTHAM HOME'!E14</f>
        <v>MOBILE NO :</v>
      </c>
      <c r="D53" s="2585"/>
      <c r="E53" s="2585"/>
      <c r="F53" s="2585"/>
      <c r="G53" s="690"/>
      <c r="H53" s="1002"/>
      <c r="I53" s="965"/>
      <c r="J53" s="2604" t="s">
        <v>775</v>
      </c>
      <c r="K53" s="2604"/>
      <c r="L53" s="2594">
        <f>UMANG!CD175</f>
        <v>200000</v>
      </c>
      <c r="M53" s="2595"/>
      <c r="N53" s="690"/>
      <c r="O53" s="690"/>
      <c r="P53" s="690"/>
      <c r="Q53" s="690"/>
    </row>
    <row r="54" spans="1:17" ht="18" customHeight="1">
      <c r="A54" s="691"/>
      <c r="B54" s="690"/>
      <c r="C54" s="2585" t="str">
        <f>'VASANTHAM HOME'!E15</f>
        <v>E.MAIL ID :</v>
      </c>
      <c r="D54" s="2585"/>
      <c r="E54" s="2585"/>
      <c r="F54" s="2585"/>
      <c r="G54" s="690"/>
      <c r="H54" s="1002"/>
      <c r="I54" s="965"/>
      <c r="J54" s="2604" t="s">
        <v>2093</v>
      </c>
      <c r="K54" s="2604"/>
      <c r="L54" s="2594">
        <f>UMANG!CE175</f>
        <v>1380000</v>
      </c>
      <c r="M54" s="2595"/>
      <c r="N54" s="690"/>
      <c r="O54" s="690"/>
      <c r="P54" s="690"/>
      <c r="Q54" s="690"/>
    </row>
    <row r="55" spans="1:17" ht="16.5" thickBot="1">
      <c r="A55" s="691"/>
      <c r="B55" s="690"/>
      <c r="C55" s="690"/>
      <c r="D55" s="690"/>
      <c r="E55" s="690"/>
      <c r="F55" s="690"/>
      <c r="G55" s="690"/>
      <c r="H55" s="690"/>
      <c r="I55" s="690"/>
      <c r="J55" s="2605" t="s">
        <v>2092</v>
      </c>
      <c r="K55" s="2605"/>
      <c r="L55" s="2594">
        <f>UMANG!CF175</f>
        <v>710000</v>
      </c>
      <c r="M55" s="2595"/>
      <c r="N55" s="690"/>
      <c r="O55" s="690"/>
      <c r="P55" s="690"/>
      <c r="Q55" s="690"/>
    </row>
    <row r="56" spans="1:17" ht="15" customHeight="1" thickTop="1">
      <c r="A56" s="691"/>
      <c r="B56" s="2603" t="s">
        <v>2107</v>
      </c>
      <c r="C56" s="2603"/>
      <c r="D56" s="2603"/>
      <c r="E56" s="2603"/>
      <c r="F56" s="2603"/>
      <c r="G56" s="2603"/>
      <c r="H56" s="2603"/>
      <c r="I56" s="2603"/>
      <c r="J56" s="2598" t="s">
        <v>238</v>
      </c>
      <c r="K56" s="2598"/>
      <c r="L56" s="2596">
        <f>L53+L54+L55</f>
        <v>2290000</v>
      </c>
      <c r="M56" s="2597"/>
      <c r="N56" s="690"/>
      <c r="O56" s="690"/>
      <c r="P56" s="690"/>
      <c r="Q56" s="690"/>
    </row>
    <row r="57" spans="1:17" ht="15">
      <c r="A57" s="691"/>
      <c r="B57" s="690"/>
      <c r="C57" s="990"/>
      <c r="D57" s="990"/>
      <c r="E57" s="990"/>
      <c r="F57" s="990"/>
      <c r="G57" s="990"/>
      <c r="H57" s="990"/>
      <c r="I57" s="990"/>
      <c r="J57" s="690"/>
      <c r="K57" s="690"/>
      <c r="L57" s="690"/>
      <c r="M57" s="690"/>
      <c r="N57" s="690"/>
      <c r="O57" s="690"/>
      <c r="P57" s="690"/>
      <c r="Q57" s="690"/>
    </row>
    <row r="58" spans="1:17" ht="15">
      <c r="A58" s="691"/>
      <c r="B58" s="690"/>
      <c r="C58" s="690"/>
      <c r="D58" s="690"/>
      <c r="E58" s="690"/>
      <c r="F58" s="690"/>
      <c r="G58" s="690"/>
      <c r="H58" s="690"/>
      <c r="I58" s="690"/>
      <c r="J58" s="690"/>
      <c r="K58" s="690"/>
      <c r="L58" s="690"/>
      <c r="M58" s="690"/>
      <c r="N58" s="690"/>
      <c r="O58" s="690"/>
      <c r="P58" s="690"/>
      <c r="Q58" s="690"/>
    </row>
    <row r="59" spans="1:17" ht="15.75">
      <c r="A59" s="691"/>
      <c r="B59" s="690"/>
      <c r="C59" s="690"/>
      <c r="D59" s="690"/>
      <c r="E59" s="690"/>
      <c r="F59" s="690"/>
      <c r="G59" s="690"/>
      <c r="H59" s="690"/>
      <c r="I59" s="690"/>
      <c r="J59" s="2602" t="str">
        <f>'VASANTHAM HOME'!E9</f>
        <v>ENTER YOUR NAME</v>
      </c>
      <c r="K59" s="2602"/>
      <c r="L59" s="2602"/>
      <c r="M59" s="2602"/>
      <c r="N59" s="690"/>
      <c r="O59" s="690"/>
      <c r="P59" s="690"/>
      <c r="Q59" s="690"/>
    </row>
    <row r="60" spans="1:17" ht="15.75">
      <c r="A60" s="691"/>
      <c r="B60" s="690"/>
      <c r="C60" s="690"/>
      <c r="D60" s="690"/>
      <c r="E60" s="690"/>
      <c r="F60" s="690"/>
      <c r="G60" s="690"/>
      <c r="H60" s="690"/>
      <c r="I60" s="690"/>
      <c r="J60" s="2602" t="str">
        <f>'VASANTHAM HOME'!E10</f>
        <v>DESIGNATION</v>
      </c>
      <c r="K60" s="2602"/>
      <c r="L60" s="2602"/>
      <c r="M60" s="2602"/>
      <c r="N60" s="690"/>
      <c r="O60" s="690"/>
      <c r="P60" s="690"/>
      <c r="Q60" s="690"/>
    </row>
    <row r="61" spans="1:17" ht="15.75">
      <c r="A61" s="691"/>
      <c r="B61" s="690"/>
      <c r="C61" s="690"/>
      <c r="D61" s="690"/>
      <c r="E61" s="690"/>
      <c r="F61" s="690"/>
      <c r="G61" s="690"/>
      <c r="H61" s="690"/>
      <c r="I61" s="690"/>
      <c r="J61" s="2602" t="str">
        <f>'VASANTHAM HOME'!E11</f>
        <v>ADDRESS 1</v>
      </c>
      <c r="K61" s="2602"/>
      <c r="L61" s="2602"/>
      <c r="M61" s="2602"/>
      <c r="N61" s="690"/>
      <c r="O61" s="690"/>
      <c r="P61" s="690"/>
      <c r="Q61" s="690"/>
    </row>
    <row r="62" spans="1:17" ht="15.75">
      <c r="A62" s="691"/>
      <c r="B62" s="690"/>
      <c r="C62" s="690"/>
      <c r="D62" s="690"/>
      <c r="E62" s="690"/>
      <c r="F62" s="690"/>
      <c r="G62" s="690"/>
      <c r="H62" s="690"/>
      <c r="I62" s="690"/>
      <c r="J62" s="2602" t="str">
        <f>'VASANTHAM HOME'!E12</f>
        <v>ADDRESS 2</v>
      </c>
      <c r="K62" s="2602"/>
      <c r="L62" s="2602"/>
      <c r="M62" s="2602"/>
      <c r="N62" s="690"/>
      <c r="O62" s="690"/>
      <c r="P62" s="690"/>
      <c r="Q62" s="690"/>
    </row>
    <row r="63" spans="1:17" ht="15.75">
      <c r="A63" s="691"/>
      <c r="B63" s="690"/>
      <c r="C63" s="690"/>
      <c r="D63" s="690"/>
      <c r="E63" s="690"/>
      <c r="F63" s="690"/>
      <c r="G63" s="690"/>
      <c r="H63" s="690"/>
      <c r="I63" s="690"/>
      <c r="J63" s="2602" t="str">
        <f>'VASANTHAM HOME'!E13</f>
        <v>ADDRESS 3</v>
      </c>
      <c r="K63" s="2602"/>
      <c r="L63" s="2602"/>
      <c r="M63" s="2602"/>
      <c r="N63" s="690"/>
      <c r="O63" s="690"/>
      <c r="P63" s="690"/>
      <c r="Q63" s="690"/>
    </row>
    <row r="64" spans="1:17" ht="15.75">
      <c r="A64" s="691"/>
      <c r="B64" s="690"/>
      <c r="C64" s="690"/>
      <c r="D64" s="690"/>
      <c r="E64" s="690"/>
      <c r="F64" s="690"/>
      <c r="G64" s="690"/>
      <c r="H64" s="690"/>
      <c r="I64" s="690"/>
      <c r="J64" s="2602" t="str">
        <f>'VASANTHAM HOME'!E14</f>
        <v>MOBILE NO :</v>
      </c>
      <c r="K64" s="2602"/>
      <c r="L64" s="2602"/>
      <c r="M64" s="2602"/>
      <c r="N64" s="690"/>
      <c r="O64" s="690"/>
      <c r="P64" s="690"/>
      <c r="Q64" s="690"/>
    </row>
    <row r="65" spans="1:17" ht="15.75">
      <c r="A65" s="691"/>
      <c r="B65" s="690"/>
      <c r="C65" s="690"/>
      <c r="D65" s="690"/>
      <c r="E65" s="690"/>
      <c r="F65" s="690"/>
      <c r="G65" s="690"/>
      <c r="H65" s="690"/>
      <c r="I65" s="690"/>
      <c r="J65" s="2602" t="str">
        <f>'VASANTHAM HOME'!E15</f>
        <v>E.MAIL ID :</v>
      </c>
      <c r="K65" s="2602"/>
      <c r="L65" s="2602"/>
      <c r="M65" s="2602"/>
      <c r="N65" s="690"/>
      <c r="O65" s="690"/>
      <c r="P65" s="690"/>
      <c r="Q65" s="690"/>
    </row>
    <row r="66" spans="1:17" ht="15">
      <c r="A66" s="691"/>
      <c r="B66" s="690"/>
      <c r="C66" s="690"/>
      <c r="D66" s="690"/>
      <c r="E66" s="690"/>
      <c r="F66" s="690"/>
      <c r="G66" s="690"/>
      <c r="H66" s="690"/>
      <c r="I66" s="690"/>
      <c r="J66" s="694"/>
      <c r="K66" s="694"/>
      <c r="L66" s="694"/>
      <c r="M66" s="694"/>
      <c r="N66" s="690"/>
      <c r="O66" s="690"/>
      <c r="P66" s="690"/>
      <c r="Q66" s="690"/>
    </row>
    <row r="67" spans="1:17" ht="15" customHeight="1">
      <c r="A67" s="691"/>
      <c r="B67" s="690"/>
      <c r="C67" s="690"/>
      <c r="D67" s="2606" t="str">
        <f>CONCATENATE( " INSURANCE BENEFITS   FOR", " "," "," ",(UMANG!F9),(UMANG!G9))</f>
        <v xml:space="preserve"> INSURANCE BENEFITS   FOR   SRI.M.RAJAYOGAM</v>
      </c>
      <c r="E67" s="2606"/>
      <c r="F67" s="2606"/>
      <c r="G67" s="2606"/>
      <c r="H67" s="2606"/>
      <c r="I67" s="2606"/>
      <c r="J67" s="2606"/>
      <c r="K67" s="2606"/>
      <c r="L67" s="690"/>
      <c r="M67" s="690"/>
      <c r="N67" s="690"/>
      <c r="O67" s="690"/>
      <c r="P67" s="690"/>
      <c r="Q67" s="690"/>
    </row>
    <row r="68" spans="1:17" ht="15" customHeight="1">
      <c r="A68" s="691">
        <f>100-UMANG!F10+1</f>
        <v>100</v>
      </c>
      <c r="B68" s="690"/>
      <c r="C68" s="690"/>
      <c r="D68" s="2606"/>
      <c r="E68" s="2606"/>
      <c r="F68" s="2606"/>
      <c r="G68" s="2606"/>
      <c r="H68" s="2606"/>
      <c r="I68" s="2606"/>
      <c r="J68" s="2606"/>
      <c r="K68" s="2606"/>
      <c r="L68" s="690"/>
      <c r="M68" s="690"/>
      <c r="N68" s="690"/>
      <c r="O68" s="690"/>
      <c r="P68" s="690"/>
      <c r="Q68" s="690"/>
    </row>
    <row r="69" spans="1:17" ht="9.75" customHeight="1">
      <c r="A69" s="691"/>
      <c r="B69" s="690"/>
      <c r="C69" s="690"/>
      <c r="D69" s="690"/>
      <c r="E69" s="690"/>
      <c r="F69" s="690"/>
      <c r="G69" s="690"/>
      <c r="H69" s="690"/>
      <c r="I69" s="690"/>
      <c r="J69" s="690"/>
      <c r="K69" s="690"/>
      <c r="L69" s="690"/>
      <c r="M69" s="690"/>
      <c r="N69" s="690"/>
      <c r="O69" s="690"/>
      <c r="P69" s="690"/>
      <c r="Q69" s="690"/>
    </row>
    <row r="70" spans="1:17" ht="17.25" customHeight="1">
      <c r="A70" s="691"/>
      <c r="B70" s="690"/>
      <c r="C70" s="2611" t="s">
        <v>17</v>
      </c>
      <c r="D70" s="2612" t="s">
        <v>223</v>
      </c>
      <c r="E70" s="2612" t="s">
        <v>906</v>
      </c>
      <c r="F70" s="2601" t="s">
        <v>221</v>
      </c>
      <c r="G70" s="2601"/>
      <c r="H70" s="2601"/>
      <c r="I70" s="2601"/>
      <c r="J70" s="2613" t="s">
        <v>220</v>
      </c>
      <c r="K70" s="2601" t="s">
        <v>219</v>
      </c>
      <c r="L70" s="2599" t="s">
        <v>2091</v>
      </c>
      <c r="M70" s="2600"/>
      <c r="N70" s="690"/>
      <c r="O70" s="690"/>
      <c r="P70" s="690"/>
      <c r="Q70" s="690"/>
    </row>
    <row r="71" spans="1:17" ht="21" customHeight="1">
      <c r="A71" s="691"/>
      <c r="B71" s="690"/>
      <c r="C71" s="1620"/>
      <c r="D71" s="1724"/>
      <c r="E71" s="1724"/>
      <c r="F71" s="2601" t="s">
        <v>217</v>
      </c>
      <c r="G71" s="2601"/>
      <c r="H71" s="2601" t="s">
        <v>216</v>
      </c>
      <c r="I71" s="2601"/>
      <c r="J71" s="1625"/>
      <c r="K71" s="2601"/>
      <c r="L71" s="2599"/>
      <c r="M71" s="2600"/>
      <c r="N71" s="690"/>
      <c r="O71" s="690"/>
      <c r="P71" s="690"/>
      <c r="Q71" s="690"/>
    </row>
    <row r="72" spans="1:17" ht="14.45" customHeight="1">
      <c r="A72" s="989">
        <v>1</v>
      </c>
      <c r="B72" s="690"/>
      <c r="C72" s="999">
        <f>IF(A72&lt;=A$68,UMANG!F10," ")</f>
        <v>1</v>
      </c>
      <c r="D72" s="999" t="str">
        <f ca="1">IF(A72&lt;=A$68,(((DAY(NOW())&amp;"/")&amp;MONTH(NOW()))&amp;"/")&amp;((YEAR(NOW())))," ")</f>
        <v>9/5/2018</v>
      </c>
      <c r="E72" s="999">
        <f>UMANG!BL73</f>
        <v>6380</v>
      </c>
      <c r="F72" s="2607">
        <f>IF(UMANG!F10&lt;8,UMANG!AA69,IF(C72&lt;100,UMANG!CN73," "))</f>
        <v>6105</v>
      </c>
      <c r="G72" s="2608"/>
      <c r="H72" s="2607">
        <f>IF(UMANG!F10&lt;8,UMANG!AA69,IF(C72&lt;100,UMANG!CO73," "))</f>
        <v>6105</v>
      </c>
      <c r="I72" s="2608"/>
      <c r="J72" s="1000">
        <v>0</v>
      </c>
      <c r="K72" s="1000">
        <v>0</v>
      </c>
      <c r="L72" s="2609"/>
      <c r="M72" s="2610"/>
      <c r="N72" s="690"/>
      <c r="O72" s="690"/>
      <c r="P72" s="690"/>
      <c r="Q72" s="690"/>
    </row>
    <row r="73" spans="1:17" ht="14.45" customHeight="1">
      <c r="A73" s="989">
        <v>2</v>
      </c>
      <c r="B73" s="690"/>
      <c r="C73" s="999">
        <f>IF(A73&lt;=A$68,UMANG!F$10+A72," ")</f>
        <v>2</v>
      </c>
      <c r="D73" s="999" t="str">
        <f t="shared" ref="D73:D116" ca="1" si="0">IF(A73&lt;=A$68,(((DAY(NOW())&amp;"/")&amp;MONTH(NOW()))&amp;"/")&amp;((YEAR(NOW())))+A72," ")</f>
        <v>9/5/2019</v>
      </c>
      <c r="E73" s="999">
        <f>UMANG!BL74</f>
        <v>6242</v>
      </c>
      <c r="F73" s="2607">
        <f>IF(UMANG!F10&lt;8,UMANG!AA69*2,IF(C73&lt;100,UMANG!CN74," "))</f>
        <v>12210</v>
      </c>
      <c r="G73" s="2608"/>
      <c r="H73" s="2607">
        <f>IF(UMANG!F10&lt;8,UMANG!AA69*2,IF(C73&lt;100,UMANG!CO74," "))</f>
        <v>12210</v>
      </c>
      <c r="I73" s="2608"/>
      <c r="J73" s="1000">
        <v>0</v>
      </c>
      <c r="K73" s="1000">
        <v>0</v>
      </c>
      <c r="L73" s="2609"/>
      <c r="M73" s="2610"/>
      <c r="N73" s="690"/>
      <c r="O73" s="690"/>
      <c r="P73" s="690"/>
      <c r="Q73" s="690"/>
    </row>
    <row r="74" spans="1:17" ht="14.45" customHeight="1">
      <c r="A74" s="989">
        <v>3</v>
      </c>
      <c r="B74" s="690"/>
      <c r="C74" s="999">
        <f>IF(A74&lt;=A$68,UMANG!F$10+A73," ")</f>
        <v>3</v>
      </c>
      <c r="D74" s="999" t="str">
        <f t="shared" ca="1" si="0"/>
        <v>9/5/2020</v>
      </c>
      <c r="E74" s="999">
        <f>UMANG!BL75</f>
        <v>6242</v>
      </c>
      <c r="F74" s="2607">
        <f>IF(C74&lt;100,UMANG!CN75," ")</f>
        <v>229400</v>
      </c>
      <c r="G74" s="2608"/>
      <c r="H74" s="2607">
        <f>IF(C74&lt;100,UMANG!CO75," ")</f>
        <v>229400</v>
      </c>
      <c r="I74" s="2608"/>
      <c r="J74" s="1000">
        <v>0</v>
      </c>
      <c r="K74" s="1000">
        <v>0</v>
      </c>
      <c r="L74" s="2609"/>
      <c r="M74" s="2610"/>
      <c r="N74" s="690"/>
      <c r="O74" s="690"/>
      <c r="P74" s="690"/>
      <c r="Q74" s="690"/>
    </row>
    <row r="75" spans="1:17" ht="14.45" customHeight="1">
      <c r="A75" s="989">
        <v>4</v>
      </c>
      <c r="B75" s="690"/>
      <c r="C75" s="999">
        <f>IF(A75&lt;=A$68,UMANG!F$10+A74," ")</f>
        <v>4</v>
      </c>
      <c r="D75" s="999" t="str">
        <f t="shared" ca="1" si="0"/>
        <v>9/5/2021</v>
      </c>
      <c r="E75" s="999">
        <f>UMANG!BL76</f>
        <v>6242</v>
      </c>
      <c r="F75" s="2607">
        <f>IF(C75&lt;100,UMANG!CN76," ")</f>
        <v>239200</v>
      </c>
      <c r="G75" s="2608"/>
      <c r="H75" s="2607">
        <f>IF(C75&lt;100,UMANG!CO76," ")</f>
        <v>239200</v>
      </c>
      <c r="I75" s="2608"/>
      <c r="J75" s="1000">
        <f>IF(C75&lt;100,UMANG!BI75," ")</f>
        <v>7222</v>
      </c>
      <c r="K75" s="1000">
        <f>IF(C75&lt;100,UMANG!BJ75," ")</f>
        <v>6500</v>
      </c>
      <c r="L75" s="2609"/>
      <c r="M75" s="2610"/>
      <c r="N75" s="690"/>
      <c r="O75" s="690"/>
      <c r="P75" s="690"/>
      <c r="Q75" s="690"/>
    </row>
    <row r="76" spans="1:17" ht="14.45" customHeight="1">
      <c r="A76" s="989">
        <v>5</v>
      </c>
      <c r="B76" s="690"/>
      <c r="C76" s="999">
        <f>IF(A76&lt;=A$68,UMANG!F$10+A75," ")</f>
        <v>5</v>
      </c>
      <c r="D76" s="999" t="str">
        <f t="shared" ca="1" si="0"/>
        <v>9/5/2022</v>
      </c>
      <c r="E76" s="999">
        <f>UMANG!BL77</f>
        <v>6242</v>
      </c>
      <c r="F76" s="2607">
        <f>IF(C76&lt;100,UMANG!CN77," ")</f>
        <v>249000</v>
      </c>
      <c r="G76" s="2608"/>
      <c r="H76" s="2607">
        <f>IF(C76&lt;100,UMANG!CO77," ")</f>
        <v>249000</v>
      </c>
      <c r="I76" s="2608"/>
      <c r="J76" s="1000">
        <f>IF(C76&lt;100,UMANG!BI76," ")</f>
        <v>13261</v>
      </c>
      <c r="K76" s="1000">
        <f>IF(C76&lt;100,UMANG!BJ76," ")</f>
        <v>11900</v>
      </c>
      <c r="L76" s="2609"/>
      <c r="M76" s="2610"/>
      <c r="N76" s="690"/>
      <c r="O76" s="690"/>
      <c r="P76" s="690"/>
      <c r="Q76" s="690"/>
    </row>
    <row r="77" spans="1:17" ht="14.45" customHeight="1">
      <c r="A77" s="989">
        <v>6</v>
      </c>
      <c r="B77" s="690"/>
      <c r="C77" s="999">
        <f>IF(A77&lt;=A$68,UMANG!F$10+A76," ")</f>
        <v>6</v>
      </c>
      <c r="D77" s="999" t="str">
        <f t="shared" ca="1" si="0"/>
        <v>9/5/2023</v>
      </c>
      <c r="E77" s="999">
        <f>UMANG!BL78</f>
        <v>6242</v>
      </c>
      <c r="F77" s="2607">
        <f>IF(C77&lt;100,UMANG!CN78," ")</f>
        <v>258800</v>
      </c>
      <c r="G77" s="2608"/>
      <c r="H77" s="2607">
        <f>IF(C77&lt;100,UMANG!CO78," ")</f>
        <v>258800</v>
      </c>
      <c r="I77" s="2608"/>
      <c r="J77" s="1000">
        <f>IF(C77&lt;100,UMANG!BI77," ")</f>
        <v>16743</v>
      </c>
      <c r="K77" s="1000">
        <f>IF(C77&lt;100,UMANG!BJ77," ")</f>
        <v>15100</v>
      </c>
      <c r="L77" s="2609"/>
      <c r="M77" s="2610"/>
      <c r="N77" s="690"/>
      <c r="O77" s="690"/>
      <c r="P77" s="690"/>
      <c r="Q77" s="690"/>
    </row>
    <row r="78" spans="1:17" ht="14.45" customHeight="1">
      <c r="A78" s="989">
        <v>7</v>
      </c>
      <c r="B78" s="690"/>
      <c r="C78" s="999">
        <f>IF(A78&lt;=A$68,UMANG!F$10+A77," ")</f>
        <v>7</v>
      </c>
      <c r="D78" s="999" t="str">
        <f t="shared" ca="1" si="0"/>
        <v>9/5/2024</v>
      </c>
      <c r="E78" s="999">
        <f>UMANG!BL79</f>
        <v>6242</v>
      </c>
      <c r="F78" s="2607">
        <f>IF(C78&lt;100,UMANG!CN79," ")</f>
        <v>268600</v>
      </c>
      <c r="G78" s="2608"/>
      <c r="H78" s="2607">
        <f>IF(C78&lt;100,UMANG!CO79," ")</f>
        <v>268600</v>
      </c>
      <c r="I78" s="2608"/>
      <c r="J78" s="1000">
        <f>IF(C78&lt;100,UMANG!BI78," ")</f>
        <v>20291</v>
      </c>
      <c r="K78" s="1000">
        <f>IF(C78&lt;100,UMANG!BJ78," ")</f>
        <v>18300</v>
      </c>
      <c r="L78" s="2609"/>
      <c r="M78" s="2610"/>
      <c r="N78" s="690"/>
      <c r="O78" s="690"/>
      <c r="P78" s="690"/>
      <c r="Q78" s="690"/>
    </row>
    <row r="79" spans="1:17" ht="14.45" customHeight="1">
      <c r="A79" s="989">
        <v>8</v>
      </c>
      <c r="B79" s="690"/>
      <c r="C79" s="999">
        <f>IF(A79&lt;=A$68,UMANG!F$10+A78," ")</f>
        <v>8</v>
      </c>
      <c r="D79" s="999" t="str">
        <f t="shared" ca="1" si="0"/>
        <v>9/5/2025</v>
      </c>
      <c r="E79" s="999">
        <f>UMANG!BL80</f>
        <v>6242</v>
      </c>
      <c r="F79" s="2607">
        <f>IF(C79&lt;100,UMANG!CN80," ")</f>
        <v>278400</v>
      </c>
      <c r="G79" s="2608"/>
      <c r="H79" s="2607">
        <f>IF(C79&lt;100,UMANG!CO80," ")</f>
        <v>278400</v>
      </c>
      <c r="I79" s="2608"/>
      <c r="J79" s="1000">
        <f>IF(C79&lt;100,UMANG!BI79," ")</f>
        <v>23906</v>
      </c>
      <c r="K79" s="1000">
        <f>IF(C79&lt;100,UMANG!BJ79," ")</f>
        <v>21500</v>
      </c>
      <c r="L79" s="2609"/>
      <c r="M79" s="2610"/>
      <c r="N79" s="690"/>
      <c r="O79" s="690"/>
      <c r="P79" s="690"/>
      <c r="Q79" s="690"/>
    </row>
    <row r="80" spans="1:17" ht="14.45" customHeight="1">
      <c r="A80" s="989">
        <v>9</v>
      </c>
      <c r="B80" s="690"/>
      <c r="C80" s="999">
        <f>IF(A80&lt;=A$68,UMANG!F$10+A79," ")</f>
        <v>9</v>
      </c>
      <c r="D80" s="999" t="str">
        <f t="shared" ca="1" si="0"/>
        <v>9/5/2026</v>
      </c>
      <c r="E80" s="999">
        <f>UMANG!BL81</f>
        <v>6242</v>
      </c>
      <c r="F80" s="2607">
        <f>IF(C80&lt;100,UMANG!CN81," ")</f>
        <v>288200</v>
      </c>
      <c r="G80" s="2608"/>
      <c r="H80" s="2607">
        <f>IF(C80&lt;100,UMANG!CO81," ")</f>
        <v>288200</v>
      </c>
      <c r="I80" s="2608"/>
      <c r="J80" s="1000">
        <f>IF(C80&lt;100,UMANG!BI80," ")</f>
        <v>27802</v>
      </c>
      <c r="K80" s="1000">
        <f>IF(C80&lt;100,UMANG!BJ80," ")</f>
        <v>25000</v>
      </c>
      <c r="L80" s="2609"/>
      <c r="M80" s="2610"/>
      <c r="N80" s="690"/>
      <c r="O80" s="690"/>
      <c r="P80" s="690"/>
      <c r="Q80" s="690"/>
    </row>
    <row r="81" spans="1:17" ht="14.45" customHeight="1">
      <c r="A81" s="989">
        <v>10</v>
      </c>
      <c r="B81" s="690"/>
      <c r="C81" s="999">
        <f>IF(A81&lt;=A$68,UMANG!F$10+A80," ")</f>
        <v>10</v>
      </c>
      <c r="D81" s="999" t="str">
        <f t="shared" ca="1" si="0"/>
        <v>9/5/2027</v>
      </c>
      <c r="E81" s="999">
        <f>UMANG!BL82</f>
        <v>6242</v>
      </c>
      <c r="F81" s="2607">
        <f>IF(C81&lt;100,UMANG!CN82," ")</f>
        <v>298000</v>
      </c>
      <c r="G81" s="2608"/>
      <c r="H81" s="2607">
        <f>IF(C81&lt;100,UMANG!CO82," ")</f>
        <v>298000</v>
      </c>
      <c r="I81" s="2608"/>
      <c r="J81" s="1000">
        <f>IF(C81&lt;100,UMANG!BI81," ")</f>
        <v>33004</v>
      </c>
      <c r="K81" s="1000">
        <f>IF(C81&lt;100,UMANG!BJ81," ")</f>
        <v>29700</v>
      </c>
      <c r="L81" s="2609"/>
      <c r="M81" s="2610"/>
      <c r="N81" s="690"/>
      <c r="O81" s="690"/>
      <c r="P81" s="690"/>
      <c r="Q81" s="690"/>
    </row>
    <row r="82" spans="1:17" ht="14.45" customHeight="1">
      <c r="A82" s="989">
        <v>11</v>
      </c>
      <c r="B82" s="690"/>
      <c r="C82" s="999">
        <f>IF(A82&lt;=A$68,UMANG!F$10+A81," ")</f>
        <v>11</v>
      </c>
      <c r="D82" s="999" t="str">
        <f t="shared" ca="1" si="0"/>
        <v>9/5/2028</v>
      </c>
      <c r="E82" s="999">
        <f>UMANG!BL83</f>
        <v>6242</v>
      </c>
      <c r="F82" s="2607">
        <f>IF(C82&lt;100,UMANG!CN83," ")</f>
        <v>307800</v>
      </c>
      <c r="G82" s="2608"/>
      <c r="H82" s="2607">
        <f>IF(C82&lt;100,UMANG!CO83," ")</f>
        <v>307800</v>
      </c>
      <c r="I82" s="2608"/>
      <c r="J82" s="1000">
        <f>IF(C82&lt;100,UMANG!BI82," ")</f>
        <v>39339</v>
      </c>
      <c r="K82" s="1000">
        <f>IF(C82&lt;100,UMANG!BJ82," ")</f>
        <v>35400</v>
      </c>
      <c r="L82" s="2609"/>
      <c r="M82" s="2610"/>
      <c r="N82" s="690"/>
      <c r="O82" s="690"/>
      <c r="P82" s="690"/>
      <c r="Q82" s="690"/>
    </row>
    <row r="83" spans="1:17" ht="14.45" customHeight="1">
      <c r="A83" s="989">
        <v>12</v>
      </c>
      <c r="B83" s="690"/>
      <c r="C83" s="999">
        <f>IF(A83&lt;=A$68,UMANG!F$10+A82," ")</f>
        <v>12</v>
      </c>
      <c r="D83" s="999" t="str">
        <f t="shared" ca="1" si="0"/>
        <v>9/5/2029</v>
      </c>
      <c r="E83" s="999">
        <f>UMANG!BL84</f>
        <v>6242</v>
      </c>
      <c r="F83" s="2607">
        <f>IF(C83&lt;100,UMANG!CN84," ")</f>
        <v>317600</v>
      </c>
      <c r="G83" s="2608"/>
      <c r="H83" s="2607">
        <f>IF(C83&lt;100,UMANG!CO84," ")</f>
        <v>317600</v>
      </c>
      <c r="I83" s="2608"/>
      <c r="J83" s="1000">
        <f>IF(C83&lt;100,UMANG!BI83," ")</f>
        <v>46443</v>
      </c>
      <c r="K83" s="1000">
        <f>IF(C83&lt;100,UMANG!BJ83," ")</f>
        <v>41800</v>
      </c>
      <c r="L83" s="2609"/>
      <c r="M83" s="2610"/>
      <c r="N83" s="690"/>
      <c r="O83" s="690"/>
      <c r="P83" s="690"/>
      <c r="Q83" s="690"/>
    </row>
    <row r="84" spans="1:17" ht="14.45" customHeight="1">
      <c r="A84" s="989">
        <v>13</v>
      </c>
      <c r="B84" s="690"/>
      <c r="C84" s="999">
        <f>IF(A84&lt;=A$68,UMANG!F$10+A83," ")</f>
        <v>13</v>
      </c>
      <c r="D84" s="999" t="str">
        <f t="shared" ca="1" si="0"/>
        <v>9/5/2030</v>
      </c>
      <c r="E84" s="999">
        <f>UMANG!BL85</f>
        <v>6242</v>
      </c>
      <c r="F84" s="2607">
        <f>IF(C84&lt;100,UMANG!CN85," ")</f>
        <v>327400</v>
      </c>
      <c r="G84" s="2608"/>
      <c r="H84" s="2607">
        <f>IF(C84&lt;100,UMANG!CO85," ")</f>
        <v>327400</v>
      </c>
      <c r="I84" s="2608"/>
      <c r="J84" s="1000">
        <f>IF(C84&lt;100,UMANG!BI84," ")</f>
        <v>54360</v>
      </c>
      <c r="K84" s="1000">
        <f>IF(C84&lt;100,UMANG!BJ84," ")</f>
        <v>48900</v>
      </c>
      <c r="L84" s="2609"/>
      <c r="M84" s="2610"/>
      <c r="N84" s="690"/>
      <c r="O84" s="690"/>
      <c r="P84" s="690"/>
      <c r="Q84" s="690"/>
    </row>
    <row r="85" spans="1:17" ht="14.45" customHeight="1">
      <c r="A85" s="989">
        <v>14</v>
      </c>
      <c r="B85" s="690"/>
      <c r="C85" s="999">
        <f>IF(A85&lt;=A$68,UMANG!F$10+A84," ")</f>
        <v>14</v>
      </c>
      <c r="D85" s="999" t="str">
        <f t="shared" ca="1" si="0"/>
        <v>9/5/2031</v>
      </c>
      <c r="E85" s="999">
        <f>UMANG!BL86</f>
        <v>6242</v>
      </c>
      <c r="F85" s="2607">
        <f>IF(C85&lt;100,UMANG!CN86," ")</f>
        <v>337200</v>
      </c>
      <c r="G85" s="2608"/>
      <c r="H85" s="2607">
        <f>IF(C85&lt;100,UMANG!CO86," ")</f>
        <v>337200</v>
      </c>
      <c r="I85" s="2608"/>
      <c r="J85" s="1000">
        <f>IF(C85&lt;100,UMANG!BI85," ")</f>
        <v>63192</v>
      </c>
      <c r="K85" s="1000">
        <f>IF(C85&lt;100,UMANG!BJ85," ")</f>
        <v>56900</v>
      </c>
      <c r="L85" s="2609"/>
      <c r="M85" s="2610"/>
      <c r="N85" s="690"/>
      <c r="O85" s="690"/>
      <c r="P85" s="690"/>
      <c r="Q85" s="690"/>
    </row>
    <row r="86" spans="1:17" ht="14.45" customHeight="1">
      <c r="A86" s="989">
        <v>15</v>
      </c>
      <c r="B86" s="690"/>
      <c r="C86" s="999">
        <f>IF(A86&lt;=A$68,UMANG!F$10+A85," ")</f>
        <v>15</v>
      </c>
      <c r="D86" s="999" t="str">
        <f t="shared" ca="1" si="0"/>
        <v>9/5/2032</v>
      </c>
      <c r="E86" s="999">
        <f>UMANG!BL87</f>
        <v>6242</v>
      </c>
      <c r="F86" s="2607">
        <f>IF(C86&lt;100,UMANG!CN87," ")</f>
        <v>349000</v>
      </c>
      <c r="G86" s="2608"/>
      <c r="H86" s="2607">
        <f>IF(C86&lt;100,UMANG!CO87," ")</f>
        <v>349000</v>
      </c>
      <c r="I86" s="2608"/>
      <c r="J86" s="1000">
        <f>IF(C86&lt;100,UMANG!BI86," ")</f>
        <v>73010</v>
      </c>
      <c r="K86" s="1000">
        <f>IF(C86&lt;100,UMANG!BJ86," ")</f>
        <v>65700</v>
      </c>
      <c r="L86" s="2609"/>
      <c r="M86" s="2610"/>
      <c r="N86" s="690"/>
      <c r="O86" s="690"/>
      <c r="P86" s="690"/>
      <c r="Q86" s="690"/>
    </row>
    <row r="87" spans="1:17" ht="14.45" customHeight="1">
      <c r="A87" s="989">
        <v>16</v>
      </c>
      <c r="B87" s="690"/>
      <c r="C87" s="999">
        <f>IF(A87&lt;=A$68,UMANG!F$10+A86," ")</f>
        <v>16</v>
      </c>
      <c r="D87" s="999" t="str">
        <f t="shared" ca="1" si="0"/>
        <v>9/5/2033</v>
      </c>
      <c r="E87" s="999">
        <f>UMANG!BL88</f>
        <v>6242</v>
      </c>
      <c r="F87" s="2607">
        <f>IF(C87&lt;100,UMANG!CN88," ")</f>
        <v>359400</v>
      </c>
      <c r="G87" s="2608"/>
      <c r="H87" s="2607">
        <f>IF(C87&lt;100,UMANG!CO88," ")</f>
        <v>359400</v>
      </c>
      <c r="I87" s="2608"/>
      <c r="J87" s="1000">
        <f>IF(C87&lt;100,UMANG!BI87," ")</f>
        <v>83931</v>
      </c>
      <c r="K87" s="1000">
        <f>IF(C87&lt;100,UMANG!BJ87," ")</f>
        <v>75500</v>
      </c>
      <c r="L87" s="2609" t="str">
        <f>IF(UMANG!BK88=0," ",UMANG!BK88)</f>
        <v/>
      </c>
      <c r="M87" s="2610"/>
      <c r="N87" s="690"/>
      <c r="O87" s="690"/>
      <c r="P87" s="690"/>
      <c r="Q87" s="690"/>
    </row>
    <row r="88" spans="1:17" ht="14.45" customHeight="1">
      <c r="A88" s="989">
        <v>17</v>
      </c>
      <c r="B88" s="690"/>
      <c r="C88" s="999">
        <f>IF(A88&lt;=A$68,UMANG!F$10+A87," ")</f>
        <v>17</v>
      </c>
      <c r="D88" s="999" t="str">
        <f t="shared" ca="1" si="0"/>
        <v>9/5/2034</v>
      </c>
      <c r="E88" s="999">
        <f>UMANG!BL89</f>
        <v>6242</v>
      </c>
      <c r="F88" s="2607">
        <f>IF(C88&lt;100,UMANG!CN89," ")</f>
        <v>369600</v>
      </c>
      <c r="G88" s="2608"/>
      <c r="H88" s="2607">
        <f>IF(C88&lt;100,UMANG!CO89," ")</f>
        <v>369600</v>
      </c>
      <c r="I88" s="2608"/>
      <c r="J88" s="1000">
        <f>IF(C88&lt;100,UMANG!BI88," ")</f>
        <v>96007</v>
      </c>
      <c r="K88" s="1000">
        <f>IF(C88&lt;100,UMANG!BJ88," ")</f>
        <v>86400</v>
      </c>
      <c r="L88" s="2609" t="str">
        <f>IF(UMANG!BK89=0," ",UMANG!BK89)</f>
        <v/>
      </c>
      <c r="M88" s="2610"/>
      <c r="N88" s="690"/>
      <c r="O88" s="690"/>
      <c r="P88" s="690"/>
      <c r="Q88" s="691"/>
    </row>
    <row r="89" spans="1:17" ht="14.45" customHeight="1">
      <c r="A89" s="989">
        <v>18</v>
      </c>
      <c r="B89" s="690"/>
      <c r="C89" s="999">
        <f>IF(A89&lt;=A$68,UMANG!F$10+A88," ")</f>
        <v>18</v>
      </c>
      <c r="D89" s="999" t="str">
        <f t="shared" ca="1" si="0"/>
        <v>9/5/2035</v>
      </c>
      <c r="E89" s="999">
        <f>UMANG!BL90</f>
        <v>6242</v>
      </c>
      <c r="F89" s="2607">
        <f>IF(C89&lt;100,UMANG!CN90," ")</f>
        <v>380000</v>
      </c>
      <c r="G89" s="2608"/>
      <c r="H89" s="2607">
        <f>IF(C89&lt;100,UMANG!CO90," ")</f>
        <v>380000</v>
      </c>
      <c r="I89" s="2608"/>
      <c r="J89" s="1000">
        <f>IF(C89&lt;100,UMANG!BI89," ")</f>
        <v>109426</v>
      </c>
      <c r="K89" s="1000">
        <f>IF(C89&lt;100,UMANG!BJ89," ")</f>
        <v>98500</v>
      </c>
      <c r="L89" s="2609" t="str">
        <f>IF(UMANG!BK90=0," ",UMANG!BK90)</f>
        <v/>
      </c>
      <c r="M89" s="2610"/>
      <c r="N89" s="690"/>
      <c r="O89" s="690"/>
      <c r="P89" s="690"/>
      <c r="Q89" s="691"/>
    </row>
    <row r="90" spans="1:17" ht="14.45" customHeight="1">
      <c r="A90" s="989">
        <v>19</v>
      </c>
      <c r="B90" s="690"/>
      <c r="C90" s="999">
        <f>IF(A90&lt;=A$68,UMANG!F$10+A89," ")</f>
        <v>19</v>
      </c>
      <c r="D90" s="999" t="str">
        <f t="shared" ca="1" si="0"/>
        <v>9/5/2036</v>
      </c>
      <c r="E90" s="999">
        <f>UMANG!BL91</f>
        <v>6242</v>
      </c>
      <c r="F90" s="2607">
        <f>IF(C90&lt;100,UMANG!CN91," ")</f>
        <v>391200</v>
      </c>
      <c r="G90" s="2608"/>
      <c r="H90" s="2607">
        <f>IF(C90&lt;100,UMANG!CO91," ")</f>
        <v>391200</v>
      </c>
      <c r="I90" s="2608"/>
      <c r="J90" s="1000">
        <f>IF(C90&lt;100,UMANG!BI90," ")</f>
        <v>124251</v>
      </c>
      <c r="K90" s="1000">
        <f>IF(C90&lt;100,UMANG!BJ90," ")</f>
        <v>111800</v>
      </c>
      <c r="L90" s="2609" t="str">
        <f>IF(UMANG!BK91=0," ",UMANG!BK91)</f>
        <v/>
      </c>
      <c r="M90" s="2610"/>
      <c r="N90" s="690"/>
      <c r="O90" s="690"/>
      <c r="P90" s="690"/>
      <c r="Q90" s="691"/>
    </row>
    <row r="91" spans="1:17" ht="14.45" customHeight="1">
      <c r="A91" s="989">
        <v>20</v>
      </c>
      <c r="B91" s="690"/>
      <c r="C91" s="999">
        <f>IF(A91&lt;=A$68,UMANG!F$10+A90," ")</f>
        <v>20</v>
      </c>
      <c r="D91" s="999" t="str">
        <f t="shared" ca="1" si="0"/>
        <v>9/5/2037</v>
      </c>
      <c r="E91" s="999">
        <f>UMANG!BL92</f>
        <v>6242</v>
      </c>
      <c r="F91" s="2607">
        <f>IF(C91&lt;100,UMANG!CN92," ")</f>
        <v>403000</v>
      </c>
      <c r="G91" s="2608"/>
      <c r="H91" s="2607">
        <f>IF(C91&lt;100,UMANG!CO92," ")</f>
        <v>403000</v>
      </c>
      <c r="I91" s="2608"/>
      <c r="J91" s="1000">
        <f>IF(C91&lt;100,UMANG!BI91," ")</f>
        <v>140696</v>
      </c>
      <c r="K91" s="1000">
        <f>IF(C91&lt;100,UMANG!BJ91," ")</f>
        <v>126600</v>
      </c>
      <c r="L91" s="2609" t="str">
        <f>IF(UMANG!BK92=0," ",UMANG!BK92)</f>
        <v/>
      </c>
      <c r="M91" s="2610"/>
      <c r="N91" s="690"/>
      <c r="O91" s="690"/>
      <c r="P91" s="690"/>
      <c r="Q91" s="691"/>
    </row>
    <row r="92" spans="1:17" ht="14.45" customHeight="1">
      <c r="A92" s="989">
        <v>21</v>
      </c>
      <c r="B92" s="690"/>
      <c r="C92" s="999">
        <f>IF(A92&lt;=A$68,UMANG!F$10+A91," ")</f>
        <v>21</v>
      </c>
      <c r="D92" s="999" t="str">
        <f t="shared" ca="1" si="0"/>
        <v>9/5/2038</v>
      </c>
      <c r="E92" s="999">
        <f>UMANG!BL93</f>
        <v>6242</v>
      </c>
      <c r="F92" s="2607">
        <f>IF(C92&lt;100,UMANG!CN93," ")</f>
        <v>415800</v>
      </c>
      <c r="G92" s="2608"/>
      <c r="H92" s="2607">
        <f>IF(C92&lt;100,UMANG!CO93," ")</f>
        <v>415800</v>
      </c>
      <c r="I92" s="2608"/>
      <c r="J92" s="1000">
        <f>IF(C92&lt;100,UMANG!BI92," ")</f>
        <v>158870</v>
      </c>
      <c r="K92" s="1000">
        <f>IF(C92&lt;100,UMANG!BJ92," ")</f>
        <v>143000</v>
      </c>
      <c r="L92" s="2609" t="str">
        <f>IF(UMANG!BK93=0," ",UMANG!BK93)</f>
        <v/>
      </c>
      <c r="M92" s="2610"/>
      <c r="N92" s="690"/>
      <c r="O92" s="690"/>
      <c r="P92" s="690"/>
      <c r="Q92" s="691"/>
    </row>
    <row r="93" spans="1:17" ht="14.45" customHeight="1">
      <c r="A93" s="989">
        <v>22</v>
      </c>
      <c r="B93" s="690"/>
      <c r="C93" s="999">
        <f>IF(A93&lt;=A$68,UMANG!F$10+A92," ")</f>
        <v>22</v>
      </c>
      <c r="D93" s="999" t="str">
        <f t="shared" ca="1" si="0"/>
        <v>9/5/2039</v>
      </c>
      <c r="E93" s="999">
        <f>UMANG!BL94</f>
        <v>6242</v>
      </c>
      <c r="F93" s="2607">
        <f>IF(C93&lt;100,UMANG!CN94," ")</f>
        <v>430600</v>
      </c>
      <c r="G93" s="2608"/>
      <c r="H93" s="2607">
        <f>IF(C93&lt;100,UMANG!CO94," ")</f>
        <v>430600</v>
      </c>
      <c r="I93" s="2608"/>
      <c r="J93" s="1000">
        <f>IF(C93&lt;100,UMANG!BI93," ")</f>
        <v>176289</v>
      </c>
      <c r="K93" s="1000">
        <f>IF(C93&lt;100,UMANG!BJ93," ")</f>
        <v>158700</v>
      </c>
      <c r="L93" s="2609" t="str">
        <f>IF(UMANG!BK94=0," ",UMANG!BK94)</f>
        <v/>
      </c>
      <c r="M93" s="2610"/>
      <c r="N93" s="690"/>
      <c r="O93" s="690"/>
      <c r="P93" s="690"/>
      <c r="Q93" s="691"/>
    </row>
    <row r="94" spans="1:17" ht="14.45" customHeight="1">
      <c r="A94" s="989">
        <v>23</v>
      </c>
      <c r="B94" s="690"/>
      <c r="C94" s="999">
        <f>IF(A94&lt;=A$68,UMANG!F$10+A93," ")</f>
        <v>23</v>
      </c>
      <c r="D94" s="999" t="str">
        <f t="shared" ca="1" si="0"/>
        <v>9/5/2040</v>
      </c>
      <c r="E94" s="999">
        <f>UMANG!BL95</f>
        <v>6242</v>
      </c>
      <c r="F94" s="2607">
        <f>IF(C94&lt;100,UMANG!CN95," ")</f>
        <v>450400</v>
      </c>
      <c r="G94" s="2608"/>
      <c r="H94" s="2607">
        <f>IF(C94&lt;100,UMANG!CO95," ")</f>
        <v>450400</v>
      </c>
      <c r="I94" s="2608"/>
      <c r="J94" s="1000">
        <f>IF(C94&lt;100,UMANG!BI94," ")</f>
        <v>195805</v>
      </c>
      <c r="K94" s="1000">
        <f>IF(C94&lt;100,UMANG!BJ94," ")</f>
        <v>176200</v>
      </c>
      <c r="L94" s="2609" t="str">
        <f>IF(UMANG!BK95=0," ",UMANG!BK95)</f>
        <v/>
      </c>
      <c r="M94" s="2610"/>
      <c r="N94" s="690"/>
      <c r="O94" s="690"/>
      <c r="P94" s="690"/>
      <c r="Q94" s="691"/>
    </row>
    <row r="95" spans="1:17" ht="14.45" customHeight="1">
      <c r="A95" s="989">
        <v>24</v>
      </c>
      <c r="B95" s="690"/>
      <c r="C95" s="999">
        <f>IF(A95&lt;=A$68,UMANG!F$10+A94," ")</f>
        <v>24</v>
      </c>
      <c r="D95" s="999" t="str">
        <f t="shared" ca="1" si="0"/>
        <v>9/5/2041</v>
      </c>
      <c r="E95" s="999">
        <f>UMANG!BL96</f>
        <v>6242</v>
      </c>
      <c r="F95" s="2607">
        <f>IF(C95&lt;100,UMANG!CN96," ")</f>
        <v>470200</v>
      </c>
      <c r="G95" s="2608"/>
      <c r="H95" s="2607">
        <f>IF(C95&lt;100,UMANG!CO96," ")</f>
        <v>470200</v>
      </c>
      <c r="I95" s="2608"/>
      <c r="J95" s="1000">
        <f>IF(C95&lt;100,UMANG!BI95," ")</f>
        <v>217772</v>
      </c>
      <c r="K95" s="1000">
        <f>IF(C95&lt;100,UMANG!BJ95," ")</f>
        <v>196000</v>
      </c>
      <c r="L95" s="2609" t="str">
        <f>IF(UMANG!BK96=0," ",UMANG!BK96)</f>
        <v/>
      </c>
      <c r="M95" s="2610"/>
      <c r="N95" s="690"/>
      <c r="O95" s="690"/>
      <c r="P95" s="690"/>
      <c r="Q95" s="691"/>
    </row>
    <row r="96" spans="1:17" ht="14.45" customHeight="1">
      <c r="A96" s="989">
        <v>25</v>
      </c>
      <c r="B96" s="690"/>
      <c r="C96" s="999">
        <f>IF(A96&lt;=A$68,UMANG!F$10+A95," ")</f>
        <v>25</v>
      </c>
      <c r="D96" s="999" t="str">
        <f t="shared" ca="1" si="0"/>
        <v>9/5/2042</v>
      </c>
      <c r="E96" s="999">
        <f>UMANG!BL97</f>
        <v>6242</v>
      </c>
      <c r="F96" s="2607">
        <f>IF(C96&lt;100,UMANG!CN97," ")</f>
        <v>490000</v>
      </c>
      <c r="G96" s="2608"/>
      <c r="H96" s="2607">
        <f>IF(C96&lt;100,UMANG!CO97," ")</f>
        <v>490000</v>
      </c>
      <c r="I96" s="2608"/>
      <c r="J96" s="1000">
        <f>IF(C96&lt;100,UMANG!BI96," ")</f>
        <v>242692</v>
      </c>
      <c r="K96" s="1000">
        <f>IF(C96&lt;100,UMANG!BJ96," ")</f>
        <v>218400</v>
      </c>
      <c r="L96" s="2609" t="str">
        <f>IF(UMANG!BK97=0," ",UMANG!BK97)</f>
        <v/>
      </c>
      <c r="M96" s="2610"/>
      <c r="N96" s="690"/>
      <c r="O96" s="690"/>
      <c r="P96" s="690"/>
      <c r="Q96" s="691"/>
    </row>
    <row r="97" spans="1:17" ht="14.45" customHeight="1">
      <c r="A97" s="989">
        <v>26</v>
      </c>
      <c r="B97" s="690"/>
      <c r="C97" s="999">
        <f>IF(A97&lt;=A$68,UMANG!F$10+A96," ")</f>
        <v>26</v>
      </c>
      <c r="D97" s="999" t="str">
        <f t="shared" ca="1" si="0"/>
        <v>9/5/2043</v>
      </c>
      <c r="E97" s="999">
        <f>UMANG!BL98</f>
        <v>6242</v>
      </c>
      <c r="F97" s="2607">
        <f>IF(C97&lt;100,UMANG!CN98," ")</f>
        <v>509800</v>
      </c>
      <c r="G97" s="2608"/>
      <c r="H97" s="2607">
        <f>IF(C97&lt;100,UMANG!CO98," ")</f>
        <v>509800</v>
      </c>
      <c r="I97" s="2608"/>
      <c r="J97" s="1000">
        <f>IF(C97&lt;100,UMANG!BI97," ")</f>
        <v>271041</v>
      </c>
      <c r="K97" s="1000">
        <f>IF(C97&lt;100,UMANG!BJ97," ")</f>
        <v>243900</v>
      </c>
      <c r="L97" s="2609" t="str">
        <f>IF(UMANG!BK98=0," ",UMANG!BK98)</f>
        <v/>
      </c>
      <c r="M97" s="2610"/>
      <c r="N97" s="690"/>
      <c r="O97" s="690"/>
      <c r="P97" s="690"/>
      <c r="Q97" s="690"/>
    </row>
    <row r="98" spans="1:17" ht="14.45" customHeight="1">
      <c r="A98" s="989">
        <v>27</v>
      </c>
      <c r="B98" s="690"/>
      <c r="C98" s="999">
        <f>IF(A98&lt;=A$68,UMANG!F$10+A97," ")</f>
        <v>27</v>
      </c>
      <c r="D98" s="999" t="str">
        <f t="shared" ca="1" si="0"/>
        <v>9/5/2044</v>
      </c>
      <c r="E98" s="999">
        <f>UMANG!BL99</f>
        <v>6242</v>
      </c>
      <c r="F98" s="2607">
        <f>IF(C98&lt;100,UMANG!CN99," ")</f>
        <v>531600</v>
      </c>
      <c r="G98" s="2608"/>
      <c r="H98" s="2607">
        <f>IF(C98&lt;100,UMANG!CO99," ")</f>
        <v>531600</v>
      </c>
      <c r="I98" s="2608"/>
      <c r="J98" s="1000">
        <f>IF(C98&lt;100,UMANG!BI98," ")</f>
        <v>300721</v>
      </c>
      <c r="K98" s="1000">
        <f>IF(C98&lt;100,UMANG!BJ98," ")</f>
        <v>270600</v>
      </c>
      <c r="L98" s="2609" t="str">
        <f>IF(UMANG!BK99=0," ",UMANG!BK99)</f>
        <v/>
      </c>
      <c r="M98" s="2610"/>
      <c r="N98" s="690"/>
      <c r="O98" s="690"/>
      <c r="P98" s="690"/>
      <c r="Q98" s="690"/>
    </row>
    <row r="99" spans="1:17" ht="14.45" customHeight="1">
      <c r="A99" s="989">
        <v>28</v>
      </c>
      <c r="B99" s="690"/>
      <c r="C99" s="999">
        <f>IF(A99&lt;=A$68,UMANG!F$10+A98," ")</f>
        <v>28</v>
      </c>
      <c r="D99" s="999" t="str">
        <f t="shared" ca="1" si="0"/>
        <v>9/5/2045</v>
      </c>
      <c r="E99" s="999">
        <f>UMANG!BL100</f>
        <v>6242</v>
      </c>
      <c r="F99" s="2607">
        <f>IF(C99&lt;100,UMANG!CN100," ")</f>
        <v>553400</v>
      </c>
      <c r="G99" s="2608"/>
      <c r="H99" s="2607">
        <f>IF(C99&lt;100,UMANG!CO100," ")</f>
        <v>553400</v>
      </c>
      <c r="I99" s="2608"/>
      <c r="J99" s="1000">
        <f>IF(C99&lt;100,UMANG!BI99," ")</f>
        <v>322424</v>
      </c>
      <c r="K99" s="1000">
        <f>IF(C99&lt;100,UMANG!BJ99," ")</f>
        <v>290200</v>
      </c>
      <c r="L99" s="2609" t="str">
        <f>IF(UMANG!BK100=0," ",UMANG!BK100)</f>
        <v/>
      </c>
      <c r="M99" s="2610"/>
      <c r="N99" s="690"/>
      <c r="O99" s="690"/>
      <c r="P99" s="690"/>
      <c r="Q99" s="690"/>
    </row>
    <row r="100" spans="1:17" ht="14.45" customHeight="1">
      <c r="A100" s="989">
        <v>29</v>
      </c>
      <c r="B100" s="690"/>
      <c r="C100" s="999">
        <f>IF(A100&lt;=A$68,UMANG!F$10+A99," ")</f>
        <v>29</v>
      </c>
      <c r="D100" s="999" t="str">
        <f t="shared" ca="1" si="0"/>
        <v>9/5/2046</v>
      </c>
      <c r="E100" s="999">
        <f>UMANG!BL101</f>
        <v>6242</v>
      </c>
      <c r="F100" s="2607">
        <f>IF(C100&lt;100,UMANG!CN101," ")</f>
        <v>575200</v>
      </c>
      <c r="G100" s="2608"/>
      <c r="H100" s="2607">
        <f>IF(C100&lt;100,UMANG!CO101," ")</f>
        <v>575200</v>
      </c>
      <c r="I100" s="2608"/>
      <c r="J100" s="1000">
        <f>IF(C100&lt;100,UMANG!BI100," ")</f>
        <v>345616</v>
      </c>
      <c r="K100" s="1000">
        <f>IF(C100&lt;100,UMANG!BJ100," ")</f>
        <v>311100</v>
      </c>
      <c r="L100" s="2609" t="str">
        <f>IF(UMANG!BK101=0," ",UMANG!BK101)</f>
        <v/>
      </c>
      <c r="M100" s="2610"/>
      <c r="N100" s="690"/>
      <c r="O100" s="690"/>
      <c r="P100" s="690"/>
      <c r="Q100" s="690"/>
    </row>
    <row r="101" spans="1:17" ht="14.45" customHeight="1">
      <c r="A101" s="989">
        <v>30</v>
      </c>
      <c r="B101" s="690"/>
      <c r="C101" s="999">
        <f>IF(A101&lt;=A$68,UMANG!F$10+A100," ")</f>
        <v>30</v>
      </c>
      <c r="D101" s="999" t="str">
        <f t="shared" ca="1" si="0"/>
        <v>9/5/2047</v>
      </c>
      <c r="E101" s="999">
        <f>UMANG!BL102</f>
        <v>6242</v>
      </c>
      <c r="F101" s="2607">
        <f>IF(C101&lt;100,UMANG!CN102," ")</f>
        <v>604000</v>
      </c>
      <c r="G101" s="2608"/>
      <c r="H101" s="2607">
        <f>IF(C101&lt;100,UMANG!CO102," ")</f>
        <v>604000</v>
      </c>
      <c r="I101" s="2608"/>
      <c r="J101" s="1000">
        <f>IF(C101&lt;100,UMANG!BI101," ")</f>
        <v>394299</v>
      </c>
      <c r="K101" s="1000">
        <f>IF(C101&lt;100,UMANG!BJ101," ")</f>
        <v>354900</v>
      </c>
      <c r="L101" s="2609">
        <f>IF(UMANG!BK102=0," ",UMANG!BK102)</f>
        <v>16000</v>
      </c>
      <c r="M101" s="2610"/>
      <c r="N101" s="690"/>
      <c r="O101" s="690"/>
      <c r="P101" s="690"/>
      <c r="Q101" s="690"/>
    </row>
    <row r="102" spans="1:17" ht="14.45" customHeight="1">
      <c r="A102" s="989">
        <v>31</v>
      </c>
      <c r="B102" s="690"/>
      <c r="C102" s="999">
        <f>IF(A102&lt;=A$68,UMANG!F$10+A101," ")</f>
        <v>31</v>
      </c>
      <c r="D102" s="999" t="str">
        <f t="shared" ca="1" si="0"/>
        <v>9/5/2048</v>
      </c>
      <c r="E102" s="999">
        <f t="shared" ref="E102:E116" si="1">IF(C102&lt;=100,0," ")</f>
        <v>0</v>
      </c>
      <c r="F102" s="2607">
        <f>IF(C102&lt;100,UMANG!CN103," ")</f>
        <v>627800</v>
      </c>
      <c r="G102" s="2608"/>
      <c r="H102" s="2607">
        <f>IF(C102&lt;100,UMANG!CO103," ")</f>
        <v>627800</v>
      </c>
      <c r="I102" s="2608"/>
      <c r="J102" s="1000">
        <f>IF(C102&lt;100,UMANG!BI102," ")</f>
        <v>143989</v>
      </c>
      <c r="K102" s="1000">
        <f>IF(C102&lt;100,UMANG!BJ102," ")</f>
        <v>80000</v>
      </c>
      <c r="L102" s="2609">
        <f>IF(C102&lt;101,UMANG!BL103," ")</f>
        <v>16000</v>
      </c>
      <c r="M102" s="2610"/>
      <c r="N102" s="690"/>
      <c r="O102" s="690"/>
      <c r="P102" s="690"/>
      <c r="Q102" s="690"/>
    </row>
    <row r="103" spans="1:17" ht="14.45" customHeight="1">
      <c r="A103" s="989">
        <v>32</v>
      </c>
      <c r="B103" s="690"/>
      <c r="C103" s="999">
        <f>IF(A103&lt;=A$68,UMANG!F$10+A102," ")</f>
        <v>32</v>
      </c>
      <c r="D103" s="999" t="str">
        <f t="shared" ca="1" si="0"/>
        <v>9/5/2049</v>
      </c>
      <c r="E103" s="999">
        <f t="shared" si="1"/>
        <v>0</v>
      </c>
      <c r="F103" s="2607">
        <f>IF(C103&lt;100,UMANG!CN104," ")</f>
        <v>641600</v>
      </c>
      <c r="G103" s="2608"/>
      <c r="H103" s="2607">
        <f>IF(C103&lt;100,UMANG!CO104," ")</f>
        <v>641600</v>
      </c>
      <c r="I103" s="2608"/>
      <c r="J103" s="1000">
        <f>IF(C103&lt;100,UMANG!BI103," ")</f>
        <v>110897</v>
      </c>
      <c r="K103" s="1000">
        <f>IF(C103&lt;100,UMANG!BJ103," ")</f>
        <v>80000</v>
      </c>
      <c r="L103" s="2609">
        <f>IF(C103&lt;101,UMANG!BL104," ")</f>
        <v>16000</v>
      </c>
      <c r="M103" s="2610"/>
      <c r="N103" s="690"/>
      <c r="O103" s="690"/>
      <c r="P103" s="690"/>
      <c r="Q103" s="690"/>
    </row>
    <row r="104" spans="1:17" ht="14.45" customHeight="1">
      <c r="A104" s="989">
        <v>33</v>
      </c>
      <c r="B104" s="690"/>
      <c r="C104" s="999">
        <f>IF(A104&lt;=A$68,UMANG!F$10+A103," ")</f>
        <v>33</v>
      </c>
      <c r="D104" s="999" t="str">
        <f t="shared" ca="1" si="0"/>
        <v>9/5/2050</v>
      </c>
      <c r="E104" s="999">
        <f t="shared" si="1"/>
        <v>0</v>
      </c>
      <c r="F104" s="2607">
        <f>IF(C104&lt;100,UMANG!CN105," ")</f>
        <v>655400</v>
      </c>
      <c r="G104" s="2608"/>
      <c r="H104" s="2607">
        <f>IF(C104&lt;100,UMANG!CO105," ")</f>
        <v>655400</v>
      </c>
      <c r="I104" s="2608"/>
      <c r="J104" s="1000">
        <f>IF(C104&lt;100,UMANG!BI104," ")</f>
        <v>112069</v>
      </c>
      <c r="K104" s="1000">
        <f>IF(C104&lt;100,UMANG!BJ104," ")</f>
        <v>80000</v>
      </c>
      <c r="L104" s="2609">
        <f>IF(C104&lt;101,UMANG!BL105," ")</f>
        <v>16000</v>
      </c>
      <c r="M104" s="2610"/>
      <c r="N104" s="690"/>
      <c r="O104" s="690"/>
      <c r="P104" s="690"/>
      <c r="Q104" s="690"/>
    </row>
    <row r="105" spans="1:17" ht="14.45" customHeight="1">
      <c r="A105" s="989">
        <v>34</v>
      </c>
      <c r="B105" s="690"/>
      <c r="C105" s="999">
        <f>IF(A105&lt;=A$68,UMANG!F$10+A104," ")</f>
        <v>34</v>
      </c>
      <c r="D105" s="999" t="str">
        <f t="shared" ca="1" si="0"/>
        <v>9/5/2051</v>
      </c>
      <c r="E105" s="999">
        <f t="shared" si="1"/>
        <v>0</v>
      </c>
      <c r="F105" s="2607">
        <f>IF(C105&lt;100,UMANG!CN106," ")</f>
        <v>669200</v>
      </c>
      <c r="G105" s="2608"/>
      <c r="H105" s="2607">
        <f>IF(C105&lt;100,UMANG!CO106," ")</f>
        <v>669200</v>
      </c>
      <c r="I105" s="2608"/>
      <c r="J105" s="1000">
        <f>IF(C105&lt;100,UMANG!BI105," ")</f>
        <v>112930</v>
      </c>
      <c r="K105" s="1000">
        <f>IF(C105&lt;100,UMANG!BJ105," ")</f>
        <v>80000</v>
      </c>
      <c r="L105" s="2609">
        <f>IF(C105&lt;101,UMANG!BL106," ")</f>
        <v>16000</v>
      </c>
      <c r="M105" s="2610"/>
      <c r="N105" s="690"/>
      <c r="O105" s="690"/>
      <c r="P105" s="690"/>
      <c r="Q105" s="690"/>
    </row>
    <row r="106" spans="1:17" ht="14.45" customHeight="1">
      <c r="A106" s="989">
        <v>35</v>
      </c>
      <c r="B106" s="690"/>
      <c r="C106" s="999">
        <f>IF(A106&lt;=A$68,UMANG!F$10+A105," ")</f>
        <v>35</v>
      </c>
      <c r="D106" s="999" t="str">
        <f t="shared" ca="1" si="0"/>
        <v>9/5/2052</v>
      </c>
      <c r="E106" s="999">
        <f t="shared" si="1"/>
        <v>0</v>
      </c>
      <c r="F106" s="2607">
        <f>IF(C106&lt;100,UMANG!CN107," ")</f>
        <v>683000</v>
      </c>
      <c r="G106" s="2608"/>
      <c r="H106" s="2607">
        <f>IF(C106&lt;100,UMANG!CO107," ")</f>
        <v>683000</v>
      </c>
      <c r="I106" s="2608"/>
      <c r="J106" s="1000">
        <f>IF(C106&lt;100,UMANG!BI106," ")</f>
        <v>114029</v>
      </c>
      <c r="K106" s="1000">
        <f>IF(C106&lt;100,UMANG!BJ106," ")</f>
        <v>80000</v>
      </c>
      <c r="L106" s="2609">
        <f>IF(C106&lt;101,UMANG!BL107," ")</f>
        <v>16000</v>
      </c>
      <c r="M106" s="2610"/>
      <c r="N106" s="690"/>
      <c r="O106" s="690"/>
      <c r="P106" s="690"/>
      <c r="Q106" s="690"/>
    </row>
    <row r="107" spans="1:17" ht="14.45" customHeight="1">
      <c r="A107" s="989">
        <v>36</v>
      </c>
      <c r="B107" s="690"/>
      <c r="C107" s="999">
        <f>IF(A107&lt;=A$68,UMANG!F$10+A106," ")</f>
        <v>36</v>
      </c>
      <c r="D107" s="999" t="str">
        <f t="shared" ca="1" si="0"/>
        <v>9/5/2053</v>
      </c>
      <c r="E107" s="999">
        <f t="shared" si="1"/>
        <v>0</v>
      </c>
      <c r="F107" s="2607">
        <f>IF(C107&lt;100,UMANG!CN108," ")</f>
        <v>696800</v>
      </c>
      <c r="G107" s="2608"/>
      <c r="H107" s="2607">
        <f>IF(C107&lt;100,UMANG!CO108," ")</f>
        <v>696800</v>
      </c>
      <c r="I107" s="2608"/>
      <c r="J107" s="1000">
        <f>IF(C107&lt;100,UMANG!BI107," ")</f>
        <v>114634</v>
      </c>
      <c r="K107" s="1000">
        <f>IF(C107&lt;100,UMANG!BJ107," ")</f>
        <v>80000</v>
      </c>
      <c r="L107" s="2609">
        <f>IF(C107&lt;101,UMANG!BL108," ")</f>
        <v>16000</v>
      </c>
      <c r="M107" s="2610"/>
      <c r="N107" s="690"/>
      <c r="O107" s="690"/>
      <c r="P107" s="690"/>
      <c r="Q107" s="690"/>
    </row>
    <row r="108" spans="1:17" ht="14.45" customHeight="1">
      <c r="A108" s="989">
        <v>37</v>
      </c>
      <c r="B108" s="690"/>
      <c r="C108" s="999">
        <f>IF(A108&lt;=A$68,UMANG!F$10+A107," ")</f>
        <v>37</v>
      </c>
      <c r="D108" s="999" t="str">
        <f t="shared" ca="1" si="0"/>
        <v>9/5/2054</v>
      </c>
      <c r="E108" s="999">
        <f t="shared" si="1"/>
        <v>0</v>
      </c>
      <c r="F108" s="2607">
        <f>IF(C108&lt;100,UMANG!CN109," ")</f>
        <v>710600</v>
      </c>
      <c r="G108" s="2608"/>
      <c r="H108" s="2607">
        <f>IF(C108&lt;100,UMANG!CO109," ")</f>
        <v>710600</v>
      </c>
      <c r="I108" s="2608"/>
      <c r="J108" s="1000">
        <f>IF(C108&lt;100,UMANG!BI108," ")</f>
        <v>115494</v>
      </c>
      <c r="K108" s="1000">
        <f>IF(C108&lt;100,UMANG!BJ108," ")</f>
        <v>80000</v>
      </c>
      <c r="L108" s="2609">
        <f>IF(C108&lt;101,UMANG!BL109," ")</f>
        <v>16000</v>
      </c>
      <c r="M108" s="2610"/>
      <c r="N108" s="690"/>
      <c r="O108" s="690"/>
      <c r="P108" s="690"/>
      <c r="Q108" s="690"/>
    </row>
    <row r="109" spans="1:17" ht="14.45" customHeight="1">
      <c r="A109" s="989">
        <v>38</v>
      </c>
      <c r="B109" s="690"/>
      <c r="C109" s="999">
        <f>IF(A109&lt;=A$68,UMANG!F$10+A108," ")</f>
        <v>38</v>
      </c>
      <c r="D109" s="999" t="str">
        <f t="shared" ca="1" si="0"/>
        <v>9/5/2055</v>
      </c>
      <c r="E109" s="999">
        <f t="shared" si="1"/>
        <v>0</v>
      </c>
      <c r="F109" s="2607">
        <f>IF(C109&lt;100,UMANG!CN110," ")</f>
        <v>724400</v>
      </c>
      <c r="G109" s="2608"/>
      <c r="H109" s="2607">
        <f>IF(C109&lt;100,UMANG!CO110," ")</f>
        <v>724400</v>
      </c>
      <c r="I109" s="2608"/>
      <c r="J109" s="1000">
        <f>IF(C109&lt;100,UMANG!BI109," ")</f>
        <v>116337</v>
      </c>
      <c r="K109" s="1000">
        <f>IF(C109&lt;100,UMANG!BJ109," ")</f>
        <v>80000</v>
      </c>
      <c r="L109" s="2609">
        <f>IF(C109&lt;101,UMANG!BL110," ")</f>
        <v>16000</v>
      </c>
      <c r="M109" s="2610"/>
      <c r="N109" s="690"/>
      <c r="O109" s="690"/>
      <c r="P109" s="690"/>
      <c r="Q109" s="690"/>
    </row>
    <row r="110" spans="1:17" ht="14.45" customHeight="1">
      <c r="A110" s="989">
        <v>39</v>
      </c>
      <c r="B110" s="690"/>
      <c r="C110" s="999">
        <f>IF(A110&lt;=A$68,UMANG!F$10+A109," ")</f>
        <v>39</v>
      </c>
      <c r="D110" s="999" t="str">
        <f t="shared" ca="1" si="0"/>
        <v>9/5/2056</v>
      </c>
      <c r="E110" s="999">
        <f t="shared" si="1"/>
        <v>0</v>
      </c>
      <c r="F110" s="2607">
        <f>IF(C110&lt;100,UMANG!CN111," ")</f>
        <v>738200</v>
      </c>
      <c r="G110" s="2608"/>
      <c r="H110" s="2607">
        <f>IF(C110&lt;100,UMANG!CO111," ")</f>
        <v>738200</v>
      </c>
      <c r="I110" s="2608"/>
      <c r="J110" s="1000">
        <f>IF(C110&lt;100,UMANG!BI110," ")</f>
        <v>117198</v>
      </c>
      <c r="K110" s="1000">
        <f>IF(C110&lt;100,UMANG!BJ110," ")</f>
        <v>80000</v>
      </c>
      <c r="L110" s="2609">
        <f>IF(C110&lt;101,UMANG!BL111," ")</f>
        <v>16000</v>
      </c>
      <c r="M110" s="2610"/>
      <c r="N110" s="690"/>
      <c r="O110" s="690"/>
      <c r="P110" s="690"/>
      <c r="Q110" s="690"/>
    </row>
    <row r="111" spans="1:17" ht="14.45" customHeight="1">
      <c r="A111" s="989">
        <v>40</v>
      </c>
      <c r="B111" s="690"/>
      <c r="C111" s="999">
        <f>IF(A111&lt;=A$68,UMANG!F$10+A110," ")</f>
        <v>40</v>
      </c>
      <c r="D111" s="999" t="str">
        <f t="shared" ca="1" si="0"/>
        <v>9/5/2057</v>
      </c>
      <c r="E111" s="999">
        <f t="shared" si="1"/>
        <v>0</v>
      </c>
      <c r="F111" s="2607">
        <f>IF(C111&lt;100,UMANG!CN112," ")</f>
        <v>752000</v>
      </c>
      <c r="G111" s="2608"/>
      <c r="H111" s="2607">
        <f>IF(C111&lt;100,UMANG!CO112," ")</f>
        <v>752000</v>
      </c>
      <c r="I111" s="2608"/>
      <c r="J111" s="1000">
        <f>IF(C111&lt;100,UMANG!BI111," ")</f>
        <v>118040</v>
      </c>
      <c r="K111" s="1000">
        <f>IF(C111&lt;100,UMANG!BJ111," ")</f>
        <v>80000</v>
      </c>
      <c r="L111" s="2609">
        <f>IF(C111&lt;101,UMANG!BL112," ")</f>
        <v>16000</v>
      </c>
      <c r="M111" s="2610"/>
      <c r="N111" s="690"/>
      <c r="O111" s="690"/>
      <c r="P111" s="690"/>
      <c r="Q111" s="690"/>
    </row>
    <row r="112" spans="1:17" ht="14.45" customHeight="1">
      <c r="A112" s="989">
        <v>41</v>
      </c>
      <c r="B112" s="690"/>
      <c r="C112" s="999">
        <f>IF(A112&lt;=A$68,UMANG!F$10+A111," ")</f>
        <v>41</v>
      </c>
      <c r="D112" s="999" t="str">
        <f t="shared" ca="1" si="0"/>
        <v>9/5/2058</v>
      </c>
      <c r="E112" s="999">
        <f t="shared" si="1"/>
        <v>0</v>
      </c>
      <c r="F112" s="2607">
        <f>IF(C112&lt;100,UMANG!CN113," ")</f>
        <v>765800</v>
      </c>
      <c r="G112" s="2608"/>
      <c r="H112" s="2607">
        <f>IF(C112&lt;100,UMANG!CO113," ")</f>
        <v>765800</v>
      </c>
      <c r="I112" s="2608"/>
      <c r="J112" s="1000">
        <f>IF(C112&lt;100,UMANG!BI112," ")</f>
        <v>118901</v>
      </c>
      <c r="K112" s="1000">
        <f>IF(C112&lt;100,UMANG!BJ112," ")</f>
        <v>80000</v>
      </c>
      <c r="L112" s="2609">
        <f>IF(C112&lt;101,UMANG!BL113," ")</f>
        <v>16000</v>
      </c>
      <c r="M112" s="2610"/>
      <c r="N112" s="690"/>
      <c r="O112" s="690"/>
      <c r="P112" s="690"/>
      <c r="Q112" s="690"/>
    </row>
    <row r="113" spans="1:17" ht="14.45" customHeight="1">
      <c r="A113" s="989">
        <v>42</v>
      </c>
      <c r="B113" s="692"/>
      <c r="C113" s="999">
        <f>IF(A113&lt;=A$68,UMANG!F$10+A112," ")</f>
        <v>42</v>
      </c>
      <c r="D113" s="999" t="str">
        <f t="shared" ca="1" si="0"/>
        <v>9/5/2059</v>
      </c>
      <c r="E113" s="999">
        <f t="shared" si="1"/>
        <v>0</v>
      </c>
      <c r="F113" s="2607">
        <f>IF(C113&lt;100,UMANG!CN114," ")</f>
        <v>779600</v>
      </c>
      <c r="G113" s="2608"/>
      <c r="H113" s="2607">
        <f>IF(C113&lt;100,UMANG!CO114," ")</f>
        <v>779600</v>
      </c>
      <c r="I113" s="2608"/>
      <c r="J113" s="1000">
        <f>IF(C113&lt;100,UMANG!BI113," ")</f>
        <v>120018</v>
      </c>
      <c r="K113" s="1000">
        <f>IF(C113&lt;100,UMANG!BJ113," ")</f>
        <v>80000</v>
      </c>
      <c r="L113" s="2609">
        <f>IF(C113&lt;101,UMANG!BL114," ")</f>
        <v>16000</v>
      </c>
      <c r="M113" s="2610"/>
      <c r="N113" s="690"/>
      <c r="O113" s="690"/>
      <c r="P113" s="690"/>
      <c r="Q113" s="690"/>
    </row>
    <row r="114" spans="1:17" ht="14.45" customHeight="1">
      <c r="A114" s="989">
        <v>43</v>
      </c>
      <c r="B114" s="692"/>
      <c r="C114" s="999">
        <f>IF(A114&lt;=A$68,UMANG!F$10+A113," ")</f>
        <v>43</v>
      </c>
      <c r="D114" s="999" t="str">
        <f t="shared" ca="1" si="0"/>
        <v>9/5/2060</v>
      </c>
      <c r="E114" s="999">
        <f t="shared" si="1"/>
        <v>0</v>
      </c>
      <c r="F114" s="2607">
        <f>IF(C114&lt;100,UMANG!CN115," ")</f>
        <v>793400</v>
      </c>
      <c r="G114" s="2608"/>
      <c r="H114" s="2607">
        <f>IF(C114&lt;100,UMANG!CO115," ")</f>
        <v>793400</v>
      </c>
      <c r="I114" s="2608"/>
      <c r="J114" s="1000">
        <f>IF(C114&lt;100,UMANG!BI114," ")</f>
        <v>119597</v>
      </c>
      <c r="K114" s="1000">
        <f>IF(C114&lt;100,UMANG!BJ114," ")</f>
        <v>80000</v>
      </c>
      <c r="L114" s="2609">
        <f>IF(C114&lt;101,UMANG!BL115," ")</f>
        <v>16000</v>
      </c>
      <c r="M114" s="2610"/>
      <c r="N114" s="690"/>
      <c r="O114" s="690"/>
      <c r="P114" s="690"/>
      <c r="Q114" s="690"/>
    </row>
    <row r="115" spans="1:17" ht="14.45" customHeight="1">
      <c r="A115" s="989">
        <v>44</v>
      </c>
      <c r="B115" s="692"/>
      <c r="C115" s="999">
        <f>IF(A115&lt;=A$68,UMANG!F$10+A114," ")</f>
        <v>44</v>
      </c>
      <c r="D115" s="999" t="str">
        <f t="shared" ca="1" si="0"/>
        <v>9/5/2061</v>
      </c>
      <c r="E115" s="999">
        <f t="shared" si="1"/>
        <v>0</v>
      </c>
      <c r="F115" s="2607">
        <f>IF(C115&lt;100,UMANG!CN116," ")</f>
        <v>807200</v>
      </c>
      <c r="G115" s="2608"/>
      <c r="H115" s="2607">
        <f>IF(C115&lt;100,UMANG!CO116," ")</f>
        <v>807200</v>
      </c>
      <c r="I115" s="2608"/>
      <c r="J115" s="1000">
        <f>IF(C115&lt;100,UMANG!BI115," ")</f>
        <v>120714</v>
      </c>
      <c r="K115" s="1000">
        <f>IF(C115&lt;100,UMANG!BJ115," ")</f>
        <v>80000</v>
      </c>
      <c r="L115" s="2609">
        <f>IF(C115&lt;101,UMANG!BL116," ")</f>
        <v>16000</v>
      </c>
      <c r="M115" s="2610"/>
      <c r="N115" s="690"/>
      <c r="O115" s="690"/>
      <c r="P115" s="690"/>
      <c r="Q115" s="690"/>
    </row>
    <row r="116" spans="1:17" ht="14.45" customHeight="1">
      <c r="A116" s="989">
        <v>45</v>
      </c>
      <c r="B116" s="692"/>
      <c r="C116" s="999">
        <f>IF(A116&lt;=A$68,UMANG!F$10+A115," ")</f>
        <v>45</v>
      </c>
      <c r="D116" s="999" t="str">
        <f t="shared" ca="1" si="0"/>
        <v>9/5/2062</v>
      </c>
      <c r="E116" s="999">
        <f t="shared" si="1"/>
        <v>0</v>
      </c>
      <c r="F116" s="2607">
        <f>IF(C116&lt;100,UMANG!CN117," ")</f>
        <v>821000</v>
      </c>
      <c r="G116" s="2608"/>
      <c r="H116" s="2607">
        <f>IF(C116&lt;100,UMANG!CO117," ")</f>
        <v>821000</v>
      </c>
      <c r="I116" s="2608"/>
      <c r="J116" s="1000">
        <f>IF(C116&lt;100,UMANG!BI116," ")</f>
        <v>121227</v>
      </c>
      <c r="K116" s="1000">
        <f>IF(C116&lt;100,UMANG!BJ116," ")</f>
        <v>80000</v>
      </c>
      <c r="L116" s="2609">
        <f>IF(C116&lt;101,UMANG!BL117," ")</f>
        <v>16000</v>
      </c>
      <c r="M116" s="2610"/>
      <c r="N116" s="690"/>
      <c r="O116" s="690"/>
      <c r="P116" s="690"/>
      <c r="Q116" s="690"/>
    </row>
    <row r="117" spans="1:17" ht="10.5" customHeight="1">
      <c r="A117" s="989"/>
      <c r="B117" s="692"/>
      <c r="C117" s="692"/>
      <c r="D117" s="692"/>
      <c r="E117" s="692"/>
      <c r="F117" s="2614"/>
      <c r="G117" s="2614"/>
      <c r="H117" s="2614"/>
      <c r="I117" s="2614"/>
      <c r="J117" s="692"/>
      <c r="K117" s="2615" t="s">
        <v>2090</v>
      </c>
      <c r="L117" s="2615"/>
      <c r="M117" s="2615"/>
      <c r="N117" s="690"/>
      <c r="O117" s="690"/>
      <c r="P117" s="690"/>
      <c r="Q117" s="690"/>
    </row>
    <row r="118" spans="1:17" ht="10.5" customHeight="1">
      <c r="A118" s="989"/>
      <c r="B118" s="692"/>
      <c r="C118" s="692"/>
      <c r="D118" s="692"/>
      <c r="E118" s="692"/>
      <c r="F118" s="2617"/>
      <c r="G118" s="2617"/>
      <c r="H118" s="2617"/>
      <c r="I118" s="2617"/>
      <c r="J118" s="692"/>
      <c r="K118" s="2616"/>
      <c r="L118" s="2616"/>
      <c r="M118" s="2616"/>
      <c r="N118" s="690"/>
      <c r="O118" s="690"/>
      <c r="P118" s="690"/>
      <c r="Q118" s="690"/>
    </row>
    <row r="119" spans="1:17" ht="14.45" customHeight="1">
      <c r="A119" s="989"/>
      <c r="B119" s="692"/>
      <c r="C119" s="692"/>
      <c r="D119" s="2618" t="str">
        <f>CONCATENATE( " INSURANCE  BENEFITS   FOR", " "," "," ",(UMANG!F9),(UMANG!G9)," ","………… Continued")</f>
        <v xml:space="preserve"> INSURANCE  BENEFITS   FOR   SRI.M.RAJAYOGAM ………… Continued</v>
      </c>
      <c r="E119" s="2618"/>
      <c r="F119" s="2618"/>
      <c r="G119" s="2618"/>
      <c r="H119" s="2618"/>
      <c r="I119" s="2618"/>
      <c r="J119" s="2618"/>
      <c r="K119" s="2618"/>
      <c r="L119" s="2620"/>
      <c r="M119" s="2620"/>
      <c r="N119" s="690"/>
      <c r="O119" s="690"/>
      <c r="P119" s="690"/>
      <c r="Q119" s="690"/>
    </row>
    <row r="120" spans="1:17" ht="14.45" customHeight="1">
      <c r="A120" s="989"/>
      <c r="B120" s="692"/>
      <c r="C120" s="692"/>
      <c r="D120" s="2619"/>
      <c r="E120" s="2619"/>
      <c r="F120" s="2619"/>
      <c r="G120" s="2619"/>
      <c r="H120" s="2619"/>
      <c r="I120" s="2619"/>
      <c r="J120" s="2619"/>
      <c r="K120" s="2619"/>
      <c r="L120" s="2621"/>
      <c r="M120" s="2621"/>
      <c r="N120" s="690"/>
      <c r="O120" s="690"/>
      <c r="P120" s="690"/>
      <c r="Q120" s="690"/>
    </row>
    <row r="121" spans="1:17" ht="14.45" customHeight="1">
      <c r="A121" s="989">
        <v>46</v>
      </c>
      <c r="B121" s="692"/>
      <c r="C121" s="999">
        <f>IF(A121&lt;=A$68,UMANG!F$10+A116," ")</f>
        <v>46</v>
      </c>
      <c r="D121" s="999" t="str">
        <f ca="1">IF(A121&lt;=A$68,(((DAY(NOW())&amp;"/")&amp;MONTH(NOW()))&amp;"/")&amp;((YEAR(NOW())))+A116," ")</f>
        <v>9/5/2063</v>
      </c>
      <c r="E121" s="999">
        <f t="shared" ref="E121:E152" si="2">IF(C121&lt;=100,0," ")</f>
        <v>0</v>
      </c>
      <c r="F121" s="2607">
        <f>IF(C121&lt;100,UMANG!CN118," ")</f>
        <v>834800</v>
      </c>
      <c r="G121" s="2608"/>
      <c r="H121" s="2607">
        <f>IF(C121&lt;100,UMANG!CO118," ")</f>
        <v>834800</v>
      </c>
      <c r="I121" s="2608"/>
      <c r="J121" s="1000">
        <f>IF(C121&lt;100,UMANG!BI117," ")</f>
        <v>122344</v>
      </c>
      <c r="K121" s="1000">
        <f>IF(C121&lt;100,UMANG!BJ117," ")</f>
        <v>80000</v>
      </c>
      <c r="L121" s="2609">
        <f>IF(C121&lt;101,UMANG!BL118," ")</f>
        <v>16000</v>
      </c>
      <c r="M121" s="2610"/>
      <c r="N121" s="690"/>
      <c r="O121" s="690"/>
      <c r="P121" s="690"/>
      <c r="Q121" s="690"/>
    </row>
    <row r="122" spans="1:17" ht="14.45" customHeight="1">
      <c r="A122" s="989">
        <v>47</v>
      </c>
      <c r="B122" s="692"/>
      <c r="C122" s="999">
        <f>IF(A122&lt;=A$68,UMANG!F$10+A121," ")</f>
        <v>47</v>
      </c>
      <c r="D122" s="999" t="str">
        <f t="shared" ref="D122:D153" ca="1" si="3">IF(A122&lt;=A$68,(((DAY(NOW())&amp;"/")&amp;MONTH(NOW()))&amp;"/")&amp;((YEAR(NOW())))+A121," ")</f>
        <v>9/5/2064</v>
      </c>
      <c r="E122" s="999">
        <f t="shared" si="2"/>
        <v>0</v>
      </c>
      <c r="F122" s="2607">
        <f>IF(C122&lt;100,UMANG!CN119," ")</f>
        <v>848600</v>
      </c>
      <c r="G122" s="2608"/>
      <c r="H122" s="2607">
        <f>IF(C122&lt;100,UMANG!CO119," ")</f>
        <v>848600</v>
      </c>
      <c r="I122" s="2608"/>
      <c r="J122" s="1000">
        <f>IF(C122&lt;100,UMANG!BI118," ")</f>
        <v>123168</v>
      </c>
      <c r="K122" s="1000">
        <f>IF(C122&lt;100,UMANG!BJ118," ")</f>
        <v>80000</v>
      </c>
      <c r="L122" s="2609">
        <f>IF(C122&lt;101,UMANG!BL119," ")</f>
        <v>16000</v>
      </c>
      <c r="M122" s="2610"/>
      <c r="N122" s="690"/>
      <c r="O122" s="690"/>
      <c r="P122" s="690"/>
      <c r="Q122" s="690"/>
    </row>
    <row r="123" spans="1:17" ht="14.45" customHeight="1">
      <c r="A123" s="989">
        <v>48</v>
      </c>
      <c r="B123" s="692"/>
      <c r="C123" s="999">
        <f>IF(A123&lt;=A$68,UMANG!F$10+A122," ")</f>
        <v>48</v>
      </c>
      <c r="D123" s="999" t="str">
        <f t="shared" ca="1" si="3"/>
        <v>9/5/2065</v>
      </c>
      <c r="E123" s="999">
        <f t="shared" si="2"/>
        <v>0</v>
      </c>
      <c r="F123" s="2607">
        <f>IF(C123&lt;100,UMANG!CN120," ")</f>
        <v>862400</v>
      </c>
      <c r="G123" s="2608"/>
      <c r="H123" s="2607">
        <f>IF(C123&lt;100,UMANG!CO120," ")</f>
        <v>862400</v>
      </c>
      <c r="I123" s="2608"/>
      <c r="J123" s="1000">
        <f>IF(C123&lt;100,UMANG!BI119," ")</f>
        <v>123681</v>
      </c>
      <c r="K123" s="1000">
        <f>IF(C123&lt;100,UMANG!BJ119," ")</f>
        <v>80000</v>
      </c>
      <c r="L123" s="2609">
        <f>IF(C123&lt;101,UMANG!BL120," ")</f>
        <v>16000</v>
      </c>
      <c r="M123" s="2610"/>
      <c r="N123" s="690"/>
      <c r="O123" s="690"/>
      <c r="P123" s="690"/>
      <c r="Q123" s="690"/>
    </row>
    <row r="124" spans="1:17" ht="14.45" customHeight="1">
      <c r="A124" s="989">
        <v>49</v>
      </c>
      <c r="B124" s="692"/>
      <c r="C124" s="999">
        <f>IF(A124&lt;=A$68,UMANG!F$10+A123," ")</f>
        <v>49</v>
      </c>
      <c r="D124" s="999" t="str">
        <f t="shared" ca="1" si="3"/>
        <v>9/5/2066</v>
      </c>
      <c r="E124" s="999">
        <f t="shared" si="2"/>
        <v>0</v>
      </c>
      <c r="F124" s="2607">
        <f>IF(C124&lt;100,UMANG!CN121," ")</f>
        <v>876200</v>
      </c>
      <c r="G124" s="2608"/>
      <c r="H124" s="2607">
        <f>IF(C124&lt;100,UMANG!CO121," ")</f>
        <v>876200</v>
      </c>
      <c r="I124" s="2608"/>
      <c r="J124" s="1000">
        <f>IF(C124&lt;100,UMANG!BI120," ")</f>
        <v>124798</v>
      </c>
      <c r="K124" s="1000">
        <f>IF(C124&lt;100,UMANG!BJ120," ")</f>
        <v>80000</v>
      </c>
      <c r="L124" s="2609">
        <f>IF(C124&lt;101,UMANG!BL121," ")</f>
        <v>16000</v>
      </c>
      <c r="M124" s="2610"/>
      <c r="N124" s="690"/>
      <c r="O124" s="690"/>
      <c r="P124" s="690"/>
      <c r="Q124" s="690"/>
    </row>
    <row r="125" spans="1:17" ht="14.45" customHeight="1">
      <c r="A125" s="989">
        <v>50</v>
      </c>
      <c r="B125" s="692"/>
      <c r="C125" s="999">
        <f>IF(A125&lt;=A$68,UMANG!F$10+A124," ")</f>
        <v>50</v>
      </c>
      <c r="D125" s="999" t="str">
        <f t="shared" ca="1" si="3"/>
        <v>9/5/2067</v>
      </c>
      <c r="E125" s="999">
        <f t="shared" si="2"/>
        <v>0</v>
      </c>
      <c r="F125" s="2607">
        <f>IF(C125&lt;100,UMANG!CN122," ")</f>
        <v>890000</v>
      </c>
      <c r="G125" s="2608"/>
      <c r="H125" s="2607">
        <f>IF(C125&lt;100,UMANG!CO122," ")</f>
        <v>890000</v>
      </c>
      <c r="I125" s="2608"/>
      <c r="J125" s="1000">
        <f>IF(C125&lt;100,UMANG!BI121," ")</f>
        <v>125311</v>
      </c>
      <c r="K125" s="1000">
        <f>IF(C125&lt;100,UMANG!BJ121," ")</f>
        <v>80000</v>
      </c>
      <c r="L125" s="2609">
        <f>IF(C125&lt;101,UMANG!BL122," ")</f>
        <v>16000</v>
      </c>
      <c r="M125" s="2610"/>
      <c r="N125" s="690"/>
      <c r="O125" s="690"/>
      <c r="P125" s="690"/>
      <c r="Q125" s="690"/>
    </row>
    <row r="126" spans="1:17" ht="14.45" customHeight="1">
      <c r="A126" s="989">
        <v>51</v>
      </c>
      <c r="B126" s="692"/>
      <c r="C126" s="999">
        <f>IF(A126&lt;=A$68,UMANG!F$10+A125," ")</f>
        <v>51</v>
      </c>
      <c r="D126" s="999" t="str">
        <f t="shared" ca="1" si="3"/>
        <v>9/5/2068</v>
      </c>
      <c r="E126" s="999">
        <f t="shared" si="2"/>
        <v>0</v>
      </c>
      <c r="F126" s="2607">
        <f>IF(C126&lt;100,UMANG!CN123," ")</f>
        <v>903800</v>
      </c>
      <c r="G126" s="2608"/>
      <c r="H126" s="2607">
        <f>IF(C126&lt;100,UMANG!CO123," ")</f>
        <v>903800</v>
      </c>
      <c r="I126" s="2608"/>
      <c r="J126" s="1000">
        <f>IF(C126&lt;100,UMANG!BI122," ")</f>
        <v>126428</v>
      </c>
      <c r="K126" s="1000">
        <f>IF(C126&lt;100,UMANG!BJ122," ")</f>
        <v>80000</v>
      </c>
      <c r="L126" s="2609">
        <f>IF(C126&lt;101,UMANG!BL123," ")</f>
        <v>16000</v>
      </c>
      <c r="M126" s="2610"/>
      <c r="N126" s="690"/>
      <c r="O126" s="690"/>
      <c r="P126" s="690"/>
      <c r="Q126" s="690"/>
    </row>
    <row r="127" spans="1:17" ht="14.45" customHeight="1">
      <c r="A127" s="989">
        <v>52</v>
      </c>
      <c r="B127" s="692"/>
      <c r="C127" s="999">
        <f>IF(A127&lt;=A$68,UMANG!F$10+A126," ")</f>
        <v>52</v>
      </c>
      <c r="D127" s="999" t="str">
        <f t="shared" ca="1" si="3"/>
        <v>9/5/2069</v>
      </c>
      <c r="E127" s="999">
        <f t="shared" si="2"/>
        <v>0</v>
      </c>
      <c r="F127" s="2607">
        <f>IF(C127&lt;100,UMANG!CN124," ")</f>
        <v>917600</v>
      </c>
      <c r="G127" s="2608"/>
      <c r="H127" s="2607">
        <f>IF(C127&lt;100,UMANG!CO124," ")</f>
        <v>917600</v>
      </c>
      <c r="I127" s="2608"/>
      <c r="J127" s="1000">
        <f>IF(C127&lt;100,UMANG!BI123," ")</f>
        <v>127253</v>
      </c>
      <c r="K127" s="1000">
        <f>IF(C127&lt;100,UMANG!BJ123," ")</f>
        <v>80000</v>
      </c>
      <c r="L127" s="2609">
        <f>IF(C127&lt;101,UMANG!BL124," ")</f>
        <v>16000</v>
      </c>
      <c r="M127" s="2610"/>
      <c r="N127" s="690"/>
      <c r="O127" s="690"/>
      <c r="P127" s="690"/>
      <c r="Q127" s="690"/>
    </row>
    <row r="128" spans="1:17" ht="14.45" customHeight="1">
      <c r="A128" s="989">
        <v>53</v>
      </c>
      <c r="B128" s="692"/>
      <c r="C128" s="999">
        <f>IF(A128&lt;=A$68,UMANG!F$10+A127," ")</f>
        <v>53</v>
      </c>
      <c r="D128" s="999" t="str">
        <f t="shared" ca="1" si="3"/>
        <v>9/5/2070</v>
      </c>
      <c r="E128" s="999">
        <f t="shared" si="2"/>
        <v>0</v>
      </c>
      <c r="F128" s="2607">
        <f>IF(C128&lt;100,UMANG!CN125," ")</f>
        <v>931400</v>
      </c>
      <c r="G128" s="2608"/>
      <c r="H128" s="2607">
        <f>IF(C128&lt;100,UMANG!CO125," ")</f>
        <v>931400</v>
      </c>
      <c r="I128" s="2608"/>
      <c r="J128" s="1000">
        <f>IF(C128&lt;100,UMANG!BI124," ")</f>
        <v>128058</v>
      </c>
      <c r="K128" s="1000">
        <f>IF(C128&lt;100,UMANG!BJ124," ")</f>
        <v>80000</v>
      </c>
      <c r="L128" s="2609">
        <f>IF(C128&lt;101,UMANG!BL125," ")</f>
        <v>16000</v>
      </c>
      <c r="M128" s="2610"/>
      <c r="N128" s="690"/>
      <c r="O128" s="690"/>
      <c r="P128" s="690"/>
      <c r="Q128" s="690"/>
    </row>
    <row r="129" spans="1:17" ht="14.45" customHeight="1">
      <c r="A129" s="989">
        <v>54</v>
      </c>
      <c r="B129" s="692"/>
      <c r="C129" s="999">
        <f>IF(A129&lt;=A$68,UMANG!F$10+A128," ")</f>
        <v>54</v>
      </c>
      <c r="D129" s="999" t="str">
        <f t="shared" ca="1" si="3"/>
        <v>9/5/2071</v>
      </c>
      <c r="E129" s="999">
        <f t="shared" si="2"/>
        <v>0</v>
      </c>
      <c r="F129" s="2607">
        <f>IF(C129&lt;100,UMANG!CN126," ")</f>
        <v>945200</v>
      </c>
      <c r="G129" s="2608"/>
      <c r="H129" s="2607">
        <f>IF(C129&lt;100,UMANG!CO126," ")</f>
        <v>945200</v>
      </c>
      <c r="I129" s="2608"/>
      <c r="J129" s="1000">
        <f>IF(C129&lt;100,UMANG!BI125," ")</f>
        <v>128883</v>
      </c>
      <c r="K129" s="1000">
        <f>IF(C129&lt;100,UMANG!BJ125," ")</f>
        <v>80000</v>
      </c>
      <c r="L129" s="2609">
        <f>IF(C129&lt;101,UMANG!BL126," ")</f>
        <v>16000</v>
      </c>
      <c r="M129" s="2610"/>
      <c r="N129" s="690"/>
      <c r="O129" s="690"/>
      <c r="P129" s="690"/>
      <c r="Q129" s="690"/>
    </row>
    <row r="130" spans="1:17" ht="14.45" customHeight="1">
      <c r="A130" s="989">
        <v>55</v>
      </c>
      <c r="B130" s="692"/>
      <c r="C130" s="999">
        <f>IF(A130&lt;=A$68,UMANG!F$10+A129," ")</f>
        <v>55</v>
      </c>
      <c r="D130" s="999" t="str">
        <f t="shared" ca="1" si="3"/>
        <v>9/5/2072</v>
      </c>
      <c r="E130" s="999">
        <f t="shared" si="2"/>
        <v>0</v>
      </c>
      <c r="F130" s="2607">
        <f>IF(C130&lt;100,UMANG!CN127," ")</f>
        <v>959000</v>
      </c>
      <c r="G130" s="2608"/>
      <c r="H130" s="2607">
        <f>IF(C130&lt;100,UMANG!CO127," ")</f>
        <v>959000</v>
      </c>
      <c r="I130" s="2608"/>
      <c r="J130" s="1000">
        <f>IF(C130&lt;100,UMANG!BI126," ")</f>
        <v>129689</v>
      </c>
      <c r="K130" s="1000">
        <f>IF(C130&lt;100,UMANG!BJ126," ")</f>
        <v>80000</v>
      </c>
      <c r="L130" s="2609">
        <f>IF(C130&lt;101,UMANG!BL127," ")</f>
        <v>16000</v>
      </c>
      <c r="M130" s="2610"/>
      <c r="N130" s="690"/>
      <c r="O130" s="690"/>
      <c r="P130" s="690"/>
      <c r="Q130" s="690"/>
    </row>
    <row r="131" spans="1:17" ht="14.45" customHeight="1">
      <c r="A131" s="989">
        <v>56</v>
      </c>
      <c r="B131" s="692"/>
      <c r="C131" s="999">
        <f>IF(A131&lt;=A$68,UMANG!F$10+A130," ")</f>
        <v>56</v>
      </c>
      <c r="D131" s="999" t="str">
        <f t="shared" ca="1" si="3"/>
        <v>9/5/2073</v>
      </c>
      <c r="E131" s="999">
        <f t="shared" si="2"/>
        <v>0</v>
      </c>
      <c r="F131" s="2607">
        <f>IF(C131&lt;100,UMANG!CN128," ")</f>
        <v>972800</v>
      </c>
      <c r="G131" s="2608"/>
      <c r="H131" s="2607">
        <f>IF(C131&lt;100,UMANG!CO128," ")</f>
        <v>972800</v>
      </c>
      <c r="I131" s="2608"/>
      <c r="J131" s="1000">
        <f>IF(C131&lt;100,UMANG!BI127," ")</f>
        <v>130513</v>
      </c>
      <c r="K131" s="1000">
        <f>IF(C131&lt;100,UMANG!BJ127," ")</f>
        <v>80000</v>
      </c>
      <c r="L131" s="2609">
        <f>IF(C131&lt;101,UMANG!BL128," ")</f>
        <v>16000</v>
      </c>
      <c r="M131" s="2610"/>
      <c r="N131" s="690"/>
      <c r="O131" s="690"/>
      <c r="P131" s="690"/>
      <c r="Q131" s="690"/>
    </row>
    <row r="132" spans="1:17" ht="14.45" customHeight="1">
      <c r="A132" s="989">
        <v>57</v>
      </c>
      <c r="B132" s="692"/>
      <c r="C132" s="999">
        <f>IF(A132&lt;=A$68,UMANG!F$10+A131," ")</f>
        <v>57</v>
      </c>
      <c r="D132" s="999" t="str">
        <f t="shared" ca="1" si="3"/>
        <v>9/5/2074</v>
      </c>
      <c r="E132" s="999">
        <f t="shared" si="2"/>
        <v>0</v>
      </c>
      <c r="F132" s="2607">
        <f>IF(C132&lt;100,UMANG!CN129," ")</f>
        <v>986600</v>
      </c>
      <c r="G132" s="2608"/>
      <c r="H132" s="2607">
        <f>IF(C132&lt;100,UMANG!CO129," ")</f>
        <v>986600</v>
      </c>
      <c r="I132" s="2608"/>
      <c r="J132" s="1000">
        <f>IF(C132&lt;100,UMANG!BI128," ")</f>
        <v>131630</v>
      </c>
      <c r="K132" s="1000">
        <f>IF(C132&lt;100,UMANG!BJ128," ")</f>
        <v>80000</v>
      </c>
      <c r="L132" s="2609">
        <f>IF(C132&lt;101,UMANG!BL129," ")</f>
        <v>16000</v>
      </c>
      <c r="M132" s="2610"/>
      <c r="N132" s="690"/>
      <c r="O132" s="690"/>
      <c r="P132" s="690"/>
      <c r="Q132" s="690"/>
    </row>
    <row r="133" spans="1:17" ht="14.45" customHeight="1">
      <c r="A133" s="989">
        <v>58</v>
      </c>
      <c r="B133" s="692"/>
      <c r="C133" s="999">
        <f>IF(A133&lt;=A$68,UMANG!F$10+A132," ")</f>
        <v>58</v>
      </c>
      <c r="D133" s="999" t="str">
        <f t="shared" ca="1" si="3"/>
        <v>9/5/2075</v>
      </c>
      <c r="E133" s="999">
        <f t="shared" si="2"/>
        <v>0</v>
      </c>
      <c r="F133" s="2607">
        <f>IF(C133&lt;100,UMANG!CN130," ")</f>
        <v>1000400</v>
      </c>
      <c r="G133" s="2608"/>
      <c r="H133" s="2607">
        <f>IF(C133&lt;100,UMANG!CO130," ")</f>
        <v>1000400</v>
      </c>
      <c r="I133" s="2608"/>
      <c r="J133" s="1000">
        <f>IF(C133&lt;100,UMANG!BI129," ")</f>
        <v>132143</v>
      </c>
      <c r="K133" s="1000">
        <f>IF(C133&lt;100,UMANG!BJ129," ")</f>
        <v>80000</v>
      </c>
      <c r="L133" s="2609">
        <f>IF(C133&lt;101,UMANG!BL130," ")</f>
        <v>16000</v>
      </c>
      <c r="M133" s="2610"/>
      <c r="N133" s="690"/>
      <c r="O133" s="690"/>
      <c r="P133" s="690"/>
      <c r="Q133" s="690"/>
    </row>
    <row r="134" spans="1:17" ht="14.45" customHeight="1">
      <c r="A134" s="989">
        <v>59</v>
      </c>
      <c r="B134" s="692"/>
      <c r="C134" s="999">
        <f>IF(A134&lt;=A$68,UMANG!F$10+A133," ")</f>
        <v>59</v>
      </c>
      <c r="D134" s="999" t="str">
        <f t="shared" ca="1" si="3"/>
        <v>9/5/2076</v>
      </c>
      <c r="E134" s="999">
        <f t="shared" si="2"/>
        <v>0</v>
      </c>
      <c r="F134" s="2607">
        <f>IF(C134&lt;100,UMANG!CN131," ")</f>
        <v>1014200</v>
      </c>
      <c r="G134" s="2608"/>
      <c r="H134" s="2607">
        <f>IF(C134&lt;100,UMANG!CO131," ")</f>
        <v>1014200</v>
      </c>
      <c r="I134" s="2608"/>
      <c r="J134" s="1000">
        <f>IF(C134&lt;100,UMANG!BI130," ")</f>
        <v>132527</v>
      </c>
      <c r="K134" s="1000">
        <f>IF(C134&lt;100,UMANG!BJ130," ")</f>
        <v>80000</v>
      </c>
      <c r="L134" s="2609">
        <f>IF(C134&lt;101,UMANG!BL131," ")</f>
        <v>16000</v>
      </c>
      <c r="M134" s="2610"/>
      <c r="N134" s="690"/>
      <c r="O134" s="690"/>
      <c r="P134" s="690"/>
      <c r="Q134" s="690"/>
    </row>
    <row r="135" spans="1:17" ht="14.45" customHeight="1">
      <c r="A135" s="989">
        <v>60</v>
      </c>
      <c r="B135" s="692"/>
      <c r="C135" s="999">
        <f>IF(A135&lt;=A$68,UMANG!F$10+A134," ")</f>
        <v>60</v>
      </c>
      <c r="D135" s="999" t="str">
        <f t="shared" ca="1" si="3"/>
        <v>9/5/2077</v>
      </c>
      <c r="E135" s="999">
        <f t="shared" si="2"/>
        <v>0</v>
      </c>
      <c r="F135" s="2607">
        <f>IF(C135&lt;100,UMANG!CN132," ")</f>
        <v>1028000</v>
      </c>
      <c r="G135" s="2608"/>
      <c r="H135" s="2607">
        <f>IF(C135&lt;100,UMANG!CO132," ")</f>
        <v>1028000</v>
      </c>
      <c r="I135" s="2608"/>
      <c r="J135" s="1000">
        <f>IF(C135&lt;100,UMANG!BI131," ")</f>
        <v>133333</v>
      </c>
      <c r="K135" s="1000">
        <f>IF(C135&lt;100,UMANG!BJ131," ")</f>
        <v>80000</v>
      </c>
      <c r="L135" s="2609">
        <f>IF(C135&lt;101,UMANG!BL132," ")</f>
        <v>16000</v>
      </c>
      <c r="M135" s="2610"/>
      <c r="N135" s="690"/>
      <c r="O135" s="690"/>
      <c r="P135" s="690"/>
      <c r="Q135" s="690"/>
    </row>
    <row r="136" spans="1:17" ht="14.45" customHeight="1">
      <c r="A136" s="989">
        <v>61</v>
      </c>
      <c r="B136" s="692"/>
      <c r="C136" s="999">
        <f>IF(A136&lt;=A$68,UMANG!F$10+A135," ")</f>
        <v>61</v>
      </c>
      <c r="D136" s="999" t="str">
        <f t="shared" ca="1" si="3"/>
        <v>9/5/2078</v>
      </c>
      <c r="E136" s="999">
        <f t="shared" si="2"/>
        <v>0</v>
      </c>
      <c r="F136" s="2607">
        <f>IF(C136&lt;100,UMANG!CN133," ")</f>
        <v>1041800</v>
      </c>
      <c r="G136" s="2608"/>
      <c r="H136" s="2607">
        <f>IF(C136&lt;100,UMANG!CO133," ")</f>
        <v>1041800</v>
      </c>
      <c r="I136" s="2608"/>
      <c r="J136" s="1000">
        <f>IF(C136&lt;100,UMANG!BI132," ")</f>
        <v>133809</v>
      </c>
      <c r="K136" s="1000">
        <f>IF(C136&lt;100,UMANG!BJ132," ")</f>
        <v>80000</v>
      </c>
      <c r="L136" s="2609">
        <f>IF(C136&lt;101,UMANG!BL133," ")</f>
        <v>16000</v>
      </c>
      <c r="M136" s="2610"/>
      <c r="N136" s="690"/>
      <c r="O136" s="690"/>
      <c r="P136" s="690"/>
      <c r="Q136" s="690"/>
    </row>
    <row r="137" spans="1:17" ht="14.45" customHeight="1">
      <c r="A137" s="989">
        <v>62</v>
      </c>
      <c r="B137" s="692"/>
      <c r="C137" s="999">
        <f>IF(A137&lt;=A$68,UMANG!F$10+A136," ")</f>
        <v>62</v>
      </c>
      <c r="D137" s="999" t="str">
        <f t="shared" ca="1" si="3"/>
        <v>9/5/2079</v>
      </c>
      <c r="E137" s="999">
        <f t="shared" si="2"/>
        <v>0</v>
      </c>
      <c r="F137" s="2607">
        <f>IF(C137&lt;100,UMANG!CN134," ")</f>
        <v>1055600</v>
      </c>
      <c r="G137" s="2608"/>
      <c r="H137" s="2607">
        <f>IF(C137&lt;100,UMANG!CO134," ")</f>
        <v>1055600</v>
      </c>
      <c r="I137" s="2608"/>
      <c r="J137" s="1000">
        <f>IF(C137&lt;100,UMANG!BI133," ")</f>
        <v>134927</v>
      </c>
      <c r="K137" s="1000">
        <f>IF(C137&lt;100,UMANG!BJ133," ")</f>
        <v>80000</v>
      </c>
      <c r="L137" s="2609">
        <f>IF(C137&lt;101,UMANG!BL134," ")</f>
        <v>16000</v>
      </c>
      <c r="M137" s="2610"/>
      <c r="N137" s="690"/>
      <c r="O137" s="690"/>
      <c r="P137" s="690"/>
      <c r="Q137" s="690"/>
    </row>
    <row r="138" spans="1:17" ht="14.45" customHeight="1">
      <c r="A138" s="989">
        <v>63</v>
      </c>
      <c r="B138" s="692"/>
      <c r="C138" s="999">
        <f>IF(A138&lt;=A$68,UMANG!F$10+A137," ")</f>
        <v>63</v>
      </c>
      <c r="D138" s="999" t="str">
        <f t="shared" ca="1" si="3"/>
        <v>9/5/2080</v>
      </c>
      <c r="E138" s="999">
        <f t="shared" si="2"/>
        <v>0</v>
      </c>
      <c r="F138" s="2607">
        <f>IF(C138&lt;100,UMANG!CN135," ")</f>
        <v>1069400</v>
      </c>
      <c r="G138" s="2608"/>
      <c r="H138" s="2607">
        <f>IF(C138&lt;100,UMANG!CO135," ")</f>
        <v>1069400</v>
      </c>
      <c r="I138" s="2608"/>
      <c r="J138" s="1000">
        <f>IF(C138&lt;100,UMANG!BI134," ")</f>
        <v>136227</v>
      </c>
      <c r="K138" s="1000">
        <f>IF(C138&lt;100,UMANG!BJ134," ")</f>
        <v>80000</v>
      </c>
      <c r="L138" s="2609">
        <f>IF(C138&lt;101,UMANG!BL135," ")</f>
        <v>16000</v>
      </c>
      <c r="M138" s="2610"/>
      <c r="N138" s="690"/>
      <c r="O138" s="690"/>
      <c r="P138" s="690"/>
      <c r="Q138" s="690"/>
    </row>
    <row r="139" spans="1:17" ht="14.45" customHeight="1">
      <c r="A139" s="989">
        <v>64</v>
      </c>
      <c r="B139" s="692"/>
      <c r="C139" s="999">
        <f>IF(A139&lt;=A$68,UMANG!F$10+A138," ")</f>
        <v>64</v>
      </c>
      <c r="D139" s="999" t="str">
        <f t="shared" ca="1" si="3"/>
        <v>9/5/2081</v>
      </c>
      <c r="E139" s="999">
        <f t="shared" si="2"/>
        <v>0</v>
      </c>
      <c r="F139" s="2607">
        <f>IF(C139&lt;100,UMANG!CN136," ")</f>
        <v>1083200</v>
      </c>
      <c r="G139" s="2608"/>
      <c r="H139" s="2607">
        <f>IF(C139&lt;100,UMANG!CO136," ")</f>
        <v>1083200</v>
      </c>
      <c r="I139" s="2608"/>
      <c r="J139" s="1000">
        <f>IF(C139&lt;100,UMANG!BI135," ")</f>
        <v>137344</v>
      </c>
      <c r="K139" s="1000">
        <f>IF(C139&lt;100,UMANG!BJ135," ")</f>
        <v>80000</v>
      </c>
      <c r="L139" s="2609">
        <f>IF(C139&lt;101,UMANG!BL136," ")</f>
        <v>16000</v>
      </c>
      <c r="M139" s="2610"/>
      <c r="N139" s="690"/>
      <c r="O139" s="690"/>
      <c r="P139" s="690"/>
      <c r="Q139" s="690"/>
    </row>
    <row r="140" spans="1:17" ht="14.45" customHeight="1">
      <c r="A140" s="989">
        <v>65</v>
      </c>
      <c r="B140" s="692"/>
      <c r="C140" s="999">
        <f>IF(A140&lt;=A$68,UMANG!F$10+A139," ")</f>
        <v>65</v>
      </c>
      <c r="D140" s="999" t="str">
        <f t="shared" ca="1" si="3"/>
        <v>9/5/2082</v>
      </c>
      <c r="E140" s="999">
        <f t="shared" si="2"/>
        <v>0</v>
      </c>
      <c r="F140" s="2607">
        <f>IF(C140&lt;100,UMANG!CN137," ")</f>
        <v>1097000</v>
      </c>
      <c r="G140" s="2608"/>
      <c r="H140" s="2607">
        <f>IF(C140&lt;100,UMANG!CO137," ")</f>
        <v>1097000</v>
      </c>
      <c r="I140" s="2608"/>
      <c r="J140" s="1000">
        <f>IF(C140&lt;100,UMANG!BI136," ")</f>
        <v>138168</v>
      </c>
      <c r="K140" s="1000">
        <f>IF(C140&lt;100,UMANG!BJ136," ")</f>
        <v>80000</v>
      </c>
      <c r="L140" s="2609">
        <f>IF(C140&lt;101,UMANG!BL137," ")</f>
        <v>16000</v>
      </c>
      <c r="M140" s="2610"/>
      <c r="N140" s="690"/>
      <c r="O140" s="690"/>
      <c r="P140" s="690"/>
      <c r="Q140" s="690"/>
    </row>
    <row r="141" spans="1:17" ht="14.45" customHeight="1">
      <c r="A141" s="989">
        <v>66</v>
      </c>
      <c r="B141" s="692"/>
      <c r="C141" s="999">
        <f>IF(A141&lt;=A$68,UMANG!F$10+A140," ")</f>
        <v>66</v>
      </c>
      <c r="D141" s="999" t="str">
        <f t="shared" ca="1" si="3"/>
        <v>9/5/2083</v>
      </c>
      <c r="E141" s="999">
        <f t="shared" si="2"/>
        <v>0</v>
      </c>
      <c r="F141" s="2607">
        <f>IF(C141&lt;100,UMANG!CN138," ")</f>
        <v>1110800</v>
      </c>
      <c r="G141" s="2608"/>
      <c r="H141" s="2607">
        <f>IF(C141&lt;100,UMANG!CO138," ")</f>
        <v>1110800</v>
      </c>
      <c r="I141" s="2608"/>
      <c r="J141" s="1000">
        <f>IF(C141&lt;100,UMANG!BI137," ")</f>
        <v>138974</v>
      </c>
      <c r="K141" s="1000">
        <f>IF(C141&lt;100,UMANG!BJ137," ")</f>
        <v>80000</v>
      </c>
      <c r="L141" s="2609">
        <f>IF(C141&lt;101,UMANG!BL138," ")</f>
        <v>16000</v>
      </c>
      <c r="M141" s="2610"/>
      <c r="N141" s="690"/>
      <c r="O141" s="690"/>
      <c r="P141" s="690"/>
      <c r="Q141" s="690"/>
    </row>
    <row r="142" spans="1:17" ht="14.45" customHeight="1">
      <c r="A142" s="989">
        <v>67</v>
      </c>
      <c r="B142" s="692"/>
      <c r="C142" s="999">
        <f>IF(A142&lt;=A$68,UMANG!F$10+A141," ")</f>
        <v>67</v>
      </c>
      <c r="D142" s="999" t="str">
        <f t="shared" ca="1" si="3"/>
        <v>9/5/2084</v>
      </c>
      <c r="E142" s="999">
        <f t="shared" si="2"/>
        <v>0</v>
      </c>
      <c r="F142" s="2607">
        <f>IF(C142&lt;100,UMANG!CN139," ")</f>
        <v>1124600</v>
      </c>
      <c r="G142" s="2608"/>
      <c r="H142" s="2607">
        <f>IF(C142&lt;100,UMANG!CO139," ")</f>
        <v>1124600</v>
      </c>
      <c r="I142" s="2608"/>
      <c r="J142" s="1000">
        <f>IF(C142&lt;100,UMANG!BI138," ")</f>
        <v>139798</v>
      </c>
      <c r="K142" s="1000">
        <f>IF(C142&lt;100,UMANG!BJ138," ")</f>
        <v>80000</v>
      </c>
      <c r="L142" s="2609">
        <f>IF(C142&lt;101,UMANG!BL139," ")</f>
        <v>16000</v>
      </c>
      <c r="M142" s="2610"/>
      <c r="N142" s="690"/>
      <c r="O142" s="690"/>
      <c r="P142" s="690"/>
      <c r="Q142" s="690"/>
    </row>
    <row r="143" spans="1:17" ht="14.45" customHeight="1">
      <c r="A143" s="989">
        <v>68</v>
      </c>
      <c r="B143" s="692"/>
      <c r="C143" s="999">
        <f>IF(A143&lt;=A$68,UMANG!F$10+A142," ")</f>
        <v>68</v>
      </c>
      <c r="D143" s="999" t="str">
        <f t="shared" ca="1" si="3"/>
        <v>9/5/2085</v>
      </c>
      <c r="E143" s="999">
        <f t="shared" si="2"/>
        <v>0</v>
      </c>
      <c r="F143" s="2607">
        <f>IF(C143&lt;100,UMANG!CN140," ")</f>
        <v>1138400</v>
      </c>
      <c r="G143" s="2608"/>
      <c r="H143" s="2607">
        <f>IF(C143&lt;100,UMANG!CO140," ")</f>
        <v>1138400</v>
      </c>
      <c r="I143" s="2608"/>
      <c r="J143" s="1000">
        <f>IF(C143&lt;100,UMANG!BI139," ")</f>
        <v>140604</v>
      </c>
      <c r="K143" s="1000">
        <f>IF(C143&lt;100,UMANG!BJ139," ")</f>
        <v>80000</v>
      </c>
      <c r="L143" s="2609">
        <f>IF(C143&lt;101,UMANG!BL140," ")</f>
        <v>16000</v>
      </c>
      <c r="M143" s="2610"/>
      <c r="N143" s="690"/>
      <c r="O143" s="690"/>
      <c r="P143" s="690"/>
      <c r="Q143" s="690"/>
    </row>
    <row r="144" spans="1:17" ht="14.45" customHeight="1">
      <c r="A144" s="989">
        <v>69</v>
      </c>
      <c r="B144" s="692"/>
      <c r="C144" s="999">
        <f>IF(A144&lt;=A$68,UMANG!F$10+A143," ")</f>
        <v>69</v>
      </c>
      <c r="D144" s="999" t="str">
        <f t="shared" ca="1" si="3"/>
        <v>9/5/2086</v>
      </c>
      <c r="E144" s="999">
        <f t="shared" si="2"/>
        <v>0</v>
      </c>
      <c r="F144" s="2607">
        <f>IF(C144&lt;100,UMANG!CN141," ")</f>
        <v>1152200</v>
      </c>
      <c r="G144" s="2608"/>
      <c r="H144" s="2607">
        <f>IF(C144&lt;100,UMANG!CO141," ")</f>
        <v>1152200</v>
      </c>
      <c r="I144" s="2608"/>
      <c r="J144" s="1000">
        <f>IF(C144&lt;100,UMANG!BI140," ")</f>
        <v>141428</v>
      </c>
      <c r="K144" s="1000">
        <f>IF(C144&lt;100,UMANG!BJ140," ")</f>
        <v>80000</v>
      </c>
      <c r="L144" s="2609">
        <f>IF(C144&lt;101,UMANG!BL141," ")</f>
        <v>16000</v>
      </c>
      <c r="M144" s="2610"/>
      <c r="N144" s="690"/>
      <c r="O144" s="690"/>
      <c r="P144" s="690"/>
      <c r="Q144" s="690"/>
    </row>
    <row r="145" spans="1:17" ht="14.45" customHeight="1">
      <c r="A145" s="989">
        <v>70</v>
      </c>
      <c r="B145" s="692"/>
      <c r="C145" s="999">
        <f>IF(A145&lt;=A$68,UMANG!F$10+A144," ")</f>
        <v>70</v>
      </c>
      <c r="D145" s="999" t="str">
        <f t="shared" ca="1" si="3"/>
        <v>9/5/2087</v>
      </c>
      <c r="E145" s="999">
        <f t="shared" si="2"/>
        <v>0</v>
      </c>
      <c r="F145" s="2607">
        <f>IF(C145&lt;100,UMANG!CN142," ")</f>
        <v>1166000</v>
      </c>
      <c r="G145" s="2608"/>
      <c r="H145" s="2607">
        <f>IF(C145&lt;100,UMANG!CO142," ")</f>
        <v>1166000</v>
      </c>
      <c r="I145" s="2608"/>
      <c r="J145" s="1000">
        <f>IF(C145&lt;100,UMANG!BI141," ")</f>
        <v>142234</v>
      </c>
      <c r="K145" s="1000">
        <f>IF(C145&lt;100,UMANG!BJ141," ")</f>
        <v>80000</v>
      </c>
      <c r="L145" s="2609">
        <f>IF(C145&lt;101,UMANG!BL142," ")</f>
        <v>16000</v>
      </c>
      <c r="M145" s="2610"/>
      <c r="N145" s="690"/>
      <c r="O145" s="690"/>
      <c r="P145" s="690"/>
      <c r="Q145" s="690"/>
    </row>
    <row r="146" spans="1:17" ht="14.45" customHeight="1">
      <c r="A146" s="989">
        <v>71</v>
      </c>
      <c r="B146" s="692"/>
      <c r="C146" s="999">
        <f>IF(A146&lt;=A$68,UMANG!F$10+A145," ")</f>
        <v>71</v>
      </c>
      <c r="D146" s="999" t="str">
        <f t="shared" ca="1" si="3"/>
        <v>9/5/2088</v>
      </c>
      <c r="E146" s="999">
        <f t="shared" si="2"/>
        <v>0</v>
      </c>
      <c r="F146" s="2607">
        <f>IF(C146&lt;100,UMANG!CN143," ")</f>
        <v>1179800</v>
      </c>
      <c r="G146" s="2608"/>
      <c r="H146" s="2607">
        <f>IF(C146&lt;100,UMANG!CO143," ")</f>
        <v>1179800</v>
      </c>
      <c r="I146" s="2608"/>
      <c r="J146" s="1000">
        <f>IF(C146&lt;100,UMANG!BI142," ")</f>
        <v>143058</v>
      </c>
      <c r="K146" s="1000">
        <f>IF(C146&lt;100,UMANG!BJ142," ")</f>
        <v>80000</v>
      </c>
      <c r="L146" s="2609">
        <f>IF(C146&lt;101,UMANG!BL143," ")</f>
        <v>16000</v>
      </c>
      <c r="M146" s="2610"/>
      <c r="N146" s="690"/>
      <c r="O146" s="690"/>
      <c r="P146" s="690"/>
      <c r="Q146" s="690"/>
    </row>
    <row r="147" spans="1:17" ht="14.45" customHeight="1">
      <c r="A147" s="989">
        <v>72</v>
      </c>
      <c r="B147" s="692"/>
      <c r="C147" s="999">
        <f>IF(A147&lt;=A$68,UMANG!F$10+A146," ")</f>
        <v>72</v>
      </c>
      <c r="D147" s="999" t="str">
        <f t="shared" ca="1" si="3"/>
        <v>9/5/2089</v>
      </c>
      <c r="E147" s="999">
        <f t="shared" si="2"/>
        <v>0</v>
      </c>
      <c r="F147" s="2607">
        <f>IF(C147&lt;100,UMANG!CN144," ")</f>
        <v>1193600</v>
      </c>
      <c r="G147" s="2608"/>
      <c r="H147" s="2607">
        <f>IF(C147&lt;100,UMANG!CO144," ")</f>
        <v>1193600</v>
      </c>
      <c r="I147" s="2608"/>
      <c r="J147" s="1000">
        <f>IF(C147&lt;100,UMANG!BI143," ")</f>
        <v>144176</v>
      </c>
      <c r="K147" s="1000">
        <f>IF(C147&lt;100,UMANG!BJ143," ")</f>
        <v>80000</v>
      </c>
      <c r="L147" s="2609">
        <f>IF(C147&lt;101,UMANG!BL144," ")</f>
        <v>16000</v>
      </c>
      <c r="M147" s="2610"/>
      <c r="N147" s="690"/>
      <c r="O147" s="690"/>
      <c r="P147" s="690"/>
      <c r="Q147" s="690"/>
    </row>
    <row r="148" spans="1:17" ht="14.45" customHeight="1">
      <c r="A148" s="989">
        <v>73</v>
      </c>
      <c r="B148" s="692"/>
      <c r="C148" s="999">
        <f>IF(A148&lt;=A$68,UMANG!F$10+A147," ")</f>
        <v>73</v>
      </c>
      <c r="D148" s="999" t="str">
        <f t="shared" ca="1" si="3"/>
        <v>9/5/2090</v>
      </c>
      <c r="E148" s="999">
        <f t="shared" si="2"/>
        <v>0</v>
      </c>
      <c r="F148" s="2607">
        <f>IF(C148&lt;100,UMANG!CN145," ")</f>
        <v>1207400</v>
      </c>
      <c r="G148" s="2608"/>
      <c r="H148" s="2607">
        <f>IF(C148&lt;100,UMANG!CO145," ")</f>
        <v>1207400</v>
      </c>
      <c r="I148" s="2608"/>
      <c r="J148" s="1000">
        <f>IF(C148&lt;100,UMANG!BI144," ")</f>
        <v>144634</v>
      </c>
      <c r="K148" s="1000">
        <f>IF(C148&lt;100,UMANG!BJ144," ")</f>
        <v>80000</v>
      </c>
      <c r="L148" s="2609">
        <f>IF(C148&lt;101,UMANG!BL145," ")</f>
        <v>16000</v>
      </c>
      <c r="M148" s="2610"/>
      <c r="N148" s="690"/>
      <c r="O148" s="690"/>
      <c r="P148" s="690"/>
      <c r="Q148" s="690"/>
    </row>
    <row r="149" spans="1:17" ht="14.45" customHeight="1">
      <c r="A149" s="989">
        <v>74</v>
      </c>
      <c r="B149" s="692"/>
      <c r="C149" s="999">
        <f>IF(A149&lt;=A$68,UMANG!F$10+A148," ")</f>
        <v>74</v>
      </c>
      <c r="D149" s="999" t="str">
        <f t="shared" ca="1" si="3"/>
        <v>9/5/2091</v>
      </c>
      <c r="E149" s="999">
        <f t="shared" si="2"/>
        <v>0</v>
      </c>
      <c r="F149" s="2607">
        <f>IF(C149&lt;100,UMANG!CN146," ")</f>
        <v>1221200</v>
      </c>
      <c r="G149" s="2608"/>
      <c r="H149" s="2607">
        <f>IF(C149&lt;100,UMANG!CO146," ")</f>
        <v>1221200</v>
      </c>
      <c r="I149" s="2608"/>
      <c r="J149" s="1000">
        <f>IF(C149&lt;100,UMANG!BI145," ")</f>
        <v>143956</v>
      </c>
      <c r="K149" s="1000">
        <f>IF(C149&lt;100,UMANG!BJ145," ")</f>
        <v>80000</v>
      </c>
      <c r="L149" s="2609">
        <f>IF(C149&lt;101,UMANG!BL146," ")</f>
        <v>16000</v>
      </c>
      <c r="M149" s="2610"/>
      <c r="N149" s="690"/>
      <c r="O149" s="690"/>
      <c r="P149" s="690"/>
      <c r="Q149" s="690"/>
    </row>
    <row r="150" spans="1:17" ht="14.45" customHeight="1">
      <c r="A150" s="989">
        <v>75</v>
      </c>
      <c r="B150" s="692"/>
      <c r="C150" s="999">
        <f>IF(A150&lt;=A$68,UMANG!F$10+A149," ")</f>
        <v>75</v>
      </c>
      <c r="D150" s="999" t="str">
        <f t="shared" ca="1" si="3"/>
        <v>9/5/2092</v>
      </c>
      <c r="E150" s="999">
        <f t="shared" si="2"/>
        <v>0</v>
      </c>
      <c r="F150" s="2607">
        <f>IF(C150&lt;100,UMANG!CN147," ")</f>
        <v>1235000</v>
      </c>
      <c r="G150" s="2608"/>
      <c r="H150" s="2607">
        <f>IF(C150&lt;100,UMANG!CO147," ")</f>
        <v>1235000</v>
      </c>
      <c r="I150" s="2608"/>
      <c r="J150" s="1000">
        <f>IF(C150&lt;100,UMANG!BI146," ")</f>
        <v>145036</v>
      </c>
      <c r="K150" s="1000">
        <f>IF(C150&lt;100,UMANG!BJ146," ")</f>
        <v>80000</v>
      </c>
      <c r="L150" s="2609">
        <f>IF(C150&lt;101,UMANG!BL147," ")</f>
        <v>16000</v>
      </c>
      <c r="M150" s="2610"/>
      <c r="N150" s="690"/>
      <c r="O150" s="690"/>
      <c r="P150" s="690"/>
      <c r="Q150" s="690"/>
    </row>
    <row r="151" spans="1:17" ht="14.45" customHeight="1">
      <c r="A151" s="989">
        <v>76</v>
      </c>
      <c r="B151" s="692"/>
      <c r="C151" s="999">
        <f>IF(A151&lt;=A$68,UMANG!F$10+A150," ")</f>
        <v>76</v>
      </c>
      <c r="D151" s="999" t="str">
        <f t="shared" ca="1" si="3"/>
        <v>9/5/2093</v>
      </c>
      <c r="E151" s="999">
        <f t="shared" si="2"/>
        <v>0</v>
      </c>
      <c r="F151" s="2607">
        <f>IF(C151&lt;100,UMANG!CN148," ")</f>
        <v>1248800</v>
      </c>
      <c r="G151" s="2608"/>
      <c r="H151" s="2607">
        <f>IF(C151&lt;100,UMANG!CO148," ")</f>
        <v>1248800</v>
      </c>
      <c r="I151" s="2608"/>
      <c r="J151" s="1000">
        <f>IF(C151&lt;100,UMANG!BI147," ")</f>
        <v>146117</v>
      </c>
      <c r="K151" s="1000">
        <f>IF(C151&lt;100,UMANG!BJ147," ")</f>
        <v>80000</v>
      </c>
      <c r="L151" s="2609">
        <f>IF(C151&lt;101,UMANG!BL148," ")</f>
        <v>16000</v>
      </c>
      <c r="M151" s="2610"/>
      <c r="N151" s="690"/>
      <c r="O151" s="690"/>
      <c r="P151" s="690"/>
      <c r="Q151" s="690"/>
    </row>
    <row r="152" spans="1:17" ht="14.45" customHeight="1">
      <c r="A152" s="989">
        <v>77</v>
      </c>
      <c r="B152" s="692"/>
      <c r="C152" s="999">
        <f>IF(A152&lt;=A$68,UMANG!F$10+A151," ")</f>
        <v>77</v>
      </c>
      <c r="D152" s="999" t="str">
        <f t="shared" ca="1" si="3"/>
        <v>9/5/2094</v>
      </c>
      <c r="E152" s="999">
        <f t="shared" si="2"/>
        <v>0</v>
      </c>
      <c r="F152" s="2607">
        <f>IF(C152&lt;100,UMANG!CN149," ")</f>
        <v>1262600</v>
      </c>
      <c r="G152" s="2608"/>
      <c r="H152" s="2607">
        <f>IF(C152&lt;100,UMANG!CO149," ")</f>
        <v>1262600</v>
      </c>
      <c r="I152" s="2608"/>
      <c r="J152" s="1000">
        <f>IF(C152&lt;100,UMANG!BI148," ")</f>
        <v>147198</v>
      </c>
      <c r="K152" s="1000">
        <f>IF(C152&lt;100,UMANG!BJ148," ")</f>
        <v>80000</v>
      </c>
      <c r="L152" s="2609">
        <f>IF(C152&lt;101,UMANG!BL149," ")</f>
        <v>16000</v>
      </c>
      <c r="M152" s="2610"/>
      <c r="N152" s="690"/>
      <c r="O152" s="690"/>
      <c r="P152" s="690"/>
      <c r="Q152" s="690"/>
    </row>
    <row r="153" spans="1:17" ht="14.45" customHeight="1">
      <c r="A153" s="989">
        <v>78</v>
      </c>
      <c r="B153" s="692"/>
      <c r="C153" s="999">
        <f>IF(A153&lt;=A$68,UMANG!F$10+A152," ")</f>
        <v>78</v>
      </c>
      <c r="D153" s="999" t="str">
        <f t="shared" ca="1" si="3"/>
        <v>9/5/2095</v>
      </c>
      <c r="E153" s="999">
        <f t="shared" ref="E153:E176" si="4">IF(C153&lt;=100,0," ")</f>
        <v>0</v>
      </c>
      <c r="F153" s="2607">
        <f>IF(C153&lt;100,UMANG!CN150," ")</f>
        <v>1276400</v>
      </c>
      <c r="G153" s="2608"/>
      <c r="H153" s="2607">
        <f>IF(C153&lt;100,UMANG!CO150," ")</f>
        <v>1276400</v>
      </c>
      <c r="I153" s="2608"/>
      <c r="J153" s="1000">
        <f>IF(C153&lt;100,UMANG!BI149," ")</f>
        <v>147344</v>
      </c>
      <c r="K153" s="1000">
        <f>IF(C153&lt;100,UMANG!BJ149," ")</f>
        <v>80000</v>
      </c>
      <c r="L153" s="2609">
        <f>IF(C153&lt;101,UMANG!BL150," ")</f>
        <v>16000</v>
      </c>
      <c r="M153" s="2610"/>
      <c r="N153" s="690"/>
      <c r="O153" s="690"/>
      <c r="P153" s="690"/>
      <c r="Q153" s="690"/>
    </row>
    <row r="154" spans="1:17" ht="14.45" customHeight="1">
      <c r="A154" s="989">
        <v>79</v>
      </c>
      <c r="B154" s="692"/>
      <c r="C154" s="999">
        <f>IF(A154&lt;=A$68,UMANG!F$10+A153," ")</f>
        <v>79</v>
      </c>
      <c r="D154" s="999" t="str">
        <f t="shared" ref="D154:D176" ca="1" si="5">IF(A154&lt;=A$68,(((DAY(NOW())&amp;"/")&amp;MONTH(NOW()))&amp;"/")&amp;((YEAR(NOW())))+A153," ")</f>
        <v>9/5/2096</v>
      </c>
      <c r="E154" s="999">
        <f t="shared" si="4"/>
        <v>0</v>
      </c>
      <c r="F154" s="2607">
        <f>IF(C154&lt;100,UMANG!CN151," ")</f>
        <v>1290200</v>
      </c>
      <c r="G154" s="2608"/>
      <c r="H154" s="2607">
        <f>IF(C154&lt;100,UMANG!CO151," ")</f>
        <v>1290200</v>
      </c>
      <c r="I154" s="2608"/>
      <c r="J154" s="1000">
        <f>IF(C154&lt;100,UMANG!BI150," ")</f>
        <v>148406</v>
      </c>
      <c r="K154" s="1000">
        <f>IF(C154&lt;100,UMANG!BJ150," ")</f>
        <v>80000</v>
      </c>
      <c r="L154" s="2609">
        <f>IF(C154&lt;101,UMANG!BL151," ")</f>
        <v>16000</v>
      </c>
      <c r="M154" s="2610"/>
      <c r="N154" s="690"/>
      <c r="O154" s="690"/>
      <c r="P154" s="690"/>
      <c r="Q154" s="690"/>
    </row>
    <row r="155" spans="1:17" ht="14.45" customHeight="1">
      <c r="A155" s="989">
        <v>80</v>
      </c>
      <c r="B155" s="692"/>
      <c r="C155" s="999">
        <f>IF(A155&lt;=A$68,UMANG!F$10+A154," ")</f>
        <v>80</v>
      </c>
      <c r="D155" s="999" t="str">
        <f t="shared" ca="1" si="5"/>
        <v>9/5/2097</v>
      </c>
      <c r="E155" s="999">
        <f t="shared" si="4"/>
        <v>0</v>
      </c>
      <c r="F155" s="2607">
        <f>IF(C155&lt;100,UMANG!CN152," ")</f>
        <v>1304000</v>
      </c>
      <c r="G155" s="2608"/>
      <c r="H155" s="2607">
        <f>IF(C155&lt;100,UMANG!CO152," ")</f>
        <v>1304000</v>
      </c>
      <c r="I155" s="2608"/>
      <c r="J155" s="1000">
        <f>IF(C155&lt;100,UMANG!BI151," ")</f>
        <v>149487</v>
      </c>
      <c r="K155" s="1000">
        <f>IF(C155&lt;100,UMANG!BJ151," ")</f>
        <v>80000</v>
      </c>
      <c r="L155" s="2609">
        <f>IF(C155&lt;101,UMANG!BL152," ")</f>
        <v>16000</v>
      </c>
      <c r="M155" s="2610"/>
      <c r="N155" s="690"/>
      <c r="O155" s="690"/>
      <c r="P155" s="690"/>
      <c r="Q155" s="690"/>
    </row>
    <row r="156" spans="1:17" ht="14.45" customHeight="1">
      <c r="A156" s="989">
        <v>81</v>
      </c>
      <c r="B156" s="692"/>
      <c r="C156" s="999">
        <f>IF(A156&lt;=A$68,UMANG!F$10+A155," ")</f>
        <v>81</v>
      </c>
      <c r="D156" s="999" t="str">
        <f t="shared" ca="1" si="5"/>
        <v>9/5/2098</v>
      </c>
      <c r="E156" s="999">
        <f t="shared" si="4"/>
        <v>0</v>
      </c>
      <c r="F156" s="2607">
        <f>IF(C156&lt;100,UMANG!CN153," ")</f>
        <v>1317800</v>
      </c>
      <c r="G156" s="2608"/>
      <c r="H156" s="2607">
        <f>IF(C156&lt;100,UMANG!CO153," ")</f>
        <v>1317800</v>
      </c>
      <c r="I156" s="2608"/>
      <c r="J156" s="1000">
        <f>IF(C156&lt;100,UMANG!BI152," ")</f>
        <v>150568</v>
      </c>
      <c r="K156" s="1000">
        <f>IF(C156&lt;100,UMANG!BJ152," ")</f>
        <v>80000</v>
      </c>
      <c r="L156" s="2609">
        <f>IF(C156&lt;101,UMANG!BL153," ")</f>
        <v>16000</v>
      </c>
      <c r="M156" s="2610"/>
      <c r="N156" s="690"/>
      <c r="O156" s="690"/>
      <c r="P156" s="690"/>
      <c r="Q156" s="690"/>
    </row>
    <row r="157" spans="1:17" ht="14.45" customHeight="1">
      <c r="A157" s="989">
        <v>82</v>
      </c>
      <c r="B157" s="692"/>
      <c r="C157" s="999">
        <f>IF(A157&lt;=A$68,UMANG!F$10+A156," ")</f>
        <v>82</v>
      </c>
      <c r="D157" s="999" t="str">
        <f t="shared" ca="1" si="5"/>
        <v>9/5/2099</v>
      </c>
      <c r="E157" s="999">
        <f t="shared" si="4"/>
        <v>0</v>
      </c>
      <c r="F157" s="2607">
        <f>IF(C157&lt;100,UMANG!CN154," ")</f>
        <v>1331600</v>
      </c>
      <c r="G157" s="2608"/>
      <c r="H157" s="2607">
        <f>IF(C157&lt;100,UMANG!CO154," ")</f>
        <v>1331600</v>
      </c>
      <c r="I157" s="2608"/>
      <c r="J157" s="1000">
        <f>IF(C157&lt;100,UMANG!BI153," ")</f>
        <v>148846</v>
      </c>
      <c r="K157" s="1000">
        <f>IF(C157&lt;100,UMANG!BJ153," ")</f>
        <v>80000</v>
      </c>
      <c r="L157" s="2609">
        <f>IF(C157&lt;101,UMANG!BL154," ")</f>
        <v>16000</v>
      </c>
      <c r="M157" s="2610"/>
      <c r="N157" s="690"/>
      <c r="O157" s="690"/>
      <c r="P157" s="690"/>
      <c r="Q157" s="690"/>
    </row>
    <row r="158" spans="1:17" ht="14.45" customHeight="1">
      <c r="A158" s="989">
        <v>83</v>
      </c>
      <c r="B158" s="692"/>
      <c r="C158" s="999">
        <f>IF(A158&lt;=A$68,UMANG!F$10+A157," ")</f>
        <v>83</v>
      </c>
      <c r="D158" s="999" t="str">
        <f t="shared" ca="1" si="5"/>
        <v>9/5/2100</v>
      </c>
      <c r="E158" s="999">
        <f t="shared" si="4"/>
        <v>0</v>
      </c>
      <c r="F158" s="2607">
        <f>IF(C158&lt;100,UMANG!CN155," ")</f>
        <v>1345400</v>
      </c>
      <c r="G158" s="2608"/>
      <c r="H158" s="2607">
        <f>IF(C158&lt;100,UMANG!CO155," ")</f>
        <v>1345400</v>
      </c>
      <c r="I158" s="2608"/>
      <c r="J158" s="1000">
        <f>IF(C158&lt;100,UMANG!BI154," ")</f>
        <v>149908</v>
      </c>
      <c r="K158" s="1000">
        <f>IF(C158&lt;100,UMANG!BJ154," ")</f>
        <v>80000</v>
      </c>
      <c r="L158" s="2609">
        <f>IF(C158&lt;101,UMANG!BL155," ")</f>
        <v>16000</v>
      </c>
      <c r="M158" s="2610"/>
      <c r="N158" s="690"/>
      <c r="O158" s="690"/>
      <c r="P158" s="690"/>
      <c r="Q158" s="690"/>
    </row>
    <row r="159" spans="1:17" ht="14.45" customHeight="1">
      <c r="A159" s="989">
        <v>84</v>
      </c>
      <c r="B159" s="692"/>
      <c r="C159" s="999">
        <f>IF(A159&lt;=A$68,UMANG!F$10+A158," ")</f>
        <v>84</v>
      </c>
      <c r="D159" s="999" t="str">
        <f t="shared" ca="1" si="5"/>
        <v>9/5/2101</v>
      </c>
      <c r="E159" s="999">
        <f t="shared" si="4"/>
        <v>0</v>
      </c>
      <c r="F159" s="2607">
        <f>IF(C159&lt;100,UMANG!CN156," ")</f>
        <v>1359200</v>
      </c>
      <c r="G159" s="2608"/>
      <c r="H159" s="2607">
        <f>IF(C159&lt;100,UMANG!CO156," ")</f>
        <v>1359200</v>
      </c>
      <c r="I159" s="2608"/>
      <c r="J159" s="1000">
        <f>IF(C159&lt;100,UMANG!BI155," ")</f>
        <v>150989</v>
      </c>
      <c r="K159" s="1000">
        <f>IF(C159&lt;100,UMANG!BJ155," ")</f>
        <v>80000</v>
      </c>
      <c r="L159" s="2609">
        <f>IF(C159&lt;101,UMANG!BL156," ")</f>
        <v>16000</v>
      </c>
      <c r="M159" s="2610"/>
      <c r="N159" s="690"/>
      <c r="O159" s="690"/>
      <c r="P159" s="690"/>
      <c r="Q159" s="690"/>
    </row>
    <row r="160" spans="1:17" ht="14.45" customHeight="1">
      <c r="A160" s="989">
        <v>85</v>
      </c>
      <c r="B160" s="692"/>
      <c r="C160" s="999">
        <f>IF(A160&lt;=A$68,UMANG!F$10+A159," ")</f>
        <v>85</v>
      </c>
      <c r="D160" s="999" t="str">
        <f t="shared" ca="1" si="5"/>
        <v>9/5/2102</v>
      </c>
      <c r="E160" s="999">
        <f t="shared" si="4"/>
        <v>0</v>
      </c>
      <c r="F160" s="2607">
        <f>IF(C160&lt;100,UMANG!CN157," ")</f>
        <v>1373000</v>
      </c>
      <c r="G160" s="2608"/>
      <c r="H160" s="2607">
        <f>IF(C160&lt;100,UMANG!CO157," ")</f>
        <v>1373000</v>
      </c>
      <c r="I160" s="2608"/>
      <c r="J160" s="1000">
        <f>IF(C160&lt;100,UMANG!BI156," ")</f>
        <v>152069</v>
      </c>
      <c r="K160" s="1000">
        <f>IF(C160&lt;100,UMANG!BJ156," ")</f>
        <v>80000</v>
      </c>
      <c r="L160" s="2609">
        <f>IF(C160&lt;101,UMANG!BL157," ")</f>
        <v>16000</v>
      </c>
      <c r="M160" s="2610"/>
      <c r="N160" s="690"/>
      <c r="O160" s="690"/>
      <c r="P160" s="690"/>
      <c r="Q160" s="690"/>
    </row>
    <row r="161" spans="1:17" ht="14.45" customHeight="1">
      <c r="A161" s="989">
        <v>86</v>
      </c>
      <c r="B161" s="692"/>
      <c r="C161" s="999">
        <f>IF(A161&lt;=A$68,UMANG!F$10+A160," ")</f>
        <v>86</v>
      </c>
      <c r="D161" s="999" t="str">
        <f t="shared" ca="1" si="5"/>
        <v>9/5/2103</v>
      </c>
      <c r="E161" s="999">
        <f t="shared" si="4"/>
        <v>0</v>
      </c>
      <c r="F161" s="2607">
        <f>IF(C161&lt;100,UMANG!CN158," ")</f>
        <v>1386800</v>
      </c>
      <c r="G161" s="2608"/>
      <c r="H161" s="2607">
        <f>IF(C161&lt;100,UMANG!CO158," ")</f>
        <v>1386800</v>
      </c>
      <c r="I161" s="2608"/>
      <c r="J161" s="1000">
        <f>IF(C161&lt;100,UMANG!BI157," ")</f>
        <v>153132</v>
      </c>
      <c r="K161" s="1000">
        <f>IF(C161&lt;100,UMANG!BJ157," ")</f>
        <v>80000</v>
      </c>
      <c r="L161" s="2609">
        <f>IF(C161&lt;101,UMANG!BL158," ")</f>
        <v>16000</v>
      </c>
      <c r="M161" s="2610"/>
      <c r="N161" s="690"/>
      <c r="O161" s="690"/>
      <c r="P161" s="690"/>
      <c r="Q161" s="690"/>
    </row>
    <row r="162" spans="1:17" ht="14.45" customHeight="1">
      <c r="A162" s="989">
        <v>87</v>
      </c>
      <c r="B162" s="692"/>
      <c r="C162" s="999">
        <f>IF(A162&lt;=A$68,UMANG!F$10+A161," ")</f>
        <v>87</v>
      </c>
      <c r="D162" s="999" t="str">
        <f t="shared" ca="1" si="5"/>
        <v>9/5/2104</v>
      </c>
      <c r="E162" s="999">
        <f t="shared" si="4"/>
        <v>0</v>
      </c>
      <c r="F162" s="2607">
        <f>IF(C162&lt;100,UMANG!CN159," ")</f>
        <v>1400600</v>
      </c>
      <c r="G162" s="2608"/>
      <c r="H162" s="2607">
        <f>IF(C162&lt;100,UMANG!CO159," ")</f>
        <v>1400600</v>
      </c>
      <c r="I162" s="2608"/>
      <c r="J162" s="1000">
        <f>IF(C162&lt;100,UMANG!BI158," ")</f>
        <v>154652</v>
      </c>
      <c r="K162" s="1000">
        <f>IF(C162&lt;100,UMANG!BJ158," ")</f>
        <v>80000</v>
      </c>
      <c r="L162" s="2609">
        <f>IF(C162&lt;101,UMANG!BL159," ")</f>
        <v>16000</v>
      </c>
      <c r="M162" s="2610"/>
      <c r="N162" s="690"/>
      <c r="O162" s="690"/>
      <c r="P162" s="690"/>
      <c r="Q162" s="690"/>
    </row>
    <row r="163" spans="1:17" ht="14.45" customHeight="1">
      <c r="A163" s="989">
        <v>88</v>
      </c>
      <c r="B163" s="692"/>
      <c r="C163" s="999">
        <f>IF(A163&lt;=A$68,UMANG!F$10+A162," ")</f>
        <v>88</v>
      </c>
      <c r="D163" s="999" t="str">
        <f t="shared" ca="1" si="5"/>
        <v>9/5/2105</v>
      </c>
      <c r="E163" s="999">
        <f t="shared" si="4"/>
        <v>0</v>
      </c>
      <c r="F163" s="2607">
        <f>IF(C163&lt;100,UMANG!CN160," ")</f>
        <v>1414400</v>
      </c>
      <c r="G163" s="2608"/>
      <c r="H163" s="2607">
        <f>IF(C163&lt;100,UMANG!CO160," ")</f>
        <v>1414400</v>
      </c>
      <c r="I163" s="2608"/>
      <c r="J163" s="1000">
        <f>IF(C163&lt;100,UMANG!BI159," ")</f>
        <v>156209</v>
      </c>
      <c r="K163" s="1000">
        <f>IF(C163&lt;100,UMANG!BJ159," ")</f>
        <v>80000</v>
      </c>
      <c r="L163" s="2609">
        <f>IF(C163&lt;101,UMANG!BL160," ")</f>
        <v>16000</v>
      </c>
      <c r="M163" s="2610"/>
      <c r="N163" s="690"/>
      <c r="O163" s="690"/>
      <c r="P163" s="690"/>
      <c r="Q163" s="690"/>
    </row>
    <row r="164" spans="1:17" ht="14.45" customHeight="1">
      <c r="A164" s="989">
        <v>89</v>
      </c>
      <c r="B164" s="692"/>
      <c r="C164" s="999">
        <f>IF(A164&lt;=A$68,UMANG!F$10+A163," ")</f>
        <v>89</v>
      </c>
      <c r="D164" s="999" t="str">
        <f t="shared" ca="1" si="5"/>
        <v>9/5/2106</v>
      </c>
      <c r="E164" s="999">
        <f t="shared" si="4"/>
        <v>0</v>
      </c>
      <c r="F164" s="2607">
        <f>IF(C164&lt;100,UMANG!CN161," ")</f>
        <v>1428200</v>
      </c>
      <c r="G164" s="2608"/>
      <c r="H164" s="2607">
        <f>IF(C164&lt;100,UMANG!CO161," ")</f>
        <v>1428200</v>
      </c>
      <c r="I164" s="2608"/>
      <c r="J164" s="1000">
        <f>IF(C164&lt;100,UMANG!BI160," ")</f>
        <v>157143</v>
      </c>
      <c r="K164" s="1000">
        <f>IF(C164&lt;100,UMANG!BJ160," ")</f>
        <v>80000</v>
      </c>
      <c r="L164" s="2609">
        <f>IF(C164&lt;101,UMANG!BL161," ")</f>
        <v>16000</v>
      </c>
      <c r="M164" s="2610"/>
      <c r="N164" s="690"/>
      <c r="O164" s="690"/>
      <c r="P164" s="690"/>
      <c r="Q164" s="690"/>
    </row>
    <row r="165" spans="1:17" ht="14.45" customHeight="1">
      <c r="A165" s="989">
        <v>90</v>
      </c>
      <c r="B165" s="692"/>
      <c r="C165" s="999">
        <f>IF(A165&lt;=A$68,UMANG!F$10+A164," ")</f>
        <v>90</v>
      </c>
      <c r="D165" s="999" t="str">
        <f t="shared" ca="1" si="5"/>
        <v>9/5/2107</v>
      </c>
      <c r="E165" s="999">
        <f t="shared" si="4"/>
        <v>0</v>
      </c>
      <c r="F165" s="2607">
        <f>IF(C165&lt;100,UMANG!CN162," ")</f>
        <v>1442000</v>
      </c>
      <c r="G165" s="2608"/>
      <c r="H165" s="2607">
        <f>IF(C165&lt;100,UMANG!CO162," ")</f>
        <v>1442000</v>
      </c>
      <c r="I165" s="2608"/>
      <c r="J165" s="1000">
        <f>IF(C165&lt;100,UMANG!BI161," ")</f>
        <v>158095</v>
      </c>
      <c r="K165" s="1000">
        <f>IF(C165&lt;100,UMANG!BJ161," ")</f>
        <v>80000</v>
      </c>
      <c r="L165" s="2609">
        <f>IF(C165&lt;101,UMANG!BL162," ")</f>
        <v>16000</v>
      </c>
      <c r="M165" s="2610"/>
      <c r="N165" s="690"/>
      <c r="O165" s="690"/>
      <c r="P165" s="690"/>
      <c r="Q165" s="690"/>
    </row>
    <row r="166" spans="1:17" ht="14.45" customHeight="1">
      <c r="A166" s="989">
        <v>91</v>
      </c>
      <c r="B166" s="690"/>
      <c r="C166" s="999">
        <f>IF(A166&lt;=A$68,UMANG!F$10+A165," ")</f>
        <v>91</v>
      </c>
      <c r="D166" s="999" t="str">
        <f t="shared" ca="1" si="5"/>
        <v>9/5/2108</v>
      </c>
      <c r="E166" s="999">
        <f t="shared" si="4"/>
        <v>0</v>
      </c>
      <c r="F166" s="2607">
        <f>IF(C166&lt;100,UMANG!CN163," ")</f>
        <v>1455800</v>
      </c>
      <c r="G166" s="2608"/>
      <c r="H166" s="2607">
        <f>IF(C166&lt;100,UMANG!CO163," ")</f>
        <v>1455800</v>
      </c>
      <c r="I166" s="2608"/>
      <c r="J166" s="1000">
        <f>IF(C166&lt;100,UMANG!BI162," ")</f>
        <v>159029</v>
      </c>
      <c r="K166" s="1000">
        <f>IF(C166&lt;100,UMANG!BJ162," ")</f>
        <v>80000</v>
      </c>
      <c r="L166" s="2609">
        <f>IF(C166&lt;101,UMANG!BL163," ")</f>
        <v>16000</v>
      </c>
      <c r="M166" s="2610"/>
      <c r="N166" s="690"/>
      <c r="O166" s="690"/>
      <c r="P166" s="690"/>
      <c r="Q166" s="690"/>
    </row>
    <row r="167" spans="1:17" ht="14.45" customHeight="1">
      <c r="A167" s="989">
        <v>92</v>
      </c>
      <c r="B167" s="690"/>
      <c r="C167" s="999">
        <f>IF(A167&lt;=A$68,UMANG!F$10+A166," ")</f>
        <v>92</v>
      </c>
      <c r="D167" s="999" t="str">
        <f t="shared" ca="1" si="5"/>
        <v>9/5/2109</v>
      </c>
      <c r="E167" s="999">
        <f t="shared" si="4"/>
        <v>0</v>
      </c>
      <c r="F167" s="2607">
        <f>IF(C167&lt;100,UMANG!CN164," ")</f>
        <v>1469600</v>
      </c>
      <c r="G167" s="2608"/>
      <c r="H167" s="2607">
        <f>IF(C167&lt;100,UMANG!CO164," ")</f>
        <v>1469600</v>
      </c>
      <c r="I167" s="2608"/>
      <c r="J167" s="1000">
        <f>IF(C167&lt;100,UMANG!BI163," ")</f>
        <v>159982</v>
      </c>
      <c r="K167" s="1000">
        <f>IF(C167&lt;100,UMANG!BJ163," ")</f>
        <v>80000</v>
      </c>
      <c r="L167" s="2609">
        <f>IF(C167&lt;101,UMANG!BL164," ")</f>
        <v>16000</v>
      </c>
      <c r="M167" s="2610"/>
      <c r="N167" s="690"/>
      <c r="O167" s="690"/>
      <c r="P167" s="690"/>
      <c r="Q167" s="690"/>
    </row>
    <row r="168" spans="1:17" ht="14.45" customHeight="1">
      <c r="A168" s="989">
        <v>93</v>
      </c>
      <c r="B168" s="690"/>
      <c r="C168" s="999">
        <f>IF(A168&lt;=A$68,UMANG!F$10+A167," ")</f>
        <v>93</v>
      </c>
      <c r="D168" s="999" t="str">
        <f t="shared" ca="1" si="5"/>
        <v>9/5/2110</v>
      </c>
      <c r="E168" s="999">
        <f t="shared" si="4"/>
        <v>0</v>
      </c>
      <c r="F168" s="2607">
        <f>IF(C168&lt;100,UMANG!CN165," ")</f>
        <v>1483400</v>
      </c>
      <c r="G168" s="2608"/>
      <c r="H168" s="2607">
        <f>IF(C168&lt;100,UMANG!CO165," ")</f>
        <v>1483400</v>
      </c>
      <c r="I168" s="2608"/>
      <c r="J168" s="1000">
        <f>IF(C168&lt;100,UMANG!BI164," ")</f>
        <v>161007</v>
      </c>
      <c r="K168" s="1000">
        <f>IF(C168&lt;100,UMANG!BJ164," ")</f>
        <v>80000</v>
      </c>
      <c r="L168" s="2609">
        <f>IF(C168&lt;101,UMANG!BL165," ")</f>
        <v>16000</v>
      </c>
      <c r="M168" s="2610"/>
      <c r="N168" s="690"/>
      <c r="O168" s="690"/>
      <c r="P168" s="690"/>
      <c r="Q168" s="690"/>
    </row>
    <row r="169" spans="1:17" ht="14.45" customHeight="1">
      <c r="A169" s="989">
        <v>94</v>
      </c>
      <c r="B169" s="690"/>
      <c r="C169" s="999">
        <f>IF(A169&lt;=A$68,UMANG!F$10+A168," ")</f>
        <v>94</v>
      </c>
      <c r="D169" s="999" t="str">
        <f t="shared" ca="1" si="5"/>
        <v>9/5/2111</v>
      </c>
      <c r="E169" s="999">
        <f t="shared" si="4"/>
        <v>0</v>
      </c>
      <c r="F169" s="2607">
        <f>IF(C169&lt;100,UMANG!CN166," ")</f>
        <v>1497200</v>
      </c>
      <c r="G169" s="2608"/>
      <c r="H169" s="2607">
        <f>IF(C169&lt;100,UMANG!CO166," ")</f>
        <v>1497200</v>
      </c>
      <c r="I169" s="2608"/>
      <c r="J169" s="1000">
        <f>IF(C169&lt;100,UMANG!BI165," ")</f>
        <v>161960</v>
      </c>
      <c r="K169" s="1000">
        <f>IF(C169&lt;100,UMANG!BJ165," ")</f>
        <v>80000</v>
      </c>
      <c r="L169" s="2609">
        <f>IF(C169&lt;101,UMANG!BL166," ")</f>
        <v>16000</v>
      </c>
      <c r="M169" s="2610"/>
      <c r="N169" s="690"/>
      <c r="O169" s="690"/>
      <c r="P169" s="690"/>
      <c r="Q169" s="690"/>
    </row>
    <row r="170" spans="1:17" ht="14.45" customHeight="1">
      <c r="A170" s="989">
        <v>95</v>
      </c>
      <c r="B170" s="692"/>
      <c r="C170" s="999">
        <f>IF(A170&lt;=A$68,UMANG!F$10+A169," ")</f>
        <v>95</v>
      </c>
      <c r="D170" s="999" t="str">
        <f t="shared" ca="1" si="5"/>
        <v>9/5/2112</v>
      </c>
      <c r="E170" s="999">
        <f t="shared" si="4"/>
        <v>0</v>
      </c>
      <c r="F170" s="2607">
        <f>IF(C170&lt;100,UMANG!CN167," ")</f>
        <v>1511000</v>
      </c>
      <c r="G170" s="2608"/>
      <c r="H170" s="2607">
        <f>IF(C170&lt;100,UMANG!CO167," ")</f>
        <v>1511000</v>
      </c>
      <c r="I170" s="2608"/>
      <c r="J170" s="1000">
        <f>IF(C170&lt;100,UMANG!BI166," ")</f>
        <v>163004</v>
      </c>
      <c r="K170" s="1000">
        <f>IF(C170&lt;100,UMANG!BJ166," ")</f>
        <v>80000</v>
      </c>
      <c r="L170" s="2609">
        <f>IF(C170&lt;101,UMANG!BL167," ")</f>
        <v>16000</v>
      </c>
      <c r="M170" s="2610"/>
      <c r="N170" s="690"/>
      <c r="O170" s="690"/>
      <c r="P170" s="690"/>
      <c r="Q170" s="690"/>
    </row>
    <row r="171" spans="1:17" ht="14.45" customHeight="1">
      <c r="A171" s="989">
        <v>96</v>
      </c>
      <c r="B171" s="692"/>
      <c r="C171" s="999">
        <f>IF(A171&lt;=A$68,UMANG!F$10+A170," ")</f>
        <v>96</v>
      </c>
      <c r="D171" s="999" t="str">
        <f t="shared" ca="1" si="5"/>
        <v>9/5/2113</v>
      </c>
      <c r="E171" s="999">
        <f t="shared" si="4"/>
        <v>0</v>
      </c>
      <c r="F171" s="2607">
        <f>IF(C171&lt;100,UMANG!CN168," ")</f>
        <v>1524800</v>
      </c>
      <c r="G171" s="2608"/>
      <c r="H171" s="2607">
        <f>IF(C171&lt;100,UMANG!CO168," ")</f>
        <v>1524800</v>
      </c>
      <c r="I171" s="2608"/>
      <c r="J171" s="1000">
        <f>IF(C171&lt;100,UMANG!BI167," ")</f>
        <v>161886</v>
      </c>
      <c r="K171" s="1000">
        <f>IF(C171&lt;100,UMANG!BJ167," ")</f>
        <v>80000</v>
      </c>
      <c r="L171" s="2609">
        <f>IF(C171&lt;101,UMANG!BL168," ")</f>
        <v>16000</v>
      </c>
      <c r="M171" s="2610"/>
      <c r="N171" s="690"/>
      <c r="O171" s="690"/>
      <c r="P171" s="690"/>
      <c r="Q171" s="690"/>
    </row>
    <row r="172" spans="1:17" ht="14.45" customHeight="1">
      <c r="A172" s="989">
        <v>97</v>
      </c>
      <c r="B172" s="692"/>
      <c r="C172" s="999">
        <f>IF(A172&lt;=A$68,UMANG!F$10+A171," ")</f>
        <v>97</v>
      </c>
      <c r="D172" s="999" t="str">
        <f t="shared" ca="1" si="5"/>
        <v>9/5/2114</v>
      </c>
      <c r="E172" s="999">
        <f t="shared" si="4"/>
        <v>0</v>
      </c>
      <c r="F172" s="2607">
        <f>IF(C172&lt;100,UMANG!CN169," ")</f>
        <v>1538600</v>
      </c>
      <c r="G172" s="2608"/>
      <c r="H172" s="2607">
        <f>IF(C172&lt;100,UMANG!CO169," ")</f>
        <v>1538600</v>
      </c>
      <c r="I172" s="2608"/>
      <c r="J172" s="1000">
        <f>IF(C172&lt;100,UMANG!BI168," ")</f>
        <v>162765</v>
      </c>
      <c r="K172" s="1000">
        <f>IF(C172&lt;100,UMANG!BJ168," ")</f>
        <v>80000</v>
      </c>
      <c r="L172" s="2609">
        <f>IF(C172&lt;101,UMANG!BL169," ")</f>
        <v>16000</v>
      </c>
      <c r="M172" s="2610"/>
      <c r="N172" s="690"/>
      <c r="O172" s="690"/>
      <c r="P172" s="690"/>
      <c r="Q172" s="690"/>
    </row>
    <row r="173" spans="1:17" ht="14.45" customHeight="1">
      <c r="A173" s="989">
        <v>98</v>
      </c>
      <c r="B173" s="692"/>
      <c r="C173" s="999">
        <f>IF(A173&lt;=A$68,UMANG!F$10+A172," ")</f>
        <v>98</v>
      </c>
      <c r="D173" s="999" t="str">
        <f t="shared" ca="1" si="5"/>
        <v>9/5/2115</v>
      </c>
      <c r="E173" s="999">
        <f t="shared" si="4"/>
        <v>0</v>
      </c>
      <c r="F173" s="2607">
        <f>IF(C173&lt;100,UMANG!CN170," ")</f>
        <v>1552400</v>
      </c>
      <c r="G173" s="2608"/>
      <c r="H173" s="2607">
        <f>IF(C173&lt;100,UMANG!CO170," ")</f>
        <v>1552400</v>
      </c>
      <c r="I173" s="2608"/>
      <c r="J173" s="1000">
        <f>IF(C173&lt;100,UMANG!BI169," ")</f>
        <v>164029</v>
      </c>
      <c r="K173" s="1000">
        <f>IF(C173&lt;100,UMANG!BJ169," ")</f>
        <v>80000</v>
      </c>
      <c r="L173" s="2609">
        <f>IF(C173&lt;101,UMANG!BL170," ")</f>
        <v>16000</v>
      </c>
      <c r="M173" s="2610"/>
      <c r="N173" s="690"/>
      <c r="O173" s="690"/>
      <c r="P173" s="690"/>
      <c r="Q173" s="690"/>
    </row>
    <row r="174" spans="1:17" ht="14.45" customHeight="1">
      <c r="A174" s="989">
        <v>99</v>
      </c>
      <c r="B174" s="692"/>
      <c r="C174" s="999">
        <f>IF(A174&lt;=A$68,UMANG!F$10+A173," ")</f>
        <v>99</v>
      </c>
      <c r="D174" s="999" t="str">
        <f t="shared" ca="1" si="5"/>
        <v>9/5/2116</v>
      </c>
      <c r="E174" s="999">
        <f t="shared" si="4"/>
        <v>0</v>
      </c>
      <c r="F174" s="2607">
        <f>IF(C174&lt;100,UMANG!CN171," ")</f>
        <v>1566200</v>
      </c>
      <c r="G174" s="2608"/>
      <c r="H174" s="2607">
        <f>IF(C174&lt;100,UMANG!CO171," ")</f>
        <v>1566200</v>
      </c>
      <c r="I174" s="2608"/>
      <c r="J174" s="1000">
        <f>IF(C174&lt;100,UMANG!BI170," ")</f>
        <v>164835</v>
      </c>
      <c r="K174" s="1000">
        <f>IF(C174&lt;100,UMANG!BJ170," ")</f>
        <v>80000</v>
      </c>
      <c r="L174" s="2609">
        <f>IF(C174&lt;101,UMANG!BL171," ")</f>
        <v>16000</v>
      </c>
      <c r="M174" s="2610"/>
      <c r="N174" s="690"/>
      <c r="O174" s="690"/>
      <c r="P174" s="690"/>
      <c r="Q174" s="690"/>
    </row>
    <row r="175" spans="1:17" ht="14.45" customHeight="1">
      <c r="A175" s="989">
        <v>100</v>
      </c>
      <c r="B175" s="692"/>
      <c r="C175" s="999">
        <f>IF(A175&lt;=A$68,UMANG!F$10+A174," ")</f>
        <v>100</v>
      </c>
      <c r="D175" s="999" t="str">
        <f t="shared" ca="1" si="5"/>
        <v>9/5/2117</v>
      </c>
      <c r="E175" s="999">
        <f t="shared" si="4"/>
        <v>0</v>
      </c>
      <c r="F175" s="2607" t="str">
        <f>IF(C175&lt;100,UMANG!CN172," ")</f>
        <v/>
      </c>
      <c r="G175" s="2608"/>
      <c r="H175" s="2607" t="str">
        <f>IF(C175&lt;100,UMANG!CO172," ")</f>
        <v/>
      </c>
      <c r="I175" s="2608"/>
      <c r="J175" s="1000" t="str">
        <f>IF(C175&lt;100,UMANG!BI171," ")</f>
        <v/>
      </c>
      <c r="K175" s="1000" t="str">
        <f>IF(C175&lt;100,UMANG!BJ171," ")</f>
        <v/>
      </c>
      <c r="L175" s="2609">
        <f>IF(C175&lt;101,UMANG!BL172," ")</f>
        <v>2290000</v>
      </c>
      <c r="M175" s="2610"/>
      <c r="N175" s="690"/>
      <c r="O175" s="690"/>
      <c r="P175" s="690"/>
      <c r="Q175" s="690"/>
    </row>
    <row r="176" spans="1:17" ht="14.45" customHeight="1">
      <c r="A176" s="989">
        <v>101</v>
      </c>
      <c r="B176" s="692"/>
      <c r="C176" s="999" t="str">
        <f>IF(A176&lt;=A$68,UMANG!F$10+A175," ")</f>
        <v/>
      </c>
      <c r="D176" s="999" t="str">
        <f t="shared" ca="1" si="5"/>
        <v xml:space="preserve"> </v>
      </c>
      <c r="E176" s="999" t="str">
        <f t="shared" si="4"/>
        <v/>
      </c>
      <c r="F176" s="2607" t="str">
        <f>IF(C176&lt;100,UMANG!CN173," ")</f>
        <v/>
      </c>
      <c r="G176" s="2608"/>
      <c r="H176" s="2607" t="str">
        <f>IF(C176&lt;100,UMANG!CO173," ")</f>
        <v/>
      </c>
      <c r="I176" s="2608"/>
      <c r="J176" s="1000" t="str">
        <f>IF(C176&lt;100,UMANG!BI172," ")</f>
        <v/>
      </c>
      <c r="K176" s="1000" t="str">
        <f>IF(C176&lt;100,UMANG!BJ172," ")</f>
        <v/>
      </c>
      <c r="L176" s="2609" t="str">
        <f>IF(C176&lt;101,UMANG!BL173," ")</f>
        <v/>
      </c>
      <c r="M176" s="2610"/>
      <c r="N176" s="690"/>
      <c r="O176" s="690"/>
      <c r="P176" s="690"/>
      <c r="Q176" s="690"/>
    </row>
    <row r="177" spans="1:17" ht="14.45" customHeight="1">
      <c r="A177" s="691"/>
      <c r="B177" s="690"/>
      <c r="C177" s="2622" t="s">
        <v>209</v>
      </c>
      <c r="D177" s="2622"/>
      <c r="E177" s="690"/>
      <c r="F177" s="690"/>
      <c r="G177" s="690"/>
      <c r="H177" s="690"/>
      <c r="I177" s="690"/>
      <c r="J177" s="690"/>
      <c r="K177" s="690"/>
      <c r="L177" s="690"/>
      <c r="M177" s="690"/>
      <c r="N177" s="690"/>
      <c r="O177" s="690"/>
      <c r="P177" s="690"/>
      <c r="Q177" s="690"/>
    </row>
    <row r="178" spans="1:17" ht="14.45" customHeight="1">
      <c r="A178" s="691"/>
      <c r="B178" s="693">
        <v>1</v>
      </c>
      <c r="C178" s="2623" t="s">
        <v>2130</v>
      </c>
      <c r="D178" s="2623"/>
      <c r="E178" s="2623"/>
      <c r="F178" s="2623"/>
      <c r="G178" s="2623"/>
      <c r="H178" s="2623"/>
      <c r="I178" s="2623"/>
      <c r="J178" s="2623"/>
      <c r="K178" s="2623"/>
      <c r="L178" s="2623"/>
      <c r="M178" s="2623"/>
      <c r="N178" s="690"/>
      <c r="O178" s="690"/>
      <c r="P178" s="690"/>
      <c r="Q178" s="690"/>
    </row>
    <row r="179" spans="1:17" ht="14.45" customHeight="1">
      <c r="A179" s="691"/>
      <c r="B179" s="692">
        <v>2</v>
      </c>
      <c r="C179" s="2624" t="s">
        <v>2089</v>
      </c>
      <c r="D179" s="2624"/>
      <c r="E179" s="2624"/>
      <c r="F179" s="2624"/>
      <c r="G179" s="2624"/>
      <c r="H179" s="2624"/>
      <c r="I179" s="2624"/>
      <c r="J179" s="2624"/>
      <c r="K179" s="2624"/>
      <c r="L179" s="2624"/>
      <c r="M179" s="2624"/>
      <c r="N179" s="690"/>
      <c r="O179" s="690"/>
      <c r="P179" s="690"/>
      <c r="Q179" s="690"/>
    </row>
    <row r="180" spans="1:17" ht="12.75" customHeight="1">
      <c r="A180" s="691"/>
      <c r="B180" s="692">
        <v>3</v>
      </c>
      <c r="C180" s="2624" t="s">
        <v>237</v>
      </c>
      <c r="D180" s="2624"/>
      <c r="E180" s="2624"/>
      <c r="F180" s="2624"/>
      <c r="G180" s="2624"/>
      <c r="H180" s="2624"/>
      <c r="I180" s="2624"/>
      <c r="J180" s="2624"/>
      <c r="K180" s="2624"/>
      <c r="L180" s="2624"/>
      <c r="M180" s="2624"/>
      <c r="N180" s="690"/>
      <c r="O180" s="690"/>
      <c r="P180" s="690"/>
      <c r="Q180" s="690"/>
    </row>
    <row r="181" spans="1:17" ht="14.45" customHeight="1">
      <c r="A181" s="691"/>
      <c r="B181" s="692"/>
      <c r="C181" s="996"/>
      <c r="D181" s="996"/>
      <c r="E181" s="996"/>
      <c r="F181" s="996"/>
      <c r="G181" s="996"/>
      <c r="H181" s="996"/>
      <c r="I181" s="996"/>
      <c r="J181" s="996"/>
      <c r="K181" s="996"/>
      <c r="L181" s="996"/>
      <c r="M181" s="996"/>
      <c r="N181" s="690"/>
      <c r="O181" s="690"/>
      <c r="P181" s="690"/>
      <c r="Q181" s="690"/>
    </row>
    <row r="182" spans="1:17" ht="14.45" customHeight="1">
      <c r="A182" s="691"/>
      <c r="B182" s="692"/>
      <c r="C182" s="996"/>
      <c r="D182" s="996"/>
      <c r="E182" s="996"/>
      <c r="F182" s="996"/>
      <c r="G182" s="996"/>
      <c r="H182" s="996"/>
      <c r="I182" s="996"/>
      <c r="J182" s="996"/>
      <c r="K182" s="996"/>
      <c r="L182" s="996"/>
      <c r="M182" s="996"/>
      <c r="N182" s="690"/>
      <c r="O182" s="690"/>
      <c r="P182" s="690"/>
      <c r="Q182" s="690"/>
    </row>
    <row r="183" spans="1:17" ht="14.45" customHeight="1">
      <c r="A183" s="691"/>
      <c r="B183" s="692"/>
      <c r="C183" s="996"/>
      <c r="D183" s="996"/>
      <c r="E183" s="996"/>
      <c r="F183" s="996"/>
      <c r="G183" s="996"/>
      <c r="H183" s="996"/>
      <c r="I183" s="996"/>
      <c r="J183" s="996"/>
      <c r="K183" s="996"/>
      <c r="L183" s="996"/>
      <c r="M183" s="996"/>
      <c r="N183" s="690"/>
      <c r="O183" s="690"/>
      <c r="P183" s="690"/>
      <c r="Q183" s="690"/>
    </row>
    <row r="184" spans="1:17" ht="14.45" customHeight="1">
      <c r="A184" s="691"/>
      <c r="B184" s="692"/>
      <c r="C184" s="996"/>
      <c r="D184" s="996"/>
      <c r="E184" s="996"/>
      <c r="F184" s="996"/>
      <c r="G184" s="996"/>
      <c r="H184" s="996"/>
      <c r="I184" s="996"/>
      <c r="J184" s="996"/>
      <c r="K184" s="996"/>
      <c r="L184" s="996"/>
      <c r="M184" s="996"/>
      <c r="N184" s="690"/>
      <c r="O184" s="690"/>
      <c r="P184" s="690"/>
      <c r="Q184" s="690"/>
    </row>
    <row r="185" spans="1:17" ht="14.45" customHeight="1">
      <c r="A185" s="691"/>
      <c r="B185" s="692"/>
      <c r="C185" s="996"/>
      <c r="D185" s="996"/>
      <c r="E185" s="996"/>
      <c r="F185" s="996"/>
      <c r="G185" s="996"/>
      <c r="H185" s="996"/>
      <c r="I185" s="996"/>
      <c r="J185" s="996"/>
      <c r="K185" s="996"/>
      <c r="L185" s="996"/>
      <c r="M185" s="996"/>
      <c r="N185" s="690"/>
      <c r="O185" s="690"/>
      <c r="P185" s="690"/>
      <c r="Q185" s="690"/>
    </row>
    <row r="186" spans="1:17" ht="15" customHeight="1">
      <c r="A186" s="691"/>
      <c r="B186" s="692"/>
      <c r="C186" s="996"/>
      <c r="D186" s="996"/>
      <c r="E186" s="996"/>
      <c r="F186" s="996"/>
      <c r="G186" s="996"/>
      <c r="H186" s="996"/>
      <c r="I186" s="996"/>
      <c r="J186" s="996"/>
      <c r="K186" s="996"/>
      <c r="L186" s="996"/>
      <c r="M186" s="996"/>
      <c r="N186" s="690"/>
      <c r="O186" s="690"/>
      <c r="P186" s="690"/>
      <c r="Q186" s="690"/>
    </row>
    <row r="187" spans="1:17" ht="0" hidden="1" customHeight="1">
      <c r="A187" s="691"/>
      <c r="B187" s="692"/>
      <c r="C187" s="996"/>
      <c r="D187" s="996"/>
      <c r="E187" s="996"/>
      <c r="F187" s="996"/>
      <c r="G187" s="996"/>
      <c r="H187" s="996"/>
      <c r="I187" s="996"/>
      <c r="J187" s="996"/>
      <c r="K187" s="996"/>
      <c r="L187" s="996"/>
      <c r="M187" s="996"/>
      <c r="N187" s="690"/>
      <c r="O187" s="690"/>
      <c r="P187" s="690"/>
      <c r="Q187" s="690"/>
    </row>
    <row r="188" spans="1:17" ht="0" hidden="1" customHeight="1">
      <c r="A188" s="691"/>
      <c r="B188" s="692"/>
      <c r="C188" s="996"/>
      <c r="D188" s="996"/>
      <c r="E188" s="996"/>
      <c r="F188" s="996"/>
      <c r="G188" s="996"/>
      <c r="H188" s="996"/>
      <c r="I188" s="996"/>
      <c r="J188" s="996"/>
      <c r="K188" s="996"/>
      <c r="L188" s="996"/>
      <c r="M188" s="996"/>
      <c r="N188" s="690"/>
      <c r="O188" s="690"/>
      <c r="P188" s="690"/>
      <c r="Q188" s="690"/>
    </row>
    <row r="189" spans="1:17" ht="0" hidden="1" customHeight="1">
      <c r="A189" s="691"/>
      <c r="B189" s="692"/>
      <c r="C189" s="996"/>
      <c r="D189" s="996"/>
      <c r="E189" s="996"/>
      <c r="F189" s="996"/>
      <c r="G189" s="996"/>
      <c r="H189" s="996"/>
      <c r="I189" s="996"/>
      <c r="J189" s="996"/>
      <c r="K189" s="996"/>
      <c r="L189" s="996"/>
      <c r="M189" s="996"/>
      <c r="N189" s="690"/>
      <c r="O189" s="690"/>
      <c r="P189" s="690"/>
      <c r="Q189" s="690"/>
    </row>
    <row r="190" spans="1:17" ht="0" hidden="1" customHeight="1">
      <c r="A190" s="691"/>
      <c r="B190" s="692"/>
      <c r="C190" s="996"/>
      <c r="D190" s="996"/>
      <c r="E190" s="996"/>
      <c r="F190" s="996"/>
      <c r="G190" s="996"/>
      <c r="H190" s="996"/>
      <c r="I190" s="996"/>
      <c r="J190" s="996"/>
      <c r="K190" s="996"/>
      <c r="L190" s="996"/>
      <c r="M190" s="996"/>
      <c r="N190" s="690"/>
      <c r="O190" s="690"/>
      <c r="P190" s="690"/>
      <c r="Q190" s="690"/>
    </row>
    <row r="191" spans="1:17" ht="0" hidden="1" customHeight="1">
      <c r="A191" s="691"/>
      <c r="B191" s="692"/>
      <c r="C191" s="996"/>
      <c r="D191" s="996"/>
      <c r="E191" s="996"/>
      <c r="F191" s="996"/>
      <c r="G191" s="996"/>
      <c r="H191" s="996"/>
      <c r="I191" s="996"/>
      <c r="J191" s="996"/>
      <c r="K191" s="996"/>
      <c r="L191" s="996"/>
      <c r="M191" s="996"/>
      <c r="N191" s="690"/>
      <c r="O191" s="690"/>
      <c r="P191" s="690"/>
      <c r="Q191" s="690"/>
    </row>
    <row r="192" spans="1:17" ht="0" hidden="1" customHeight="1">
      <c r="A192" s="691"/>
      <c r="B192" s="692"/>
      <c r="C192" s="996"/>
      <c r="D192" s="996"/>
      <c r="E192" s="996"/>
      <c r="F192" s="996"/>
      <c r="G192" s="996"/>
      <c r="H192" s="996"/>
      <c r="I192" s="996"/>
      <c r="J192" s="996"/>
      <c r="K192" s="996"/>
      <c r="L192" s="996"/>
      <c r="M192" s="996"/>
      <c r="N192" s="690"/>
      <c r="O192" s="690"/>
      <c r="P192" s="690"/>
      <c r="Q192" s="690"/>
    </row>
    <row r="193" spans="1:17" ht="0" hidden="1" customHeight="1">
      <c r="A193" s="691"/>
      <c r="B193" s="692"/>
      <c r="C193" s="996"/>
      <c r="D193" s="996"/>
      <c r="E193" s="996"/>
      <c r="F193" s="996"/>
      <c r="G193" s="996"/>
      <c r="H193" s="996"/>
      <c r="I193" s="996"/>
      <c r="J193" s="996"/>
      <c r="K193" s="996"/>
      <c r="L193" s="996"/>
      <c r="M193" s="996"/>
      <c r="N193" s="690"/>
      <c r="O193" s="690"/>
      <c r="P193" s="690"/>
      <c r="Q193" s="690"/>
    </row>
    <row r="194" spans="1:17" ht="0" hidden="1" customHeight="1">
      <c r="A194" s="691"/>
      <c r="B194" s="692"/>
      <c r="C194" s="996"/>
      <c r="D194" s="996"/>
      <c r="E194" s="996"/>
      <c r="F194" s="996"/>
      <c r="G194" s="996"/>
      <c r="H194" s="996"/>
      <c r="I194" s="996"/>
      <c r="J194" s="996"/>
      <c r="K194" s="996"/>
      <c r="L194" s="996"/>
      <c r="M194" s="996"/>
      <c r="N194" s="690"/>
      <c r="O194" s="690"/>
      <c r="P194" s="690"/>
      <c r="Q194" s="690"/>
    </row>
    <row r="195" spans="1:17" ht="0" hidden="1" customHeight="1">
      <c r="A195" s="691"/>
      <c r="B195" s="692"/>
      <c r="C195" s="996"/>
      <c r="D195" s="996"/>
      <c r="E195" s="996"/>
      <c r="F195" s="996"/>
      <c r="G195" s="996"/>
      <c r="H195" s="996"/>
      <c r="I195" s="996"/>
      <c r="J195" s="996"/>
      <c r="K195" s="996"/>
      <c r="L195" s="996"/>
      <c r="M195" s="996"/>
      <c r="N195" s="690"/>
      <c r="O195" s="690"/>
      <c r="P195" s="690"/>
      <c r="Q195" s="690"/>
    </row>
    <row r="196" spans="1:17" ht="0" hidden="1" customHeight="1">
      <c r="A196" s="691"/>
      <c r="B196" s="692"/>
      <c r="C196" s="996"/>
      <c r="D196" s="996"/>
      <c r="E196" s="996"/>
      <c r="F196" s="996"/>
      <c r="G196" s="996"/>
      <c r="H196" s="996"/>
      <c r="I196" s="996"/>
      <c r="J196" s="996"/>
      <c r="K196" s="996"/>
      <c r="L196" s="996"/>
      <c r="M196" s="996"/>
      <c r="N196" s="690"/>
      <c r="O196" s="690"/>
      <c r="P196" s="690"/>
      <c r="Q196" s="690"/>
    </row>
    <row r="197" spans="1:17" ht="0" hidden="1" customHeight="1">
      <c r="A197" s="691"/>
      <c r="B197" s="692"/>
      <c r="C197" s="996"/>
      <c r="D197" s="996"/>
      <c r="E197" s="996"/>
      <c r="F197" s="996"/>
      <c r="G197" s="996"/>
      <c r="H197" s="996"/>
      <c r="I197" s="996"/>
      <c r="J197" s="996"/>
      <c r="K197" s="996"/>
      <c r="L197" s="996"/>
      <c r="M197" s="996"/>
      <c r="N197" s="690"/>
      <c r="O197" s="690"/>
      <c r="P197" s="690"/>
      <c r="Q197" s="690"/>
    </row>
    <row r="198" spans="1:17" ht="0" hidden="1" customHeight="1">
      <c r="A198" s="691"/>
      <c r="B198" s="692"/>
      <c r="C198" s="996"/>
      <c r="D198" s="996"/>
      <c r="E198" s="996"/>
      <c r="F198" s="996"/>
      <c r="G198" s="996"/>
      <c r="H198" s="996"/>
      <c r="I198" s="996"/>
      <c r="J198" s="996"/>
      <c r="K198" s="996"/>
      <c r="L198" s="996"/>
      <c r="M198" s="996"/>
      <c r="N198" s="690"/>
      <c r="O198" s="690"/>
      <c r="P198" s="690"/>
      <c r="Q198" s="690"/>
    </row>
    <row r="199" spans="1:17" ht="0" hidden="1" customHeight="1">
      <c r="A199" s="691"/>
      <c r="B199" s="692"/>
      <c r="C199" s="996"/>
      <c r="D199" s="996"/>
      <c r="E199" s="996"/>
      <c r="F199" s="996"/>
      <c r="G199" s="996"/>
      <c r="H199" s="996"/>
      <c r="I199" s="996"/>
      <c r="J199" s="996"/>
      <c r="K199" s="996"/>
      <c r="L199" s="996"/>
      <c r="M199" s="996"/>
      <c r="N199" s="690"/>
      <c r="O199" s="690"/>
      <c r="P199" s="690"/>
      <c r="Q199" s="690"/>
    </row>
    <row r="200" spans="1:17" ht="0" hidden="1" customHeight="1">
      <c r="A200" s="691"/>
      <c r="B200" s="692"/>
      <c r="C200" s="996"/>
      <c r="D200" s="996"/>
      <c r="E200" s="996"/>
      <c r="F200" s="996"/>
      <c r="G200" s="996"/>
      <c r="H200" s="996"/>
      <c r="I200" s="996"/>
      <c r="J200" s="996"/>
      <c r="K200" s="996"/>
      <c r="L200" s="996"/>
      <c r="M200" s="996"/>
      <c r="N200" s="690"/>
      <c r="O200" s="690"/>
      <c r="P200" s="690"/>
      <c r="Q200" s="690"/>
    </row>
    <row r="201" spans="1:17" ht="0" hidden="1" customHeight="1">
      <c r="A201" s="691"/>
      <c r="B201" s="692"/>
      <c r="C201" s="996"/>
      <c r="D201" s="996"/>
      <c r="E201" s="996"/>
      <c r="F201" s="996"/>
      <c r="G201" s="996"/>
      <c r="H201" s="996"/>
      <c r="I201" s="996"/>
      <c r="J201" s="996"/>
      <c r="K201" s="996"/>
      <c r="L201" s="996"/>
      <c r="M201" s="996"/>
      <c r="N201" s="690"/>
      <c r="O201" s="690"/>
      <c r="P201" s="690"/>
      <c r="Q201" s="690"/>
    </row>
    <row r="202" spans="1:17" ht="0" hidden="1" customHeight="1">
      <c r="A202" s="691"/>
      <c r="B202" s="692"/>
      <c r="C202" s="996"/>
      <c r="D202" s="996"/>
      <c r="E202" s="996"/>
      <c r="F202" s="996"/>
      <c r="G202" s="996"/>
      <c r="H202" s="996"/>
      <c r="I202" s="996"/>
      <c r="J202" s="996"/>
      <c r="K202" s="996"/>
      <c r="L202" s="996"/>
      <c r="M202" s="996"/>
      <c r="N202" s="690"/>
      <c r="O202" s="690"/>
      <c r="P202" s="690"/>
      <c r="Q202" s="690"/>
    </row>
    <row r="203" spans="1:17" ht="0" hidden="1" customHeight="1">
      <c r="A203" s="691"/>
      <c r="B203" s="692"/>
      <c r="C203" s="996"/>
      <c r="D203" s="996"/>
      <c r="E203" s="996"/>
      <c r="F203" s="996"/>
      <c r="G203" s="996"/>
      <c r="H203" s="996"/>
      <c r="I203" s="996"/>
      <c r="J203" s="996"/>
      <c r="K203" s="996"/>
      <c r="L203" s="996"/>
      <c r="M203" s="996"/>
      <c r="N203" s="690"/>
      <c r="O203" s="690"/>
      <c r="P203" s="690"/>
      <c r="Q203" s="690"/>
    </row>
    <row r="204" spans="1:17" ht="0" hidden="1" customHeight="1">
      <c r="A204" s="691"/>
      <c r="B204" s="692"/>
      <c r="C204" s="996"/>
      <c r="D204" s="996"/>
      <c r="E204" s="996"/>
      <c r="F204" s="996"/>
      <c r="G204" s="996"/>
      <c r="H204" s="996"/>
      <c r="I204" s="996"/>
      <c r="J204" s="996"/>
      <c r="K204" s="996"/>
      <c r="L204" s="996"/>
      <c r="M204" s="996"/>
      <c r="N204" s="690"/>
      <c r="O204" s="690"/>
      <c r="P204" s="690"/>
      <c r="Q204" s="690"/>
    </row>
    <row r="205" spans="1:17" ht="0" hidden="1" customHeight="1">
      <c r="A205" s="691"/>
      <c r="B205" s="692"/>
      <c r="C205" s="996"/>
      <c r="D205" s="996"/>
      <c r="E205" s="996"/>
      <c r="F205" s="996"/>
      <c r="G205" s="996"/>
      <c r="H205" s="996"/>
      <c r="I205" s="996"/>
      <c r="J205" s="996"/>
      <c r="K205" s="996"/>
      <c r="L205" s="996"/>
      <c r="M205" s="996"/>
      <c r="N205" s="690"/>
      <c r="O205" s="690"/>
      <c r="P205" s="690"/>
      <c r="Q205" s="690"/>
    </row>
    <row r="206" spans="1:17" ht="0" hidden="1" customHeight="1">
      <c r="A206" s="691"/>
      <c r="B206" s="692"/>
      <c r="C206" s="996"/>
      <c r="D206" s="996"/>
      <c r="E206" s="996"/>
      <c r="F206" s="996"/>
      <c r="G206" s="996"/>
      <c r="H206" s="996"/>
      <c r="I206" s="996"/>
      <c r="J206" s="996"/>
      <c r="K206" s="996"/>
      <c r="L206" s="996"/>
      <c r="M206" s="996"/>
      <c r="N206" s="690"/>
      <c r="O206" s="690"/>
      <c r="P206" s="690"/>
      <c r="Q206" s="690"/>
    </row>
    <row r="207" spans="1:17" ht="0" hidden="1" customHeight="1">
      <c r="A207" s="691"/>
      <c r="B207" s="692"/>
      <c r="C207" s="996"/>
      <c r="D207" s="996"/>
      <c r="E207" s="996"/>
      <c r="F207" s="996"/>
      <c r="G207" s="996"/>
      <c r="H207" s="996"/>
      <c r="I207" s="996"/>
      <c r="J207" s="996"/>
      <c r="K207" s="996"/>
      <c r="L207" s="996"/>
      <c r="M207" s="996"/>
      <c r="N207" s="690"/>
      <c r="O207" s="690"/>
      <c r="P207" s="690"/>
      <c r="Q207" s="690"/>
    </row>
    <row r="208" spans="1:17" ht="0" hidden="1" customHeight="1">
      <c r="A208" s="691"/>
      <c r="B208" s="692"/>
      <c r="C208" s="996"/>
      <c r="D208" s="996"/>
      <c r="E208" s="996"/>
      <c r="F208" s="996"/>
      <c r="G208" s="996"/>
      <c r="H208" s="996"/>
      <c r="I208" s="996"/>
      <c r="J208" s="996"/>
      <c r="K208" s="996"/>
      <c r="L208" s="996"/>
      <c r="M208" s="996"/>
      <c r="N208" s="690"/>
      <c r="O208" s="690"/>
      <c r="P208" s="690"/>
      <c r="Q208" s="690"/>
    </row>
    <row r="209" spans="1:17" ht="0" hidden="1" customHeight="1">
      <c r="A209" s="691"/>
      <c r="B209" s="692"/>
      <c r="C209" s="996"/>
      <c r="D209" s="996"/>
      <c r="E209" s="996"/>
      <c r="F209" s="996"/>
      <c r="G209" s="996"/>
      <c r="H209" s="996"/>
      <c r="I209" s="996"/>
      <c r="J209" s="996"/>
      <c r="K209" s="996"/>
      <c r="L209" s="996"/>
      <c r="M209" s="996"/>
      <c r="N209" s="690"/>
      <c r="O209" s="690"/>
      <c r="P209" s="690"/>
      <c r="Q209" s="690"/>
    </row>
    <row r="210" spans="1:17" ht="0" hidden="1" customHeight="1">
      <c r="A210" s="691"/>
      <c r="B210" s="692"/>
      <c r="C210" s="996"/>
      <c r="D210" s="996"/>
      <c r="E210" s="996"/>
      <c r="F210" s="996"/>
      <c r="G210" s="996"/>
      <c r="H210" s="996"/>
      <c r="I210" s="996"/>
      <c r="J210" s="996"/>
      <c r="K210" s="996"/>
      <c r="L210" s="996"/>
      <c r="M210" s="996"/>
      <c r="N210" s="690"/>
      <c r="O210" s="690"/>
      <c r="P210" s="690"/>
      <c r="Q210" s="690"/>
    </row>
    <row r="211" spans="1:17" ht="0" hidden="1" customHeight="1">
      <c r="A211" s="691"/>
      <c r="B211" s="692"/>
      <c r="C211" s="996"/>
      <c r="D211" s="996"/>
      <c r="E211" s="996"/>
      <c r="F211" s="996"/>
      <c r="G211" s="996"/>
      <c r="H211" s="996"/>
      <c r="I211" s="996"/>
      <c r="J211" s="996"/>
      <c r="K211" s="996"/>
      <c r="L211" s="996"/>
      <c r="M211" s="996"/>
      <c r="N211" s="690"/>
      <c r="O211" s="690"/>
      <c r="P211" s="690"/>
      <c r="Q211" s="690"/>
    </row>
    <row r="212" spans="1:17" ht="0" hidden="1" customHeight="1">
      <c r="A212" s="691"/>
      <c r="B212" s="692"/>
      <c r="C212" s="996"/>
      <c r="D212" s="996"/>
      <c r="E212" s="996"/>
      <c r="F212" s="996"/>
      <c r="G212" s="996"/>
      <c r="H212" s="996"/>
      <c r="I212" s="996"/>
      <c r="J212" s="996"/>
      <c r="K212" s="996"/>
      <c r="L212" s="996"/>
      <c r="M212" s="996"/>
      <c r="N212" s="690"/>
      <c r="O212" s="690"/>
      <c r="P212" s="690"/>
      <c r="Q212" s="690"/>
    </row>
    <row r="213" spans="1:17" ht="0" hidden="1" customHeight="1">
      <c r="A213" s="691"/>
      <c r="B213" s="692"/>
      <c r="C213" s="996"/>
      <c r="D213" s="996"/>
      <c r="E213" s="996"/>
      <c r="F213" s="996"/>
      <c r="G213" s="996"/>
      <c r="H213" s="996"/>
      <c r="I213" s="996"/>
      <c r="J213" s="996"/>
      <c r="K213" s="996"/>
      <c r="L213" s="996"/>
      <c r="M213" s="996"/>
      <c r="N213" s="690"/>
      <c r="O213" s="690"/>
      <c r="P213" s="690"/>
      <c r="Q213" s="690"/>
    </row>
    <row r="214" spans="1:17" ht="0" hidden="1" customHeight="1">
      <c r="A214" s="691"/>
      <c r="B214" s="692"/>
      <c r="C214" s="996"/>
      <c r="D214" s="996"/>
      <c r="E214" s="996"/>
      <c r="F214" s="996"/>
      <c r="G214" s="996"/>
      <c r="H214" s="996"/>
      <c r="I214" s="996"/>
      <c r="J214" s="996"/>
      <c r="K214" s="996"/>
      <c r="L214" s="996"/>
      <c r="M214" s="996"/>
      <c r="N214" s="690"/>
      <c r="O214" s="690"/>
      <c r="P214" s="690"/>
      <c r="Q214" s="690"/>
    </row>
    <row r="215" spans="1:17" ht="0" hidden="1" customHeight="1">
      <c r="A215" s="691"/>
      <c r="B215" s="692"/>
      <c r="C215" s="996"/>
      <c r="D215" s="996"/>
      <c r="E215" s="996"/>
      <c r="F215" s="996"/>
      <c r="G215" s="996"/>
      <c r="H215" s="996"/>
      <c r="I215" s="996"/>
      <c r="J215" s="996"/>
      <c r="K215" s="996"/>
      <c r="L215" s="996"/>
      <c r="M215" s="996"/>
      <c r="N215" s="690"/>
      <c r="O215" s="690"/>
      <c r="P215" s="690"/>
      <c r="Q215" s="690"/>
    </row>
    <row r="216" spans="1:17" ht="0" hidden="1" customHeight="1">
      <c r="A216" s="691"/>
      <c r="B216" s="692"/>
      <c r="C216" s="996"/>
      <c r="D216" s="996"/>
      <c r="E216" s="996"/>
      <c r="F216" s="996"/>
      <c r="G216" s="996"/>
      <c r="H216" s="996"/>
      <c r="I216" s="996"/>
      <c r="J216" s="996"/>
      <c r="K216" s="996"/>
      <c r="L216" s="996"/>
      <c r="M216" s="996"/>
      <c r="N216" s="690"/>
      <c r="O216" s="690"/>
      <c r="P216" s="690"/>
      <c r="Q216" s="690"/>
    </row>
    <row r="217" spans="1:17" ht="0" hidden="1" customHeight="1">
      <c r="A217" s="691"/>
      <c r="B217" s="692"/>
      <c r="C217" s="2625"/>
      <c r="D217" s="2626"/>
      <c r="E217" s="2626"/>
      <c r="F217" s="2626"/>
      <c r="G217" s="2626"/>
      <c r="H217" s="2626"/>
      <c r="I217" s="2626"/>
      <c r="J217" s="2626"/>
      <c r="K217" s="2626"/>
      <c r="L217" s="2626"/>
      <c r="M217" s="2626"/>
      <c r="N217" s="690"/>
      <c r="O217" s="690"/>
      <c r="P217" s="690"/>
      <c r="Q217" s="690"/>
    </row>
    <row r="218" spans="1:17" ht="0" hidden="1" customHeight="1">
      <c r="A218" s="691"/>
      <c r="B218" s="690"/>
      <c r="C218" s="690"/>
      <c r="D218" s="690"/>
      <c r="E218" s="690"/>
      <c r="F218" s="690"/>
      <c r="G218" s="690"/>
      <c r="H218" s="690"/>
      <c r="I218" s="690"/>
      <c r="J218" s="690"/>
      <c r="K218" s="690"/>
      <c r="L218" s="690"/>
      <c r="M218" s="690"/>
      <c r="N218" s="690"/>
      <c r="O218" s="690"/>
      <c r="P218" s="690"/>
      <c r="Q218" s="690"/>
    </row>
    <row r="219" spans="1:17" ht="0" hidden="1" customHeight="1">
      <c r="A219" s="691"/>
      <c r="B219" s="690"/>
      <c r="C219" s="690"/>
      <c r="D219" s="690"/>
      <c r="E219" s="690"/>
      <c r="F219" s="690"/>
      <c r="G219" s="690"/>
      <c r="H219" s="690"/>
      <c r="I219" s="690"/>
      <c r="J219" s="690"/>
      <c r="K219" s="690"/>
      <c r="L219" s="690"/>
      <c r="M219" s="690"/>
      <c r="N219" s="690"/>
      <c r="O219" s="690"/>
      <c r="P219" s="690"/>
      <c r="Q219" s="690"/>
    </row>
    <row r="220" spans="1:17" ht="0" hidden="1" customHeight="1">
      <c r="B220" s="689" t="s">
        <v>763</v>
      </c>
      <c r="N220" s="690"/>
      <c r="O220" s="690"/>
      <c r="P220" s="690"/>
      <c r="Q220" s="690"/>
    </row>
    <row r="221" spans="1:17" ht="0" hidden="1" customHeight="1">
      <c r="B221" s="690"/>
      <c r="C221" s="690"/>
      <c r="D221" s="690"/>
      <c r="E221" s="690"/>
      <c r="F221" s="690"/>
      <c r="G221" s="690"/>
      <c r="H221" s="690"/>
      <c r="I221" s="690"/>
      <c r="J221" s="690"/>
      <c r="K221" s="690"/>
      <c r="L221" s="690"/>
      <c r="M221" s="690"/>
      <c r="N221" s="690"/>
      <c r="O221" s="690"/>
      <c r="P221" s="690"/>
      <c r="Q221" s="690"/>
    </row>
    <row r="222" spans="1:17" ht="0" hidden="1" customHeight="1">
      <c r="B222" s="690"/>
      <c r="C222" s="690"/>
      <c r="D222" s="690"/>
      <c r="E222" s="690"/>
      <c r="F222" s="690"/>
      <c r="G222" s="690"/>
      <c r="H222" s="690"/>
      <c r="I222" s="690"/>
      <c r="J222" s="690"/>
      <c r="K222" s="690"/>
      <c r="L222" s="690"/>
      <c r="M222" s="690"/>
      <c r="N222" s="690"/>
      <c r="O222" s="690"/>
      <c r="P222" s="690"/>
      <c r="Q222" s="690"/>
    </row>
    <row r="223" spans="1:17" ht="0" hidden="1" customHeight="1">
      <c r="B223" s="690"/>
      <c r="C223" s="690"/>
      <c r="D223" s="690"/>
      <c r="E223" s="690"/>
      <c r="F223" s="690"/>
      <c r="G223" s="690"/>
      <c r="H223" s="690"/>
      <c r="I223" s="690"/>
      <c r="J223" s="690"/>
      <c r="K223" s="690"/>
      <c r="L223" s="690"/>
      <c r="M223" s="690"/>
      <c r="N223" s="690"/>
      <c r="O223" s="690"/>
      <c r="P223" s="690"/>
      <c r="Q223" s="690"/>
    </row>
    <row r="224" spans="1:17" ht="0" hidden="1" customHeight="1">
      <c r="B224" s="690"/>
      <c r="C224" s="690"/>
      <c r="D224" s="690"/>
      <c r="E224" s="690"/>
      <c r="F224" s="690"/>
      <c r="G224" s="690"/>
      <c r="H224" s="690"/>
      <c r="I224" s="690"/>
      <c r="J224" s="690"/>
      <c r="K224" s="690"/>
      <c r="L224" s="690"/>
      <c r="M224" s="690"/>
      <c r="N224" s="690"/>
      <c r="O224" s="690"/>
      <c r="P224" s="690"/>
      <c r="Q224" s="690"/>
    </row>
    <row r="225" spans="2:17" ht="0" hidden="1" customHeight="1">
      <c r="B225" s="690"/>
      <c r="C225" s="690"/>
      <c r="D225" s="690"/>
      <c r="E225" s="690"/>
      <c r="F225" s="690"/>
      <c r="G225" s="690"/>
      <c r="H225" s="690"/>
      <c r="I225" s="690"/>
      <c r="J225" s="690"/>
      <c r="K225" s="690"/>
      <c r="L225" s="690"/>
      <c r="M225" s="690"/>
      <c r="N225" s="690"/>
      <c r="O225" s="690"/>
      <c r="P225" s="690"/>
      <c r="Q225" s="690"/>
    </row>
    <row r="226" spans="2:17" ht="0" hidden="1" customHeight="1"/>
    <row r="227" spans="2:17" ht="0" hidden="1" customHeight="1"/>
    <row r="228" spans="2:17" ht="0" hidden="1" customHeight="1"/>
  </sheetData>
  <mergeCells count="401">
    <mergeCell ref="H173:I173"/>
    <mergeCell ref="L173:M173"/>
    <mergeCell ref="L176:M176"/>
    <mergeCell ref="C177:D177"/>
    <mergeCell ref="C178:M178"/>
    <mergeCell ref="C179:M179"/>
    <mergeCell ref="C180:M180"/>
    <mergeCell ref="C217:M217"/>
    <mergeCell ref="F175:G175"/>
    <mergeCell ref="H175:I175"/>
    <mergeCell ref="L175:M175"/>
    <mergeCell ref="F176:G176"/>
    <mergeCell ref="H176:I176"/>
    <mergeCell ref="H165:I165"/>
    <mergeCell ref="L165:M165"/>
    <mergeCell ref="F174:G174"/>
    <mergeCell ref="H174:I174"/>
    <mergeCell ref="L174:M174"/>
    <mergeCell ref="F167:G167"/>
    <mergeCell ref="H167:I167"/>
    <mergeCell ref="L167:M167"/>
    <mergeCell ref="F168:G168"/>
    <mergeCell ref="H168:I168"/>
    <mergeCell ref="L168:M168"/>
    <mergeCell ref="F169:G169"/>
    <mergeCell ref="H169:I169"/>
    <mergeCell ref="L169:M169"/>
    <mergeCell ref="F170:G170"/>
    <mergeCell ref="H170:I170"/>
    <mergeCell ref="L170:M170"/>
    <mergeCell ref="F171:G171"/>
    <mergeCell ref="H171:I171"/>
    <mergeCell ref="L171:M171"/>
    <mergeCell ref="F172:G172"/>
    <mergeCell ref="H172:I172"/>
    <mergeCell ref="L172:M172"/>
    <mergeCell ref="F173:G173"/>
    <mergeCell ref="H157:I157"/>
    <mergeCell ref="L157:M157"/>
    <mergeCell ref="F166:G166"/>
    <mergeCell ref="H166:I166"/>
    <mergeCell ref="L166:M166"/>
    <mergeCell ref="F159:G159"/>
    <mergeCell ref="H159:I159"/>
    <mergeCell ref="L159:M159"/>
    <mergeCell ref="F160:G160"/>
    <mergeCell ref="H160:I160"/>
    <mergeCell ref="L160:M160"/>
    <mergeCell ref="F161:G161"/>
    <mergeCell ref="H161:I161"/>
    <mergeCell ref="L161:M161"/>
    <mergeCell ref="F162:G162"/>
    <mergeCell ref="H162:I162"/>
    <mergeCell ref="L162:M162"/>
    <mergeCell ref="F163:G163"/>
    <mergeCell ref="H163:I163"/>
    <mergeCell ref="L163:M163"/>
    <mergeCell ref="F164:G164"/>
    <mergeCell ref="H164:I164"/>
    <mergeCell ref="L164:M164"/>
    <mergeCell ref="F165:G165"/>
    <mergeCell ref="H149:I149"/>
    <mergeCell ref="L149:M149"/>
    <mergeCell ref="F158:G158"/>
    <mergeCell ref="H158:I158"/>
    <mergeCell ref="L158:M158"/>
    <mergeCell ref="F151:G151"/>
    <mergeCell ref="H151:I151"/>
    <mergeCell ref="L151:M151"/>
    <mergeCell ref="F152:G152"/>
    <mergeCell ref="H152:I152"/>
    <mergeCell ref="L152:M152"/>
    <mergeCell ref="F153:G153"/>
    <mergeCell ref="H153:I153"/>
    <mergeCell ref="L153:M153"/>
    <mergeCell ref="F154:G154"/>
    <mergeCell ref="H154:I154"/>
    <mergeCell ref="L154:M154"/>
    <mergeCell ref="F155:G155"/>
    <mergeCell ref="H155:I155"/>
    <mergeCell ref="L155:M155"/>
    <mergeCell ref="F156:G156"/>
    <mergeCell ref="H156:I156"/>
    <mergeCell ref="L156:M156"/>
    <mergeCell ref="F157:G157"/>
    <mergeCell ref="H141:I141"/>
    <mergeCell ref="L141:M141"/>
    <mergeCell ref="F150:G150"/>
    <mergeCell ref="H150:I150"/>
    <mergeCell ref="L150:M150"/>
    <mergeCell ref="F143:G143"/>
    <mergeCell ref="H143:I143"/>
    <mergeCell ref="L143:M143"/>
    <mergeCell ref="F144:G144"/>
    <mergeCell ref="H144:I144"/>
    <mergeCell ref="L144:M144"/>
    <mergeCell ref="F145:G145"/>
    <mergeCell ref="H145:I145"/>
    <mergeCell ref="L145:M145"/>
    <mergeCell ref="F146:G146"/>
    <mergeCell ref="H146:I146"/>
    <mergeCell ref="L146:M146"/>
    <mergeCell ref="F147:G147"/>
    <mergeCell ref="H147:I147"/>
    <mergeCell ref="L147:M147"/>
    <mergeCell ref="F148:G148"/>
    <mergeCell ref="H148:I148"/>
    <mergeCell ref="L148:M148"/>
    <mergeCell ref="F149:G149"/>
    <mergeCell ref="H133:I133"/>
    <mergeCell ref="L133:M133"/>
    <mergeCell ref="F142:G142"/>
    <mergeCell ref="H142:I142"/>
    <mergeCell ref="L142:M142"/>
    <mergeCell ref="F135:G135"/>
    <mergeCell ref="H135:I135"/>
    <mergeCell ref="L135:M135"/>
    <mergeCell ref="F136:G136"/>
    <mergeCell ref="H136:I136"/>
    <mergeCell ref="L136:M136"/>
    <mergeCell ref="F137:G137"/>
    <mergeCell ref="H137:I137"/>
    <mergeCell ref="L137:M137"/>
    <mergeCell ref="F138:G138"/>
    <mergeCell ref="H138:I138"/>
    <mergeCell ref="L138:M138"/>
    <mergeCell ref="F139:G139"/>
    <mergeCell ref="H139:I139"/>
    <mergeCell ref="L139:M139"/>
    <mergeCell ref="F140:G140"/>
    <mergeCell ref="H140:I140"/>
    <mergeCell ref="L140:M140"/>
    <mergeCell ref="F141:G141"/>
    <mergeCell ref="H125:I125"/>
    <mergeCell ref="L125:M125"/>
    <mergeCell ref="F134:G134"/>
    <mergeCell ref="H134:I134"/>
    <mergeCell ref="L134:M134"/>
    <mergeCell ref="F127:G127"/>
    <mergeCell ref="H127:I127"/>
    <mergeCell ref="L127:M127"/>
    <mergeCell ref="F128:G128"/>
    <mergeCell ref="H128:I128"/>
    <mergeCell ref="L128:M128"/>
    <mergeCell ref="F129:G129"/>
    <mergeCell ref="H129:I129"/>
    <mergeCell ref="L129:M129"/>
    <mergeCell ref="F130:G130"/>
    <mergeCell ref="H130:I130"/>
    <mergeCell ref="L130:M130"/>
    <mergeCell ref="F131:G131"/>
    <mergeCell ref="H131:I131"/>
    <mergeCell ref="L131:M131"/>
    <mergeCell ref="F132:G132"/>
    <mergeCell ref="H132:I132"/>
    <mergeCell ref="L132:M132"/>
    <mergeCell ref="F133:G133"/>
    <mergeCell ref="F126:G126"/>
    <mergeCell ref="H126:I126"/>
    <mergeCell ref="L126:M126"/>
    <mergeCell ref="F117:G117"/>
    <mergeCell ref="H117:I117"/>
    <mergeCell ref="K117:M118"/>
    <mergeCell ref="F118:G118"/>
    <mergeCell ref="H118:I118"/>
    <mergeCell ref="D119:K120"/>
    <mergeCell ref="L119:M119"/>
    <mergeCell ref="L120:M120"/>
    <mergeCell ref="F121:G121"/>
    <mergeCell ref="H121:I121"/>
    <mergeCell ref="L121:M121"/>
    <mergeCell ref="F122:G122"/>
    <mergeCell ref="H122:I122"/>
    <mergeCell ref="L122:M122"/>
    <mergeCell ref="F123:G123"/>
    <mergeCell ref="H123:I123"/>
    <mergeCell ref="L123:M123"/>
    <mergeCell ref="F124:G124"/>
    <mergeCell ref="H124:I124"/>
    <mergeCell ref="L124:M124"/>
    <mergeCell ref="F125:G125"/>
    <mergeCell ref="F116:G116"/>
    <mergeCell ref="H116:I116"/>
    <mergeCell ref="L116:M116"/>
    <mergeCell ref="F109:G109"/>
    <mergeCell ref="H109:I109"/>
    <mergeCell ref="L109:M109"/>
    <mergeCell ref="F110:G110"/>
    <mergeCell ref="H110:I110"/>
    <mergeCell ref="L110:M110"/>
    <mergeCell ref="F111:G111"/>
    <mergeCell ref="H111:I111"/>
    <mergeCell ref="L111:M111"/>
    <mergeCell ref="F112:G112"/>
    <mergeCell ref="H112:I112"/>
    <mergeCell ref="L112:M112"/>
    <mergeCell ref="F113:G113"/>
    <mergeCell ref="H113:I113"/>
    <mergeCell ref="L113:M113"/>
    <mergeCell ref="F114:G114"/>
    <mergeCell ref="H114:I114"/>
    <mergeCell ref="L114:M114"/>
    <mergeCell ref="F115:G115"/>
    <mergeCell ref="H115:I115"/>
    <mergeCell ref="L115:M115"/>
    <mergeCell ref="F108:G108"/>
    <mergeCell ref="H108:I108"/>
    <mergeCell ref="L108:M108"/>
    <mergeCell ref="F101:G101"/>
    <mergeCell ref="H101:I101"/>
    <mergeCell ref="L101:M101"/>
    <mergeCell ref="F102:G102"/>
    <mergeCell ref="H102:I102"/>
    <mergeCell ref="L102:M102"/>
    <mergeCell ref="F103:G103"/>
    <mergeCell ref="H103:I103"/>
    <mergeCell ref="L103:M103"/>
    <mergeCell ref="F104:G104"/>
    <mergeCell ref="H104:I104"/>
    <mergeCell ref="L104:M104"/>
    <mergeCell ref="F105:G105"/>
    <mergeCell ref="H105:I105"/>
    <mergeCell ref="L105:M105"/>
    <mergeCell ref="F106:G106"/>
    <mergeCell ref="H106:I106"/>
    <mergeCell ref="L106:M106"/>
    <mergeCell ref="F107:G107"/>
    <mergeCell ref="H107:I107"/>
    <mergeCell ref="L107:M107"/>
    <mergeCell ref="F100:G100"/>
    <mergeCell ref="H100:I100"/>
    <mergeCell ref="L100:M100"/>
    <mergeCell ref="F93:G93"/>
    <mergeCell ref="H93:I93"/>
    <mergeCell ref="L93:M93"/>
    <mergeCell ref="F94:G94"/>
    <mergeCell ref="H94:I94"/>
    <mergeCell ref="L94:M94"/>
    <mergeCell ref="F95:G95"/>
    <mergeCell ref="H95:I95"/>
    <mergeCell ref="L95:M95"/>
    <mergeCell ref="F96:G96"/>
    <mergeCell ref="H96:I96"/>
    <mergeCell ref="L96:M96"/>
    <mergeCell ref="F97:G97"/>
    <mergeCell ref="H97:I97"/>
    <mergeCell ref="L97:M97"/>
    <mergeCell ref="F98:G98"/>
    <mergeCell ref="H98:I98"/>
    <mergeCell ref="L98:M98"/>
    <mergeCell ref="F99:G99"/>
    <mergeCell ref="H99:I99"/>
    <mergeCell ref="L99:M99"/>
    <mergeCell ref="F92:G92"/>
    <mergeCell ref="H92:I92"/>
    <mergeCell ref="L92:M92"/>
    <mergeCell ref="F85:G85"/>
    <mergeCell ref="H85:I85"/>
    <mergeCell ref="L85:M85"/>
    <mergeCell ref="F86:G86"/>
    <mergeCell ref="H86:I86"/>
    <mergeCell ref="L86:M86"/>
    <mergeCell ref="F87:G87"/>
    <mergeCell ref="H87:I87"/>
    <mergeCell ref="L87:M87"/>
    <mergeCell ref="F88:G88"/>
    <mergeCell ref="H88:I88"/>
    <mergeCell ref="L88:M88"/>
    <mergeCell ref="F89:G89"/>
    <mergeCell ref="H89:I89"/>
    <mergeCell ref="L89:M89"/>
    <mergeCell ref="F90:G90"/>
    <mergeCell ref="H90:I90"/>
    <mergeCell ref="L90:M90"/>
    <mergeCell ref="F91:G91"/>
    <mergeCell ref="H91:I91"/>
    <mergeCell ref="L91:M91"/>
    <mergeCell ref="F84:G84"/>
    <mergeCell ref="H84:I84"/>
    <mergeCell ref="L84:M84"/>
    <mergeCell ref="F77:G77"/>
    <mergeCell ref="H77:I77"/>
    <mergeCell ref="L77:M77"/>
    <mergeCell ref="F78:G78"/>
    <mergeCell ref="H78:I78"/>
    <mergeCell ref="L78:M78"/>
    <mergeCell ref="F79:G79"/>
    <mergeCell ref="H79:I79"/>
    <mergeCell ref="L79:M79"/>
    <mergeCell ref="F80:G80"/>
    <mergeCell ref="H80:I80"/>
    <mergeCell ref="L80:M80"/>
    <mergeCell ref="F81:G81"/>
    <mergeCell ref="H81:I81"/>
    <mergeCell ref="L81:M81"/>
    <mergeCell ref="F82:G82"/>
    <mergeCell ref="H82:I82"/>
    <mergeCell ref="L82:M82"/>
    <mergeCell ref="F83:G83"/>
    <mergeCell ref="H83:I83"/>
    <mergeCell ref="L83:M83"/>
    <mergeCell ref="F76:G76"/>
    <mergeCell ref="H76:I76"/>
    <mergeCell ref="L76:M76"/>
    <mergeCell ref="F71:G71"/>
    <mergeCell ref="H71:I71"/>
    <mergeCell ref="F72:G72"/>
    <mergeCell ref="H72:I72"/>
    <mergeCell ref="L72:M72"/>
    <mergeCell ref="C70:C71"/>
    <mergeCell ref="D70:D71"/>
    <mergeCell ref="E70:E71"/>
    <mergeCell ref="F70:I70"/>
    <mergeCell ref="J70:J71"/>
    <mergeCell ref="F73:G73"/>
    <mergeCell ref="H73:I73"/>
    <mergeCell ref="L73:M73"/>
    <mergeCell ref="F74:G74"/>
    <mergeCell ref="H74:I74"/>
    <mergeCell ref="L74:M74"/>
    <mergeCell ref="F75:G75"/>
    <mergeCell ref="H75:I75"/>
    <mergeCell ref="L75:M75"/>
    <mergeCell ref="L49:M49"/>
    <mergeCell ref="L53:M53"/>
    <mergeCell ref="L54:M54"/>
    <mergeCell ref="L55:M55"/>
    <mergeCell ref="L56:M56"/>
    <mergeCell ref="J56:K56"/>
    <mergeCell ref="L70:M71"/>
    <mergeCell ref="K70:K71"/>
    <mergeCell ref="C52:F52"/>
    <mergeCell ref="C53:F53"/>
    <mergeCell ref="C54:F54"/>
    <mergeCell ref="J59:M59"/>
    <mergeCell ref="J60:M60"/>
    <mergeCell ref="B56:I56"/>
    <mergeCell ref="K52:L52"/>
    <mergeCell ref="J53:K53"/>
    <mergeCell ref="J54:K54"/>
    <mergeCell ref="J55:K55"/>
    <mergeCell ref="J61:M61"/>
    <mergeCell ref="J62:M62"/>
    <mergeCell ref="J63:M63"/>
    <mergeCell ref="J64:M64"/>
    <mergeCell ref="J65:M65"/>
    <mergeCell ref="D67:K68"/>
    <mergeCell ref="C50:F50"/>
    <mergeCell ref="C51:F51"/>
    <mergeCell ref="J51:M51"/>
    <mergeCell ref="D27:J27"/>
    <mergeCell ref="L27:M27"/>
    <mergeCell ref="D28:J28"/>
    <mergeCell ref="K28:K29"/>
    <mergeCell ref="L28:M29"/>
    <mergeCell ref="D29:J29"/>
    <mergeCell ref="D30:J30"/>
    <mergeCell ref="H32:L33"/>
    <mergeCell ref="H34:M34"/>
    <mergeCell ref="H35:M36"/>
    <mergeCell ref="H37:M39"/>
    <mergeCell ref="H40:M41"/>
    <mergeCell ref="H42:M42"/>
    <mergeCell ref="J44:M44"/>
    <mergeCell ref="L45:M45"/>
    <mergeCell ref="C46:F46"/>
    <mergeCell ref="J46:M46"/>
    <mergeCell ref="L47:M47"/>
    <mergeCell ref="C48:F48"/>
    <mergeCell ref="J48:M48"/>
    <mergeCell ref="C49:F49"/>
    <mergeCell ref="D20:J20"/>
    <mergeCell ref="D21:I21"/>
    <mergeCell ref="K21:M23"/>
    <mergeCell ref="D22:J23"/>
    <mergeCell ref="D24:J25"/>
    <mergeCell ref="L24:M24"/>
    <mergeCell ref="K25:K26"/>
    <mergeCell ref="L25:M26"/>
    <mergeCell ref="D26:J26"/>
    <mergeCell ref="D18:G18"/>
    <mergeCell ref="J18:M18"/>
    <mergeCell ref="D19:I19"/>
    <mergeCell ref="J19:K19"/>
    <mergeCell ref="L19:M19"/>
    <mergeCell ref="K3:L3"/>
    <mergeCell ref="O4:Q4"/>
    <mergeCell ref="O6:Q7"/>
    <mergeCell ref="C7:H9"/>
    <mergeCell ref="L7:L11"/>
    <mergeCell ref="O11:Q11"/>
    <mergeCell ref="O12:Q13"/>
    <mergeCell ref="J13:M13"/>
    <mergeCell ref="J14:M14"/>
    <mergeCell ref="J15:M15"/>
    <mergeCell ref="D16:F16"/>
    <mergeCell ref="G16:I16"/>
    <mergeCell ref="J16:M16"/>
    <mergeCell ref="J17:M17"/>
    <mergeCell ref="D13:G13"/>
    <mergeCell ref="D12:G12"/>
  </mergeCells>
  <hyperlinks>
    <hyperlink ref="O12:Q13" location="'VASANTHAM HOME'!A1" display="CLICK HERE"/>
    <hyperlink ref="O6:Q7" location="UMANG!A1" display="CLICK HERE"/>
  </hyperlinks>
  <pageMargins left="0.7" right="0.7" top="0.75" bottom="0.75" header="0.3" footer="0.3"/>
  <pageSetup scale="78" orientation="portrait" horizontalDpi="4294967293" verticalDpi="4294967293" r:id="rId1"/>
  <headerFooter>
    <oddFooter>&amp;C&amp;K02-049VASANTHAM SMART</oddFooter>
  </headerFooter>
  <rowBreaks count="2" manualBreakCount="2">
    <brk id="57" min="1" max="12" man="1"/>
    <brk id="118" min="1" max="12" man="1"/>
  </rowBreaks>
  <drawing r:id="rId2"/>
</worksheet>
</file>

<file path=xl/worksheets/sheet34.xml><?xml version="1.0" encoding="utf-8"?>
<worksheet xmlns="http://schemas.openxmlformats.org/spreadsheetml/2006/main" xmlns:r="http://schemas.openxmlformats.org/officeDocument/2006/relationships">
  <sheetPr codeName="Sheet20"/>
  <dimension ref="A1:AU54"/>
  <sheetViews>
    <sheetView showRowColHeaders="0" zoomScale="60" zoomScaleNormal="60" workbookViewId="0">
      <selection activeCell="O20" sqref="O20:P21"/>
    </sheetView>
  </sheetViews>
  <sheetFormatPr defaultColWidth="0" defaultRowHeight="15" zeroHeight="1"/>
  <cols>
    <col min="1" max="1" width="5.5" customWidth="1"/>
    <col min="2" max="3" width="9.125" customWidth="1"/>
    <col min="4" max="4" width="4" customWidth="1"/>
    <col min="5" max="5" width="7.375" customWidth="1"/>
    <col min="6" max="6" width="5.875" customWidth="1"/>
    <col min="7" max="7" width="8.875" customWidth="1"/>
    <col min="8" max="8" width="9.125" customWidth="1"/>
    <col min="9" max="9" width="7.625" customWidth="1"/>
    <col min="10" max="10" width="6.625" customWidth="1"/>
    <col min="11" max="11" width="8.125" customWidth="1"/>
    <col min="12" max="12" width="6.5" customWidth="1"/>
    <col min="13" max="13" width="4" customWidth="1"/>
    <col min="14" max="14" width="7" customWidth="1"/>
    <col min="15" max="15" width="10.875" customWidth="1"/>
    <col min="16" max="16" width="12.625" customWidth="1"/>
    <col min="17" max="17" width="13.5" customWidth="1"/>
    <col min="18" max="18" width="3.375" customWidth="1"/>
    <col min="19" max="19" width="8.875" customWidth="1"/>
    <col min="20" max="24" width="9.125" customWidth="1"/>
    <col min="25" max="25" width="3.125" style="1097" customWidth="1"/>
    <col min="26" max="26" width="8.5" style="1097" hidden="1" customWidth="1"/>
    <col min="27" max="27" width="7" style="1097" hidden="1" customWidth="1"/>
    <col min="28" max="28" width="5.125" style="1099" hidden="1" customWidth="1"/>
    <col min="29" max="29" width="9.125" style="1099" hidden="1" customWidth="1"/>
    <col min="30" max="30" width="7" style="1099" hidden="1" customWidth="1"/>
    <col min="31" max="31" width="8.625" style="1099" hidden="1" customWidth="1"/>
    <col min="32" max="32" width="8.875" style="1099" hidden="1" customWidth="1"/>
    <col min="33" max="33" width="6.375" style="1099" hidden="1" customWidth="1"/>
    <col min="34" max="34" width="7.625" style="1099" hidden="1" customWidth="1"/>
    <col min="35" max="35" width="7.375" style="1099" hidden="1" customWidth="1"/>
    <col min="36" max="36" width="7.125" style="1099" hidden="1" customWidth="1"/>
    <col min="37" max="37" width="8" style="1099" hidden="1" customWidth="1"/>
    <col min="38" max="38" width="5.125" style="1099" hidden="1" customWidth="1"/>
    <col min="39" max="39" width="7.375" style="1099" hidden="1" customWidth="1"/>
    <col min="40" max="40" width="5" style="1099" hidden="1" customWidth="1"/>
    <col min="41" max="41" width="5.5" style="1099" hidden="1" customWidth="1"/>
    <col min="42" max="42" width="7.5" style="1099" hidden="1" customWidth="1"/>
    <col min="43" max="43" width="7.125" style="1098" hidden="1" customWidth="1"/>
    <col min="44" max="44" width="8.5" style="1098" hidden="1" customWidth="1"/>
    <col min="45" max="45" width="5.625" style="1097" customWidth="1"/>
    <col min="46" max="46" width="9.125" style="1097" customWidth="1"/>
    <col min="47" max="47" width="0" style="1097" hidden="1" customWidth="1"/>
    <col min="48" max="16384" width="9.125" hidden="1"/>
  </cols>
  <sheetData>
    <row r="1" spans="1:44" ht="15" customHeight="1">
      <c r="A1" s="1097"/>
      <c r="B1" s="1097"/>
      <c r="C1" s="1097"/>
      <c r="D1" s="1097"/>
      <c r="E1" s="2640" t="s">
        <v>2163</v>
      </c>
      <c r="F1" s="2640"/>
      <c r="G1" s="2640"/>
      <c r="H1" s="2640"/>
      <c r="I1" s="2640"/>
      <c r="J1" s="2640"/>
      <c r="K1" s="2640"/>
      <c r="L1" s="2640"/>
      <c r="M1" s="2640"/>
      <c r="N1" s="1097"/>
      <c r="O1" s="1097"/>
      <c r="P1" s="2627"/>
      <c r="Q1" s="2627"/>
      <c r="R1" s="1097"/>
      <c r="S1" s="1097"/>
      <c r="T1" s="1097"/>
      <c r="U1" s="1097"/>
      <c r="V1" s="1097"/>
      <c r="W1" s="1097"/>
      <c r="X1" s="1097"/>
    </row>
    <row r="2" spans="1:44" ht="15" customHeight="1">
      <c r="A2" s="1097"/>
      <c r="B2" s="1097"/>
      <c r="C2" s="1097"/>
      <c r="D2" s="1097"/>
      <c r="E2" s="2640"/>
      <c r="F2" s="2640"/>
      <c r="G2" s="2640"/>
      <c r="H2" s="2640"/>
      <c r="I2" s="2640"/>
      <c r="J2" s="2640"/>
      <c r="K2" s="2640"/>
      <c r="L2" s="2640"/>
      <c r="M2" s="2640"/>
      <c r="N2" s="1097"/>
      <c r="O2" s="1097"/>
      <c r="P2" s="2627"/>
      <c r="Q2" s="2627"/>
      <c r="R2" s="1097"/>
      <c r="S2" s="2661" t="s">
        <v>201</v>
      </c>
      <c r="T2" s="2661"/>
      <c r="U2" s="2661"/>
      <c r="V2" s="2661"/>
      <c r="W2" s="2661"/>
      <c r="X2" s="2661"/>
    </row>
    <row r="3" spans="1:44" ht="15.75" thickBot="1">
      <c r="A3" s="1097"/>
      <c r="B3" s="1097"/>
      <c r="C3" s="1097"/>
      <c r="D3" s="1097"/>
      <c r="E3" s="2640"/>
      <c r="F3" s="2640"/>
      <c r="G3" s="2640"/>
      <c r="H3" s="2640"/>
      <c r="I3" s="2640"/>
      <c r="J3" s="2640"/>
      <c r="K3" s="2640"/>
      <c r="L3" s="2640"/>
      <c r="M3" s="2640"/>
      <c r="N3" s="1097"/>
      <c r="O3" s="1097"/>
      <c r="P3" s="2627"/>
      <c r="Q3" s="2627"/>
      <c r="R3" s="1097"/>
      <c r="S3" s="2662"/>
      <c r="T3" s="2662"/>
      <c r="U3" s="2662"/>
      <c r="V3" s="2662"/>
      <c r="W3" s="2662"/>
      <c r="X3" s="2662"/>
    </row>
    <row r="4" spans="1:44" ht="17.25" thickTop="1" thickBot="1">
      <c r="A4" s="1097"/>
      <c r="B4" s="1097"/>
      <c r="C4" s="1097"/>
      <c r="D4" s="1097"/>
      <c r="E4" s="1097"/>
      <c r="F4" s="2632" t="s">
        <v>2162</v>
      </c>
      <c r="G4" s="2632"/>
      <c r="H4" s="2632"/>
      <c r="I4" s="2632"/>
      <c r="J4" s="2632"/>
      <c r="K4" s="2632"/>
      <c r="L4" s="2632"/>
      <c r="M4" s="1097"/>
      <c r="N4" s="1097"/>
      <c r="O4" s="1097"/>
      <c r="P4" s="2627"/>
      <c r="Q4" s="2627"/>
      <c r="R4" s="1097"/>
      <c r="S4" s="2658" t="s">
        <v>2161</v>
      </c>
      <c r="T4" s="2658"/>
      <c r="U4" s="2658"/>
      <c r="V4" s="2658"/>
      <c r="W4" s="2658"/>
      <c r="X4" s="2658"/>
    </row>
    <row r="5" spans="1:44" ht="17.25" thickTop="1" thickBot="1">
      <c r="A5" s="1097"/>
      <c r="B5" s="1097"/>
      <c r="C5" s="1097"/>
      <c r="D5" s="1097"/>
      <c r="E5" s="1097"/>
      <c r="F5" s="2632"/>
      <c r="G5" s="2632"/>
      <c r="H5" s="2632"/>
      <c r="I5" s="2632"/>
      <c r="J5" s="2632"/>
      <c r="K5" s="2632"/>
      <c r="L5" s="2632"/>
      <c r="M5" s="1097"/>
      <c r="N5" s="1097"/>
      <c r="O5" s="1097"/>
      <c r="P5" s="1097"/>
      <c r="Q5" s="1097"/>
      <c r="R5" s="1097"/>
      <c r="S5" s="2361" t="s">
        <v>202</v>
      </c>
      <c r="T5" s="2361"/>
      <c r="U5" s="2361"/>
      <c r="V5" s="2361"/>
      <c r="W5" s="2361"/>
      <c r="X5" s="2361"/>
    </row>
    <row r="6" spans="1:44" ht="17.25" thickTop="1" thickBot="1">
      <c r="A6" s="1097"/>
      <c r="B6" s="1097"/>
      <c r="C6" s="1097"/>
      <c r="D6" s="2675" t="str">
        <f ca="1">IF(DATE(2017,9,6)+207-TODAY()&lt;1,"SORRY!!     PLAN IS CLOSED NOW..","HURRY UP!!  IT IS A CLOSE ENDED PLAN REMAING   ONLY "       &amp;DATE(2017,9,6)+207-TODAY()&amp;" DAYS")</f>
        <v>SORRY!!     PLAN IS CLOSED NOW..</v>
      </c>
      <c r="E6" s="2675"/>
      <c r="F6" s="2675"/>
      <c r="G6" s="2675"/>
      <c r="H6" s="2675"/>
      <c r="I6" s="2675"/>
      <c r="J6" s="2675"/>
      <c r="K6" s="2675"/>
      <c r="L6" s="2675"/>
      <c r="M6" s="2675"/>
      <c r="N6" s="1097"/>
      <c r="O6" s="1097"/>
      <c r="P6" s="1097"/>
      <c r="Q6" s="1097"/>
      <c r="R6" s="1097"/>
      <c r="S6" s="2659" t="s">
        <v>203</v>
      </c>
      <c r="T6" s="2659"/>
      <c r="U6" s="2659"/>
      <c r="V6" s="2383" t="s">
        <v>2160</v>
      </c>
      <c r="W6" s="2383"/>
      <c r="X6" s="2383"/>
    </row>
    <row r="7" spans="1:44" ht="17.25" thickTop="1" thickBot="1">
      <c r="A7" s="1097"/>
      <c r="B7" s="1097"/>
      <c r="C7" s="1097"/>
      <c r="D7" s="2675"/>
      <c r="E7" s="2675"/>
      <c r="F7" s="2675"/>
      <c r="G7" s="2675"/>
      <c r="H7" s="2675"/>
      <c r="I7" s="2675"/>
      <c r="J7" s="2675"/>
      <c r="K7" s="2675"/>
      <c r="L7" s="2675"/>
      <c r="M7" s="2675"/>
      <c r="N7" s="1097"/>
      <c r="O7" s="1161"/>
      <c r="P7" s="1161"/>
      <c r="Q7" s="1161"/>
      <c r="R7" s="1097"/>
      <c r="S7" s="2660" t="s">
        <v>204</v>
      </c>
      <c r="T7" s="2660"/>
      <c r="U7" s="2660"/>
      <c r="V7" s="2383" t="s">
        <v>2159</v>
      </c>
      <c r="W7" s="2383"/>
      <c r="X7" s="2383"/>
      <c r="AB7" s="1099">
        <f>G10</f>
        <v>27</v>
      </c>
      <c r="AC7" s="1099">
        <f>LOOKUP(AB7,AB8:AB49,AC8:AC49)</f>
        <v>553.25</v>
      </c>
      <c r="AD7" s="1099">
        <v>9.1</v>
      </c>
      <c r="AE7" s="1099">
        <v>13.65</v>
      </c>
      <c r="AF7" s="922">
        <f>IF(G10&gt;=18,1,0)</f>
        <v>1</v>
      </c>
      <c r="AG7" s="922" t="str">
        <f>IF(G10&lt;18,"NO",$K$11)</f>
        <v>YES</v>
      </c>
      <c r="AH7" s="922" t="str">
        <f>$K$12</f>
        <v>NO</v>
      </c>
      <c r="AI7" s="1092">
        <f>IF(AF7=1,IF(AG7="YES",IF(AH7="YES",AE7,AD7),0),0)</f>
        <v>9.1</v>
      </c>
    </row>
    <row r="8" spans="1:44" ht="18" customHeight="1" thickTop="1" thickBot="1">
      <c r="D8" s="2650" t="s">
        <v>2105</v>
      </c>
      <c r="E8" s="2650"/>
      <c r="F8" s="2650"/>
      <c r="G8" s="2650"/>
      <c r="H8" s="2650"/>
      <c r="I8" s="2651" t="s">
        <v>2106</v>
      </c>
      <c r="J8" s="2651"/>
      <c r="K8" s="2651"/>
      <c r="L8" s="2651"/>
      <c r="M8" s="2651"/>
      <c r="N8" s="1097"/>
      <c r="O8" s="1161"/>
      <c r="P8" s="1161"/>
      <c r="Q8" s="1161"/>
      <c r="R8" s="1097"/>
      <c r="S8" s="2657" t="s">
        <v>2158</v>
      </c>
      <c r="T8" s="2657"/>
      <c r="U8" s="2657"/>
      <c r="V8" s="2383" t="s">
        <v>2157</v>
      </c>
      <c r="W8" s="2383"/>
      <c r="X8" s="2383"/>
      <c r="AB8" s="1099">
        <v>6</v>
      </c>
      <c r="AC8" s="1100">
        <v>520.1</v>
      </c>
      <c r="AK8" s="2648" t="s">
        <v>772</v>
      </c>
      <c r="AL8" s="2649"/>
      <c r="AM8" s="1133" t="s">
        <v>771</v>
      </c>
      <c r="AN8" s="1133" t="s">
        <v>772</v>
      </c>
      <c r="AO8" s="1133" t="s">
        <v>2156</v>
      </c>
      <c r="AP8" s="1133" t="s">
        <v>2155</v>
      </c>
      <c r="AQ8" s="1132" t="s">
        <v>2154</v>
      </c>
      <c r="AR8" s="1132" t="s">
        <v>2153</v>
      </c>
    </row>
    <row r="9" spans="1:44" ht="17.25" customHeight="1" thickTop="1" thickBot="1">
      <c r="A9" s="1097"/>
      <c r="B9" s="1097"/>
      <c r="C9" s="1097"/>
      <c r="D9" s="885"/>
      <c r="E9" s="2652" t="s">
        <v>2152</v>
      </c>
      <c r="F9" s="2653"/>
      <c r="G9" s="1131" t="s">
        <v>749</v>
      </c>
      <c r="H9" s="2654" t="s">
        <v>189</v>
      </c>
      <c r="I9" s="2655"/>
      <c r="J9" s="2655"/>
      <c r="K9" s="2655"/>
      <c r="L9" s="2656"/>
      <c r="M9" s="884"/>
      <c r="N9" s="1097"/>
      <c r="O9" s="1161"/>
      <c r="P9" s="1161"/>
      <c r="Q9" s="1161"/>
      <c r="R9" s="1097"/>
      <c r="S9" s="2663" t="s">
        <v>205</v>
      </c>
      <c r="T9" s="2664"/>
      <c r="U9" s="2665"/>
      <c r="V9" s="2708" t="s">
        <v>2151</v>
      </c>
      <c r="W9" s="2709"/>
      <c r="X9" s="2710"/>
      <c r="AB9" s="1099">
        <v>7</v>
      </c>
      <c r="AC9" s="1100">
        <v>523.25</v>
      </c>
      <c r="AF9" s="1129">
        <v>150000</v>
      </c>
      <c r="AG9" s="1129">
        <v>300000</v>
      </c>
      <c r="AH9" s="1129">
        <v>500000</v>
      </c>
      <c r="AJ9" s="1099">
        <f>G$10</f>
        <v>27</v>
      </c>
      <c r="AK9" s="1108">
        <v>0</v>
      </c>
      <c r="AL9" s="1108">
        <v>0</v>
      </c>
      <c r="AM9" s="1109">
        <f>AH$13*70%</f>
        <v>221865</v>
      </c>
      <c r="AN9" s="1109">
        <f t="shared" ref="AN9:AN31" si="0">ROUND($J$10*AL9,0)</f>
        <v>0</v>
      </c>
      <c r="AO9" s="1109">
        <f t="shared" ref="AO9:AO31" si="1">MAX(AM9:AN9)</f>
        <v>221865</v>
      </c>
      <c r="AP9" s="1108">
        <v>0</v>
      </c>
      <c r="AQ9" s="1107">
        <f>IF(G$10&lt;8,AI$14,AH$15)</f>
        <v>3319500</v>
      </c>
      <c r="AR9" s="1107">
        <f>IF(G$10&lt;8,AI$14,AI$13)</f>
        <v>3919500</v>
      </c>
    </row>
    <row r="10" spans="1:44" ht="24" customHeight="1" thickTop="1" thickBot="1">
      <c r="A10" s="1097"/>
      <c r="B10" s="1097"/>
      <c r="C10" s="1097"/>
      <c r="D10" s="885"/>
      <c r="E10" s="2676" t="s">
        <v>768</v>
      </c>
      <c r="F10" s="2677"/>
      <c r="G10" s="1130">
        <v>27</v>
      </c>
      <c r="H10" s="2676" t="s">
        <v>241</v>
      </c>
      <c r="I10" s="2678"/>
      <c r="J10" s="2679">
        <v>600000</v>
      </c>
      <c r="K10" s="2680"/>
      <c r="L10" s="2681"/>
      <c r="M10" s="884"/>
      <c r="N10" s="2629" t="str">
        <f>IF(AH41=0,"ERROR :   KINDLY SELECT MATURITY OPTION LUMPSUM"," ")</f>
        <v/>
      </c>
      <c r="O10" s="2629"/>
      <c r="P10" s="2629"/>
      <c r="Q10" s="2629"/>
      <c r="R10" s="1097"/>
      <c r="S10" s="2666"/>
      <c r="T10" s="2667"/>
      <c r="U10" s="2668"/>
      <c r="V10" s="2711"/>
      <c r="W10" s="2712"/>
      <c r="X10" s="2713"/>
      <c r="AB10" s="1099">
        <v>8</v>
      </c>
      <c r="AC10" s="1100">
        <v>526.79999999999995</v>
      </c>
      <c r="AF10" s="1129">
        <v>15</v>
      </c>
      <c r="AG10" s="1129">
        <v>20</v>
      </c>
      <c r="AH10" s="1129">
        <v>25</v>
      </c>
      <c r="AI10" s="1091">
        <f>IF(J10&gt;=AF9,IF(J10&gt;=AG9,IF(J10&gt;=AH9,AH10,AG10),AF10),0)</f>
        <v>25</v>
      </c>
      <c r="AJ10" s="1099">
        <f>G$10</f>
        <v>27</v>
      </c>
      <c r="AK10" s="1108">
        <v>0.5</v>
      </c>
      <c r="AL10" s="1108">
        <v>0.24349999999999999</v>
      </c>
      <c r="AM10" s="1109">
        <f>AH$13*70%</f>
        <v>221865</v>
      </c>
      <c r="AN10" s="1109">
        <f t="shared" si="0"/>
        <v>146100</v>
      </c>
      <c r="AO10" s="1109">
        <f t="shared" si="1"/>
        <v>221865</v>
      </c>
      <c r="AP10" s="1108">
        <f t="shared" ref="AP10:AP31" si="2">ROUND(AO10*90%/100,0)*100</f>
        <v>199700</v>
      </c>
      <c r="AQ10" s="1107">
        <f>IF(G$10&lt;8,AI$14,AH$15)</f>
        <v>3319500</v>
      </c>
      <c r="AR10" s="1107">
        <f>IF(G$10&lt;8,AI$14,AI$13)</f>
        <v>3919500</v>
      </c>
    </row>
    <row r="11" spans="1:44" ht="17.25" thickTop="1" thickBot="1">
      <c r="A11" s="1097"/>
      <c r="B11" s="1097"/>
      <c r="C11" s="1097"/>
      <c r="D11" s="885"/>
      <c r="E11" s="2682" t="s">
        <v>2150</v>
      </c>
      <c r="F11" s="2683"/>
      <c r="G11" s="2684"/>
      <c r="H11" s="2688" t="str">
        <f>IF(G10&lt;18,"NO ADDB RIDER","ADDB RIDER")</f>
        <v>ADDB RIDER</v>
      </c>
      <c r="I11" s="2677"/>
      <c r="J11" s="2677"/>
      <c r="K11" s="1128" t="s">
        <v>190</v>
      </c>
      <c r="L11" s="1126"/>
      <c r="M11" s="884"/>
      <c r="N11" s="2629"/>
      <c r="O11" s="2629"/>
      <c r="P11" s="2629"/>
      <c r="Q11" s="2629"/>
      <c r="R11" s="1097"/>
      <c r="S11" s="2660" t="s">
        <v>206</v>
      </c>
      <c r="T11" s="2660"/>
      <c r="U11" s="2660"/>
      <c r="V11" s="2722" t="s">
        <v>69</v>
      </c>
      <c r="W11" s="2722"/>
      <c r="X11" s="2722"/>
      <c r="AB11" s="1099">
        <v>9</v>
      </c>
      <c r="AC11" s="1100">
        <v>527.35</v>
      </c>
      <c r="AJ11" s="1099">
        <f>G$10+1</f>
        <v>28</v>
      </c>
      <c r="AK11" s="1110">
        <v>1</v>
      </c>
      <c r="AL11" s="1115">
        <v>0.48699999999999999</v>
      </c>
      <c r="AM11" s="1109">
        <f t="shared" ref="AM11:AM31" si="3">AH$13*90%</f>
        <v>285255</v>
      </c>
      <c r="AN11" s="1109">
        <f t="shared" si="0"/>
        <v>292200</v>
      </c>
      <c r="AO11" s="1109">
        <f t="shared" si="1"/>
        <v>292200</v>
      </c>
      <c r="AP11" s="1108">
        <f t="shared" si="2"/>
        <v>263000</v>
      </c>
      <c r="AQ11" s="1107">
        <f>IF(AJ11=8,AH15,IF(G$10&lt;8,AI$14,AH$15))</f>
        <v>3319500</v>
      </c>
      <c r="AR11" s="1107">
        <f>IF(AJ11=8,AH15,IF(G$10&lt;8,AI$14,AI$13))</f>
        <v>3919500</v>
      </c>
    </row>
    <row r="12" spans="1:44" ht="18" customHeight="1" thickTop="1" thickBot="1">
      <c r="A12" s="1097"/>
      <c r="B12" s="1097"/>
      <c r="C12" s="1097"/>
      <c r="D12" s="885"/>
      <c r="E12" s="2685"/>
      <c r="F12" s="2686"/>
      <c r="G12" s="2687"/>
      <c r="H12" s="2688" t="str">
        <f>IF(G10&gt;18,"POLICE DUTY"," ")</f>
        <v>POLICE DUTY</v>
      </c>
      <c r="I12" s="2677"/>
      <c r="J12" s="2677"/>
      <c r="K12" s="1127" t="s">
        <v>80</v>
      </c>
      <c r="L12" s="1126"/>
      <c r="M12" s="884"/>
      <c r="N12" s="1097"/>
      <c r="O12" s="1161"/>
      <c r="P12" s="1161"/>
      <c r="Q12" s="1161"/>
      <c r="R12" s="1097"/>
      <c r="S12" s="2663" t="s">
        <v>207</v>
      </c>
      <c r="T12" s="2664"/>
      <c r="U12" s="2665"/>
      <c r="V12" s="2716" t="s">
        <v>2149</v>
      </c>
      <c r="W12" s="2717"/>
      <c r="X12" s="2718"/>
      <c r="AB12" s="1099">
        <v>10</v>
      </c>
      <c r="AC12" s="1100">
        <v>528.6</v>
      </c>
      <c r="AF12" s="922">
        <f>ROUND(((AC7*(100-AC6)/100)-AI10)*J10/1000+J10*AI7/1000,0)</f>
        <v>322410</v>
      </c>
      <c r="AI12" s="1101">
        <f>IF(AF7=1,IF(AG7="YES",AH15+J10,AH15),0)</f>
        <v>3919500</v>
      </c>
      <c r="AJ12" s="1099">
        <f>G$10+1</f>
        <v>28</v>
      </c>
      <c r="AK12" s="1110">
        <v>1.5</v>
      </c>
      <c r="AL12" s="1115">
        <v>0.50180000000000002</v>
      </c>
      <c r="AM12" s="1109">
        <f t="shared" si="3"/>
        <v>285255</v>
      </c>
      <c r="AN12" s="1109">
        <f t="shared" si="0"/>
        <v>301080</v>
      </c>
      <c r="AO12" s="1109">
        <f t="shared" si="1"/>
        <v>301080</v>
      </c>
      <c r="AP12" s="1108">
        <f t="shared" si="2"/>
        <v>271000</v>
      </c>
      <c r="AQ12" s="1107">
        <f>IF(AJ11=8,AH15,IF(G$10&lt;8,AI$14,AH$15))</f>
        <v>3319500</v>
      </c>
      <c r="AR12" s="1107">
        <f>IF(AJ11=8,AH15,IF(G$10&lt;8,AI$14,AI$13))</f>
        <v>3919500</v>
      </c>
    </row>
    <row r="13" spans="1:44" ht="20.25" customHeight="1" thickTop="1" thickBot="1">
      <c r="A13" s="1097"/>
      <c r="B13" s="1097"/>
      <c r="C13" s="1097"/>
      <c r="D13" s="885"/>
      <c r="E13" s="2637" t="s">
        <v>2109</v>
      </c>
      <c r="F13" s="2638"/>
      <c r="G13" s="2639"/>
      <c r="H13" s="1125">
        <v>4.4999999999999998E-2</v>
      </c>
      <c r="I13" s="2676" t="s">
        <v>2062</v>
      </c>
      <c r="J13" s="2678"/>
      <c r="K13" s="2695" t="str">
        <f xml:space="preserve"> CONCATENATE((12)," ","Years")</f>
        <v>12 Years</v>
      </c>
      <c r="L13" s="2696"/>
      <c r="M13" s="884"/>
      <c r="N13" s="1097"/>
      <c r="O13" s="1161"/>
      <c r="P13" s="1161"/>
      <c r="Q13" s="1161"/>
      <c r="R13" s="1097"/>
      <c r="S13" s="2666"/>
      <c r="T13" s="2667"/>
      <c r="U13" s="2668"/>
      <c r="V13" s="2719"/>
      <c r="W13" s="2720"/>
      <c r="X13" s="2721"/>
      <c r="AB13" s="1099">
        <v>11</v>
      </c>
      <c r="AC13" s="1100">
        <v>530.35</v>
      </c>
      <c r="AE13" s="1099">
        <f>AC7</f>
        <v>553.25</v>
      </c>
      <c r="AF13" s="1122">
        <f>ROUND(AF12*H13,0)</f>
        <v>14508</v>
      </c>
      <c r="AH13" s="1101">
        <f>(AE17*J10/1000)</f>
        <v>316950</v>
      </c>
      <c r="AI13" s="1101">
        <f>IF(AI12=0,AH15,AI12)</f>
        <v>3919500</v>
      </c>
      <c r="AJ13" s="1099">
        <f>G$10+2</f>
        <v>29</v>
      </c>
      <c r="AK13" s="1110">
        <v>2</v>
      </c>
      <c r="AL13" s="1115">
        <v>0.51649999999999996</v>
      </c>
      <c r="AM13" s="1109">
        <f t="shared" si="3"/>
        <v>285255</v>
      </c>
      <c r="AN13" s="1109">
        <f t="shared" si="0"/>
        <v>309900</v>
      </c>
      <c r="AO13" s="1109">
        <f t="shared" si="1"/>
        <v>309900</v>
      </c>
      <c r="AP13" s="1108">
        <f t="shared" si="2"/>
        <v>278900</v>
      </c>
      <c r="AQ13" s="1107">
        <f t="shared" ref="AQ13:AQ18" si="4">AH$15</f>
        <v>3319500</v>
      </c>
      <c r="AR13" s="1107">
        <f t="shared" ref="AR13:AR31" si="5">AI$13</f>
        <v>3919500</v>
      </c>
    </row>
    <row r="14" spans="1:44" ht="15.75" customHeight="1" thickTop="1" thickBot="1">
      <c r="A14" s="1097"/>
      <c r="B14" s="1097"/>
      <c r="C14" s="1097"/>
      <c r="D14" s="885"/>
      <c r="E14" s="2689" t="s">
        <v>2148</v>
      </c>
      <c r="F14" s="2690"/>
      <c r="G14" s="2690"/>
      <c r="H14" s="2691"/>
      <c r="I14" s="2699" t="s">
        <v>2144</v>
      </c>
      <c r="J14" s="2700"/>
      <c r="K14" s="2700"/>
      <c r="L14" s="2701"/>
      <c r="M14" s="884"/>
      <c r="N14" s="1097"/>
      <c r="O14" s="2715" t="s">
        <v>767</v>
      </c>
      <c r="P14" s="2715"/>
      <c r="Q14" s="1161"/>
      <c r="R14" s="1097"/>
      <c r="S14" s="1124"/>
      <c r="T14" s="1124"/>
      <c r="U14" s="1124"/>
      <c r="V14" s="1123"/>
      <c r="W14" s="1123"/>
      <c r="X14" s="1123"/>
      <c r="AB14" s="1099">
        <v>12</v>
      </c>
      <c r="AC14" s="1100">
        <v>532.35</v>
      </c>
      <c r="AE14" s="1099">
        <v>0</v>
      </c>
      <c r="AF14" s="1122">
        <f>AF12+AF13</f>
        <v>336918</v>
      </c>
      <c r="AH14" s="1101"/>
      <c r="AI14" s="1101">
        <f>IF(G10&lt;8,AH13,AI13)</f>
        <v>3919500</v>
      </c>
      <c r="AJ14" s="1099">
        <f>G$10+2</f>
        <v>29</v>
      </c>
      <c r="AK14" s="1110">
        <v>2.5</v>
      </c>
      <c r="AL14" s="1115">
        <v>0.5323</v>
      </c>
      <c r="AM14" s="1109">
        <f t="shared" si="3"/>
        <v>285255</v>
      </c>
      <c r="AN14" s="1109">
        <f t="shared" si="0"/>
        <v>319380</v>
      </c>
      <c r="AO14" s="1109">
        <f t="shared" si="1"/>
        <v>319380</v>
      </c>
      <c r="AP14" s="1108">
        <f t="shared" si="2"/>
        <v>287400</v>
      </c>
      <c r="AQ14" s="1107">
        <f t="shared" si="4"/>
        <v>3319500</v>
      </c>
      <c r="AR14" s="1107">
        <f t="shared" si="5"/>
        <v>3919500</v>
      </c>
    </row>
    <row r="15" spans="1:44" ht="15.75" thickTop="1">
      <c r="A15" s="1097"/>
      <c r="B15" s="1097"/>
      <c r="C15" s="1097"/>
      <c r="D15" s="884"/>
      <c r="E15" s="2692"/>
      <c r="F15" s="2693"/>
      <c r="G15" s="2693"/>
      <c r="H15" s="2694"/>
      <c r="I15" s="2702" t="str">
        <f>IF(AF34=2,"SELECT"," ")</f>
        <v/>
      </c>
      <c r="J15" s="2703"/>
      <c r="K15" s="2703"/>
      <c r="L15" s="2703"/>
      <c r="M15" s="885"/>
      <c r="N15" s="1097"/>
      <c r="O15" s="1790" t="s">
        <v>226</v>
      </c>
      <c r="P15" s="1790"/>
      <c r="Q15" s="1097"/>
      <c r="R15" s="1097"/>
      <c r="S15" s="1097"/>
      <c r="T15" s="1097"/>
      <c r="U15" s="1097"/>
      <c r="V15" s="1097"/>
      <c r="W15" s="1097"/>
      <c r="X15" s="1097"/>
      <c r="AB15" s="1099">
        <v>13</v>
      </c>
      <c r="AC15" s="1100">
        <v>534.45000000000005</v>
      </c>
      <c r="AE15" s="1099">
        <f>AE13-AE14</f>
        <v>553.25</v>
      </c>
      <c r="AH15" s="1101">
        <f>(AE13*J10/1000)*10</f>
        <v>3319500</v>
      </c>
      <c r="AJ15" s="1099">
        <f>G$10+3</f>
        <v>30</v>
      </c>
      <c r="AK15" s="1110">
        <v>3</v>
      </c>
      <c r="AL15" s="1115">
        <v>0.54800000000000004</v>
      </c>
      <c r="AM15" s="1109">
        <f t="shared" si="3"/>
        <v>285255</v>
      </c>
      <c r="AN15" s="1109">
        <f t="shared" si="0"/>
        <v>328800</v>
      </c>
      <c r="AO15" s="1109">
        <f t="shared" si="1"/>
        <v>328800</v>
      </c>
      <c r="AP15" s="1108">
        <f t="shared" si="2"/>
        <v>295900</v>
      </c>
      <c r="AQ15" s="1107">
        <f t="shared" si="4"/>
        <v>3319500</v>
      </c>
      <c r="AR15" s="1107">
        <f t="shared" si="5"/>
        <v>3919500</v>
      </c>
    </row>
    <row r="16" spans="1:44" ht="19.5" thickBot="1">
      <c r="A16" s="1097"/>
      <c r="B16" s="1097"/>
      <c r="C16" s="1097"/>
      <c r="D16" s="884"/>
      <c r="E16" s="2692"/>
      <c r="F16" s="2693"/>
      <c r="G16" s="2693"/>
      <c r="H16" s="2694"/>
      <c r="I16" s="2707" t="str">
        <f>IF(AF34=2," YEAR ==&gt;"," ")</f>
        <v/>
      </c>
      <c r="J16" s="2705"/>
      <c r="K16" s="2705"/>
      <c r="L16" s="1121">
        <v>5</v>
      </c>
      <c r="M16" s="885"/>
      <c r="N16" s="1097"/>
      <c r="O16" s="1790"/>
      <c r="P16" s="1790"/>
      <c r="Q16" s="1162"/>
      <c r="R16" s="1097"/>
      <c r="S16" s="1097"/>
      <c r="T16" s="1097"/>
      <c r="U16" s="1097"/>
      <c r="V16" s="1097"/>
      <c r="W16" s="1097"/>
      <c r="X16" s="1097"/>
      <c r="AB16" s="1099">
        <v>14</v>
      </c>
      <c r="AC16" s="1100">
        <v>536.5</v>
      </c>
      <c r="AE16" s="1120">
        <f>AI10</f>
        <v>25</v>
      </c>
      <c r="AJ16" s="1099">
        <f>G$10+3</f>
        <v>30</v>
      </c>
      <c r="AK16" s="1110">
        <v>3.5</v>
      </c>
      <c r="AL16" s="1115">
        <v>0.56489999999999996</v>
      </c>
      <c r="AM16" s="1109">
        <f t="shared" si="3"/>
        <v>285255</v>
      </c>
      <c r="AN16" s="1109">
        <f t="shared" si="0"/>
        <v>338940</v>
      </c>
      <c r="AO16" s="1109">
        <f t="shared" si="1"/>
        <v>338940</v>
      </c>
      <c r="AP16" s="1108">
        <f t="shared" si="2"/>
        <v>305000</v>
      </c>
      <c r="AQ16" s="1107">
        <f t="shared" si="4"/>
        <v>3319500</v>
      </c>
      <c r="AR16" s="1107">
        <f t="shared" si="5"/>
        <v>3919500</v>
      </c>
    </row>
    <row r="17" spans="1:44" ht="15.75" customHeight="1" thickTop="1">
      <c r="A17" s="1097"/>
      <c r="B17" s="1097"/>
      <c r="C17" s="1097"/>
      <c r="D17" s="884"/>
      <c r="E17" s="2641" t="s">
        <v>2147</v>
      </c>
      <c r="F17" s="2642"/>
      <c r="G17" s="2642"/>
      <c r="H17" s="2643"/>
      <c r="I17" s="2704" t="str">
        <f>IF(AF34=2,"MODE ==&gt;"," ")</f>
        <v/>
      </c>
      <c r="J17" s="2705"/>
      <c r="K17" s="2706" t="s">
        <v>196</v>
      </c>
      <c r="L17" s="2706"/>
      <c r="M17" s="885"/>
      <c r="N17" s="1162"/>
      <c r="O17" s="1162"/>
      <c r="P17" s="1162"/>
      <c r="Q17" s="1162"/>
      <c r="R17" s="1097"/>
      <c r="S17" s="1097"/>
      <c r="T17" s="1097"/>
      <c r="U17" s="1097"/>
      <c r="V17" s="1097"/>
      <c r="W17" s="1097"/>
      <c r="X17" s="1097"/>
      <c r="AB17" s="1099">
        <v>15</v>
      </c>
      <c r="AC17" s="1100">
        <v>538.4</v>
      </c>
      <c r="AE17" s="1120">
        <f>AE15-AE16</f>
        <v>528.25</v>
      </c>
      <c r="AJ17" s="1099">
        <f>G$10+4</f>
        <v>31</v>
      </c>
      <c r="AK17" s="1110">
        <v>4</v>
      </c>
      <c r="AL17" s="1115">
        <v>0.58179999999999998</v>
      </c>
      <c r="AM17" s="1109">
        <f t="shared" si="3"/>
        <v>285255</v>
      </c>
      <c r="AN17" s="1109">
        <f t="shared" si="0"/>
        <v>349080</v>
      </c>
      <c r="AO17" s="1109">
        <f t="shared" si="1"/>
        <v>349080</v>
      </c>
      <c r="AP17" s="1108">
        <f t="shared" si="2"/>
        <v>314200</v>
      </c>
      <c r="AQ17" s="1107">
        <f t="shared" si="4"/>
        <v>3319500</v>
      </c>
      <c r="AR17" s="1107">
        <f t="shared" si="5"/>
        <v>3919500</v>
      </c>
    </row>
    <row r="18" spans="1:44" ht="16.5" thickBot="1">
      <c r="A18" s="1097"/>
      <c r="B18" s="1097"/>
      <c r="C18" s="1097"/>
      <c r="D18" s="884"/>
      <c r="E18" s="2644"/>
      <c r="F18" s="2645"/>
      <c r="G18" s="2645"/>
      <c r="H18" s="2646"/>
      <c r="I18" s="2697"/>
      <c r="J18" s="2698"/>
      <c r="K18" s="2698"/>
      <c r="L18" s="2698"/>
      <c r="M18" s="885"/>
      <c r="N18" s="1097"/>
      <c r="O18" s="1119"/>
      <c r="P18" s="733"/>
      <c r="Q18" s="733"/>
      <c r="R18" s="1097"/>
      <c r="S18" s="1097"/>
      <c r="T18" s="1097"/>
      <c r="U18" s="1097"/>
      <c r="V18" s="1097"/>
      <c r="W18" s="1097"/>
      <c r="X18" s="1097"/>
      <c r="AB18" s="1099">
        <v>16</v>
      </c>
      <c r="AC18" s="1100">
        <v>540.1</v>
      </c>
      <c r="AE18" s="1100">
        <f>AI7</f>
        <v>9.1</v>
      </c>
      <c r="AJ18" s="1099">
        <f>G$10+4</f>
        <v>31</v>
      </c>
      <c r="AK18" s="1110">
        <v>4.5</v>
      </c>
      <c r="AL18" s="1115">
        <v>0.6</v>
      </c>
      <c r="AM18" s="1109">
        <f t="shared" si="3"/>
        <v>285255</v>
      </c>
      <c r="AN18" s="1109">
        <f t="shared" si="0"/>
        <v>360000</v>
      </c>
      <c r="AO18" s="1109">
        <f t="shared" si="1"/>
        <v>360000</v>
      </c>
      <c r="AP18" s="1108">
        <f t="shared" si="2"/>
        <v>324000</v>
      </c>
      <c r="AQ18" s="1107">
        <f t="shared" si="4"/>
        <v>3319500</v>
      </c>
      <c r="AR18" s="1107">
        <f t="shared" si="5"/>
        <v>3919500</v>
      </c>
    </row>
    <row r="19" spans="1:44" ht="16.5" thickTop="1">
      <c r="A19" s="1097"/>
      <c r="B19" s="1097"/>
      <c r="C19" s="1097"/>
      <c r="D19" s="884"/>
      <c r="E19" s="2669" t="str">
        <f>CONCATENATE("Rs."," ",(AF14))</f>
        <v>Rs. 336918</v>
      </c>
      <c r="F19" s="2670"/>
      <c r="G19" s="2670"/>
      <c r="H19" s="2671"/>
      <c r="I19" s="2697"/>
      <c r="J19" s="2698"/>
      <c r="K19" s="2698"/>
      <c r="L19" s="2698"/>
      <c r="M19" s="885"/>
      <c r="N19" s="1097"/>
      <c r="O19" s="2714" t="s">
        <v>769</v>
      </c>
      <c r="P19" s="2714"/>
      <c r="Q19" s="1096"/>
      <c r="R19" s="1097"/>
      <c r="S19" s="1097"/>
      <c r="T19" s="1097"/>
      <c r="U19" s="1097"/>
      <c r="V19" s="1097"/>
      <c r="W19" s="1097"/>
      <c r="X19" s="1097"/>
      <c r="AB19" s="1099">
        <v>17</v>
      </c>
      <c r="AC19" s="1100">
        <v>541.6</v>
      </c>
      <c r="AE19" s="1100">
        <f>AE17+AE18</f>
        <v>537.35</v>
      </c>
      <c r="AI19" s="1099">
        <f>AH19*J$10/1000</f>
        <v>0</v>
      </c>
      <c r="AJ19" s="1099">
        <f>G$10+5</f>
        <v>32</v>
      </c>
      <c r="AK19" s="1110">
        <v>5</v>
      </c>
      <c r="AL19" s="1115">
        <v>0.61809999999999998</v>
      </c>
      <c r="AM19" s="1109">
        <f t="shared" si="3"/>
        <v>285255</v>
      </c>
      <c r="AN19" s="1109">
        <f t="shared" si="0"/>
        <v>370860</v>
      </c>
      <c r="AO19" s="1109">
        <f t="shared" si="1"/>
        <v>370860</v>
      </c>
      <c r="AP19" s="1108">
        <f t="shared" si="2"/>
        <v>333800</v>
      </c>
      <c r="AQ19" s="1107">
        <f t="shared" ref="AQ19:AQ31" si="6">AH$15+AI19</f>
        <v>3319500</v>
      </c>
      <c r="AR19" s="1107">
        <f t="shared" si="5"/>
        <v>3919500</v>
      </c>
    </row>
    <row r="20" spans="1:44" ht="15.75" customHeight="1" thickBot="1">
      <c r="A20" s="1097"/>
      <c r="B20" s="1097"/>
      <c r="C20" s="1097"/>
      <c r="D20" s="884"/>
      <c r="E20" s="2672"/>
      <c r="F20" s="2673"/>
      <c r="G20" s="2673"/>
      <c r="H20" s="2674"/>
      <c r="I20" s="1118"/>
      <c r="J20" s="1118"/>
      <c r="K20" s="1118"/>
      <c r="L20" s="1118"/>
      <c r="M20" s="885"/>
      <c r="N20" s="1097"/>
      <c r="O20" s="2647" t="s">
        <v>226</v>
      </c>
      <c r="P20" s="2647"/>
      <c r="Q20" s="1074"/>
      <c r="R20" s="1097"/>
      <c r="S20" s="1097"/>
      <c r="T20" s="1097"/>
      <c r="U20" s="1097"/>
      <c r="V20" s="1097"/>
      <c r="W20" s="1097"/>
      <c r="X20" s="1097"/>
      <c r="AB20" s="1099">
        <v>18</v>
      </c>
      <c r="AC20" s="1100">
        <v>542.9</v>
      </c>
      <c r="AE20" s="1101">
        <f>AE19*J10/1000</f>
        <v>322410</v>
      </c>
      <c r="AI20" s="1099">
        <f>AI19</f>
        <v>0</v>
      </c>
      <c r="AJ20" s="1099">
        <f>G$10+5</f>
        <v>32</v>
      </c>
      <c r="AK20" s="1110">
        <v>5.5</v>
      </c>
      <c r="AL20" s="1115">
        <v>0.63049999999999995</v>
      </c>
      <c r="AM20" s="1109">
        <f t="shared" si="3"/>
        <v>285255</v>
      </c>
      <c r="AN20" s="1109">
        <f t="shared" si="0"/>
        <v>378300</v>
      </c>
      <c r="AO20" s="1109">
        <f t="shared" si="1"/>
        <v>378300</v>
      </c>
      <c r="AP20" s="1108">
        <f t="shared" si="2"/>
        <v>340500</v>
      </c>
      <c r="AQ20" s="1107">
        <f t="shared" si="6"/>
        <v>3319500</v>
      </c>
      <c r="AR20" s="1107">
        <f t="shared" si="5"/>
        <v>3919500</v>
      </c>
    </row>
    <row r="21" spans="1:44" ht="15.75" customHeight="1" thickTop="1">
      <c r="A21" s="1097"/>
      <c r="B21" s="1097"/>
      <c r="C21" s="1097"/>
      <c r="D21" s="884"/>
      <c r="E21" s="884"/>
      <c r="F21" s="884"/>
      <c r="G21" s="884"/>
      <c r="H21" s="884"/>
      <c r="I21" s="885"/>
      <c r="J21" s="885"/>
      <c r="K21" s="885"/>
      <c r="L21" s="885"/>
      <c r="M21" s="885"/>
      <c r="N21" s="1097"/>
      <c r="O21" s="2647"/>
      <c r="P21" s="2647"/>
      <c r="Q21" s="1074"/>
      <c r="R21" s="1097"/>
      <c r="S21" s="1097"/>
      <c r="T21" s="1097"/>
      <c r="U21" s="1097"/>
      <c r="V21" s="1097"/>
      <c r="W21" s="1097"/>
      <c r="X21" s="1097"/>
      <c r="AB21" s="1099">
        <v>19</v>
      </c>
      <c r="AC21" s="1100">
        <v>544</v>
      </c>
      <c r="AH21" s="1099">
        <v>20</v>
      </c>
      <c r="AI21" s="1099">
        <f>AH21*J$10/1000</f>
        <v>12000</v>
      </c>
      <c r="AJ21" s="1099">
        <f>G$10+6</f>
        <v>33</v>
      </c>
      <c r="AK21" s="1110">
        <v>6</v>
      </c>
      <c r="AL21" s="1115">
        <v>0.64290000000000003</v>
      </c>
      <c r="AM21" s="1109">
        <f t="shared" si="3"/>
        <v>285255</v>
      </c>
      <c r="AN21" s="1109">
        <f t="shared" si="0"/>
        <v>385740</v>
      </c>
      <c r="AO21" s="1109">
        <f t="shared" si="1"/>
        <v>385740</v>
      </c>
      <c r="AP21" s="1108">
        <f t="shared" si="2"/>
        <v>347200</v>
      </c>
      <c r="AQ21" s="1107">
        <f t="shared" si="6"/>
        <v>3331500</v>
      </c>
      <c r="AR21" s="1107">
        <f t="shared" si="5"/>
        <v>3919500</v>
      </c>
    </row>
    <row r="22" spans="1:44">
      <c r="A22" s="1097"/>
      <c r="B22" s="1097"/>
      <c r="C22" s="1097"/>
      <c r="D22" s="2634"/>
      <c r="E22" s="2634"/>
      <c r="F22" s="2634"/>
      <c r="G22" s="2634"/>
      <c r="H22" s="2634"/>
      <c r="N22" s="1097"/>
      <c r="O22" s="1097"/>
      <c r="P22" s="1097"/>
      <c r="Q22" s="1097"/>
      <c r="R22" s="1097"/>
      <c r="S22" s="1097"/>
      <c r="T22" s="1097"/>
      <c r="U22" s="1097"/>
      <c r="V22" s="1097"/>
      <c r="W22" s="1097"/>
      <c r="X22" s="1097"/>
      <c r="AB22" s="1099">
        <v>20</v>
      </c>
      <c r="AC22" s="1100">
        <v>544.95000000000005</v>
      </c>
      <c r="AF22" s="1099">
        <f>IF(G10&gt;18,1,0)</f>
        <v>1</v>
      </c>
      <c r="AI22" s="1099">
        <f>AI21</f>
        <v>12000</v>
      </c>
      <c r="AJ22" s="1099">
        <f>G$10+6</f>
        <v>33</v>
      </c>
      <c r="AK22" s="1110">
        <v>6.5</v>
      </c>
      <c r="AL22" s="1115">
        <v>0.66169999999999995</v>
      </c>
      <c r="AM22" s="1109">
        <f t="shared" si="3"/>
        <v>285255</v>
      </c>
      <c r="AN22" s="1109">
        <f t="shared" si="0"/>
        <v>397020</v>
      </c>
      <c r="AO22" s="1109">
        <f t="shared" si="1"/>
        <v>397020</v>
      </c>
      <c r="AP22" s="1108">
        <f t="shared" si="2"/>
        <v>357300</v>
      </c>
      <c r="AQ22" s="1107">
        <f t="shared" si="6"/>
        <v>3331500</v>
      </c>
      <c r="AR22" s="1107">
        <f t="shared" si="5"/>
        <v>3919500</v>
      </c>
    </row>
    <row r="23" spans="1:44">
      <c r="A23" s="1097"/>
      <c r="B23" s="1114"/>
      <c r="C23" s="1114"/>
      <c r="D23" s="2635" t="s">
        <v>484</v>
      </c>
      <c r="E23" s="2635"/>
      <c r="F23" s="2635"/>
      <c r="G23" s="2635"/>
      <c r="H23" s="2635"/>
      <c r="I23" s="2636"/>
      <c r="J23" s="2636"/>
      <c r="K23" s="2636"/>
      <c r="L23" s="2636"/>
      <c r="M23" s="2636"/>
      <c r="N23" s="1114"/>
      <c r="O23" s="1114"/>
      <c r="P23" s="1097"/>
      <c r="Q23" s="1097"/>
      <c r="R23" s="1097"/>
      <c r="S23" s="1097"/>
      <c r="T23" s="1097"/>
      <c r="U23" s="1097"/>
      <c r="V23" s="1097"/>
      <c r="W23" s="1097"/>
      <c r="X23" s="1097"/>
      <c r="AB23" s="1099">
        <v>21</v>
      </c>
      <c r="AC23" s="1100">
        <v>545.79999999999995</v>
      </c>
      <c r="AH23" s="1099">
        <v>25</v>
      </c>
      <c r="AI23" s="1099">
        <f>AH23*J$10/1000</f>
        <v>15000</v>
      </c>
      <c r="AJ23" s="1099">
        <f>G$10+7</f>
        <v>34</v>
      </c>
      <c r="AK23" s="1110">
        <v>7</v>
      </c>
      <c r="AL23" s="1115">
        <v>0.68049999999999999</v>
      </c>
      <c r="AM23" s="1109">
        <f t="shared" si="3"/>
        <v>285255</v>
      </c>
      <c r="AN23" s="1109">
        <f t="shared" si="0"/>
        <v>408300</v>
      </c>
      <c r="AO23" s="1109">
        <f t="shared" si="1"/>
        <v>408300</v>
      </c>
      <c r="AP23" s="1108">
        <f t="shared" si="2"/>
        <v>367500</v>
      </c>
      <c r="AQ23" s="1107">
        <f t="shared" si="6"/>
        <v>3334500</v>
      </c>
      <c r="AR23" s="1107">
        <f t="shared" si="5"/>
        <v>3919500</v>
      </c>
    </row>
    <row r="24" spans="1:44">
      <c r="A24" s="1097"/>
      <c r="B24" s="1114"/>
      <c r="C24" s="1114"/>
      <c r="D24" s="1350" t="s">
        <v>912</v>
      </c>
      <c r="E24" s="1350"/>
      <c r="F24" s="1350"/>
      <c r="G24" s="1350"/>
      <c r="H24" s="1350"/>
      <c r="I24" s="1351"/>
      <c r="J24" s="1351"/>
      <c r="K24" s="1351"/>
      <c r="L24" s="1351"/>
      <c r="M24" s="1351"/>
      <c r="N24" s="1114"/>
      <c r="O24" s="1114"/>
      <c r="P24" s="1097"/>
      <c r="Q24" s="1097"/>
      <c r="R24" s="1097"/>
      <c r="S24" s="1097"/>
      <c r="T24" s="1097"/>
      <c r="U24" s="1097"/>
      <c r="V24" s="1097"/>
      <c r="W24" s="1097"/>
      <c r="X24" s="1097"/>
      <c r="AB24" s="1099">
        <v>22</v>
      </c>
      <c r="AC24" s="1100">
        <v>546.70000000000005</v>
      </c>
      <c r="AI24" s="1099">
        <f>AI23</f>
        <v>15000</v>
      </c>
      <c r="AJ24" s="1099">
        <f>G$10+7</f>
        <v>34</v>
      </c>
      <c r="AK24" s="1110">
        <v>7.5</v>
      </c>
      <c r="AL24" s="1115">
        <v>0.70079999999999998</v>
      </c>
      <c r="AM24" s="1109">
        <f t="shared" si="3"/>
        <v>285255</v>
      </c>
      <c r="AN24" s="1109">
        <f t="shared" si="0"/>
        <v>420480</v>
      </c>
      <c r="AO24" s="1109">
        <f t="shared" si="1"/>
        <v>420480</v>
      </c>
      <c r="AP24" s="1108">
        <f t="shared" si="2"/>
        <v>378400</v>
      </c>
      <c r="AQ24" s="1107">
        <f t="shared" si="6"/>
        <v>3334500</v>
      </c>
      <c r="AR24" s="1107">
        <f t="shared" si="5"/>
        <v>3919500</v>
      </c>
    </row>
    <row r="25" spans="1:44">
      <c r="A25" s="1097"/>
      <c r="B25" s="1114"/>
      <c r="C25" s="1114"/>
      <c r="D25" s="1350" t="s">
        <v>486</v>
      </c>
      <c r="E25" s="1350"/>
      <c r="F25" s="1350"/>
      <c r="G25" s="1350"/>
      <c r="H25" s="1350"/>
      <c r="I25" s="1351"/>
      <c r="J25" s="1351"/>
      <c r="K25" s="1351"/>
      <c r="L25" s="1351"/>
      <c r="M25" s="1351"/>
      <c r="N25" s="1114"/>
      <c r="O25" s="1114"/>
      <c r="P25" s="1097"/>
      <c r="Q25" s="1097"/>
      <c r="R25" s="1097"/>
      <c r="S25" s="1097"/>
      <c r="T25" s="1097"/>
      <c r="U25" s="1097"/>
      <c r="V25" s="1097"/>
      <c r="W25" s="1097"/>
      <c r="X25" s="1097"/>
      <c r="AB25" s="1099">
        <v>23</v>
      </c>
      <c r="AC25" s="1100">
        <v>547.6</v>
      </c>
      <c r="AH25" s="1099">
        <v>30</v>
      </c>
      <c r="AI25" s="1099">
        <f>AH25*J$10/1000</f>
        <v>18000</v>
      </c>
      <c r="AJ25" s="1099">
        <f>G$10+8</f>
        <v>35</v>
      </c>
      <c r="AK25" s="1110">
        <v>8</v>
      </c>
      <c r="AL25" s="1115">
        <v>0.72109999999999996</v>
      </c>
      <c r="AM25" s="1109">
        <f t="shared" si="3"/>
        <v>285255</v>
      </c>
      <c r="AN25" s="1109">
        <f t="shared" si="0"/>
        <v>432660</v>
      </c>
      <c r="AO25" s="1109">
        <f t="shared" si="1"/>
        <v>432660</v>
      </c>
      <c r="AP25" s="1108">
        <f t="shared" si="2"/>
        <v>389400</v>
      </c>
      <c r="AQ25" s="1107">
        <f t="shared" si="6"/>
        <v>3337500</v>
      </c>
      <c r="AR25" s="1107">
        <f t="shared" si="5"/>
        <v>3919500</v>
      </c>
    </row>
    <row r="26" spans="1:44">
      <c r="A26" s="1097"/>
      <c r="B26" s="1114"/>
      <c r="C26" s="1114"/>
      <c r="D26" s="2633" t="s">
        <v>2146</v>
      </c>
      <c r="E26" s="2633"/>
      <c r="F26" s="2633"/>
      <c r="G26" s="2633"/>
      <c r="H26" s="2633"/>
      <c r="I26" s="2628"/>
      <c r="J26" s="2628"/>
      <c r="K26" s="2628"/>
      <c r="L26" s="2628"/>
      <c r="M26" s="2628"/>
      <c r="N26" s="1114"/>
      <c r="O26" s="1114"/>
      <c r="P26" s="1097"/>
      <c r="Q26" s="1097"/>
      <c r="R26" s="1097"/>
      <c r="S26" s="1097"/>
      <c r="T26" s="1097"/>
      <c r="U26" s="1097"/>
      <c r="V26" s="1097"/>
      <c r="W26" s="1097"/>
      <c r="X26" s="1097"/>
      <c r="AB26" s="1099">
        <v>24</v>
      </c>
      <c r="AC26" s="1100">
        <v>548.65</v>
      </c>
      <c r="AF26" s="1117">
        <f ca="1">DATE(YEAR(AF28), MONTH(AF28) + 6, DAY(AF28) )</f>
        <v>47796</v>
      </c>
      <c r="AI26" s="1099">
        <f>AI25</f>
        <v>18000</v>
      </c>
      <c r="AJ26" s="1099">
        <f>G$10+8</f>
        <v>35</v>
      </c>
      <c r="AK26" s="1110">
        <v>8.5</v>
      </c>
      <c r="AL26" s="1115">
        <v>0.74029999999999996</v>
      </c>
      <c r="AM26" s="1109">
        <f t="shared" si="3"/>
        <v>285255</v>
      </c>
      <c r="AN26" s="1109">
        <f t="shared" si="0"/>
        <v>444180</v>
      </c>
      <c r="AO26" s="1109">
        <f t="shared" si="1"/>
        <v>444180</v>
      </c>
      <c r="AP26" s="1108">
        <f t="shared" si="2"/>
        <v>399800</v>
      </c>
      <c r="AQ26" s="1107">
        <f t="shared" si="6"/>
        <v>3337500</v>
      </c>
      <c r="AR26" s="1107">
        <f t="shared" si="5"/>
        <v>3919500</v>
      </c>
    </row>
    <row r="27" spans="1:44">
      <c r="A27" s="1097"/>
      <c r="B27" s="1114"/>
      <c r="C27" s="1114"/>
      <c r="D27" s="2633" t="s">
        <v>908</v>
      </c>
      <c r="E27" s="2633"/>
      <c r="F27" s="2633"/>
      <c r="G27" s="2633"/>
      <c r="H27" s="2633"/>
      <c r="I27" s="2628"/>
      <c r="J27" s="2628"/>
      <c r="K27" s="2628"/>
      <c r="L27" s="2628"/>
      <c r="M27" s="2628"/>
      <c r="N27" s="1114"/>
      <c r="O27" s="1114"/>
      <c r="P27" s="1097"/>
      <c r="Q27" s="1097"/>
      <c r="R27" s="1097"/>
      <c r="S27" s="1097"/>
      <c r="T27" s="1097"/>
      <c r="U27" s="1097"/>
      <c r="V27" s="1097"/>
      <c r="W27" s="1097"/>
      <c r="X27" s="1097"/>
      <c r="AB27" s="1099">
        <v>25</v>
      </c>
      <c r="AC27" s="1100">
        <v>549.9</v>
      </c>
      <c r="AF27" s="1116"/>
      <c r="AH27" s="1099">
        <v>35</v>
      </c>
      <c r="AI27" s="1099">
        <f>AH27*J$10/1000</f>
        <v>21000</v>
      </c>
      <c r="AJ27" s="1099">
        <f>G$10+9</f>
        <v>36</v>
      </c>
      <c r="AK27" s="1110">
        <v>9</v>
      </c>
      <c r="AL27" s="1115">
        <v>0.76480000000000004</v>
      </c>
      <c r="AM27" s="1109">
        <f t="shared" si="3"/>
        <v>285255</v>
      </c>
      <c r="AN27" s="1109">
        <f t="shared" si="0"/>
        <v>458880</v>
      </c>
      <c r="AO27" s="1109">
        <f t="shared" si="1"/>
        <v>458880</v>
      </c>
      <c r="AP27" s="1108">
        <f t="shared" si="2"/>
        <v>413000</v>
      </c>
      <c r="AQ27" s="1107">
        <f t="shared" si="6"/>
        <v>3340500</v>
      </c>
      <c r="AR27" s="1107">
        <f t="shared" si="5"/>
        <v>3919500</v>
      </c>
    </row>
    <row r="28" spans="1:44">
      <c r="A28" s="1097"/>
      <c r="B28" s="1114"/>
      <c r="C28" s="1114"/>
      <c r="D28" s="2631" t="s">
        <v>488</v>
      </c>
      <c r="E28" s="2631"/>
      <c r="F28" s="2631"/>
      <c r="G28" s="2631"/>
      <c r="H28" s="2631"/>
      <c r="I28" s="2630"/>
      <c r="J28" s="2630"/>
      <c r="K28" s="2630"/>
      <c r="L28" s="2630"/>
      <c r="M28" s="2630"/>
      <c r="N28" s="1114"/>
      <c r="O28" s="1114"/>
      <c r="P28" s="1097"/>
      <c r="Q28" s="1097"/>
      <c r="R28" s="1097"/>
      <c r="S28" s="1097"/>
      <c r="T28" s="1097"/>
      <c r="U28" s="1097"/>
      <c r="V28" s="1097"/>
      <c r="W28" s="1097"/>
      <c r="X28" s="1097"/>
      <c r="AB28" s="1099">
        <v>26</v>
      </c>
      <c r="AC28" s="1100">
        <v>551.4</v>
      </c>
      <c r="AF28" s="1106" t="str">
        <f ca="1">(((DAY(NOW())&amp;"/")&amp;MONTH(NOW()))&amp;"/")&amp;((YEAR(NOW())))+12</f>
        <v>9/5/2030</v>
      </c>
      <c r="AI28" s="1099">
        <f>AI27</f>
        <v>21000</v>
      </c>
      <c r="AJ28" s="1099">
        <f>G$10+9</f>
        <v>36</v>
      </c>
      <c r="AK28" s="1110">
        <v>9.5</v>
      </c>
      <c r="AL28" s="1108">
        <v>0.78779999999999994</v>
      </c>
      <c r="AM28" s="1109">
        <f t="shared" si="3"/>
        <v>285255</v>
      </c>
      <c r="AN28" s="1109">
        <f t="shared" si="0"/>
        <v>472680</v>
      </c>
      <c r="AO28" s="1109">
        <f t="shared" si="1"/>
        <v>472680</v>
      </c>
      <c r="AP28" s="1108">
        <f t="shared" si="2"/>
        <v>425400</v>
      </c>
      <c r="AQ28" s="1107">
        <f t="shared" si="6"/>
        <v>3340500</v>
      </c>
      <c r="AR28" s="1107">
        <f t="shared" si="5"/>
        <v>3919500</v>
      </c>
    </row>
    <row r="29" spans="1:44">
      <c r="A29" s="1097"/>
      <c r="B29" s="1097"/>
      <c r="C29" s="1097"/>
      <c r="D29" s="1097"/>
      <c r="E29" s="1097"/>
      <c r="F29" s="1097"/>
      <c r="G29" s="1097"/>
      <c r="H29" s="1097"/>
      <c r="I29" s="1097"/>
      <c r="J29" s="1097"/>
      <c r="K29" s="1097"/>
      <c r="L29" s="1097"/>
      <c r="M29" s="1097"/>
      <c r="N29" s="1097"/>
      <c r="O29" s="1097"/>
      <c r="P29" s="1097"/>
      <c r="Q29" s="1097"/>
      <c r="R29" s="1097"/>
      <c r="S29" s="1097"/>
      <c r="T29" s="1097"/>
      <c r="U29" s="1097"/>
      <c r="V29" s="1097"/>
      <c r="W29" s="1097"/>
      <c r="X29" s="1097"/>
      <c r="AB29" s="1099">
        <v>27</v>
      </c>
      <c r="AC29" s="1100">
        <v>553.25</v>
      </c>
      <c r="AF29" s="1112"/>
      <c r="AH29" s="1099">
        <v>45</v>
      </c>
      <c r="AI29" s="1099">
        <f>AH29*J$10/1000</f>
        <v>27000</v>
      </c>
      <c r="AJ29" s="1099">
        <f>G$10+10</f>
        <v>37</v>
      </c>
      <c r="AK29" s="1110">
        <v>10</v>
      </c>
      <c r="AL29" s="1108">
        <v>0.81079999999999997</v>
      </c>
      <c r="AM29" s="1109">
        <f t="shared" si="3"/>
        <v>285255</v>
      </c>
      <c r="AN29" s="1109">
        <f t="shared" si="0"/>
        <v>486480</v>
      </c>
      <c r="AO29" s="1109">
        <f t="shared" si="1"/>
        <v>486480</v>
      </c>
      <c r="AP29" s="1108">
        <f t="shared" si="2"/>
        <v>437800</v>
      </c>
      <c r="AQ29" s="1107">
        <f t="shared" si="6"/>
        <v>3346500</v>
      </c>
      <c r="AR29" s="1107">
        <f t="shared" si="5"/>
        <v>3919500</v>
      </c>
    </row>
    <row r="30" spans="1:44">
      <c r="A30" s="1097"/>
      <c r="B30" s="1097"/>
      <c r="C30" s="1097"/>
      <c r="D30" s="1097"/>
      <c r="E30" s="1097"/>
      <c r="F30" s="1097"/>
      <c r="G30" s="1097"/>
      <c r="H30" s="1097"/>
      <c r="I30" s="1097"/>
      <c r="J30" s="1097"/>
      <c r="K30" s="1097"/>
      <c r="L30" s="1097"/>
      <c r="M30" s="1097"/>
      <c r="N30" s="1097"/>
      <c r="O30" s="1097"/>
      <c r="P30" s="1097"/>
      <c r="Q30" s="1097"/>
      <c r="R30" s="1097"/>
      <c r="S30" s="1097"/>
      <c r="T30" s="1097"/>
      <c r="U30" s="1097"/>
      <c r="V30" s="1097"/>
      <c r="W30" s="1097"/>
      <c r="X30" s="1097"/>
      <c r="AB30" s="1099">
        <v>28</v>
      </c>
      <c r="AC30" s="1100">
        <v>555.45000000000005</v>
      </c>
      <c r="AE30" s="1113"/>
      <c r="AF30" s="1112"/>
      <c r="AI30" s="1099">
        <f>AI29</f>
        <v>27000</v>
      </c>
      <c r="AJ30" s="1099">
        <f>G$10+10</f>
        <v>37</v>
      </c>
      <c r="AK30" s="1110">
        <v>10.5</v>
      </c>
      <c r="AL30" s="1108">
        <v>0.86409999999999998</v>
      </c>
      <c r="AM30" s="1109">
        <f t="shared" si="3"/>
        <v>285255</v>
      </c>
      <c r="AN30" s="1109">
        <f t="shared" si="0"/>
        <v>518460</v>
      </c>
      <c r="AO30" s="1109">
        <f t="shared" si="1"/>
        <v>518460</v>
      </c>
      <c r="AP30" s="1108">
        <f t="shared" si="2"/>
        <v>466600</v>
      </c>
      <c r="AQ30" s="1107">
        <f t="shared" si="6"/>
        <v>3346500</v>
      </c>
      <c r="AR30" s="1107">
        <f t="shared" si="5"/>
        <v>3919500</v>
      </c>
    </row>
    <row r="31" spans="1:44">
      <c r="A31" s="1097"/>
      <c r="B31" s="1097"/>
      <c r="C31" s="1097"/>
      <c r="D31" s="1097"/>
      <c r="E31" s="1097"/>
      <c r="F31" s="1097"/>
      <c r="G31" s="1097"/>
      <c r="H31" s="1097"/>
      <c r="I31" s="1097"/>
      <c r="J31" s="1097"/>
      <c r="K31" s="1097"/>
      <c r="L31" s="1097"/>
      <c r="M31" s="1097"/>
      <c r="N31" s="1097"/>
      <c r="O31" s="1097"/>
      <c r="P31" s="1097"/>
      <c r="Q31" s="1097"/>
      <c r="R31" s="1097"/>
      <c r="S31" s="1097"/>
      <c r="T31" s="1097"/>
      <c r="U31" s="1097"/>
      <c r="V31" s="1097"/>
      <c r="W31" s="1097"/>
      <c r="X31" s="1097"/>
      <c r="AB31" s="1099">
        <v>29</v>
      </c>
      <c r="AC31" s="1100">
        <v>558.15</v>
      </c>
      <c r="AE31" s="1099" t="s">
        <v>2145</v>
      </c>
      <c r="AF31" s="1111">
        <v>1</v>
      </c>
      <c r="AH31" s="1099">
        <v>55</v>
      </c>
      <c r="AI31" s="1099">
        <f>AH31*J$10/1000</f>
        <v>33000</v>
      </c>
      <c r="AJ31" s="1099">
        <f>G$10+11</f>
        <v>38</v>
      </c>
      <c r="AK31" s="1110">
        <v>11</v>
      </c>
      <c r="AL31" s="1108">
        <v>0.91739999999999999</v>
      </c>
      <c r="AM31" s="1109">
        <f t="shared" si="3"/>
        <v>285255</v>
      </c>
      <c r="AN31" s="1109">
        <f t="shared" si="0"/>
        <v>550440</v>
      </c>
      <c r="AO31" s="1109">
        <f t="shared" si="1"/>
        <v>550440</v>
      </c>
      <c r="AP31" s="1108">
        <f t="shared" si="2"/>
        <v>495400</v>
      </c>
      <c r="AQ31" s="1107">
        <f t="shared" si="6"/>
        <v>3352500</v>
      </c>
      <c r="AR31" s="1107">
        <f t="shared" si="5"/>
        <v>3919500</v>
      </c>
    </row>
    <row r="32" spans="1:44">
      <c r="A32" s="1097"/>
      <c r="B32" s="1097"/>
      <c r="C32" s="1097"/>
      <c r="D32" s="1097"/>
      <c r="E32" s="1097"/>
      <c r="F32" s="1097"/>
      <c r="G32" s="1097"/>
      <c r="H32" s="1097"/>
      <c r="I32" s="1097"/>
      <c r="J32" s="1097"/>
      <c r="K32" s="1097"/>
      <c r="L32" s="1097"/>
      <c r="M32" s="1097"/>
      <c r="N32" s="1097"/>
      <c r="O32" s="1097"/>
      <c r="P32" s="1097"/>
      <c r="Q32" s="1097"/>
      <c r="R32" s="1097"/>
      <c r="S32" s="1097"/>
      <c r="T32" s="1097"/>
      <c r="U32" s="1097"/>
      <c r="V32" s="1097"/>
      <c r="W32" s="1097"/>
      <c r="X32" s="1097"/>
      <c r="AB32" s="1099">
        <v>30</v>
      </c>
      <c r="AC32" s="1100">
        <v>561.35</v>
      </c>
      <c r="AE32" s="1099" t="s">
        <v>2144</v>
      </c>
      <c r="AF32" s="1106">
        <v>2</v>
      </c>
      <c r="AI32" s="1099">
        <f>AI31</f>
        <v>33000</v>
      </c>
      <c r="AO32" s="1105"/>
    </row>
    <row r="33" spans="1:40" ht="9.75" customHeight="1">
      <c r="A33" s="1097"/>
      <c r="B33" s="1097"/>
      <c r="C33" s="1097"/>
      <c r="D33" s="1097"/>
      <c r="E33" s="1097"/>
      <c r="F33" s="1097"/>
      <c r="G33" s="1097"/>
      <c r="H33" s="1097"/>
      <c r="I33" s="1097"/>
      <c r="J33" s="1097"/>
      <c r="K33" s="1097"/>
      <c r="L33" s="1097"/>
      <c r="M33" s="1097"/>
      <c r="N33" s="1097"/>
      <c r="O33" s="1097"/>
      <c r="P33" s="1097"/>
      <c r="Q33" s="1097"/>
      <c r="R33" s="1097"/>
      <c r="S33" s="1097"/>
      <c r="T33" s="1097"/>
      <c r="U33" s="1097"/>
      <c r="V33" s="1097"/>
      <c r="W33" s="1097"/>
      <c r="X33" s="1097"/>
      <c r="AB33" s="1099">
        <v>31</v>
      </c>
      <c r="AC33" s="1100">
        <v>565.25</v>
      </c>
      <c r="AH33" s="1099">
        <v>65</v>
      </c>
      <c r="AI33" s="1099">
        <f>AH33*J$10/1000</f>
        <v>39000</v>
      </c>
    </row>
    <row r="34" spans="1:40" ht="6" hidden="1" customHeight="1">
      <c r="A34" s="1097"/>
      <c r="B34" s="1097"/>
      <c r="C34" s="1097"/>
      <c r="D34" s="1097"/>
      <c r="E34" s="1097"/>
      <c r="F34" s="1097"/>
      <c r="G34" s="1097"/>
      <c r="H34" s="1097"/>
      <c r="I34" s="1097"/>
      <c r="J34" s="1097"/>
      <c r="K34" s="1097"/>
      <c r="L34" s="1097"/>
      <c r="M34" s="1097"/>
      <c r="N34" s="1097"/>
      <c r="O34" s="1097"/>
      <c r="P34" s="1097"/>
      <c r="Q34" s="1097"/>
      <c r="R34" s="1097"/>
      <c r="S34" s="1097"/>
      <c r="T34" s="1097"/>
      <c r="U34" s="1097"/>
      <c r="V34" s="1097"/>
      <c r="W34" s="1097"/>
      <c r="X34" s="1097"/>
      <c r="AB34" s="1099">
        <v>32</v>
      </c>
      <c r="AC34" s="1100">
        <v>569.85</v>
      </c>
      <c r="AF34" s="1099">
        <f>IF(I14="LUMPSUM",1,2)</f>
        <v>1</v>
      </c>
      <c r="AK34" s="1101">
        <f>J10+AI33</f>
        <v>639000</v>
      </c>
    </row>
    <row r="35" spans="1:40" hidden="1">
      <c r="A35" s="1097"/>
      <c r="B35" s="1097"/>
      <c r="C35" s="1097"/>
      <c r="D35" s="1097"/>
      <c r="E35" s="1097"/>
      <c r="F35" s="1097"/>
      <c r="G35" s="1097"/>
      <c r="H35" s="1097"/>
      <c r="I35" s="1097"/>
      <c r="J35" s="1097"/>
      <c r="K35" s="1097"/>
      <c r="L35" s="1097"/>
      <c r="M35" s="1097"/>
      <c r="N35" s="1097"/>
      <c r="O35" s="1097"/>
      <c r="P35" s="1097"/>
      <c r="Q35" s="1097"/>
      <c r="R35" s="1097"/>
      <c r="S35" s="1097"/>
      <c r="AB35" s="1099">
        <v>33</v>
      </c>
      <c r="AC35" s="1100">
        <v>575.29999999999995</v>
      </c>
      <c r="AK35" s="1099">
        <f>IF(AF34=2,AK34-I19,AK34)</f>
        <v>639000</v>
      </c>
    </row>
    <row r="36" spans="1:40" ht="15.75" hidden="1" thickBot="1">
      <c r="A36" s="1097"/>
      <c r="AB36" s="1099">
        <v>34</v>
      </c>
      <c r="AC36" s="1100">
        <v>581.85</v>
      </c>
      <c r="AE36" s="1103">
        <v>5</v>
      </c>
      <c r="AF36" s="1104">
        <v>230.97</v>
      </c>
      <c r="AG36" s="1104">
        <v>114.08</v>
      </c>
      <c r="AH36" s="1104">
        <v>55.89</v>
      </c>
      <c r="AI36" s="1104">
        <v>27.67</v>
      </c>
      <c r="AJ36" s="1103">
        <v>5</v>
      </c>
      <c r="AK36" s="1101">
        <f>(AK$35*AF36/1000)</f>
        <v>147589.82999999999</v>
      </c>
      <c r="AL36" s="1101">
        <f>(AK$35*AG36/1000)</f>
        <v>72897.119999999995</v>
      </c>
      <c r="AM36" s="1101">
        <f>(AK$35*AH36/1000)</f>
        <v>35713.71</v>
      </c>
      <c r="AN36" s="1101">
        <f>(AK$35*AI36/1000)</f>
        <v>17681.13</v>
      </c>
    </row>
    <row r="37" spans="1:40" ht="15.75" hidden="1" thickBot="1">
      <c r="A37" s="1097"/>
      <c r="AB37" s="1099">
        <v>35</v>
      </c>
      <c r="AC37" s="1100">
        <v>589.6</v>
      </c>
      <c r="AE37" s="1103">
        <v>10</v>
      </c>
      <c r="AF37" s="1104">
        <v>129.5</v>
      </c>
      <c r="AG37" s="1104">
        <v>63.96</v>
      </c>
      <c r="AH37" s="1104">
        <v>32.299999999999997</v>
      </c>
      <c r="AI37" s="1104">
        <v>15.99</v>
      </c>
      <c r="AJ37" s="1103">
        <v>10</v>
      </c>
      <c r="AK37" s="1101">
        <f>(AK$35*AF37/1000)</f>
        <v>82750.5</v>
      </c>
      <c r="AL37" s="1101">
        <f>(AK$35*AG37/1000)</f>
        <v>40870.44</v>
      </c>
      <c r="AM37" s="1101">
        <f>(AK$35*AH37/1000)</f>
        <v>20639.7</v>
      </c>
      <c r="AN37" s="1101">
        <f>(AK$35*AI37/1000)</f>
        <v>10217.61</v>
      </c>
    </row>
    <row r="38" spans="1:40" ht="15.75" hidden="1" thickBot="1">
      <c r="A38" s="1097"/>
      <c r="AB38" s="1099">
        <v>36</v>
      </c>
      <c r="AC38" s="1100">
        <v>598.85</v>
      </c>
      <c r="AE38" s="1103">
        <v>15</v>
      </c>
      <c r="AF38" s="1104">
        <v>62.98</v>
      </c>
      <c r="AG38" s="1104">
        <v>31.82</v>
      </c>
      <c r="AH38" s="1104">
        <v>15.28</v>
      </c>
      <c r="AI38" s="1104">
        <v>7.32</v>
      </c>
      <c r="AJ38" s="1103">
        <v>15</v>
      </c>
      <c r="AK38" s="1101">
        <f>(AK$35*AF38/1000)</f>
        <v>40244.22</v>
      </c>
      <c r="AL38" s="1101">
        <f>(AK$35*AG38/1000)</f>
        <v>20332.98</v>
      </c>
      <c r="AM38" s="1101">
        <f>(AK$35*AH38/1000)</f>
        <v>9763.92</v>
      </c>
      <c r="AN38" s="1101">
        <f>(AK$35*AI38/1000)</f>
        <v>4677.4799999999996</v>
      </c>
    </row>
    <row r="39" spans="1:40" hidden="1">
      <c r="A39" s="1097"/>
      <c r="AB39" s="1099">
        <v>37</v>
      </c>
      <c r="AC39" s="1100">
        <v>609.9</v>
      </c>
      <c r="AJ39" s="1102">
        <f>L16</f>
        <v>5</v>
      </c>
      <c r="AK39" s="1101">
        <f>VLOOKUP(AJ39,AJ36:AK38,2)</f>
        <v>147589.82999999999</v>
      </c>
      <c r="AL39" s="1101">
        <f>VLOOKUP(AJ39,AJ36:AL38,3)</f>
        <v>72897.119999999995</v>
      </c>
      <c r="AM39" s="1101">
        <f>VLOOKUP(AJ39,AJ36:AM38,4)</f>
        <v>35713.71</v>
      </c>
      <c r="AN39" s="1101">
        <f>VLOOKUP(AJ39,AJ36:AN38,5)</f>
        <v>17681.13</v>
      </c>
    </row>
    <row r="40" spans="1:40" hidden="1">
      <c r="A40" s="1097"/>
      <c r="AB40" s="1099">
        <v>38</v>
      </c>
      <c r="AC40" s="1100">
        <v>623.15</v>
      </c>
    </row>
    <row r="41" spans="1:40" hidden="1">
      <c r="A41" s="1097"/>
      <c r="AB41" s="1099">
        <v>39</v>
      </c>
      <c r="AC41" s="1100">
        <v>638.95000000000005</v>
      </c>
      <c r="AG41" s="1099">
        <f>IF(AK41=0,0,AL41)</f>
        <v>50000</v>
      </c>
      <c r="AH41" s="1101">
        <f>IF(AG41&lt;AK41,AK41,0)</f>
        <v>147589.82999999999</v>
      </c>
      <c r="AJ41" s="1102">
        <f>IF(K17="YEARLY",1,IF(K17="HALF-YEARLY",2,IF(K17="QUARTELY",3,4)))</f>
        <v>1</v>
      </c>
      <c r="AK41" s="1101">
        <f>VLOOKUP(AJ41,AJ42:AK45,2)</f>
        <v>147589.82999999999</v>
      </c>
      <c r="AL41" s="1101">
        <f>VLOOKUP(AJ41,AJ42:AL45,3)</f>
        <v>50000</v>
      </c>
    </row>
    <row r="42" spans="1:40" hidden="1">
      <c r="A42" s="1097"/>
      <c r="AB42" s="1099">
        <v>40</v>
      </c>
      <c r="AC42" s="1100">
        <v>657.9</v>
      </c>
      <c r="AJ42" s="1099">
        <v>1</v>
      </c>
      <c r="AK42" s="1101">
        <f>AK39</f>
        <v>147589.82999999999</v>
      </c>
      <c r="AL42" s="1099">
        <v>50000</v>
      </c>
    </row>
    <row r="43" spans="1:40" hidden="1">
      <c r="A43" s="1097"/>
      <c r="AB43" s="1099">
        <v>41</v>
      </c>
      <c r="AC43" s="1100">
        <v>680.7</v>
      </c>
      <c r="AH43" s="1101"/>
      <c r="AJ43" s="1099">
        <v>2</v>
      </c>
      <c r="AK43" s="1101">
        <f>AL39</f>
        <v>72897.119999999995</v>
      </c>
      <c r="AL43" s="1099">
        <v>25000</v>
      </c>
    </row>
    <row r="44" spans="1:40" hidden="1">
      <c r="A44" s="1097"/>
      <c r="AB44" s="1099">
        <v>42</v>
      </c>
      <c r="AC44" s="1100">
        <v>708.1</v>
      </c>
      <c r="AJ44" s="1099">
        <v>3</v>
      </c>
      <c r="AK44" s="1101">
        <f>AM39</f>
        <v>35713.71</v>
      </c>
      <c r="AL44" s="1099">
        <v>15000</v>
      </c>
    </row>
    <row r="45" spans="1:40" hidden="1">
      <c r="A45" s="1097"/>
      <c r="AB45" s="1099">
        <v>43</v>
      </c>
      <c r="AC45" s="1100">
        <v>741.25</v>
      </c>
      <c r="AJ45" s="1099">
        <v>4</v>
      </c>
      <c r="AK45" s="1101">
        <f>AN39</f>
        <v>17681.13</v>
      </c>
      <c r="AL45" s="1099">
        <v>5000</v>
      </c>
    </row>
    <row r="46" spans="1:40" hidden="1">
      <c r="A46" s="1097"/>
      <c r="AB46" s="1099">
        <v>44</v>
      </c>
      <c r="AC46" s="1100">
        <v>781.55</v>
      </c>
    </row>
    <row r="47" spans="1:40" hidden="1">
      <c r="A47" s="1097"/>
      <c r="AB47" s="1099">
        <v>45</v>
      </c>
      <c r="AC47" s="1100">
        <v>830.9</v>
      </c>
    </row>
    <row r="48" spans="1:40" hidden="1">
      <c r="A48" s="1097"/>
      <c r="AB48" s="1099">
        <v>46</v>
      </c>
      <c r="AC48" s="1100">
        <v>892</v>
      </c>
    </row>
    <row r="49" spans="1:29" hidden="1">
      <c r="A49" s="1097"/>
      <c r="AB49" s="1099">
        <v>47</v>
      </c>
      <c r="AC49" s="1100">
        <v>968.8</v>
      </c>
    </row>
    <row r="50" spans="1:29" hidden="1">
      <c r="A50" s="1097"/>
    </row>
    <row r="51" spans="1:29">
      <c r="A51" s="1097"/>
      <c r="B51" s="1097"/>
      <c r="C51" s="1097"/>
      <c r="D51" s="1097"/>
      <c r="E51" s="1097"/>
      <c r="F51" s="1097"/>
      <c r="G51" s="1097"/>
      <c r="H51" s="1097"/>
      <c r="I51" s="1097"/>
      <c r="J51" s="1097"/>
      <c r="K51" s="1097"/>
      <c r="L51" s="1097"/>
      <c r="M51" s="1097"/>
      <c r="N51" s="1097"/>
      <c r="O51" s="1097"/>
      <c r="P51" s="1097"/>
      <c r="Q51" s="1097"/>
      <c r="R51" s="1097"/>
      <c r="S51" s="1097"/>
      <c r="T51" s="1097"/>
      <c r="U51" s="1097"/>
      <c r="V51" s="1097"/>
      <c r="W51" s="1097"/>
      <c r="X51" s="1097"/>
    </row>
    <row r="52" spans="1:29">
      <c r="A52" s="1097"/>
      <c r="B52" s="1097"/>
      <c r="C52" s="1097"/>
      <c r="D52" s="1097"/>
      <c r="E52" s="1097"/>
      <c r="F52" s="1097"/>
      <c r="G52" s="1097"/>
      <c r="H52" s="1097"/>
      <c r="I52" s="1097"/>
      <c r="J52" s="1097"/>
      <c r="K52" s="1097"/>
      <c r="L52" s="1097"/>
      <c r="M52" s="1097"/>
      <c r="N52" s="1097"/>
      <c r="O52" s="1097"/>
      <c r="P52" s="1097"/>
      <c r="Q52" s="1097"/>
      <c r="R52" s="1097"/>
      <c r="S52" s="1097"/>
      <c r="T52" s="1097"/>
      <c r="U52" s="1097"/>
      <c r="V52" s="1097"/>
      <c r="W52" s="1097"/>
      <c r="X52" s="1097"/>
    </row>
    <row r="53" spans="1:29">
      <c r="A53" s="1097"/>
      <c r="B53" s="1097"/>
      <c r="C53" s="1097"/>
      <c r="D53" s="1097"/>
      <c r="E53" s="1097"/>
      <c r="F53" s="1097"/>
      <c r="G53" s="1097"/>
      <c r="H53" s="1097"/>
      <c r="I53" s="1097"/>
      <c r="J53" s="1097"/>
      <c r="K53" s="1097"/>
      <c r="L53" s="1097"/>
      <c r="M53" s="1097"/>
      <c r="N53" s="1097"/>
      <c r="O53" s="1097"/>
      <c r="P53" s="1097"/>
      <c r="Q53" s="1097"/>
      <c r="R53" s="1097"/>
      <c r="S53" s="1097"/>
      <c r="T53" s="1097"/>
      <c r="U53" s="1097"/>
      <c r="V53" s="1097"/>
      <c r="W53" s="1097"/>
      <c r="X53" s="1097"/>
    </row>
    <row r="54" spans="1:29">
      <c r="A54" s="1097"/>
      <c r="B54" s="1097"/>
      <c r="C54" s="1097"/>
      <c r="D54" s="1097"/>
      <c r="E54" s="1097"/>
      <c r="F54" s="1097"/>
      <c r="G54" s="1097"/>
      <c r="H54" s="1097"/>
      <c r="I54" s="1097"/>
      <c r="J54" s="1097"/>
      <c r="K54" s="1097"/>
      <c r="L54" s="1097"/>
      <c r="M54" s="1097"/>
      <c r="N54" s="1097"/>
      <c r="O54" s="1097"/>
      <c r="P54" s="1097"/>
      <c r="Q54" s="1097"/>
      <c r="R54" s="1097"/>
      <c r="S54" s="1097"/>
      <c r="T54" s="1097"/>
      <c r="U54" s="1097"/>
      <c r="V54" s="1097"/>
      <c r="W54" s="1097"/>
      <c r="X54" s="1097"/>
    </row>
  </sheetData>
  <protectedRanges>
    <protectedRange sqref="K17:L17" name="Range9"/>
    <protectedRange sqref="I14:K14" name="Range5_2_1"/>
    <protectedRange sqref="H13" name="Range5_1_1"/>
    <protectedRange sqref="K12" name="Range9_1_1_2"/>
    <protectedRange sqref="K11" name="Range9_1_1_1"/>
    <protectedRange sqref="J10:L10" name="Range4_1"/>
    <protectedRange sqref="G9:G10" name="Range2_1"/>
    <protectedRange sqref="H9:L9" name="Range3_1"/>
    <protectedRange sqref="L16" name="Range10"/>
  </protectedRanges>
  <mergeCells count="57">
    <mergeCell ref="I17:J17"/>
    <mergeCell ref="K17:L17"/>
    <mergeCell ref="I16:K16"/>
    <mergeCell ref="I19:L19"/>
    <mergeCell ref="V9:X10"/>
    <mergeCell ref="O15:P16"/>
    <mergeCell ref="O19:P19"/>
    <mergeCell ref="O14:P14"/>
    <mergeCell ref="S12:U13"/>
    <mergeCell ref="V12:X13"/>
    <mergeCell ref="S11:U11"/>
    <mergeCell ref="V11:X11"/>
    <mergeCell ref="S2:X3"/>
    <mergeCell ref="S9:U10"/>
    <mergeCell ref="E19:H20"/>
    <mergeCell ref="D6:M7"/>
    <mergeCell ref="E10:F10"/>
    <mergeCell ref="H10:I10"/>
    <mergeCell ref="J10:L10"/>
    <mergeCell ref="E11:G12"/>
    <mergeCell ref="H11:J11"/>
    <mergeCell ref="H12:J12"/>
    <mergeCell ref="E14:H16"/>
    <mergeCell ref="I13:J13"/>
    <mergeCell ref="K13:L13"/>
    <mergeCell ref="I18:L18"/>
    <mergeCell ref="I14:L14"/>
    <mergeCell ref="I15:L15"/>
    <mergeCell ref="S4:X4"/>
    <mergeCell ref="S5:X5"/>
    <mergeCell ref="S6:U6"/>
    <mergeCell ref="V6:X6"/>
    <mergeCell ref="S7:U7"/>
    <mergeCell ref="V7:X7"/>
    <mergeCell ref="AK8:AL8"/>
    <mergeCell ref="D8:H8"/>
    <mergeCell ref="I8:M8"/>
    <mergeCell ref="E9:F9"/>
    <mergeCell ref="H9:L9"/>
    <mergeCell ref="S8:U8"/>
    <mergeCell ref="V8:X8"/>
    <mergeCell ref="P1:Q4"/>
    <mergeCell ref="I27:M27"/>
    <mergeCell ref="N10:Q11"/>
    <mergeCell ref="I28:M28"/>
    <mergeCell ref="D28:H28"/>
    <mergeCell ref="F4:L5"/>
    <mergeCell ref="D27:H27"/>
    <mergeCell ref="D22:H22"/>
    <mergeCell ref="D23:H23"/>
    <mergeCell ref="D26:H26"/>
    <mergeCell ref="I23:M23"/>
    <mergeCell ref="I26:M26"/>
    <mergeCell ref="E13:G13"/>
    <mergeCell ref="E1:M3"/>
    <mergeCell ref="E17:H18"/>
    <mergeCell ref="O20:P21"/>
  </mergeCells>
  <conditionalFormatting sqref="K11">
    <cfRule type="expression" dxfId="4" priority="6">
      <formula>AD51=1</formula>
    </cfRule>
  </conditionalFormatting>
  <conditionalFormatting sqref="K12">
    <cfRule type="expression" dxfId="3" priority="5">
      <formula>AF22=1</formula>
    </cfRule>
  </conditionalFormatting>
  <conditionalFormatting sqref="L16">
    <cfRule type="expression" dxfId="2" priority="4">
      <formula>AF34=2</formula>
    </cfRule>
  </conditionalFormatting>
  <conditionalFormatting sqref="K17:L17">
    <cfRule type="expression" dxfId="1" priority="3">
      <formula>AF34=2</formula>
    </cfRule>
  </conditionalFormatting>
  <conditionalFormatting sqref="N10:Q11">
    <cfRule type="expression" dxfId="0" priority="1">
      <formula>AH41=0</formula>
    </cfRule>
  </conditionalFormatting>
  <dataValidations count="8">
    <dataValidation type="list" allowBlank="1" showInputMessage="1" showErrorMessage="1" sqref="K17:L17">
      <formula1>"YEARLY,HALF-YEARLY,QUARTELY,MONTHLY"</formula1>
    </dataValidation>
    <dataValidation type="list" allowBlank="1" showInputMessage="1" showErrorMessage="1" sqref="L16">
      <formula1>"5,10,15"</formula1>
    </dataValidation>
    <dataValidation type="list" allowBlank="1" showInputMessage="1" showErrorMessage="1" sqref="I14">
      <formula1>"SETTLEMENT ,LUMPSUM"</formula1>
    </dataValidation>
    <dataValidation operator="greaterThan" showErrorMessage="1" sqref="H13"/>
    <dataValidation type="list" allowBlank="1" showInputMessage="1" showErrorMessage="1" sqref="K11:K12">
      <formula1>"YES,NO"</formula1>
    </dataValidation>
    <dataValidation type="list" allowBlank="1" showInputMessage="1" showErrorMessage="1" sqref="G9">
      <formula1>"SRI.,SMT.,MR.,MRS.,SELVAN.,SELVI.,MISS."</formula1>
    </dataValidation>
    <dataValidation type="list" allowBlank="1" showInputMessage="1" showErrorMessage="1" sqref="G10">
      <formula1>AB8:AB49</formula1>
    </dataValidation>
    <dataValidation type="whole" operator="greaterThan" allowBlank="1" showInputMessage="1" showErrorMessage="1" sqref="J10:L10">
      <formula1>74999</formula1>
    </dataValidation>
  </dataValidations>
  <hyperlinks>
    <hyperlink ref="O15:P16" location="PRJU!A1" display="CLICK HERE"/>
    <hyperlink ref="O20:P21" location="'VASANTHAM HOME'!A1" display="CLICK HERE"/>
  </hyperlinks>
  <pageMargins left="0.7" right="0.7" top="0.75" bottom="0.75" header="0.3" footer="0.3"/>
  <pageSetup paperSize="9" orientation="portrait" horizontalDpi="4294967293" verticalDpi="4294967293" r:id="rId1"/>
  <drawing r:id="rId2"/>
</worksheet>
</file>

<file path=xl/worksheets/sheet35.xml><?xml version="1.0" encoding="utf-8"?>
<worksheet xmlns="http://schemas.openxmlformats.org/spreadsheetml/2006/main" xmlns:r="http://schemas.openxmlformats.org/officeDocument/2006/relationships">
  <sheetPr codeName="Sheet79"/>
  <dimension ref="A1:Q61"/>
  <sheetViews>
    <sheetView showRowColHeaders="0" workbookViewId="0">
      <selection activeCell="M12" sqref="M12:O13"/>
    </sheetView>
  </sheetViews>
  <sheetFormatPr defaultColWidth="0" defaultRowHeight="15" zeroHeight="1"/>
  <cols>
    <col min="1" max="1" width="4.5" customWidth="1"/>
    <col min="2" max="2" width="4.875" customWidth="1"/>
    <col min="3" max="3" width="11.125" customWidth="1"/>
    <col min="4" max="4" width="12.5" customWidth="1"/>
    <col min="5" max="5" width="14.125" customWidth="1"/>
    <col min="6" max="6" width="14" customWidth="1"/>
    <col min="7" max="7" width="11.875" customWidth="1"/>
    <col min="8" max="8" width="13.625" customWidth="1"/>
    <col min="9" max="9" width="6.125" customWidth="1"/>
    <col min="10" max="10" width="15.625" customWidth="1"/>
    <col min="11" max="11" width="5.875" style="1097" customWidth="1"/>
    <col min="12" max="12" width="2.625" style="1097" customWidth="1"/>
    <col min="13" max="14" width="9.125" style="1097" customWidth="1"/>
    <col min="15" max="15" width="10.875" style="1097" customWidth="1"/>
    <col min="16" max="16" width="5.375" style="1134" hidden="1" customWidth="1"/>
    <col min="17" max="17" width="9.125" style="1097" customWidth="1"/>
    <col min="18" max="16384" width="9.125" hidden="1"/>
  </cols>
  <sheetData>
    <row r="1" spans="1:17" s="689" customFormat="1">
      <c r="A1" s="969"/>
      <c r="B1" s="690"/>
      <c r="C1" s="690"/>
      <c r="D1" s="690"/>
      <c r="E1" s="690"/>
      <c r="F1" s="690"/>
      <c r="G1" s="690"/>
      <c r="H1" s="690"/>
      <c r="I1" s="690"/>
      <c r="J1" s="690"/>
      <c r="K1" s="690"/>
      <c r="L1" s="690"/>
      <c r="M1" s="690"/>
      <c r="N1" s="690"/>
      <c r="O1" s="690"/>
      <c r="P1" s="691"/>
      <c r="Q1" s="690"/>
    </row>
    <row r="2" spans="1:17" s="689" customFormat="1">
      <c r="A2" s="969"/>
      <c r="B2" s="690"/>
      <c r="C2" s="690"/>
      <c r="D2" s="690"/>
      <c r="E2" s="690"/>
      <c r="F2" s="690"/>
      <c r="G2" s="690"/>
      <c r="H2" s="690"/>
      <c r="I2" s="690"/>
      <c r="J2" s="690"/>
      <c r="K2" s="690"/>
      <c r="L2" s="690"/>
      <c r="M2" s="690"/>
      <c r="N2" s="690"/>
      <c r="O2" s="690"/>
      <c r="P2" s="691"/>
      <c r="Q2" s="690"/>
    </row>
    <row r="3" spans="1:17" s="689" customFormat="1" ht="15.75">
      <c r="A3" s="969"/>
      <c r="B3" s="690"/>
      <c r="C3" s="690"/>
      <c r="D3" s="690"/>
      <c r="E3" s="690"/>
      <c r="F3" s="690"/>
      <c r="G3" s="690"/>
      <c r="H3" s="690"/>
      <c r="I3" s="690"/>
      <c r="J3" s="2750">
        <f ca="1">TODAY()</f>
        <v>43229</v>
      </c>
      <c r="K3" s="2750"/>
      <c r="L3" s="690"/>
      <c r="M3" s="2745" t="s">
        <v>228</v>
      </c>
      <c r="N3" s="2745"/>
      <c r="O3" s="2745"/>
      <c r="P3" s="691"/>
      <c r="Q3" s="690"/>
    </row>
    <row r="4" spans="1:17" s="689" customFormat="1" ht="15" customHeight="1">
      <c r="A4" s="969"/>
      <c r="B4" s="690"/>
      <c r="C4" s="690"/>
      <c r="D4" s="690"/>
      <c r="E4" s="690"/>
      <c r="F4" s="690"/>
      <c r="G4" s="690"/>
      <c r="H4" s="690"/>
      <c r="I4" s="690"/>
      <c r="J4" s="690"/>
      <c r="K4" s="690"/>
      <c r="L4" s="690"/>
      <c r="M4" s="2745"/>
      <c r="N4" s="2745"/>
      <c r="O4" s="2745"/>
      <c r="P4" s="1160"/>
      <c r="Q4" s="690"/>
    </row>
    <row r="5" spans="1:17" s="689" customFormat="1" ht="15" customHeight="1">
      <c r="A5" s="969"/>
      <c r="B5" s="690"/>
      <c r="C5" s="690"/>
      <c r="D5" s="690"/>
      <c r="E5" s="690"/>
      <c r="F5" s="690"/>
      <c r="G5" s="690"/>
      <c r="H5" s="690"/>
      <c r="I5" s="690"/>
      <c r="J5" s="690"/>
      <c r="K5" s="690"/>
      <c r="L5" s="690"/>
      <c r="M5" s="2745"/>
      <c r="N5" s="2745"/>
      <c r="O5" s="2745"/>
      <c r="P5" s="1160"/>
      <c r="Q5" s="690"/>
    </row>
    <row r="6" spans="1:17" s="689" customFormat="1" ht="15" customHeight="1">
      <c r="A6" s="969"/>
      <c r="B6" s="2739" t="s">
        <v>2161</v>
      </c>
      <c r="C6" s="2739"/>
      <c r="D6" s="2739"/>
      <c r="E6" s="2739"/>
      <c r="F6" s="2739"/>
      <c r="G6" s="1158"/>
      <c r="H6" s="2741" t="s">
        <v>2177</v>
      </c>
      <c r="I6" s="2741"/>
      <c r="J6" s="2741"/>
      <c r="K6" s="1159"/>
      <c r="L6" s="690"/>
      <c r="M6" s="2746" t="s">
        <v>226</v>
      </c>
      <c r="N6" s="2746"/>
      <c r="O6" s="2746"/>
      <c r="P6" s="2746"/>
      <c r="Q6" s="690"/>
    </row>
    <row r="7" spans="1:17" ht="15" customHeight="1">
      <c r="A7" s="1097"/>
      <c r="B7" s="2739"/>
      <c r="C7" s="2739"/>
      <c r="D7" s="2739"/>
      <c r="E7" s="2739"/>
      <c r="F7" s="2739"/>
      <c r="G7" s="1158"/>
      <c r="H7" s="2742" t="s">
        <v>2176</v>
      </c>
      <c r="I7" s="2742"/>
      <c r="J7" s="2742"/>
      <c r="K7" s="1159"/>
      <c r="M7" s="2746"/>
      <c r="N7" s="2746"/>
      <c r="O7" s="2746"/>
      <c r="P7" s="2746"/>
    </row>
    <row r="8" spans="1:17" ht="15" customHeight="1">
      <c r="A8" s="1097"/>
      <c r="B8" s="2739"/>
      <c r="C8" s="2739"/>
      <c r="D8" s="2739"/>
      <c r="E8" s="2739"/>
      <c r="F8" s="2739"/>
      <c r="G8" s="1158"/>
      <c r="H8" s="1157"/>
      <c r="I8" s="1097"/>
      <c r="J8" s="1097"/>
    </row>
    <row r="9" spans="1:17" ht="16.5" thickBot="1">
      <c r="A9" s="1097"/>
      <c r="B9" s="1097"/>
      <c r="C9" s="1097"/>
      <c r="D9" s="1097"/>
      <c r="E9" s="1097"/>
      <c r="F9" s="1097"/>
      <c r="G9" s="1097"/>
      <c r="H9" s="2740" t="s">
        <v>909</v>
      </c>
      <c r="I9" s="2740"/>
      <c r="J9" s="1156" t="str">
        <f>CONCATENATE((JU!G10), " ", "YEARS")</f>
        <v>27 YEARS</v>
      </c>
      <c r="K9" s="1154"/>
    </row>
    <row r="10" spans="1:17" ht="15.75" customHeight="1" thickTop="1">
      <c r="A10" s="1097"/>
      <c r="B10" s="2743" t="s">
        <v>2175</v>
      </c>
      <c r="C10" s="2743"/>
      <c r="D10" s="2743"/>
      <c r="E10" s="2743"/>
      <c r="F10" s="2743"/>
      <c r="G10" s="959"/>
      <c r="H10" s="2740" t="s">
        <v>425</v>
      </c>
      <c r="I10" s="2740"/>
      <c r="J10" s="1156" t="str">
        <f>CONCATENATE((12), " ", "YEARS")</f>
        <v>12 YEARS</v>
      </c>
      <c r="K10" s="1154"/>
    </row>
    <row r="11" spans="1:17" ht="21" customHeight="1" thickBot="1">
      <c r="A11" s="1097"/>
      <c r="B11" s="2744" t="str">
        <f>CONCATENATE((JU!G9),(JU!H9))</f>
        <v>SRI.M.RAJAYOGAM</v>
      </c>
      <c r="C11" s="2744"/>
      <c r="D11" s="2744"/>
      <c r="E11" s="2744"/>
      <c r="F11" s="2744"/>
      <c r="G11" s="959"/>
      <c r="H11" s="2740" t="s">
        <v>233</v>
      </c>
      <c r="I11" s="2740"/>
      <c r="J11" s="1155">
        <f>JU!J10</f>
        <v>600000</v>
      </c>
      <c r="K11" s="1154"/>
      <c r="M11" s="2751" t="s">
        <v>769</v>
      </c>
      <c r="N11" s="2751"/>
      <c r="O11" s="2751"/>
    </row>
    <row r="12" spans="1:17" ht="13.5" customHeight="1" thickTop="1">
      <c r="A12" s="1097"/>
      <c r="B12" s="1097"/>
      <c r="C12" s="1097"/>
      <c r="D12" s="1097"/>
      <c r="E12" s="1097"/>
      <c r="F12" s="1097"/>
      <c r="G12" s="1097"/>
      <c r="H12" s="1097"/>
      <c r="I12" s="1097"/>
      <c r="J12" s="1097"/>
      <c r="M12" s="2572" t="s">
        <v>226</v>
      </c>
      <c r="N12" s="2572"/>
      <c r="O12" s="2572"/>
    </row>
    <row r="13" spans="1:17" ht="16.5" customHeight="1">
      <c r="A13" s="1097"/>
      <c r="B13" s="690"/>
      <c r="C13" s="2757" t="s">
        <v>227</v>
      </c>
      <c r="D13" s="2757"/>
      <c r="E13" s="2757"/>
      <c r="F13" s="690"/>
      <c r="G13" s="1097"/>
      <c r="H13" s="2752" t="s">
        <v>2174</v>
      </c>
      <c r="I13" s="2753"/>
      <c r="J13" s="2754"/>
      <c r="M13" s="2572"/>
      <c r="N13" s="2572"/>
      <c r="O13" s="2572"/>
    </row>
    <row r="14" spans="1:17">
      <c r="A14" s="1097"/>
      <c r="B14" s="1097"/>
      <c r="C14" s="1097"/>
      <c r="D14" s="1097"/>
      <c r="E14" s="1097"/>
      <c r="F14" s="1097"/>
      <c r="G14" s="1097"/>
      <c r="H14" s="2752"/>
      <c r="I14" s="2753"/>
      <c r="J14" s="2754"/>
    </row>
    <row r="15" spans="1:17" ht="18">
      <c r="A15" s="1097"/>
      <c r="B15" s="706" t="s">
        <v>243</v>
      </c>
      <c r="C15" s="2755" t="s">
        <v>446</v>
      </c>
      <c r="D15" s="2755"/>
      <c r="E15" s="2755"/>
      <c r="F15" s="2755"/>
      <c r="G15" s="2756"/>
      <c r="H15" s="2747" t="str">
        <f>JU!E19</f>
        <v>Rs. 336918</v>
      </c>
      <c r="I15" s="2748"/>
      <c r="J15" s="2749"/>
    </row>
    <row r="16" spans="1:17" ht="18">
      <c r="A16" s="1097"/>
      <c r="B16" s="706" t="s">
        <v>243</v>
      </c>
      <c r="C16" s="2755" t="s">
        <v>2173</v>
      </c>
      <c r="D16" s="2755"/>
      <c r="E16" s="2755"/>
      <c r="F16" s="2755"/>
      <c r="G16" s="1153"/>
      <c r="H16" s="1153"/>
      <c r="I16" s="1097"/>
      <c r="J16" s="1097"/>
    </row>
    <row r="17" spans="1:16" ht="18" customHeight="1">
      <c r="A17" s="1097"/>
      <c r="B17" s="706" t="s">
        <v>243</v>
      </c>
      <c r="C17" s="2723" t="s">
        <v>2172</v>
      </c>
      <c r="D17" s="2723"/>
      <c r="E17" s="2723"/>
      <c r="F17" s="2723"/>
      <c r="G17" s="1152"/>
      <c r="H17" s="2734" t="str">
        <f ca="1">JU!D6</f>
        <v>SORRY!!     PLAN IS CLOSED NOW..</v>
      </c>
      <c r="I17" s="2734"/>
      <c r="J17" s="2734"/>
    </row>
    <row r="18" spans="1:16" ht="18" customHeight="1">
      <c r="A18" s="1097"/>
      <c r="B18" s="706" t="s">
        <v>243</v>
      </c>
      <c r="C18" s="2723" t="s">
        <v>2171</v>
      </c>
      <c r="D18" s="2723"/>
      <c r="E18" s="2723"/>
      <c r="F18" s="2723"/>
      <c r="G18" s="1152"/>
      <c r="H18" s="2734"/>
      <c r="I18" s="2734"/>
      <c r="J18" s="2734"/>
    </row>
    <row r="19" spans="1:16" ht="18" customHeight="1">
      <c r="A19" s="1097"/>
      <c r="B19" s="706" t="s">
        <v>243</v>
      </c>
      <c r="C19" s="2723" t="s">
        <v>2170</v>
      </c>
      <c r="D19" s="2723"/>
      <c r="E19" s="2723"/>
      <c r="F19" s="2723"/>
      <c r="G19" s="1152"/>
      <c r="H19" s="2734"/>
      <c r="I19" s="2734"/>
      <c r="J19" s="2734"/>
    </row>
    <row r="20" spans="1:16" ht="18" customHeight="1">
      <c r="A20" s="1097"/>
      <c r="B20" s="706" t="s">
        <v>243</v>
      </c>
      <c r="C20" s="2738" t="s">
        <v>2169</v>
      </c>
      <c r="D20" s="2738"/>
      <c r="E20" s="2738"/>
      <c r="F20" s="2738"/>
      <c r="G20" s="1152"/>
      <c r="H20" s="2734"/>
      <c r="I20" s="2734"/>
      <c r="J20" s="2734"/>
    </row>
    <row r="21" spans="1:16" ht="18" customHeight="1">
      <c r="A21" s="1097"/>
      <c r="B21" s="706" t="s">
        <v>243</v>
      </c>
      <c r="C21" s="2729" t="s">
        <v>2168</v>
      </c>
      <c r="D21" s="2729"/>
      <c r="E21" s="2729"/>
      <c r="F21" s="2729"/>
      <c r="G21" s="1152"/>
      <c r="H21" s="2734"/>
      <c r="I21" s="2734"/>
      <c r="J21" s="2734"/>
    </row>
    <row r="22" spans="1:16" ht="15.75" customHeight="1">
      <c r="A22" s="1097"/>
      <c r="B22" s="706" t="s">
        <v>243</v>
      </c>
      <c r="C22" s="2730" t="s">
        <v>2167</v>
      </c>
      <c r="D22" s="2730"/>
      <c r="E22" s="2730"/>
      <c r="F22" s="2730"/>
      <c r="G22" s="2730"/>
      <c r="H22" s="2730"/>
      <c r="I22" s="2730"/>
      <c r="J22" s="1097"/>
    </row>
    <row r="23" spans="1:16" ht="15" customHeight="1">
      <c r="A23" s="1097"/>
      <c r="B23" s="1097"/>
      <c r="C23" s="1151"/>
      <c r="D23" s="1151"/>
      <c r="E23" s="1151"/>
      <c r="F23" s="1151"/>
      <c r="G23" s="1097"/>
      <c r="H23" s="1097"/>
      <c r="I23" s="1097"/>
      <c r="J23" s="1097"/>
      <c r="O23" s="1150"/>
    </row>
    <row r="24" spans="1:16">
      <c r="A24" s="1097"/>
      <c r="B24" s="2731" t="s">
        <v>17</v>
      </c>
      <c r="C24" s="2732" t="s">
        <v>223</v>
      </c>
      <c r="D24" s="2732" t="s">
        <v>342</v>
      </c>
      <c r="E24" s="2736" t="s">
        <v>439</v>
      </c>
      <c r="F24" s="2737"/>
      <c r="G24" s="2735" t="s">
        <v>220</v>
      </c>
      <c r="H24" s="2735" t="s">
        <v>219</v>
      </c>
      <c r="I24" s="1097"/>
      <c r="J24" s="1097"/>
    </row>
    <row r="25" spans="1:16">
      <c r="A25" s="1097"/>
      <c r="B25" s="2731"/>
      <c r="C25" s="2733"/>
      <c r="D25" s="2733"/>
      <c r="E25" s="1149" t="s">
        <v>217</v>
      </c>
      <c r="F25" s="1149" t="s">
        <v>216</v>
      </c>
      <c r="G25" s="2735"/>
      <c r="H25" s="2735"/>
      <c r="I25" s="1097"/>
      <c r="J25" s="1097"/>
    </row>
    <row r="26" spans="1:16" ht="16.350000000000001" customHeight="1">
      <c r="A26" s="1097"/>
      <c r="B26" s="1148">
        <f>JU!G$10+P26</f>
        <v>27</v>
      </c>
      <c r="C26" s="1147">
        <f ca="1">TODAY()</f>
        <v>43229</v>
      </c>
      <c r="D26" s="1146">
        <f>JU!AF14</f>
        <v>336918</v>
      </c>
      <c r="E26" s="1145">
        <f>JU!AQ9</f>
        <v>3319500</v>
      </c>
      <c r="F26" s="1145">
        <f>JU!AR9</f>
        <v>3919500</v>
      </c>
      <c r="G26" s="1145">
        <f>JU!AO9</f>
        <v>221865</v>
      </c>
      <c r="H26" s="1145">
        <f>JU!AP9</f>
        <v>0</v>
      </c>
      <c r="I26" s="1136"/>
      <c r="J26" s="1136"/>
      <c r="P26" s="1134">
        <v>0</v>
      </c>
    </row>
    <row r="27" spans="1:16" ht="16.350000000000001" customHeight="1">
      <c r="A27" s="1097"/>
      <c r="B27" s="1143">
        <f>JU!G$10+P27</f>
        <v>27</v>
      </c>
      <c r="C27" s="1144">
        <f t="shared" ref="C27:C49" ca="1" si="0">DATE(YEAR(C26), MONTH(C26) + 6, DAY(C26) )</f>
        <v>43413</v>
      </c>
      <c r="D27" s="1143">
        <v>0</v>
      </c>
      <c r="E27" s="1142">
        <f>JU!AQ10</f>
        <v>3319500</v>
      </c>
      <c r="F27" s="1142">
        <f>JU!AR10</f>
        <v>3919500</v>
      </c>
      <c r="G27" s="1142">
        <f>JU!AO10</f>
        <v>221865</v>
      </c>
      <c r="H27" s="1142">
        <f>JU!AP10</f>
        <v>199700</v>
      </c>
      <c r="I27" s="1136"/>
      <c r="J27" s="1136"/>
      <c r="P27" s="1134">
        <v>0</v>
      </c>
    </row>
    <row r="28" spans="1:16" ht="16.350000000000001" customHeight="1">
      <c r="A28" s="1097"/>
      <c r="B28" s="1143">
        <f>JU!G$10+P28</f>
        <v>28</v>
      </c>
      <c r="C28" s="1144">
        <f t="shared" ca="1" si="0"/>
        <v>43594</v>
      </c>
      <c r="D28" s="1143">
        <v>0</v>
      </c>
      <c r="E28" s="1142">
        <f>JU!AQ11</f>
        <v>3319500</v>
      </c>
      <c r="F28" s="1142">
        <f>JU!AR11</f>
        <v>3919500</v>
      </c>
      <c r="G28" s="1142">
        <f>JU!AO11</f>
        <v>292200</v>
      </c>
      <c r="H28" s="1142">
        <f>JU!AP11</f>
        <v>263000</v>
      </c>
      <c r="I28" s="1136"/>
      <c r="J28" s="1136"/>
      <c r="P28" s="1134">
        <v>1</v>
      </c>
    </row>
    <row r="29" spans="1:16" ht="16.350000000000001" customHeight="1">
      <c r="A29" s="1097"/>
      <c r="B29" s="1143">
        <f>JU!G$10+P29</f>
        <v>28</v>
      </c>
      <c r="C29" s="1144">
        <f t="shared" ca="1" si="0"/>
        <v>43778</v>
      </c>
      <c r="D29" s="1143">
        <v>0</v>
      </c>
      <c r="E29" s="1142">
        <f>JU!AQ12</f>
        <v>3319500</v>
      </c>
      <c r="F29" s="1142">
        <f>JU!AR12</f>
        <v>3919500</v>
      </c>
      <c r="G29" s="1142">
        <f>JU!AO12</f>
        <v>301080</v>
      </c>
      <c r="H29" s="1142">
        <f>JU!AP12</f>
        <v>271000</v>
      </c>
      <c r="I29" s="1136"/>
      <c r="J29" s="1136"/>
      <c r="P29" s="1134">
        <v>1</v>
      </c>
    </row>
    <row r="30" spans="1:16" ht="16.350000000000001" customHeight="1">
      <c r="A30" s="1097"/>
      <c r="B30" s="1143">
        <f>JU!G$10+P30</f>
        <v>29</v>
      </c>
      <c r="C30" s="1144">
        <f t="shared" ca="1" si="0"/>
        <v>43960</v>
      </c>
      <c r="D30" s="1143">
        <v>0</v>
      </c>
      <c r="E30" s="1142">
        <f>JU!AQ13</f>
        <v>3319500</v>
      </c>
      <c r="F30" s="1142">
        <f>JU!AR13</f>
        <v>3919500</v>
      </c>
      <c r="G30" s="1142">
        <f>JU!AO13</f>
        <v>309900</v>
      </c>
      <c r="H30" s="1142">
        <f>JU!AP13</f>
        <v>278900</v>
      </c>
      <c r="I30" s="1136"/>
      <c r="J30" s="1136"/>
      <c r="P30" s="1134">
        <v>2</v>
      </c>
    </row>
    <row r="31" spans="1:16" ht="16.350000000000001" customHeight="1">
      <c r="A31" s="1097"/>
      <c r="B31" s="1143">
        <f>JU!G$10+P31</f>
        <v>29</v>
      </c>
      <c r="C31" s="1144">
        <f t="shared" ca="1" si="0"/>
        <v>44144</v>
      </c>
      <c r="D31" s="1143">
        <v>0</v>
      </c>
      <c r="E31" s="1142">
        <f>JU!AQ14</f>
        <v>3319500</v>
      </c>
      <c r="F31" s="1142">
        <f>JU!AR14</f>
        <v>3919500</v>
      </c>
      <c r="G31" s="1142">
        <f>JU!AO14</f>
        <v>319380</v>
      </c>
      <c r="H31" s="1142">
        <f>JU!AP14</f>
        <v>287400</v>
      </c>
      <c r="I31" s="1136"/>
      <c r="J31" s="1136"/>
      <c r="P31" s="1134">
        <v>2</v>
      </c>
    </row>
    <row r="32" spans="1:16" ht="16.350000000000001" customHeight="1">
      <c r="A32" s="1097"/>
      <c r="B32" s="1143">
        <f>JU!G$10+P32</f>
        <v>30</v>
      </c>
      <c r="C32" s="1144">
        <f t="shared" ca="1" si="0"/>
        <v>44325</v>
      </c>
      <c r="D32" s="1143">
        <v>0</v>
      </c>
      <c r="E32" s="1142">
        <f>JU!AQ15</f>
        <v>3319500</v>
      </c>
      <c r="F32" s="1142">
        <f>JU!AR15</f>
        <v>3919500</v>
      </c>
      <c r="G32" s="1142">
        <f>JU!AO15</f>
        <v>328800</v>
      </c>
      <c r="H32" s="1142">
        <f>JU!AP15</f>
        <v>295900</v>
      </c>
      <c r="I32" s="1136"/>
      <c r="J32" s="1136"/>
      <c r="P32" s="1134">
        <v>3</v>
      </c>
    </row>
    <row r="33" spans="1:16" ht="16.350000000000001" customHeight="1">
      <c r="A33" s="1097"/>
      <c r="B33" s="1143">
        <f>JU!G$10+P33</f>
        <v>30</v>
      </c>
      <c r="C33" s="1144">
        <f t="shared" ca="1" si="0"/>
        <v>44509</v>
      </c>
      <c r="D33" s="1143">
        <v>0</v>
      </c>
      <c r="E33" s="1142">
        <f>JU!AQ16</f>
        <v>3319500</v>
      </c>
      <c r="F33" s="1142">
        <f>JU!AR16</f>
        <v>3919500</v>
      </c>
      <c r="G33" s="1142">
        <f>JU!AO16</f>
        <v>338940</v>
      </c>
      <c r="H33" s="1142">
        <f>JU!AP16</f>
        <v>305000</v>
      </c>
      <c r="I33" s="1136"/>
      <c r="J33" s="1136"/>
      <c r="P33" s="1134">
        <v>3</v>
      </c>
    </row>
    <row r="34" spans="1:16" ht="16.350000000000001" customHeight="1">
      <c r="A34" s="1097"/>
      <c r="B34" s="1143">
        <f>JU!G$10+P34</f>
        <v>31</v>
      </c>
      <c r="C34" s="1144">
        <f t="shared" ca="1" si="0"/>
        <v>44690</v>
      </c>
      <c r="D34" s="1143">
        <v>0</v>
      </c>
      <c r="E34" s="1142">
        <f>JU!AQ17</f>
        <v>3319500</v>
      </c>
      <c r="F34" s="1142">
        <f>JU!AR17</f>
        <v>3919500</v>
      </c>
      <c r="G34" s="1142">
        <f>JU!AO17</f>
        <v>349080</v>
      </c>
      <c r="H34" s="1142">
        <f>JU!AP17</f>
        <v>314200</v>
      </c>
      <c r="I34" s="1136"/>
      <c r="J34" s="1136"/>
      <c r="P34" s="1134">
        <v>4</v>
      </c>
    </row>
    <row r="35" spans="1:16" ht="16.350000000000001" customHeight="1">
      <c r="A35" s="1097"/>
      <c r="B35" s="1143">
        <f>JU!G$10+P35</f>
        <v>31</v>
      </c>
      <c r="C35" s="1144">
        <f t="shared" ca="1" si="0"/>
        <v>44874</v>
      </c>
      <c r="D35" s="1143">
        <v>0</v>
      </c>
      <c r="E35" s="1142">
        <f>JU!AQ18</f>
        <v>3319500</v>
      </c>
      <c r="F35" s="1142">
        <f>JU!AR18</f>
        <v>3919500</v>
      </c>
      <c r="G35" s="1142">
        <f>JU!AO18</f>
        <v>360000</v>
      </c>
      <c r="H35" s="1142">
        <f>JU!AP18</f>
        <v>324000</v>
      </c>
      <c r="I35" s="1136"/>
      <c r="J35" s="1136"/>
      <c r="P35" s="1134">
        <v>4</v>
      </c>
    </row>
    <row r="36" spans="1:16" ht="16.350000000000001" customHeight="1">
      <c r="A36" s="1097"/>
      <c r="B36" s="1143">
        <f>JU!G$10+P36</f>
        <v>32</v>
      </c>
      <c r="C36" s="1144">
        <f t="shared" ca="1" si="0"/>
        <v>45055</v>
      </c>
      <c r="D36" s="1143">
        <v>0</v>
      </c>
      <c r="E36" s="1142">
        <f>JU!AQ19</f>
        <v>3319500</v>
      </c>
      <c r="F36" s="1142">
        <f>JU!AR19</f>
        <v>3919500</v>
      </c>
      <c r="G36" s="1142">
        <f>JU!AO19</f>
        <v>370860</v>
      </c>
      <c r="H36" s="1142">
        <f>JU!AP19</f>
        <v>333800</v>
      </c>
      <c r="I36" s="1136"/>
      <c r="J36" s="1136"/>
      <c r="P36" s="1134">
        <v>5</v>
      </c>
    </row>
    <row r="37" spans="1:16" ht="16.350000000000001" customHeight="1">
      <c r="A37" s="1097"/>
      <c r="B37" s="1143">
        <f>JU!G$10+P37</f>
        <v>32</v>
      </c>
      <c r="C37" s="1144">
        <f t="shared" ca="1" si="0"/>
        <v>45239</v>
      </c>
      <c r="D37" s="1143">
        <v>0</v>
      </c>
      <c r="E37" s="1142">
        <f>JU!AQ20</f>
        <v>3319500</v>
      </c>
      <c r="F37" s="1142">
        <f>JU!AR20</f>
        <v>3919500</v>
      </c>
      <c r="G37" s="1142">
        <f>JU!AO20</f>
        <v>378300</v>
      </c>
      <c r="H37" s="1142">
        <f>JU!AP20</f>
        <v>340500</v>
      </c>
      <c r="I37" s="1136"/>
      <c r="J37" s="1136"/>
      <c r="P37" s="1134">
        <v>5</v>
      </c>
    </row>
    <row r="38" spans="1:16" ht="16.350000000000001" customHeight="1">
      <c r="A38" s="1097"/>
      <c r="B38" s="1143">
        <f>JU!G$10+P38</f>
        <v>33</v>
      </c>
      <c r="C38" s="1144">
        <f t="shared" ca="1" si="0"/>
        <v>45421</v>
      </c>
      <c r="D38" s="1143">
        <v>0</v>
      </c>
      <c r="E38" s="1142">
        <f>JU!AQ21</f>
        <v>3331500</v>
      </c>
      <c r="F38" s="1142">
        <f>JU!AR21</f>
        <v>3919500</v>
      </c>
      <c r="G38" s="1142">
        <f>JU!AO21</f>
        <v>385740</v>
      </c>
      <c r="H38" s="1142">
        <f>JU!AP21</f>
        <v>347200</v>
      </c>
      <c r="I38" s="1136"/>
      <c r="J38" s="1136"/>
      <c r="P38" s="1134">
        <v>6</v>
      </c>
    </row>
    <row r="39" spans="1:16" ht="16.350000000000001" customHeight="1">
      <c r="A39" s="1097"/>
      <c r="B39" s="1143">
        <f>JU!G$10+P39</f>
        <v>33</v>
      </c>
      <c r="C39" s="1144">
        <f t="shared" ca="1" si="0"/>
        <v>45605</v>
      </c>
      <c r="D39" s="1143">
        <v>0</v>
      </c>
      <c r="E39" s="1142">
        <f>JU!AQ22</f>
        <v>3331500</v>
      </c>
      <c r="F39" s="1142">
        <f>JU!AR22</f>
        <v>3919500</v>
      </c>
      <c r="G39" s="1142">
        <f>JU!AO22</f>
        <v>397020</v>
      </c>
      <c r="H39" s="1142">
        <f>JU!AP22</f>
        <v>357300</v>
      </c>
      <c r="I39" s="1136"/>
      <c r="J39" s="1136"/>
      <c r="P39" s="1134">
        <v>6</v>
      </c>
    </row>
    <row r="40" spans="1:16" ht="16.350000000000001" customHeight="1">
      <c r="A40" s="1097"/>
      <c r="B40" s="1143">
        <f>JU!G$10+P40</f>
        <v>34</v>
      </c>
      <c r="C40" s="1144">
        <f t="shared" ca="1" si="0"/>
        <v>45786</v>
      </c>
      <c r="D40" s="1143">
        <v>0</v>
      </c>
      <c r="E40" s="1142">
        <f>JU!AQ23</f>
        <v>3334500</v>
      </c>
      <c r="F40" s="1142">
        <f>JU!AR23</f>
        <v>3919500</v>
      </c>
      <c r="G40" s="1142">
        <f>JU!AO23</f>
        <v>408300</v>
      </c>
      <c r="H40" s="1142">
        <f>JU!AP23</f>
        <v>367500</v>
      </c>
      <c r="I40" s="1136"/>
      <c r="J40" s="1136"/>
      <c r="P40" s="1134">
        <v>7</v>
      </c>
    </row>
    <row r="41" spans="1:16" ht="16.350000000000001" customHeight="1">
      <c r="A41" s="1097"/>
      <c r="B41" s="1143">
        <f>JU!G$10+P41</f>
        <v>34</v>
      </c>
      <c r="C41" s="1144">
        <f t="shared" ca="1" si="0"/>
        <v>45970</v>
      </c>
      <c r="D41" s="1143">
        <v>0</v>
      </c>
      <c r="E41" s="1142">
        <f>JU!AQ24</f>
        <v>3334500</v>
      </c>
      <c r="F41" s="1142">
        <f>JU!AR24</f>
        <v>3919500</v>
      </c>
      <c r="G41" s="1142">
        <f>JU!AO24</f>
        <v>420480</v>
      </c>
      <c r="H41" s="1142">
        <f>JU!AP24</f>
        <v>378400</v>
      </c>
      <c r="I41" s="1136"/>
      <c r="J41" s="1136"/>
      <c r="P41" s="1134">
        <v>7</v>
      </c>
    </row>
    <row r="42" spans="1:16" ht="16.350000000000001" customHeight="1">
      <c r="A42" s="1097"/>
      <c r="B42" s="1143">
        <f>JU!G$10+P42</f>
        <v>35</v>
      </c>
      <c r="C42" s="1144">
        <f t="shared" ca="1" si="0"/>
        <v>46151</v>
      </c>
      <c r="D42" s="1143">
        <v>0</v>
      </c>
      <c r="E42" s="1142">
        <f>JU!AQ25</f>
        <v>3337500</v>
      </c>
      <c r="F42" s="1142">
        <f>JU!AR25</f>
        <v>3919500</v>
      </c>
      <c r="G42" s="1142">
        <f>JU!AO25</f>
        <v>432660</v>
      </c>
      <c r="H42" s="1142">
        <f>JU!AP25</f>
        <v>389400</v>
      </c>
      <c r="I42" s="1136"/>
      <c r="J42" s="1136"/>
      <c r="P42" s="1134">
        <v>8</v>
      </c>
    </row>
    <row r="43" spans="1:16" ht="16.350000000000001" customHeight="1">
      <c r="A43" s="1097"/>
      <c r="B43" s="1143">
        <f>JU!G$10+P43</f>
        <v>35</v>
      </c>
      <c r="C43" s="1144">
        <f t="shared" ca="1" si="0"/>
        <v>46335</v>
      </c>
      <c r="D43" s="1143">
        <v>0</v>
      </c>
      <c r="E43" s="1142">
        <f>JU!AQ26</f>
        <v>3337500</v>
      </c>
      <c r="F43" s="1142">
        <f>JU!AR26</f>
        <v>3919500</v>
      </c>
      <c r="G43" s="1142">
        <f>JU!AO26</f>
        <v>444180</v>
      </c>
      <c r="H43" s="1142">
        <f>JU!AP26</f>
        <v>399800</v>
      </c>
      <c r="I43" s="1136"/>
      <c r="J43" s="1136"/>
      <c r="P43" s="1134">
        <v>8</v>
      </c>
    </row>
    <row r="44" spans="1:16" ht="16.350000000000001" customHeight="1">
      <c r="A44" s="1097"/>
      <c r="B44" s="1143">
        <f>JU!G$10+P44</f>
        <v>36</v>
      </c>
      <c r="C44" s="1144">
        <f t="shared" ca="1" si="0"/>
        <v>46516</v>
      </c>
      <c r="D44" s="1143">
        <v>0</v>
      </c>
      <c r="E44" s="1142">
        <f>JU!AQ27</f>
        <v>3340500</v>
      </c>
      <c r="F44" s="1142">
        <f>JU!AR27</f>
        <v>3919500</v>
      </c>
      <c r="G44" s="1142">
        <f>JU!AO27</f>
        <v>458880</v>
      </c>
      <c r="H44" s="1142">
        <f>JU!AP27</f>
        <v>413000</v>
      </c>
      <c r="I44" s="1136"/>
      <c r="J44" s="1136"/>
      <c r="P44" s="1134">
        <v>9</v>
      </c>
    </row>
    <row r="45" spans="1:16" ht="16.350000000000001" customHeight="1">
      <c r="A45" s="1097"/>
      <c r="B45" s="1143">
        <f>JU!G$10+P45</f>
        <v>36</v>
      </c>
      <c r="C45" s="1144">
        <f t="shared" ca="1" si="0"/>
        <v>46700</v>
      </c>
      <c r="D45" s="1143">
        <v>0</v>
      </c>
      <c r="E45" s="1142">
        <f>JU!AQ28</f>
        <v>3340500</v>
      </c>
      <c r="F45" s="1142">
        <f>JU!AR28</f>
        <v>3919500</v>
      </c>
      <c r="G45" s="1142">
        <f>JU!AO28</f>
        <v>472680</v>
      </c>
      <c r="H45" s="1142">
        <f>JU!AP28</f>
        <v>425400</v>
      </c>
      <c r="I45" s="1136"/>
      <c r="J45" s="1136"/>
      <c r="P45" s="1134">
        <v>9</v>
      </c>
    </row>
    <row r="46" spans="1:16" ht="16.350000000000001" customHeight="1">
      <c r="A46" s="1097"/>
      <c r="B46" s="1143">
        <f>JU!G$10+P46</f>
        <v>37</v>
      </c>
      <c r="C46" s="1144">
        <f t="shared" ca="1" si="0"/>
        <v>46882</v>
      </c>
      <c r="D46" s="1143">
        <v>0</v>
      </c>
      <c r="E46" s="1142">
        <f>JU!AQ29</f>
        <v>3346500</v>
      </c>
      <c r="F46" s="1142">
        <f>JU!AR29</f>
        <v>3919500</v>
      </c>
      <c r="G46" s="1142">
        <f>JU!AO29</f>
        <v>486480</v>
      </c>
      <c r="H46" s="1142">
        <f>JU!AP29</f>
        <v>437800</v>
      </c>
      <c r="I46" s="1136"/>
      <c r="J46" s="1136"/>
      <c r="P46" s="1134">
        <v>10</v>
      </c>
    </row>
    <row r="47" spans="1:16" ht="16.350000000000001" customHeight="1">
      <c r="A47" s="1097"/>
      <c r="B47" s="1143">
        <f>JU!G$10+P47</f>
        <v>37</v>
      </c>
      <c r="C47" s="1144">
        <f t="shared" ca="1" si="0"/>
        <v>47066</v>
      </c>
      <c r="D47" s="1143">
        <v>0</v>
      </c>
      <c r="E47" s="1142">
        <f>JU!AQ30</f>
        <v>3346500</v>
      </c>
      <c r="F47" s="1142">
        <f>JU!AR30</f>
        <v>3919500</v>
      </c>
      <c r="G47" s="1142">
        <f>JU!AO30</f>
        <v>518460</v>
      </c>
      <c r="H47" s="1142">
        <f>JU!AP30</f>
        <v>466600</v>
      </c>
      <c r="I47" s="1136"/>
      <c r="J47" s="1136"/>
      <c r="P47" s="1134">
        <v>10</v>
      </c>
    </row>
    <row r="48" spans="1:16" ht="16.350000000000001" customHeight="1">
      <c r="A48" s="1097"/>
      <c r="B48" s="1143">
        <f>JU!G$10+P48</f>
        <v>38</v>
      </c>
      <c r="C48" s="1144">
        <f t="shared" ca="1" si="0"/>
        <v>47247</v>
      </c>
      <c r="D48" s="1143">
        <v>0</v>
      </c>
      <c r="E48" s="1142">
        <f>JU!AQ31</f>
        <v>3352500</v>
      </c>
      <c r="F48" s="1142">
        <f>JU!AR31</f>
        <v>3919500</v>
      </c>
      <c r="G48" s="1142">
        <f>JU!AO31</f>
        <v>550440</v>
      </c>
      <c r="H48" s="1142">
        <f>JU!AP31</f>
        <v>495400</v>
      </c>
      <c r="I48" s="1136"/>
      <c r="J48" s="1136"/>
      <c r="P48" s="1134">
        <v>11</v>
      </c>
    </row>
    <row r="49" spans="1:16" ht="16.350000000000001" customHeight="1">
      <c r="A49" s="1097"/>
      <c r="B49" s="1143">
        <f>JU!G$10+P49</f>
        <v>38</v>
      </c>
      <c r="C49" s="1144">
        <f t="shared" ca="1" si="0"/>
        <v>47431</v>
      </c>
      <c r="D49" s="1143">
        <v>0</v>
      </c>
      <c r="E49" s="1142">
        <f>JU!AQ31</f>
        <v>3352500</v>
      </c>
      <c r="F49" s="1142">
        <f>JU!AR31</f>
        <v>3919500</v>
      </c>
      <c r="G49" s="1142">
        <f>JU!AO31</f>
        <v>550440</v>
      </c>
      <c r="H49" s="1142">
        <f>JU!AP31</f>
        <v>495400</v>
      </c>
      <c r="I49" s="1136"/>
      <c r="J49" s="1136"/>
      <c r="P49" s="1134">
        <v>11</v>
      </c>
    </row>
    <row r="50" spans="1:16">
      <c r="A50" s="1097"/>
      <c r="B50" s="1136"/>
      <c r="C50" s="1136"/>
      <c r="D50" s="1136"/>
      <c r="E50" s="1136"/>
      <c r="F50" s="1136"/>
      <c r="G50" s="2727" t="s">
        <v>2166</v>
      </c>
      <c r="H50" s="2727"/>
      <c r="I50" s="2727"/>
      <c r="J50" s="2727"/>
      <c r="P50" s="1134" t="str">
        <f>CONCATENATE((P54), " ",(P55), " "," Years. ")</f>
        <v xml:space="preserve">     Years. </v>
      </c>
    </row>
    <row r="51" spans="1:16">
      <c r="A51" s="2724" t="str">
        <f>IF(P53=2,P50," ")</f>
        <v/>
      </c>
      <c r="B51" s="2724"/>
      <c r="C51" s="2724"/>
      <c r="D51" s="2724"/>
      <c r="E51" s="2724"/>
      <c r="F51" s="2724"/>
      <c r="G51" s="2727"/>
      <c r="H51" s="2727"/>
      <c r="I51" s="2727"/>
      <c r="J51" s="2727"/>
      <c r="K51" s="1141"/>
      <c r="L51" s="1141"/>
      <c r="P51" s="1134" t="str">
        <f ca="1">CONCATENATE("FROM ",(JU!AF28))</f>
        <v>FROM 9/5/2030</v>
      </c>
    </row>
    <row r="52" spans="1:16" ht="15.75">
      <c r="A52" s="1140"/>
      <c r="B52" s="2725" t="s">
        <v>2165</v>
      </c>
      <c r="C52" s="2725"/>
      <c r="D52" s="2725"/>
      <c r="E52" s="2726" t="str">
        <f ca="1">IF(P53=2,P51,P52)</f>
        <v>AS ON 9/5/2030</v>
      </c>
      <c r="F52" s="2726"/>
      <c r="G52" s="2728" t="str">
        <f>'VASANTHAM HOME'!E9</f>
        <v>ENTER YOUR NAME</v>
      </c>
      <c r="H52" s="2728"/>
      <c r="I52" s="2728"/>
      <c r="J52" s="2728"/>
      <c r="P52" s="1134" t="str">
        <f ca="1">CONCATENATE("AS ON ",(JU!AF28))</f>
        <v>AS ON 9/5/2030</v>
      </c>
    </row>
    <row r="53" spans="1:16" ht="15.75">
      <c r="A53" s="1097"/>
      <c r="B53" s="1136"/>
      <c r="C53" s="2760" t="str">
        <f>IF(P53=2," ","SUM ASSURED   Rs.:")</f>
        <v>SUM ASSURED   Rs.:</v>
      </c>
      <c r="D53" s="2761"/>
      <c r="E53" s="1138">
        <f>IF(P53=2," ",JU!J10)</f>
        <v>600000</v>
      </c>
      <c r="F53" s="1136"/>
      <c r="G53" s="2728" t="str">
        <f>'VASANTHAM HOME'!E10</f>
        <v>DESIGNATION</v>
      </c>
      <c r="H53" s="2728"/>
      <c r="I53" s="2728"/>
      <c r="J53" s="2728"/>
      <c r="P53" s="1134">
        <f>JU!AF34</f>
        <v>1</v>
      </c>
    </row>
    <row r="54" spans="1:16" ht="15.75">
      <c r="A54" s="1097"/>
      <c r="B54" s="1139" t="str">
        <f>IF(P53=2," ","*")</f>
        <v>*</v>
      </c>
      <c r="C54" s="2762" t="str">
        <f>IF(P53=2," ","LOYALTY ADDITIONS  Rs.:")</f>
        <v>LOYALTY ADDITIONS  Rs.:</v>
      </c>
      <c r="D54" s="2763"/>
      <c r="E54" s="1138">
        <f>IF(P53=2," ",JU!AI33)</f>
        <v>39000</v>
      </c>
      <c r="F54" s="1136"/>
      <c r="G54" s="2728" t="str">
        <f>'VASANTHAM HOME'!E11</f>
        <v>ADDRESS 1</v>
      </c>
      <c r="H54" s="2728"/>
      <c r="I54" s="2728"/>
      <c r="J54" s="2728"/>
      <c r="P54" s="1134" t="str">
        <f>IF(P53=2,"YOU HAVE SELECTED PENSION OPTIONS FOR "," ")</f>
        <v/>
      </c>
    </row>
    <row r="55" spans="1:16" ht="15.75">
      <c r="A55" s="1097"/>
      <c r="B55" s="1136"/>
      <c r="C55" s="2762" t="str">
        <f>IF(P53=2," ","TOTAL   Rs.:")</f>
        <v>TOTAL   Rs.:</v>
      </c>
      <c r="D55" s="2763"/>
      <c r="E55" s="1138">
        <f>IF(P53=2," ",E53+E54)</f>
        <v>639000</v>
      </c>
      <c r="F55" s="1136"/>
      <c r="G55" s="2728" t="str">
        <f>'VASANTHAM HOME'!E12</f>
        <v>ADDRESS 2</v>
      </c>
      <c r="H55" s="2728"/>
      <c r="I55" s="2728"/>
      <c r="J55" s="2728"/>
      <c r="P55" s="1134" t="str">
        <f>IF(P53=2,JU!L16," ")</f>
        <v/>
      </c>
    </row>
    <row r="56" spans="1:16" ht="15.75">
      <c r="A56" s="1097"/>
      <c r="B56" s="1136"/>
      <c r="C56" s="1136"/>
      <c r="D56" s="1136"/>
      <c r="E56" s="1136"/>
      <c r="F56" s="1136"/>
      <c r="G56" s="2728" t="str">
        <f>'VASANTHAM HOME'!E13</f>
        <v>ADDRESS 3</v>
      </c>
      <c r="H56" s="2728"/>
      <c r="I56" s="2728"/>
      <c r="J56" s="2728"/>
      <c r="P56" s="1137">
        <f>ROUND(JU!AH41,0)</f>
        <v>147590</v>
      </c>
    </row>
    <row r="57" spans="1:16">
      <c r="A57" s="1097"/>
      <c r="B57" s="2758" t="str">
        <f>IF(P53=2,P58," ")</f>
        <v/>
      </c>
      <c r="C57" s="2758"/>
      <c r="D57" s="2758"/>
      <c r="E57" s="2758"/>
      <c r="F57" s="1136"/>
      <c r="G57" s="2764" t="str">
        <f>'VASANTHAM HOME'!E14</f>
        <v>MOBILE NO :</v>
      </c>
      <c r="H57" s="2764"/>
      <c r="I57" s="2764"/>
      <c r="J57" s="2764"/>
      <c r="P57" s="1134" t="str">
        <f>JU!K17</f>
        <v>YEARLY</v>
      </c>
    </row>
    <row r="58" spans="1:16">
      <c r="A58" s="1097"/>
      <c r="B58" s="2758"/>
      <c r="C58" s="2758"/>
      <c r="D58" s="2758"/>
      <c r="E58" s="2758"/>
      <c r="F58" s="1136"/>
      <c r="G58" s="2765" t="str">
        <f>'VASANTHAM HOME'!E15</f>
        <v>E.MAIL ID :</v>
      </c>
      <c r="H58" s="2765"/>
      <c r="I58" s="2765"/>
      <c r="J58" s="2765"/>
      <c r="P58" s="1134" t="str">
        <f>CONCATENATE("EVERY", " ",(P57)," "," Rs."," ",(P56))</f>
        <v>EVERY YEARLY  Rs. 147590</v>
      </c>
    </row>
    <row r="59" spans="1:16">
      <c r="A59" s="2759" t="s">
        <v>2164</v>
      </c>
      <c r="B59" s="2759"/>
      <c r="C59" s="2759"/>
      <c r="D59" s="2759"/>
      <c r="E59" s="2759"/>
      <c r="F59" s="2759"/>
      <c r="G59" s="2759"/>
      <c r="H59" s="2759"/>
      <c r="I59" s="2759"/>
      <c r="J59" s="2759"/>
      <c r="K59" s="2759"/>
    </row>
    <row r="60" spans="1:16">
      <c r="A60" s="2759"/>
      <c r="B60" s="2759"/>
      <c r="C60" s="2759"/>
      <c r="D60" s="2759"/>
      <c r="E60" s="2759"/>
      <c r="F60" s="2759"/>
      <c r="G60" s="2759"/>
      <c r="H60" s="2759"/>
      <c r="I60" s="2759"/>
      <c r="J60" s="2759"/>
      <c r="K60" s="2759"/>
      <c r="L60" s="1135"/>
    </row>
    <row r="61" spans="1:16">
      <c r="A61" s="1097"/>
      <c r="B61" s="1097"/>
      <c r="C61" s="1097"/>
      <c r="D61" s="1097"/>
      <c r="E61" s="1097"/>
      <c r="F61" s="1097"/>
      <c r="G61" s="1097"/>
      <c r="H61" s="1097"/>
      <c r="I61" s="1097"/>
      <c r="J61" s="1097"/>
    </row>
  </sheetData>
  <mergeCells count="48">
    <mergeCell ref="B57:E58"/>
    <mergeCell ref="A60:K60"/>
    <mergeCell ref="C53:D53"/>
    <mergeCell ref="C54:D54"/>
    <mergeCell ref="C55:D55"/>
    <mergeCell ref="A59:K59"/>
    <mergeCell ref="G57:J57"/>
    <mergeCell ref="G58:J58"/>
    <mergeCell ref="G53:J53"/>
    <mergeCell ref="G54:J54"/>
    <mergeCell ref="G55:J55"/>
    <mergeCell ref="G56:J56"/>
    <mergeCell ref="C15:G15"/>
    <mergeCell ref="C13:E13"/>
    <mergeCell ref="C16:F16"/>
    <mergeCell ref="C17:F17"/>
    <mergeCell ref="C18:F18"/>
    <mergeCell ref="M3:O5"/>
    <mergeCell ref="M6:P7"/>
    <mergeCell ref="H15:J15"/>
    <mergeCell ref="J3:K3"/>
    <mergeCell ref="M11:O11"/>
    <mergeCell ref="M12:O13"/>
    <mergeCell ref="H13:J14"/>
    <mergeCell ref="B6:F8"/>
    <mergeCell ref="H9:I9"/>
    <mergeCell ref="H10:I10"/>
    <mergeCell ref="H11:I11"/>
    <mergeCell ref="H6:J6"/>
    <mergeCell ref="H7:J7"/>
    <mergeCell ref="B10:F10"/>
    <mergeCell ref="B11:F11"/>
    <mergeCell ref="C19:F19"/>
    <mergeCell ref="A51:F51"/>
    <mergeCell ref="B52:D52"/>
    <mergeCell ref="E52:F52"/>
    <mergeCell ref="G50:J51"/>
    <mergeCell ref="G52:J52"/>
    <mergeCell ref="C21:F21"/>
    <mergeCell ref="C22:I22"/>
    <mergeCell ref="B24:B25"/>
    <mergeCell ref="C24:C25"/>
    <mergeCell ref="D24:D25"/>
    <mergeCell ref="H17:J21"/>
    <mergeCell ref="G24:G25"/>
    <mergeCell ref="H24:H25"/>
    <mergeCell ref="E24:F24"/>
    <mergeCell ref="C20:F20"/>
  </mergeCells>
  <hyperlinks>
    <hyperlink ref="M6:P7" location="JU!A1" display="CLICK HERE"/>
    <hyperlink ref="M12:O13" location="'VASANTHAM HOME'!A1" display="CLICK HERE"/>
  </hyperlinks>
  <pageMargins left="0.7" right="0.7" top="0.75" bottom="0.75" header="0.3" footer="0.3"/>
  <pageSetup paperSize="9" scale="76"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33</vt:i4>
      </vt:variant>
    </vt:vector>
  </HeadingPairs>
  <TitlesOfParts>
    <vt:vector size="63" baseType="lpstr">
      <vt:lpstr>Print EPLUS</vt:lpstr>
      <vt:lpstr>EPLUS</vt:lpstr>
      <vt:lpstr>PRJA</vt:lpstr>
      <vt:lpstr>Jeevan Arogya</vt:lpstr>
      <vt:lpstr>Anmol Jeevan</vt:lpstr>
      <vt:lpstr>AMULYA JEEVAN</vt:lpstr>
      <vt:lpstr>JEEVAN RAKSHAK</vt:lpstr>
      <vt:lpstr>LP ENDOWMENT</vt:lpstr>
      <vt:lpstr>PRAGATHI</vt:lpstr>
      <vt:lpstr>JEEVAN LABH</vt:lpstr>
      <vt:lpstr>SINGLE PREMIUM ENDOWMENT</vt:lpstr>
      <vt:lpstr>NEW BIMA BACHAT</vt:lpstr>
      <vt:lpstr>NEW JEEVAN ANAND</vt:lpstr>
      <vt:lpstr>NEW ENDOWMENT</vt:lpstr>
      <vt:lpstr>NEW MONEY 25Yrs</vt:lpstr>
      <vt:lpstr>NEW MONEY 20Yrs </vt:lpstr>
      <vt:lpstr>JEEVAN TARUN</vt:lpstr>
      <vt:lpstr>CHILDRENS MONEY</vt:lpstr>
      <vt:lpstr>JEEVAN LAKSHYA</vt:lpstr>
      <vt:lpstr>N.J.NIDHI</vt:lpstr>
      <vt:lpstr>NEW JEEVAN NIDHI</vt:lpstr>
      <vt:lpstr>AADHAR STUMBH</vt:lpstr>
      <vt:lpstr>AADHAR SHILA</vt:lpstr>
      <vt:lpstr>Main</vt:lpstr>
      <vt:lpstr>VASANTHAM HOME</vt:lpstr>
      <vt:lpstr>CIBR</vt:lpstr>
      <vt:lpstr>UMANG</vt:lpstr>
      <vt:lpstr>PrintU</vt:lpstr>
      <vt:lpstr>JU</vt:lpstr>
      <vt:lpstr>PRJU</vt:lpstr>
      <vt:lpstr>Age_List</vt:lpstr>
      <vt:lpstr>List_age1</vt:lpstr>
      <vt:lpstr>List_fund</vt:lpstr>
      <vt:lpstr>list_yesno</vt:lpstr>
      <vt:lpstr>ECAL!Mode</vt:lpstr>
      <vt:lpstr>'Print EPLUS'!Mode</vt:lpstr>
      <vt:lpstr>Mode_list</vt:lpstr>
      <vt:lpstr>'AADHAR SHILA'!Print_Area</vt:lpstr>
      <vt:lpstr>'AADHAR STUMBH'!Print_Area</vt:lpstr>
      <vt:lpstr>'AMULYA JEEVAN'!Print_Area</vt:lpstr>
      <vt:lpstr>'Anmol Jeevan'!Print_Area</vt:lpstr>
      <vt:lpstr>'CHILDRENS MONEY'!Print_Area</vt:lpstr>
      <vt:lpstr>CIBR!Print_Area</vt:lpstr>
      <vt:lpstr>'JEEVAN LABH'!Print_Area</vt:lpstr>
      <vt:lpstr>'JEEVAN LAKSHYA'!Print_Area</vt:lpstr>
      <vt:lpstr>'JEEVAN RAKSHAK'!Print_Area</vt:lpstr>
      <vt:lpstr>'JEEVAN TARUN'!Print_Area</vt:lpstr>
      <vt:lpstr>'LP ENDOWMENT'!Print_Area</vt:lpstr>
      <vt:lpstr>N.J.NIDHI!Print_Area</vt:lpstr>
      <vt:lpstr>'NEW BIMA BACHAT'!Print_Area</vt:lpstr>
      <vt:lpstr>'NEW ENDOWMENT'!Print_Area</vt:lpstr>
      <vt:lpstr>'NEW JEEVAN ANAND'!Print_Area</vt:lpstr>
      <vt:lpstr>'NEW JEEVAN NIDHI'!Print_Area</vt:lpstr>
      <vt:lpstr>'NEW MONEY 20Yrs '!Print_Area</vt:lpstr>
      <vt:lpstr>'NEW MONEY 25Yrs'!Print_Area</vt:lpstr>
      <vt:lpstr>PRAGATHI!Print_Area</vt:lpstr>
      <vt:lpstr>'Print EPLUS'!Print_Area</vt:lpstr>
      <vt:lpstr>PrintU!Print_Area</vt:lpstr>
      <vt:lpstr>PRJA!Print_Area</vt:lpstr>
      <vt:lpstr>PRJU!Print_Area</vt:lpstr>
      <vt:lpstr>'SINGLE PREMIUM ENDOWMENT'!Print_Area</vt:lpstr>
      <vt:lpstr>Ter_List</vt:lpstr>
      <vt:lpstr>Term_List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2018-05-09T05:32:34Z</dcterms:modified>
</cp:coreProperties>
</file>